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asepgob.sharepoint.com/sites/DAF/Documentos compartidos/General/Empresas Comparadoras IMP 2026-2030/Archivos para la consulta (Nov 2025)/recibidos 26-11-2025/"/>
    </mc:Choice>
  </mc:AlternateContent>
  <xr:revisionPtr revIDLastSave="24" documentId="11_C2889D4CA38750FAEEF88C2712E4D5CD37B4E042" xr6:coauthVersionLast="47" xr6:coauthVersionMax="47" xr10:uidLastSave="{BB9A5565-DF3B-4F60-B5D1-D2B5CA3105D7}"/>
  <bookViews>
    <workbookView xWindow="-110" yWindow="-110" windowWidth="19420" windowHeight="11500" firstSheet="17" activeTab="22" xr2:uid="{00000000-000D-0000-FFFF-FFFF00000000}"/>
  </bookViews>
  <sheets>
    <sheet name="FERC 2021" sheetId="1" r:id="rId1"/>
    <sheet name="FERC 2022" sheetId="2" r:id="rId2"/>
    <sheet name="FERC 2023" sheetId="3" r:id="rId3"/>
    <sheet name="Trans 21-23" sheetId="4" r:id="rId4"/>
    <sheet name="EIA 2021" sheetId="5" r:id="rId5"/>
    <sheet name="EIA 2022" sheetId="6" r:id="rId6"/>
    <sheet name="EIA 2023" sheetId="7" r:id="rId7"/>
    <sheet name="Indices y Outliers" sheetId="8" r:id="rId8"/>
    <sheet name="Empresas 21-23" sheetId="9" r:id="rId9"/>
    <sheet name="CLR" sheetId="10" r:id="rId10"/>
    <sheet name="%MO Pan" sheetId="11" r:id="rId11"/>
    <sheet name="T_med_comp-Pan" sheetId="12" r:id="rId12"/>
    <sheet name="AyC Panama" sheetId="13" r:id="rId13"/>
    <sheet name="T_med_comp-USA" sheetId="14" r:id="rId14"/>
    <sheet name="CPI USA" sheetId="15" r:id="rId15"/>
    <sheet name="PPI USA" sheetId="16" r:id="rId16"/>
    <sheet name="IPM Pan" sheetId="17" r:id="rId17"/>
    <sheet name="IPC Pan" sheetId="18" r:id="rId18"/>
    <sheet name="BD Panama" sheetId="19" r:id="rId19"/>
    <sheet name="BD DEA" sheetId="20" r:id="rId20"/>
    <sheet name="BD Comp" sheetId="21" r:id="rId21"/>
    <sheet name="BD Perd" sheetId="22" r:id="rId22"/>
    <sheet name="Resultados ecuaciones" sheetId="23" r:id="rId23"/>
  </sheets>
  <externalReferences>
    <externalReference r:id="rId24"/>
  </externalReferences>
  <definedNames>
    <definedName name="_xlnm._FilterDatabase" localSheetId="20" hidden="1">'BD Comp'!$A$3:$AQ$233</definedName>
    <definedName name="_xlnm._FilterDatabase" localSheetId="19" hidden="1">'BD DEA'!$A$3:$P$233</definedName>
    <definedName name="_xlnm._FilterDatabase" localSheetId="21" hidden="1">'BD Perd'!$A$3:$J$233</definedName>
    <definedName name="_xlnm._FilterDatabase" localSheetId="8" hidden="1">'Empresas 21-23'!$A$1:$N$1000</definedName>
    <definedName name="Fecha_base">'[1]Panel de Control'!$B$4</definedName>
    <definedName name="Porc_MO_AC">'[1]Panel de Control'!$B$16</definedName>
    <definedName name="Porc_MO_AD">'[1]Panel de Control'!$B$15</definedName>
    <definedName name="Variables">[1]Variables!$A$2:$A$100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8" roundtripDataChecksum="NyZc1Yuk7jnDuzdD1p4+loC9NkAGjRFb2d+8AcElcjo="/>
    </ext>
  </extLst>
</workbook>
</file>

<file path=xl/calcChain.xml><?xml version="1.0" encoding="utf-8"?>
<calcChain xmlns="http://schemas.openxmlformats.org/spreadsheetml/2006/main">
  <c r="D230" i="22" l="1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AQ233" i="21"/>
  <c r="AP233" i="21"/>
  <c r="AO233" i="21"/>
  <c r="AE233" i="21"/>
  <c r="AD233" i="21"/>
  <c r="AC233" i="21"/>
  <c r="AB233" i="21"/>
  <c r="AA233" i="21"/>
  <c r="Z233" i="21"/>
  <c r="Y233" i="21"/>
  <c r="X233" i="21"/>
  <c r="W233" i="21"/>
  <c r="V233" i="21"/>
  <c r="U233" i="21"/>
  <c r="T233" i="21"/>
  <c r="D233" i="21"/>
  <c r="C233" i="21"/>
  <c r="AQ232" i="21"/>
  <c r="AP232" i="21"/>
  <c r="AO232" i="21"/>
  <c r="AE232" i="21"/>
  <c r="AD232" i="21"/>
  <c r="AC232" i="21"/>
  <c r="AB232" i="21"/>
  <c r="AA232" i="21"/>
  <c r="Z232" i="21"/>
  <c r="Y232" i="21"/>
  <c r="X232" i="21"/>
  <c r="W232" i="21"/>
  <c r="V232" i="21"/>
  <c r="U232" i="21"/>
  <c r="T232" i="21"/>
  <c r="D232" i="21"/>
  <c r="C232" i="21"/>
  <c r="AQ231" i="21"/>
  <c r="AP231" i="21"/>
  <c r="AO231" i="21"/>
  <c r="AE231" i="21"/>
  <c r="AD231" i="21"/>
  <c r="AC231" i="21"/>
  <c r="AB231" i="21"/>
  <c r="AA231" i="21"/>
  <c r="Z231" i="21"/>
  <c r="Y231" i="21"/>
  <c r="X231" i="21"/>
  <c r="W231" i="21"/>
  <c r="V231" i="21"/>
  <c r="U231" i="21"/>
  <c r="T231" i="21"/>
  <c r="D231" i="21"/>
  <c r="C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C131" i="21"/>
  <c r="C131" i="22" s="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C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C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C13" i="21"/>
  <c r="D12" i="21"/>
  <c r="D11" i="21"/>
  <c r="D10" i="21"/>
  <c r="D9" i="21"/>
  <c r="C9" i="21"/>
  <c r="D8" i="21"/>
  <c r="D7" i="21"/>
  <c r="D6" i="21"/>
  <c r="D5" i="21"/>
  <c r="D4" i="21"/>
  <c r="M233" i="20"/>
  <c r="G233" i="20"/>
  <c r="F233" i="20"/>
  <c r="E233" i="20"/>
  <c r="D233" i="20"/>
  <c r="M232" i="20"/>
  <c r="G232" i="20"/>
  <c r="F232" i="20"/>
  <c r="E232" i="20"/>
  <c r="D232" i="20"/>
  <c r="M231" i="20"/>
  <c r="G231" i="20"/>
  <c r="F231" i="20"/>
  <c r="E231" i="20"/>
  <c r="D231" i="20"/>
  <c r="P230" i="20"/>
  <c r="C230" i="21" s="1"/>
  <c r="C230" i="22" s="1"/>
  <c r="N230" i="20"/>
  <c r="M230" i="20"/>
  <c r="L230" i="20"/>
  <c r="K230" i="20"/>
  <c r="J230" i="20"/>
  <c r="I230" i="20"/>
  <c r="H230" i="20"/>
  <c r="G230" i="20"/>
  <c r="F230" i="20"/>
  <c r="E230" i="20"/>
  <c r="D230" i="20"/>
  <c r="P229" i="20"/>
  <c r="C229" i="21" s="1"/>
  <c r="C229" i="22" s="1"/>
  <c r="N229" i="20"/>
  <c r="M229" i="20"/>
  <c r="L229" i="20"/>
  <c r="K229" i="20"/>
  <c r="J229" i="20"/>
  <c r="I229" i="20"/>
  <c r="H229" i="20"/>
  <c r="G229" i="20"/>
  <c r="F229" i="20"/>
  <c r="E229" i="20"/>
  <c r="D229" i="20"/>
  <c r="P228" i="20"/>
  <c r="C228" i="21" s="1"/>
  <c r="C228" i="22" s="1"/>
  <c r="N228" i="20"/>
  <c r="M228" i="20"/>
  <c r="L228" i="20"/>
  <c r="K228" i="20"/>
  <c r="J228" i="20"/>
  <c r="I228" i="20"/>
  <c r="H228" i="20"/>
  <c r="G228" i="20"/>
  <c r="F228" i="20"/>
  <c r="E228" i="20"/>
  <c r="D228" i="20"/>
  <c r="P227" i="20"/>
  <c r="C227" i="21" s="1"/>
  <c r="C227" i="22" s="1"/>
  <c r="N227" i="20"/>
  <c r="M227" i="20"/>
  <c r="L227" i="20"/>
  <c r="K227" i="20"/>
  <c r="J227" i="20"/>
  <c r="I227" i="20"/>
  <c r="H227" i="20"/>
  <c r="G227" i="20"/>
  <c r="F227" i="20"/>
  <c r="E227" i="20"/>
  <c r="D227" i="20"/>
  <c r="P226" i="20"/>
  <c r="C226" i="21" s="1"/>
  <c r="C226" i="22" s="1"/>
  <c r="N226" i="20"/>
  <c r="M226" i="20"/>
  <c r="L226" i="20"/>
  <c r="K226" i="20"/>
  <c r="J226" i="20"/>
  <c r="I226" i="20"/>
  <c r="H226" i="20"/>
  <c r="G226" i="20"/>
  <c r="F226" i="20"/>
  <c r="E226" i="20"/>
  <c r="D226" i="20"/>
  <c r="P225" i="20"/>
  <c r="C225" i="21" s="1"/>
  <c r="C225" i="22" s="1"/>
  <c r="N225" i="20"/>
  <c r="M225" i="20"/>
  <c r="L225" i="20"/>
  <c r="K225" i="20"/>
  <c r="J225" i="20"/>
  <c r="I225" i="20"/>
  <c r="H225" i="20"/>
  <c r="G225" i="20"/>
  <c r="F225" i="20"/>
  <c r="E225" i="20"/>
  <c r="D225" i="20"/>
  <c r="P224" i="20"/>
  <c r="C224" i="21" s="1"/>
  <c r="C224" i="22" s="1"/>
  <c r="N224" i="20"/>
  <c r="M224" i="20"/>
  <c r="L224" i="20"/>
  <c r="K224" i="20"/>
  <c r="J224" i="20"/>
  <c r="I224" i="20"/>
  <c r="H224" i="20"/>
  <c r="G224" i="20"/>
  <c r="F224" i="20"/>
  <c r="E224" i="20"/>
  <c r="D224" i="20"/>
  <c r="P223" i="20"/>
  <c r="C223" i="21" s="1"/>
  <c r="C223" i="22" s="1"/>
  <c r="D223" i="20"/>
  <c r="P222" i="20"/>
  <c r="C222" i="21" s="1"/>
  <c r="C222" i="22" s="1"/>
  <c r="N222" i="20"/>
  <c r="M222" i="20"/>
  <c r="L222" i="20"/>
  <c r="K222" i="20"/>
  <c r="J222" i="20"/>
  <c r="I222" i="20"/>
  <c r="H222" i="20"/>
  <c r="G222" i="20"/>
  <c r="F222" i="20"/>
  <c r="E222" i="20"/>
  <c r="D222" i="20"/>
  <c r="P221" i="20"/>
  <c r="C221" i="21" s="1"/>
  <c r="C221" i="22" s="1"/>
  <c r="N221" i="20"/>
  <c r="M221" i="20"/>
  <c r="L221" i="20"/>
  <c r="K221" i="20"/>
  <c r="J221" i="20"/>
  <c r="I221" i="20"/>
  <c r="H221" i="20"/>
  <c r="G221" i="20"/>
  <c r="F221" i="20"/>
  <c r="E221" i="20"/>
  <c r="D221" i="20"/>
  <c r="P220" i="20"/>
  <c r="C220" i="21" s="1"/>
  <c r="C220" i="22" s="1"/>
  <c r="N220" i="20"/>
  <c r="M220" i="20"/>
  <c r="L220" i="20"/>
  <c r="K220" i="20"/>
  <c r="J220" i="20"/>
  <c r="I220" i="20"/>
  <c r="H220" i="20"/>
  <c r="G220" i="20"/>
  <c r="F220" i="20"/>
  <c r="E220" i="20"/>
  <c r="D220" i="20"/>
  <c r="P219" i="20"/>
  <c r="C219" i="21" s="1"/>
  <c r="C219" i="22" s="1"/>
  <c r="N219" i="20"/>
  <c r="M219" i="20"/>
  <c r="L219" i="20"/>
  <c r="K219" i="20"/>
  <c r="J219" i="20"/>
  <c r="I219" i="20"/>
  <c r="H219" i="20"/>
  <c r="G219" i="20"/>
  <c r="F219" i="20"/>
  <c r="E219" i="20"/>
  <c r="D219" i="20"/>
  <c r="P218" i="20"/>
  <c r="C218" i="21" s="1"/>
  <c r="C218" i="22" s="1"/>
  <c r="N218" i="20"/>
  <c r="M218" i="20"/>
  <c r="L218" i="20"/>
  <c r="K218" i="20"/>
  <c r="J218" i="20"/>
  <c r="I218" i="20"/>
  <c r="H218" i="20"/>
  <c r="G218" i="20"/>
  <c r="F218" i="20"/>
  <c r="E218" i="20"/>
  <c r="D218" i="20"/>
  <c r="P217" i="20"/>
  <c r="C217" i="21" s="1"/>
  <c r="D217" i="20"/>
  <c r="P216" i="20"/>
  <c r="C216" i="21" s="1"/>
  <c r="D216" i="20"/>
  <c r="P215" i="20"/>
  <c r="C215" i="21" s="1"/>
  <c r="C215" i="22" s="1"/>
  <c r="N215" i="20"/>
  <c r="M215" i="20"/>
  <c r="L215" i="20"/>
  <c r="K215" i="20"/>
  <c r="J215" i="20"/>
  <c r="I215" i="20"/>
  <c r="H215" i="20"/>
  <c r="G215" i="20"/>
  <c r="F215" i="20"/>
  <c r="E215" i="20"/>
  <c r="D215" i="20"/>
  <c r="P214" i="20"/>
  <c r="C214" i="21" s="1"/>
  <c r="C214" i="22" s="1"/>
  <c r="N214" i="20"/>
  <c r="M214" i="20"/>
  <c r="L214" i="20"/>
  <c r="K214" i="20"/>
  <c r="J214" i="20"/>
  <c r="I214" i="20"/>
  <c r="H214" i="20"/>
  <c r="G214" i="20"/>
  <c r="F214" i="20"/>
  <c r="E214" i="20"/>
  <c r="D214" i="20"/>
  <c r="P213" i="20"/>
  <c r="C213" i="21" s="1"/>
  <c r="C213" i="22" s="1"/>
  <c r="N213" i="20"/>
  <c r="M213" i="20"/>
  <c r="L213" i="20"/>
  <c r="K213" i="20"/>
  <c r="J213" i="20"/>
  <c r="I213" i="20"/>
  <c r="H213" i="20"/>
  <c r="G213" i="20"/>
  <c r="F213" i="20"/>
  <c r="E213" i="20"/>
  <c r="D213" i="20"/>
  <c r="P212" i="20"/>
  <c r="C212" i="21" s="1"/>
  <c r="C212" i="22" s="1"/>
  <c r="N212" i="20"/>
  <c r="M212" i="20"/>
  <c r="L212" i="20"/>
  <c r="K212" i="20"/>
  <c r="J212" i="20"/>
  <c r="I212" i="20"/>
  <c r="H212" i="20"/>
  <c r="G212" i="20"/>
  <c r="F212" i="20"/>
  <c r="E212" i="20"/>
  <c r="D212" i="20"/>
  <c r="P211" i="20"/>
  <c r="C211" i="21" s="1"/>
  <c r="C211" i="22" s="1"/>
  <c r="N211" i="20"/>
  <c r="M211" i="20"/>
  <c r="L211" i="20"/>
  <c r="K211" i="20"/>
  <c r="J211" i="20"/>
  <c r="I211" i="20"/>
  <c r="H211" i="20"/>
  <c r="G211" i="20"/>
  <c r="F211" i="20"/>
  <c r="E211" i="20"/>
  <c r="D211" i="20"/>
  <c r="P210" i="20"/>
  <c r="C210" i="21" s="1"/>
  <c r="C210" i="22" s="1"/>
  <c r="N210" i="20"/>
  <c r="M210" i="20"/>
  <c r="L210" i="20"/>
  <c r="K210" i="20"/>
  <c r="J210" i="20"/>
  <c r="I210" i="20"/>
  <c r="H210" i="20"/>
  <c r="G210" i="20"/>
  <c r="F210" i="20"/>
  <c r="E210" i="20"/>
  <c r="D210" i="20"/>
  <c r="P209" i="20"/>
  <c r="C209" i="21" s="1"/>
  <c r="C209" i="22" s="1"/>
  <c r="N209" i="20"/>
  <c r="M209" i="20"/>
  <c r="L209" i="20"/>
  <c r="K209" i="20"/>
  <c r="J209" i="20"/>
  <c r="I209" i="20"/>
  <c r="H209" i="20"/>
  <c r="G209" i="20"/>
  <c r="F209" i="20"/>
  <c r="E209" i="20"/>
  <c r="D209" i="20"/>
  <c r="P208" i="20"/>
  <c r="C208" i="21" s="1"/>
  <c r="C208" i="22" s="1"/>
  <c r="N208" i="20"/>
  <c r="M208" i="20"/>
  <c r="L208" i="20"/>
  <c r="K208" i="20"/>
  <c r="J208" i="20"/>
  <c r="I208" i="20"/>
  <c r="H208" i="20"/>
  <c r="G208" i="20"/>
  <c r="F208" i="20"/>
  <c r="E208" i="20"/>
  <c r="D208" i="20"/>
  <c r="P207" i="20"/>
  <c r="C207" i="21" s="1"/>
  <c r="C207" i="22" s="1"/>
  <c r="N207" i="20"/>
  <c r="M207" i="20"/>
  <c r="L207" i="20"/>
  <c r="K207" i="20"/>
  <c r="J207" i="20"/>
  <c r="I207" i="20"/>
  <c r="H207" i="20"/>
  <c r="G207" i="20"/>
  <c r="F207" i="20"/>
  <c r="E207" i="20"/>
  <c r="D207" i="20"/>
  <c r="P206" i="20"/>
  <c r="C206" i="21" s="1"/>
  <c r="C206" i="22" s="1"/>
  <c r="N206" i="20"/>
  <c r="M206" i="20"/>
  <c r="L206" i="20"/>
  <c r="K206" i="20"/>
  <c r="J206" i="20"/>
  <c r="I206" i="20"/>
  <c r="H206" i="20"/>
  <c r="G206" i="20"/>
  <c r="F206" i="20"/>
  <c r="E206" i="20"/>
  <c r="D206" i="20"/>
  <c r="P205" i="20"/>
  <c r="C205" i="21" s="1"/>
  <c r="C205" i="22" s="1"/>
  <c r="N205" i="20"/>
  <c r="M205" i="20"/>
  <c r="L205" i="20"/>
  <c r="K205" i="20"/>
  <c r="J205" i="20"/>
  <c r="I205" i="20"/>
  <c r="H205" i="20"/>
  <c r="G205" i="20"/>
  <c r="F205" i="20"/>
  <c r="E205" i="20"/>
  <c r="D205" i="20"/>
  <c r="P204" i="20"/>
  <c r="C204" i="21" s="1"/>
  <c r="C204" i="22" s="1"/>
  <c r="N204" i="20"/>
  <c r="M204" i="20"/>
  <c r="L204" i="20"/>
  <c r="K204" i="20"/>
  <c r="J204" i="20"/>
  <c r="I204" i="20"/>
  <c r="H204" i="20"/>
  <c r="G204" i="20"/>
  <c r="F204" i="20"/>
  <c r="E204" i="20"/>
  <c r="D204" i="20"/>
  <c r="P203" i="20"/>
  <c r="C203" i="21" s="1"/>
  <c r="C203" i="22" s="1"/>
  <c r="D203" i="20"/>
  <c r="P202" i="20"/>
  <c r="C202" i="21" s="1"/>
  <c r="C202" i="22" s="1"/>
  <c r="D202" i="20"/>
  <c r="P201" i="20"/>
  <c r="C201" i="21" s="1"/>
  <c r="C201" i="22" s="1"/>
  <c r="N201" i="20"/>
  <c r="M201" i="20"/>
  <c r="L201" i="20"/>
  <c r="K201" i="20"/>
  <c r="J201" i="20"/>
  <c r="I201" i="20"/>
  <c r="H201" i="20"/>
  <c r="G201" i="20"/>
  <c r="F201" i="20"/>
  <c r="E201" i="20"/>
  <c r="D201" i="20"/>
  <c r="P200" i="20"/>
  <c r="C200" i="21" s="1"/>
  <c r="C200" i="22" s="1"/>
  <c r="N200" i="20"/>
  <c r="M200" i="20"/>
  <c r="L200" i="20"/>
  <c r="K200" i="20"/>
  <c r="J200" i="20"/>
  <c r="I200" i="20"/>
  <c r="H200" i="20"/>
  <c r="G200" i="20"/>
  <c r="F200" i="20"/>
  <c r="E200" i="20"/>
  <c r="D200" i="20"/>
  <c r="P199" i="20"/>
  <c r="C199" i="21" s="1"/>
  <c r="D199" i="20"/>
  <c r="P198" i="20"/>
  <c r="C198" i="21" s="1"/>
  <c r="C198" i="22" s="1"/>
  <c r="N198" i="20"/>
  <c r="M198" i="20"/>
  <c r="L198" i="20"/>
  <c r="K198" i="20"/>
  <c r="J198" i="20"/>
  <c r="I198" i="20"/>
  <c r="H198" i="20"/>
  <c r="G198" i="20"/>
  <c r="F198" i="20"/>
  <c r="E198" i="20"/>
  <c r="D198" i="20"/>
  <c r="P197" i="20"/>
  <c r="C197" i="21" s="1"/>
  <c r="C197" i="22" s="1"/>
  <c r="N197" i="20"/>
  <c r="M197" i="20"/>
  <c r="L197" i="20"/>
  <c r="K197" i="20"/>
  <c r="J197" i="20"/>
  <c r="I197" i="20"/>
  <c r="H197" i="20"/>
  <c r="G197" i="20"/>
  <c r="F197" i="20"/>
  <c r="E197" i="20"/>
  <c r="D197" i="20"/>
  <c r="P196" i="20"/>
  <c r="C196" i="21" s="1"/>
  <c r="C196" i="22" s="1"/>
  <c r="N196" i="20"/>
  <c r="M196" i="20"/>
  <c r="L196" i="20"/>
  <c r="K196" i="20"/>
  <c r="J196" i="20"/>
  <c r="I196" i="20"/>
  <c r="H196" i="20"/>
  <c r="G196" i="20"/>
  <c r="F196" i="20"/>
  <c r="E196" i="20"/>
  <c r="D196" i="20"/>
  <c r="P195" i="20"/>
  <c r="C195" i="21" s="1"/>
  <c r="C195" i="22" s="1"/>
  <c r="N195" i="20"/>
  <c r="M195" i="20"/>
  <c r="L195" i="20"/>
  <c r="K195" i="20"/>
  <c r="J195" i="20"/>
  <c r="I195" i="20"/>
  <c r="H195" i="20"/>
  <c r="G195" i="20"/>
  <c r="F195" i="20"/>
  <c r="E195" i="20"/>
  <c r="D195" i="20"/>
  <c r="P194" i="20"/>
  <c r="C194" i="21" s="1"/>
  <c r="C194" i="22" s="1"/>
  <c r="N194" i="20"/>
  <c r="M194" i="20"/>
  <c r="L194" i="20"/>
  <c r="K194" i="20"/>
  <c r="J194" i="20"/>
  <c r="I194" i="20"/>
  <c r="H194" i="20"/>
  <c r="G194" i="20"/>
  <c r="F194" i="20"/>
  <c r="E194" i="20"/>
  <c r="D194" i="20"/>
  <c r="P193" i="20"/>
  <c r="C193" i="21" s="1"/>
  <c r="C193" i="22" s="1"/>
  <c r="N193" i="20"/>
  <c r="M193" i="20"/>
  <c r="L193" i="20"/>
  <c r="K193" i="20"/>
  <c r="J193" i="20"/>
  <c r="I193" i="20"/>
  <c r="H193" i="20"/>
  <c r="G193" i="20"/>
  <c r="F193" i="20"/>
  <c r="E193" i="20"/>
  <c r="D193" i="20"/>
  <c r="P192" i="20"/>
  <c r="C192" i="21" s="1"/>
  <c r="C192" i="22" s="1"/>
  <c r="N192" i="20"/>
  <c r="M192" i="20"/>
  <c r="L192" i="20"/>
  <c r="K192" i="20"/>
  <c r="J192" i="20"/>
  <c r="I192" i="20"/>
  <c r="H192" i="20"/>
  <c r="G192" i="20"/>
  <c r="F192" i="20"/>
  <c r="E192" i="20"/>
  <c r="D192" i="20"/>
  <c r="P191" i="20"/>
  <c r="C191" i="21" s="1"/>
  <c r="C191" i="22" s="1"/>
  <c r="N191" i="20"/>
  <c r="M191" i="20"/>
  <c r="L191" i="20"/>
  <c r="K191" i="20"/>
  <c r="J191" i="20"/>
  <c r="I191" i="20"/>
  <c r="H191" i="20"/>
  <c r="G191" i="20"/>
  <c r="F191" i="20"/>
  <c r="E191" i="20"/>
  <c r="D191" i="20"/>
  <c r="P190" i="20"/>
  <c r="C190" i="21" s="1"/>
  <c r="D190" i="20"/>
  <c r="P189" i="20"/>
  <c r="C189" i="21" s="1"/>
  <c r="C189" i="22" s="1"/>
  <c r="N189" i="20"/>
  <c r="M189" i="20"/>
  <c r="L189" i="20"/>
  <c r="K189" i="20"/>
  <c r="J189" i="20"/>
  <c r="I189" i="20"/>
  <c r="H189" i="20"/>
  <c r="G189" i="20"/>
  <c r="F189" i="20"/>
  <c r="E189" i="20"/>
  <c r="D189" i="20"/>
  <c r="P188" i="20"/>
  <c r="C188" i="21" s="1"/>
  <c r="C188" i="22" s="1"/>
  <c r="N188" i="20"/>
  <c r="M188" i="20"/>
  <c r="L188" i="20"/>
  <c r="K188" i="20"/>
  <c r="J188" i="20"/>
  <c r="I188" i="20"/>
  <c r="H188" i="20"/>
  <c r="G188" i="20"/>
  <c r="F188" i="20"/>
  <c r="E188" i="20"/>
  <c r="D188" i="20"/>
  <c r="P187" i="20"/>
  <c r="C187" i="21" s="1"/>
  <c r="C187" i="22" s="1"/>
  <c r="N187" i="20"/>
  <c r="M187" i="20"/>
  <c r="L187" i="20"/>
  <c r="K187" i="20"/>
  <c r="J187" i="20"/>
  <c r="I187" i="20"/>
  <c r="H187" i="20"/>
  <c r="G187" i="20"/>
  <c r="F187" i="20"/>
  <c r="E187" i="20"/>
  <c r="D187" i="20"/>
  <c r="P186" i="20"/>
  <c r="C186" i="21" s="1"/>
  <c r="C186" i="22" s="1"/>
  <c r="N186" i="20"/>
  <c r="M186" i="20"/>
  <c r="L186" i="20"/>
  <c r="K186" i="20"/>
  <c r="J186" i="20"/>
  <c r="I186" i="20"/>
  <c r="H186" i="20"/>
  <c r="G186" i="20"/>
  <c r="F186" i="20"/>
  <c r="E186" i="20"/>
  <c r="D186" i="20"/>
  <c r="P185" i="20"/>
  <c r="C185" i="21" s="1"/>
  <c r="D185" i="20"/>
  <c r="P184" i="20"/>
  <c r="C184" i="21" s="1"/>
  <c r="C184" i="22" s="1"/>
  <c r="N184" i="20"/>
  <c r="M184" i="20"/>
  <c r="L184" i="20"/>
  <c r="K184" i="20"/>
  <c r="J184" i="20"/>
  <c r="I184" i="20"/>
  <c r="H184" i="20"/>
  <c r="G184" i="20"/>
  <c r="F184" i="20"/>
  <c r="E184" i="20"/>
  <c r="D184" i="20"/>
  <c r="P183" i="20"/>
  <c r="C183" i="21" s="1"/>
  <c r="C183" i="22" s="1"/>
  <c r="N183" i="20"/>
  <c r="M183" i="20"/>
  <c r="L183" i="20"/>
  <c r="K183" i="20"/>
  <c r="J183" i="20"/>
  <c r="I183" i="20"/>
  <c r="H183" i="20"/>
  <c r="G183" i="20"/>
  <c r="F183" i="20"/>
  <c r="E183" i="20"/>
  <c r="D183" i="20"/>
  <c r="P182" i="20"/>
  <c r="C182" i="21" s="1"/>
  <c r="C182" i="22" s="1"/>
  <c r="N182" i="20"/>
  <c r="M182" i="20"/>
  <c r="L182" i="20"/>
  <c r="K182" i="20"/>
  <c r="J182" i="20"/>
  <c r="I182" i="20"/>
  <c r="H182" i="20"/>
  <c r="G182" i="20"/>
  <c r="F182" i="20"/>
  <c r="E182" i="20"/>
  <c r="D182" i="20"/>
  <c r="P181" i="20"/>
  <c r="C181" i="21" s="1"/>
  <c r="C181" i="22" s="1"/>
  <c r="N181" i="20"/>
  <c r="M181" i="20"/>
  <c r="L181" i="20"/>
  <c r="K181" i="20"/>
  <c r="J181" i="20"/>
  <c r="I181" i="20"/>
  <c r="H181" i="20"/>
  <c r="G181" i="20"/>
  <c r="F181" i="20"/>
  <c r="E181" i="20"/>
  <c r="D181" i="20"/>
  <c r="P180" i="20"/>
  <c r="C180" i="21" s="1"/>
  <c r="C180" i="22" s="1"/>
  <c r="D180" i="20"/>
  <c r="P179" i="20"/>
  <c r="C179" i="21" s="1"/>
  <c r="C179" i="22" s="1"/>
  <c r="N179" i="20"/>
  <c r="M179" i="20"/>
  <c r="L179" i="20"/>
  <c r="K179" i="20"/>
  <c r="J179" i="20"/>
  <c r="I179" i="20"/>
  <c r="H179" i="20"/>
  <c r="G179" i="20"/>
  <c r="F179" i="20"/>
  <c r="E179" i="20"/>
  <c r="D179" i="20"/>
  <c r="P178" i="20"/>
  <c r="C178" i="21" s="1"/>
  <c r="C178" i="22" s="1"/>
  <c r="N178" i="20"/>
  <c r="M178" i="20"/>
  <c r="L178" i="20"/>
  <c r="K178" i="20"/>
  <c r="J178" i="20"/>
  <c r="I178" i="20"/>
  <c r="H178" i="20"/>
  <c r="G178" i="20"/>
  <c r="F178" i="20"/>
  <c r="E178" i="20"/>
  <c r="D178" i="20"/>
  <c r="P177" i="20"/>
  <c r="C177" i="21" s="1"/>
  <c r="C177" i="22" s="1"/>
  <c r="N177" i="20"/>
  <c r="M177" i="20"/>
  <c r="L177" i="20"/>
  <c r="K177" i="20"/>
  <c r="J177" i="20"/>
  <c r="I177" i="20"/>
  <c r="H177" i="20"/>
  <c r="G177" i="20"/>
  <c r="F177" i="20"/>
  <c r="E177" i="20"/>
  <c r="D177" i="20"/>
  <c r="P176" i="20"/>
  <c r="C176" i="21" s="1"/>
  <c r="C176" i="22" s="1"/>
  <c r="N176" i="20"/>
  <c r="M176" i="20"/>
  <c r="L176" i="20"/>
  <c r="K176" i="20"/>
  <c r="J176" i="20"/>
  <c r="I176" i="20"/>
  <c r="H176" i="20"/>
  <c r="G176" i="20"/>
  <c r="F176" i="20"/>
  <c r="E176" i="20"/>
  <c r="D176" i="20"/>
  <c r="P175" i="20"/>
  <c r="C175" i="21" s="1"/>
  <c r="C175" i="22" s="1"/>
  <c r="N175" i="20"/>
  <c r="M175" i="20"/>
  <c r="L175" i="20"/>
  <c r="K175" i="20"/>
  <c r="J175" i="20"/>
  <c r="I175" i="20"/>
  <c r="H175" i="20"/>
  <c r="G175" i="20"/>
  <c r="F175" i="20"/>
  <c r="E175" i="20"/>
  <c r="D175" i="20"/>
  <c r="P174" i="20"/>
  <c r="C174" i="21" s="1"/>
  <c r="C174" i="22" s="1"/>
  <c r="N174" i="20"/>
  <c r="M174" i="20"/>
  <c r="L174" i="20"/>
  <c r="K174" i="20"/>
  <c r="J174" i="20"/>
  <c r="I174" i="20"/>
  <c r="H174" i="20"/>
  <c r="G174" i="20"/>
  <c r="F174" i="20"/>
  <c r="E174" i="20"/>
  <c r="D174" i="20"/>
  <c r="P173" i="20"/>
  <c r="C173" i="21" s="1"/>
  <c r="C173" i="22" s="1"/>
  <c r="N173" i="20"/>
  <c r="M173" i="20"/>
  <c r="L173" i="20"/>
  <c r="K173" i="20"/>
  <c r="J173" i="20"/>
  <c r="I173" i="20"/>
  <c r="H173" i="20"/>
  <c r="G173" i="20"/>
  <c r="F173" i="20"/>
  <c r="E173" i="20"/>
  <c r="D173" i="20"/>
  <c r="P172" i="20"/>
  <c r="C172" i="21" s="1"/>
  <c r="C172" i="22" s="1"/>
  <c r="N172" i="20"/>
  <c r="M172" i="20"/>
  <c r="L172" i="20"/>
  <c r="K172" i="20"/>
  <c r="J172" i="20"/>
  <c r="I172" i="20"/>
  <c r="H172" i="20"/>
  <c r="G172" i="20"/>
  <c r="F172" i="20"/>
  <c r="E172" i="20"/>
  <c r="D172" i="20"/>
  <c r="P171" i="20"/>
  <c r="C171" i="21" s="1"/>
  <c r="C171" i="22" s="1"/>
  <c r="N171" i="20"/>
  <c r="M171" i="20"/>
  <c r="L171" i="20"/>
  <c r="K171" i="20"/>
  <c r="J171" i="20"/>
  <c r="I171" i="20"/>
  <c r="H171" i="20"/>
  <c r="G171" i="20"/>
  <c r="F171" i="20"/>
  <c r="E171" i="20"/>
  <c r="D171" i="20"/>
  <c r="P170" i="20"/>
  <c r="C170" i="21" s="1"/>
  <c r="C170" i="22" s="1"/>
  <c r="N170" i="20"/>
  <c r="M170" i="20"/>
  <c r="L170" i="20"/>
  <c r="K170" i="20"/>
  <c r="J170" i="20"/>
  <c r="I170" i="20"/>
  <c r="H170" i="20"/>
  <c r="G170" i="20"/>
  <c r="F170" i="20"/>
  <c r="E170" i="20"/>
  <c r="D170" i="20"/>
  <c r="P169" i="20"/>
  <c r="C169" i="21" s="1"/>
  <c r="C169" i="22" s="1"/>
  <c r="N169" i="20"/>
  <c r="M169" i="20"/>
  <c r="L169" i="20"/>
  <c r="K169" i="20"/>
  <c r="J169" i="20"/>
  <c r="I169" i="20"/>
  <c r="H169" i="20"/>
  <c r="G169" i="20"/>
  <c r="F169" i="20"/>
  <c r="E169" i="20"/>
  <c r="D169" i="20"/>
  <c r="P168" i="20"/>
  <c r="C168" i="21" s="1"/>
  <c r="C168" i="22" s="1"/>
  <c r="N168" i="20"/>
  <c r="M168" i="20"/>
  <c r="L168" i="20"/>
  <c r="K168" i="20"/>
  <c r="J168" i="20"/>
  <c r="I168" i="20"/>
  <c r="H168" i="20"/>
  <c r="G168" i="20"/>
  <c r="F168" i="20"/>
  <c r="E168" i="20"/>
  <c r="D168" i="20"/>
  <c r="P167" i="20"/>
  <c r="C167" i="21" s="1"/>
  <c r="C167" i="22" s="1"/>
  <c r="N167" i="20"/>
  <c r="M167" i="20"/>
  <c r="L167" i="20"/>
  <c r="K167" i="20"/>
  <c r="J167" i="20"/>
  <c r="I167" i="20"/>
  <c r="H167" i="20"/>
  <c r="G167" i="20"/>
  <c r="F167" i="20"/>
  <c r="E167" i="20"/>
  <c r="D167" i="20"/>
  <c r="P166" i="20"/>
  <c r="C166" i="21" s="1"/>
  <c r="D166" i="20"/>
  <c r="P165" i="20"/>
  <c r="C165" i="21" s="1"/>
  <c r="C165" i="22" s="1"/>
  <c r="N165" i="20"/>
  <c r="M165" i="20"/>
  <c r="L165" i="20"/>
  <c r="K165" i="20"/>
  <c r="J165" i="20"/>
  <c r="I165" i="20"/>
  <c r="H165" i="20"/>
  <c r="G165" i="20"/>
  <c r="F165" i="20"/>
  <c r="E165" i="20"/>
  <c r="D165" i="20"/>
  <c r="P164" i="20"/>
  <c r="C164" i="21" s="1"/>
  <c r="C164" i="22" s="1"/>
  <c r="N164" i="20"/>
  <c r="M164" i="20"/>
  <c r="L164" i="20"/>
  <c r="K164" i="20"/>
  <c r="J164" i="20"/>
  <c r="I164" i="20"/>
  <c r="H164" i="20"/>
  <c r="G164" i="20"/>
  <c r="F164" i="20"/>
  <c r="E164" i="20"/>
  <c r="D164" i="20"/>
  <c r="P163" i="20"/>
  <c r="C163" i="21" s="1"/>
  <c r="C163" i="22" s="1"/>
  <c r="N163" i="20"/>
  <c r="M163" i="20"/>
  <c r="L163" i="20"/>
  <c r="K163" i="20"/>
  <c r="J163" i="20"/>
  <c r="I163" i="20"/>
  <c r="H163" i="20"/>
  <c r="G163" i="20"/>
  <c r="F163" i="20"/>
  <c r="E163" i="20"/>
  <c r="D163" i="20"/>
  <c r="P162" i="20"/>
  <c r="C162" i="21" s="1"/>
  <c r="C162" i="22" s="1"/>
  <c r="N162" i="20"/>
  <c r="M162" i="20"/>
  <c r="L162" i="20"/>
  <c r="K162" i="20"/>
  <c r="J162" i="20"/>
  <c r="I162" i="20"/>
  <c r="H162" i="20"/>
  <c r="G162" i="20"/>
  <c r="F162" i="20"/>
  <c r="E162" i="20"/>
  <c r="D162" i="20"/>
  <c r="P161" i="20"/>
  <c r="C161" i="21" s="1"/>
  <c r="C161" i="22" s="1"/>
  <c r="N161" i="20"/>
  <c r="M161" i="20"/>
  <c r="L161" i="20"/>
  <c r="K161" i="20"/>
  <c r="J161" i="20"/>
  <c r="I161" i="20"/>
  <c r="H161" i="20"/>
  <c r="G161" i="20"/>
  <c r="F161" i="20"/>
  <c r="E161" i="20"/>
  <c r="D161" i="20"/>
  <c r="P160" i="20"/>
  <c r="C160" i="21" s="1"/>
  <c r="C160" i="22" s="1"/>
  <c r="N160" i="20"/>
  <c r="M160" i="20"/>
  <c r="L160" i="20"/>
  <c r="K160" i="20"/>
  <c r="J160" i="20"/>
  <c r="I160" i="20"/>
  <c r="H160" i="20"/>
  <c r="G160" i="20"/>
  <c r="F160" i="20"/>
  <c r="E160" i="20"/>
  <c r="D160" i="20"/>
  <c r="P159" i="20"/>
  <c r="C159" i="21" s="1"/>
  <c r="C159" i="22" s="1"/>
  <c r="N159" i="20"/>
  <c r="M159" i="20"/>
  <c r="L159" i="20"/>
  <c r="K159" i="20"/>
  <c r="J159" i="20"/>
  <c r="I159" i="20"/>
  <c r="H159" i="20"/>
  <c r="G159" i="20"/>
  <c r="F159" i="20"/>
  <c r="E159" i="20"/>
  <c r="D159" i="20"/>
  <c r="P158" i="20"/>
  <c r="C158" i="21" s="1"/>
  <c r="C158" i="22" s="1"/>
  <c r="N158" i="20"/>
  <c r="M158" i="20"/>
  <c r="L158" i="20"/>
  <c r="K158" i="20"/>
  <c r="J158" i="20"/>
  <c r="I158" i="20"/>
  <c r="H158" i="20"/>
  <c r="G158" i="20"/>
  <c r="F158" i="20"/>
  <c r="E158" i="20"/>
  <c r="D158" i="20"/>
  <c r="P157" i="20"/>
  <c r="C157" i="21" s="1"/>
  <c r="D157" i="20"/>
  <c r="P156" i="20"/>
  <c r="C156" i="21" s="1"/>
  <c r="C156" i="22" s="1"/>
  <c r="N156" i="20"/>
  <c r="M156" i="20"/>
  <c r="L156" i="20"/>
  <c r="K156" i="20"/>
  <c r="J156" i="20"/>
  <c r="I156" i="20"/>
  <c r="H156" i="20"/>
  <c r="G156" i="20"/>
  <c r="F156" i="20"/>
  <c r="E156" i="20"/>
  <c r="D156" i="20"/>
  <c r="P155" i="20"/>
  <c r="C155" i="21" s="1"/>
  <c r="C155" i="22" s="1"/>
  <c r="N155" i="20"/>
  <c r="M155" i="20"/>
  <c r="L155" i="20"/>
  <c r="K155" i="20"/>
  <c r="J155" i="20"/>
  <c r="I155" i="20"/>
  <c r="H155" i="20"/>
  <c r="G155" i="20"/>
  <c r="F155" i="20"/>
  <c r="E155" i="20"/>
  <c r="D155" i="20"/>
  <c r="P154" i="20"/>
  <c r="C154" i="21" s="1"/>
  <c r="C154" i="22" s="1"/>
  <c r="N154" i="20"/>
  <c r="M154" i="20"/>
  <c r="L154" i="20"/>
  <c r="K154" i="20"/>
  <c r="J154" i="20"/>
  <c r="I154" i="20"/>
  <c r="H154" i="20"/>
  <c r="G154" i="20"/>
  <c r="F154" i="20"/>
  <c r="E154" i="20"/>
  <c r="D154" i="20"/>
  <c r="P153" i="20"/>
  <c r="C153" i="21" s="1"/>
  <c r="C153" i="22" s="1"/>
  <c r="N153" i="20"/>
  <c r="M153" i="20"/>
  <c r="L153" i="20"/>
  <c r="K153" i="20"/>
  <c r="J153" i="20"/>
  <c r="I153" i="20"/>
  <c r="H153" i="20"/>
  <c r="G153" i="20"/>
  <c r="F153" i="20"/>
  <c r="E153" i="20"/>
  <c r="D153" i="20"/>
  <c r="P152" i="20"/>
  <c r="C152" i="21" s="1"/>
  <c r="C152" i="22" s="1"/>
  <c r="D152" i="20"/>
  <c r="P151" i="20"/>
  <c r="C151" i="21" s="1"/>
  <c r="C151" i="22" s="1"/>
  <c r="D151" i="20"/>
  <c r="P150" i="20"/>
  <c r="C150" i="21" s="1"/>
  <c r="D150" i="20"/>
  <c r="P149" i="20"/>
  <c r="C149" i="21" s="1"/>
  <c r="C149" i="22" s="1"/>
  <c r="N149" i="20"/>
  <c r="M149" i="20"/>
  <c r="L149" i="20"/>
  <c r="K149" i="20"/>
  <c r="J149" i="20"/>
  <c r="I149" i="20"/>
  <c r="H149" i="20"/>
  <c r="G149" i="20"/>
  <c r="F149" i="20"/>
  <c r="E149" i="20"/>
  <c r="D149" i="20"/>
  <c r="P148" i="20"/>
  <c r="C148" i="21" s="1"/>
  <c r="C148" i="22" s="1"/>
  <c r="N148" i="20"/>
  <c r="M148" i="20"/>
  <c r="L148" i="20"/>
  <c r="K148" i="20"/>
  <c r="J148" i="20"/>
  <c r="I148" i="20"/>
  <c r="H148" i="20"/>
  <c r="G148" i="20"/>
  <c r="F148" i="20"/>
  <c r="E148" i="20"/>
  <c r="D148" i="20"/>
  <c r="P147" i="20"/>
  <c r="C147" i="21" s="1"/>
  <c r="C147" i="22" s="1"/>
  <c r="D147" i="20"/>
  <c r="P146" i="20"/>
  <c r="C146" i="21" s="1"/>
  <c r="C146" i="22" s="1"/>
  <c r="N146" i="20"/>
  <c r="M146" i="20"/>
  <c r="L146" i="20"/>
  <c r="K146" i="20"/>
  <c r="J146" i="20"/>
  <c r="I146" i="20"/>
  <c r="H146" i="20"/>
  <c r="G146" i="20"/>
  <c r="F146" i="20"/>
  <c r="E146" i="20"/>
  <c r="D146" i="20"/>
  <c r="P145" i="20"/>
  <c r="C145" i="21" s="1"/>
  <c r="D145" i="20"/>
  <c r="P144" i="20"/>
  <c r="C144" i="21" s="1"/>
  <c r="C144" i="22" s="1"/>
  <c r="N144" i="20"/>
  <c r="M144" i="20"/>
  <c r="L144" i="20"/>
  <c r="K144" i="20"/>
  <c r="J144" i="20"/>
  <c r="I144" i="20"/>
  <c r="H144" i="20"/>
  <c r="G144" i="20"/>
  <c r="F144" i="20"/>
  <c r="E144" i="20"/>
  <c r="D144" i="20"/>
  <c r="P143" i="20"/>
  <c r="C143" i="21" s="1"/>
  <c r="C143" i="22" s="1"/>
  <c r="N143" i="20"/>
  <c r="M143" i="20"/>
  <c r="L143" i="20"/>
  <c r="K143" i="20"/>
  <c r="J143" i="20"/>
  <c r="I143" i="20"/>
  <c r="H143" i="20"/>
  <c r="G143" i="20"/>
  <c r="F143" i="20"/>
  <c r="E143" i="20"/>
  <c r="D143" i="20"/>
  <c r="P142" i="20"/>
  <c r="C142" i="21" s="1"/>
  <c r="C142" i="22" s="1"/>
  <c r="N142" i="20"/>
  <c r="M142" i="20"/>
  <c r="L142" i="20"/>
  <c r="K142" i="20"/>
  <c r="J142" i="20"/>
  <c r="I142" i="20"/>
  <c r="H142" i="20"/>
  <c r="G142" i="20"/>
  <c r="F142" i="20"/>
  <c r="E142" i="20"/>
  <c r="D142" i="20"/>
  <c r="P141" i="20"/>
  <c r="C141" i="21" s="1"/>
  <c r="D141" i="20"/>
  <c r="P140" i="20"/>
  <c r="C140" i="21" s="1"/>
  <c r="D140" i="20"/>
  <c r="P139" i="20"/>
  <c r="C139" i="21" s="1"/>
  <c r="D139" i="20"/>
  <c r="P138" i="20"/>
  <c r="C138" i="21" s="1"/>
  <c r="D138" i="20"/>
  <c r="P137" i="20"/>
  <c r="C137" i="21" s="1"/>
  <c r="C137" i="22" s="1"/>
  <c r="N137" i="20"/>
  <c r="M137" i="20"/>
  <c r="L137" i="20"/>
  <c r="K137" i="20"/>
  <c r="J137" i="20"/>
  <c r="I137" i="20"/>
  <c r="H137" i="20"/>
  <c r="G137" i="20"/>
  <c r="F137" i="20"/>
  <c r="E137" i="20"/>
  <c r="D137" i="20"/>
  <c r="P136" i="20"/>
  <c r="C136" i="21" s="1"/>
  <c r="D136" i="20"/>
  <c r="P135" i="20"/>
  <c r="C135" i="21" s="1"/>
  <c r="C135" i="22" s="1"/>
  <c r="N135" i="20"/>
  <c r="M135" i="20"/>
  <c r="L135" i="20"/>
  <c r="K135" i="20"/>
  <c r="J135" i="20"/>
  <c r="I135" i="20"/>
  <c r="H135" i="20"/>
  <c r="G135" i="20"/>
  <c r="F135" i="20"/>
  <c r="E135" i="20"/>
  <c r="D135" i="20"/>
  <c r="P134" i="20"/>
  <c r="C134" i="21" s="1"/>
  <c r="D134" i="20"/>
  <c r="P133" i="20"/>
  <c r="C133" i="21" s="1"/>
  <c r="C133" i="22" s="1"/>
  <c r="D133" i="20"/>
  <c r="P132" i="20"/>
  <c r="C132" i="21" s="1"/>
  <c r="C132" i="22" s="1"/>
  <c r="N132" i="20"/>
  <c r="M132" i="20"/>
  <c r="L132" i="20"/>
  <c r="K132" i="20"/>
  <c r="J132" i="20"/>
  <c r="I132" i="20"/>
  <c r="H132" i="20"/>
  <c r="G132" i="20"/>
  <c r="F132" i="20"/>
  <c r="E132" i="20"/>
  <c r="D132" i="20"/>
  <c r="P131" i="20"/>
  <c r="D131" i="20"/>
  <c r="P130" i="20"/>
  <c r="C130" i="21" s="1"/>
  <c r="C130" i="22" s="1"/>
  <c r="D130" i="20"/>
  <c r="P129" i="20"/>
  <c r="C129" i="21" s="1"/>
  <c r="D129" i="20"/>
  <c r="P128" i="20"/>
  <c r="C128" i="21" s="1"/>
  <c r="D128" i="20"/>
  <c r="P127" i="20"/>
  <c r="C127" i="21" s="1"/>
  <c r="C127" i="22" s="1"/>
  <c r="N127" i="20"/>
  <c r="M127" i="20"/>
  <c r="L127" i="20"/>
  <c r="K127" i="20"/>
  <c r="J127" i="20"/>
  <c r="I127" i="20"/>
  <c r="H127" i="20"/>
  <c r="G127" i="20"/>
  <c r="F127" i="20"/>
  <c r="E127" i="20"/>
  <c r="D127" i="20"/>
  <c r="P126" i="20"/>
  <c r="C126" i="21" s="1"/>
  <c r="C126" i="22" s="1"/>
  <c r="N126" i="20"/>
  <c r="M126" i="20"/>
  <c r="L126" i="20"/>
  <c r="K126" i="20"/>
  <c r="J126" i="20"/>
  <c r="I126" i="20"/>
  <c r="H126" i="20"/>
  <c r="G126" i="20"/>
  <c r="F126" i="20"/>
  <c r="E126" i="20"/>
  <c r="D126" i="20"/>
  <c r="P125" i="20"/>
  <c r="C125" i="21" s="1"/>
  <c r="C125" i="22" s="1"/>
  <c r="D125" i="20"/>
  <c r="P124" i="20"/>
  <c r="C124" i="21" s="1"/>
  <c r="C124" i="22" s="1"/>
  <c r="D124" i="20"/>
  <c r="P123" i="20"/>
  <c r="C123" i="21" s="1"/>
  <c r="C123" i="22" s="1"/>
  <c r="D123" i="20"/>
  <c r="P122" i="20"/>
  <c r="C122" i="21" s="1"/>
  <c r="C122" i="22" s="1"/>
  <c r="N122" i="20"/>
  <c r="M122" i="20"/>
  <c r="L122" i="20"/>
  <c r="K122" i="20"/>
  <c r="J122" i="20"/>
  <c r="I122" i="20"/>
  <c r="H122" i="20"/>
  <c r="G122" i="20"/>
  <c r="F122" i="20"/>
  <c r="E122" i="20"/>
  <c r="D122" i="20"/>
  <c r="P121" i="20"/>
  <c r="C121" i="21" s="1"/>
  <c r="C121" i="22" s="1"/>
  <c r="N121" i="20"/>
  <c r="M121" i="20"/>
  <c r="L121" i="20"/>
  <c r="K121" i="20"/>
  <c r="J121" i="20"/>
  <c r="I121" i="20"/>
  <c r="H121" i="20"/>
  <c r="G121" i="20"/>
  <c r="F121" i="20"/>
  <c r="E121" i="20"/>
  <c r="D121" i="20"/>
  <c r="P120" i="20"/>
  <c r="C120" i="21" s="1"/>
  <c r="C120" i="22" s="1"/>
  <c r="N120" i="20"/>
  <c r="M120" i="20"/>
  <c r="L120" i="20"/>
  <c r="K120" i="20"/>
  <c r="J120" i="20"/>
  <c r="I120" i="20"/>
  <c r="H120" i="20"/>
  <c r="G120" i="20"/>
  <c r="F120" i="20"/>
  <c r="E120" i="20"/>
  <c r="D120" i="20"/>
  <c r="P119" i="20"/>
  <c r="C119" i="21" s="1"/>
  <c r="D119" i="20"/>
  <c r="P118" i="20"/>
  <c r="C118" i="21" s="1"/>
  <c r="D118" i="20"/>
  <c r="P117" i="20"/>
  <c r="C117" i="21" s="1"/>
  <c r="D117" i="20"/>
  <c r="P116" i="20"/>
  <c r="C116" i="21" s="1"/>
  <c r="D116" i="20"/>
  <c r="P115" i="20"/>
  <c r="C115" i="21" s="1"/>
  <c r="D115" i="20"/>
  <c r="P114" i="20"/>
  <c r="C114" i="21" s="1"/>
  <c r="C114" i="22" s="1"/>
  <c r="N114" i="20"/>
  <c r="M114" i="20"/>
  <c r="L114" i="20"/>
  <c r="K114" i="20"/>
  <c r="J114" i="20"/>
  <c r="I114" i="20"/>
  <c r="H114" i="20"/>
  <c r="G114" i="20"/>
  <c r="F114" i="20"/>
  <c r="E114" i="20"/>
  <c r="D114" i="20"/>
  <c r="P113" i="20"/>
  <c r="C113" i="21" s="1"/>
  <c r="C113" i="22" s="1"/>
  <c r="N113" i="20"/>
  <c r="M113" i="20"/>
  <c r="L113" i="20"/>
  <c r="K113" i="20"/>
  <c r="J113" i="20"/>
  <c r="I113" i="20"/>
  <c r="H113" i="20"/>
  <c r="G113" i="20"/>
  <c r="F113" i="20"/>
  <c r="E113" i="20"/>
  <c r="D113" i="20"/>
  <c r="P112" i="20"/>
  <c r="C112" i="21" s="1"/>
  <c r="C112" i="22" s="1"/>
  <c r="N112" i="20"/>
  <c r="M112" i="20"/>
  <c r="L112" i="20"/>
  <c r="K112" i="20"/>
  <c r="J112" i="20"/>
  <c r="I112" i="20"/>
  <c r="H112" i="20"/>
  <c r="G112" i="20"/>
  <c r="F112" i="20"/>
  <c r="E112" i="20"/>
  <c r="D112" i="20"/>
  <c r="P111" i="20"/>
  <c r="C111" i="21" s="1"/>
  <c r="C111" i="22" s="1"/>
  <c r="D111" i="20"/>
  <c r="P110" i="20"/>
  <c r="C110" i="21" s="1"/>
  <c r="C110" i="22" s="1"/>
  <c r="N110" i="20"/>
  <c r="M110" i="20"/>
  <c r="L110" i="20"/>
  <c r="K110" i="20"/>
  <c r="J110" i="20"/>
  <c r="I110" i="20"/>
  <c r="H110" i="20"/>
  <c r="G110" i="20"/>
  <c r="F110" i="20"/>
  <c r="E110" i="20"/>
  <c r="D110" i="20"/>
  <c r="P109" i="20"/>
  <c r="C109" i="21" s="1"/>
  <c r="C109" i="22" s="1"/>
  <c r="N109" i="20"/>
  <c r="M109" i="20"/>
  <c r="L109" i="20"/>
  <c r="K109" i="20"/>
  <c r="J109" i="20"/>
  <c r="I109" i="20"/>
  <c r="H109" i="20"/>
  <c r="G109" i="20"/>
  <c r="F109" i="20"/>
  <c r="E109" i="20"/>
  <c r="D109" i="20"/>
  <c r="P108" i="20"/>
  <c r="C108" i="21" s="1"/>
  <c r="C108" i="22" s="1"/>
  <c r="N108" i="20"/>
  <c r="M108" i="20"/>
  <c r="L108" i="20"/>
  <c r="K108" i="20"/>
  <c r="J108" i="20"/>
  <c r="I108" i="20"/>
  <c r="H108" i="20"/>
  <c r="G108" i="20"/>
  <c r="F108" i="20"/>
  <c r="E108" i="20"/>
  <c r="D108" i="20"/>
  <c r="P107" i="20"/>
  <c r="C107" i="21" s="1"/>
  <c r="C107" i="22" s="1"/>
  <c r="D107" i="20"/>
  <c r="P106" i="20"/>
  <c r="C106" i="21" s="1"/>
  <c r="D106" i="20"/>
  <c r="P105" i="20"/>
  <c r="C105" i="21" s="1"/>
  <c r="C105" i="22" s="1"/>
  <c r="N105" i="20"/>
  <c r="M105" i="20"/>
  <c r="L105" i="20"/>
  <c r="K105" i="20"/>
  <c r="J105" i="20"/>
  <c r="I105" i="20"/>
  <c r="H105" i="20"/>
  <c r="G105" i="20"/>
  <c r="F105" i="20"/>
  <c r="E105" i="20"/>
  <c r="D105" i="20"/>
  <c r="P104" i="20"/>
  <c r="C104" i="21" s="1"/>
  <c r="D104" i="20"/>
  <c r="P103" i="20"/>
  <c r="C103" i="21" s="1"/>
  <c r="D103" i="20"/>
  <c r="P102" i="20"/>
  <c r="C102" i="21" s="1"/>
  <c r="C102" i="22" s="1"/>
  <c r="N102" i="20"/>
  <c r="M102" i="20"/>
  <c r="L102" i="20"/>
  <c r="K102" i="20"/>
  <c r="J102" i="20"/>
  <c r="I102" i="20"/>
  <c r="H102" i="20"/>
  <c r="G102" i="20"/>
  <c r="F102" i="20"/>
  <c r="E102" i="20"/>
  <c r="D102" i="20"/>
  <c r="P101" i="20"/>
  <c r="C101" i="21" s="1"/>
  <c r="D101" i="20"/>
  <c r="P100" i="20"/>
  <c r="C100" i="21" s="1"/>
  <c r="C100" i="22" s="1"/>
  <c r="N100" i="20"/>
  <c r="M100" i="20"/>
  <c r="L100" i="20"/>
  <c r="K100" i="20"/>
  <c r="J100" i="20"/>
  <c r="I100" i="20"/>
  <c r="H100" i="20"/>
  <c r="G100" i="20"/>
  <c r="F100" i="20"/>
  <c r="E100" i="20"/>
  <c r="D100" i="20"/>
  <c r="P99" i="20"/>
  <c r="C99" i="21" s="1"/>
  <c r="C99" i="22" s="1"/>
  <c r="N99" i="20"/>
  <c r="M99" i="20"/>
  <c r="L99" i="20"/>
  <c r="K99" i="20"/>
  <c r="J99" i="20"/>
  <c r="I99" i="20"/>
  <c r="H99" i="20"/>
  <c r="G99" i="20"/>
  <c r="F99" i="20"/>
  <c r="E99" i="20"/>
  <c r="D99" i="20"/>
  <c r="P98" i="20"/>
  <c r="C98" i="21" s="1"/>
  <c r="C98" i="22" s="1"/>
  <c r="D98" i="20"/>
  <c r="P97" i="20"/>
  <c r="C97" i="21" s="1"/>
  <c r="C97" i="22" s="1"/>
  <c r="D97" i="20"/>
  <c r="P96" i="20"/>
  <c r="C96" i="21" s="1"/>
  <c r="C96" i="22" s="1"/>
  <c r="N96" i="20"/>
  <c r="M96" i="20"/>
  <c r="L96" i="20"/>
  <c r="K96" i="20"/>
  <c r="J96" i="20"/>
  <c r="I96" i="20"/>
  <c r="H96" i="20"/>
  <c r="G96" i="20"/>
  <c r="F96" i="20"/>
  <c r="E96" i="20"/>
  <c r="D96" i="20"/>
  <c r="P95" i="20"/>
  <c r="C95" i="21" s="1"/>
  <c r="D95" i="20"/>
  <c r="P94" i="20"/>
  <c r="C94" i="21" s="1"/>
  <c r="C94" i="22" s="1"/>
  <c r="D94" i="20"/>
  <c r="P93" i="20"/>
  <c r="C93" i="21" s="1"/>
  <c r="C93" i="22" s="1"/>
  <c r="D93" i="20"/>
  <c r="P92" i="20"/>
  <c r="C92" i="21" s="1"/>
  <c r="C92" i="22" s="1"/>
  <c r="D92" i="20"/>
  <c r="P91" i="20"/>
  <c r="C91" i="21" s="1"/>
  <c r="D91" i="20"/>
  <c r="P90" i="20"/>
  <c r="C90" i="21" s="1"/>
  <c r="C90" i="22" s="1"/>
  <c r="D90" i="20"/>
  <c r="P89" i="20"/>
  <c r="C89" i="21" s="1"/>
  <c r="D89" i="20"/>
  <c r="P88" i="20"/>
  <c r="C88" i="21" s="1"/>
  <c r="D88" i="20"/>
  <c r="P87" i="20"/>
  <c r="C87" i="21" s="1"/>
  <c r="C87" i="22" s="1"/>
  <c r="D87" i="20"/>
  <c r="P86" i="20"/>
  <c r="C86" i="21" s="1"/>
  <c r="C86" i="22" s="1"/>
  <c r="N86" i="20"/>
  <c r="M86" i="20"/>
  <c r="L86" i="20"/>
  <c r="K86" i="20"/>
  <c r="J86" i="20"/>
  <c r="I86" i="20"/>
  <c r="H86" i="20"/>
  <c r="G86" i="20"/>
  <c r="F86" i="20"/>
  <c r="E86" i="20"/>
  <c r="D86" i="20"/>
  <c r="P85" i="20"/>
  <c r="C85" i="21" s="1"/>
  <c r="C85" i="22" s="1"/>
  <c r="D85" i="20"/>
  <c r="P84" i="20"/>
  <c r="C84" i="21" s="1"/>
  <c r="C84" i="22" s="1"/>
  <c r="N84" i="20"/>
  <c r="M84" i="20"/>
  <c r="L84" i="20"/>
  <c r="K84" i="20"/>
  <c r="J84" i="20"/>
  <c r="I84" i="20"/>
  <c r="H84" i="20"/>
  <c r="G84" i="20"/>
  <c r="F84" i="20"/>
  <c r="E84" i="20"/>
  <c r="D84" i="20"/>
  <c r="P83" i="20"/>
  <c r="C83" i="21" s="1"/>
  <c r="C83" i="22" s="1"/>
  <c r="D83" i="20"/>
  <c r="P82" i="20"/>
  <c r="C82" i="21" s="1"/>
  <c r="D82" i="20"/>
  <c r="P81" i="20"/>
  <c r="C81" i="21" s="1"/>
  <c r="C81" i="22" s="1"/>
  <c r="N81" i="20"/>
  <c r="M81" i="20"/>
  <c r="L81" i="20"/>
  <c r="K81" i="20"/>
  <c r="J81" i="20"/>
  <c r="I81" i="20"/>
  <c r="H81" i="20"/>
  <c r="G81" i="20"/>
  <c r="F81" i="20"/>
  <c r="E81" i="20"/>
  <c r="D81" i="20"/>
  <c r="P80" i="20"/>
  <c r="C80" i="21" s="1"/>
  <c r="C80" i="22" s="1"/>
  <c r="N80" i="20"/>
  <c r="M80" i="20"/>
  <c r="L80" i="20"/>
  <c r="K80" i="20"/>
  <c r="J80" i="20"/>
  <c r="I80" i="20"/>
  <c r="H80" i="20"/>
  <c r="G80" i="20"/>
  <c r="F80" i="20"/>
  <c r="E80" i="20"/>
  <c r="D80" i="20"/>
  <c r="P79" i="20"/>
  <c r="C79" i="21" s="1"/>
  <c r="D79" i="20"/>
  <c r="P78" i="20"/>
  <c r="C78" i="21" s="1"/>
  <c r="D78" i="20"/>
  <c r="P77" i="20"/>
  <c r="C77" i="21" s="1"/>
  <c r="D77" i="20"/>
  <c r="P76" i="20"/>
  <c r="C76" i="21" s="1"/>
  <c r="C76" i="22" s="1"/>
  <c r="D76" i="20"/>
  <c r="P75" i="20"/>
  <c r="C75" i="21" s="1"/>
  <c r="D75" i="20"/>
  <c r="P74" i="20"/>
  <c r="C74" i="21" s="1"/>
  <c r="C74" i="22" s="1"/>
  <c r="D74" i="20"/>
  <c r="P73" i="20"/>
  <c r="C73" i="21" s="1"/>
  <c r="C73" i="22" s="1"/>
  <c r="N73" i="20"/>
  <c r="M73" i="20"/>
  <c r="L73" i="20"/>
  <c r="K73" i="20"/>
  <c r="J73" i="20"/>
  <c r="I73" i="20"/>
  <c r="H73" i="20"/>
  <c r="G73" i="20"/>
  <c r="F73" i="20"/>
  <c r="E73" i="20"/>
  <c r="D73" i="20"/>
  <c r="P72" i="20"/>
  <c r="D72" i="20"/>
  <c r="P71" i="20"/>
  <c r="C71" i="21" s="1"/>
  <c r="C71" i="22" s="1"/>
  <c r="D71" i="20"/>
  <c r="P70" i="20"/>
  <c r="C70" i="21" s="1"/>
  <c r="D70" i="20"/>
  <c r="P69" i="20"/>
  <c r="C69" i="21" s="1"/>
  <c r="C69" i="22" s="1"/>
  <c r="D69" i="20"/>
  <c r="P68" i="20"/>
  <c r="C68" i="21" s="1"/>
  <c r="D68" i="20"/>
  <c r="P67" i="20"/>
  <c r="C67" i="21" s="1"/>
  <c r="C67" i="22" s="1"/>
  <c r="N67" i="20"/>
  <c r="M67" i="20"/>
  <c r="L67" i="20"/>
  <c r="K67" i="20"/>
  <c r="J67" i="20"/>
  <c r="I67" i="20"/>
  <c r="H67" i="20"/>
  <c r="G67" i="20"/>
  <c r="F67" i="20"/>
  <c r="E67" i="20"/>
  <c r="D67" i="20"/>
  <c r="P66" i="20"/>
  <c r="C66" i="21" s="1"/>
  <c r="C66" i="22" s="1"/>
  <c r="D66" i="20"/>
  <c r="P65" i="20"/>
  <c r="C65" i="21" s="1"/>
  <c r="C65" i="22" s="1"/>
  <c r="D65" i="20"/>
  <c r="P64" i="20"/>
  <c r="C64" i="21" s="1"/>
  <c r="C64" i="22" s="1"/>
  <c r="D64" i="20"/>
  <c r="P63" i="20"/>
  <c r="C63" i="21" s="1"/>
  <c r="C63" i="22" s="1"/>
  <c r="N63" i="20"/>
  <c r="M63" i="20"/>
  <c r="L63" i="20"/>
  <c r="K63" i="20"/>
  <c r="J63" i="20"/>
  <c r="I63" i="20"/>
  <c r="H63" i="20"/>
  <c r="G63" i="20"/>
  <c r="F63" i="20"/>
  <c r="E63" i="20"/>
  <c r="D63" i="20"/>
  <c r="P62" i="20"/>
  <c r="C62" i="21" s="1"/>
  <c r="C62" i="22" s="1"/>
  <c r="N62" i="20"/>
  <c r="M62" i="20"/>
  <c r="L62" i="20"/>
  <c r="K62" i="20"/>
  <c r="J62" i="20"/>
  <c r="I62" i="20"/>
  <c r="H62" i="20"/>
  <c r="G62" i="20"/>
  <c r="F62" i="20"/>
  <c r="E62" i="20"/>
  <c r="D62" i="20"/>
  <c r="P61" i="20"/>
  <c r="C61" i="21" s="1"/>
  <c r="D61" i="20"/>
  <c r="P60" i="20"/>
  <c r="C60" i="21" s="1"/>
  <c r="D60" i="20"/>
  <c r="P59" i="20"/>
  <c r="C59" i="21" s="1"/>
  <c r="D59" i="20"/>
  <c r="P58" i="20"/>
  <c r="C58" i="21" s="1"/>
  <c r="D58" i="20"/>
  <c r="P57" i="20"/>
  <c r="C57" i="21" s="1"/>
  <c r="C57" i="22" s="1"/>
  <c r="N57" i="20"/>
  <c r="M57" i="20"/>
  <c r="L57" i="20"/>
  <c r="K57" i="20"/>
  <c r="J57" i="20"/>
  <c r="I57" i="20"/>
  <c r="H57" i="20"/>
  <c r="G57" i="20"/>
  <c r="F57" i="20"/>
  <c r="E57" i="20"/>
  <c r="D57" i="20"/>
  <c r="P56" i="20"/>
  <c r="C56" i="21" s="1"/>
  <c r="C56" i="22" s="1"/>
  <c r="D56" i="20"/>
  <c r="P55" i="20"/>
  <c r="C55" i="21" s="1"/>
  <c r="D55" i="20"/>
  <c r="P54" i="20"/>
  <c r="C54" i="21" s="1"/>
  <c r="D54" i="20"/>
  <c r="P53" i="20"/>
  <c r="D53" i="20"/>
  <c r="P52" i="20"/>
  <c r="C52" i="21" s="1"/>
  <c r="D52" i="20"/>
  <c r="P51" i="20"/>
  <c r="C51" i="21" s="1"/>
  <c r="C51" i="22" s="1"/>
  <c r="D51" i="20"/>
  <c r="P50" i="20"/>
  <c r="C50" i="21" s="1"/>
  <c r="C50" i="22" s="1"/>
  <c r="D50" i="20"/>
  <c r="P49" i="20"/>
  <c r="C49" i="21" s="1"/>
  <c r="C49" i="22" s="1"/>
  <c r="N49" i="20"/>
  <c r="M49" i="20"/>
  <c r="L49" i="20"/>
  <c r="K49" i="20"/>
  <c r="J49" i="20"/>
  <c r="I49" i="20"/>
  <c r="H49" i="20"/>
  <c r="G49" i="20"/>
  <c r="F49" i="20"/>
  <c r="E49" i="20"/>
  <c r="D49" i="20"/>
  <c r="P48" i="20"/>
  <c r="C48" i="21" s="1"/>
  <c r="C48" i="22" s="1"/>
  <c r="N48" i="20"/>
  <c r="M48" i="20"/>
  <c r="L48" i="20"/>
  <c r="K48" i="20"/>
  <c r="J48" i="20"/>
  <c r="I48" i="20"/>
  <c r="H48" i="20"/>
  <c r="G48" i="20"/>
  <c r="F48" i="20"/>
  <c r="E48" i="20"/>
  <c r="D48" i="20"/>
  <c r="P47" i="20"/>
  <c r="C47" i="21" s="1"/>
  <c r="C47" i="22" s="1"/>
  <c r="N47" i="20"/>
  <c r="M47" i="20"/>
  <c r="L47" i="20"/>
  <c r="K47" i="20"/>
  <c r="J47" i="20"/>
  <c r="I47" i="20"/>
  <c r="H47" i="20"/>
  <c r="G47" i="20"/>
  <c r="F47" i="20"/>
  <c r="E47" i="20"/>
  <c r="D47" i="20"/>
  <c r="P46" i="20"/>
  <c r="C46" i="21" s="1"/>
  <c r="C46" i="22" s="1"/>
  <c r="N46" i="20"/>
  <c r="M46" i="20"/>
  <c r="L46" i="20"/>
  <c r="K46" i="20"/>
  <c r="J46" i="20"/>
  <c r="I46" i="20"/>
  <c r="H46" i="20"/>
  <c r="G46" i="20"/>
  <c r="F46" i="20"/>
  <c r="E46" i="20"/>
  <c r="D46" i="20"/>
  <c r="P45" i="20"/>
  <c r="C45" i="21" s="1"/>
  <c r="C45" i="22" s="1"/>
  <c r="N45" i="20"/>
  <c r="M45" i="20"/>
  <c r="L45" i="20"/>
  <c r="K45" i="20"/>
  <c r="J45" i="20"/>
  <c r="I45" i="20"/>
  <c r="H45" i="20"/>
  <c r="G45" i="20"/>
  <c r="F45" i="20"/>
  <c r="E45" i="20"/>
  <c r="D45" i="20"/>
  <c r="P44" i="20"/>
  <c r="C44" i="21" s="1"/>
  <c r="C44" i="22" s="1"/>
  <c r="N44" i="20"/>
  <c r="M44" i="20"/>
  <c r="L44" i="20"/>
  <c r="K44" i="20"/>
  <c r="J44" i="20"/>
  <c r="I44" i="20"/>
  <c r="H44" i="20"/>
  <c r="G44" i="20"/>
  <c r="F44" i="20"/>
  <c r="E44" i="20"/>
  <c r="D44" i="20"/>
  <c r="P43" i="20"/>
  <c r="C43" i="21" s="1"/>
  <c r="D43" i="20"/>
  <c r="P42" i="20"/>
  <c r="C42" i="21" s="1"/>
  <c r="D42" i="20"/>
  <c r="P41" i="20"/>
  <c r="C41" i="21" s="1"/>
  <c r="C41" i="22" s="1"/>
  <c r="N41" i="20"/>
  <c r="M41" i="20"/>
  <c r="L41" i="20"/>
  <c r="K41" i="20"/>
  <c r="J41" i="20"/>
  <c r="I41" i="20"/>
  <c r="H41" i="20"/>
  <c r="G41" i="20"/>
  <c r="F41" i="20"/>
  <c r="E41" i="20"/>
  <c r="D41" i="20"/>
  <c r="P40" i="20"/>
  <c r="C40" i="21" s="1"/>
  <c r="C40" i="22" s="1"/>
  <c r="D40" i="20"/>
  <c r="P39" i="20"/>
  <c r="C39" i="21" s="1"/>
  <c r="D39" i="20"/>
  <c r="P38" i="20"/>
  <c r="C38" i="21" s="1"/>
  <c r="D38" i="20"/>
  <c r="P37" i="20"/>
  <c r="C37" i="21" s="1"/>
  <c r="C37" i="22" s="1"/>
  <c r="D37" i="20"/>
  <c r="P36" i="20"/>
  <c r="C36" i="21" s="1"/>
  <c r="D36" i="20"/>
  <c r="P35" i="20"/>
  <c r="C35" i="21" s="1"/>
  <c r="C35" i="22" s="1"/>
  <c r="N35" i="20"/>
  <c r="M35" i="20"/>
  <c r="L35" i="20"/>
  <c r="K35" i="20"/>
  <c r="J35" i="20"/>
  <c r="I35" i="20"/>
  <c r="H35" i="20"/>
  <c r="G35" i="20"/>
  <c r="F35" i="20"/>
  <c r="E35" i="20"/>
  <c r="D35" i="20"/>
  <c r="P34" i="20"/>
  <c r="C34" i="21" s="1"/>
  <c r="C34" i="22" s="1"/>
  <c r="D34" i="20"/>
  <c r="P33" i="20"/>
  <c r="C33" i="21" s="1"/>
  <c r="C33" i="22" s="1"/>
  <c r="N33" i="20"/>
  <c r="M33" i="20"/>
  <c r="L33" i="20"/>
  <c r="K33" i="20"/>
  <c r="J33" i="20"/>
  <c r="I33" i="20"/>
  <c r="H33" i="20"/>
  <c r="G33" i="20"/>
  <c r="F33" i="20"/>
  <c r="E33" i="20"/>
  <c r="D33" i="20"/>
  <c r="P32" i="20"/>
  <c r="C32" i="21" s="1"/>
  <c r="C32" i="22" s="1"/>
  <c r="N32" i="20"/>
  <c r="M32" i="20"/>
  <c r="L32" i="20"/>
  <c r="K32" i="20"/>
  <c r="J32" i="20"/>
  <c r="I32" i="20"/>
  <c r="H32" i="20"/>
  <c r="G32" i="20"/>
  <c r="F32" i="20"/>
  <c r="E32" i="20"/>
  <c r="D32" i="20"/>
  <c r="P31" i="20"/>
  <c r="C31" i="21" s="1"/>
  <c r="C31" i="22" s="1"/>
  <c r="D31" i="20"/>
  <c r="P30" i="20"/>
  <c r="C30" i="21" s="1"/>
  <c r="C30" i="22" s="1"/>
  <c r="D30" i="20"/>
  <c r="P29" i="20"/>
  <c r="C29" i="21" s="1"/>
  <c r="D29" i="20"/>
  <c r="P28" i="20"/>
  <c r="C28" i="21" s="1"/>
  <c r="D28" i="20"/>
  <c r="P27" i="20"/>
  <c r="C27" i="21" s="1"/>
  <c r="D27" i="20"/>
  <c r="P26" i="20"/>
  <c r="C26" i="21" s="1"/>
  <c r="D26" i="20"/>
  <c r="P25" i="20"/>
  <c r="C25" i="21" s="1"/>
  <c r="C25" i="22" s="1"/>
  <c r="D25" i="20"/>
  <c r="P24" i="20"/>
  <c r="C24" i="21" s="1"/>
  <c r="D24" i="20"/>
  <c r="P23" i="20"/>
  <c r="C23" i="21" s="1"/>
  <c r="D23" i="20"/>
  <c r="P22" i="20"/>
  <c r="C22" i="21" s="1"/>
  <c r="D22" i="20"/>
  <c r="P21" i="20"/>
  <c r="C21" i="21" s="1"/>
  <c r="D21" i="20"/>
  <c r="P20" i="20"/>
  <c r="C20" i="21" s="1"/>
  <c r="C20" i="22" s="1"/>
  <c r="D20" i="20"/>
  <c r="P19" i="20"/>
  <c r="C19" i="21" s="1"/>
  <c r="C19" i="22" s="1"/>
  <c r="D19" i="20"/>
  <c r="P18" i="20"/>
  <c r="C18" i="21" s="1"/>
  <c r="C18" i="22" s="1"/>
  <c r="N18" i="20"/>
  <c r="M18" i="20"/>
  <c r="L18" i="20"/>
  <c r="K18" i="20"/>
  <c r="J18" i="20"/>
  <c r="I18" i="20"/>
  <c r="H18" i="20"/>
  <c r="G18" i="20"/>
  <c r="F18" i="20"/>
  <c r="E18" i="20"/>
  <c r="D18" i="20"/>
  <c r="P17" i="20"/>
  <c r="C17" i="21" s="1"/>
  <c r="D17" i="20"/>
  <c r="P16" i="20"/>
  <c r="C16" i="21" s="1"/>
  <c r="C16" i="22" s="1"/>
  <c r="N16" i="20"/>
  <c r="M16" i="20"/>
  <c r="L16" i="20"/>
  <c r="K16" i="20"/>
  <c r="J16" i="20"/>
  <c r="I16" i="20"/>
  <c r="H16" i="20"/>
  <c r="G16" i="20"/>
  <c r="F16" i="20"/>
  <c r="E16" i="20"/>
  <c r="D16" i="20"/>
  <c r="P15" i="20"/>
  <c r="C15" i="21" s="1"/>
  <c r="D15" i="20"/>
  <c r="P14" i="20"/>
  <c r="C14" i="21" s="1"/>
  <c r="D14" i="20"/>
  <c r="P13" i="20"/>
  <c r="D13" i="20"/>
  <c r="P12" i="20"/>
  <c r="C12" i="21" s="1"/>
  <c r="D12" i="20"/>
  <c r="P11" i="20"/>
  <c r="C11" i="21" s="1"/>
  <c r="C11" i="22" s="1"/>
  <c r="N11" i="20"/>
  <c r="M11" i="20"/>
  <c r="L11" i="20"/>
  <c r="K11" i="20"/>
  <c r="J11" i="20"/>
  <c r="I11" i="20"/>
  <c r="H11" i="20"/>
  <c r="G11" i="20"/>
  <c r="F11" i="20"/>
  <c r="E11" i="20"/>
  <c r="D11" i="20"/>
  <c r="P10" i="20"/>
  <c r="C10" i="21" s="1"/>
  <c r="C10" i="22" s="1"/>
  <c r="N10" i="20"/>
  <c r="M10" i="20"/>
  <c r="L10" i="20"/>
  <c r="K10" i="20"/>
  <c r="J10" i="20"/>
  <c r="I10" i="20"/>
  <c r="H10" i="20"/>
  <c r="G10" i="20"/>
  <c r="F10" i="20"/>
  <c r="E10" i="20"/>
  <c r="D10" i="20"/>
  <c r="P9" i="20"/>
  <c r="D9" i="20"/>
  <c r="P8" i="20"/>
  <c r="C8" i="21" s="1"/>
  <c r="C8" i="22" s="1"/>
  <c r="N8" i="20"/>
  <c r="M8" i="20"/>
  <c r="L8" i="20"/>
  <c r="K8" i="20"/>
  <c r="J8" i="20"/>
  <c r="I8" i="20"/>
  <c r="H8" i="20"/>
  <c r="G8" i="20"/>
  <c r="F8" i="20"/>
  <c r="E8" i="20"/>
  <c r="D8" i="20"/>
  <c r="P7" i="20"/>
  <c r="C7" i="21" s="1"/>
  <c r="D7" i="20"/>
  <c r="P6" i="20"/>
  <c r="C6" i="21" s="1"/>
  <c r="C6" i="22" s="1"/>
  <c r="N6" i="20"/>
  <c r="M6" i="20"/>
  <c r="L6" i="20"/>
  <c r="K6" i="20"/>
  <c r="J6" i="20"/>
  <c r="I6" i="20"/>
  <c r="H6" i="20"/>
  <c r="G6" i="20"/>
  <c r="F6" i="20"/>
  <c r="E6" i="20"/>
  <c r="D6" i="20"/>
  <c r="P5" i="20"/>
  <c r="C5" i="21" s="1"/>
  <c r="C5" i="22" s="1"/>
  <c r="N5" i="20"/>
  <c r="M5" i="20"/>
  <c r="L5" i="20"/>
  <c r="K5" i="20"/>
  <c r="J5" i="20"/>
  <c r="I5" i="20"/>
  <c r="H5" i="20"/>
  <c r="G5" i="20"/>
  <c r="F5" i="20"/>
  <c r="E5" i="20"/>
  <c r="D5" i="20"/>
  <c r="P4" i="20"/>
  <c r="C4" i="21" s="1"/>
  <c r="C4" i="22" s="1"/>
  <c r="N4" i="20"/>
  <c r="M4" i="20"/>
  <c r="L4" i="20"/>
  <c r="K4" i="20"/>
  <c r="J4" i="20"/>
  <c r="I4" i="20"/>
  <c r="H4" i="20"/>
  <c r="G4" i="20"/>
  <c r="F4" i="20"/>
  <c r="E4" i="20"/>
  <c r="D4" i="20"/>
  <c r="E43" i="19"/>
  <c r="C43" i="19"/>
  <c r="B43" i="19"/>
  <c r="E42" i="19"/>
  <c r="D42" i="19"/>
  <c r="D43" i="19" s="1"/>
  <c r="C42" i="19"/>
  <c r="B42" i="19"/>
  <c r="B34" i="19"/>
  <c r="E33" i="19"/>
  <c r="E34" i="19" s="1"/>
  <c r="D33" i="19"/>
  <c r="D34" i="19" s="1"/>
  <c r="C33" i="19"/>
  <c r="C34" i="19" s="1"/>
  <c r="B33" i="19"/>
  <c r="P17" i="19"/>
  <c r="N17" i="19"/>
  <c r="AN233" i="21" s="1"/>
  <c r="M17" i="19"/>
  <c r="AK233" i="21" s="1"/>
  <c r="L17" i="19"/>
  <c r="AH233" i="21" s="1"/>
  <c r="N16" i="19"/>
  <c r="AN232" i="21" s="1"/>
  <c r="M16" i="19"/>
  <c r="AK232" i="21" s="1"/>
  <c r="L16" i="19"/>
  <c r="M15" i="19"/>
  <c r="AK231" i="21" s="1"/>
  <c r="L15" i="19"/>
  <c r="AH231" i="21" s="1"/>
  <c r="P11" i="19"/>
  <c r="N11" i="19"/>
  <c r="AM233" i="21" s="1"/>
  <c r="M11" i="19"/>
  <c r="AJ233" i="21" s="1"/>
  <c r="N233" i="20" s="1"/>
  <c r="L11" i="19"/>
  <c r="AG233" i="21" s="1"/>
  <c r="P10" i="19"/>
  <c r="N10" i="19"/>
  <c r="AM232" i="21" s="1"/>
  <c r="M10" i="19"/>
  <c r="AJ232" i="21" s="1"/>
  <c r="N232" i="20" s="1"/>
  <c r="L10" i="19"/>
  <c r="AG232" i="21" s="1"/>
  <c r="N9" i="19"/>
  <c r="AM231" i="21" s="1"/>
  <c r="M9" i="19"/>
  <c r="AJ231" i="21" s="1"/>
  <c r="N231" i="20" s="1"/>
  <c r="L9" i="19"/>
  <c r="N5" i="19"/>
  <c r="AL233" i="21" s="1"/>
  <c r="M5" i="19"/>
  <c r="AI233" i="21" s="1"/>
  <c r="L5" i="19"/>
  <c r="AF233" i="21" s="1"/>
  <c r="P4" i="19"/>
  <c r="N4" i="19"/>
  <c r="AL232" i="21" s="1"/>
  <c r="M4" i="19"/>
  <c r="AI232" i="21" s="1"/>
  <c r="L4" i="19"/>
  <c r="AF232" i="21" s="1"/>
  <c r="P3" i="19"/>
  <c r="N3" i="19"/>
  <c r="AL231" i="21" s="1"/>
  <c r="M3" i="19"/>
  <c r="AI231" i="21" s="1"/>
  <c r="L3" i="19"/>
  <c r="AF231" i="21" s="1"/>
  <c r="C22" i="18"/>
  <c r="C21" i="18"/>
  <c r="C20" i="18"/>
  <c r="C19" i="18"/>
  <c r="C18" i="18"/>
  <c r="C17" i="18"/>
  <c r="C16" i="18"/>
  <c r="C15" i="18"/>
  <c r="B48" i="17" s="1"/>
  <c r="B49" i="17" s="1"/>
  <c r="C14" i="18"/>
  <c r="C13" i="18"/>
  <c r="A13" i="18"/>
  <c r="A14" i="18" s="1"/>
  <c r="A15" i="18" s="1"/>
  <c r="A16" i="18" s="1"/>
  <c r="A17" i="18" s="1"/>
  <c r="A18" i="18" s="1"/>
  <c r="A19" i="18" s="1"/>
  <c r="C12" i="18"/>
  <c r="A12" i="18"/>
  <c r="A24" i="17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18" i="17"/>
  <c r="A19" i="17" s="1"/>
  <c r="A20" i="17" s="1"/>
  <c r="A21" i="17" s="1"/>
  <c r="A22" i="17" s="1"/>
  <c r="A23" i="17" s="1"/>
  <c r="A12" i="17"/>
  <c r="A13" i="17" s="1"/>
  <c r="A14" i="17" s="1"/>
  <c r="A15" i="17" s="1"/>
  <c r="A16" i="17" s="1"/>
  <c r="A17" i="17" s="1"/>
  <c r="T550" i="16"/>
  <c r="S550" i="16"/>
  <c r="T549" i="16"/>
  <c r="S549" i="16"/>
  <c r="T548" i="16"/>
  <c r="S548" i="16"/>
  <c r="T547" i="16"/>
  <c r="S547" i="16"/>
  <c r="T546" i="16"/>
  <c r="S546" i="16"/>
  <c r="T545" i="16"/>
  <c r="S545" i="16"/>
  <c r="T544" i="16"/>
  <c r="S544" i="16"/>
  <c r="T543" i="16"/>
  <c r="S543" i="16"/>
  <c r="T542" i="16"/>
  <c r="S542" i="16"/>
  <c r="T541" i="16"/>
  <c r="S541" i="16"/>
  <c r="T540" i="16"/>
  <c r="S540" i="16"/>
  <c r="T539" i="16"/>
  <c r="S539" i="16"/>
  <c r="T538" i="16"/>
  <c r="S538" i="16"/>
  <c r="T537" i="16"/>
  <c r="S537" i="16"/>
  <c r="T536" i="16"/>
  <c r="S536" i="16"/>
  <c r="T535" i="16"/>
  <c r="S535" i="16"/>
  <c r="T534" i="16"/>
  <c r="S534" i="16"/>
  <c r="T533" i="16"/>
  <c r="S533" i="16"/>
  <c r="T532" i="16"/>
  <c r="S532" i="16"/>
  <c r="T531" i="16"/>
  <c r="S531" i="16"/>
  <c r="T530" i="16"/>
  <c r="S530" i="16"/>
  <c r="T529" i="16"/>
  <c r="S529" i="16"/>
  <c r="T528" i="16"/>
  <c r="S528" i="16"/>
  <c r="T527" i="16"/>
  <c r="S527" i="16"/>
  <c r="T526" i="16"/>
  <c r="S526" i="16"/>
  <c r="T525" i="16"/>
  <c r="S525" i="16"/>
  <c r="T524" i="16"/>
  <c r="S524" i="16"/>
  <c r="T523" i="16"/>
  <c r="S523" i="16"/>
  <c r="T522" i="16"/>
  <c r="S522" i="16"/>
  <c r="T521" i="16"/>
  <c r="S521" i="16"/>
  <c r="T520" i="16"/>
  <c r="S520" i="16"/>
  <c r="T519" i="16"/>
  <c r="S519" i="16"/>
  <c r="T518" i="16"/>
  <c r="S518" i="16"/>
  <c r="T517" i="16"/>
  <c r="S517" i="16"/>
  <c r="T516" i="16"/>
  <c r="S516" i="16"/>
  <c r="T515" i="16"/>
  <c r="S515" i="16"/>
  <c r="T514" i="16"/>
  <c r="S514" i="16"/>
  <c r="T513" i="16"/>
  <c r="S513" i="16"/>
  <c r="T512" i="16"/>
  <c r="S512" i="16"/>
  <c r="T511" i="16"/>
  <c r="S511" i="16"/>
  <c r="T510" i="16"/>
  <c r="S510" i="16"/>
  <c r="T509" i="16"/>
  <c r="S509" i="16"/>
  <c r="T508" i="16"/>
  <c r="S508" i="16"/>
  <c r="T507" i="16"/>
  <c r="S507" i="16"/>
  <c r="T506" i="16"/>
  <c r="S506" i="16"/>
  <c r="T505" i="16"/>
  <c r="S505" i="16"/>
  <c r="T504" i="16"/>
  <c r="S504" i="16"/>
  <c r="T503" i="16"/>
  <c r="S503" i="16"/>
  <c r="T502" i="16"/>
  <c r="S502" i="16"/>
  <c r="T501" i="16"/>
  <c r="S501" i="16"/>
  <c r="T500" i="16"/>
  <c r="S500" i="16"/>
  <c r="T499" i="16"/>
  <c r="S499" i="16"/>
  <c r="T498" i="16"/>
  <c r="S498" i="16"/>
  <c r="T497" i="16"/>
  <c r="S497" i="16"/>
  <c r="T496" i="16"/>
  <c r="S496" i="16"/>
  <c r="T495" i="16"/>
  <c r="S495" i="16"/>
  <c r="T494" i="16"/>
  <c r="S494" i="16"/>
  <c r="T493" i="16"/>
  <c r="S493" i="16"/>
  <c r="T492" i="16"/>
  <c r="S492" i="16"/>
  <c r="T491" i="16"/>
  <c r="S491" i="16"/>
  <c r="T490" i="16"/>
  <c r="S490" i="16"/>
  <c r="T489" i="16"/>
  <c r="S489" i="16"/>
  <c r="T488" i="16"/>
  <c r="S488" i="16"/>
  <c r="T487" i="16"/>
  <c r="S487" i="16"/>
  <c r="T486" i="16"/>
  <c r="S486" i="16"/>
  <c r="T485" i="16"/>
  <c r="S485" i="16"/>
  <c r="T484" i="16"/>
  <c r="S484" i="16"/>
  <c r="T483" i="16"/>
  <c r="S483" i="16"/>
  <c r="T482" i="16"/>
  <c r="S482" i="16"/>
  <c r="T481" i="16"/>
  <c r="S481" i="16"/>
  <c r="T480" i="16"/>
  <c r="S480" i="16"/>
  <c r="T479" i="16"/>
  <c r="S479" i="16"/>
  <c r="T478" i="16"/>
  <c r="S478" i="16"/>
  <c r="T477" i="16"/>
  <c r="S477" i="16"/>
  <c r="T476" i="16"/>
  <c r="S476" i="16"/>
  <c r="T475" i="16"/>
  <c r="S475" i="16"/>
  <c r="T474" i="16"/>
  <c r="S474" i="16"/>
  <c r="T473" i="16"/>
  <c r="S473" i="16"/>
  <c r="T472" i="16"/>
  <c r="S472" i="16"/>
  <c r="T471" i="16"/>
  <c r="S471" i="16"/>
  <c r="T470" i="16"/>
  <c r="S470" i="16"/>
  <c r="T469" i="16"/>
  <c r="S469" i="16"/>
  <c r="T468" i="16"/>
  <c r="S468" i="16"/>
  <c r="T467" i="16"/>
  <c r="S467" i="16"/>
  <c r="T466" i="16"/>
  <c r="S466" i="16"/>
  <c r="T465" i="16"/>
  <c r="S465" i="16"/>
  <c r="T464" i="16"/>
  <c r="S464" i="16"/>
  <c r="T463" i="16"/>
  <c r="S463" i="16"/>
  <c r="T462" i="16"/>
  <c r="S462" i="16"/>
  <c r="T461" i="16"/>
  <c r="S461" i="16"/>
  <c r="T460" i="16"/>
  <c r="S460" i="16"/>
  <c r="T459" i="16"/>
  <c r="S459" i="16"/>
  <c r="T458" i="16"/>
  <c r="S458" i="16"/>
  <c r="T457" i="16"/>
  <c r="S457" i="16"/>
  <c r="T456" i="16"/>
  <c r="S456" i="16"/>
  <c r="T455" i="16"/>
  <c r="S455" i="16"/>
  <c r="T454" i="16"/>
  <c r="S454" i="16"/>
  <c r="T453" i="16"/>
  <c r="S453" i="16"/>
  <c r="T452" i="16"/>
  <c r="S452" i="16"/>
  <c r="T451" i="16"/>
  <c r="S451" i="16"/>
  <c r="T450" i="16"/>
  <c r="S450" i="16"/>
  <c r="T449" i="16"/>
  <c r="S449" i="16"/>
  <c r="T448" i="16"/>
  <c r="S448" i="16"/>
  <c r="T447" i="16"/>
  <c r="S447" i="16"/>
  <c r="T446" i="16"/>
  <c r="S446" i="16"/>
  <c r="T445" i="16"/>
  <c r="S445" i="16"/>
  <c r="T444" i="16"/>
  <c r="S444" i="16"/>
  <c r="T443" i="16"/>
  <c r="S443" i="16"/>
  <c r="T442" i="16"/>
  <c r="S442" i="16"/>
  <c r="T441" i="16"/>
  <c r="S441" i="16"/>
  <c r="T440" i="16"/>
  <c r="S440" i="16"/>
  <c r="T439" i="16"/>
  <c r="S439" i="16"/>
  <c r="T438" i="16"/>
  <c r="S438" i="16"/>
  <c r="T437" i="16"/>
  <c r="S437" i="16"/>
  <c r="T436" i="16"/>
  <c r="S436" i="16"/>
  <c r="T435" i="16"/>
  <c r="S435" i="16"/>
  <c r="T434" i="16"/>
  <c r="S434" i="16"/>
  <c r="T433" i="16"/>
  <c r="S433" i="16"/>
  <c r="T432" i="16"/>
  <c r="S432" i="16"/>
  <c r="T431" i="16"/>
  <c r="S431" i="16"/>
  <c r="N77" i="16"/>
  <c r="N76" i="16"/>
  <c r="N75" i="16"/>
  <c r="N74" i="16"/>
  <c r="N73" i="16"/>
  <c r="N72" i="16"/>
  <c r="N71" i="16"/>
  <c r="N70" i="16"/>
  <c r="P56" i="16"/>
  <c r="S55" i="16"/>
  <c r="P55" i="16"/>
  <c r="T55" i="16" s="1"/>
  <c r="T54" i="16"/>
  <c r="P54" i="16"/>
  <c r="S54" i="16" s="1"/>
  <c r="P52" i="16"/>
  <c r="S52" i="16" s="1"/>
  <c r="T50" i="16"/>
  <c r="P50" i="16"/>
  <c r="S50" i="16" s="1"/>
  <c r="P48" i="16"/>
  <c r="S48" i="16" s="1"/>
  <c r="S47" i="16"/>
  <c r="P47" i="16"/>
  <c r="T47" i="16" s="1"/>
  <c r="T46" i="16"/>
  <c r="P46" i="16"/>
  <c r="P44" i="16"/>
  <c r="T44" i="16" s="1"/>
  <c r="S43" i="16"/>
  <c r="T42" i="16"/>
  <c r="P42" i="16"/>
  <c r="S42" i="16" s="1"/>
  <c r="T40" i="16"/>
  <c r="S40" i="16"/>
  <c r="P40" i="16"/>
  <c r="P36" i="16"/>
  <c r="T35" i="16"/>
  <c r="S35" i="16"/>
  <c r="P35" i="16"/>
  <c r="T34" i="16"/>
  <c r="P34" i="16"/>
  <c r="P43" i="16" s="1"/>
  <c r="T43" i="16" s="1"/>
  <c r="T33" i="16"/>
  <c r="S33" i="16"/>
  <c r="P33" i="16"/>
  <c r="T32" i="16"/>
  <c r="S32" i="16"/>
  <c r="P32" i="16"/>
  <c r="T31" i="16"/>
  <c r="P31" i="16"/>
  <c r="S31" i="16" s="1"/>
  <c r="T30" i="16"/>
  <c r="P30" i="16"/>
  <c r="S30" i="16" s="1"/>
  <c r="T29" i="16"/>
  <c r="S29" i="16"/>
  <c r="P29" i="16"/>
  <c r="S28" i="16"/>
  <c r="P28" i="16"/>
  <c r="T28" i="16" s="1"/>
  <c r="P27" i="16"/>
  <c r="P26" i="16"/>
  <c r="T25" i="16"/>
  <c r="S25" i="16"/>
  <c r="P25" i="16"/>
  <c r="P24" i="16"/>
  <c r="T24" i="16" s="1"/>
  <c r="P23" i="16"/>
  <c r="S23" i="16" s="1"/>
  <c r="T22" i="16"/>
  <c r="S22" i="16"/>
  <c r="T21" i="16"/>
  <c r="S21" i="16"/>
  <c r="T20" i="16"/>
  <c r="S20" i="16"/>
  <c r="T19" i="16"/>
  <c r="S19" i="16"/>
  <c r="T18" i="16"/>
  <c r="S18" i="16"/>
  <c r="T17" i="16"/>
  <c r="S17" i="16"/>
  <c r="T16" i="16"/>
  <c r="S16" i="16"/>
  <c r="T15" i="16"/>
  <c r="S15" i="16"/>
  <c r="T14" i="16"/>
  <c r="S14" i="16"/>
  <c r="T13" i="16"/>
  <c r="S13" i="16"/>
  <c r="T12" i="16"/>
  <c r="S12" i="16"/>
  <c r="T11" i="16"/>
  <c r="S11" i="16"/>
  <c r="U544" i="15"/>
  <c r="T544" i="15"/>
  <c r="U543" i="15"/>
  <c r="T543" i="15"/>
  <c r="U542" i="15"/>
  <c r="T542" i="15"/>
  <c r="U541" i="15"/>
  <c r="T541" i="15"/>
  <c r="U540" i="15"/>
  <c r="T540" i="15"/>
  <c r="U539" i="15"/>
  <c r="T539" i="15"/>
  <c r="U538" i="15"/>
  <c r="T538" i="15"/>
  <c r="U537" i="15"/>
  <c r="T537" i="15"/>
  <c r="U536" i="15"/>
  <c r="T536" i="15"/>
  <c r="U535" i="15"/>
  <c r="T535" i="15"/>
  <c r="U534" i="15"/>
  <c r="T534" i="15"/>
  <c r="U533" i="15"/>
  <c r="T533" i="15"/>
  <c r="U532" i="15"/>
  <c r="T532" i="15"/>
  <c r="U531" i="15"/>
  <c r="T531" i="15"/>
  <c r="U530" i="15"/>
  <c r="T530" i="15"/>
  <c r="U529" i="15"/>
  <c r="T529" i="15"/>
  <c r="U528" i="15"/>
  <c r="T528" i="15"/>
  <c r="U527" i="15"/>
  <c r="T527" i="15"/>
  <c r="U526" i="15"/>
  <c r="T526" i="15"/>
  <c r="U525" i="15"/>
  <c r="T525" i="15"/>
  <c r="U524" i="15"/>
  <c r="T524" i="15"/>
  <c r="U523" i="15"/>
  <c r="T523" i="15"/>
  <c r="U522" i="15"/>
  <c r="T522" i="15"/>
  <c r="U521" i="15"/>
  <c r="T521" i="15"/>
  <c r="U520" i="15"/>
  <c r="T520" i="15"/>
  <c r="U519" i="15"/>
  <c r="T519" i="15"/>
  <c r="U518" i="15"/>
  <c r="T518" i="15"/>
  <c r="U517" i="15"/>
  <c r="T517" i="15"/>
  <c r="U516" i="15"/>
  <c r="T516" i="15"/>
  <c r="U515" i="15"/>
  <c r="T515" i="15"/>
  <c r="U514" i="15"/>
  <c r="T514" i="15"/>
  <c r="U513" i="15"/>
  <c r="T513" i="15"/>
  <c r="U512" i="15"/>
  <c r="T512" i="15"/>
  <c r="U511" i="15"/>
  <c r="T511" i="15"/>
  <c r="U510" i="15"/>
  <c r="T510" i="15"/>
  <c r="U509" i="15"/>
  <c r="T509" i="15"/>
  <c r="U508" i="15"/>
  <c r="T508" i="15"/>
  <c r="U507" i="15"/>
  <c r="T507" i="15"/>
  <c r="U506" i="15"/>
  <c r="T506" i="15"/>
  <c r="U505" i="15"/>
  <c r="T505" i="15"/>
  <c r="U504" i="15"/>
  <c r="T504" i="15"/>
  <c r="U503" i="15"/>
  <c r="T503" i="15"/>
  <c r="U502" i="15"/>
  <c r="T502" i="15"/>
  <c r="U501" i="15"/>
  <c r="T501" i="15"/>
  <c r="U500" i="15"/>
  <c r="T500" i="15"/>
  <c r="U499" i="15"/>
  <c r="T499" i="15"/>
  <c r="U498" i="15"/>
  <c r="T498" i="15"/>
  <c r="U497" i="15"/>
  <c r="T497" i="15"/>
  <c r="U496" i="15"/>
  <c r="T496" i="15"/>
  <c r="U495" i="15"/>
  <c r="T495" i="15"/>
  <c r="U494" i="15"/>
  <c r="T494" i="15"/>
  <c r="U493" i="15"/>
  <c r="T493" i="15"/>
  <c r="U492" i="15"/>
  <c r="T492" i="15"/>
  <c r="U491" i="15"/>
  <c r="T491" i="15"/>
  <c r="U490" i="15"/>
  <c r="T490" i="15"/>
  <c r="U489" i="15"/>
  <c r="T489" i="15"/>
  <c r="U488" i="15"/>
  <c r="T488" i="15"/>
  <c r="U487" i="15"/>
  <c r="T487" i="15"/>
  <c r="U486" i="15"/>
  <c r="T486" i="15"/>
  <c r="U485" i="15"/>
  <c r="T485" i="15"/>
  <c r="U484" i="15"/>
  <c r="T484" i="15"/>
  <c r="U483" i="15"/>
  <c r="T483" i="15"/>
  <c r="U482" i="15"/>
  <c r="T482" i="15"/>
  <c r="U481" i="15"/>
  <c r="T481" i="15"/>
  <c r="U480" i="15"/>
  <c r="T480" i="15"/>
  <c r="U479" i="15"/>
  <c r="T479" i="15"/>
  <c r="U478" i="15"/>
  <c r="T478" i="15"/>
  <c r="U477" i="15"/>
  <c r="T477" i="15"/>
  <c r="U476" i="15"/>
  <c r="T476" i="15"/>
  <c r="U475" i="15"/>
  <c r="T475" i="15"/>
  <c r="U474" i="15"/>
  <c r="T474" i="15"/>
  <c r="U473" i="15"/>
  <c r="T473" i="15"/>
  <c r="U472" i="15"/>
  <c r="T472" i="15"/>
  <c r="U471" i="15"/>
  <c r="T471" i="15"/>
  <c r="U470" i="15"/>
  <c r="T470" i="15"/>
  <c r="U469" i="15"/>
  <c r="T469" i="15"/>
  <c r="U468" i="15"/>
  <c r="T468" i="15"/>
  <c r="U467" i="15"/>
  <c r="T467" i="15"/>
  <c r="U466" i="15"/>
  <c r="T466" i="15"/>
  <c r="U465" i="15"/>
  <c r="T465" i="15"/>
  <c r="U464" i="15"/>
  <c r="T464" i="15"/>
  <c r="U463" i="15"/>
  <c r="T463" i="15"/>
  <c r="U462" i="15"/>
  <c r="T462" i="15"/>
  <c r="U461" i="15"/>
  <c r="T461" i="15"/>
  <c r="U460" i="15"/>
  <c r="T460" i="15"/>
  <c r="U459" i="15"/>
  <c r="T459" i="15"/>
  <c r="U458" i="15"/>
  <c r="T458" i="15"/>
  <c r="U457" i="15"/>
  <c r="T457" i="15"/>
  <c r="U456" i="15"/>
  <c r="T456" i="15"/>
  <c r="U455" i="15"/>
  <c r="T455" i="15"/>
  <c r="U454" i="15"/>
  <c r="T454" i="15"/>
  <c r="U453" i="15"/>
  <c r="T453" i="15"/>
  <c r="U452" i="15"/>
  <c r="T452" i="15"/>
  <c r="U451" i="15"/>
  <c r="T451" i="15"/>
  <c r="U450" i="15"/>
  <c r="T450" i="15"/>
  <c r="U449" i="15"/>
  <c r="T449" i="15"/>
  <c r="U448" i="15"/>
  <c r="T448" i="15"/>
  <c r="U447" i="15"/>
  <c r="T447" i="15"/>
  <c r="U446" i="15"/>
  <c r="T446" i="15"/>
  <c r="U445" i="15"/>
  <c r="T445" i="15"/>
  <c r="U444" i="15"/>
  <c r="T444" i="15"/>
  <c r="U443" i="15"/>
  <c r="T443" i="15"/>
  <c r="U442" i="15"/>
  <c r="T442" i="15"/>
  <c r="U441" i="15"/>
  <c r="T441" i="15"/>
  <c r="U440" i="15"/>
  <c r="T440" i="15"/>
  <c r="U439" i="15"/>
  <c r="T439" i="15"/>
  <c r="U438" i="15"/>
  <c r="T438" i="15"/>
  <c r="U437" i="15"/>
  <c r="T437" i="15"/>
  <c r="U436" i="15"/>
  <c r="T436" i="15"/>
  <c r="U435" i="15"/>
  <c r="T435" i="15"/>
  <c r="U434" i="15"/>
  <c r="T434" i="15"/>
  <c r="U433" i="15"/>
  <c r="T433" i="15"/>
  <c r="U432" i="15"/>
  <c r="T432" i="15"/>
  <c r="U431" i="15"/>
  <c r="T431" i="15"/>
  <c r="U430" i="15"/>
  <c r="T430" i="15"/>
  <c r="U429" i="15"/>
  <c r="T429" i="15"/>
  <c r="U428" i="15"/>
  <c r="T428" i="15"/>
  <c r="U427" i="15"/>
  <c r="T427" i="15"/>
  <c r="U426" i="15"/>
  <c r="T426" i="15"/>
  <c r="U425" i="15"/>
  <c r="T425" i="15"/>
  <c r="N147" i="15"/>
  <c r="N146" i="15"/>
  <c r="N145" i="15"/>
  <c r="N144" i="15"/>
  <c r="N142" i="15"/>
  <c r="N141" i="15"/>
  <c r="N140" i="15"/>
  <c r="Q51" i="15"/>
  <c r="U40" i="15"/>
  <c r="Q39" i="15"/>
  <c r="U39" i="15" s="1"/>
  <c r="T38" i="15"/>
  <c r="Q38" i="15"/>
  <c r="U38" i="15" s="1"/>
  <c r="Q37" i="15"/>
  <c r="U37" i="15" s="1"/>
  <c r="Q36" i="15"/>
  <c r="U36" i="15" s="1"/>
  <c r="U35" i="15"/>
  <c r="T35" i="15"/>
  <c r="Q35" i="15"/>
  <c r="Q34" i="15"/>
  <c r="Q33" i="15"/>
  <c r="U32" i="15"/>
  <c r="T32" i="15"/>
  <c r="Q32" i="15"/>
  <c r="U31" i="15"/>
  <c r="Q31" i="15"/>
  <c r="T31" i="15" s="1"/>
  <c r="Q30" i="15"/>
  <c r="U30" i="15" s="1"/>
  <c r="U29" i="15"/>
  <c r="Q29" i="15"/>
  <c r="T29" i="15" s="1"/>
  <c r="U28" i="15"/>
  <c r="T28" i="15"/>
  <c r="Q28" i="15"/>
  <c r="Q40" i="15" s="1"/>
  <c r="T27" i="15"/>
  <c r="Q27" i="15"/>
  <c r="U27" i="15" s="1"/>
  <c r="T26" i="15"/>
  <c r="Q26" i="15"/>
  <c r="U26" i="15" s="1"/>
  <c r="T25" i="15"/>
  <c r="Q25" i="15"/>
  <c r="U25" i="15" s="1"/>
  <c r="U24" i="15"/>
  <c r="T24" i="15"/>
  <c r="Q24" i="15"/>
  <c r="U23" i="15"/>
  <c r="T23" i="15"/>
  <c r="Q23" i="15"/>
  <c r="U22" i="15"/>
  <c r="T22" i="15"/>
  <c r="Q22" i="15"/>
  <c r="Q21" i="15"/>
  <c r="U20" i="15"/>
  <c r="T20" i="15"/>
  <c r="Q20" i="15"/>
  <c r="Q19" i="15"/>
  <c r="U19" i="15" s="1"/>
  <c r="U18" i="15"/>
  <c r="T18" i="15"/>
  <c r="Q18" i="15"/>
  <c r="Q17" i="15"/>
  <c r="U17" i="15" s="1"/>
  <c r="U16" i="15"/>
  <c r="T16" i="15"/>
  <c r="U15" i="15"/>
  <c r="T15" i="15"/>
  <c r="U14" i="15"/>
  <c r="T14" i="15"/>
  <c r="U13" i="15"/>
  <c r="T13" i="15"/>
  <c r="U12" i="15"/>
  <c r="T12" i="15"/>
  <c r="U11" i="15"/>
  <c r="T11" i="15"/>
  <c r="U10" i="15"/>
  <c r="T10" i="15"/>
  <c r="U9" i="15"/>
  <c r="T9" i="15"/>
  <c r="U8" i="15"/>
  <c r="T8" i="15"/>
  <c r="U7" i="15"/>
  <c r="T7" i="15"/>
  <c r="U6" i="15"/>
  <c r="T6" i="15"/>
  <c r="U5" i="15"/>
  <c r="T5" i="15"/>
  <c r="M233" i="14"/>
  <c r="I233" i="14"/>
  <c r="H233" i="14"/>
  <c r="G233" i="14"/>
  <c r="F233" i="14"/>
  <c r="E233" i="14"/>
  <c r="D233" i="14"/>
  <c r="I232" i="14"/>
  <c r="H232" i="14"/>
  <c r="O232" i="14" s="1"/>
  <c r="G232" i="14"/>
  <c r="F232" i="14"/>
  <c r="N232" i="14" s="1"/>
  <c r="E232" i="14"/>
  <c r="D232" i="14"/>
  <c r="R231" i="14"/>
  <c r="Q231" i="14"/>
  <c r="O231" i="14"/>
  <c r="N231" i="14"/>
  <c r="I231" i="14"/>
  <c r="H231" i="14"/>
  <c r="G231" i="14"/>
  <c r="F231" i="14"/>
  <c r="E231" i="14"/>
  <c r="D231" i="14"/>
  <c r="M231" i="14" s="1"/>
  <c r="M230" i="14"/>
  <c r="I230" i="14"/>
  <c r="H230" i="14"/>
  <c r="O230" i="14" s="1"/>
  <c r="G230" i="14"/>
  <c r="F230" i="14"/>
  <c r="E230" i="14"/>
  <c r="D230" i="14"/>
  <c r="I229" i="14"/>
  <c r="H229" i="14"/>
  <c r="O229" i="14" s="1"/>
  <c r="G229" i="14"/>
  <c r="F229" i="14"/>
  <c r="N229" i="14" s="1"/>
  <c r="E229" i="14"/>
  <c r="D229" i="14"/>
  <c r="O228" i="14"/>
  <c r="N228" i="14"/>
  <c r="I228" i="14"/>
  <c r="H228" i="14"/>
  <c r="G228" i="14"/>
  <c r="F228" i="14"/>
  <c r="E228" i="14"/>
  <c r="D228" i="14"/>
  <c r="M228" i="14" s="1"/>
  <c r="Q228" i="14" s="1"/>
  <c r="M227" i="14"/>
  <c r="I227" i="14"/>
  <c r="H227" i="14"/>
  <c r="O227" i="14" s="1"/>
  <c r="G227" i="14"/>
  <c r="F227" i="14"/>
  <c r="E227" i="14"/>
  <c r="D227" i="14"/>
  <c r="I226" i="14"/>
  <c r="H226" i="14"/>
  <c r="O226" i="14" s="1"/>
  <c r="G226" i="14"/>
  <c r="F226" i="14"/>
  <c r="N226" i="14" s="1"/>
  <c r="E226" i="14"/>
  <c r="D226" i="14"/>
  <c r="O225" i="14"/>
  <c r="N225" i="14"/>
  <c r="I225" i="14"/>
  <c r="H225" i="14"/>
  <c r="G225" i="14"/>
  <c r="F225" i="14"/>
  <c r="E225" i="14"/>
  <c r="D225" i="14"/>
  <c r="M225" i="14" s="1"/>
  <c r="Q225" i="14" s="1"/>
  <c r="M224" i="14"/>
  <c r="I224" i="14"/>
  <c r="H224" i="14"/>
  <c r="O224" i="14" s="1"/>
  <c r="G224" i="14"/>
  <c r="F224" i="14"/>
  <c r="E224" i="14"/>
  <c r="D224" i="14"/>
  <c r="I223" i="14"/>
  <c r="H223" i="14"/>
  <c r="O223" i="14" s="1"/>
  <c r="G223" i="14"/>
  <c r="F223" i="14"/>
  <c r="N223" i="14" s="1"/>
  <c r="E223" i="14"/>
  <c r="D223" i="14"/>
  <c r="Q222" i="14"/>
  <c r="O222" i="14"/>
  <c r="N222" i="14"/>
  <c r="I222" i="14"/>
  <c r="H222" i="14"/>
  <c r="G222" i="14"/>
  <c r="F222" i="14"/>
  <c r="E222" i="14"/>
  <c r="D222" i="14"/>
  <c r="M222" i="14" s="1"/>
  <c r="M221" i="14"/>
  <c r="I221" i="14"/>
  <c r="H221" i="14"/>
  <c r="O221" i="14" s="1"/>
  <c r="G221" i="14"/>
  <c r="F221" i="14"/>
  <c r="E221" i="14"/>
  <c r="D221" i="14"/>
  <c r="I220" i="14"/>
  <c r="H220" i="14"/>
  <c r="O220" i="14" s="1"/>
  <c r="G220" i="14"/>
  <c r="F220" i="14"/>
  <c r="N220" i="14" s="1"/>
  <c r="E220" i="14"/>
  <c r="D220" i="14"/>
  <c r="O219" i="14"/>
  <c r="N219" i="14"/>
  <c r="I219" i="14"/>
  <c r="H219" i="14"/>
  <c r="G219" i="14"/>
  <c r="F219" i="14"/>
  <c r="E219" i="14"/>
  <c r="D219" i="14"/>
  <c r="M219" i="14" s="1"/>
  <c r="Q219" i="14" s="1"/>
  <c r="M218" i="14"/>
  <c r="I218" i="14"/>
  <c r="H218" i="14"/>
  <c r="O218" i="14" s="1"/>
  <c r="G218" i="14"/>
  <c r="F218" i="14"/>
  <c r="E218" i="14"/>
  <c r="D218" i="14"/>
  <c r="I217" i="14"/>
  <c r="H217" i="14"/>
  <c r="O217" i="14" s="1"/>
  <c r="G217" i="14"/>
  <c r="F217" i="14"/>
  <c r="N217" i="14" s="1"/>
  <c r="E217" i="14"/>
  <c r="D217" i="14"/>
  <c r="O216" i="14"/>
  <c r="N216" i="14"/>
  <c r="I216" i="14"/>
  <c r="H216" i="14"/>
  <c r="G216" i="14"/>
  <c r="F216" i="14"/>
  <c r="E216" i="14"/>
  <c r="D216" i="14"/>
  <c r="M216" i="14" s="1"/>
  <c r="Q216" i="14" s="1"/>
  <c r="M215" i="14"/>
  <c r="I215" i="14"/>
  <c r="H215" i="14"/>
  <c r="G215" i="14"/>
  <c r="F215" i="14"/>
  <c r="E215" i="14"/>
  <c r="D215" i="14"/>
  <c r="I214" i="14"/>
  <c r="H214" i="14"/>
  <c r="O214" i="14" s="1"/>
  <c r="G214" i="14"/>
  <c r="F214" i="14"/>
  <c r="N214" i="14" s="1"/>
  <c r="E214" i="14"/>
  <c r="D214" i="14"/>
  <c r="R213" i="14"/>
  <c r="Q213" i="14"/>
  <c r="O213" i="14"/>
  <c r="N213" i="14"/>
  <c r="I213" i="14"/>
  <c r="H213" i="14"/>
  <c r="G213" i="14"/>
  <c r="F213" i="14"/>
  <c r="E213" i="14"/>
  <c r="D213" i="14"/>
  <c r="M213" i="14" s="1"/>
  <c r="M212" i="14"/>
  <c r="I212" i="14"/>
  <c r="H212" i="14"/>
  <c r="O212" i="14" s="1"/>
  <c r="G212" i="14"/>
  <c r="F212" i="14"/>
  <c r="E212" i="14"/>
  <c r="D212" i="14"/>
  <c r="I211" i="14"/>
  <c r="H211" i="14"/>
  <c r="O211" i="14" s="1"/>
  <c r="G211" i="14"/>
  <c r="F211" i="14"/>
  <c r="N211" i="14" s="1"/>
  <c r="E211" i="14"/>
  <c r="D211" i="14"/>
  <c r="O210" i="14"/>
  <c r="N210" i="14"/>
  <c r="Q210" i="14" s="1"/>
  <c r="I210" i="14"/>
  <c r="H210" i="14"/>
  <c r="G210" i="14"/>
  <c r="F210" i="14"/>
  <c r="E210" i="14"/>
  <c r="D210" i="14"/>
  <c r="M210" i="14" s="1"/>
  <c r="M209" i="14"/>
  <c r="I209" i="14"/>
  <c r="H209" i="14"/>
  <c r="O209" i="14" s="1"/>
  <c r="G209" i="14"/>
  <c r="F209" i="14"/>
  <c r="E209" i="14"/>
  <c r="D209" i="14"/>
  <c r="I208" i="14"/>
  <c r="H208" i="14"/>
  <c r="O208" i="14" s="1"/>
  <c r="G208" i="14"/>
  <c r="F208" i="14"/>
  <c r="N208" i="14" s="1"/>
  <c r="E208" i="14"/>
  <c r="D208" i="14"/>
  <c r="O207" i="14"/>
  <c r="N207" i="14"/>
  <c r="I207" i="14"/>
  <c r="H207" i="14"/>
  <c r="G207" i="14"/>
  <c r="F207" i="14"/>
  <c r="E207" i="14"/>
  <c r="D207" i="14"/>
  <c r="M207" i="14" s="1"/>
  <c r="Q207" i="14" s="1"/>
  <c r="M206" i="14"/>
  <c r="I206" i="14"/>
  <c r="H206" i="14"/>
  <c r="G206" i="14"/>
  <c r="F206" i="14"/>
  <c r="E206" i="14"/>
  <c r="D206" i="14"/>
  <c r="I205" i="14"/>
  <c r="H205" i="14"/>
  <c r="O205" i="14" s="1"/>
  <c r="G205" i="14"/>
  <c r="F205" i="14"/>
  <c r="N205" i="14" s="1"/>
  <c r="E205" i="14"/>
  <c r="D205" i="14"/>
  <c r="R204" i="14"/>
  <c r="Q204" i="14"/>
  <c r="O204" i="14"/>
  <c r="N204" i="14"/>
  <c r="I204" i="14"/>
  <c r="H204" i="14"/>
  <c r="G204" i="14"/>
  <c r="F204" i="14"/>
  <c r="E204" i="14"/>
  <c r="D204" i="14"/>
  <c r="M204" i="14" s="1"/>
  <c r="M203" i="14"/>
  <c r="I203" i="14"/>
  <c r="H203" i="14"/>
  <c r="O203" i="14" s="1"/>
  <c r="G203" i="14"/>
  <c r="F203" i="14"/>
  <c r="E203" i="14"/>
  <c r="D203" i="14"/>
  <c r="I202" i="14"/>
  <c r="H202" i="14"/>
  <c r="O202" i="14" s="1"/>
  <c r="G202" i="14"/>
  <c r="F202" i="14"/>
  <c r="N202" i="14" s="1"/>
  <c r="E202" i="14"/>
  <c r="D202" i="14"/>
  <c r="O201" i="14"/>
  <c r="N201" i="14"/>
  <c r="I201" i="14"/>
  <c r="H201" i="14"/>
  <c r="G201" i="14"/>
  <c r="F201" i="14"/>
  <c r="E201" i="14"/>
  <c r="D201" i="14"/>
  <c r="M201" i="14" s="1"/>
  <c r="M200" i="14"/>
  <c r="I200" i="14"/>
  <c r="H200" i="14"/>
  <c r="O200" i="14" s="1"/>
  <c r="G200" i="14"/>
  <c r="F200" i="14"/>
  <c r="E200" i="14"/>
  <c r="D200" i="14"/>
  <c r="I199" i="14"/>
  <c r="H199" i="14"/>
  <c r="O199" i="14" s="1"/>
  <c r="G199" i="14"/>
  <c r="F199" i="14"/>
  <c r="N199" i="14" s="1"/>
  <c r="E199" i="14"/>
  <c r="D199" i="14"/>
  <c r="O198" i="14"/>
  <c r="N198" i="14"/>
  <c r="I198" i="14"/>
  <c r="H198" i="14"/>
  <c r="G198" i="14"/>
  <c r="F198" i="14"/>
  <c r="E198" i="14"/>
  <c r="D198" i="14"/>
  <c r="M198" i="14" s="1"/>
  <c r="Q198" i="14" s="1"/>
  <c r="M197" i="14"/>
  <c r="I197" i="14"/>
  <c r="H197" i="14"/>
  <c r="O197" i="14" s="1"/>
  <c r="G197" i="14"/>
  <c r="F197" i="14"/>
  <c r="E197" i="14"/>
  <c r="D197" i="14"/>
  <c r="I196" i="14"/>
  <c r="H196" i="14"/>
  <c r="O196" i="14" s="1"/>
  <c r="G196" i="14"/>
  <c r="F196" i="14"/>
  <c r="N196" i="14" s="1"/>
  <c r="E196" i="14"/>
  <c r="D196" i="14"/>
  <c r="Q195" i="14"/>
  <c r="O195" i="14"/>
  <c r="N195" i="14"/>
  <c r="I195" i="14"/>
  <c r="H195" i="14"/>
  <c r="G195" i="14"/>
  <c r="F195" i="14"/>
  <c r="E195" i="14"/>
  <c r="D195" i="14"/>
  <c r="M195" i="14" s="1"/>
  <c r="M194" i="14"/>
  <c r="I194" i="14"/>
  <c r="H194" i="14"/>
  <c r="O194" i="14" s="1"/>
  <c r="G194" i="14"/>
  <c r="F194" i="14"/>
  <c r="E194" i="14"/>
  <c r="D194" i="14"/>
  <c r="I193" i="14"/>
  <c r="H193" i="14"/>
  <c r="O193" i="14" s="1"/>
  <c r="G193" i="14"/>
  <c r="F193" i="14"/>
  <c r="N193" i="14" s="1"/>
  <c r="E193" i="14"/>
  <c r="D193" i="14"/>
  <c r="O192" i="14"/>
  <c r="N192" i="14"/>
  <c r="I192" i="14"/>
  <c r="H192" i="14"/>
  <c r="G192" i="14"/>
  <c r="F192" i="14"/>
  <c r="E192" i="14"/>
  <c r="D192" i="14"/>
  <c r="M192" i="14" s="1"/>
  <c r="M191" i="14"/>
  <c r="I191" i="14"/>
  <c r="H191" i="14"/>
  <c r="O191" i="14" s="1"/>
  <c r="G191" i="14"/>
  <c r="F191" i="14"/>
  <c r="E191" i="14"/>
  <c r="D191" i="14"/>
  <c r="I190" i="14"/>
  <c r="O190" i="14" s="1"/>
  <c r="H190" i="14"/>
  <c r="G190" i="14"/>
  <c r="F190" i="14"/>
  <c r="N190" i="14" s="1"/>
  <c r="E190" i="14"/>
  <c r="D190" i="14"/>
  <c r="O189" i="14"/>
  <c r="Q189" i="14" s="1"/>
  <c r="N189" i="14"/>
  <c r="I189" i="14"/>
  <c r="H189" i="14"/>
  <c r="G189" i="14"/>
  <c r="F189" i="14"/>
  <c r="E189" i="14"/>
  <c r="D189" i="14"/>
  <c r="M189" i="14" s="1"/>
  <c r="O188" i="14"/>
  <c r="M188" i="14"/>
  <c r="I188" i="14"/>
  <c r="H188" i="14"/>
  <c r="G188" i="14"/>
  <c r="F188" i="14"/>
  <c r="E188" i="14"/>
  <c r="D188" i="14"/>
  <c r="O187" i="14"/>
  <c r="I187" i="14"/>
  <c r="H187" i="14"/>
  <c r="G187" i="14"/>
  <c r="F187" i="14"/>
  <c r="N187" i="14" s="1"/>
  <c r="E187" i="14"/>
  <c r="D187" i="14"/>
  <c r="N186" i="14"/>
  <c r="I186" i="14"/>
  <c r="H186" i="14"/>
  <c r="G186" i="14"/>
  <c r="F186" i="14"/>
  <c r="E186" i="14"/>
  <c r="D186" i="14"/>
  <c r="M186" i="14" s="1"/>
  <c r="I185" i="14"/>
  <c r="H185" i="14"/>
  <c r="G185" i="14"/>
  <c r="F185" i="14"/>
  <c r="E185" i="14"/>
  <c r="D185" i="14"/>
  <c r="M185" i="14" s="1"/>
  <c r="I184" i="14"/>
  <c r="O184" i="14" s="1"/>
  <c r="H184" i="14"/>
  <c r="G184" i="14"/>
  <c r="F184" i="14"/>
  <c r="N184" i="14" s="1"/>
  <c r="E184" i="14"/>
  <c r="D184" i="14"/>
  <c r="N183" i="14"/>
  <c r="I183" i="14"/>
  <c r="H183" i="14"/>
  <c r="O183" i="14" s="1"/>
  <c r="G183" i="14"/>
  <c r="F183" i="14"/>
  <c r="E183" i="14"/>
  <c r="D183" i="14"/>
  <c r="M183" i="14" s="1"/>
  <c r="Q183" i="14" s="1"/>
  <c r="I182" i="14"/>
  <c r="H182" i="14"/>
  <c r="O182" i="14" s="1"/>
  <c r="G182" i="14"/>
  <c r="F182" i="14"/>
  <c r="E182" i="14"/>
  <c r="D182" i="14"/>
  <c r="M182" i="14" s="1"/>
  <c r="I181" i="14"/>
  <c r="O181" i="14" s="1"/>
  <c r="H181" i="14"/>
  <c r="G181" i="14"/>
  <c r="F181" i="14"/>
  <c r="N181" i="14" s="1"/>
  <c r="E181" i="14"/>
  <c r="D181" i="14"/>
  <c r="O180" i="14"/>
  <c r="N180" i="14"/>
  <c r="I180" i="14"/>
  <c r="H180" i="14"/>
  <c r="G180" i="14"/>
  <c r="F180" i="14"/>
  <c r="E180" i="14"/>
  <c r="D180" i="14"/>
  <c r="O179" i="14"/>
  <c r="M179" i="14"/>
  <c r="I179" i="14"/>
  <c r="H179" i="14"/>
  <c r="G179" i="14"/>
  <c r="F179" i="14"/>
  <c r="E179" i="14"/>
  <c r="D179" i="14"/>
  <c r="I178" i="14"/>
  <c r="H178" i="14"/>
  <c r="O178" i="14" s="1"/>
  <c r="G178" i="14"/>
  <c r="F178" i="14"/>
  <c r="N178" i="14" s="1"/>
  <c r="E178" i="14"/>
  <c r="D178" i="14"/>
  <c r="N177" i="14"/>
  <c r="I177" i="14"/>
  <c r="H177" i="14"/>
  <c r="O177" i="14" s="1"/>
  <c r="G177" i="14"/>
  <c r="F177" i="14"/>
  <c r="E177" i="14"/>
  <c r="D177" i="14"/>
  <c r="M177" i="14" s="1"/>
  <c r="I176" i="14"/>
  <c r="H176" i="14"/>
  <c r="O176" i="14" s="1"/>
  <c r="G176" i="14"/>
  <c r="F176" i="14"/>
  <c r="N176" i="14" s="1"/>
  <c r="E176" i="14"/>
  <c r="D176" i="14"/>
  <c r="M176" i="14" s="1"/>
  <c r="O175" i="14"/>
  <c r="I175" i="14"/>
  <c r="H175" i="14"/>
  <c r="G175" i="14"/>
  <c r="F175" i="14"/>
  <c r="N175" i="14" s="1"/>
  <c r="E175" i="14"/>
  <c r="D175" i="14"/>
  <c r="N174" i="14"/>
  <c r="I174" i="14"/>
  <c r="H174" i="14"/>
  <c r="O174" i="14" s="1"/>
  <c r="G174" i="14"/>
  <c r="F174" i="14"/>
  <c r="E174" i="14"/>
  <c r="D174" i="14"/>
  <c r="M174" i="14" s="1"/>
  <c r="Q174" i="14" s="1"/>
  <c r="I173" i="14"/>
  <c r="H173" i="14"/>
  <c r="O173" i="14" s="1"/>
  <c r="G173" i="14"/>
  <c r="F173" i="14"/>
  <c r="E173" i="14"/>
  <c r="D173" i="14"/>
  <c r="I172" i="14"/>
  <c r="O172" i="14" s="1"/>
  <c r="H172" i="14"/>
  <c r="G172" i="14"/>
  <c r="F172" i="14"/>
  <c r="N172" i="14" s="1"/>
  <c r="E172" i="14"/>
  <c r="D172" i="14"/>
  <c r="O171" i="14"/>
  <c r="N171" i="14"/>
  <c r="I171" i="14"/>
  <c r="H171" i="14"/>
  <c r="G171" i="14"/>
  <c r="F171" i="14"/>
  <c r="E171" i="14"/>
  <c r="D171" i="14"/>
  <c r="O170" i="14"/>
  <c r="M170" i="14"/>
  <c r="I170" i="14"/>
  <c r="H170" i="14"/>
  <c r="G170" i="14"/>
  <c r="F170" i="14"/>
  <c r="E170" i="14"/>
  <c r="D170" i="14"/>
  <c r="I169" i="14"/>
  <c r="O169" i="14" s="1"/>
  <c r="H169" i="14"/>
  <c r="G169" i="14"/>
  <c r="F169" i="14"/>
  <c r="N169" i="14" s="1"/>
  <c r="E169" i="14"/>
  <c r="D169" i="14"/>
  <c r="N168" i="14"/>
  <c r="I168" i="14"/>
  <c r="H168" i="14"/>
  <c r="G168" i="14"/>
  <c r="F168" i="14"/>
  <c r="E168" i="14"/>
  <c r="D168" i="14"/>
  <c r="M168" i="14" s="1"/>
  <c r="I167" i="14"/>
  <c r="H167" i="14"/>
  <c r="O167" i="14" s="1"/>
  <c r="G167" i="14"/>
  <c r="F167" i="14"/>
  <c r="N167" i="14" s="1"/>
  <c r="E167" i="14"/>
  <c r="D167" i="14"/>
  <c r="M167" i="14" s="1"/>
  <c r="O166" i="14"/>
  <c r="I166" i="14"/>
  <c r="H166" i="14"/>
  <c r="G166" i="14"/>
  <c r="F166" i="14"/>
  <c r="N166" i="14" s="1"/>
  <c r="E166" i="14"/>
  <c r="D166" i="14"/>
  <c r="N165" i="14"/>
  <c r="I165" i="14"/>
  <c r="H165" i="14"/>
  <c r="O165" i="14" s="1"/>
  <c r="G165" i="14"/>
  <c r="F165" i="14"/>
  <c r="E165" i="14"/>
  <c r="D165" i="14"/>
  <c r="M165" i="14" s="1"/>
  <c r="I164" i="14"/>
  <c r="H164" i="14"/>
  <c r="O164" i="14" s="1"/>
  <c r="G164" i="14"/>
  <c r="F164" i="14"/>
  <c r="E164" i="14"/>
  <c r="D164" i="14"/>
  <c r="M164" i="14" s="1"/>
  <c r="I163" i="14"/>
  <c r="O163" i="14" s="1"/>
  <c r="H163" i="14"/>
  <c r="G163" i="14"/>
  <c r="F163" i="14"/>
  <c r="N163" i="14" s="1"/>
  <c r="E163" i="14"/>
  <c r="D163" i="14"/>
  <c r="O162" i="14"/>
  <c r="N162" i="14"/>
  <c r="I162" i="14"/>
  <c r="H162" i="14"/>
  <c r="G162" i="14"/>
  <c r="F162" i="14"/>
  <c r="E162" i="14"/>
  <c r="D162" i="14"/>
  <c r="O161" i="14"/>
  <c r="M161" i="14"/>
  <c r="I161" i="14"/>
  <c r="H161" i="14"/>
  <c r="G161" i="14"/>
  <c r="F161" i="14"/>
  <c r="E161" i="14"/>
  <c r="D161" i="14"/>
  <c r="I160" i="14"/>
  <c r="H160" i="14"/>
  <c r="O160" i="14" s="1"/>
  <c r="G160" i="14"/>
  <c r="F160" i="14"/>
  <c r="N160" i="14" s="1"/>
  <c r="E160" i="14"/>
  <c r="D160" i="14"/>
  <c r="N159" i="14"/>
  <c r="I159" i="14"/>
  <c r="H159" i="14"/>
  <c r="O159" i="14" s="1"/>
  <c r="G159" i="14"/>
  <c r="F159" i="14"/>
  <c r="E159" i="14"/>
  <c r="D159" i="14"/>
  <c r="M159" i="14" s="1"/>
  <c r="I158" i="14"/>
  <c r="H158" i="14"/>
  <c r="G158" i="14"/>
  <c r="F158" i="14"/>
  <c r="N158" i="14" s="1"/>
  <c r="E158" i="14"/>
  <c r="D158" i="14"/>
  <c r="M158" i="14" s="1"/>
  <c r="O157" i="14"/>
  <c r="I157" i="14"/>
  <c r="H157" i="14"/>
  <c r="G157" i="14"/>
  <c r="F157" i="14"/>
  <c r="N157" i="14" s="1"/>
  <c r="E157" i="14"/>
  <c r="D157" i="14"/>
  <c r="M157" i="14" s="1"/>
  <c r="Q157" i="14" s="1"/>
  <c r="N156" i="14"/>
  <c r="I156" i="14"/>
  <c r="H156" i="14"/>
  <c r="O156" i="14" s="1"/>
  <c r="G156" i="14"/>
  <c r="F156" i="14"/>
  <c r="E156" i="14"/>
  <c r="D156" i="14"/>
  <c r="M156" i="14" s="1"/>
  <c r="I155" i="14"/>
  <c r="H155" i="14"/>
  <c r="O155" i="14" s="1"/>
  <c r="G155" i="14"/>
  <c r="F155" i="14"/>
  <c r="E155" i="14"/>
  <c r="D155" i="14"/>
  <c r="M155" i="14" s="1"/>
  <c r="I154" i="14"/>
  <c r="O154" i="14" s="1"/>
  <c r="H154" i="14"/>
  <c r="G154" i="14"/>
  <c r="F154" i="14"/>
  <c r="N154" i="14" s="1"/>
  <c r="E154" i="14"/>
  <c r="D154" i="14"/>
  <c r="O153" i="14"/>
  <c r="N153" i="14"/>
  <c r="I153" i="14"/>
  <c r="H153" i="14"/>
  <c r="G153" i="14"/>
  <c r="F153" i="14"/>
  <c r="E153" i="14"/>
  <c r="D153" i="14"/>
  <c r="O152" i="14"/>
  <c r="M152" i="14"/>
  <c r="I152" i="14"/>
  <c r="H152" i="14"/>
  <c r="G152" i="14"/>
  <c r="F152" i="14"/>
  <c r="E152" i="14"/>
  <c r="D152" i="14"/>
  <c r="I151" i="14"/>
  <c r="H151" i="14"/>
  <c r="O151" i="14" s="1"/>
  <c r="G151" i="14"/>
  <c r="F151" i="14"/>
  <c r="N151" i="14" s="1"/>
  <c r="E151" i="14"/>
  <c r="D151" i="14"/>
  <c r="N150" i="14"/>
  <c r="M150" i="14"/>
  <c r="I150" i="14"/>
  <c r="H150" i="14"/>
  <c r="O150" i="14" s="1"/>
  <c r="G150" i="14"/>
  <c r="F150" i="14"/>
  <c r="E150" i="14"/>
  <c r="D150" i="14"/>
  <c r="M149" i="14"/>
  <c r="I149" i="14"/>
  <c r="O149" i="14" s="1"/>
  <c r="Q149" i="14" s="1"/>
  <c r="H149" i="14"/>
  <c r="G149" i="14"/>
  <c r="F149" i="14"/>
  <c r="N149" i="14" s="1"/>
  <c r="E149" i="14"/>
  <c r="D149" i="14"/>
  <c r="O148" i="14"/>
  <c r="I148" i="14"/>
  <c r="H148" i="14"/>
  <c r="G148" i="14"/>
  <c r="F148" i="14"/>
  <c r="N148" i="14" s="1"/>
  <c r="E148" i="14"/>
  <c r="D148" i="14"/>
  <c r="O147" i="14"/>
  <c r="N147" i="14"/>
  <c r="I147" i="14"/>
  <c r="H147" i="14"/>
  <c r="G147" i="14"/>
  <c r="F147" i="14"/>
  <c r="E147" i="14"/>
  <c r="D147" i="14"/>
  <c r="M147" i="14" s="1"/>
  <c r="I146" i="14"/>
  <c r="H146" i="14"/>
  <c r="O146" i="14" s="1"/>
  <c r="G146" i="14"/>
  <c r="F146" i="14"/>
  <c r="N146" i="14" s="1"/>
  <c r="E146" i="14"/>
  <c r="M146" i="14" s="1"/>
  <c r="D146" i="14"/>
  <c r="I145" i="14"/>
  <c r="H145" i="14"/>
  <c r="O145" i="14" s="1"/>
  <c r="G145" i="14"/>
  <c r="N145" i="14" s="1"/>
  <c r="F145" i="14"/>
  <c r="E145" i="14"/>
  <c r="D145" i="14"/>
  <c r="M145" i="14" s="1"/>
  <c r="N144" i="14"/>
  <c r="M144" i="14"/>
  <c r="I144" i="14"/>
  <c r="O144" i="14" s="1"/>
  <c r="H144" i="14"/>
  <c r="G144" i="14"/>
  <c r="F144" i="14"/>
  <c r="E144" i="14"/>
  <c r="D144" i="14"/>
  <c r="I143" i="14"/>
  <c r="H143" i="14"/>
  <c r="O143" i="14" s="1"/>
  <c r="G143" i="14"/>
  <c r="F143" i="14"/>
  <c r="E143" i="14"/>
  <c r="M143" i="14" s="1"/>
  <c r="D143" i="14"/>
  <c r="I142" i="14"/>
  <c r="H142" i="14"/>
  <c r="O142" i="14" s="1"/>
  <c r="G142" i="14"/>
  <c r="N142" i="14" s="1"/>
  <c r="F142" i="14"/>
  <c r="E142" i="14"/>
  <c r="D142" i="14"/>
  <c r="M142" i="14" s="1"/>
  <c r="Q142" i="14" s="1"/>
  <c r="O141" i="14"/>
  <c r="N141" i="14"/>
  <c r="M141" i="14"/>
  <c r="Q141" i="14" s="1"/>
  <c r="I141" i="14"/>
  <c r="H141" i="14"/>
  <c r="G141" i="14"/>
  <c r="F141" i="14"/>
  <c r="E141" i="14"/>
  <c r="D141" i="14"/>
  <c r="I140" i="14"/>
  <c r="H140" i="14"/>
  <c r="O140" i="14" s="1"/>
  <c r="G140" i="14"/>
  <c r="F140" i="14"/>
  <c r="N140" i="14" s="1"/>
  <c r="E140" i="14"/>
  <c r="M140" i="14" s="1"/>
  <c r="D140" i="14"/>
  <c r="I139" i="14"/>
  <c r="H139" i="14"/>
  <c r="O139" i="14" s="1"/>
  <c r="G139" i="14"/>
  <c r="N139" i="14" s="1"/>
  <c r="F139" i="14"/>
  <c r="E139" i="14"/>
  <c r="D139" i="14"/>
  <c r="M139" i="14" s="1"/>
  <c r="N138" i="14"/>
  <c r="M138" i="14"/>
  <c r="I138" i="14"/>
  <c r="O138" i="14" s="1"/>
  <c r="H138" i="14"/>
  <c r="G138" i="14"/>
  <c r="F138" i="14"/>
  <c r="E138" i="14"/>
  <c r="D138" i="14"/>
  <c r="I137" i="14"/>
  <c r="H137" i="14"/>
  <c r="O137" i="14" s="1"/>
  <c r="G137" i="14"/>
  <c r="F137" i="14"/>
  <c r="N137" i="14" s="1"/>
  <c r="E137" i="14"/>
  <c r="M137" i="14" s="1"/>
  <c r="Q137" i="14" s="1"/>
  <c r="D137" i="14"/>
  <c r="N136" i="14"/>
  <c r="I136" i="14"/>
  <c r="H136" i="14"/>
  <c r="O136" i="14" s="1"/>
  <c r="G136" i="14"/>
  <c r="F136" i="14"/>
  <c r="E136" i="14"/>
  <c r="D136" i="14"/>
  <c r="M136" i="14" s="1"/>
  <c r="Q136" i="14" s="1"/>
  <c r="N135" i="14"/>
  <c r="M135" i="14"/>
  <c r="I135" i="14"/>
  <c r="O135" i="14" s="1"/>
  <c r="H135" i="14"/>
  <c r="G135" i="14"/>
  <c r="F135" i="14"/>
  <c r="E135" i="14"/>
  <c r="D135" i="14"/>
  <c r="I134" i="14"/>
  <c r="H134" i="14"/>
  <c r="O134" i="14" s="1"/>
  <c r="G134" i="14"/>
  <c r="F134" i="14"/>
  <c r="E134" i="14"/>
  <c r="M134" i="14" s="1"/>
  <c r="D134" i="14"/>
  <c r="Q133" i="14"/>
  <c r="T133" i="14" s="1"/>
  <c r="N133" i="14"/>
  <c r="I133" i="14"/>
  <c r="H133" i="14"/>
  <c r="O133" i="14" s="1"/>
  <c r="G133" i="14"/>
  <c r="F133" i="14"/>
  <c r="E133" i="14"/>
  <c r="D133" i="14"/>
  <c r="M133" i="14" s="1"/>
  <c r="N132" i="14"/>
  <c r="M132" i="14"/>
  <c r="I132" i="14"/>
  <c r="O132" i="14" s="1"/>
  <c r="H132" i="14"/>
  <c r="G132" i="14"/>
  <c r="F132" i="14"/>
  <c r="E132" i="14"/>
  <c r="D132" i="14"/>
  <c r="I131" i="14"/>
  <c r="H131" i="14"/>
  <c r="O131" i="14" s="1"/>
  <c r="G131" i="14"/>
  <c r="F131" i="14"/>
  <c r="E131" i="14"/>
  <c r="M131" i="14" s="1"/>
  <c r="D131" i="14"/>
  <c r="Q130" i="14"/>
  <c r="S130" i="14" s="1"/>
  <c r="N130" i="14"/>
  <c r="I130" i="14"/>
  <c r="H130" i="14"/>
  <c r="O130" i="14" s="1"/>
  <c r="G130" i="14"/>
  <c r="F130" i="14"/>
  <c r="E130" i="14"/>
  <c r="D130" i="14"/>
  <c r="M130" i="14" s="1"/>
  <c r="N129" i="14"/>
  <c r="M129" i="14"/>
  <c r="I129" i="14"/>
  <c r="O129" i="14" s="1"/>
  <c r="H129" i="14"/>
  <c r="G129" i="14"/>
  <c r="F129" i="14"/>
  <c r="E129" i="14"/>
  <c r="D129" i="14"/>
  <c r="I128" i="14"/>
  <c r="H128" i="14"/>
  <c r="O128" i="14" s="1"/>
  <c r="G128" i="14"/>
  <c r="F128" i="14"/>
  <c r="N128" i="14" s="1"/>
  <c r="E128" i="14"/>
  <c r="M128" i="14" s="1"/>
  <c r="D128" i="14"/>
  <c r="N127" i="14"/>
  <c r="I127" i="14"/>
  <c r="H127" i="14"/>
  <c r="O127" i="14" s="1"/>
  <c r="Q127" i="14" s="1"/>
  <c r="G127" i="14"/>
  <c r="F127" i="14"/>
  <c r="E127" i="14"/>
  <c r="D127" i="14"/>
  <c r="M127" i="14" s="1"/>
  <c r="N126" i="14"/>
  <c r="M126" i="14"/>
  <c r="I126" i="14"/>
  <c r="O126" i="14" s="1"/>
  <c r="H126" i="14"/>
  <c r="G126" i="14"/>
  <c r="F126" i="14"/>
  <c r="E126" i="14"/>
  <c r="D126" i="14"/>
  <c r="I125" i="14"/>
  <c r="H125" i="14"/>
  <c r="O125" i="14" s="1"/>
  <c r="G125" i="14"/>
  <c r="F125" i="14"/>
  <c r="N125" i="14" s="1"/>
  <c r="E125" i="14"/>
  <c r="M125" i="14" s="1"/>
  <c r="D125" i="14"/>
  <c r="Q124" i="14"/>
  <c r="N124" i="14"/>
  <c r="I124" i="14"/>
  <c r="H124" i="14"/>
  <c r="O124" i="14" s="1"/>
  <c r="G124" i="14"/>
  <c r="F124" i="14"/>
  <c r="E124" i="14"/>
  <c r="D124" i="14"/>
  <c r="M124" i="14" s="1"/>
  <c r="O123" i="14"/>
  <c r="N123" i="14"/>
  <c r="M123" i="14"/>
  <c r="I123" i="14"/>
  <c r="H123" i="14"/>
  <c r="G123" i="14"/>
  <c r="F123" i="14"/>
  <c r="E123" i="14"/>
  <c r="D123" i="14"/>
  <c r="I122" i="14"/>
  <c r="H122" i="14"/>
  <c r="O122" i="14" s="1"/>
  <c r="G122" i="14"/>
  <c r="F122" i="14"/>
  <c r="E122" i="14"/>
  <c r="M122" i="14" s="1"/>
  <c r="D122" i="14"/>
  <c r="T121" i="14"/>
  <c r="S121" i="14"/>
  <c r="R121" i="14"/>
  <c r="Q121" i="14"/>
  <c r="N121" i="14"/>
  <c r="I121" i="14"/>
  <c r="H121" i="14"/>
  <c r="O121" i="14" s="1"/>
  <c r="G121" i="14"/>
  <c r="F121" i="14"/>
  <c r="E121" i="14"/>
  <c r="D121" i="14"/>
  <c r="M121" i="14" s="1"/>
  <c r="O120" i="14"/>
  <c r="N120" i="14"/>
  <c r="M120" i="14"/>
  <c r="I120" i="14"/>
  <c r="H120" i="14"/>
  <c r="G120" i="14"/>
  <c r="F120" i="14"/>
  <c r="E120" i="14"/>
  <c r="D120" i="14"/>
  <c r="I119" i="14"/>
  <c r="H119" i="14"/>
  <c r="O119" i="14" s="1"/>
  <c r="G119" i="14"/>
  <c r="F119" i="14"/>
  <c r="E119" i="14"/>
  <c r="M119" i="14" s="1"/>
  <c r="D119" i="14"/>
  <c r="T118" i="14"/>
  <c r="N118" i="14"/>
  <c r="I118" i="14"/>
  <c r="H118" i="14"/>
  <c r="O118" i="14" s="1"/>
  <c r="Q118" i="14" s="1"/>
  <c r="G118" i="14"/>
  <c r="F118" i="14"/>
  <c r="E118" i="14"/>
  <c r="D118" i="14"/>
  <c r="M118" i="14" s="1"/>
  <c r="N117" i="14"/>
  <c r="M117" i="14"/>
  <c r="I117" i="14"/>
  <c r="O117" i="14" s="1"/>
  <c r="H117" i="14"/>
  <c r="G117" i="14"/>
  <c r="F117" i="14"/>
  <c r="E117" i="14"/>
  <c r="D117" i="14"/>
  <c r="I116" i="14"/>
  <c r="H116" i="14"/>
  <c r="O116" i="14" s="1"/>
  <c r="G116" i="14"/>
  <c r="F116" i="14"/>
  <c r="N116" i="14" s="1"/>
  <c r="E116" i="14"/>
  <c r="M116" i="14" s="1"/>
  <c r="D116" i="14"/>
  <c r="N115" i="14"/>
  <c r="I115" i="14"/>
  <c r="H115" i="14"/>
  <c r="O115" i="14" s="1"/>
  <c r="Q115" i="14" s="1"/>
  <c r="G115" i="14"/>
  <c r="F115" i="14"/>
  <c r="E115" i="14"/>
  <c r="D115" i="14"/>
  <c r="M115" i="14" s="1"/>
  <c r="N114" i="14"/>
  <c r="M114" i="14"/>
  <c r="I114" i="14"/>
  <c r="O114" i="14" s="1"/>
  <c r="H114" i="14"/>
  <c r="G114" i="14"/>
  <c r="F114" i="14"/>
  <c r="E114" i="14"/>
  <c r="D114" i="14"/>
  <c r="I113" i="14"/>
  <c r="H113" i="14"/>
  <c r="O113" i="14" s="1"/>
  <c r="G113" i="14"/>
  <c r="F113" i="14"/>
  <c r="N113" i="14" s="1"/>
  <c r="E113" i="14"/>
  <c r="M113" i="14" s="1"/>
  <c r="Q113" i="14" s="1"/>
  <c r="D113" i="14"/>
  <c r="N112" i="14"/>
  <c r="I112" i="14"/>
  <c r="H112" i="14"/>
  <c r="O112" i="14" s="1"/>
  <c r="Q112" i="14" s="1"/>
  <c r="G112" i="14"/>
  <c r="F112" i="14"/>
  <c r="E112" i="14"/>
  <c r="D112" i="14"/>
  <c r="M112" i="14" s="1"/>
  <c r="N111" i="14"/>
  <c r="M111" i="14"/>
  <c r="I111" i="14"/>
  <c r="O111" i="14" s="1"/>
  <c r="H111" i="14"/>
  <c r="G111" i="14"/>
  <c r="F111" i="14"/>
  <c r="E111" i="14"/>
  <c r="D111" i="14"/>
  <c r="I110" i="14"/>
  <c r="H110" i="14"/>
  <c r="O110" i="14" s="1"/>
  <c r="G110" i="14"/>
  <c r="F110" i="14"/>
  <c r="E110" i="14"/>
  <c r="M110" i="14" s="1"/>
  <c r="D110" i="14"/>
  <c r="N109" i="14"/>
  <c r="I109" i="14"/>
  <c r="H109" i="14"/>
  <c r="O109" i="14" s="1"/>
  <c r="Q109" i="14" s="1"/>
  <c r="G109" i="14"/>
  <c r="F109" i="14"/>
  <c r="E109" i="14"/>
  <c r="D109" i="14"/>
  <c r="M109" i="14" s="1"/>
  <c r="O108" i="14"/>
  <c r="N108" i="14"/>
  <c r="M108" i="14"/>
  <c r="I108" i="14"/>
  <c r="H108" i="14"/>
  <c r="G108" i="14"/>
  <c r="F108" i="14"/>
  <c r="E108" i="14"/>
  <c r="D108" i="14"/>
  <c r="I107" i="14"/>
  <c r="H107" i="14"/>
  <c r="O107" i="14" s="1"/>
  <c r="G107" i="14"/>
  <c r="F107" i="14"/>
  <c r="E107" i="14"/>
  <c r="M107" i="14" s="1"/>
  <c r="D107" i="14"/>
  <c r="Q106" i="14"/>
  <c r="N106" i="14"/>
  <c r="I106" i="14"/>
  <c r="H106" i="14"/>
  <c r="O106" i="14" s="1"/>
  <c r="G106" i="14"/>
  <c r="F106" i="14"/>
  <c r="E106" i="14"/>
  <c r="D106" i="14"/>
  <c r="M106" i="14" s="1"/>
  <c r="O105" i="14"/>
  <c r="N105" i="14"/>
  <c r="M105" i="14"/>
  <c r="I105" i="14"/>
  <c r="H105" i="14"/>
  <c r="G105" i="14"/>
  <c r="F105" i="14"/>
  <c r="E105" i="14"/>
  <c r="D105" i="14"/>
  <c r="I104" i="14"/>
  <c r="H104" i="14"/>
  <c r="O104" i="14" s="1"/>
  <c r="G104" i="14"/>
  <c r="F104" i="14"/>
  <c r="N104" i="14" s="1"/>
  <c r="E104" i="14"/>
  <c r="M104" i="14" s="1"/>
  <c r="D104" i="14"/>
  <c r="Q103" i="14"/>
  <c r="N103" i="14"/>
  <c r="I103" i="14"/>
  <c r="H103" i="14"/>
  <c r="O103" i="14" s="1"/>
  <c r="G103" i="14"/>
  <c r="F103" i="14"/>
  <c r="E103" i="14"/>
  <c r="D103" i="14"/>
  <c r="M103" i="14" s="1"/>
  <c r="N102" i="14"/>
  <c r="M102" i="14"/>
  <c r="I102" i="14"/>
  <c r="O102" i="14" s="1"/>
  <c r="H102" i="14"/>
  <c r="G102" i="14"/>
  <c r="F102" i="14"/>
  <c r="E102" i="14"/>
  <c r="D102" i="14"/>
  <c r="I101" i="14"/>
  <c r="H101" i="14"/>
  <c r="O101" i="14" s="1"/>
  <c r="G101" i="14"/>
  <c r="F101" i="14"/>
  <c r="N101" i="14" s="1"/>
  <c r="E101" i="14"/>
  <c r="M101" i="14" s="1"/>
  <c r="D101" i="14"/>
  <c r="N100" i="14"/>
  <c r="I100" i="14"/>
  <c r="H100" i="14"/>
  <c r="O100" i="14" s="1"/>
  <c r="Q100" i="14" s="1"/>
  <c r="G100" i="14"/>
  <c r="F100" i="14"/>
  <c r="E100" i="14"/>
  <c r="D100" i="14"/>
  <c r="M100" i="14" s="1"/>
  <c r="O99" i="14"/>
  <c r="N99" i="14"/>
  <c r="M99" i="14"/>
  <c r="I99" i="14"/>
  <c r="H99" i="14"/>
  <c r="G99" i="14"/>
  <c r="F99" i="14"/>
  <c r="E99" i="14"/>
  <c r="D99" i="14"/>
  <c r="I98" i="14"/>
  <c r="H98" i="14"/>
  <c r="O98" i="14" s="1"/>
  <c r="G98" i="14"/>
  <c r="F98" i="14"/>
  <c r="E98" i="14"/>
  <c r="M98" i="14" s="1"/>
  <c r="D98" i="14"/>
  <c r="Q97" i="14"/>
  <c r="N97" i="14"/>
  <c r="I97" i="14"/>
  <c r="H97" i="14"/>
  <c r="O97" i="14" s="1"/>
  <c r="G97" i="14"/>
  <c r="F97" i="14"/>
  <c r="E97" i="14"/>
  <c r="D97" i="14"/>
  <c r="M97" i="14" s="1"/>
  <c r="N96" i="14"/>
  <c r="M96" i="14"/>
  <c r="I96" i="14"/>
  <c r="O96" i="14" s="1"/>
  <c r="H96" i="14"/>
  <c r="G96" i="14"/>
  <c r="F96" i="14"/>
  <c r="E96" i="14"/>
  <c r="D96" i="14"/>
  <c r="I95" i="14"/>
  <c r="H95" i="14"/>
  <c r="O95" i="14" s="1"/>
  <c r="G95" i="14"/>
  <c r="F95" i="14"/>
  <c r="E95" i="14"/>
  <c r="M95" i="14" s="1"/>
  <c r="D95" i="14"/>
  <c r="N94" i="14"/>
  <c r="I94" i="14"/>
  <c r="H94" i="14"/>
  <c r="O94" i="14" s="1"/>
  <c r="Q94" i="14" s="1"/>
  <c r="G94" i="14"/>
  <c r="F94" i="14"/>
  <c r="E94" i="14"/>
  <c r="D94" i="14"/>
  <c r="M94" i="14" s="1"/>
  <c r="N93" i="14"/>
  <c r="M93" i="14"/>
  <c r="I93" i="14"/>
  <c r="O93" i="14" s="1"/>
  <c r="H93" i="14"/>
  <c r="G93" i="14"/>
  <c r="F93" i="14"/>
  <c r="E93" i="14"/>
  <c r="D93" i="14"/>
  <c r="I92" i="14"/>
  <c r="H92" i="14"/>
  <c r="O92" i="14" s="1"/>
  <c r="G92" i="14"/>
  <c r="F92" i="14"/>
  <c r="N92" i="14" s="1"/>
  <c r="E92" i="14"/>
  <c r="M92" i="14" s="1"/>
  <c r="D92" i="14"/>
  <c r="N91" i="14"/>
  <c r="I91" i="14"/>
  <c r="H91" i="14"/>
  <c r="O91" i="14" s="1"/>
  <c r="G91" i="14"/>
  <c r="F91" i="14"/>
  <c r="E91" i="14"/>
  <c r="D91" i="14"/>
  <c r="M91" i="14" s="1"/>
  <c r="Q91" i="14" s="1"/>
  <c r="R91" i="14" s="1"/>
  <c r="N90" i="14"/>
  <c r="M90" i="14"/>
  <c r="I90" i="14"/>
  <c r="O90" i="14" s="1"/>
  <c r="H90" i="14"/>
  <c r="G90" i="14"/>
  <c r="F90" i="14"/>
  <c r="E90" i="14"/>
  <c r="D90" i="14"/>
  <c r="Q89" i="14"/>
  <c r="I89" i="14"/>
  <c r="H89" i="14"/>
  <c r="O89" i="14" s="1"/>
  <c r="G89" i="14"/>
  <c r="F89" i="14"/>
  <c r="N89" i="14" s="1"/>
  <c r="E89" i="14"/>
  <c r="M89" i="14" s="1"/>
  <c r="D89" i="14"/>
  <c r="N88" i="14"/>
  <c r="I88" i="14"/>
  <c r="H88" i="14"/>
  <c r="G88" i="14"/>
  <c r="F88" i="14"/>
  <c r="E88" i="14"/>
  <c r="D88" i="14"/>
  <c r="M88" i="14" s="1"/>
  <c r="N87" i="14"/>
  <c r="I87" i="14"/>
  <c r="O87" i="14" s="1"/>
  <c r="H87" i="14"/>
  <c r="G87" i="14"/>
  <c r="F87" i="14"/>
  <c r="E87" i="14"/>
  <c r="M87" i="14" s="1"/>
  <c r="D87" i="14"/>
  <c r="I86" i="14"/>
  <c r="H86" i="14"/>
  <c r="O86" i="14" s="1"/>
  <c r="G86" i="14"/>
  <c r="F86" i="14"/>
  <c r="N86" i="14" s="1"/>
  <c r="Q86" i="14" s="1"/>
  <c r="E86" i="14"/>
  <c r="M86" i="14" s="1"/>
  <c r="D86" i="14"/>
  <c r="N85" i="14"/>
  <c r="I85" i="14"/>
  <c r="H85" i="14"/>
  <c r="G85" i="14"/>
  <c r="F85" i="14"/>
  <c r="E85" i="14"/>
  <c r="D85" i="14"/>
  <c r="M85" i="14" s="1"/>
  <c r="N84" i="14"/>
  <c r="I84" i="14"/>
  <c r="O84" i="14" s="1"/>
  <c r="H84" i="14"/>
  <c r="G84" i="14"/>
  <c r="F84" i="14"/>
  <c r="E84" i="14"/>
  <c r="M84" i="14" s="1"/>
  <c r="D84" i="14"/>
  <c r="W83" i="14"/>
  <c r="I83" i="14"/>
  <c r="H83" i="14"/>
  <c r="O83" i="14" s="1"/>
  <c r="Q83" i="14" s="1"/>
  <c r="R83" i="14" s="1"/>
  <c r="G83" i="14"/>
  <c r="F83" i="14"/>
  <c r="N83" i="14" s="1"/>
  <c r="E83" i="14"/>
  <c r="M83" i="14" s="1"/>
  <c r="D83" i="14"/>
  <c r="N82" i="14"/>
  <c r="M82" i="14"/>
  <c r="I82" i="14"/>
  <c r="H82" i="14"/>
  <c r="G82" i="14"/>
  <c r="F82" i="14"/>
  <c r="E82" i="14"/>
  <c r="D82" i="14"/>
  <c r="I81" i="14"/>
  <c r="O81" i="14" s="1"/>
  <c r="H81" i="14"/>
  <c r="G81" i="14"/>
  <c r="F81" i="14"/>
  <c r="N81" i="14" s="1"/>
  <c r="E81" i="14"/>
  <c r="M81" i="14" s="1"/>
  <c r="D81" i="14"/>
  <c r="I80" i="14"/>
  <c r="H80" i="14"/>
  <c r="O80" i="14" s="1"/>
  <c r="G80" i="14"/>
  <c r="F80" i="14"/>
  <c r="N80" i="14" s="1"/>
  <c r="E80" i="14"/>
  <c r="M80" i="14" s="1"/>
  <c r="D80" i="14"/>
  <c r="N79" i="14"/>
  <c r="I79" i="14"/>
  <c r="H79" i="14"/>
  <c r="G79" i="14"/>
  <c r="F79" i="14"/>
  <c r="E79" i="14"/>
  <c r="D79" i="14"/>
  <c r="M79" i="14" s="1"/>
  <c r="O78" i="14"/>
  <c r="M78" i="14"/>
  <c r="I78" i="14"/>
  <c r="H78" i="14"/>
  <c r="G78" i="14"/>
  <c r="F78" i="14"/>
  <c r="N78" i="14" s="1"/>
  <c r="E78" i="14"/>
  <c r="D78" i="14"/>
  <c r="I77" i="14"/>
  <c r="H77" i="14"/>
  <c r="O77" i="14" s="1"/>
  <c r="G77" i="14"/>
  <c r="F77" i="14"/>
  <c r="E77" i="14"/>
  <c r="M77" i="14" s="1"/>
  <c r="D77" i="14"/>
  <c r="N76" i="14"/>
  <c r="I76" i="14"/>
  <c r="H76" i="14"/>
  <c r="O76" i="14" s="1"/>
  <c r="G76" i="14"/>
  <c r="F76" i="14"/>
  <c r="E76" i="14"/>
  <c r="D76" i="14"/>
  <c r="M76" i="14" s="1"/>
  <c r="Q76" i="14" s="1"/>
  <c r="O75" i="14"/>
  <c r="M75" i="14"/>
  <c r="I75" i="14"/>
  <c r="H75" i="14"/>
  <c r="G75" i="14"/>
  <c r="F75" i="14"/>
  <c r="E75" i="14"/>
  <c r="D75" i="14"/>
  <c r="I74" i="14"/>
  <c r="H74" i="14"/>
  <c r="O74" i="14" s="1"/>
  <c r="G74" i="14"/>
  <c r="F74" i="14"/>
  <c r="E74" i="14"/>
  <c r="M74" i="14" s="1"/>
  <c r="D74" i="14"/>
  <c r="N73" i="14"/>
  <c r="I73" i="14"/>
  <c r="H73" i="14"/>
  <c r="O73" i="14" s="1"/>
  <c r="Q73" i="14" s="1"/>
  <c r="G73" i="14"/>
  <c r="F73" i="14"/>
  <c r="E73" i="14"/>
  <c r="D73" i="14"/>
  <c r="M73" i="14" s="1"/>
  <c r="N72" i="14"/>
  <c r="M72" i="14"/>
  <c r="I72" i="14"/>
  <c r="O72" i="14" s="1"/>
  <c r="H72" i="14"/>
  <c r="G72" i="14"/>
  <c r="F72" i="14"/>
  <c r="E72" i="14"/>
  <c r="D72" i="14"/>
  <c r="I71" i="14"/>
  <c r="H71" i="14"/>
  <c r="O71" i="14" s="1"/>
  <c r="G71" i="14"/>
  <c r="F71" i="14"/>
  <c r="N71" i="14" s="1"/>
  <c r="E71" i="14"/>
  <c r="M71" i="14" s="1"/>
  <c r="D71" i="14"/>
  <c r="N70" i="14"/>
  <c r="I70" i="14"/>
  <c r="H70" i="14"/>
  <c r="G70" i="14"/>
  <c r="F70" i="14"/>
  <c r="E70" i="14"/>
  <c r="D70" i="14"/>
  <c r="M70" i="14" s="1"/>
  <c r="O69" i="14"/>
  <c r="M69" i="14"/>
  <c r="I69" i="14"/>
  <c r="H69" i="14"/>
  <c r="G69" i="14"/>
  <c r="F69" i="14"/>
  <c r="N69" i="14" s="1"/>
  <c r="E69" i="14"/>
  <c r="D69" i="14"/>
  <c r="I68" i="14"/>
  <c r="H68" i="14"/>
  <c r="O68" i="14" s="1"/>
  <c r="G68" i="14"/>
  <c r="F68" i="14"/>
  <c r="N68" i="14" s="1"/>
  <c r="E68" i="14"/>
  <c r="M68" i="14" s="1"/>
  <c r="Q68" i="14" s="1"/>
  <c r="D68" i="14"/>
  <c r="Q67" i="14"/>
  <c r="N67" i="14"/>
  <c r="I67" i="14"/>
  <c r="H67" i="14"/>
  <c r="O67" i="14" s="1"/>
  <c r="G67" i="14"/>
  <c r="F67" i="14"/>
  <c r="E67" i="14"/>
  <c r="D67" i="14"/>
  <c r="M67" i="14" s="1"/>
  <c r="S66" i="14"/>
  <c r="I66" i="14"/>
  <c r="O66" i="14" s="1"/>
  <c r="H66" i="14"/>
  <c r="G66" i="14"/>
  <c r="F66" i="14"/>
  <c r="N66" i="14" s="1"/>
  <c r="E66" i="14"/>
  <c r="M66" i="14" s="1"/>
  <c r="Q66" i="14" s="1"/>
  <c r="D66" i="14"/>
  <c r="O65" i="14"/>
  <c r="M65" i="14"/>
  <c r="I65" i="14"/>
  <c r="H65" i="14"/>
  <c r="G65" i="14"/>
  <c r="F65" i="14"/>
  <c r="N65" i="14" s="1"/>
  <c r="E65" i="14"/>
  <c r="D65" i="14"/>
  <c r="I64" i="14"/>
  <c r="H64" i="14"/>
  <c r="G64" i="14"/>
  <c r="F64" i="14"/>
  <c r="N64" i="14" s="1"/>
  <c r="E64" i="14"/>
  <c r="D64" i="14"/>
  <c r="M64" i="14" s="1"/>
  <c r="I63" i="14"/>
  <c r="O63" i="14" s="1"/>
  <c r="H63" i="14"/>
  <c r="G63" i="14"/>
  <c r="F63" i="14"/>
  <c r="N63" i="14" s="1"/>
  <c r="E63" i="14"/>
  <c r="M63" i="14" s="1"/>
  <c r="D63" i="14"/>
  <c r="O62" i="14"/>
  <c r="M62" i="14"/>
  <c r="Q62" i="14" s="1"/>
  <c r="I62" i="14"/>
  <c r="H62" i="14"/>
  <c r="G62" i="14"/>
  <c r="F62" i="14"/>
  <c r="N62" i="14" s="1"/>
  <c r="E62" i="14"/>
  <c r="D62" i="14"/>
  <c r="O61" i="14"/>
  <c r="I61" i="14"/>
  <c r="H61" i="14"/>
  <c r="G61" i="14"/>
  <c r="F61" i="14"/>
  <c r="N61" i="14" s="1"/>
  <c r="E61" i="14"/>
  <c r="D61" i="14"/>
  <c r="M61" i="14" s="1"/>
  <c r="O60" i="14"/>
  <c r="M60" i="14"/>
  <c r="Q60" i="14" s="1"/>
  <c r="I60" i="14"/>
  <c r="H60" i="14"/>
  <c r="G60" i="14"/>
  <c r="F60" i="14"/>
  <c r="N60" i="14" s="1"/>
  <c r="E60" i="14"/>
  <c r="D60" i="14"/>
  <c r="O59" i="14"/>
  <c r="I59" i="14"/>
  <c r="H59" i="14"/>
  <c r="G59" i="14"/>
  <c r="F59" i="14"/>
  <c r="N59" i="14" s="1"/>
  <c r="E59" i="14"/>
  <c r="D59" i="14"/>
  <c r="M59" i="14" s="1"/>
  <c r="M58" i="14"/>
  <c r="I58" i="14"/>
  <c r="H58" i="14"/>
  <c r="O58" i="14" s="1"/>
  <c r="G58" i="14"/>
  <c r="F58" i="14"/>
  <c r="N58" i="14" s="1"/>
  <c r="E58" i="14"/>
  <c r="D58" i="14"/>
  <c r="O57" i="14"/>
  <c r="I57" i="14"/>
  <c r="H57" i="14"/>
  <c r="G57" i="14"/>
  <c r="F57" i="14"/>
  <c r="N57" i="14" s="1"/>
  <c r="E57" i="14"/>
  <c r="D57" i="14"/>
  <c r="M57" i="14" s="1"/>
  <c r="O56" i="14"/>
  <c r="N56" i="14"/>
  <c r="I56" i="14"/>
  <c r="H56" i="14"/>
  <c r="G56" i="14"/>
  <c r="F56" i="14"/>
  <c r="E56" i="14"/>
  <c r="D56" i="14"/>
  <c r="M56" i="14" s="1"/>
  <c r="Q56" i="14" s="1"/>
  <c r="O55" i="14"/>
  <c r="M55" i="14"/>
  <c r="I55" i="14"/>
  <c r="H55" i="14"/>
  <c r="G55" i="14"/>
  <c r="F55" i="14"/>
  <c r="E55" i="14"/>
  <c r="D55" i="14"/>
  <c r="I54" i="14"/>
  <c r="H54" i="14"/>
  <c r="O54" i="14" s="1"/>
  <c r="G54" i="14"/>
  <c r="F54" i="14"/>
  <c r="E54" i="14"/>
  <c r="D54" i="14"/>
  <c r="M54" i="14" s="1"/>
  <c r="N53" i="14"/>
  <c r="I53" i="14"/>
  <c r="H53" i="14"/>
  <c r="O53" i="14" s="1"/>
  <c r="G53" i="14"/>
  <c r="F53" i="14"/>
  <c r="E53" i="14"/>
  <c r="D53" i="14"/>
  <c r="M53" i="14" s="1"/>
  <c r="Q53" i="14" s="1"/>
  <c r="N52" i="14"/>
  <c r="I52" i="14"/>
  <c r="H52" i="14"/>
  <c r="O52" i="14" s="1"/>
  <c r="G52" i="14"/>
  <c r="F52" i="14"/>
  <c r="E52" i="14"/>
  <c r="D52" i="14"/>
  <c r="M52" i="14" s="1"/>
  <c r="Q52" i="14" s="1"/>
  <c r="O51" i="14"/>
  <c r="I51" i="14"/>
  <c r="H51" i="14"/>
  <c r="G51" i="14"/>
  <c r="F51" i="14"/>
  <c r="N51" i="14" s="1"/>
  <c r="E51" i="14"/>
  <c r="D51" i="14"/>
  <c r="O50" i="14"/>
  <c r="N50" i="14"/>
  <c r="I50" i="14"/>
  <c r="H50" i="14"/>
  <c r="G50" i="14"/>
  <c r="F50" i="14"/>
  <c r="E50" i="14"/>
  <c r="D50" i="14"/>
  <c r="M50" i="14" s="1"/>
  <c r="Q50" i="14" s="1"/>
  <c r="I49" i="14"/>
  <c r="O49" i="14" s="1"/>
  <c r="H49" i="14"/>
  <c r="G49" i="14"/>
  <c r="F49" i="14"/>
  <c r="N49" i="14" s="1"/>
  <c r="E49" i="14"/>
  <c r="D49" i="14"/>
  <c r="M49" i="14" s="1"/>
  <c r="Q49" i="14" s="1"/>
  <c r="O48" i="14"/>
  <c r="I48" i="14"/>
  <c r="H48" i="14"/>
  <c r="G48" i="14"/>
  <c r="F48" i="14"/>
  <c r="E48" i="14"/>
  <c r="D48" i="14"/>
  <c r="M48" i="14" s="1"/>
  <c r="T47" i="14"/>
  <c r="O47" i="14"/>
  <c r="N47" i="14"/>
  <c r="I47" i="14"/>
  <c r="H47" i="14"/>
  <c r="G47" i="14"/>
  <c r="F47" i="14"/>
  <c r="E47" i="14"/>
  <c r="D47" i="14"/>
  <c r="M47" i="14" s="1"/>
  <c r="Q47" i="14" s="1"/>
  <c r="M46" i="14"/>
  <c r="I46" i="14"/>
  <c r="H46" i="14"/>
  <c r="O46" i="14" s="1"/>
  <c r="G46" i="14"/>
  <c r="F46" i="14"/>
  <c r="E46" i="14"/>
  <c r="D46" i="14"/>
  <c r="O45" i="14"/>
  <c r="I45" i="14"/>
  <c r="H45" i="14"/>
  <c r="G45" i="14"/>
  <c r="F45" i="14"/>
  <c r="E45" i="14"/>
  <c r="D45" i="14"/>
  <c r="M45" i="14" s="1"/>
  <c r="N44" i="14"/>
  <c r="I44" i="14"/>
  <c r="H44" i="14"/>
  <c r="O44" i="14" s="1"/>
  <c r="G44" i="14"/>
  <c r="F44" i="14"/>
  <c r="E44" i="14"/>
  <c r="D44" i="14"/>
  <c r="M44" i="14" s="1"/>
  <c r="Q44" i="14" s="1"/>
  <c r="O43" i="14"/>
  <c r="I43" i="14"/>
  <c r="H43" i="14"/>
  <c r="G43" i="14"/>
  <c r="F43" i="14"/>
  <c r="N43" i="14" s="1"/>
  <c r="E43" i="14"/>
  <c r="D43" i="14"/>
  <c r="M43" i="14" s="1"/>
  <c r="Q43" i="14" s="1"/>
  <c r="I42" i="14"/>
  <c r="H42" i="14"/>
  <c r="O42" i="14" s="1"/>
  <c r="G42" i="14"/>
  <c r="F42" i="14"/>
  <c r="E42" i="14"/>
  <c r="D42" i="14"/>
  <c r="O41" i="14"/>
  <c r="N41" i="14"/>
  <c r="M41" i="14"/>
  <c r="Q41" i="14" s="1"/>
  <c r="I41" i="14"/>
  <c r="H41" i="14"/>
  <c r="G41" i="14"/>
  <c r="F41" i="14"/>
  <c r="E41" i="14"/>
  <c r="D41" i="14"/>
  <c r="I40" i="14"/>
  <c r="O40" i="14" s="1"/>
  <c r="H40" i="14"/>
  <c r="G40" i="14"/>
  <c r="F40" i="14"/>
  <c r="N40" i="14" s="1"/>
  <c r="E40" i="14"/>
  <c r="D40" i="14"/>
  <c r="M40" i="14" s="1"/>
  <c r="I39" i="14"/>
  <c r="H39" i="14"/>
  <c r="O39" i="14" s="1"/>
  <c r="G39" i="14"/>
  <c r="F39" i="14"/>
  <c r="N39" i="14" s="1"/>
  <c r="E39" i="14"/>
  <c r="D39" i="14"/>
  <c r="N38" i="14"/>
  <c r="M38" i="14"/>
  <c r="Q38" i="14" s="1"/>
  <c r="I38" i="14"/>
  <c r="O38" i="14" s="1"/>
  <c r="H38" i="14"/>
  <c r="G38" i="14"/>
  <c r="F38" i="14"/>
  <c r="E38" i="14"/>
  <c r="D38" i="14"/>
  <c r="N37" i="14"/>
  <c r="I37" i="14"/>
  <c r="H37" i="14"/>
  <c r="O37" i="14" s="1"/>
  <c r="G37" i="14"/>
  <c r="F37" i="14"/>
  <c r="E37" i="14"/>
  <c r="D37" i="14"/>
  <c r="M37" i="14" s="1"/>
  <c r="Q37" i="14" s="1"/>
  <c r="O36" i="14"/>
  <c r="I36" i="14"/>
  <c r="H36" i="14"/>
  <c r="G36" i="14"/>
  <c r="F36" i="14"/>
  <c r="N36" i="14" s="1"/>
  <c r="E36" i="14"/>
  <c r="D36" i="14"/>
  <c r="M36" i="14" s="1"/>
  <c r="Q36" i="14" s="1"/>
  <c r="N35" i="14"/>
  <c r="M35" i="14"/>
  <c r="I35" i="14"/>
  <c r="H35" i="14"/>
  <c r="O35" i="14" s="1"/>
  <c r="G35" i="14"/>
  <c r="F35" i="14"/>
  <c r="E35" i="14"/>
  <c r="D35" i="14"/>
  <c r="O34" i="14"/>
  <c r="N34" i="14"/>
  <c r="I34" i="14"/>
  <c r="H34" i="14"/>
  <c r="G34" i="14"/>
  <c r="F34" i="14"/>
  <c r="E34" i="14"/>
  <c r="M34" i="14" s="1"/>
  <c r="D34" i="14"/>
  <c r="I33" i="14"/>
  <c r="H33" i="14"/>
  <c r="O33" i="14" s="1"/>
  <c r="G33" i="14"/>
  <c r="F33" i="14"/>
  <c r="E33" i="14"/>
  <c r="D33" i="14"/>
  <c r="M33" i="14" s="1"/>
  <c r="O32" i="14"/>
  <c r="N32" i="14"/>
  <c r="I32" i="14"/>
  <c r="H32" i="14"/>
  <c r="G32" i="14"/>
  <c r="F32" i="14"/>
  <c r="E32" i="14"/>
  <c r="D32" i="14"/>
  <c r="M32" i="14" s="1"/>
  <c r="Q32" i="14" s="1"/>
  <c r="M31" i="14"/>
  <c r="I31" i="14"/>
  <c r="O31" i="14" s="1"/>
  <c r="H31" i="14"/>
  <c r="G31" i="14"/>
  <c r="F31" i="14"/>
  <c r="N31" i="14" s="1"/>
  <c r="E31" i="14"/>
  <c r="D31" i="14"/>
  <c r="O30" i="14"/>
  <c r="I30" i="14"/>
  <c r="H30" i="14"/>
  <c r="G30" i="14"/>
  <c r="F30" i="14"/>
  <c r="N30" i="14" s="1"/>
  <c r="E30" i="14"/>
  <c r="D30" i="14"/>
  <c r="N29" i="14"/>
  <c r="I29" i="14"/>
  <c r="H29" i="14"/>
  <c r="O29" i="14" s="1"/>
  <c r="G29" i="14"/>
  <c r="F29" i="14"/>
  <c r="E29" i="14"/>
  <c r="D29" i="14"/>
  <c r="M29" i="14" s="1"/>
  <c r="Q29" i="14" s="1"/>
  <c r="M28" i="14"/>
  <c r="I28" i="14"/>
  <c r="H28" i="14"/>
  <c r="O28" i="14" s="1"/>
  <c r="G28" i="14"/>
  <c r="F28" i="14"/>
  <c r="N28" i="14" s="1"/>
  <c r="E28" i="14"/>
  <c r="D28" i="14"/>
  <c r="O27" i="14"/>
  <c r="I27" i="14"/>
  <c r="H27" i="14"/>
  <c r="G27" i="14"/>
  <c r="F27" i="14"/>
  <c r="E27" i="14"/>
  <c r="D27" i="14"/>
  <c r="M27" i="14" s="1"/>
  <c r="I26" i="14"/>
  <c r="H26" i="14"/>
  <c r="O26" i="14" s="1"/>
  <c r="Q26" i="14" s="1"/>
  <c r="G26" i="14"/>
  <c r="N26" i="14" s="1"/>
  <c r="F26" i="14"/>
  <c r="E26" i="14"/>
  <c r="D26" i="14"/>
  <c r="M26" i="14" s="1"/>
  <c r="M25" i="14"/>
  <c r="I25" i="14"/>
  <c r="H25" i="14"/>
  <c r="O25" i="14" s="1"/>
  <c r="G25" i="14"/>
  <c r="F25" i="14"/>
  <c r="E25" i="14"/>
  <c r="D25" i="14"/>
  <c r="O24" i="14"/>
  <c r="I24" i="14"/>
  <c r="H24" i="14"/>
  <c r="G24" i="14"/>
  <c r="F24" i="14"/>
  <c r="N24" i="14" s="1"/>
  <c r="E24" i="14"/>
  <c r="D24" i="14"/>
  <c r="I23" i="14"/>
  <c r="O23" i="14" s="1"/>
  <c r="H23" i="14"/>
  <c r="G23" i="14"/>
  <c r="N23" i="14" s="1"/>
  <c r="F23" i="14"/>
  <c r="E23" i="14"/>
  <c r="D23" i="14"/>
  <c r="M23" i="14" s="1"/>
  <c r="Q23" i="14" s="1"/>
  <c r="O22" i="14"/>
  <c r="M22" i="14"/>
  <c r="I22" i="14"/>
  <c r="H22" i="14"/>
  <c r="G22" i="14"/>
  <c r="F22" i="14"/>
  <c r="N22" i="14" s="1"/>
  <c r="Q22" i="14" s="1"/>
  <c r="E22" i="14"/>
  <c r="D22" i="14"/>
  <c r="I21" i="14"/>
  <c r="H21" i="14"/>
  <c r="O21" i="14" s="1"/>
  <c r="G21" i="14"/>
  <c r="F21" i="14"/>
  <c r="N21" i="14" s="1"/>
  <c r="E21" i="14"/>
  <c r="D21" i="14"/>
  <c r="O20" i="14"/>
  <c r="N20" i="14"/>
  <c r="I20" i="14"/>
  <c r="H20" i="14"/>
  <c r="G20" i="14"/>
  <c r="F20" i="14"/>
  <c r="E20" i="14"/>
  <c r="M20" i="14" s="1"/>
  <c r="D20" i="14"/>
  <c r="O19" i="14"/>
  <c r="I19" i="14"/>
  <c r="H19" i="14"/>
  <c r="G19" i="14"/>
  <c r="F19" i="14"/>
  <c r="N19" i="14" s="1"/>
  <c r="E19" i="14"/>
  <c r="D19" i="14"/>
  <c r="O18" i="14"/>
  <c r="N18" i="14"/>
  <c r="I18" i="14"/>
  <c r="H18" i="14"/>
  <c r="G18" i="14"/>
  <c r="F18" i="14"/>
  <c r="E18" i="14"/>
  <c r="D18" i="14"/>
  <c r="O17" i="14"/>
  <c r="N17" i="14"/>
  <c r="I17" i="14"/>
  <c r="H17" i="14"/>
  <c r="G17" i="14"/>
  <c r="F17" i="14"/>
  <c r="E17" i="14"/>
  <c r="D17" i="14"/>
  <c r="M17" i="14" s="1"/>
  <c r="Q17" i="14" s="1"/>
  <c r="T17" i="14" s="1"/>
  <c r="N16" i="14"/>
  <c r="M16" i="14"/>
  <c r="I16" i="14"/>
  <c r="H16" i="14"/>
  <c r="O16" i="14" s="1"/>
  <c r="G16" i="14"/>
  <c r="F16" i="14"/>
  <c r="E16" i="14"/>
  <c r="D16" i="14"/>
  <c r="N15" i="14"/>
  <c r="I15" i="14"/>
  <c r="O15" i="14" s="1"/>
  <c r="H15" i="14"/>
  <c r="G15" i="14"/>
  <c r="F15" i="14"/>
  <c r="E15" i="14"/>
  <c r="D15" i="14"/>
  <c r="M15" i="14" s="1"/>
  <c r="M14" i="14"/>
  <c r="Q14" i="14" s="1"/>
  <c r="I14" i="14"/>
  <c r="O14" i="14" s="1"/>
  <c r="H14" i="14"/>
  <c r="G14" i="14"/>
  <c r="N14" i="14" s="1"/>
  <c r="F14" i="14"/>
  <c r="E14" i="14"/>
  <c r="D14" i="14"/>
  <c r="I13" i="14"/>
  <c r="O13" i="14" s="1"/>
  <c r="H13" i="14"/>
  <c r="G13" i="14"/>
  <c r="F13" i="14"/>
  <c r="N13" i="14" s="1"/>
  <c r="E13" i="14"/>
  <c r="D13" i="14"/>
  <c r="M13" i="14" s="1"/>
  <c r="Q13" i="14" s="1"/>
  <c r="I12" i="14"/>
  <c r="H12" i="14"/>
  <c r="G12" i="14"/>
  <c r="F12" i="14"/>
  <c r="N12" i="14" s="1"/>
  <c r="E12" i="14"/>
  <c r="D12" i="14"/>
  <c r="M12" i="14" s="1"/>
  <c r="S11" i="14"/>
  <c r="R11" i="14"/>
  <c r="N11" i="14"/>
  <c r="I11" i="14"/>
  <c r="H11" i="14"/>
  <c r="O11" i="14" s="1"/>
  <c r="G11" i="14"/>
  <c r="F11" i="14"/>
  <c r="E11" i="14"/>
  <c r="M11" i="14" s="1"/>
  <c r="Q11" i="14" s="1"/>
  <c r="T11" i="14" s="1"/>
  <c r="D11" i="14"/>
  <c r="N10" i="14"/>
  <c r="I10" i="14"/>
  <c r="H10" i="14"/>
  <c r="O10" i="14" s="1"/>
  <c r="G10" i="14"/>
  <c r="F10" i="14"/>
  <c r="E10" i="14"/>
  <c r="D10" i="14"/>
  <c r="M10" i="14" s="1"/>
  <c r="I9" i="14"/>
  <c r="H9" i="14"/>
  <c r="O9" i="14" s="1"/>
  <c r="G9" i="14"/>
  <c r="N9" i="14" s="1"/>
  <c r="F9" i="14"/>
  <c r="E9" i="14"/>
  <c r="D9" i="14"/>
  <c r="M9" i="14" s="1"/>
  <c r="M8" i="14"/>
  <c r="I8" i="14"/>
  <c r="H8" i="14"/>
  <c r="O8" i="14" s="1"/>
  <c r="G8" i="14"/>
  <c r="N8" i="14" s="1"/>
  <c r="F8" i="14"/>
  <c r="E8" i="14"/>
  <c r="D8" i="14"/>
  <c r="I7" i="14"/>
  <c r="H7" i="14"/>
  <c r="O7" i="14" s="1"/>
  <c r="G7" i="14"/>
  <c r="N7" i="14" s="1"/>
  <c r="F7" i="14"/>
  <c r="E7" i="14"/>
  <c r="D7" i="14"/>
  <c r="M7" i="14" s="1"/>
  <c r="Q7" i="14" s="1"/>
  <c r="C6" i="14"/>
  <c r="H94" i="13"/>
  <c r="G94" i="13"/>
  <c r="F94" i="13"/>
  <c r="E94" i="13"/>
  <c r="H93" i="13"/>
  <c r="G93" i="13"/>
  <c r="F93" i="13"/>
  <c r="E93" i="13"/>
  <c r="H92" i="13"/>
  <c r="G92" i="13"/>
  <c r="F92" i="13"/>
  <c r="E92" i="13"/>
  <c r="H91" i="13"/>
  <c r="G91" i="13"/>
  <c r="F91" i="13"/>
  <c r="E91" i="13"/>
  <c r="H90" i="13"/>
  <c r="G90" i="13"/>
  <c r="F90" i="13"/>
  <c r="E90" i="13"/>
  <c r="H89" i="13"/>
  <c r="G89" i="13"/>
  <c r="F89" i="13"/>
  <c r="E89" i="13"/>
  <c r="H88" i="13"/>
  <c r="G88" i="13"/>
  <c r="F88" i="13"/>
  <c r="E88" i="13"/>
  <c r="H87" i="13"/>
  <c r="G87" i="13"/>
  <c r="F87" i="13"/>
  <c r="E87" i="13"/>
  <c r="H86" i="13"/>
  <c r="G86" i="13"/>
  <c r="F86" i="13"/>
  <c r="E86" i="13"/>
  <c r="U80" i="13"/>
  <c r="P80" i="13"/>
  <c r="X80" i="13" s="1"/>
  <c r="O80" i="13"/>
  <c r="N80" i="13"/>
  <c r="M80" i="13"/>
  <c r="P79" i="13"/>
  <c r="O79" i="13"/>
  <c r="N79" i="13"/>
  <c r="M79" i="13"/>
  <c r="X78" i="13"/>
  <c r="W78" i="13"/>
  <c r="P78" i="13"/>
  <c r="O78" i="13"/>
  <c r="N78" i="13"/>
  <c r="V78" i="13" s="1"/>
  <c r="M78" i="13"/>
  <c r="P77" i="13"/>
  <c r="X77" i="13" s="1"/>
  <c r="O77" i="13"/>
  <c r="W77" i="13" s="1"/>
  <c r="N77" i="13"/>
  <c r="M77" i="13"/>
  <c r="P76" i="13"/>
  <c r="O76" i="13"/>
  <c r="N76" i="13"/>
  <c r="M76" i="13"/>
  <c r="W75" i="13"/>
  <c r="V75" i="13"/>
  <c r="P75" i="13"/>
  <c r="O75" i="13"/>
  <c r="N75" i="13"/>
  <c r="M75" i="13"/>
  <c r="P74" i="13"/>
  <c r="O74" i="13"/>
  <c r="N74" i="13"/>
  <c r="M74" i="13"/>
  <c r="V73" i="13"/>
  <c r="P73" i="13"/>
  <c r="O73" i="13"/>
  <c r="W73" i="13" s="1"/>
  <c r="N73" i="13"/>
  <c r="M73" i="13"/>
  <c r="U73" i="13" s="1"/>
  <c r="V72" i="13"/>
  <c r="U72" i="13"/>
  <c r="P72" i="13"/>
  <c r="O72" i="13"/>
  <c r="N72" i="13"/>
  <c r="M72" i="13"/>
  <c r="P71" i="13"/>
  <c r="O71" i="13"/>
  <c r="O93" i="13" s="1"/>
  <c r="N71" i="13"/>
  <c r="N93" i="13" s="1"/>
  <c r="M71" i="13"/>
  <c r="U70" i="13"/>
  <c r="P70" i="13"/>
  <c r="O70" i="13"/>
  <c r="W70" i="13" s="1"/>
  <c r="N70" i="13"/>
  <c r="V70" i="13" s="1"/>
  <c r="M70" i="13"/>
  <c r="P69" i="13"/>
  <c r="O69" i="13"/>
  <c r="N69" i="13"/>
  <c r="M69" i="13"/>
  <c r="W68" i="13"/>
  <c r="V68" i="13"/>
  <c r="P68" i="13"/>
  <c r="X68" i="13" s="1"/>
  <c r="O68" i="13"/>
  <c r="N68" i="13"/>
  <c r="M68" i="13"/>
  <c r="U68" i="13" s="1"/>
  <c r="P67" i="13"/>
  <c r="X67" i="13" s="1"/>
  <c r="O67" i="13"/>
  <c r="N67" i="13"/>
  <c r="V67" i="13" s="1"/>
  <c r="M67" i="13"/>
  <c r="P66" i="13"/>
  <c r="P92" i="13" s="1"/>
  <c r="O66" i="13"/>
  <c r="N66" i="13"/>
  <c r="M66" i="13"/>
  <c r="X65" i="13"/>
  <c r="V65" i="13"/>
  <c r="U65" i="13"/>
  <c r="P65" i="13"/>
  <c r="O65" i="13"/>
  <c r="W65" i="13" s="1"/>
  <c r="N65" i="13"/>
  <c r="M65" i="13"/>
  <c r="P64" i="13"/>
  <c r="O64" i="13"/>
  <c r="N64" i="13"/>
  <c r="M64" i="13"/>
  <c r="X63" i="13"/>
  <c r="W63" i="13"/>
  <c r="U63" i="13"/>
  <c r="P63" i="13"/>
  <c r="O63" i="13"/>
  <c r="N63" i="13"/>
  <c r="V63" i="13" s="1"/>
  <c r="M63" i="13"/>
  <c r="W62" i="13"/>
  <c r="U62" i="13"/>
  <c r="P62" i="13"/>
  <c r="O62" i="13"/>
  <c r="O91" i="13" s="1"/>
  <c r="N62" i="13"/>
  <c r="V62" i="13" s="1"/>
  <c r="M62" i="13"/>
  <c r="P61" i="13"/>
  <c r="O61" i="13"/>
  <c r="N61" i="13"/>
  <c r="N91" i="13" s="1"/>
  <c r="M61" i="13"/>
  <c r="X60" i="13"/>
  <c r="W60" i="13"/>
  <c r="P60" i="13"/>
  <c r="O60" i="13"/>
  <c r="N60" i="13"/>
  <c r="V60" i="13" s="1"/>
  <c r="M60" i="13"/>
  <c r="U60" i="13" s="1"/>
  <c r="P59" i="13"/>
  <c r="O59" i="13"/>
  <c r="N59" i="13"/>
  <c r="M59" i="13"/>
  <c r="V58" i="13"/>
  <c r="U58" i="13"/>
  <c r="P58" i="13"/>
  <c r="X58" i="13" s="1"/>
  <c r="O58" i="13"/>
  <c r="W58" i="13" s="1"/>
  <c r="N58" i="13"/>
  <c r="M58" i="13"/>
  <c r="W57" i="13"/>
  <c r="V57" i="13"/>
  <c r="P57" i="13"/>
  <c r="X57" i="13" s="1"/>
  <c r="O57" i="13"/>
  <c r="N57" i="13"/>
  <c r="M57" i="13"/>
  <c r="M90" i="13" s="1"/>
  <c r="P56" i="13"/>
  <c r="O56" i="13"/>
  <c r="N56" i="13"/>
  <c r="M56" i="13"/>
  <c r="P55" i="13"/>
  <c r="X55" i="13" s="1"/>
  <c r="O55" i="13"/>
  <c r="W55" i="13" s="1"/>
  <c r="N55" i="13"/>
  <c r="M55" i="13"/>
  <c r="P54" i="13"/>
  <c r="O54" i="13"/>
  <c r="N54" i="13"/>
  <c r="M54" i="13"/>
  <c r="X53" i="13"/>
  <c r="W53" i="13"/>
  <c r="P53" i="13"/>
  <c r="O53" i="13"/>
  <c r="N53" i="13"/>
  <c r="V53" i="13" s="1"/>
  <c r="M53" i="13"/>
  <c r="X52" i="13"/>
  <c r="P52" i="13"/>
  <c r="O52" i="13"/>
  <c r="W52" i="13" s="1"/>
  <c r="N52" i="13"/>
  <c r="V52" i="13" s="1"/>
  <c r="M52" i="13"/>
  <c r="P51" i="13"/>
  <c r="O51" i="13"/>
  <c r="N51" i="13"/>
  <c r="N89" i="13" s="1"/>
  <c r="M51" i="13"/>
  <c r="W50" i="13"/>
  <c r="V50" i="13"/>
  <c r="P50" i="13"/>
  <c r="O50" i="13"/>
  <c r="N50" i="13"/>
  <c r="M50" i="13"/>
  <c r="U50" i="13" s="1"/>
  <c r="P49" i="13"/>
  <c r="O49" i="13"/>
  <c r="N49" i="13"/>
  <c r="M49" i="13"/>
  <c r="W48" i="13"/>
  <c r="V48" i="13"/>
  <c r="P48" i="13"/>
  <c r="O48" i="13"/>
  <c r="N48" i="13"/>
  <c r="M48" i="13"/>
  <c r="U48" i="13" s="1"/>
  <c r="V47" i="13"/>
  <c r="U47" i="13"/>
  <c r="P47" i="13"/>
  <c r="O47" i="13"/>
  <c r="N47" i="13"/>
  <c r="M47" i="13"/>
  <c r="P46" i="13"/>
  <c r="O46" i="13"/>
  <c r="O88" i="13" s="1"/>
  <c r="N46" i="13"/>
  <c r="N88" i="13" s="1"/>
  <c r="M46" i="13"/>
  <c r="X45" i="13"/>
  <c r="U45" i="13"/>
  <c r="P45" i="13"/>
  <c r="O45" i="13"/>
  <c r="N45" i="13"/>
  <c r="V45" i="13" s="1"/>
  <c r="M45" i="13"/>
  <c r="P44" i="13"/>
  <c r="O44" i="13"/>
  <c r="N44" i="13"/>
  <c r="M44" i="13"/>
  <c r="V43" i="13"/>
  <c r="U43" i="13"/>
  <c r="P43" i="13"/>
  <c r="X43" i="13" s="1"/>
  <c r="O43" i="13"/>
  <c r="W43" i="13" s="1"/>
  <c r="N43" i="13"/>
  <c r="M43" i="13"/>
  <c r="X42" i="13"/>
  <c r="W42" i="13"/>
  <c r="P42" i="13"/>
  <c r="O42" i="13"/>
  <c r="N42" i="13"/>
  <c r="V42" i="13" s="1"/>
  <c r="M42" i="13"/>
  <c r="P41" i="13"/>
  <c r="P87" i="13" s="1"/>
  <c r="O41" i="13"/>
  <c r="N41" i="13"/>
  <c r="M41" i="13"/>
  <c r="U40" i="13"/>
  <c r="P40" i="13"/>
  <c r="X40" i="13" s="1"/>
  <c r="O40" i="13"/>
  <c r="W40" i="13" s="1"/>
  <c r="N40" i="13"/>
  <c r="V40" i="13" s="1"/>
  <c r="M40" i="13"/>
  <c r="P39" i="13"/>
  <c r="O39" i="13"/>
  <c r="N39" i="13"/>
  <c r="M39" i="13"/>
  <c r="X38" i="13"/>
  <c r="U38" i="13"/>
  <c r="P38" i="13"/>
  <c r="O38" i="13"/>
  <c r="W38" i="13" s="1"/>
  <c r="N38" i="13"/>
  <c r="V38" i="13" s="1"/>
  <c r="M38" i="13"/>
  <c r="V37" i="13"/>
  <c r="P37" i="13"/>
  <c r="O37" i="13"/>
  <c r="N37" i="13"/>
  <c r="M37" i="13"/>
  <c r="U37" i="13" s="1"/>
  <c r="P36" i="13"/>
  <c r="O36" i="13"/>
  <c r="N36" i="13"/>
  <c r="N86" i="13" s="1"/>
  <c r="M36" i="13"/>
  <c r="H28" i="13"/>
  <c r="G28" i="13"/>
  <c r="E28" i="13"/>
  <c r="F27" i="13"/>
  <c r="E27" i="13"/>
  <c r="H26" i="13"/>
  <c r="G26" i="13"/>
  <c r="F26" i="13"/>
  <c r="F28" i="13" s="1"/>
  <c r="E26" i="13"/>
  <c r="H25" i="13"/>
  <c r="H27" i="13" s="1"/>
  <c r="G25" i="13"/>
  <c r="G27" i="13" s="1"/>
  <c r="F25" i="13"/>
  <c r="E25" i="13"/>
  <c r="H20" i="13"/>
  <c r="E20" i="13"/>
  <c r="H18" i="13"/>
  <c r="G18" i="13"/>
  <c r="G20" i="13" s="1"/>
  <c r="F18" i="13"/>
  <c r="F20" i="13" s="1"/>
  <c r="E18" i="13"/>
  <c r="H17" i="13"/>
  <c r="H19" i="13" s="1"/>
  <c r="G17" i="13"/>
  <c r="G19" i="13" s="1"/>
  <c r="F17" i="13"/>
  <c r="F19" i="13" s="1"/>
  <c r="E17" i="13"/>
  <c r="E19" i="13" s="1"/>
  <c r="H12" i="13"/>
  <c r="F12" i="13"/>
  <c r="H11" i="13"/>
  <c r="F11" i="13"/>
  <c r="E11" i="13"/>
  <c r="H10" i="13"/>
  <c r="G10" i="13"/>
  <c r="G12" i="13" s="1"/>
  <c r="F10" i="13"/>
  <c r="E10" i="13"/>
  <c r="E12" i="13" s="1"/>
  <c r="H9" i="13"/>
  <c r="G9" i="13"/>
  <c r="G11" i="13" s="1"/>
  <c r="F9" i="13"/>
  <c r="E9" i="13"/>
  <c r="P13" i="12"/>
  <c r="O13" i="12"/>
  <c r="N13" i="12"/>
  <c r="Q13" i="12" s="1"/>
  <c r="P12" i="12"/>
  <c r="O12" i="12"/>
  <c r="Q12" i="12" s="1"/>
  <c r="N12" i="12"/>
  <c r="P11" i="12"/>
  <c r="O11" i="12"/>
  <c r="N11" i="12"/>
  <c r="Q11" i="12" s="1"/>
  <c r="C6" i="12"/>
  <c r="C5" i="12"/>
  <c r="D33" i="10"/>
  <c r="D31" i="10"/>
  <c r="W80" i="13" s="1"/>
  <c r="D30" i="10"/>
  <c r="D26" i="10"/>
  <c r="D29" i="10" s="1"/>
  <c r="D34" i="10" s="1"/>
  <c r="D25" i="10"/>
  <c r="D32" i="10" s="1"/>
  <c r="D6" i="10"/>
  <c r="D5" i="10"/>
  <c r="L228" i="9"/>
  <c r="K228" i="9"/>
  <c r="J228" i="9"/>
  <c r="C233" i="14" s="1"/>
  <c r="I228" i="9"/>
  <c r="H228" i="9"/>
  <c r="G228" i="9"/>
  <c r="F228" i="9"/>
  <c r="E228" i="9"/>
  <c r="D228" i="9"/>
  <c r="L227" i="9"/>
  <c r="K227" i="9"/>
  <c r="J227" i="9"/>
  <c r="C232" i="14" s="1"/>
  <c r="I227" i="9"/>
  <c r="H227" i="9"/>
  <c r="G227" i="9"/>
  <c r="F227" i="9"/>
  <c r="E227" i="9"/>
  <c r="D227" i="9"/>
  <c r="L226" i="9"/>
  <c r="K226" i="9"/>
  <c r="J226" i="9"/>
  <c r="C231" i="14" s="1"/>
  <c r="I226" i="9"/>
  <c r="H226" i="9"/>
  <c r="G226" i="9"/>
  <c r="F226" i="9"/>
  <c r="E226" i="9"/>
  <c r="D226" i="9"/>
  <c r="L225" i="9"/>
  <c r="K225" i="9"/>
  <c r="J225" i="9"/>
  <c r="C230" i="14" s="1"/>
  <c r="I225" i="9"/>
  <c r="H225" i="9"/>
  <c r="G225" i="9"/>
  <c r="F225" i="9"/>
  <c r="E225" i="9"/>
  <c r="D225" i="9"/>
  <c r="J224" i="9"/>
  <c r="C229" i="14" s="1"/>
  <c r="G224" i="9"/>
  <c r="D224" i="9"/>
  <c r="J223" i="9"/>
  <c r="C228" i="14" s="1"/>
  <c r="G223" i="9"/>
  <c r="E223" i="9"/>
  <c r="D223" i="9"/>
  <c r="F222" i="9"/>
  <c r="L218" i="9"/>
  <c r="I218" i="9"/>
  <c r="F218" i="9"/>
  <c r="L216" i="9"/>
  <c r="K216" i="9"/>
  <c r="I216" i="9"/>
  <c r="H216" i="9"/>
  <c r="F216" i="9"/>
  <c r="E216" i="9"/>
  <c r="K213" i="9"/>
  <c r="H213" i="9"/>
  <c r="E213" i="9"/>
  <c r="L212" i="9"/>
  <c r="K212" i="9"/>
  <c r="J212" i="9"/>
  <c r="C217" i="14" s="1"/>
  <c r="I212" i="9"/>
  <c r="H212" i="9"/>
  <c r="M212" i="9" s="1"/>
  <c r="G212" i="9"/>
  <c r="F212" i="9"/>
  <c r="E212" i="9"/>
  <c r="D212" i="9"/>
  <c r="K211" i="9"/>
  <c r="H211" i="9"/>
  <c r="E211" i="9"/>
  <c r="K210" i="9"/>
  <c r="H210" i="9"/>
  <c r="E210" i="9"/>
  <c r="K209" i="9"/>
  <c r="H209" i="9"/>
  <c r="E209" i="9"/>
  <c r="K208" i="9"/>
  <c r="H208" i="9"/>
  <c r="E208" i="9"/>
  <c r="K207" i="9"/>
  <c r="H207" i="9"/>
  <c r="E207" i="9"/>
  <c r="K206" i="9"/>
  <c r="H206" i="9"/>
  <c r="E206" i="9"/>
  <c r="K205" i="9"/>
  <c r="H205" i="9"/>
  <c r="E205" i="9"/>
  <c r="K204" i="9"/>
  <c r="H204" i="9"/>
  <c r="E204" i="9"/>
  <c r="J179" i="9"/>
  <c r="C184" i="14" s="1"/>
  <c r="G179" i="9"/>
  <c r="D179" i="9"/>
  <c r="L177" i="9"/>
  <c r="I177" i="9"/>
  <c r="F177" i="9"/>
  <c r="L166" i="9"/>
  <c r="I166" i="9"/>
  <c r="F166" i="9"/>
  <c r="F147" i="9"/>
  <c r="E147" i="9"/>
  <c r="D147" i="9"/>
  <c r="L133" i="9"/>
  <c r="M133" i="9" s="1"/>
  <c r="K133" i="9"/>
  <c r="I133" i="9"/>
  <c r="H133" i="9"/>
  <c r="F133" i="9"/>
  <c r="E133" i="9"/>
  <c r="F94" i="9"/>
  <c r="E94" i="9"/>
  <c r="D94" i="9"/>
  <c r="F60" i="9"/>
  <c r="E60" i="9"/>
  <c r="D60" i="9"/>
  <c r="L31" i="9"/>
  <c r="I31" i="9"/>
  <c r="F31" i="9"/>
  <c r="AE220" i="7"/>
  <c r="AE219" i="7"/>
  <c r="AE218" i="7"/>
  <c r="L217" i="7"/>
  <c r="J217" i="7"/>
  <c r="G217" i="7"/>
  <c r="D217" i="7"/>
  <c r="AA217" i="7" s="1"/>
  <c r="I224" i="9" s="1"/>
  <c r="L216" i="7"/>
  <c r="J216" i="7"/>
  <c r="G216" i="7"/>
  <c r="AA216" i="7" s="1"/>
  <c r="I223" i="9" s="1"/>
  <c r="D216" i="7"/>
  <c r="L215" i="7"/>
  <c r="J215" i="7"/>
  <c r="G215" i="7"/>
  <c r="D215" i="7"/>
  <c r="AA215" i="7" s="1"/>
  <c r="I222" i="9" s="1"/>
  <c r="L214" i="7"/>
  <c r="J214" i="7"/>
  <c r="G214" i="7"/>
  <c r="D214" i="7"/>
  <c r="J213" i="7"/>
  <c r="L213" i="7" s="1"/>
  <c r="G213" i="7"/>
  <c r="AA213" i="7" s="1"/>
  <c r="I220" i="9" s="1"/>
  <c r="D213" i="7"/>
  <c r="L212" i="7"/>
  <c r="J212" i="7"/>
  <c r="G212" i="7"/>
  <c r="D212" i="7"/>
  <c r="AA212" i="7" s="1"/>
  <c r="I219" i="9" s="1"/>
  <c r="L211" i="7"/>
  <c r="J211" i="7"/>
  <c r="G211" i="7"/>
  <c r="D211" i="7"/>
  <c r="AA211" i="7" s="1"/>
  <c r="I217" i="9" s="1"/>
  <c r="J210" i="7"/>
  <c r="L210" i="7" s="1"/>
  <c r="G210" i="7"/>
  <c r="D210" i="7"/>
  <c r="J209" i="7"/>
  <c r="L209" i="7" s="1"/>
  <c r="G209" i="7"/>
  <c r="D209" i="7"/>
  <c r="L208" i="7"/>
  <c r="J208" i="7"/>
  <c r="G208" i="7"/>
  <c r="D208" i="7"/>
  <c r="AA208" i="7" s="1"/>
  <c r="I213" i="9" s="1"/>
  <c r="L207" i="7"/>
  <c r="J207" i="7"/>
  <c r="G207" i="7"/>
  <c r="AA207" i="7" s="1"/>
  <c r="I211" i="9" s="1"/>
  <c r="D207" i="7"/>
  <c r="L206" i="7"/>
  <c r="J206" i="7"/>
  <c r="G206" i="7"/>
  <c r="D206" i="7"/>
  <c r="AA206" i="7" s="1"/>
  <c r="I210" i="9" s="1"/>
  <c r="L205" i="7"/>
  <c r="J205" i="7"/>
  <c r="G205" i="7"/>
  <c r="D205" i="7"/>
  <c r="AA205" i="7" s="1"/>
  <c r="I209" i="9" s="1"/>
  <c r="L204" i="7"/>
  <c r="J204" i="7"/>
  <c r="G204" i="7"/>
  <c r="D204" i="7"/>
  <c r="L203" i="7"/>
  <c r="J203" i="7"/>
  <c r="G203" i="7"/>
  <c r="D203" i="7"/>
  <c r="L202" i="7"/>
  <c r="J202" i="7"/>
  <c r="G202" i="7"/>
  <c r="D202" i="7"/>
  <c r="J201" i="7"/>
  <c r="L201" i="7" s="1"/>
  <c r="G201" i="7"/>
  <c r="AA201" i="7" s="1"/>
  <c r="I205" i="9" s="1"/>
  <c r="D201" i="7"/>
  <c r="L200" i="7"/>
  <c r="J200" i="7"/>
  <c r="G200" i="7"/>
  <c r="D200" i="7"/>
  <c r="AA200" i="7" s="1"/>
  <c r="I204" i="9" s="1"/>
  <c r="L199" i="7"/>
  <c r="J199" i="7"/>
  <c r="G199" i="7"/>
  <c r="D199" i="7"/>
  <c r="L198" i="7"/>
  <c r="J198" i="7"/>
  <c r="G198" i="7"/>
  <c r="D198" i="7"/>
  <c r="L197" i="7"/>
  <c r="J197" i="7"/>
  <c r="G197" i="7"/>
  <c r="D197" i="7"/>
  <c r="L196" i="7"/>
  <c r="J196" i="7"/>
  <c r="G196" i="7"/>
  <c r="D196" i="7"/>
  <c r="AA196" i="7" s="1"/>
  <c r="I200" i="9" s="1"/>
  <c r="L195" i="7"/>
  <c r="J195" i="7"/>
  <c r="G195" i="7"/>
  <c r="AA195" i="7" s="1"/>
  <c r="I199" i="9" s="1"/>
  <c r="D195" i="7"/>
  <c r="L194" i="7"/>
  <c r="J194" i="7"/>
  <c r="G194" i="7"/>
  <c r="D194" i="7"/>
  <c r="AA194" i="7" s="1"/>
  <c r="I198" i="9" s="1"/>
  <c r="L193" i="7"/>
  <c r="J193" i="7"/>
  <c r="G193" i="7"/>
  <c r="D193" i="7"/>
  <c r="AA193" i="7" s="1"/>
  <c r="I197" i="9" s="1"/>
  <c r="L192" i="7"/>
  <c r="J192" i="7"/>
  <c r="G192" i="7"/>
  <c r="D192" i="7"/>
  <c r="L191" i="7"/>
  <c r="J191" i="7"/>
  <c r="G191" i="7"/>
  <c r="D191" i="7"/>
  <c r="AA191" i="7" s="1"/>
  <c r="I195" i="9" s="1"/>
  <c r="L190" i="7"/>
  <c r="J190" i="7"/>
  <c r="G190" i="7"/>
  <c r="D190" i="7"/>
  <c r="L189" i="7"/>
  <c r="J189" i="7"/>
  <c r="G189" i="7"/>
  <c r="AA189" i="7" s="1"/>
  <c r="I193" i="9" s="1"/>
  <c r="D189" i="7"/>
  <c r="L188" i="7"/>
  <c r="J188" i="7"/>
  <c r="G188" i="7"/>
  <c r="D188" i="7"/>
  <c r="AA188" i="7" s="1"/>
  <c r="I192" i="9" s="1"/>
  <c r="L187" i="7"/>
  <c r="J187" i="7"/>
  <c r="G187" i="7"/>
  <c r="D187" i="7"/>
  <c r="AA187" i="7" s="1"/>
  <c r="I191" i="9" s="1"/>
  <c r="L186" i="7"/>
  <c r="J186" i="7"/>
  <c r="G186" i="7"/>
  <c r="AA186" i="7" s="1"/>
  <c r="I190" i="9" s="1"/>
  <c r="D186" i="7"/>
  <c r="L185" i="7"/>
  <c r="J185" i="7"/>
  <c r="G185" i="7"/>
  <c r="D185" i="7"/>
  <c r="AA185" i="7" s="1"/>
  <c r="I189" i="9" s="1"/>
  <c r="L184" i="7"/>
  <c r="J184" i="7"/>
  <c r="G184" i="7"/>
  <c r="D184" i="7"/>
  <c r="AA184" i="7" s="1"/>
  <c r="I188" i="9" s="1"/>
  <c r="L183" i="7"/>
  <c r="J183" i="7"/>
  <c r="G183" i="7"/>
  <c r="AA183" i="7" s="1"/>
  <c r="I187" i="9" s="1"/>
  <c r="D183" i="7"/>
  <c r="L182" i="7"/>
  <c r="J182" i="7"/>
  <c r="G182" i="7"/>
  <c r="D182" i="7"/>
  <c r="AA182" i="7" s="1"/>
  <c r="I186" i="9" s="1"/>
  <c r="L181" i="7"/>
  <c r="J181" i="7"/>
  <c r="G181" i="7"/>
  <c r="D181" i="7"/>
  <c r="AA181" i="7" s="1"/>
  <c r="I185" i="9" s="1"/>
  <c r="L180" i="7"/>
  <c r="J180" i="7"/>
  <c r="G180" i="7"/>
  <c r="D180" i="7"/>
  <c r="J179" i="7"/>
  <c r="L179" i="7" s="1"/>
  <c r="G179" i="7"/>
  <c r="D179" i="7"/>
  <c r="L178" i="7"/>
  <c r="J178" i="7"/>
  <c r="G178" i="7"/>
  <c r="D178" i="7"/>
  <c r="AA178" i="7" s="1"/>
  <c r="I182" i="9" s="1"/>
  <c r="L177" i="7"/>
  <c r="J177" i="7"/>
  <c r="G177" i="7"/>
  <c r="D177" i="7"/>
  <c r="L176" i="7"/>
  <c r="J176" i="7"/>
  <c r="G176" i="7"/>
  <c r="D176" i="7"/>
  <c r="AA176" i="7" s="1"/>
  <c r="I180" i="9" s="1"/>
  <c r="L175" i="7"/>
  <c r="J175" i="7"/>
  <c r="G175" i="7"/>
  <c r="D175" i="7"/>
  <c r="J174" i="7"/>
  <c r="L174" i="7" s="1"/>
  <c r="G174" i="7"/>
  <c r="D174" i="7"/>
  <c r="J173" i="7"/>
  <c r="L173" i="7" s="1"/>
  <c r="G173" i="7"/>
  <c r="D173" i="7"/>
  <c r="AA173" i="7" s="1"/>
  <c r="I176" i="9" s="1"/>
  <c r="L172" i="7"/>
  <c r="J172" i="7"/>
  <c r="G172" i="7"/>
  <c r="D172" i="7"/>
  <c r="AA172" i="7" s="1"/>
  <c r="I175" i="9" s="1"/>
  <c r="L171" i="7"/>
  <c r="J171" i="7"/>
  <c r="G171" i="7"/>
  <c r="AA171" i="7" s="1"/>
  <c r="I174" i="9" s="1"/>
  <c r="D171" i="7"/>
  <c r="L170" i="7"/>
  <c r="J170" i="7"/>
  <c r="G170" i="7"/>
  <c r="D170" i="7"/>
  <c r="AA170" i="7" s="1"/>
  <c r="I173" i="9" s="1"/>
  <c r="L169" i="7"/>
  <c r="J169" i="7"/>
  <c r="G169" i="7"/>
  <c r="D169" i="7"/>
  <c r="L168" i="7"/>
  <c r="J168" i="7"/>
  <c r="G168" i="7"/>
  <c r="D168" i="7"/>
  <c r="L167" i="7"/>
  <c r="J167" i="7"/>
  <c r="G167" i="7"/>
  <c r="D167" i="7"/>
  <c r="AA167" i="7" s="1"/>
  <c r="I170" i="9" s="1"/>
  <c r="L166" i="7"/>
  <c r="J166" i="7"/>
  <c r="G166" i="7"/>
  <c r="D166" i="7"/>
  <c r="AA166" i="7" s="1"/>
  <c r="I169" i="9" s="1"/>
  <c r="L165" i="7"/>
  <c r="J165" i="7"/>
  <c r="G165" i="7"/>
  <c r="AA165" i="7" s="1"/>
  <c r="I168" i="9" s="1"/>
  <c r="D165" i="7"/>
  <c r="L164" i="7"/>
  <c r="J164" i="7"/>
  <c r="G164" i="7"/>
  <c r="D164" i="7"/>
  <c r="AA164" i="7" s="1"/>
  <c r="I167" i="9" s="1"/>
  <c r="L163" i="7"/>
  <c r="J163" i="7"/>
  <c r="G163" i="7"/>
  <c r="D163" i="7"/>
  <c r="J162" i="7"/>
  <c r="L162" i="7" s="1"/>
  <c r="G162" i="7"/>
  <c r="D162" i="7"/>
  <c r="L161" i="7"/>
  <c r="J161" i="7"/>
  <c r="G161" i="7"/>
  <c r="D161" i="7"/>
  <c r="AA161" i="7" s="1"/>
  <c r="I163" i="9" s="1"/>
  <c r="L160" i="7"/>
  <c r="J160" i="7"/>
  <c r="G160" i="7"/>
  <c r="D160" i="7"/>
  <c r="AA160" i="7" s="1"/>
  <c r="I162" i="9" s="1"/>
  <c r="L159" i="7"/>
  <c r="J159" i="7"/>
  <c r="G159" i="7"/>
  <c r="AA159" i="7" s="1"/>
  <c r="I161" i="9" s="1"/>
  <c r="D159" i="7"/>
  <c r="L158" i="7"/>
  <c r="J158" i="7"/>
  <c r="G158" i="7"/>
  <c r="D158" i="7"/>
  <c r="AA158" i="7" s="1"/>
  <c r="I160" i="9" s="1"/>
  <c r="L157" i="7"/>
  <c r="J157" i="7"/>
  <c r="G157" i="7"/>
  <c r="D157" i="7"/>
  <c r="AA157" i="7" s="1"/>
  <c r="I159" i="9" s="1"/>
  <c r="L156" i="7"/>
  <c r="J156" i="7"/>
  <c r="G156" i="7"/>
  <c r="AA156" i="7" s="1"/>
  <c r="I158" i="9" s="1"/>
  <c r="D156" i="7"/>
  <c r="L155" i="7"/>
  <c r="J155" i="7"/>
  <c r="G155" i="7"/>
  <c r="D155" i="7"/>
  <c r="AA155" i="7" s="1"/>
  <c r="I157" i="9" s="1"/>
  <c r="L154" i="7"/>
  <c r="J154" i="7"/>
  <c r="G154" i="7"/>
  <c r="D154" i="7"/>
  <c r="AA154" i="7" s="1"/>
  <c r="I156" i="9" s="1"/>
  <c r="J153" i="7"/>
  <c r="L153" i="7" s="1"/>
  <c r="G153" i="7"/>
  <c r="D153" i="7"/>
  <c r="L152" i="7"/>
  <c r="J152" i="7"/>
  <c r="G152" i="7"/>
  <c r="D152" i="7"/>
  <c r="AA152" i="7" s="1"/>
  <c r="I154" i="9" s="1"/>
  <c r="L151" i="7"/>
  <c r="J151" i="7"/>
  <c r="G151" i="7"/>
  <c r="D151" i="7"/>
  <c r="AA151" i="7" s="1"/>
  <c r="I153" i="9" s="1"/>
  <c r="J150" i="7"/>
  <c r="L150" i="7" s="1"/>
  <c r="G150" i="7"/>
  <c r="AA150" i="7" s="1"/>
  <c r="I152" i="9" s="1"/>
  <c r="D150" i="7"/>
  <c r="L149" i="7"/>
  <c r="J149" i="7"/>
  <c r="G149" i="7"/>
  <c r="D149" i="7"/>
  <c r="L148" i="7"/>
  <c r="J148" i="7"/>
  <c r="G148" i="7"/>
  <c r="D148" i="7"/>
  <c r="L147" i="7"/>
  <c r="J147" i="7"/>
  <c r="G147" i="7"/>
  <c r="D147" i="7"/>
  <c r="L146" i="7"/>
  <c r="J146" i="7"/>
  <c r="G146" i="7"/>
  <c r="D146" i="7"/>
  <c r="AA146" i="7" s="1"/>
  <c r="I148" i="9" s="1"/>
  <c r="L145" i="7"/>
  <c r="J145" i="7"/>
  <c r="G145" i="7"/>
  <c r="D145" i="7"/>
  <c r="AA145" i="7" s="1"/>
  <c r="I147" i="9" s="1"/>
  <c r="L144" i="7"/>
  <c r="J144" i="7"/>
  <c r="G144" i="7"/>
  <c r="AA144" i="7" s="1"/>
  <c r="I146" i="9" s="1"/>
  <c r="D144" i="7"/>
  <c r="L143" i="7"/>
  <c r="J143" i="7"/>
  <c r="G143" i="7"/>
  <c r="D143" i="7"/>
  <c r="AA143" i="7" s="1"/>
  <c r="I145" i="9" s="1"/>
  <c r="L142" i="7"/>
  <c r="J142" i="7"/>
  <c r="G142" i="7"/>
  <c r="D142" i="7"/>
  <c r="J141" i="7"/>
  <c r="L141" i="7" s="1"/>
  <c r="G141" i="7"/>
  <c r="D141" i="7"/>
  <c r="L140" i="7"/>
  <c r="J140" i="7"/>
  <c r="G140" i="7"/>
  <c r="D140" i="7"/>
  <c r="AA140" i="7" s="1"/>
  <c r="I142" i="9" s="1"/>
  <c r="L139" i="7"/>
  <c r="J139" i="7"/>
  <c r="G139" i="7"/>
  <c r="D139" i="7"/>
  <c r="AA139" i="7" s="1"/>
  <c r="I141" i="9" s="1"/>
  <c r="L138" i="7"/>
  <c r="J138" i="7"/>
  <c r="G138" i="7"/>
  <c r="AA138" i="7" s="1"/>
  <c r="I140" i="9" s="1"/>
  <c r="D138" i="7"/>
  <c r="L137" i="7"/>
  <c r="J137" i="7"/>
  <c r="G137" i="7"/>
  <c r="D137" i="7"/>
  <c r="AA137" i="7" s="1"/>
  <c r="I139" i="9" s="1"/>
  <c r="L136" i="7"/>
  <c r="J136" i="7"/>
  <c r="G136" i="7"/>
  <c r="D136" i="7"/>
  <c r="AA136" i="7" s="1"/>
  <c r="I138" i="9" s="1"/>
  <c r="L135" i="7"/>
  <c r="J135" i="7"/>
  <c r="G135" i="7"/>
  <c r="D135" i="7"/>
  <c r="L134" i="7"/>
  <c r="J134" i="7"/>
  <c r="G134" i="7"/>
  <c r="D134" i="7"/>
  <c r="L133" i="7"/>
  <c r="J133" i="7"/>
  <c r="G133" i="7"/>
  <c r="D133" i="7"/>
  <c r="J132" i="7"/>
  <c r="L132" i="7" s="1"/>
  <c r="G132" i="7"/>
  <c r="D132" i="7"/>
  <c r="L131" i="7"/>
  <c r="J131" i="7"/>
  <c r="G131" i="7"/>
  <c r="D131" i="7"/>
  <c r="AA131" i="7" s="1"/>
  <c r="I132" i="9" s="1"/>
  <c r="L130" i="7"/>
  <c r="J130" i="7"/>
  <c r="G130" i="7"/>
  <c r="D130" i="7"/>
  <c r="AA130" i="7" s="1"/>
  <c r="I131" i="9" s="1"/>
  <c r="J129" i="7"/>
  <c r="L129" i="7" s="1"/>
  <c r="G129" i="7"/>
  <c r="D129" i="7"/>
  <c r="J128" i="7"/>
  <c r="L128" i="7" s="1"/>
  <c r="G128" i="7"/>
  <c r="D128" i="7"/>
  <c r="L127" i="7"/>
  <c r="J127" i="7"/>
  <c r="G127" i="7"/>
  <c r="D127" i="7"/>
  <c r="J126" i="7"/>
  <c r="L126" i="7" s="1"/>
  <c r="G126" i="7"/>
  <c r="D126" i="7"/>
  <c r="L125" i="7"/>
  <c r="J125" i="7"/>
  <c r="G125" i="7"/>
  <c r="D125" i="7"/>
  <c r="AA125" i="7" s="1"/>
  <c r="I126" i="9" s="1"/>
  <c r="L124" i="7"/>
  <c r="J124" i="7"/>
  <c r="G124" i="7"/>
  <c r="D124" i="7"/>
  <c r="AA124" i="7" s="1"/>
  <c r="I125" i="9" s="1"/>
  <c r="L123" i="7"/>
  <c r="J123" i="7"/>
  <c r="G123" i="7"/>
  <c r="AA123" i="7" s="1"/>
  <c r="I124" i="9" s="1"/>
  <c r="D123" i="7"/>
  <c r="L122" i="7"/>
  <c r="J122" i="7"/>
  <c r="G122" i="7"/>
  <c r="D122" i="7"/>
  <c r="AA122" i="7" s="1"/>
  <c r="I123" i="9" s="1"/>
  <c r="L121" i="7"/>
  <c r="J121" i="7"/>
  <c r="G121" i="7"/>
  <c r="D121" i="7"/>
  <c r="J120" i="7"/>
  <c r="L120" i="7" s="1"/>
  <c r="G120" i="7"/>
  <c r="D120" i="7"/>
  <c r="L119" i="7"/>
  <c r="J119" i="7"/>
  <c r="G119" i="7"/>
  <c r="D119" i="7"/>
  <c r="AA119" i="7" s="1"/>
  <c r="I120" i="9" s="1"/>
  <c r="L118" i="7"/>
  <c r="J118" i="7"/>
  <c r="G118" i="7"/>
  <c r="D118" i="7"/>
  <c r="AA118" i="7" s="1"/>
  <c r="I119" i="9" s="1"/>
  <c r="L117" i="7"/>
  <c r="J117" i="7"/>
  <c r="G117" i="7"/>
  <c r="AA117" i="7" s="1"/>
  <c r="I118" i="9" s="1"/>
  <c r="D117" i="7"/>
  <c r="L116" i="7"/>
  <c r="J116" i="7"/>
  <c r="G116" i="7"/>
  <c r="D116" i="7"/>
  <c r="AA116" i="7" s="1"/>
  <c r="I117" i="9" s="1"/>
  <c r="L115" i="7"/>
  <c r="J115" i="7"/>
  <c r="G115" i="7"/>
  <c r="D115" i="7"/>
  <c r="J114" i="7"/>
  <c r="L114" i="7" s="1"/>
  <c r="G114" i="7"/>
  <c r="D114" i="7"/>
  <c r="J113" i="7"/>
  <c r="L113" i="7" s="1"/>
  <c r="G113" i="7"/>
  <c r="D113" i="7"/>
  <c r="L112" i="7"/>
  <c r="J112" i="7"/>
  <c r="G112" i="7"/>
  <c r="D112" i="7"/>
  <c r="AA112" i="7" s="1"/>
  <c r="I113" i="9" s="1"/>
  <c r="J111" i="7"/>
  <c r="L111" i="7" s="1"/>
  <c r="G111" i="7"/>
  <c r="D111" i="7"/>
  <c r="L110" i="7"/>
  <c r="J110" i="7"/>
  <c r="G110" i="7"/>
  <c r="D110" i="7"/>
  <c r="AA110" i="7" s="1"/>
  <c r="I111" i="9" s="1"/>
  <c r="L109" i="7"/>
  <c r="J109" i="7"/>
  <c r="G109" i="7"/>
  <c r="D109" i="7"/>
  <c r="J108" i="7"/>
  <c r="L108" i="7" s="1"/>
  <c r="G108" i="7"/>
  <c r="D108" i="7"/>
  <c r="J107" i="7"/>
  <c r="L107" i="7" s="1"/>
  <c r="G107" i="7"/>
  <c r="D107" i="7"/>
  <c r="L106" i="7"/>
  <c r="J106" i="7"/>
  <c r="G106" i="7"/>
  <c r="D106" i="7"/>
  <c r="L105" i="7"/>
  <c r="J105" i="7"/>
  <c r="G105" i="7"/>
  <c r="D105" i="7"/>
  <c r="J104" i="7"/>
  <c r="L104" i="7" s="1"/>
  <c r="G104" i="7"/>
  <c r="D104" i="7"/>
  <c r="L103" i="7"/>
  <c r="J103" i="7"/>
  <c r="G103" i="7"/>
  <c r="D103" i="7"/>
  <c r="J102" i="7"/>
  <c r="L102" i="7" s="1"/>
  <c r="G102" i="7"/>
  <c r="D102" i="7"/>
  <c r="L101" i="7"/>
  <c r="J101" i="7"/>
  <c r="G101" i="7"/>
  <c r="D101" i="7"/>
  <c r="L100" i="7"/>
  <c r="J100" i="7"/>
  <c r="G100" i="7"/>
  <c r="D100" i="7"/>
  <c r="L99" i="7"/>
  <c r="J99" i="7"/>
  <c r="G99" i="7"/>
  <c r="AA99" i="7" s="1"/>
  <c r="I100" i="9" s="1"/>
  <c r="D99" i="7"/>
  <c r="J98" i="7"/>
  <c r="L98" i="7" s="1"/>
  <c r="G98" i="7"/>
  <c r="D98" i="7"/>
  <c r="L97" i="7"/>
  <c r="J97" i="7"/>
  <c r="G97" i="7"/>
  <c r="D97" i="7"/>
  <c r="AA97" i="7" s="1"/>
  <c r="I98" i="9" s="1"/>
  <c r="L96" i="7"/>
  <c r="J96" i="7"/>
  <c r="G96" i="7"/>
  <c r="AA96" i="7" s="1"/>
  <c r="I97" i="9" s="1"/>
  <c r="D96" i="7"/>
  <c r="L95" i="7"/>
  <c r="J95" i="7"/>
  <c r="G95" i="7"/>
  <c r="D95" i="7"/>
  <c r="AA95" i="7" s="1"/>
  <c r="I96" i="9" s="1"/>
  <c r="J94" i="7"/>
  <c r="L94" i="7" s="1"/>
  <c r="G94" i="7"/>
  <c r="D94" i="7"/>
  <c r="J93" i="7"/>
  <c r="L93" i="7" s="1"/>
  <c r="G93" i="7"/>
  <c r="AA93" i="7" s="1"/>
  <c r="I94" i="9" s="1"/>
  <c r="D93" i="7"/>
  <c r="L92" i="7"/>
  <c r="J92" i="7"/>
  <c r="G92" i="7"/>
  <c r="D92" i="7"/>
  <c r="L91" i="7"/>
  <c r="J91" i="7"/>
  <c r="G91" i="7"/>
  <c r="D91" i="7"/>
  <c r="AA91" i="7" s="1"/>
  <c r="I92" i="9" s="1"/>
  <c r="J90" i="7"/>
  <c r="L90" i="7" s="1"/>
  <c r="G90" i="7"/>
  <c r="D90" i="7"/>
  <c r="L89" i="7"/>
  <c r="J89" i="7"/>
  <c r="G89" i="7"/>
  <c r="D89" i="7"/>
  <c r="AA89" i="7" s="1"/>
  <c r="I90" i="9" s="1"/>
  <c r="L88" i="7"/>
  <c r="J88" i="7"/>
  <c r="G88" i="7"/>
  <c r="D88" i="7"/>
  <c r="L87" i="7"/>
  <c r="J87" i="7"/>
  <c r="G87" i="7"/>
  <c r="D87" i="7"/>
  <c r="J86" i="7"/>
  <c r="L86" i="7" s="1"/>
  <c r="G86" i="7"/>
  <c r="D86" i="7"/>
  <c r="L85" i="7"/>
  <c r="J85" i="7"/>
  <c r="G85" i="7"/>
  <c r="D85" i="7"/>
  <c r="AA85" i="7" s="1"/>
  <c r="I86" i="9" s="1"/>
  <c r="J84" i="7"/>
  <c r="L84" i="7" s="1"/>
  <c r="G84" i="7"/>
  <c r="D84" i="7"/>
  <c r="L83" i="7"/>
  <c r="J83" i="7"/>
  <c r="G83" i="7"/>
  <c r="D83" i="7"/>
  <c r="AA83" i="7" s="1"/>
  <c r="I84" i="9" s="1"/>
  <c r="J82" i="7"/>
  <c r="L82" i="7" s="1"/>
  <c r="G82" i="7"/>
  <c r="D82" i="7"/>
  <c r="L81" i="7"/>
  <c r="J81" i="7"/>
  <c r="G81" i="7"/>
  <c r="AA81" i="7" s="1"/>
  <c r="I82" i="9" s="1"/>
  <c r="D81" i="7"/>
  <c r="L80" i="7"/>
  <c r="J80" i="7"/>
  <c r="G80" i="7"/>
  <c r="D80" i="7"/>
  <c r="L79" i="7"/>
  <c r="J79" i="7"/>
  <c r="G79" i="7"/>
  <c r="D79" i="7"/>
  <c r="AA79" i="7" s="1"/>
  <c r="I80" i="9" s="1"/>
  <c r="L78" i="7"/>
  <c r="J78" i="7"/>
  <c r="G78" i="7"/>
  <c r="AA78" i="7" s="1"/>
  <c r="I79" i="9" s="1"/>
  <c r="D78" i="7"/>
  <c r="L77" i="7"/>
  <c r="J77" i="7"/>
  <c r="G77" i="7"/>
  <c r="D77" i="7"/>
  <c r="L76" i="7"/>
  <c r="J76" i="7"/>
  <c r="G76" i="7"/>
  <c r="D76" i="7"/>
  <c r="AA76" i="7" s="1"/>
  <c r="I77" i="9" s="1"/>
  <c r="J75" i="7"/>
  <c r="L75" i="7" s="1"/>
  <c r="G75" i="7"/>
  <c r="D75" i="7"/>
  <c r="L74" i="7"/>
  <c r="J74" i="7"/>
  <c r="G74" i="7"/>
  <c r="D74" i="7"/>
  <c r="AA74" i="7" s="1"/>
  <c r="I75" i="9" s="1"/>
  <c r="L73" i="7"/>
  <c r="J73" i="7"/>
  <c r="G73" i="7"/>
  <c r="D73" i="7"/>
  <c r="AA73" i="7" s="1"/>
  <c r="I74" i="9" s="1"/>
  <c r="J72" i="7"/>
  <c r="L72" i="7" s="1"/>
  <c r="G72" i="7"/>
  <c r="D72" i="7"/>
  <c r="J71" i="7"/>
  <c r="L71" i="7" s="1"/>
  <c r="G71" i="7"/>
  <c r="D71" i="7"/>
  <c r="L70" i="7"/>
  <c r="J70" i="7"/>
  <c r="G70" i="7"/>
  <c r="D70" i="7"/>
  <c r="AA70" i="7" s="1"/>
  <c r="I71" i="9" s="1"/>
  <c r="J69" i="7"/>
  <c r="L69" i="7" s="1"/>
  <c r="G69" i="7"/>
  <c r="D69" i="7"/>
  <c r="L68" i="7"/>
  <c r="J68" i="7"/>
  <c r="G68" i="7"/>
  <c r="D68" i="7"/>
  <c r="L67" i="7"/>
  <c r="J67" i="7"/>
  <c r="G67" i="7"/>
  <c r="D67" i="7"/>
  <c r="AA67" i="7" s="1"/>
  <c r="I68" i="9" s="1"/>
  <c r="J66" i="7"/>
  <c r="L66" i="7" s="1"/>
  <c r="G66" i="7"/>
  <c r="D66" i="7"/>
  <c r="L65" i="7"/>
  <c r="J65" i="7"/>
  <c r="G65" i="7"/>
  <c r="D65" i="7"/>
  <c r="L64" i="7"/>
  <c r="J64" i="7"/>
  <c r="G64" i="7"/>
  <c r="D64" i="7"/>
  <c r="J63" i="7"/>
  <c r="L63" i="7" s="1"/>
  <c r="G63" i="7"/>
  <c r="D63" i="7"/>
  <c r="L62" i="7"/>
  <c r="J62" i="7"/>
  <c r="G62" i="7"/>
  <c r="D62" i="7"/>
  <c r="L61" i="7"/>
  <c r="J61" i="7"/>
  <c r="G61" i="7"/>
  <c r="D61" i="7"/>
  <c r="L60" i="7"/>
  <c r="J60" i="7"/>
  <c r="G60" i="7"/>
  <c r="AA60" i="7" s="1"/>
  <c r="I61" i="9" s="1"/>
  <c r="D60" i="7"/>
  <c r="L59" i="7"/>
  <c r="J59" i="7"/>
  <c r="G59" i="7"/>
  <c r="D59" i="7"/>
  <c r="L58" i="7"/>
  <c r="J58" i="7"/>
  <c r="G58" i="7"/>
  <c r="D58" i="7"/>
  <c r="J57" i="7"/>
  <c r="L57" i="7" s="1"/>
  <c r="G57" i="7"/>
  <c r="D57" i="7"/>
  <c r="J56" i="7"/>
  <c r="L56" i="7" s="1"/>
  <c r="G56" i="7"/>
  <c r="D56" i="7"/>
  <c r="L55" i="7"/>
  <c r="J55" i="7"/>
  <c r="G55" i="7"/>
  <c r="D55" i="7"/>
  <c r="AA55" i="7" s="1"/>
  <c r="I56" i="9" s="1"/>
  <c r="L54" i="7"/>
  <c r="J54" i="7"/>
  <c r="G54" i="7"/>
  <c r="D54" i="7"/>
  <c r="L53" i="7"/>
  <c r="J53" i="7"/>
  <c r="G53" i="7"/>
  <c r="D53" i="7"/>
  <c r="L52" i="7"/>
  <c r="J52" i="7"/>
  <c r="G52" i="7"/>
  <c r="D52" i="7"/>
  <c r="J51" i="7"/>
  <c r="L51" i="7" s="1"/>
  <c r="G51" i="7"/>
  <c r="D51" i="7"/>
  <c r="L50" i="7"/>
  <c r="J50" i="7"/>
  <c r="G50" i="7"/>
  <c r="D50" i="7"/>
  <c r="AA50" i="7" s="1"/>
  <c r="I51" i="9" s="1"/>
  <c r="L49" i="7"/>
  <c r="J49" i="7"/>
  <c r="G49" i="7"/>
  <c r="D49" i="7"/>
  <c r="J48" i="7"/>
  <c r="L48" i="7" s="1"/>
  <c r="G48" i="7"/>
  <c r="AA48" i="7" s="1"/>
  <c r="I49" i="9" s="1"/>
  <c r="D48" i="7"/>
  <c r="L47" i="7"/>
  <c r="J47" i="7"/>
  <c r="G47" i="7"/>
  <c r="D47" i="7"/>
  <c r="L46" i="7"/>
  <c r="J46" i="7"/>
  <c r="G46" i="7"/>
  <c r="D46" i="7"/>
  <c r="L45" i="7"/>
  <c r="J45" i="7"/>
  <c r="G45" i="7"/>
  <c r="AA45" i="7" s="1"/>
  <c r="I46" i="9" s="1"/>
  <c r="D45" i="7"/>
  <c r="L44" i="7"/>
  <c r="J44" i="7"/>
  <c r="G44" i="7"/>
  <c r="D44" i="7"/>
  <c r="L43" i="7"/>
  <c r="J43" i="7"/>
  <c r="G43" i="7"/>
  <c r="D43" i="7"/>
  <c r="AA43" i="7" s="1"/>
  <c r="I44" i="9" s="1"/>
  <c r="L42" i="7"/>
  <c r="J42" i="7"/>
  <c r="G42" i="7"/>
  <c r="AA42" i="7" s="1"/>
  <c r="I43" i="9" s="1"/>
  <c r="D42" i="7"/>
  <c r="L41" i="7"/>
  <c r="J41" i="7"/>
  <c r="G41" i="7"/>
  <c r="D41" i="7"/>
  <c r="L40" i="7"/>
  <c r="J40" i="7"/>
  <c r="G40" i="7"/>
  <c r="D40" i="7"/>
  <c r="AA40" i="7" s="1"/>
  <c r="I41" i="9" s="1"/>
  <c r="J39" i="7"/>
  <c r="L39" i="7" s="1"/>
  <c r="G39" i="7"/>
  <c r="D39" i="7"/>
  <c r="L38" i="7"/>
  <c r="J38" i="7"/>
  <c r="G38" i="7"/>
  <c r="D38" i="7"/>
  <c r="AA38" i="7" s="1"/>
  <c r="I39" i="9" s="1"/>
  <c r="L37" i="7"/>
  <c r="J37" i="7"/>
  <c r="G37" i="7"/>
  <c r="D37" i="7"/>
  <c r="AA37" i="7" s="1"/>
  <c r="I38" i="9" s="1"/>
  <c r="J36" i="7"/>
  <c r="L36" i="7" s="1"/>
  <c r="G36" i="7"/>
  <c r="D36" i="7"/>
  <c r="L35" i="7"/>
  <c r="J35" i="7"/>
  <c r="G35" i="7"/>
  <c r="D35" i="7"/>
  <c r="AA35" i="7" s="1"/>
  <c r="I36" i="9" s="1"/>
  <c r="J34" i="7"/>
  <c r="L34" i="7" s="1"/>
  <c r="G34" i="7"/>
  <c r="D34" i="7"/>
  <c r="J33" i="7"/>
  <c r="L33" i="7" s="1"/>
  <c r="G33" i="7"/>
  <c r="AA33" i="7" s="1"/>
  <c r="I34" i="9" s="1"/>
  <c r="D33" i="7"/>
  <c r="L32" i="7"/>
  <c r="J32" i="7"/>
  <c r="G32" i="7"/>
  <c r="D32" i="7"/>
  <c r="L31" i="7"/>
  <c r="J31" i="7"/>
  <c r="G31" i="7"/>
  <c r="D31" i="7"/>
  <c r="L30" i="7"/>
  <c r="J30" i="7"/>
  <c r="G30" i="7"/>
  <c r="AA30" i="7" s="1"/>
  <c r="I30" i="9" s="1"/>
  <c r="D30" i="7"/>
  <c r="J29" i="7"/>
  <c r="L29" i="7" s="1"/>
  <c r="G29" i="7"/>
  <c r="D29" i="7"/>
  <c r="L28" i="7"/>
  <c r="J28" i="7"/>
  <c r="G28" i="7"/>
  <c r="D28" i="7"/>
  <c r="L27" i="7"/>
  <c r="J27" i="7"/>
  <c r="G27" i="7"/>
  <c r="D27" i="7"/>
  <c r="L26" i="7"/>
  <c r="J26" i="7"/>
  <c r="G26" i="7"/>
  <c r="D26" i="7"/>
  <c r="AA26" i="7" s="1"/>
  <c r="I26" i="9" s="1"/>
  <c r="L25" i="7"/>
  <c r="J25" i="7"/>
  <c r="G25" i="7"/>
  <c r="D25" i="7"/>
  <c r="AA25" i="7" s="1"/>
  <c r="I25" i="9" s="1"/>
  <c r="J24" i="7"/>
  <c r="L24" i="7" s="1"/>
  <c r="G24" i="7"/>
  <c r="AA24" i="7" s="1"/>
  <c r="I24" i="9" s="1"/>
  <c r="D24" i="7"/>
  <c r="L23" i="7"/>
  <c r="J23" i="7"/>
  <c r="G23" i="7"/>
  <c r="D23" i="7"/>
  <c r="AA23" i="7" s="1"/>
  <c r="I23" i="9" s="1"/>
  <c r="J22" i="7"/>
  <c r="L22" i="7" s="1"/>
  <c r="G22" i="7"/>
  <c r="D22" i="7"/>
  <c r="J21" i="7"/>
  <c r="L21" i="7" s="1"/>
  <c r="G21" i="7"/>
  <c r="D21" i="7"/>
  <c r="L20" i="7"/>
  <c r="J20" i="7"/>
  <c r="G20" i="7"/>
  <c r="D20" i="7"/>
  <c r="L19" i="7"/>
  <c r="J19" i="7"/>
  <c r="G19" i="7"/>
  <c r="D19" i="7"/>
  <c r="L18" i="7"/>
  <c r="J18" i="7"/>
  <c r="G18" i="7"/>
  <c r="D18" i="7"/>
  <c r="J17" i="7"/>
  <c r="L17" i="7" s="1"/>
  <c r="G17" i="7"/>
  <c r="D17" i="7"/>
  <c r="L16" i="7"/>
  <c r="J16" i="7"/>
  <c r="G16" i="7"/>
  <c r="D16" i="7"/>
  <c r="L15" i="7"/>
  <c r="J15" i="7"/>
  <c r="G15" i="7"/>
  <c r="D15" i="7"/>
  <c r="J14" i="7"/>
  <c r="L14" i="7" s="1"/>
  <c r="G14" i="7"/>
  <c r="D14" i="7"/>
  <c r="L13" i="7"/>
  <c r="J13" i="7"/>
  <c r="G13" i="7"/>
  <c r="D13" i="7"/>
  <c r="AA13" i="7" s="1"/>
  <c r="I13" i="9" s="1"/>
  <c r="J12" i="7"/>
  <c r="L12" i="7" s="1"/>
  <c r="G12" i="7"/>
  <c r="D12" i="7"/>
  <c r="L11" i="7"/>
  <c r="J11" i="7"/>
  <c r="G11" i="7"/>
  <c r="D11" i="7"/>
  <c r="AA11" i="7" s="1"/>
  <c r="I11" i="9" s="1"/>
  <c r="L10" i="7"/>
  <c r="J10" i="7"/>
  <c r="G10" i="7"/>
  <c r="D10" i="7"/>
  <c r="L9" i="7"/>
  <c r="J9" i="7"/>
  <c r="G9" i="7"/>
  <c r="AA9" i="7" s="1"/>
  <c r="I9" i="9" s="1"/>
  <c r="D9" i="7"/>
  <c r="L8" i="7"/>
  <c r="J8" i="7"/>
  <c r="G8" i="7"/>
  <c r="D8" i="7"/>
  <c r="AA8" i="7" s="1"/>
  <c r="I8" i="9" s="1"/>
  <c r="J7" i="7"/>
  <c r="L7" i="7" s="1"/>
  <c r="G7" i="7"/>
  <c r="D7" i="7"/>
  <c r="L6" i="7"/>
  <c r="J6" i="7"/>
  <c r="G6" i="7"/>
  <c r="AA6" i="7" s="1"/>
  <c r="I6" i="9" s="1"/>
  <c r="D6" i="7"/>
  <c r="J5" i="7"/>
  <c r="L5" i="7" s="1"/>
  <c r="G5" i="7"/>
  <c r="D5" i="7"/>
  <c r="L4" i="7"/>
  <c r="J4" i="7"/>
  <c r="G4" i="7"/>
  <c r="D4" i="7"/>
  <c r="AA4" i="7" s="1"/>
  <c r="I4" i="9" s="1"/>
  <c r="L3" i="7"/>
  <c r="J3" i="7"/>
  <c r="G3" i="7"/>
  <c r="D3" i="7"/>
  <c r="L2" i="7"/>
  <c r="J2" i="7"/>
  <c r="G2" i="7"/>
  <c r="D2" i="7"/>
  <c r="AE220" i="6"/>
  <c r="AE219" i="6"/>
  <c r="AE218" i="6"/>
  <c r="AE217" i="6"/>
  <c r="AE216" i="6"/>
  <c r="AE215" i="6"/>
  <c r="AE214" i="6"/>
  <c r="AE213" i="6"/>
  <c r="L212" i="6"/>
  <c r="J212" i="6"/>
  <c r="G212" i="6"/>
  <c r="AA212" i="6" s="1"/>
  <c r="H224" i="9" s="1"/>
  <c r="D212" i="6"/>
  <c r="L211" i="6"/>
  <c r="J211" i="6"/>
  <c r="G211" i="6"/>
  <c r="D211" i="6"/>
  <c r="L210" i="6"/>
  <c r="J210" i="6"/>
  <c r="G210" i="6"/>
  <c r="D210" i="6"/>
  <c r="AA210" i="6" s="1"/>
  <c r="H222" i="9" s="1"/>
  <c r="J209" i="6"/>
  <c r="L209" i="6" s="1"/>
  <c r="G209" i="6"/>
  <c r="D209" i="6"/>
  <c r="J208" i="6"/>
  <c r="L208" i="6" s="1"/>
  <c r="G208" i="6"/>
  <c r="D208" i="6"/>
  <c r="L207" i="6"/>
  <c r="J207" i="6"/>
  <c r="G207" i="6"/>
  <c r="D207" i="6"/>
  <c r="AA207" i="6" s="1"/>
  <c r="H219" i="9" s="1"/>
  <c r="L206" i="6"/>
  <c r="J206" i="6"/>
  <c r="G206" i="6"/>
  <c r="AA206" i="6" s="1"/>
  <c r="H218" i="9" s="1"/>
  <c r="D206" i="6"/>
  <c r="L205" i="6"/>
  <c r="J205" i="6"/>
  <c r="G205" i="6"/>
  <c r="D205" i="6"/>
  <c r="L204" i="6"/>
  <c r="J204" i="6"/>
  <c r="G204" i="6"/>
  <c r="D204" i="6"/>
  <c r="L203" i="6"/>
  <c r="J203" i="6"/>
  <c r="G203" i="6"/>
  <c r="AA203" i="6" s="1"/>
  <c r="H214" i="9" s="1"/>
  <c r="D203" i="6"/>
  <c r="L202" i="6"/>
  <c r="J202" i="6"/>
  <c r="G202" i="6"/>
  <c r="D202" i="6"/>
  <c r="L201" i="6"/>
  <c r="J201" i="6"/>
  <c r="G201" i="6"/>
  <c r="D201" i="6"/>
  <c r="AA201" i="6" s="1"/>
  <c r="H202" i="9" s="1"/>
  <c r="J200" i="6"/>
  <c r="L200" i="6" s="1"/>
  <c r="G200" i="6"/>
  <c r="D200" i="6"/>
  <c r="J199" i="6"/>
  <c r="L199" i="6" s="1"/>
  <c r="G199" i="6"/>
  <c r="D199" i="6"/>
  <c r="L198" i="6"/>
  <c r="J198" i="6"/>
  <c r="G198" i="6"/>
  <c r="D198" i="6"/>
  <c r="AA197" i="6"/>
  <c r="H198" i="9" s="1"/>
  <c r="L197" i="6"/>
  <c r="J197" i="6"/>
  <c r="G197" i="6"/>
  <c r="D197" i="6"/>
  <c r="L196" i="6"/>
  <c r="J196" i="6"/>
  <c r="G196" i="6"/>
  <c r="D196" i="6"/>
  <c r="L195" i="6"/>
  <c r="J195" i="6"/>
  <c r="G195" i="6"/>
  <c r="D195" i="6"/>
  <c r="L194" i="6"/>
  <c r="J194" i="6"/>
  <c r="G194" i="6"/>
  <c r="D194" i="6"/>
  <c r="L193" i="6"/>
  <c r="J193" i="6"/>
  <c r="G193" i="6"/>
  <c r="D193" i="6"/>
  <c r="L192" i="6"/>
  <c r="J192" i="6"/>
  <c r="G192" i="6"/>
  <c r="D192" i="6"/>
  <c r="AA192" i="6" s="1"/>
  <c r="H193" i="9" s="1"/>
  <c r="AA191" i="6"/>
  <c r="H192" i="9" s="1"/>
  <c r="L191" i="6"/>
  <c r="J191" i="6"/>
  <c r="G191" i="6"/>
  <c r="D191" i="6"/>
  <c r="L190" i="6"/>
  <c r="J190" i="6"/>
  <c r="G190" i="6"/>
  <c r="D190" i="6"/>
  <c r="L189" i="6"/>
  <c r="J189" i="6"/>
  <c r="G189" i="6"/>
  <c r="D189" i="6"/>
  <c r="AA189" i="6" s="1"/>
  <c r="H190" i="9" s="1"/>
  <c r="L188" i="6"/>
  <c r="J188" i="6"/>
  <c r="G188" i="6"/>
  <c r="AA188" i="6" s="1"/>
  <c r="H189" i="9" s="1"/>
  <c r="D188" i="6"/>
  <c r="L187" i="6"/>
  <c r="J187" i="6"/>
  <c r="G187" i="6"/>
  <c r="D187" i="6"/>
  <c r="L186" i="6"/>
  <c r="J186" i="6"/>
  <c r="G186" i="6"/>
  <c r="D186" i="6"/>
  <c r="AA186" i="6" s="1"/>
  <c r="H187" i="9" s="1"/>
  <c r="L185" i="6"/>
  <c r="J185" i="6"/>
  <c r="G185" i="6"/>
  <c r="D185" i="6"/>
  <c r="L184" i="6"/>
  <c r="J184" i="6"/>
  <c r="G184" i="6"/>
  <c r="D184" i="6"/>
  <c r="L183" i="6"/>
  <c r="J183" i="6"/>
  <c r="G183" i="6"/>
  <c r="D183" i="6"/>
  <c r="AA183" i="6" s="1"/>
  <c r="H184" i="9" s="1"/>
  <c r="J182" i="6"/>
  <c r="G182" i="6"/>
  <c r="D182" i="6"/>
  <c r="L181" i="6"/>
  <c r="J181" i="6"/>
  <c r="G181" i="6"/>
  <c r="D181" i="6"/>
  <c r="L180" i="6"/>
  <c r="J180" i="6"/>
  <c r="G180" i="6"/>
  <c r="D180" i="6"/>
  <c r="AA180" i="6" s="1"/>
  <c r="H181" i="9" s="1"/>
  <c r="AA179" i="6"/>
  <c r="H180" i="9" s="1"/>
  <c r="L179" i="6"/>
  <c r="J179" i="6"/>
  <c r="G179" i="6"/>
  <c r="D179" i="6"/>
  <c r="L178" i="6"/>
  <c r="J178" i="6"/>
  <c r="G178" i="6"/>
  <c r="D178" i="6"/>
  <c r="J177" i="6"/>
  <c r="L177" i="6" s="1"/>
  <c r="G177" i="6"/>
  <c r="D177" i="6"/>
  <c r="L176" i="6"/>
  <c r="J176" i="6"/>
  <c r="G176" i="6"/>
  <c r="D176" i="6"/>
  <c r="J175" i="6"/>
  <c r="L175" i="6" s="1"/>
  <c r="G175" i="6"/>
  <c r="D175" i="6"/>
  <c r="L174" i="6"/>
  <c r="J174" i="6"/>
  <c r="G174" i="6"/>
  <c r="D174" i="6"/>
  <c r="AA174" i="6" s="1"/>
  <c r="H175" i="9" s="1"/>
  <c r="L173" i="6"/>
  <c r="J173" i="6"/>
  <c r="G173" i="6"/>
  <c r="D173" i="6"/>
  <c r="L172" i="6"/>
  <c r="J172" i="6"/>
  <c r="G172" i="6"/>
  <c r="D172" i="6"/>
  <c r="L171" i="6"/>
  <c r="J171" i="6"/>
  <c r="G171" i="6"/>
  <c r="D171" i="6"/>
  <c r="AA171" i="6" s="1"/>
  <c r="H172" i="9" s="1"/>
  <c r="L170" i="6"/>
  <c r="J170" i="6"/>
  <c r="G170" i="6"/>
  <c r="AA170" i="6" s="1"/>
  <c r="H171" i="9" s="1"/>
  <c r="D170" i="6"/>
  <c r="L169" i="6"/>
  <c r="J169" i="6"/>
  <c r="G169" i="6"/>
  <c r="D169" i="6"/>
  <c r="L168" i="6"/>
  <c r="J168" i="6"/>
  <c r="G168" i="6"/>
  <c r="D168" i="6"/>
  <c r="L167" i="6"/>
  <c r="J167" i="6"/>
  <c r="G167" i="6"/>
  <c r="AA167" i="6" s="1"/>
  <c r="H168" i="9" s="1"/>
  <c r="D167" i="6"/>
  <c r="L166" i="6"/>
  <c r="J166" i="6"/>
  <c r="G166" i="6"/>
  <c r="D166" i="6"/>
  <c r="L165" i="6"/>
  <c r="J165" i="6"/>
  <c r="G165" i="6"/>
  <c r="D165" i="6"/>
  <c r="AA165" i="6" s="1"/>
  <c r="H166" i="9" s="1"/>
  <c r="L164" i="6"/>
  <c r="J164" i="6"/>
  <c r="G164" i="6"/>
  <c r="AA164" i="6" s="1"/>
  <c r="H165" i="9" s="1"/>
  <c r="D164" i="6"/>
  <c r="J163" i="6"/>
  <c r="L163" i="6" s="1"/>
  <c r="G163" i="6"/>
  <c r="D163" i="6"/>
  <c r="L162" i="6"/>
  <c r="J162" i="6"/>
  <c r="G162" i="6"/>
  <c r="D162" i="6"/>
  <c r="AA162" i="6" s="1"/>
  <c r="H163" i="9" s="1"/>
  <c r="AA161" i="6"/>
  <c r="H162" i="9" s="1"/>
  <c r="L161" i="6"/>
  <c r="J161" i="6"/>
  <c r="G161" i="6"/>
  <c r="D161" i="6"/>
  <c r="L160" i="6"/>
  <c r="J160" i="6"/>
  <c r="G160" i="6"/>
  <c r="D160" i="6"/>
  <c r="L159" i="6"/>
  <c r="J159" i="6"/>
  <c r="G159" i="6"/>
  <c r="D159" i="6"/>
  <c r="AA158" i="6"/>
  <c r="H159" i="9" s="1"/>
  <c r="L158" i="6"/>
  <c r="J158" i="6"/>
  <c r="G158" i="6"/>
  <c r="D158" i="6"/>
  <c r="L157" i="6"/>
  <c r="J157" i="6"/>
  <c r="G157" i="6"/>
  <c r="D157" i="6"/>
  <c r="L156" i="6"/>
  <c r="J156" i="6"/>
  <c r="G156" i="6"/>
  <c r="D156" i="6"/>
  <c r="AA156" i="6" s="1"/>
  <c r="H157" i="9" s="1"/>
  <c r="AA155" i="6"/>
  <c r="H156" i="9" s="1"/>
  <c r="L155" i="6"/>
  <c r="J155" i="6"/>
  <c r="G155" i="6"/>
  <c r="D155" i="6"/>
  <c r="J154" i="6"/>
  <c r="L154" i="6" s="1"/>
  <c r="G154" i="6"/>
  <c r="D154" i="6"/>
  <c r="L153" i="6"/>
  <c r="J153" i="6"/>
  <c r="G153" i="6"/>
  <c r="D153" i="6"/>
  <c r="L152" i="6"/>
  <c r="J152" i="6"/>
  <c r="G152" i="6"/>
  <c r="AA152" i="6" s="1"/>
  <c r="H153" i="9" s="1"/>
  <c r="D152" i="6"/>
  <c r="L151" i="6"/>
  <c r="J151" i="6"/>
  <c r="G151" i="6"/>
  <c r="D151" i="6"/>
  <c r="L150" i="6"/>
  <c r="J150" i="6"/>
  <c r="G150" i="6"/>
  <c r="D150" i="6"/>
  <c r="L149" i="6"/>
  <c r="J149" i="6"/>
  <c r="G149" i="6"/>
  <c r="D149" i="6"/>
  <c r="J148" i="6"/>
  <c r="L148" i="6" s="1"/>
  <c r="G148" i="6"/>
  <c r="D148" i="6"/>
  <c r="J147" i="6"/>
  <c r="L147" i="6" s="1"/>
  <c r="G147" i="6"/>
  <c r="D147" i="6"/>
  <c r="AA147" i="6" s="1"/>
  <c r="H148" i="9" s="1"/>
  <c r="AA146" i="6"/>
  <c r="H147" i="9" s="1"/>
  <c r="J146" i="6"/>
  <c r="L146" i="6" s="1"/>
  <c r="G146" i="6"/>
  <c r="D146" i="6"/>
  <c r="L145" i="6"/>
  <c r="J145" i="6"/>
  <c r="G145" i="6"/>
  <c r="D145" i="6"/>
  <c r="L144" i="6"/>
  <c r="J144" i="6"/>
  <c r="G144" i="6"/>
  <c r="D144" i="6"/>
  <c r="AA144" i="6" s="1"/>
  <c r="H145" i="9" s="1"/>
  <c r="AA143" i="6"/>
  <c r="H144" i="9" s="1"/>
  <c r="L143" i="6"/>
  <c r="J143" i="6"/>
  <c r="G143" i="6"/>
  <c r="D143" i="6"/>
  <c r="L142" i="6"/>
  <c r="J142" i="6"/>
  <c r="G142" i="6"/>
  <c r="D142" i="6"/>
  <c r="L141" i="6"/>
  <c r="J141" i="6"/>
  <c r="G141" i="6"/>
  <c r="D141" i="6"/>
  <c r="L140" i="6"/>
  <c r="J140" i="6"/>
  <c r="G140" i="6"/>
  <c r="AA140" i="6" s="1"/>
  <c r="H141" i="9" s="1"/>
  <c r="D140" i="6"/>
  <c r="L139" i="6"/>
  <c r="J139" i="6"/>
  <c r="G139" i="6"/>
  <c r="D139" i="6"/>
  <c r="J138" i="6"/>
  <c r="L138" i="6" s="1"/>
  <c r="G138" i="6"/>
  <c r="D138" i="6"/>
  <c r="J137" i="6"/>
  <c r="L137" i="6" s="1"/>
  <c r="G137" i="6"/>
  <c r="D137" i="6"/>
  <c r="L136" i="6"/>
  <c r="J136" i="6"/>
  <c r="G136" i="6"/>
  <c r="D136" i="6"/>
  <c r="J135" i="6"/>
  <c r="L135" i="6" s="1"/>
  <c r="G135" i="6"/>
  <c r="D135" i="6"/>
  <c r="L134" i="6"/>
  <c r="J134" i="6"/>
  <c r="G134" i="6"/>
  <c r="AA134" i="6" s="1"/>
  <c r="H135" i="9" s="1"/>
  <c r="D134" i="6"/>
  <c r="L133" i="6"/>
  <c r="J133" i="6"/>
  <c r="G133" i="6"/>
  <c r="D133" i="6"/>
  <c r="J132" i="6"/>
  <c r="L132" i="6" s="1"/>
  <c r="G132" i="6"/>
  <c r="D132" i="6"/>
  <c r="AA131" i="6"/>
  <c r="H131" i="9" s="1"/>
  <c r="L131" i="6"/>
  <c r="J131" i="6"/>
  <c r="G131" i="6"/>
  <c r="D131" i="6"/>
  <c r="L130" i="6"/>
  <c r="J130" i="6"/>
  <c r="G130" i="6"/>
  <c r="D130" i="6"/>
  <c r="J129" i="6"/>
  <c r="L129" i="6" s="1"/>
  <c r="G129" i="6"/>
  <c r="D129" i="6"/>
  <c r="J128" i="6"/>
  <c r="L128" i="6" s="1"/>
  <c r="G128" i="6"/>
  <c r="AA128" i="6" s="1"/>
  <c r="H128" i="9" s="1"/>
  <c r="D128" i="6"/>
  <c r="L127" i="6"/>
  <c r="J127" i="6"/>
  <c r="G127" i="6"/>
  <c r="D127" i="6"/>
  <c r="AA127" i="6" s="1"/>
  <c r="H127" i="9" s="1"/>
  <c r="L126" i="6"/>
  <c r="J126" i="6"/>
  <c r="G126" i="6"/>
  <c r="D126" i="6"/>
  <c r="AA125" i="6"/>
  <c r="H125" i="9" s="1"/>
  <c r="L125" i="6"/>
  <c r="J125" i="6"/>
  <c r="G125" i="6"/>
  <c r="D125" i="6"/>
  <c r="L124" i="6"/>
  <c r="J124" i="6"/>
  <c r="G124" i="6"/>
  <c r="D124" i="6"/>
  <c r="J123" i="6"/>
  <c r="L123" i="6" s="1"/>
  <c r="G123" i="6"/>
  <c r="D123" i="6"/>
  <c r="J122" i="6"/>
  <c r="L122" i="6" s="1"/>
  <c r="G122" i="6"/>
  <c r="D122" i="6"/>
  <c r="J121" i="6"/>
  <c r="L121" i="6" s="1"/>
  <c r="G121" i="6"/>
  <c r="D121" i="6"/>
  <c r="L120" i="6"/>
  <c r="J120" i="6"/>
  <c r="G120" i="6"/>
  <c r="D120" i="6"/>
  <c r="AA120" i="6" s="1"/>
  <c r="H120" i="9" s="1"/>
  <c r="L119" i="6"/>
  <c r="J119" i="6"/>
  <c r="G119" i="6"/>
  <c r="D119" i="6"/>
  <c r="L118" i="6"/>
  <c r="J118" i="6"/>
  <c r="G118" i="6"/>
  <c r="D118" i="6"/>
  <c r="J117" i="6"/>
  <c r="L117" i="6" s="1"/>
  <c r="G117" i="6"/>
  <c r="D117" i="6"/>
  <c r="L116" i="6"/>
  <c r="J116" i="6"/>
  <c r="G116" i="6"/>
  <c r="D116" i="6"/>
  <c r="L115" i="6"/>
  <c r="J115" i="6"/>
  <c r="G115" i="6"/>
  <c r="D115" i="6"/>
  <c r="L114" i="6"/>
  <c r="J114" i="6"/>
  <c r="G114" i="6"/>
  <c r="D114" i="6"/>
  <c r="AA114" i="6" s="1"/>
  <c r="H114" i="9" s="1"/>
  <c r="AA113" i="6"/>
  <c r="H113" i="9" s="1"/>
  <c r="L113" i="6"/>
  <c r="J113" i="6"/>
  <c r="G113" i="6"/>
  <c r="D113" i="6"/>
  <c r="L112" i="6"/>
  <c r="J112" i="6"/>
  <c r="G112" i="6"/>
  <c r="D112" i="6"/>
  <c r="L111" i="6"/>
  <c r="J111" i="6"/>
  <c r="G111" i="6"/>
  <c r="D111" i="6"/>
  <c r="AA111" i="6" s="1"/>
  <c r="H111" i="9" s="1"/>
  <c r="AA110" i="6"/>
  <c r="H110" i="9" s="1"/>
  <c r="L110" i="6"/>
  <c r="J110" i="6"/>
  <c r="G110" i="6"/>
  <c r="D110" i="6"/>
  <c r="L109" i="6"/>
  <c r="J109" i="6"/>
  <c r="G109" i="6"/>
  <c r="D109" i="6"/>
  <c r="AA109" i="6" s="1"/>
  <c r="H109" i="9" s="1"/>
  <c r="L108" i="6"/>
  <c r="J108" i="6"/>
  <c r="G108" i="6"/>
  <c r="D108" i="6"/>
  <c r="AA107" i="6"/>
  <c r="H107" i="9" s="1"/>
  <c r="L107" i="6"/>
  <c r="J107" i="6"/>
  <c r="G107" i="6"/>
  <c r="D107" i="6"/>
  <c r="L106" i="6"/>
  <c r="J106" i="6"/>
  <c r="G106" i="6"/>
  <c r="D106" i="6"/>
  <c r="AA106" i="6" s="1"/>
  <c r="H106" i="9" s="1"/>
  <c r="J105" i="6"/>
  <c r="L105" i="6" s="1"/>
  <c r="G105" i="6"/>
  <c r="D105" i="6"/>
  <c r="L104" i="6"/>
  <c r="J104" i="6"/>
  <c r="G104" i="6"/>
  <c r="D104" i="6"/>
  <c r="J103" i="6"/>
  <c r="L103" i="6" s="1"/>
  <c r="G103" i="6"/>
  <c r="D103" i="6"/>
  <c r="L102" i="6"/>
  <c r="J102" i="6"/>
  <c r="G102" i="6"/>
  <c r="D102" i="6"/>
  <c r="AA102" i="6" s="1"/>
  <c r="H102" i="9" s="1"/>
  <c r="AA101" i="6"/>
  <c r="H101" i="9" s="1"/>
  <c r="L101" i="6"/>
  <c r="J101" i="6"/>
  <c r="G101" i="6"/>
  <c r="D101" i="6"/>
  <c r="L100" i="6"/>
  <c r="J100" i="6"/>
  <c r="G100" i="6"/>
  <c r="D100" i="6"/>
  <c r="J99" i="6"/>
  <c r="L99" i="6" s="1"/>
  <c r="G99" i="6"/>
  <c r="D99" i="6"/>
  <c r="J98" i="6"/>
  <c r="L98" i="6" s="1"/>
  <c r="G98" i="6"/>
  <c r="AA98" i="6" s="1"/>
  <c r="H98" i="9" s="1"/>
  <c r="D98" i="6"/>
  <c r="L97" i="6"/>
  <c r="J97" i="6"/>
  <c r="G97" i="6"/>
  <c r="D97" i="6"/>
  <c r="L96" i="6"/>
  <c r="J96" i="6"/>
  <c r="G96" i="6"/>
  <c r="D96" i="6"/>
  <c r="L95" i="6"/>
  <c r="J95" i="6"/>
  <c r="G95" i="6"/>
  <c r="D95" i="6"/>
  <c r="J94" i="6"/>
  <c r="L94" i="6" s="1"/>
  <c r="G94" i="6"/>
  <c r="D94" i="6"/>
  <c r="J93" i="6"/>
  <c r="L93" i="6" s="1"/>
  <c r="G93" i="6"/>
  <c r="D93" i="6"/>
  <c r="AA92" i="6"/>
  <c r="H92" i="9" s="1"/>
  <c r="J92" i="6"/>
  <c r="L92" i="6" s="1"/>
  <c r="G92" i="6"/>
  <c r="D92" i="6"/>
  <c r="J91" i="6"/>
  <c r="L91" i="6" s="1"/>
  <c r="G91" i="6"/>
  <c r="D91" i="6"/>
  <c r="L90" i="6"/>
  <c r="J90" i="6"/>
  <c r="G90" i="6"/>
  <c r="D90" i="6"/>
  <c r="AA89" i="6"/>
  <c r="H89" i="9" s="1"/>
  <c r="L89" i="6"/>
  <c r="J89" i="6"/>
  <c r="G89" i="6"/>
  <c r="D89" i="6"/>
  <c r="J88" i="6"/>
  <c r="L88" i="6" s="1"/>
  <c r="G88" i="6"/>
  <c r="D88" i="6"/>
  <c r="J87" i="6"/>
  <c r="L87" i="6" s="1"/>
  <c r="G87" i="6"/>
  <c r="D87" i="6"/>
  <c r="J86" i="6"/>
  <c r="L86" i="6" s="1"/>
  <c r="G86" i="6"/>
  <c r="D86" i="6"/>
  <c r="J85" i="6"/>
  <c r="L85" i="6" s="1"/>
  <c r="G85" i="6"/>
  <c r="D85" i="6"/>
  <c r="J84" i="6"/>
  <c r="L84" i="6" s="1"/>
  <c r="G84" i="6"/>
  <c r="D84" i="6"/>
  <c r="AA83" i="6"/>
  <c r="H83" i="9" s="1"/>
  <c r="L83" i="6"/>
  <c r="J83" i="6"/>
  <c r="G83" i="6"/>
  <c r="D83" i="6"/>
  <c r="L82" i="6"/>
  <c r="J82" i="6"/>
  <c r="G82" i="6"/>
  <c r="D82" i="6"/>
  <c r="L81" i="6"/>
  <c r="J81" i="6"/>
  <c r="G81" i="6"/>
  <c r="D81" i="6"/>
  <c r="L80" i="6"/>
  <c r="J80" i="6"/>
  <c r="G80" i="6"/>
  <c r="D80" i="6"/>
  <c r="L79" i="6"/>
  <c r="J79" i="6"/>
  <c r="G79" i="6"/>
  <c r="D79" i="6"/>
  <c r="L78" i="6"/>
  <c r="J78" i="6"/>
  <c r="G78" i="6"/>
  <c r="D78" i="6"/>
  <c r="L77" i="6"/>
  <c r="J77" i="6"/>
  <c r="G77" i="6"/>
  <c r="D77" i="6"/>
  <c r="L76" i="6"/>
  <c r="J76" i="6"/>
  <c r="G76" i="6"/>
  <c r="D76" i="6"/>
  <c r="AA76" i="6" s="1"/>
  <c r="H76" i="9" s="1"/>
  <c r="J75" i="6"/>
  <c r="L75" i="6" s="1"/>
  <c r="G75" i="6"/>
  <c r="D75" i="6"/>
  <c r="L74" i="6"/>
  <c r="J74" i="6"/>
  <c r="G74" i="6"/>
  <c r="D74" i="6"/>
  <c r="J73" i="6"/>
  <c r="G73" i="6"/>
  <c r="D73" i="6"/>
  <c r="J72" i="6"/>
  <c r="L72" i="6" s="1"/>
  <c r="G72" i="6"/>
  <c r="D72" i="6"/>
  <c r="AA71" i="6"/>
  <c r="H71" i="9" s="1"/>
  <c r="L71" i="6"/>
  <c r="J71" i="6"/>
  <c r="G71" i="6"/>
  <c r="D71" i="6"/>
  <c r="L70" i="6"/>
  <c r="J70" i="6"/>
  <c r="G70" i="6"/>
  <c r="D70" i="6"/>
  <c r="J69" i="6"/>
  <c r="L69" i="6" s="1"/>
  <c r="G69" i="6"/>
  <c r="D69" i="6"/>
  <c r="L68" i="6"/>
  <c r="J68" i="6"/>
  <c r="G68" i="6"/>
  <c r="AA68" i="6" s="1"/>
  <c r="H68" i="9" s="1"/>
  <c r="D68" i="6"/>
  <c r="J67" i="6"/>
  <c r="L67" i="6" s="1"/>
  <c r="G67" i="6"/>
  <c r="D67" i="6"/>
  <c r="AA67" i="6" s="1"/>
  <c r="H67" i="9" s="1"/>
  <c r="L66" i="6"/>
  <c r="J66" i="6"/>
  <c r="G66" i="6"/>
  <c r="D66" i="6"/>
  <c r="AA66" i="6" s="1"/>
  <c r="H66" i="9" s="1"/>
  <c r="AA65" i="6"/>
  <c r="H65" i="9" s="1"/>
  <c r="L65" i="6"/>
  <c r="J65" i="6"/>
  <c r="G65" i="6"/>
  <c r="D65" i="6"/>
  <c r="J64" i="6"/>
  <c r="L64" i="6" s="1"/>
  <c r="G64" i="6"/>
  <c r="D64" i="6"/>
  <c r="J63" i="6"/>
  <c r="L63" i="6" s="1"/>
  <c r="G63" i="6"/>
  <c r="D63" i="6"/>
  <c r="AA62" i="6"/>
  <c r="H62" i="9" s="1"/>
  <c r="L62" i="6"/>
  <c r="J62" i="6"/>
  <c r="G62" i="6"/>
  <c r="D62" i="6"/>
  <c r="L61" i="6"/>
  <c r="J61" i="6"/>
  <c r="G61" i="6"/>
  <c r="D61" i="6"/>
  <c r="AA61" i="6" s="1"/>
  <c r="H61" i="9" s="1"/>
  <c r="J60" i="6"/>
  <c r="L60" i="6" s="1"/>
  <c r="G60" i="6"/>
  <c r="D60" i="6"/>
  <c r="AA59" i="6"/>
  <c r="H59" i="9" s="1"/>
  <c r="J59" i="6"/>
  <c r="L59" i="6" s="1"/>
  <c r="G59" i="6"/>
  <c r="D59" i="6"/>
  <c r="L58" i="6"/>
  <c r="J58" i="6"/>
  <c r="G58" i="6"/>
  <c r="D58" i="6"/>
  <c r="AA58" i="6" s="1"/>
  <c r="H58" i="9" s="1"/>
  <c r="L57" i="6"/>
  <c r="J57" i="6"/>
  <c r="G57" i="6"/>
  <c r="D57" i="6"/>
  <c r="J56" i="6"/>
  <c r="L56" i="6" s="1"/>
  <c r="G56" i="6"/>
  <c r="D56" i="6"/>
  <c r="J55" i="6"/>
  <c r="L55" i="6" s="1"/>
  <c r="G55" i="6"/>
  <c r="D55" i="6"/>
  <c r="L54" i="6"/>
  <c r="J54" i="6"/>
  <c r="G54" i="6"/>
  <c r="D54" i="6"/>
  <c r="J53" i="6"/>
  <c r="L53" i="6" s="1"/>
  <c r="G53" i="6"/>
  <c r="D53" i="6"/>
  <c r="AA52" i="6"/>
  <c r="H52" i="9" s="1"/>
  <c r="L52" i="6"/>
  <c r="J52" i="6"/>
  <c r="G52" i="6"/>
  <c r="D52" i="6"/>
  <c r="L51" i="6"/>
  <c r="J51" i="6"/>
  <c r="G51" i="6"/>
  <c r="D51" i="6"/>
  <c r="J50" i="6"/>
  <c r="L50" i="6" s="1"/>
  <c r="G50" i="6"/>
  <c r="D50" i="6"/>
  <c r="L49" i="6"/>
  <c r="J49" i="6"/>
  <c r="G49" i="6"/>
  <c r="D49" i="6"/>
  <c r="L48" i="6"/>
  <c r="J48" i="6"/>
  <c r="G48" i="6"/>
  <c r="D48" i="6"/>
  <c r="AA48" i="6" s="1"/>
  <c r="H48" i="9" s="1"/>
  <c r="L47" i="6"/>
  <c r="J47" i="6"/>
  <c r="G47" i="6"/>
  <c r="D47" i="6"/>
  <c r="L46" i="6"/>
  <c r="J46" i="6"/>
  <c r="G46" i="6"/>
  <c r="AA46" i="6" s="1"/>
  <c r="H46" i="9" s="1"/>
  <c r="D46" i="6"/>
  <c r="L45" i="6"/>
  <c r="J45" i="6"/>
  <c r="G45" i="6"/>
  <c r="D45" i="6"/>
  <c r="AA44" i="6"/>
  <c r="H44" i="9" s="1"/>
  <c r="L44" i="6"/>
  <c r="J44" i="6"/>
  <c r="G44" i="6"/>
  <c r="D44" i="6"/>
  <c r="L43" i="6"/>
  <c r="J43" i="6"/>
  <c r="G43" i="6"/>
  <c r="D43" i="6"/>
  <c r="L42" i="6"/>
  <c r="J42" i="6"/>
  <c r="G42" i="6"/>
  <c r="D42" i="6"/>
  <c r="L41" i="6"/>
  <c r="J41" i="6"/>
  <c r="G41" i="6"/>
  <c r="D41" i="6"/>
  <c r="AA40" i="6"/>
  <c r="H40" i="9" s="1"/>
  <c r="J40" i="6"/>
  <c r="L40" i="6" s="1"/>
  <c r="G40" i="6"/>
  <c r="D40" i="6"/>
  <c r="L39" i="6"/>
  <c r="J39" i="6"/>
  <c r="G39" i="6"/>
  <c r="D39" i="6"/>
  <c r="J38" i="6"/>
  <c r="L38" i="6" s="1"/>
  <c r="G38" i="6"/>
  <c r="D38" i="6"/>
  <c r="J37" i="6"/>
  <c r="L37" i="6" s="1"/>
  <c r="G37" i="6"/>
  <c r="D37" i="6"/>
  <c r="L36" i="6"/>
  <c r="J36" i="6"/>
  <c r="G36" i="6"/>
  <c r="D36" i="6"/>
  <c r="J35" i="6"/>
  <c r="G35" i="6"/>
  <c r="D35" i="6"/>
  <c r="AA34" i="6"/>
  <c r="H34" i="9" s="1"/>
  <c r="L34" i="6"/>
  <c r="J34" i="6"/>
  <c r="G34" i="6"/>
  <c r="D34" i="6"/>
  <c r="J33" i="6"/>
  <c r="L33" i="6" s="1"/>
  <c r="G33" i="6"/>
  <c r="D33" i="6"/>
  <c r="AA32" i="6"/>
  <c r="H32" i="9" s="1"/>
  <c r="L32" i="6"/>
  <c r="J32" i="6"/>
  <c r="G32" i="6"/>
  <c r="D32" i="6"/>
  <c r="L31" i="6"/>
  <c r="J31" i="6"/>
  <c r="G31" i="6"/>
  <c r="D31" i="6"/>
  <c r="L30" i="6"/>
  <c r="J30" i="6"/>
  <c r="G30" i="6"/>
  <c r="D30" i="6"/>
  <c r="J29" i="6"/>
  <c r="G29" i="6"/>
  <c r="D29" i="6"/>
  <c r="L28" i="6"/>
  <c r="J28" i="6"/>
  <c r="G28" i="6"/>
  <c r="D28" i="6"/>
  <c r="L27" i="6"/>
  <c r="J27" i="6"/>
  <c r="G27" i="6"/>
  <c r="D27" i="6"/>
  <c r="L26" i="6"/>
  <c r="J26" i="6"/>
  <c r="G26" i="6"/>
  <c r="AA26" i="6" s="1"/>
  <c r="H26" i="9" s="1"/>
  <c r="D26" i="6"/>
  <c r="J25" i="6"/>
  <c r="L25" i="6" s="1"/>
  <c r="G25" i="6"/>
  <c r="D25" i="6"/>
  <c r="J24" i="6"/>
  <c r="L24" i="6" s="1"/>
  <c r="G24" i="6"/>
  <c r="D24" i="6"/>
  <c r="J23" i="6"/>
  <c r="AA23" i="6" s="1"/>
  <c r="H23" i="9" s="1"/>
  <c r="G23" i="6"/>
  <c r="D23" i="6"/>
  <c r="J22" i="6"/>
  <c r="L22" i="6" s="1"/>
  <c r="G22" i="6"/>
  <c r="D22" i="6"/>
  <c r="L21" i="6"/>
  <c r="J21" i="6"/>
  <c r="G21" i="6"/>
  <c r="D21" i="6"/>
  <c r="L20" i="6"/>
  <c r="J20" i="6"/>
  <c r="G20" i="6"/>
  <c r="D20" i="6"/>
  <c r="J19" i="6"/>
  <c r="L19" i="6" s="1"/>
  <c r="G19" i="6"/>
  <c r="D19" i="6"/>
  <c r="J18" i="6"/>
  <c r="L18" i="6" s="1"/>
  <c r="G18" i="6"/>
  <c r="D18" i="6"/>
  <c r="AA17" i="6"/>
  <c r="H17" i="9" s="1"/>
  <c r="L17" i="6"/>
  <c r="J17" i="6"/>
  <c r="G17" i="6"/>
  <c r="D17" i="6"/>
  <c r="L16" i="6"/>
  <c r="J16" i="6"/>
  <c r="G16" i="6"/>
  <c r="D16" i="6"/>
  <c r="J15" i="6"/>
  <c r="L15" i="6" s="1"/>
  <c r="G15" i="6"/>
  <c r="D15" i="6"/>
  <c r="L14" i="6"/>
  <c r="J14" i="6"/>
  <c r="G14" i="6"/>
  <c r="D14" i="6"/>
  <c r="L13" i="6"/>
  <c r="J13" i="6"/>
  <c r="G13" i="6"/>
  <c r="D13" i="6"/>
  <c r="AA13" i="6" s="1"/>
  <c r="H13" i="9" s="1"/>
  <c r="L12" i="6"/>
  <c r="J12" i="6"/>
  <c r="G12" i="6"/>
  <c r="D12" i="6"/>
  <c r="J11" i="6"/>
  <c r="L11" i="6" s="1"/>
  <c r="G11" i="6"/>
  <c r="AA11" i="6" s="1"/>
  <c r="H11" i="9" s="1"/>
  <c r="D11" i="6"/>
  <c r="AA10" i="6"/>
  <c r="H10" i="9" s="1"/>
  <c r="J10" i="6"/>
  <c r="L10" i="6" s="1"/>
  <c r="G10" i="6"/>
  <c r="D10" i="6"/>
  <c r="J9" i="6"/>
  <c r="L9" i="6" s="1"/>
  <c r="G9" i="6"/>
  <c r="D9" i="6"/>
  <c r="J8" i="6"/>
  <c r="L8" i="6" s="1"/>
  <c r="G8" i="6"/>
  <c r="D8" i="6"/>
  <c r="L7" i="6"/>
  <c r="J7" i="6"/>
  <c r="G7" i="6"/>
  <c r="D7" i="6"/>
  <c r="L6" i="6"/>
  <c r="J6" i="6"/>
  <c r="G6" i="6"/>
  <c r="D6" i="6"/>
  <c r="AA5" i="6"/>
  <c r="H5" i="9" s="1"/>
  <c r="L5" i="6"/>
  <c r="J5" i="6"/>
  <c r="G5" i="6"/>
  <c r="D5" i="6"/>
  <c r="L4" i="6"/>
  <c r="J4" i="6"/>
  <c r="G4" i="6"/>
  <c r="D4" i="6"/>
  <c r="AA4" i="6" s="1"/>
  <c r="H4" i="9" s="1"/>
  <c r="L3" i="6"/>
  <c r="J3" i="6"/>
  <c r="G3" i="6"/>
  <c r="D3" i="6"/>
  <c r="L2" i="6"/>
  <c r="J2" i="6"/>
  <c r="G2" i="6"/>
  <c r="AA2" i="6" s="1"/>
  <c r="H2" i="9" s="1"/>
  <c r="D2" i="6"/>
  <c r="L220" i="5"/>
  <c r="J220" i="5"/>
  <c r="G220" i="5"/>
  <c r="AA220" i="5" s="1"/>
  <c r="G222" i="9" s="1"/>
  <c r="D220" i="5"/>
  <c r="L219" i="5"/>
  <c r="J219" i="5"/>
  <c r="G219" i="5"/>
  <c r="D219" i="5"/>
  <c r="J218" i="5"/>
  <c r="L218" i="5" s="1"/>
  <c r="G218" i="5"/>
  <c r="D218" i="5"/>
  <c r="AA217" i="5"/>
  <c r="G219" i="9" s="1"/>
  <c r="L217" i="5"/>
  <c r="J217" i="5"/>
  <c r="G217" i="5"/>
  <c r="D217" i="5"/>
  <c r="L216" i="5"/>
  <c r="J216" i="5"/>
  <c r="G216" i="5"/>
  <c r="D216" i="5"/>
  <c r="L215" i="5"/>
  <c r="J215" i="5"/>
  <c r="G215" i="5"/>
  <c r="AA215" i="5" s="1"/>
  <c r="G217" i="9" s="1"/>
  <c r="D215" i="5"/>
  <c r="L214" i="5"/>
  <c r="J214" i="5"/>
  <c r="G214" i="5"/>
  <c r="D214" i="5"/>
  <c r="L213" i="5"/>
  <c r="J213" i="5"/>
  <c r="G213" i="5"/>
  <c r="D213" i="5"/>
  <c r="J212" i="5"/>
  <c r="G212" i="5"/>
  <c r="D212" i="5"/>
  <c r="L211" i="5"/>
  <c r="J211" i="5"/>
  <c r="G211" i="5"/>
  <c r="D211" i="5"/>
  <c r="L210" i="5"/>
  <c r="J210" i="5"/>
  <c r="G210" i="5"/>
  <c r="D210" i="5"/>
  <c r="AA209" i="5"/>
  <c r="G210" i="9" s="1"/>
  <c r="L209" i="5"/>
  <c r="J209" i="5"/>
  <c r="G209" i="5"/>
  <c r="D209" i="5"/>
  <c r="L208" i="5"/>
  <c r="J208" i="5"/>
  <c r="G208" i="5"/>
  <c r="D208" i="5"/>
  <c r="L207" i="5"/>
  <c r="J207" i="5"/>
  <c r="G207" i="5"/>
  <c r="D207" i="5"/>
  <c r="J206" i="5"/>
  <c r="L206" i="5" s="1"/>
  <c r="G206" i="5"/>
  <c r="D206" i="5"/>
  <c r="L205" i="5"/>
  <c r="J205" i="5"/>
  <c r="G205" i="5"/>
  <c r="D205" i="5"/>
  <c r="AA205" i="5" s="1"/>
  <c r="G206" i="9" s="1"/>
  <c r="L204" i="5"/>
  <c r="J204" i="5"/>
  <c r="G204" i="5"/>
  <c r="D204" i="5"/>
  <c r="L203" i="5"/>
  <c r="J203" i="5"/>
  <c r="G203" i="5"/>
  <c r="AA203" i="5" s="1"/>
  <c r="G204" i="9" s="1"/>
  <c r="D203" i="5"/>
  <c r="L202" i="5"/>
  <c r="J202" i="5"/>
  <c r="G202" i="5"/>
  <c r="D202" i="5"/>
  <c r="AA202" i="5" s="1"/>
  <c r="G203" i="9" s="1"/>
  <c r="L201" i="5"/>
  <c r="J201" i="5"/>
  <c r="G201" i="5"/>
  <c r="D201" i="5"/>
  <c r="AA201" i="5" s="1"/>
  <c r="G202" i="9" s="1"/>
  <c r="L200" i="5"/>
  <c r="J200" i="5"/>
  <c r="G200" i="5"/>
  <c r="D200" i="5"/>
  <c r="L199" i="5"/>
  <c r="J199" i="5"/>
  <c r="G199" i="5"/>
  <c r="D199" i="5"/>
  <c r="L198" i="5"/>
  <c r="J198" i="5"/>
  <c r="G198" i="5"/>
  <c r="D198" i="5"/>
  <c r="AA197" i="5"/>
  <c r="G198" i="9" s="1"/>
  <c r="L197" i="5"/>
  <c r="J197" i="5"/>
  <c r="G197" i="5"/>
  <c r="D197" i="5"/>
  <c r="L196" i="5"/>
  <c r="J196" i="5"/>
  <c r="G196" i="5"/>
  <c r="D196" i="5"/>
  <c r="L195" i="5"/>
  <c r="J195" i="5"/>
  <c r="G195" i="5"/>
  <c r="D195" i="5"/>
  <c r="L194" i="5"/>
  <c r="J194" i="5"/>
  <c r="G194" i="5"/>
  <c r="D194" i="5"/>
  <c r="AA193" i="5"/>
  <c r="G194" i="9" s="1"/>
  <c r="L193" i="5"/>
  <c r="J193" i="5"/>
  <c r="G193" i="5"/>
  <c r="D193" i="5"/>
  <c r="L192" i="5"/>
  <c r="J192" i="5"/>
  <c r="G192" i="5"/>
  <c r="D192" i="5"/>
  <c r="L191" i="5"/>
  <c r="J191" i="5"/>
  <c r="G191" i="5"/>
  <c r="D191" i="5"/>
  <c r="L190" i="5"/>
  <c r="J190" i="5"/>
  <c r="G190" i="5"/>
  <c r="AA190" i="5" s="1"/>
  <c r="G191" i="9" s="1"/>
  <c r="D190" i="5"/>
  <c r="L189" i="5"/>
  <c r="J189" i="5"/>
  <c r="G189" i="5"/>
  <c r="D189" i="5"/>
  <c r="L188" i="5"/>
  <c r="J188" i="5"/>
  <c r="G188" i="5"/>
  <c r="AA188" i="5" s="1"/>
  <c r="G189" i="9" s="1"/>
  <c r="D188" i="5"/>
  <c r="AA187" i="5"/>
  <c r="G188" i="9" s="1"/>
  <c r="J187" i="5"/>
  <c r="L187" i="5" s="1"/>
  <c r="G187" i="5"/>
  <c r="D187" i="5"/>
  <c r="L186" i="5"/>
  <c r="J186" i="5"/>
  <c r="G186" i="5"/>
  <c r="D186" i="5"/>
  <c r="AA186" i="5" s="1"/>
  <c r="G187" i="9" s="1"/>
  <c r="L185" i="5"/>
  <c r="J185" i="5"/>
  <c r="G185" i="5"/>
  <c r="AA185" i="5" s="1"/>
  <c r="G186" i="9" s="1"/>
  <c r="D185" i="5"/>
  <c r="L184" i="5"/>
  <c r="J184" i="5"/>
  <c r="G184" i="5"/>
  <c r="D184" i="5"/>
  <c r="L183" i="5"/>
  <c r="J183" i="5"/>
  <c r="G183" i="5"/>
  <c r="D183" i="5"/>
  <c r="J182" i="5"/>
  <c r="L182" i="5" s="1"/>
  <c r="G182" i="5"/>
  <c r="D182" i="5"/>
  <c r="AA181" i="5"/>
  <c r="G182" i="9" s="1"/>
  <c r="L181" i="5"/>
  <c r="J181" i="5"/>
  <c r="G181" i="5"/>
  <c r="D181" i="5"/>
  <c r="L180" i="5"/>
  <c r="J180" i="5"/>
  <c r="G180" i="5"/>
  <c r="D180" i="5"/>
  <c r="L179" i="5"/>
  <c r="J179" i="5"/>
  <c r="G179" i="5"/>
  <c r="D179" i="5"/>
  <c r="J178" i="5"/>
  <c r="L178" i="5" s="1"/>
  <c r="G178" i="5"/>
  <c r="D178" i="5"/>
  <c r="AA177" i="5"/>
  <c r="G177" i="9" s="1"/>
  <c r="L177" i="5"/>
  <c r="J177" i="5"/>
  <c r="G177" i="5"/>
  <c r="D177" i="5"/>
  <c r="L176" i="5"/>
  <c r="J176" i="5"/>
  <c r="G176" i="5"/>
  <c r="D176" i="5"/>
  <c r="AA175" i="5"/>
  <c r="G175" i="9" s="1"/>
  <c r="L175" i="5"/>
  <c r="J175" i="5"/>
  <c r="G175" i="5"/>
  <c r="D175" i="5"/>
  <c r="L174" i="5"/>
  <c r="J174" i="5"/>
  <c r="G174" i="5"/>
  <c r="D174" i="5"/>
  <c r="L173" i="5"/>
  <c r="J173" i="5"/>
  <c r="G173" i="5"/>
  <c r="D173" i="5"/>
  <c r="AA173" i="5" s="1"/>
  <c r="G173" i="9" s="1"/>
  <c r="L172" i="5"/>
  <c r="J172" i="5"/>
  <c r="G172" i="5"/>
  <c r="D172" i="5"/>
  <c r="AA172" i="5" s="1"/>
  <c r="G172" i="9" s="1"/>
  <c r="AA171" i="5"/>
  <c r="G171" i="9" s="1"/>
  <c r="L171" i="5"/>
  <c r="J171" i="5"/>
  <c r="G171" i="5"/>
  <c r="D171" i="5"/>
  <c r="AA170" i="5"/>
  <c r="G170" i="9" s="1"/>
  <c r="L170" i="5"/>
  <c r="J170" i="5"/>
  <c r="G170" i="5"/>
  <c r="D170" i="5"/>
  <c r="AA169" i="5"/>
  <c r="G169" i="9" s="1"/>
  <c r="L169" i="5"/>
  <c r="J169" i="5"/>
  <c r="G169" i="5"/>
  <c r="D169" i="5"/>
  <c r="L168" i="5"/>
  <c r="J168" i="5"/>
  <c r="G168" i="5"/>
  <c r="D168" i="5"/>
  <c r="AA168" i="5" s="1"/>
  <c r="G168" i="9" s="1"/>
  <c r="L167" i="5"/>
  <c r="J167" i="5"/>
  <c r="G167" i="5"/>
  <c r="AA167" i="5" s="1"/>
  <c r="G167" i="9" s="1"/>
  <c r="D167" i="5"/>
  <c r="L166" i="5"/>
  <c r="J166" i="5"/>
  <c r="G166" i="5"/>
  <c r="D166" i="5"/>
  <c r="AA166" i="5" s="1"/>
  <c r="G166" i="9" s="1"/>
  <c r="AA165" i="5"/>
  <c r="G165" i="9" s="1"/>
  <c r="L165" i="5"/>
  <c r="J165" i="5"/>
  <c r="G165" i="5"/>
  <c r="D165" i="5"/>
  <c r="AA164" i="5"/>
  <c r="G164" i="9" s="1"/>
  <c r="L164" i="5"/>
  <c r="J164" i="5"/>
  <c r="G164" i="5"/>
  <c r="D164" i="5"/>
  <c r="AA163" i="5"/>
  <c r="G163" i="9" s="1"/>
  <c r="L163" i="5"/>
  <c r="J163" i="5"/>
  <c r="G163" i="5"/>
  <c r="D163" i="5"/>
  <c r="AA162" i="5"/>
  <c r="G162" i="9" s="1"/>
  <c r="L162" i="5"/>
  <c r="J162" i="5"/>
  <c r="G162" i="5"/>
  <c r="D162" i="5"/>
  <c r="L161" i="5"/>
  <c r="J161" i="5"/>
  <c r="G161" i="5"/>
  <c r="D161" i="5"/>
  <c r="L160" i="5"/>
  <c r="J160" i="5"/>
  <c r="G160" i="5"/>
  <c r="D160" i="5"/>
  <c r="L159" i="5"/>
  <c r="J159" i="5"/>
  <c r="G159" i="5"/>
  <c r="D159" i="5"/>
  <c r="L158" i="5"/>
  <c r="J158" i="5"/>
  <c r="G158" i="5"/>
  <c r="D158" i="5"/>
  <c r="L157" i="5"/>
  <c r="J157" i="5"/>
  <c r="G157" i="5"/>
  <c r="D157" i="5"/>
  <c r="L156" i="5"/>
  <c r="J156" i="5"/>
  <c r="G156" i="5"/>
  <c r="D156" i="5"/>
  <c r="L155" i="5"/>
  <c r="J155" i="5"/>
  <c r="G155" i="5"/>
  <c r="D155" i="5"/>
  <c r="AA155" i="5" s="1"/>
  <c r="G155" i="9" s="1"/>
  <c r="L154" i="5"/>
  <c r="J154" i="5"/>
  <c r="G154" i="5"/>
  <c r="D154" i="5"/>
  <c r="AA154" i="5" s="1"/>
  <c r="G154" i="9" s="1"/>
  <c r="L153" i="5"/>
  <c r="J153" i="5"/>
  <c r="G153" i="5"/>
  <c r="D153" i="5"/>
  <c r="AA152" i="5"/>
  <c r="G152" i="9" s="1"/>
  <c r="L152" i="5"/>
  <c r="J152" i="5"/>
  <c r="G152" i="5"/>
  <c r="D152" i="5"/>
  <c r="L151" i="5"/>
  <c r="J151" i="5"/>
  <c r="G151" i="5"/>
  <c r="D151" i="5"/>
  <c r="J150" i="5"/>
  <c r="L150" i="5" s="1"/>
  <c r="G150" i="5"/>
  <c r="D150" i="5"/>
  <c r="L149" i="5"/>
  <c r="J149" i="5"/>
  <c r="G149" i="5"/>
  <c r="D149" i="5"/>
  <c r="L148" i="5"/>
  <c r="J148" i="5"/>
  <c r="G148" i="5"/>
  <c r="D148" i="5"/>
  <c r="J147" i="5"/>
  <c r="L147" i="5" s="1"/>
  <c r="G147" i="5"/>
  <c r="D147" i="5"/>
  <c r="L146" i="5"/>
  <c r="J146" i="5"/>
  <c r="G146" i="5"/>
  <c r="D146" i="5"/>
  <c r="J145" i="5"/>
  <c r="L145" i="5" s="1"/>
  <c r="G145" i="5"/>
  <c r="D145" i="5"/>
  <c r="AA144" i="5"/>
  <c r="G144" i="9" s="1"/>
  <c r="L144" i="5"/>
  <c r="J144" i="5"/>
  <c r="G144" i="5"/>
  <c r="D144" i="5"/>
  <c r="L143" i="5"/>
  <c r="J143" i="5"/>
  <c r="G143" i="5"/>
  <c r="D143" i="5"/>
  <c r="AA142" i="5"/>
  <c r="G142" i="9" s="1"/>
  <c r="L142" i="5"/>
  <c r="J142" i="5"/>
  <c r="G142" i="5"/>
  <c r="D142" i="5"/>
  <c r="L141" i="5"/>
  <c r="J141" i="5"/>
  <c r="G141" i="5"/>
  <c r="D141" i="5"/>
  <c r="L140" i="5"/>
  <c r="J140" i="5"/>
  <c r="G140" i="5"/>
  <c r="D140" i="5"/>
  <c r="AA140" i="5" s="1"/>
  <c r="G140" i="9" s="1"/>
  <c r="L139" i="5"/>
  <c r="J139" i="5"/>
  <c r="G139" i="5"/>
  <c r="D139" i="5"/>
  <c r="J138" i="5"/>
  <c r="L138" i="5" s="1"/>
  <c r="G138" i="5"/>
  <c r="D138" i="5"/>
  <c r="AA138" i="5" s="1"/>
  <c r="G138" i="9" s="1"/>
  <c r="L137" i="5"/>
  <c r="J137" i="5"/>
  <c r="G137" i="5"/>
  <c r="D137" i="5"/>
  <c r="J136" i="5"/>
  <c r="L136" i="5" s="1"/>
  <c r="G136" i="5"/>
  <c r="D136" i="5"/>
  <c r="L135" i="5"/>
  <c r="J135" i="5"/>
  <c r="G135" i="5"/>
  <c r="D135" i="5"/>
  <c r="L134" i="5"/>
  <c r="J134" i="5"/>
  <c r="G134" i="5"/>
  <c r="D134" i="5"/>
  <c r="L133" i="5"/>
  <c r="J133" i="5"/>
  <c r="G133" i="5"/>
  <c r="D133" i="5"/>
  <c r="J132" i="5"/>
  <c r="L132" i="5" s="1"/>
  <c r="G132" i="5"/>
  <c r="D132" i="5"/>
  <c r="L131" i="5"/>
  <c r="J131" i="5"/>
  <c r="G131" i="5"/>
  <c r="D131" i="5"/>
  <c r="J130" i="5"/>
  <c r="L130" i="5" s="1"/>
  <c r="G130" i="5"/>
  <c r="AA130" i="5" s="1"/>
  <c r="G130" i="9" s="1"/>
  <c r="D130" i="5"/>
  <c r="AA129" i="5"/>
  <c r="G129" i="9" s="1"/>
  <c r="J129" i="5"/>
  <c r="L129" i="5" s="1"/>
  <c r="G129" i="5"/>
  <c r="D129" i="5"/>
  <c r="AA128" i="5"/>
  <c r="G128" i="9" s="1"/>
  <c r="L128" i="5"/>
  <c r="J128" i="5"/>
  <c r="G128" i="5"/>
  <c r="D128" i="5"/>
  <c r="L127" i="5"/>
  <c r="J127" i="5"/>
  <c r="G127" i="5"/>
  <c r="D127" i="5"/>
  <c r="J126" i="5"/>
  <c r="L126" i="5" s="1"/>
  <c r="G126" i="5"/>
  <c r="D126" i="5"/>
  <c r="L125" i="5"/>
  <c r="J125" i="5"/>
  <c r="G125" i="5"/>
  <c r="D125" i="5"/>
  <c r="AA125" i="5" s="1"/>
  <c r="G125" i="9" s="1"/>
  <c r="AA124" i="5"/>
  <c r="G124" i="9" s="1"/>
  <c r="L124" i="5"/>
  <c r="J124" i="5"/>
  <c r="G124" i="5"/>
  <c r="D124" i="5"/>
  <c r="J123" i="5"/>
  <c r="L123" i="5" s="1"/>
  <c r="G123" i="5"/>
  <c r="D123" i="5"/>
  <c r="AA122" i="5"/>
  <c r="G122" i="9" s="1"/>
  <c r="L122" i="5"/>
  <c r="J122" i="5"/>
  <c r="G122" i="5"/>
  <c r="D122" i="5"/>
  <c r="AA121" i="5"/>
  <c r="G121" i="9" s="1"/>
  <c r="L121" i="5"/>
  <c r="J121" i="5"/>
  <c r="G121" i="5"/>
  <c r="D121" i="5"/>
  <c r="L120" i="5"/>
  <c r="J120" i="5"/>
  <c r="G120" i="5"/>
  <c r="D120" i="5"/>
  <c r="AA120" i="5" s="1"/>
  <c r="G120" i="9" s="1"/>
  <c r="L119" i="5"/>
  <c r="J119" i="5"/>
  <c r="G119" i="5"/>
  <c r="D119" i="5"/>
  <c r="L118" i="5"/>
  <c r="J118" i="5"/>
  <c r="G118" i="5"/>
  <c r="D118" i="5"/>
  <c r="AA117" i="5"/>
  <c r="G117" i="9" s="1"/>
  <c r="L117" i="5"/>
  <c r="J117" i="5"/>
  <c r="G117" i="5"/>
  <c r="D117" i="5"/>
  <c r="L116" i="5"/>
  <c r="J116" i="5"/>
  <c r="G116" i="5"/>
  <c r="D116" i="5"/>
  <c r="AA116" i="5" s="1"/>
  <c r="G116" i="9" s="1"/>
  <c r="AA115" i="5"/>
  <c r="G115" i="9" s="1"/>
  <c r="L115" i="5"/>
  <c r="J115" i="5"/>
  <c r="G115" i="5"/>
  <c r="D115" i="5"/>
  <c r="J114" i="5"/>
  <c r="L114" i="5" s="1"/>
  <c r="G114" i="5"/>
  <c r="D114" i="5"/>
  <c r="L113" i="5"/>
  <c r="J113" i="5"/>
  <c r="G113" i="5"/>
  <c r="AA113" i="5" s="1"/>
  <c r="G113" i="9" s="1"/>
  <c r="D113" i="5"/>
  <c r="L112" i="5"/>
  <c r="J112" i="5"/>
  <c r="G112" i="5"/>
  <c r="D112" i="5"/>
  <c r="AA111" i="5"/>
  <c r="G111" i="9" s="1"/>
  <c r="L111" i="5"/>
  <c r="J111" i="5"/>
  <c r="G111" i="5"/>
  <c r="D111" i="5"/>
  <c r="L110" i="5"/>
  <c r="J110" i="5"/>
  <c r="G110" i="5"/>
  <c r="AA110" i="5" s="1"/>
  <c r="G110" i="9" s="1"/>
  <c r="D110" i="5"/>
  <c r="J109" i="5"/>
  <c r="L109" i="5" s="1"/>
  <c r="G109" i="5"/>
  <c r="D109" i="5"/>
  <c r="L108" i="5"/>
  <c r="J108" i="5"/>
  <c r="G108" i="5"/>
  <c r="D108" i="5"/>
  <c r="L107" i="5"/>
  <c r="J107" i="5"/>
  <c r="G107" i="5"/>
  <c r="D107" i="5"/>
  <c r="L106" i="5"/>
  <c r="J106" i="5"/>
  <c r="G106" i="5"/>
  <c r="D106" i="5"/>
  <c r="J105" i="5"/>
  <c r="L105" i="5" s="1"/>
  <c r="G105" i="5"/>
  <c r="D105" i="5"/>
  <c r="AA104" i="5"/>
  <c r="G104" i="9" s="1"/>
  <c r="L104" i="5"/>
  <c r="J104" i="5"/>
  <c r="G104" i="5"/>
  <c r="D104" i="5"/>
  <c r="L103" i="5"/>
  <c r="J103" i="5"/>
  <c r="G103" i="5"/>
  <c r="D103" i="5"/>
  <c r="L102" i="5"/>
  <c r="J102" i="5"/>
  <c r="G102" i="5"/>
  <c r="D102" i="5"/>
  <c r="L101" i="5"/>
  <c r="J101" i="5"/>
  <c r="G101" i="5"/>
  <c r="D101" i="5"/>
  <c r="L100" i="5"/>
  <c r="J100" i="5"/>
  <c r="G100" i="5"/>
  <c r="D100" i="5"/>
  <c r="AA100" i="5" s="1"/>
  <c r="G100" i="9" s="1"/>
  <c r="J99" i="5"/>
  <c r="L99" i="5" s="1"/>
  <c r="G99" i="5"/>
  <c r="D99" i="5"/>
  <c r="L98" i="5"/>
  <c r="J98" i="5"/>
  <c r="G98" i="5"/>
  <c r="D98" i="5"/>
  <c r="AA97" i="5"/>
  <c r="G97" i="9" s="1"/>
  <c r="L97" i="5"/>
  <c r="J97" i="5"/>
  <c r="G97" i="5"/>
  <c r="D97" i="5"/>
  <c r="J96" i="5"/>
  <c r="L96" i="5" s="1"/>
  <c r="G96" i="5"/>
  <c r="D96" i="5"/>
  <c r="AA95" i="5"/>
  <c r="G95" i="9" s="1"/>
  <c r="L95" i="5"/>
  <c r="J95" i="5"/>
  <c r="G95" i="5"/>
  <c r="D95" i="5"/>
  <c r="AA94" i="5"/>
  <c r="G94" i="9" s="1"/>
  <c r="L94" i="5"/>
  <c r="J94" i="5"/>
  <c r="G94" i="5"/>
  <c r="D94" i="5"/>
  <c r="L93" i="5"/>
  <c r="J93" i="5"/>
  <c r="G93" i="5"/>
  <c r="D93" i="5"/>
  <c r="AA92" i="5"/>
  <c r="G92" i="9" s="1"/>
  <c r="L92" i="5"/>
  <c r="J92" i="5"/>
  <c r="G92" i="5"/>
  <c r="D92" i="5"/>
  <c r="J91" i="5"/>
  <c r="L91" i="5" s="1"/>
  <c r="G91" i="5"/>
  <c r="D91" i="5"/>
  <c r="J90" i="5"/>
  <c r="L90" i="5" s="1"/>
  <c r="G90" i="5"/>
  <c r="D90" i="5"/>
  <c r="L89" i="5"/>
  <c r="J89" i="5"/>
  <c r="G89" i="5"/>
  <c r="D89" i="5"/>
  <c r="AA89" i="5" s="1"/>
  <c r="G89" i="9" s="1"/>
  <c r="AA88" i="5"/>
  <c r="G88" i="9" s="1"/>
  <c r="J88" i="5"/>
  <c r="L88" i="5" s="1"/>
  <c r="G88" i="5"/>
  <c r="D88" i="5"/>
  <c r="J87" i="5"/>
  <c r="L87" i="5" s="1"/>
  <c r="G87" i="5"/>
  <c r="D87" i="5"/>
  <c r="L86" i="5"/>
  <c r="J86" i="5"/>
  <c r="G86" i="5"/>
  <c r="AA86" i="5" s="1"/>
  <c r="G86" i="9" s="1"/>
  <c r="D86" i="5"/>
  <c r="J85" i="5"/>
  <c r="L85" i="5" s="1"/>
  <c r="G85" i="5"/>
  <c r="D85" i="5"/>
  <c r="AA84" i="5"/>
  <c r="G84" i="9" s="1"/>
  <c r="L84" i="5"/>
  <c r="J84" i="5"/>
  <c r="G84" i="5"/>
  <c r="D84" i="5"/>
  <c r="L83" i="5"/>
  <c r="J83" i="5"/>
  <c r="G83" i="5"/>
  <c r="D83" i="5"/>
  <c r="L82" i="5"/>
  <c r="J82" i="5"/>
  <c r="G82" i="5"/>
  <c r="D82" i="5"/>
  <c r="L81" i="5"/>
  <c r="J81" i="5"/>
  <c r="G81" i="5"/>
  <c r="D81" i="5"/>
  <c r="AA81" i="5" s="1"/>
  <c r="G81" i="9" s="1"/>
  <c r="L80" i="5"/>
  <c r="J80" i="5"/>
  <c r="G80" i="5"/>
  <c r="D80" i="5"/>
  <c r="AA79" i="5"/>
  <c r="G79" i="9" s="1"/>
  <c r="L79" i="5"/>
  <c r="J79" i="5"/>
  <c r="G79" i="5"/>
  <c r="D79" i="5"/>
  <c r="L78" i="5"/>
  <c r="J78" i="5"/>
  <c r="G78" i="5"/>
  <c r="D78" i="5"/>
  <c r="AA78" i="5" s="1"/>
  <c r="G78" i="9" s="1"/>
  <c r="AA77" i="5"/>
  <c r="G77" i="9" s="1"/>
  <c r="L77" i="5"/>
  <c r="J77" i="5"/>
  <c r="G77" i="5"/>
  <c r="D77" i="5"/>
  <c r="J76" i="5"/>
  <c r="L76" i="5" s="1"/>
  <c r="G76" i="5"/>
  <c r="D76" i="5"/>
  <c r="J75" i="5"/>
  <c r="L75" i="5" s="1"/>
  <c r="G75" i="5"/>
  <c r="D75" i="5"/>
  <c r="L74" i="5"/>
  <c r="J74" i="5"/>
  <c r="G74" i="5"/>
  <c r="AA74" i="5" s="1"/>
  <c r="G74" i="9" s="1"/>
  <c r="D74" i="5"/>
  <c r="J73" i="5"/>
  <c r="L73" i="5" s="1"/>
  <c r="G73" i="5"/>
  <c r="D73" i="5"/>
  <c r="L72" i="5"/>
  <c r="J72" i="5"/>
  <c r="G72" i="5"/>
  <c r="D72" i="5"/>
  <c r="L71" i="5"/>
  <c r="J71" i="5"/>
  <c r="G71" i="5"/>
  <c r="D71" i="5"/>
  <c r="L70" i="5"/>
  <c r="J70" i="5"/>
  <c r="G70" i="5"/>
  <c r="D70" i="5"/>
  <c r="J69" i="5"/>
  <c r="L69" i="5" s="1"/>
  <c r="G69" i="5"/>
  <c r="D69" i="5"/>
  <c r="AA69" i="5" s="1"/>
  <c r="G69" i="9" s="1"/>
  <c r="AA68" i="5"/>
  <c r="G68" i="9" s="1"/>
  <c r="L68" i="5"/>
  <c r="J68" i="5"/>
  <c r="G68" i="5"/>
  <c r="D68" i="5"/>
  <c r="L67" i="5"/>
  <c r="J67" i="5"/>
  <c r="G67" i="5"/>
  <c r="D67" i="5"/>
  <c r="L66" i="5"/>
  <c r="J66" i="5"/>
  <c r="G66" i="5"/>
  <c r="D66" i="5"/>
  <c r="L65" i="5"/>
  <c r="J65" i="5"/>
  <c r="G65" i="5"/>
  <c r="D65" i="5"/>
  <c r="J64" i="5"/>
  <c r="L64" i="5" s="1"/>
  <c r="G64" i="5"/>
  <c r="D64" i="5"/>
  <c r="J63" i="5"/>
  <c r="L63" i="5" s="1"/>
  <c r="G63" i="5"/>
  <c r="D63" i="5"/>
  <c r="L62" i="5"/>
  <c r="J62" i="5"/>
  <c r="G62" i="5"/>
  <c r="D62" i="5"/>
  <c r="AA61" i="5"/>
  <c r="G61" i="9" s="1"/>
  <c r="L61" i="5"/>
  <c r="J61" i="5"/>
  <c r="G61" i="5"/>
  <c r="D61" i="5"/>
  <c r="J60" i="5"/>
  <c r="L60" i="5" s="1"/>
  <c r="G60" i="5"/>
  <c r="D60" i="5"/>
  <c r="AA59" i="5"/>
  <c r="G59" i="9" s="1"/>
  <c r="L59" i="5"/>
  <c r="J59" i="5"/>
  <c r="G59" i="5"/>
  <c r="D59" i="5"/>
  <c r="AA58" i="5"/>
  <c r="G58" i="9" s="1"/>
  <c r="L58" i="5"/>
  <c r="J58" i="5"/>
  <c r="G58" i="5"/>
  <c r="D58" i="5"/>
  <c r="L57" i="5"/>
  <c r="J57" i="5"/>
  <c r="G57" i="5"/>
  <c r="D57" i="5"/>
  <c r="L56" i="5"/>
  <c r="J56" i="5"/>
  <c r="G56" i="5"/>
  <c r="D56" i="5"/>
  <c r="AA56" i="5" s="1"/>
  <c r="G56" i="9" s="1"/>
  <c r="J55" i="5"/>
  <c r="L55" i="5" s="1"/>
  <c r="G55" i="5"/>
  <c r="D55" i="5"/>
  <c r="J54" i="5"/>
  <c r="L54" i="5" s="1"/>
  <c r="G54" i="5"/>
  <c r="D54" i="5"/>
  <c r="L53" i="5"/>
  <c r="J53" i="5"/>
  <c r="G53" i="5"/>
  <c r="D53" i="5"/>
  <c r="AA53" i="5" s="1"/>
  <c r="G53" i="9" s="1"/>
  <c r="AA52" i="5"/>
  <c r="G52" i="9" s="1"/>
  <c r="J52" i="5"/>
  <c r="L52" i="5" s="1"/>
  <c r="G52" i="5"/>
  <c r="D52" i="5"/>
  <c r="J51" i="5"/>
  <c r="L51" i="5" s="1"/>
  <c r="G51" i="5"/>
  <c r="D51" i="5"/>
  <c r="L50" i="5"/>
  <c r="J50" i="5"/>
  <c r="G50" i="5"/>
  <c r="AA50" i="5" s="1"/>
  <c r="G50" i="9" s="1"/>
  <c r="D50" i="5"/>
  <c r="AA49" i="5"/>
  <c r="G49" i="9" s="1"/>
  <c r="J49" i="5"/>
  <c r="L49" i="5" s="1"/>
  <c r="G49" i="5"/>
  <c r="D49" i="5"/>
  <c r="AA48" i="5"/>
  <c r="G48" i="9" s="1"/>
  <c r="L48" i="5"/>
  <c r="J48" i="5"/>
  <c r="G48" i="5"/>
  <c r="D48" i="5"/>
  <c r="L47" i="5"/>
  <c r="J47" i="5"/>
  <c r="G47" i="5"/>
  <c r="D47" i="5"/>
  <c r="L46" i="5"/>
  <c r="J46" i="5"/>
  <c r="G46" i="5"/>
  <c r="D46" i="5"/>
  <c r="L45" i="5"/>
  <c r="J45" i="5"/>
  <c r="G45" i="5"/>
  <c r="D45" i="5"/>
  <c r="AA45" i="5" s="1"/>
  <c r="G45" i="9" s="1"/>
  <c r="L44" i="5"/>
  <c r="J44" i="5"/>
  <c r="G44" i="5"/>
  <c r="D44" i="5"/>
  <c r="AA43" i="5"/>
  <c r="G43" i="9" s="1"/>
  <c r="L43" i="5"/>
  <c r="J43" i="5"/>
  <c r="G43" i="5"/>
  <c r="D43" i="5"/>
  <c r="L42" i="5"/>
  <c r="J42" i="5"/>
  <c r="G42" i="5"/>
  <c r="D42" i="5"/>
  <c r="AA42" i="5" s="1"/>
  <c r="G42" i="9" s="1"/>
  <c r="AA41" i="5"/>
  <c r="G41" i="9" s="1"/>
  <c r="L41" i="5"/>
  <c r="J41" i="5"/>
  <c r="G41" i="5"/>
  <c r="D41" i="5"/>
  <c r="J40" i="5"/>
  <c r="L40" i="5" s="1"/>
  <c r="G40" i="5"/>
  <c r="D40" i="5"/>
  <c r="L39" i="5"/>
  <c r="J39" i="5"/>
  <c r="G39" i="5"/>
  <c r="D39" i="5"/>
  <c r="L38" i="5"/>
  <c r="J38" i="5"/>
  <c r="G38" i="5"/>
  <c r="D38" i="5"/>
  <c r="J37" i="5"/>
  <c r="L37" i="5" s="1"/>
  <c r="G37" i="5"/>
  <c r="D37" i="5"/>
  <c r="L36" i="5"/>
  <c r="J36" i="5"/>
  <c r="G36" i="5"/>
  <c r="D36" i="5"/>
  <c r="L35" i="5"/>
  <c r="J35" i="5"/>
  <c r="G35" i="5"/>
  <c r="D35" i="5"/>
  <c r="AA34" i="5"/>
  <c r="G34" i="9" s="1"/>
  <c r="L34" i="5"/>
  <c r="J34" i="5"/>
  <c r="G34" i="5"/>
  <c r="D34" i="5"/>
  <c r="L33" i="5"/>
  <c r="J33" i="5"/>
  <c r="G33" i="5"/>
  <c r="D33" i="5"/>
  <c r="AA32" i="5"/>
  <c r="G32" i="9" s="1"/>
  <c r="L32" i="5"/>
  <c r="J32" i="5"/>
  <c r="G32" i="5"/>
  <c r="D32" i="5"/>
  <c r="AA31" i="5"/>
  <c r="G31" i="9" s="1"/>
  <c r="L31" i="5"/>
  <c r="J31" i="5"/>
  <c r="G31" i="5"/>
  <c r="D31" i="5"/>
  <c r="AA30" i="5"/>
  <c r="G30" i="9" s="1"/>
  <c r="L30" i="5"/>
  <c r="J30" i="5"/>
  <c r="G30" i="5"/>
  <c r="D30" i="5"/>
  <c r="L29" i="5"/>
  <c r="J29" i="5"/>
  <c r="G29" i="5"/>
  <c r="D29" i="5"/>
  <c r="L28" i="5"/>
  <c r="J28" i="5"/>
  <c r="G28" i="5"/>
  <c r="D28" i="5"/>
  <c r="AA28" i="5" s="1"/>
  <c r="G28" i="9" s="1"/>
  <c r="J27" i="5"/>
  <c r="L27" i="5" s="1"/>
  <c r="G27" i="5"/>
  <c r="D27" i="5"/>
  <c r="L26" i="5"/>
  <c r="J26" i="5"/>
  <c r="G26" i="5"/>
  <c r="D26" i="5"/>
  <c r="AA25" i="5"/>
  <c r="G25" i="9" s="1"/>
  <c r="J25" i="5"/>
  <c r="L25" i="5" s="1"/>
  <c r="G25" i="5"/>
  <c r="D25" i="5"/>
  <c r="J24" i="5"/>
  <c r="L24" i="5" s="1"/>
  <c r="G24" i="5"/>
  <c r="D24" i="5"/>
  <c r="AA24" i="5" s="1"/>
  <c r="G24" i="9" s="1"/>
  <c r="AA23" i="5"/>
  <c r="G23" i="9" s="1"/>
  <c r="L23" i="5"/>
  <c r="J23" i="5"/>
  <c r="G23" i="5"/>
  <c r="D23" i="5"/>
  <c r="AA22" i="5"/>
  <c r="G22" i="9" s="1"/>
  <c r="L22" i="5"/>
  <c r="J22" i="5"/>
  <c r="G22" i="5"/>
  <c r="D22" i="5"/>
  <c r="L21" i="5"/>
  <c r="J21" i="5"/>
  <c r="G21" i="5"/>
  <c r="D21" i="5"/>
  <c r="AA20" i="5"/>
  <c r="G20" i="9" s="1"/>
  <c r="L20" i="5"/>
  <c r="J20" i="5"/>
  <c r="G20" i="5"/>
  <c r="D20" i="5"/>
  <c r="J19" i="5"/>
  <c r="L19" i="5" s="1"/>
  <c r="G19" i="5"/>
  <c r="D19" i="5"/>
  <c r="J18" i="5"/>
  <c r="L18" i="5" s="1"/>
  <c r="G18" i="5"/>
  <c r="D18" i="5"/>
  <c r="L17" i="5"/>
  <c r="J17" i="5"/>
  <c r="G17" i="5"/>
  <c r="D17" i="5"/>
  <c r="AA17" i="5" s="1"/>
  <c r="G17" i="9" s="1"/>
  <c r="AA16" i="5"/>
  <c r="G16" i="9" s="1"/>
  <c r="L16" i="5"/>
  <c r="J16" i="5"/>
  <c r="G16" i="5"/>
  <c r="D16" i="5"/>
  <c r="J15" i="5"/>
  <c r="L15" i="5" s="1"/>
  <c r="G15" i="5"/>
  <c r="D15" i="5"/>
  <c r="L14" i="5"/>
  <c r="J14" i="5"/>
  <c r="G14" i="5"/>
  <c r="AA14" i="5" s="1"/>
  <c r="G14" i="9" s="1"/>
  <c r="D14" i="5"/>
  <c r="AA13" i="5"/>
  <c r="G13" i="9" s="1"/>
  <c r="J13" i="5"/>
  <c r="L13" i="5" s="1"/>
  <c r="G13" i="5"/>
  <c r="D13" i="5"/>
  <c r="AA12" i="5"/>
  <c r="G12" i="9" s="1"/>
  <c r="L12" i="5"/>
  <c r="J12" i="5"/>
  <c r="G12" i="5"/>
  <c r="D12" i="5"/>
  <c r="L11" i="5"/>
  <c r="J11" i="5"/>
  <c r="G11" i="5"/>
  <c r="D11" i="5"/>
  <c r="J10" i="5"/>
  <c r="L10" i="5" s="1"/>
  <c r="G10" i="5"/>
  <c r="D10" i="5"/>
  <c r="L9" i="5"/>
  <c r="J9" i="5"/>
  <c r="G9" i="5"/>
  <c r="D9" i="5"/>
  <c r="AA9" i="5" s="1"/>
  <c r="G9" i="9" s="1"/>
  <c r="L8" i="5"/>
  <c r="J8" i="5"/>
  <c r="G8" i="5"/>
  <c r="D8" i="5"/>
  <c r="AA7" i="5"/>
  <c r="G7" i="9" s="1"/>
  <c r="J7" i="5"/>
  <c r="L7" i="5" s="1"/>
  <c r="G7" i="5"/>
  <c r="D7" i="5"/>
  <c r="L6" i="5"/>
  <c r="J6" i="5"/>
  <c r="G6" i="5"/>
  <c r="D6" i="5"/>
  <c r="AA6" i="5" s="1"/>
  <c r="G6" i="9" s="1"/>
  <c r="AA5" i="5"/>
  <c r="G5" i="9" s="1"/>
  <c r="L5" i="5"/>
  <c r="J5" i="5"/>
  <c r="G5" i="5"/>
  <c r="D5" i="5"/>
  <c r="L4" i="5"/>
  <c r="J4" i="5"/>
  <c r="G4" i="5"/>
  <c r="D4" i="5"/>
  <c r="L3" i="5"/>
  <c r="J3" i="5"/>
  <c r="G3" i="5"/>
  <c r="D3" i="5"/>
  <c r="AA2" i="5"/>
  <c r="G2" i="9" s="1"/>
  <c r="L2" i="5"/>
  <c r="J2" i="5"/>
  <c r="G2" i="5"/>
  <c r="D2" i="5"/>
  <c r="CQ221" i="3"/>
  <c r="CQ220" i="3"/>
  <c r="CQ219" i="3"/>
  <c r="EA218" i="3"/>
  <c r="DW218" i="3"/>
  <c r="DV218" i="3"/>
  <c r="DR218" i="3"/>
  <c r="DP218" i="3"/>
  <c r="DE218" i="3"/>
  <c r="CW218" i="3"/>
  <c r="CV218" i="3"/>
  <c r="CC218" i="3"/>
  <c r="CB218" i="3"/>
  <c r="CA218" i="3"/>
  <c r="BZ218" i="3"/>
  <c r="BY218" i="3"/>
  <c r="DS218" i="3" s="1"/>
  <c r="BX218" i="3"/>
  <c r="DU218" i="3" s="1"/>
  <c r="BW218" i="3"/>
  <c r="BV218" i="3"/>
  <c r="BU218" i="3"/>
  <c r="BS218" i="3"/>
  <c r="CU218" i="3" s="1"/>
  <c r="X218" i="3"/>
  <c r="CE218" i="3" s="1"/>
  <c r="EA217" i="3"/>
  <c r="DV217" i="3"/>
  <c r="DS217" i="3"/>
  <c r="DR217" i="3"/>
  <c r="DL217" i="3"/>
  <c r="DI217" i="3"/>
  <c r="DK217" i="3" s="1"/>
  <c r="DH217" i="3"/>
  <c r="DE217" i="3"/>
  <c r="DD217" i="3"/>
  <c r="DA217" i="3"/>
  <c r="CZ217" i="3"/>
  <c r="CY217" i="3"/>
  <c r="CW217" i="3"/>
  <c r="CV217" i="3"/>
  <c r="CU217" i="3"/>
  <c r="CX217" i="3" s="1"/>
  <c r="CC217" i="3"/>
  <c r="CB217" i="3"/>
  <c r="CA217" i="3"/>
  <c r="BZ217" i="3"/>
  <c r="BY217" i="3"/>
  <c r="BX217" i="3"/>
  <c r="DU217" i="3" s="1"/>
  <c r="DW217" i="3" s="1"/>
  <c r="BW217" i="3"/>
  <c r="BV217" i="3"/>
  <c r="BU217" i="3"/>
  <c r="BS217" i="3"/>
  <c r="X217" i="3"/>
  <c r="CE217" i="3" s="1"/>
  <c r="ER216" i="3"/>
  <c r="EQ216" i="3"/>
  <c r="EP216" i="3"/>
  <c r="EO216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B216" i="3"/>
  <c r="EA216" i="3"/>
  <c r="DV216" i="3"/>
  <c r="DR216" i="3"/>
  <c r="DE216" i="3"/>
  <c r="DA216" i="3"/>
  <c r="CW216" i="3"/>
  <c r="CV216" i="3"/>
  <c r="CY216" i="3" s="1"/>
  <c r="CQ216" i="3"/>
  <c r="CK216" i="3"/>
  <c r="CJ216" i="3"/>
  <c r="CI216" i="3"/>
  <c r="CH216" i="3"/>
  <c r="CG216" i="3"/>
  <c r="CC216" i="3"/>
  <c r="CB216" i="3"/>
  <c r="CA216" i="3"/>
  <c r="BZ216" i="3"/>
  <c r="BY216" i="3"/>
  <c r="BX216" i="3"/>
  <c r="DU216" i="3" s="1"/>
  <c r="DW216" i="3" s="1"/>
  <c r="BW216" i="3"/>
  <c r="BV216" i="3"/>
  <c r="BU216" i="3"/>
  <c r="BS216" i="3"/>
  <c r="X216" i="3"/>
  <c r="EA215" i="3"/>
  <c r="DW215" i="3"/>
  <c r="DV215" i="3"/>
  <c r="DU215" i="3"/>
  <c r="DS215" i="3"/>
  <c r="DR215" i="3"/>
  <c r="DP215" i="3"/>
  <c r="DE215" i="3"/>
  <c r="DC215" i="3"/>
  <c r="DB215" i="3"/>
  <c r="CW215" i="3"/>
  <c r="CV215" i="3"/>
  <c r="CC215" i="3"/>
  <c r="CB215" i="3"/>
  <c r="CA215" i="3"/>
  <c r="BZ215" i="3"/>
  <c r="BY215" i="3"/>
  <c r="DD215" i="3" s="1"/>
  <c r="BX215" i="3"/>
  <c r="BW215" i="3"/>
  <c r="BV215" i="3"/>
  <c r="BU215" i="3"/>
  <c r="BS215" i="3"/>
  <c r="CU215" i="3" s="1"/>
  <c r="X215" i="3"/>
  <c r="EA214" i="3"/>
  <c r="DV214" i="3"/>
  <c r="DS214" i="3"/>
  <c r="DR214" i="3"/>
  <c r="DI214" i="3"/>
  <c r="DH214" i="3"/>
  <c r="DE214" i="3"/>
  <c r="DD214" i="3"/>
  <c r="DA214" i="3"/>
  <c r="CW214" i="3"/>
  <c r="CV214" i="3"/>
  <c r="CY214" i="3" s="1"/>
  <c r="CC214" i="3"/>
  <c r="CB214" i="3"/>
  <c r="CA214" i="3"/>
  <c r="BZ214" i="3"/>
  <c r="BY214" i="3"/>
  <c r="BX214" i="3"/>
  <c r="BW214" i="3"/>
  <c r="BV214" i="3"/>
  <c r="BU214" i="3"/>
  <c r="BS214" i="3"/>
  <c r="CU214" i="3" s="1"/>
  <c r="X214" i="3"/>
  <c r="CE214" i="3" s="1"/>
  <c r="EA213" i="3"/>
  <c r="DV213" i="3"/>
  <c r="DR213" i="3"/>
  <c r="DQ213" i="3"/>
  <c r="DP213" i="3"/>
  <c r="DE213" i="3"/>
  <c r="DB213" i="3"/>
  <c r="DC213" i="3" s="1"/>
  <c r="CY213" i="3"/>
  <c r="CW213" i="3"/>
  <c r="CV213" i="3"/>
  <c r="CU213" i="3"/>
  <c r="CC213" i="3"/>
  <c r="CB213" i="3"/>
  <c r="CA213" i="3"/>
  <c r="BZ213" i="3"/>
  <c r="BY213" i="3"/>
  <c r="BX213" i="3"/>
  <c r="DU213" i="3" s="1"/>
  <c r="DW213" i="3" s="1"/>
  <c r="BW213" i="3"/>
  <c r="BV213" i="3"/>
  <c r="BU213" i="3"/>
  <c r="BS213" i="3"/>
  <c r="X213" i="3"/>
  <c r="CE213" i="3" s="1"/>
  <c r="EA212" i="3"/>
  <c r="DV212" i="3"/>
  <c r="DU212" i="3"/>
  <c r="DW212" i="3" s="1"/>
  <c r="DR212" i="3"/>
  <c r="DP212" i="3"/>
  <c r="DH212" i="3"/>
  <c r="DI212" i="3" s="1"/>
  <c r="DE212" i="3"/>
  <c r="DD212" i="3"/>
  <c r="CX212" i="3"/>
  <c r="CW212" i="3"/>
  <c r="CV212" i="3"/>
  <c r="CY212" i="3" s="1"/>
  <c r="CU212" i="3"/>
  <c r="CC212" i="3"/>
  <c r="CB212" i="3"/>
  <c r="CA212" i="3"/>
  <c r="BZ212" i="3"/>
  <c r="BY212" i="3"/>
  <c r="DS212" i="3" s="1"/>
  <c r="BX212" i="3"/>
  <c r="DB212" i="3" s="1"/>
  <c r="BW212" i="3"/>
  <c r="BV212" i="3"/>
  <c r="BU212" i="3"/>
  <c r="BS212" i="3"/>
  <c r="X212" i="3"/>
  <c r="DC212" i="3" s="1"/>
  <c r="DF212" i="3" s="1"/>
  <c r="EA211" i="3"/>
  <c r="DV211" i="3"/>
  <c r="DU211" i="3"/>
  <c r="DW211" i="3" s="1"/>
  <c r="DR211" i="3"/>
  <c r="DE211" i="3"/>
  <c r="DB211" i="3"/>
  <c r="DC211" i="3" s="1"/>
  <c r="DA211" i="3"/>
  <c r="CY211" i="3"/>
  <c r="CW211" i="3"/>
  <c r="CV211" i="3"/>
  <c r="CC211" i="3"/>
  <c r="CB211" i="3"/>
  <c r="CA211" i="3"/>
  <c r="BZ211" i="3"/>
  <c r="BY211" i="3"/>
  <c r="BX211" i="3"/>
  <c r="DP211" i="3" s="1"/>
  <c r="BW211" i="3"/>
  <c r="BV211" i="3"/>
  <c r="BU211" i="3"/>
  <c r="BS211" i="3"/>
  <c r="CU211" i="3" s="1"/>
  <c r="X211" i="3"/>
  <c r="CE211" i="3" s="1"/>
  <c r="EA210" i="3"/>
  <c r="DV210" i="3"/>
  <c r="DR210" i="3"/>
  <c r="DP210" i="3"/>
  <c r="DI210" i="3"/>
  <c r="DH210" i="3"/>
  <c r="DE210" i="3"/>
  <c r="DB210" i="3"/>
  <c r="DC210" i="3" s="1"/>
  <c r="DA210" i="3"/>
  <c r="CY210" i="3"/>
  <c r="CW210" i="3"/>
  <c r="CV210" i="3"/>
  <c r="CU210" i="3"/>
  <c r="CC210" i="3"/>
  <c r="CB210" i="3"/>
  <c r="CA210" i="3"/>
  <c r="BZ210" i="3"/>
  <c r="BY210" i="3"/>
  <c r="BX210" i="3"/>
  <c r="DU210" i="3" s="1"/>
  <c r="DW210" i="3" s="1"/>
  <c r="BW210" i="3"/>
  <c r="BV210" i="3"/>
  <c r="BU210" i="3"/>
  <c r="BS210" i="3"/>
  <c r="X210" i="3"/>
  <c r="CE210" i="3" s="1"/>
  <c r="EA209" i="3"/>
  <c r="DV209" i="3"/>
  <c r="DU209" i="3"/>
  <c r="DW209" i="3" s="1"/>
  <c r="DR209" i="3"/>
  <c r="DP209" i="3"/>
  <c r="DE209" i="3"/>
  <c r="DD209" i="3"/>
  <c r="DB209" i="3"/>
  <c r="CZ209" i="3"/>
  <c r="CY209" i="3"/>
  <c r="CW209" i="3"/>
  <c r="CV209" i="3"/>
  <c r="CU209" i="3"/>
  <c r="CX209" i="3" s="1"/>
  <c r="CE209" i="3"/>
  <c r="CC209" i="3"/>
  <c r="CB209" i="3"/>
  <c r="CA209" i="3"/>
  <c r="BZ209" i="3"/>
  <c r="BY209" i="3"/>
  <c r="DS209" i="3" s="1"/>
  <c r="BX209" i="3"/>
  <c r="BW209" i="3"/>
  <c r="BV209" i="3"/>
  <c r="BU209" i="3"/>
  <c r="BS209" i="3"/>
  <c r="X209" i="3"/>
  <c r="DC209" i="3" s="1"/>
  <c r="DF209" i="3" s="1"/>
  <c r="EI208" i="3"/>
  <c r="ED208" i="3"/>
  <c r="EA208" i="3"/>
  <c r="DV208" i="3"/>
  <c r="DU208" i="3"/>
  <c r="DT208" i="3"/>
  <c r="DR208" i="3"/>
  <c r="DP208" i="3"/>
  <c r="DQ208" i="3" s="1"/>
  <c r="DI208" i="3"/>
  <c r="DH208" i="3"/>
  <c r="DE208" i="3"/>
  <c r="DD208" i="3"/>
  <c r="DB208" i="3"/>
  <c r="DC208" i="3" s="1"/>
  <c r="CY208" i="3"/>
  <c r="CW208" i="3"/>
  <c r="CV208" i="3"/>
  <c r="DA208" i="3" s="1"/>
  <c r="CU208" i="3"/>
  <c r="CC208" i="3"/>
  <c r="CB208" i="3"/>
  <c r="CA208" i="3"/>
  <c r="BZ208" i="3"/>
  <c r="CD208" i="3" s="1"/>
  <c r="EQ208" i="3" s="1"/>
  <c r="BY208" i="3"/>
  <c r="DS208" i="3" s="1"/>
  <c r="BX208" i="3"/>
  <c r="BW208" i="3"/>
  <c r="BV208" i="3"/>
  <c r="BU208" i="3"/>
  <c r="BS208" i="3"/>
  <c r="X208" i="3"/>
  <c r="CE208" i="3" s="1"/>
  <c r="EA207" i="3"/>
  <c r="DV207" i="3"/>
  <c r="DT207" i="3"/>
  <c r="DS207" i="3"/>
  <c r="DR207" i="3"/>
  <c r="DP207" i="3"/>
  <c r="DQ207" i="3" s="1"/>
  <c r="DE207" i="3"/>
  <c r="DB207" i="3"/>
  <c r="CY207" i="3"/>
  <c r="CW207" i="3"/>
  <c r="CV207" i="3"/>
  <c r="DA207" i="3" s="1"/>
  <c r="CU207" i="3"/>
  <c r="CE207" i="3"/>
  <c r="CC207" i="3"/>
  <c r="CB207" i="3"/>
  <c r="CA207" i="3"/>
  <c r="BZ207" i="3"/>
  <c r="BY207" i="3"/>
  <c r="DD207" i="3" s="1"/>
  <c r="BX207" i="3"/>
  <c r="DU207" i="3" s="1"/>
  <c r="DW207" i="3" s="1"/>
  <c r="BW207" i="3"/>
  <c r="BV207" i="3"/>
  <c r="BU207" i="3"/>
  <c r="BS207" i="3"/>
  <c r="X207" i="3"/>
  <c r="EA206" i="3"/>
  <c r="DV206" i="3"/>
  <c r="DU206" i="3"/>
  <c r="DW206" i="3" s="1"/>
  <c r="DR206" i="3"/>
  <c r="DP206" i="3"/>
  <c r="DQ206" i="3" s="1"/>
  <c r="DE206" i="3"/>
  <c r="DD206" i="3"/>
  <c r="CW206" i="3"/>
  <c r="CV206" i="3"/>
  <c r="CU206" i="3"/>
  <c r="CC206" i="3"/>
  <c r="CB206" i="3"/>
  <c r="CA206" i="3"/>
  <c r="BZ206" i="3"/>
  <c r="BY206" i="3"/>
  <c r="DS206" i="3" s="1"/>
  <c r="DT206" i="3" s="1"/>
  <c r="BX206" i="3"/>
  <c r="DB206" i="3" s="1"/>
  <c r="DC206" i="3" s="1"/>
  <c r="BW206" i="3"/>
  <c r="BV206" i="3"/>
  <c r="BU206" i="3"/>
  <c r="BS206" i="3"/>
  <c r="X206" i="3"/>
  <c r="EA205" i="3"/>
  <c r="DV205" i="3"/>
  <c r="DU205" i="3"/>
  <c r="DS205" i="3"/>
  <c r="DT205" i="3" s="1"/>
  <c r="DR205" i="3"/>
  <c r="DQ205" i="3"/>
  <c r="DJ205" i="3"/>
  <c r="DI205" i="3"/>
  <c r="DH205" i="3"/>
  <c r="DE205" i="3"/>
  <c r="DF205" i="3" s="1"/>
  <c r="DD205" i="3"/>
  <c r="DB205" i="3"/>
  <c r="DC205" i="3" s="1"/>
  <c r="CW205" i="3"/>
  <c r="CV205" i="3"/>
  <c r="CC205" i="3"/>
  <c r="CB205" i="3"/>
  <c r="CA205" i="3"/>
  <c r="BZ205" i="3"/>
  <c r="BY205" i="3"/>
  <c r="BX205" i="3"/>
  <c r="DP205" i="3" s="1"/>
  <c r="BW205" i="3"/>
  <c r="BV205" i="3"/>
  <c r="BU205" i="3"/>
  <c r="BS205" i="3"/>
  <c r="CU205" i="3" s="1"/>
  <c r="X205" i="3"/>
  <c r="CE205" i="3" s="1"/>
  <c r="EA204" i="3"/>
  <c r="DW204" i="3"/>
  <c r="DV204" i="3"/>
  <c r="DU204" i="3"/>
  <c r="DR204" i="3"/>
  <c r="DS204" i="3" s="1"/>
  <c r="DP204" i="3"/>
  <c r="DE204" i="3"/>
  <c r="DB204" i="3"/>
  <c r="CX204" i="3"/>
  <c r="CW204" i="3"/>
  <c r="CV204" i="3"/>
  <c r="CC204" i="3"/>
  <c r="CB204" i="3"/>
  <c r="CA204" i="3"/>
  <c r="BZ204" i="3"/>
  <c r="BY204" i="3"/>
  <c r="DD204" i="3" s="1"/>
  <c r="BX204" i="3"/>
  <c r="BW204" i="3"/>
  <c r="BV204" i="3"/>
  <c r="BU204" i="3"/>
  <c r="BS204" i="3"/>
  <c r="CU204" i="3" s="1"/>
  <c r="X204" i="3"/>
  <c r="DC204" i="3" s="1"/>
  <c r="EA203" i="3"/>
  <c r="DV203" i="3"/>
  <c r="DT203" i="3"/>
  <c r="DS203" i="3"/>
  <c r="DR203" i="3"/>
  <c r="DE203" i="3"/>
  <c r="DD203" i="3"/>
  <c r="CY203" i="3"/>
  <c r="CW203" i="3"/>
  <c r="CV203" i="3"/>
  <c r="CE203" i="3"/>
  <c r="CC203" i="3"/>
  <c r="CB203" i="3"/>
  <c r="CA203" i="3"/>
  <c r="BZ203" i="3"/>
  <c r="BY203" i="3"/>
  <c r="BX203" i="3"/>
  <c r="BW203" i="3"/>
  <c r="BV203" i="3"/>
  <c r="BU203" i="3"/>
  <c r="BS203" i="3"/>
  <c r="CU203" i="3" s="1"/>
  <c r="X203" i="3"/>
  <c r="EA202" i="3"/>
  <c r="DV202" i="3"/>
  <c r="DR202" i="3"/>
  <c r="DH202" i="3"/>
  <c r="DI202" i="3" s="1"/>
  <c r="DE202" i="3"/>
  <c r="CY202" i="3"/>
  <c r="CW202" i="3"/>
  <c r="CV202" i="3"/>
  <c r="CC202" i="3"/>
  <c r="CB202" i="3"/>
  <c r="CA202" i="3"/>
  <c r="BZ202" i="3"/>
  <c r="BY202" i="3"/>
  <c r="BX202" i="3"/>
  <c r="DU202" i="3" s="1"/>
  <c r="DW202" i="3" s="1"/>
  <c r="BW202" i="3"/>
  <c r="BV202" i="3"/>
  <c r="BU202" i="3"/>
  <c r="BS202" i="3"/>
  <c r="CU202" i="3" s="1"/>
  <c r="X202" i="3"/>
  <c r="EA201" i="3"/>
  <c r="DV201" i="3"/>
  <c r="DU201" i="3"/>
  <c r="DR201" i="3"/>
  <c r="DE201" i="3"/>
  <c r="DA201" i="3"/>
  <c r="CZ201" i="3"/>
  <c r="CW201" i="3"/>
  <c r="CV201" i="3"/>
  <c r="CY201" i="3" s="1"/>
  <c r="CC201" i="3"/>
  <c r="CB201" i="3"/>
  <c r="CA201" i="3"/>
  <c r="BZ201" i="3"/>
  <c r="BY201" i="3"/>
  <c r="BX201" i="3"/>
  <c r="DP201" i="3" s="1"/>
  <c r="DQ201" i="3" s="1"/>
  <c r="BW201" i="3"/>
  <c r="BV201" i="3"/>
  <c r="BU201" i="3"/>
  <c r="BS201" i="3"/>
  <c r="CU201" i="3" s="1"/>
  <c r="CX201" i="3" s="1"/>
  <c r="X201" i="3"/>
  <c r="CE201" i="3" s="1"/>
  <c r="EA200" i="3"/>
  <c r="DV200" i="3"/>
  <c r="DR200" i="3"/>
  <c r="DE200" i="3"/>
  <c r="DB200" i="3"/>
  <c r="DC200" i="3" s="1"/>
  <c r="DA200" i="3"/>
  <c r="CY200" i="3"/>
  <c r="CX200" i="3"/>
  <c r="CW200" i="3"/>
  <c r="CV200" i="3"/>
  <c r="CU200" i="3"/>
  <c r="CC200" i="3"/>
  <c r="CB200" i="3"/>
  <c r="CA200" i="3"/>
  <c r="BZ200" i="3"/>
  <c r="BY200" i="3"/>
  <c r="DS200" i="3" s="1"/>
  <c r="DT200" i="3" s="1"/>
  <c r="BX200" i="3"/>
  <c r="DU200" i="3" s="1"/>
  <c r="DW200" i="3" s="1"/>
  <c r="BW200" i="3"/>
  <c r="BV200" i="3"/>
  <c r="BU200" i="3"/>
  <c r="BS200" i="3"/>
  <c r="X200" i="3"/>
  <c r="CE200" i="3" s="1"/>
  <c r="EA199" i="3"/>
  <c r="DV199" i="3"/>
  <c r="DU199" i="3"/>
  <c r="DW199" i="3" s="1"/>
  <c r="DR199" i="3"/>
  <c r="DP199" i="3"/>
  <c r="DQ199" i="3" s="1"/>
  <c r="DK199" i="3"/>
  <c r="DI199" i="3"/>
  <c r="DL199" i="3" s="1"/>
  <c r="DH199" i="3"/>
  <c r="DE199" i="3"/>
  <c r="DB199" i="3"/>
  <c r="DC199" i="3" s="1"/>
  <c r="CX199" i="3"/>
  <c r="CW199" i="3"/>
  <c r="CV199" i="3"/>
  <c r="CC199" i="3"/>
  <c r="CB199" i="3"/>
  <c r="CA199" i="3"/>
  <c r="BZ199" i="3"/>
  <c r="BY199" i="3"/>
  <c r="DS199" i="3" s="1"/>
  <c r="DT199" i="3" s="1"/>
  <c r="BX199" i="3"/>
  <c r="BW199" i="3"/>
  <c r="BV199" i="3"/>
  <c r="BU199" i="3"/>
  <c r="BS199" i="3"/>
  <c r="CU199" i="3" s="1"/>
  <c r="X199" i="3"/>
  <c r="CE199" i="3" s="1"/>
  <c r="EA198" i="3"/>
  <c r="DV198" i="3"/>
  <c r="DR198" i="3"/>
  <c r="DE198" i="3"/>
  <c r="CZ198" i="3"/>
  <c r="CY198" i="3"/>
  <c r="CW198" i="3"/>
  <c r="DA198" i="3" s="1"/>
  <c r="CV198" i="3"/>
  <c r="CC198" i="3"/>
  <c r="CB198" i="3"/>
  <c r="CA198" i="3"/>
  <c r="BZ198" i="3"/>
  <c r="BY198" i="3"/>
  <c r="DS198" i="3" s="1"/>
  <c r="BX198" i="3"/>
  <c r="DP198" i="3" s="1"/>
  <c r="BW198" i="3"/>
  <c r="BV198" i="3"/>
  <c r="BU198" i="3"/>
  <c r="BS198" i="3"/>
  <c r="CU198" i="3" s="1"/>
  <c r="CX198" i="3" s="1"/>
  <c r="X198" i="3"/>
  <c r="CE198" i="3" s="1"/>
  <c r="EA197" i="3"/>
  <c r="DW197" i="3"/>
  <c r="DV197" i="3"/>
  <c r="DU197" i="3"/>
  <c r="DR197" i="3"/>
  <c r="DP197" i="3"/>
  <c r="DE197" i="3"/>
  <c r="DF197" i="3" s="1"/>
  <c r="DD197" i="3"/>
  <c r="DB197" i="3"/>
  <c r="DC197" i="3" s="1"/>
  <c r="CX197" i="3"/>
  <c r="CZ197" i="3" s="1"/>
  <c r="CW197" i="3"/>
  <c r="CV197" i="3"/>
  <c r="CY197" i="3" s="1"/>
  <c r="DA197" i="3" s="1"/>
  <c r="DX197" i="3" s="1"/>
  <c r="CC197" i="3"/>
  <c r="CB197" i="3"/>
  <c r="CA197" i="3"/>
  <c r="BZ197" i="3"/>
  <c r="BY197" i="3"/>
  <c r="DS197" i="3" s="1"/>
  <c r="BX197" i="3"/>
  <c r="BW197" i="3"/>
  <c r="BV197" i="3"/>
  <c r="BU197" i="3"/>
  <c r="BS197" i="3"/>
  <c r="CU197" i="3" s="1"/>
  <c r="X197" i="3"/>
  <c r="CE197" i="3" s="1"/>
  <c r="EA196" i="3"/>
  <c r="DV196" i="3"/>
  <c r="DS196" i="3"/>
  <c r="DR196" i="3"/>
  <c r="DO196" i="3"/>
  <c r="DN196" i="3"/>
  <c r="DL196" i="3"/>
  <c r="DK196" i="3"/>
  <c r="DJ196" i="3"/>
  <c r="DI196" i="3"/>
  <c r="DM196" i="3" s="1"/>
  <c r="DH196" i="3"/>
  <c r="DE196" i="3"/>
  <c r="DD196" i="3"/>
  <c r="DA196" i="3"/>
  <c r="CY196" i="3"/>
  <c r="CW196" i="3"/>
  <c r="CV196" i="3"/>
  <c r="CE196" i="3"/>
  <c r="CC196" i="3"/>
  <c r="CB196" i="3"/>
  <c r="CA196" i="3"/>
  <c r="BZ196" i="3"/>
  <c r="BY196" i="3"/>
  <c r="BX196" i="3"/>
  <c r="CD196" i="3" s="1"/>
  <c r="BW196" i="3"/>
  <c r="BV196" i="3"/>
  <c r="BU196" i="3"/>
  <c r="BS196" i="3"/>
  <c r="CU196" i="3" s="1"/>
  <c r="X196" i="3"/>
  <c r="EA195" i="3"/>
  <c r="DV195" i="3"/>
  <c r="DR195" i="3"/>
  <c r="DP195" i="3"/>
  <c r="DQ195" i="3" s="1"/>
  <c r="DE195" i="3"/>
  <c r="DC195" i="3"/>
  <c r="DF195" i="3" s="1"/>
  <c r="DB195" i="3"/>
  <c r="CY195" i="3"/>
  <c r="CW195" i="3"/>
  <c r="CV195" i="3"/>
  <c r="DA195" i="3" s="1"/>
  <c r="CE195" i="3"/>
  <c r="CC195" i="3"/>
  <c r="CB195" i="3"/>
  <c r="CA195" i="3"/>
  <c r="BZ195" i="3"/>
  <c r="BY195" i="3"/>
  <c r="DD195" i="3" s="1"/>
  <c r="BX195" i="3"/>
  <c r="DU195" i="3" s="1"/>
  <c r="DW195" i="3" s="1"/>
  <c r="BW195" i="3"/>
  <c r="BV195" i="3"/>
  <c r="BU195" i="3"/>
  <c r="BS195" i="3"/>
  <c r="CU195" i="3" s="1"/>
  <c r="CX195" i="3" s="1"/>
  <c r="X195" i="3"/>
  <c r="EA194" i="3"/>
  <c r="DV194" i="3"/>
  <c r="DU194" i="3"/>
  <c r="DW194" i="3" s="1"/>
  <c r="DR194" i="3"/>
  <c r="DP194" i="3"/>
  <c r="DE194" i="3"/>
  <c r="DD194" i="3"/>
  <c r="CW194" i="3"/>
  <c r="CV194" i="3"/>
  <c r="CY194" i="3" s="1"/>
  <c r="CC194" i="3"/>
  <c r="CB194" i="3"/>
  <c r="CA194" i="3"/>
  <c r="BZ194" i="3"/>
  <c r="BY194" i="3"/>
  <c r="DS194" i="3" s="1"/>
  <c r="BX194" i="3"/>
  <c r="DB194" i="3" s="1"/>
  <c r="DC194" i="3" s="1"/>
  <c r="BW194" i="3"/>
  <c r="BV194" i="3"/>
  <c r="BU194" i="3"/>
  <c r="BS194" i="3"/>
  <c r="CU194" i="3" s="1"/>
  <c r="X194" i="3"/>
  <c r="EA193" i="3"/>
  <c r="DV193" i="3"/>
  <c r="DU193" i="3"/>
  <c r="DW193" i="3" s="1"/>
  <c r="DS193" i="3"/>
  <c r="DT193" i="3" s="1"/>
  <c r="DR193" i="3"/>
  <c r="DQ193" i="3"/>
  <c r="DE193" i="3"/>
  <c r="DD193" i="3"/>
  <c r="DB193" i="3"/>
  <c r="DC193" i="3" s="1"/>
  <c r="CW193" i="3"/>
  <c r="CV193" i="3"/>
  <c r="CC193" i="3"/>
  <c r="CB193" i="3"/>
  <c r="CA193" i="3"/>
  <c r="BZ193" i="3"/>
  <c r="BY193" i="3"/>
  <c r="BX193" i="3"/>
  <c r="DP193" i="3" s="1"/>
  <c r="BW193" i="3"/>
  <c r="BV193" i="3"/>
  <c r="BU193" i="3"/>
  <c r="BS193" i="3"/>
  <c r="CU193" i="3" s="1"/>
  <c r="X193" i="3"/>
  <c r="CE193" i="3" s="1"/>
  <c r="EA192" i="3"/>
  <c r="DV192" i="3"/>
  <c r="DW192" i="3" s="1"/>
  <c r="DU192" i="3"/>
  <c r="DS192" i="3"/>
  <c r="DT192" i="3" s="1"/>
  <c r="DR192" i="3"/>
  <c r="DP192" i="3"/>
  <c r="DQ192" i="3" s="1"/>
  <c r="DE192" i="3"/>
  <c r="DC192" i="3"/>
  <c r="DF192" i="3" s="1"/>
  <c r="DB192" i="3"/>
  <c r="CW192" i="3"/>
  <c r="CV192" i="3"/>
  <c r="CU192" i="3"/>
  <c r="CX192" i="3" s="1"/>
  <c r="CC192" i="3"/>
  <c r="CB192" i="3"/>
  <c r="CA192" i="3"/>
  <c r="BZ192" i="3"/>
  <c r="BY192" i="3"/>
  <c r="DD192" i="3" s="1"/>
  <c r="BX192" i="3"/>
  <c r="BW192" i="3"/>
  <c r="BV192" i="3"/>
  <c r="BU192" i="3"/>
  <c r="BS192" i="3"/>
  <c r="X192" i="3"/>
  <c r="CE192" i="3" s="1"/>
  <c r="EA191" i="3"/>
  <c r="DV191" i="3"/>
  <c r="DU191" i="3"/>
  <c r="DW191" i="3" s="1"/>
  <c r="DS191" i="3"/>
  <c r="DT191" i="3" s="1"/>
  <c r="DR191" i="3"/>
  <c r="DE191" i="3"/>
  <c r="DD191" i="3"/>
  <c r="CY191" i="3"/>
  <c r="CW191" i="3"/>
  <c r="CV191" i="3"/>
  <c r="CC191" i="3"/>
  <c r="CB191" i="3"/>
  <c r="CA191" i="3"/>
  <c r="BZ191" i="3"/>
  <c r="BY191" i="3"/>
  <c r="BX191" i="3"/>
  <c r="BW191" i="3"/>
  <c r="BV191" i="3"/>
  <c r="BU191" i="3"/>
  <c r="BS191" i="3"/>
  <c r="CU191" i="3" s="1"/>
  <c r="X191" i="3"/>
  <c r="EA190" i="3"/>
  <c r="DV190" i="3"/>
  <c r="DR190" i="3"/>
  <c r="DH190" i="3"/>
  <c r="DI190" i="3" s="1"/>
  <c r="DE190" i="3"/>
  <c r="CY190" i="3"/>
  <c r="CW190" i="3"/>
  <c r="CV190" i="3"/>
  <c r="CU190" i="3"/>
  <c r="CC190" i="3"/>
  <c r="CB190" i="3"/>
  <c r="CA190" i="3"/>
  <c r="BZ190" i="3"/>
  <c r="BY190" i="3"/>
  <c r="BX190" i="3"/>
  <c r="BW190" i="3"/>
  <c r="BV190" i="3"/>
  <c r="BU190" i="3"/>
  <c r="BS190" i="3"/>
  <c r="X190" i="3"/>
  <c r="CE190" i="3" s="1"/>
  <c r="EA189" i="3"/>
  <c r="DV189" i="3"/>
  <c r="DU189" i="3"/>
  <c r="DW189" i="3" s="1"/>
  <c r="DR189" i="3"/>
  <c r="DE189" i="3"/>
  <c r="CW189" i="3"/>
  <c r="CV189" i="3"/>
  <c r="CY189" i="3" s="1"/>
  <c r="CE189" i="3"/>
  <c r="CC189" i="3"/>
  <c r="CB189" i="3"/>
  <c r="CA189" i="3"/>
  <c r="BZ189" i="3"/>
  <c r="BY189" i="3"/>
  <c r="DD189" i="3" s="1"/>
  <c r="BX189" i="3"/>
  <c r="DP189" i="3" s="1"/>
  <c r="BW189" i="3"/>
  <c r="BV189" i="3"/>
  <c r="BU189" i="3"/>
  <c r="BS189" i="3"/>
  <c r="CU189" i="3" s="1"/>
  <c r="X189" i="3"/>
  <c r="EA188" i="3"/>
  <c r="DV188" i="3"/>
  <c r="DR188" i="3"/>
  <c r="DE188" i="3"/>
  <c r="CY188" i="3"/>
  <c r="DA188" i="3" s="1"/>
  <c r="CW188" i="3"/>
  <c r="CV188" i="3"/>
  <c r="CC188" i="3"/>
  <c r="CB188" i="3"/>
  <c r="CA188" i="3"/>
  <c r="BZ188" i="3"/>
  <c r="BY188" i="3"/>
  <c r="DS188" i="3" s="1"/>
  <c r="DT188" i="3" s="1"/>
  <c r="BX188" i="3"/>
  <c r="DB188" i="3" s="1"/>
  <c r="DC188" i="3" s="1"/>
  <c r="BW188" i="3"/>
  <c r="BV188" i="3"/>
  <c r="BU188" i="3"/>
  <c r="BS188" i="3"/>
  <c r="CU188" i="3" s="1"/>
  <c r="X188" i="3"/>
  <c r="CE188" i="3" s="1"/>
  <c r="EA187" i="3"/>
  <c r="DV187" i="3"/>
  <c r="DU187" i="3"/>
  <c r="DW187" i="3" s="1"/>
  <c r="DR187" i="3"/>
  <c r="DO187" i="3"/>
  <c r="DM187" i="3"/>
  <c r="DK187" i="3"/>
  <c r="DI187" i="3"/>
  <c r="DJ187" i="3" s="1"/>
  <c r="DN187" i="3" s="1"/>
  <c r="DH187" i="3"/>
  <c r="DE187" i="3"/>
  <c r="DC187" i="3"/>
  <c r="CZ187" i="3"/>
  <c r="CY187" i="3"/>
  <c r="CW187" i="3"/>
  <c r="CV187" i="3"/>
  <c r="CC187" i="3"/>
  <c r="CB187" i="3"/>
  <c r="CA187" i="3"/>
  <c r="BZ187" i="3"/>
  <c r="BY187" i="3"/>
  <c r="BX187" i="3"/>
  <c r="DB187" i="3" s="1"/>
  <c r="BW187" i="3"/>
  <c r="BV187" i="3"/>
  <c r="BU187" i="3"/>
  <c r="BS187" i="3"/>
  <c r="CU187" i="3" s="1"/>
  <c r="CX187" i="3" s="1"/>
  <c r="X187" i="3"/>
  <c r="CE187" i="3" s="1"/>
  <c r="EA186" i="3"/>
  <c r="DV186" i="3"/>
  <c r="DR186" i="3"/>
  <c r="DE186" i="3"/>
  <c r="DD186" i="3"/>
  <c r="CZ186" i="3"/>
  <c r="CY186" i="3"/>
  <c r="DA186" i="3" s="1"/>
  <c r="CW186" i="3"/>
  <c r="CV186" i="3"/>
  <c r="CC186" i="3"/>
  <c r="CB186" i="3"/>
  <c r="CA186" i="3"/>
  <c r="BZ186" i="3"/>
  <c r="BY186" i="3"/>
  <c r="DS186" i="3" s="1"/>
  <c r="DT186" i="3" s="1"/>
  <c r="BX186" i="3"/>
  <c r="BW186" i="3"/>
  <c r="BV186" i="3"/>
  <c r="BU186" i="3"/>
  <c r="BS186" i="3"/>
  <c r="CU186" i="3" s="1"/>
  <c r="CX186" i="3" s="1"/>
  <c r="X186" i="3"/>
  <c r="CE186" i="3" s="1"/>
  <c r="EA185" i="3"/>
  <c r="DW185" i="3"/>
  <c r="DV185" i="3"/>
  <c r="DU185" i="3"/>
  <c r="DR185" i="3"/>
  <c r="DP185" i="3"/>
  <c r="DE185" i="3"/>
  <c r="DB185" i="3"/>
  <c r="DC185" i="3" s="1"/>
  <c r="CX185" i="3"/>
  <c r="CW185" i="3"/>
  <c r="CV185" i="3"/>
  <c r="CY185" i="3" s="1"/>
  <c r="DA185" i="3" s="1"/>
  <c r="CC185" i="3"/>
  <c r="CB185" i="3"/>
  <c r="CA185" i="3"/>
  <c r="BZ185" i="3"/>
  <c r="BY185" i="3"/>
  <c r="BX185" i="3"/>
  <c r="BW185" i="3"/>
  <c r="BV185" i="3"/>
  <c r="BU185" i="3"/>
  <c r="BS185" i="3"/>
  <c r="CU185" i="3" s="1"/>
  <c r="CZ185" i="3" s="1"/>
  <c r="X185" i="3"/>
  <c r="CE185" i="3" s="1"/>
  <c r="EA184" i="3"/>
  <c r="DV184" i="3"/>
  <c r="DS184" i="3"/>
  <c r="DT184" i="3" s="1"/>
  <c r="DR184" i="3"/>
  <c r="DE184" i="3"/>
  <c r="DD184" i="3"/>
  <c r="CY184" i="3"/>
  <c r="DA184" i="3" s="1"/>
  <c r="CW184" i="3"/>
  <c r="CV184" i="3"/>
  <c r="CC184" i="3"/>
  <c r="CB184" i="3"/>
  <c r="CA184" i="3"/>
  <c r="BZ184" i="3"/>
  <c r="BY184" i="3"/>
  <c r="BX184" i="3"/>
  <c r="BW184" i="3"/>
  <c r="BV184" i="3"/>
  <c r="BU184" i="3"/>
  <c r="BS184" i="3"/>
  <c r="CU184" i="3" s="1"/>
  <c r="X184" i="3"/>
  <c r="CE184" i="3" s="1"/>
  <c r="EA183" i="3"/>
  <c r="DV183" i="3"/>
  <c r="DR183" i="3"/>
  <c r="DQ183" i="3"/>
  <c r="DP183" i="3"/>
  <c r="DE183" i="3"/>
  <c r="DB183" i="3"/>
  <c r="CY183" i="3"/>
  <c r="CW183" i="3"/>
  <c r="CV183" i="3"/>
  <c r="DA183" i="3" s="1"/>
  <c r="CU183" i="3"/>
  <c r="CC183" i="3"/>
  <c r="CB183" i="3"/>
  <c r="CA183" i="3"/>
  <c r="BZ183" i="3"/>
  <c r="BY183" i="3"/>
  <c r="BX183" i="3"/>
  <c r="DU183" i="3" s="1"/>
  <c r="DW183" i="3" s="1"/>
  <c r="BW183" i="3"/>
  <c r="BV183" i="3"/>
  <c r="BU183" i="3"/>
  <c r="BS183" i="3"/>
  <c r="X183" i="3"/>
  <c r="DC183" i="3" s="1"/>
  <c r="EA182" i="3"/>
  <c r="DV182" i="3"/>
  <c r="DU182" i="3"/>
  <c r="DW182" i="3" s="1"/>
  <c r="DR182" i="3"/>
  <c r="DP182" i="3"/>
  <c r="DE182" i="3"/>
  <c r="DD182" i="3"/>
  <c r="DA182" i="3"/>
  <c r="CW182" i="3"/>
  <c r="CV182" i="3"/>
  <c r="CY182" i="3" s="1"/>
  <c r="CU182" i="3"/>
  <c r="CC182" i="3"/>
  <c r="CB182" i="3"/>
  <c r="CA182" i="3"/>
  <c r="BZ182" i="3"/>
  <c r="BY182" i="3"/>
  <c r="DS182" i="3" s="1"/>
  <c r="DT182" i="3" s="1"/>
  <c r="BX182" i="3"/>
  <c r="DB182" i="3" s="1"/>
  <c r="DC182" i="3" s="1"/>
  <c r="BW182" i="3"/>
  <c r="BV182" i="3"/>
  <c r="BU182" i="3"/>
  <c r="BS182" i="3"/>
  <c r="X182" i="3"/>
  <c r="CE182" i="3" s="1"/>
  <c r="ER181" i="3"/>
  <c r="EB181" i="3"/>
  <c r="EA181" i="3"/>
  <c r="DV181" i="3"/>
  <c r="DU181" i="3"/>
  <c r="DW181" i="3" s="1"/>
  <c r="DS181" i="3"/>
  <c r="DT181" i="3" s="1"/>
  <c r="DR181" i="3"/>
  <c r="DJ181" i="3"/>
  <c r="DN181" i="3" s="1"/>
  <c r="DI181" i="3"/>
  <c r="DH181" i="3"/>
  <c r="DE181" i="3"/>
  <c r="DF181" i="3" s="1"/>
  <c r="DD181" i="3"/>
  <c r="DB181" i="3"/>
  <c r="DC181" i="3" s="1"/>
  <c r="CW181" i="3"/>
  <c r="CV181" i="3"/>
  <c r="CD181" i="3"/>
  <c r="CC181" i="3"/>
  <c r="CB181" i="3"/>
  <c r="CA181" i="3"/>
  <c r="BZ181" i="3"/>
  <c r="BY181" i="3"/>
  <c r="BX181" i="3"/>
  <c r="DP181" i="3" s="1"/>
  <c r="DQ181" i="3" s="1"/>
  <c r="BW181" i="3"/>
  <c r="BV181" i="3"/>
  <c r="BU181" i="3"/>
  <c r="BS181" i="3"/>
  <c r="CU181" i="3" s="1"/>
  <c r="X181" i="3"/>
  <c r="CE181" i="3" s="1"/>
  <c r="EA180" i="3"/>
  <c r="DV180" i="3"/>
  <c r="DW180" i="3" s="1"/>
  <c r="DU180" i="3"/>
  <c r="DS180" i="3"/>
  <c r="DR180" i="3"/>
  <c r="DP180" i="3"/>
  <c r="DE180" i="3"/>
  <c r="DC180" i="3"/>
  <c r="DF180" i="3" s="1"/>
  <c r="DB180" i="3"/>
  <c r="CX180" i="3"/>
  <c r="CW180" i="3"/>
  <c r="CV180" i="3"/>
  <c r="CC180" i="3"/>
  <c r="CB180" i="3"/>
  <c r="CA180" i="3"/>
  <c r="BZ180" i="3"/>
  <c r="BY180" i="3"/>
  <c r="DD180" i="3" s="1"/>
  <c r="BX180" i="3"/>
  <c r="BW180" i="3"/>
  <c r="BV180" i="3"/>
  <c r="BU180" i="3"/>
  <c r="BS180" i="3"/>
  <c r="CU180" i="3" s="1"/>
  <c r="X180" i="3"/>
  <c r="EA179" i="3"/>
  <c r="DV179" i="3"/>
  <c r="DU179" i="3"/>
  <c r="DW179" i="3" s="1"/>
  <c r="DS179" i="3"/>
  <c r="DT179" i="3" s="1"/>
  <c r="DR179" i="3"/>
  <c r="DE179" i="3"/>
  <c r="DD179" i="3"/>
  <c r="CW179" i="3"/>
  <c r="CV179" i="3"/>
  <c r="CY179" i="3" s="1"/>
  <c r="CC179" i="3"/>
  <c r="CB179" i="3"/>
  <c r="CA179" i="3"/>
  <c r="BZ179" i="3"/>
  <c r="BY179" i="3"/>
  <c r="BX179" i="3"/>
  <c r="BW179" i="3"/>
  <c r="BV179" i="3"/>
  <c r="BU179" i="3"/>
  <c r="BS179" i="3"/>
  <c r="CU179" i="3" s="1"/>
  <c r="X179" i="3"/>
  <c r="CE179" i="3" s="1"/>
  <c r="EA178" i="3"/>
  <c r="DV178" i="3"/>
  <c r="DR178" i="3"/>
  <c r="DE178" i="3"/>
  <c r="CW178" i="3"/>
  <c r="CV178" i="3"/>
  <c r="CY178" i="3" s="1"/>
  <c r="CC178" i="3"/>
  <c r="CB178" i="3"/>
  <c r="CA178" i="3"/>
  <c r="BZ178" i="3"/>
  <c r="BY178" i="3"/>
  <c r="BX178" i="3"/>
  <c r="BW178" i="3"/>
  <c r="BV178" i="3"/>
  <c r="BU178" i="3"/>
  <c r="BS178" i="3"/>
  <c r="CU178" i="3" s="1"/>
  <c r="CX178" i="3" s="1"/>
  <c r="X178" i="3"/>
  <c r="CE178" i="3" s="1"/>
  <c r="EA177" i="3"/>
  <c r="DV177" i="3"/>
  <c r="DR177" i="3"/>
  <c r="DE177" i="3"/>
  <c r="CY177" i="3"/>
  <c r="CW177" i="3"/>
  <c r="CV177" i="3"/>
  <c r="DA177" i="3" s="1"/>
  <c r="CE177" i="3"/>
  <c r="CC177" i="3"/>
  <c r="CB177" i="3"/>
  <c r="CA177" i="3"/>
  <c r="BZ177" i="3"/>
  <c r="BY177" i="3"/>
  <c r="DD177" i="3" s="1"/>
  <c r="BX177" i="3"/>
  <c r="BW177" i="3"/>
  <c r="BV177" i="3"/>
  <c r="BU177" i="3"/>
  <c r="BS177" i="3"/>
  <c r="CU177" i="3" s="1"/>
  <c r="X177" i="3"/>
  <c r="EA176" i="3"/>
  <c r="DV176" i="3"/>
  <c r="DR176" i="3"/>
  <c r="DE176" i="3"/>
  <c r="DA176" i="3"/>
  <c r="CY176" i="3"/>
  <c r="CW176" i="3"/>
  <c r="CV176" i="3"/>
  <c r="CU176" i="3"/>
  <c r="CC176" i="3"/>
  <c r="CB176" i="3"/>
  <c r="CA176" i="3"/>
  <c r="BZ176" i="3"/>
  <c r="BY176" i="3"/>
  <c r="BX176" i="3"/>
  <c r="BW176" i="3"/>
  <c r="BV176" i="3"/>
  <c r="BU176" i="3"/>
  <c r="BS176" i="3"/>
  <c r="X176" i="3"/>
  <c r="CE176" i="3" s="1"/>
  <c r="EA175" i="3"/>
  <c r="DV175" i="3"/>
  <c r="DR175" i="3"/>
  <c r="DP175" i="3"/>
  <c r="DI175" i="3"/>
  <c r="DH175" i="3"/>
  <c r="DE175" i="3"/>
  <c r="CX175" i="3"/>
  <c r="CW175" i="3"/>
  <c r="CV175" i="3"/>
  <c r="CU175" i="3"/>
  <c r="CC175" i="3"/>
  <c r="CB175" i="3"/>
  <c r="CA175" i="3"/>
  <c r="BZ175" i="3"/>
  <c r="BY175" i="3"/>
  <c r="BX175" i="3"/>
  <c r="DU175" i="3" s="1"/>
  <c r="DW175" i="3" s="1"/>
  <c r="BW175" i="3"/>
  <c r="BV175" i="3"/>
  <c r="BU175" i="3"/>
  <c r="BS175" i="3"/>
  <c r="X175" i="3"/>
  <c r="CE175" i="3" s="1"/>
  <c r="EA174" i="3"/>
  <c r="DV174" i="3"/>
  <c r="DU174" i="3"/>
  <c r="DW174" i="3" s="1"/>
  <c r="DR174" i="3"/>
  <c r="DE174" i="3"/>
  <c r="CZ174" i="3"/>
  <c r="CY174" i="3"/>
  <c r="CW174" i="3"/>
  <c r="CV174" i="3"/>
  <c r="DA174" i="3" s="1"/>
  <c r="CU174" i="3"/>
  <c r="CX174" i="3" s="1"/>
  <c r="CC174" i="3"/>
  <c r="CB174" i="3"/>
  <c r="CA174" i="3"/>
  <c r="BZ174" i="3"/>
  <c r="BY174" i="3"/>
  <c r="DS174" i="3" s="1"/>
  <c r="DT174" i="3" s="1"/>
  <c r="BX174" i="3"/>
  <c r="DP174" i="3" s="1"/>
  <c r="DQ174" i="3" s="1"/>
  <c r="BW174" i="3"/>
  <c r="BV174" i="3"/>
  <c r="BU174" i="3"/>
  <c r="BS174" i="3"/>
  <c r="X174" i="3"/>
  <c r="CE174" i="3" s="1"/>
  <c r="EA173" i="3"/>
  <c r="DV173" i="3"/>
  <c r="DU173" i="3"/>
  <c r="DR173" i="3"/>
  <c r="DP173" i="3"/>
  <c r="DE173" i="3"/>
  <c r="DD173" i="3"/>
  <c r="DB173" i="3"/>
  <c r="DC173" i="3" s="1"/>
  <c r="CZ173" i="3"/>
  <c r="CX173" i="3"/>
  <c r="CW173" i="3"/>
  <c r="CV173" i="3"/>
  <c r="CY173" i="3" s="1"/>
  <c r="CC173" i="3"/>
  <c r="CB173" i="3"/>
  <c r="CA173" i="3"/>
  <c r="BZ173" i="3"/>
  <c r="BY173" i="3"/>
  <c r="BX173" i="3"/>
  <c r="BW173" i="3"/>
  <c r="BV173" i="3"/>
  <c r="BU173" i="3"/>
  <c r="BS173" i="3"/>
  <c r="CU173" i="3" s="1"/>
  <c r="X173" i="3"/>
  <c r="CE173" i="3" s="1"/>
  <c r="EA172" i="3"/>
  <c r="DV172" i="3"/>
  <c r="DS172" i="3"/>
  <c r="DT172" i="3" s="1"/>
  <c r="DR172" i="3"/>
  <c r="DP172" i="3"/>
  <c r="DQ172" i="3" s="1"/>
  <c r="DE172" i="3"/>
  <c r="DD172" i="3"/>
  <c r="DB172" i="3"/>
  <c r="DC172" i="3" s="1"/>
  <c r="DF172" i="3" s="1"/>
  <c r="CY172" i="3"/>
  <c r="CW172" i="3"/>
  <c r="CV172" i="3"/>
  <c r="CC172" i="3"/>
  <c r="CB172" i="3"/>
  <c r="CA172" i="3"/>
  <c r="BZ172" i="3"/>
  <c r="BY172" i="3"/>
  <c r="BX172" i="3"/>
  <c r="DU172" i="3" s="1"/>
  <c r="DW172" i="3" s="1"/>
  <c r="BW172" i="3"/>
  <c r="BV172" i="3"/>
  <c r="BU172" i="3"/>
  <c r="BS172" i="3"/>
  <c r="CU172" i="3" s="1"/>
  <c r="X172" i="3"/>
  <c r="CE172" i="3" s="1"/>
  <c r="EA171" i="3"/>
  <c r="DV171" i="3"/>
  <c r="DR171" i="3"/>
  <c r="DE171" i="3"/>
  <c r="CZ171" i="3"/>
  <c r="CY171" i="3"/>
  <c r="CX171" i="3"/>
  <c r="CW171" i="3"/>
  <c r="CV171" i="3"/>
  <c r="CC171" i="3"/>
  <c r="CB171" i="3"/>
  <c r="CA171" i="3"/>
  <c r="BZ171" i="3"/>
  <c r="BY171" i="3"/>
  <c r="DD171" i="3" s="1"/>
  <c r="BX171" i="3"/>
  <c r="DU171" i="3" s="1"/>
  <c r="DW171" i="3" s="1"/>
  <c r="BW171" i="3"/>
  <c r="BV171" i="3"/>
  <c r="BU171" i="3"/>
  <c r="BS171" i="3"/>
  <c r="CU171" i="3" s="1"/>
  <c r="X171" i="3"/>
  <c r="CE171" i="3" s="1"/>
  <c r="EA170" i="3"/>
  <c r="DV170" i="3"/>
  <c r="DW170" i="3" s="1"/>
  <c r="DU170" i="3"/>
  <c r="DS170" i="3"/>
  <c r="DT170" i="3" s="1"/>
  <c r="DR170" i="3"/>
  <c r="DQ170" i="3"/>
  <c r="DP170" i="3"/>
  <c r="DE170" i="3"/>
  <c r="DF170" i="3" s="1"/>
  <c r="CW170" i="3"/>
  <c r="CV170" i="3"/>
  <c r="CU170" i="3"/>
  <c r="CE170" i="3"/>
  <c r="CC170" i="3"/>
  <c r="CB170" i="3"/>
  <c r="CA170" i="3"/>
  <c r="BZ170" i="3"/>
  <c r="BY170" i="3"/>
  <c r="DD170" i="3" s="1"/>
  <c r="BX170" i="3"/>
  <c r="DB170" i="3" s="1"/>
  <c r="BW170" i="3"/>
  <c r="BV170" i="3"/>
  <c r="BU170" i="3"/>
  <c r="BS170" i="3"/>
  <c r="X170" i="3"/>
  <c r="DC170" i="3" s="1"/>
  <c r="EA169" i="3"/>
  <c r="DV169" i="3"/>
  <c r="DR169" i="3"/>
  <c r="DE169" i="3"/>
  <c r="DD169" i="3"/>
  <c r="DA169" i="3"/>
  <c r="CZ169" i="3"/>
  <c r="CY169" i="3"/>
  <c r="CX169" i="3"/>
  <c r="CW169" i="3"/>
  <c r="CV169" i="3"/>
  <c r="CU169" i="3"/>
  <c r="CC169" i="3"/>
  <c r="CB169" i="3"/>
  <c r="CA169" i="3"/>
  <c r="BZ169" i="3"/>
  <c r="BY169" i="3"/>
  <c r="DS169" i="3" s="1"/>
  <c r="DT169" i="3" s="1"/>
  <c r="BX169" i="3"/>
  <c r="BW169" i="3"/>
  <c r="BV169" i="3"/>
  <c r="BU169" i="3"/>
  <c r="BS169" i="3"/>
  <c r="X169" i="3"/>
  <c r="CE169" i="3" s="1"/>
  <c r="EA168" i="3"/>
  <c r="DV168" i="3"/>
  <c r="DR168" i="3"/>
  <c r="DE168" i="3"/>
  <c r="CY168" i="3"/>
  <c r="CW168" i="3"/>
  <c r="CV168" i="3"/>
  <c r="CC168" i="3"/>
  <c r="CB168" i="3"/>
  <c r="CA168" i="3"/>
  <c r="BZ168" i="3"/>
  <c r="BY168" i="3"/>
  <c r="DD168" i="3" s="1"/>
  <c r="BX168" i="3"/>
  <c r="DU168" i="3" s="1"/>
  <c r="DW168" i="3" s="1"/>
  <c r="BW168" i="3"/>
  <c r="BV168" i="3"/>
  <c r="BU168" i="3"/>
  <c r="BS168" i="3"/>
  <c r="CU168" i="3" s="1"/>
  <c r="X168" i="3"/>
  <c r="EA167" i="3"/>
  <c r="DV167" i="3"/>
  <c r="DW167" i="3" s="1"/>
  <c r="DU167" i="3"/>
  <c r="DS167" i="3"/>
  <c r="DT167" i="3" s="1"/>
  <c r="DR167" i="3"/>
  <c r="DQ167" i="3"/>
  <c r="DP167" i="3"/>
  <c r="DJ167" i="3"/>
  <c r="DH167" i="3"/>
  <c r="DI167" i="3" s="1"/>
  <c r="DE167" i="3"/>
  <c r="DD167" i="3"/>
  <c r="CY167" i="3"/>
  <c r="CW167" i="3"/>
  <c r="CV167" i="3"/>
  <c r="DA167" i="3" s="1"/>
  <c r="CC167" i="3"/>
  <c r="CB167" i="3"/>
  <c r="CA167" i="3"/>
  <c r="BZ167" i="3"/>
  <c r="BY167" i="3"/>
  <c r="BX167" i="3"/>
  <c r="DB167" i="3" s="1"/>
  <c r="DC167" i="3" s="1"/>
  <c r="DF167" i="3" s="1"/>
  <c r="BW167" i="3"/>
  <c r="BV167" i="3"/>
  <c r="BU167" i="3"/>
  <c r="BS167" i="3"/>
  <c r="X167" i="3"/>
  <c r="EA166" i="3"/>
  <c r="DV166" i="3"/>
  <c r="DR166" i="3"/>
  <c r="DP166" i="3"/>
  <c r="DQ166" i="3" s="1"/>
  <c r="DE166" i="3"/>
  <c r="DD166" i="3"/>
  <c r="DB166" i="3"/>
  <c r="DC166" i="3" s="1"/>
  <c r="DA166" i="3"/>
  <c r="CY166" i="3"/>
  <c r="CX166" i="3"/>
  <c r="CW166" i="3"/>
  <c r="CV166" i="3"/>
  <c r="CU166" i="3"/>
  <c r="CZ166" i="3" s="1"/>
  <c r="CC166" i="3"/>
  <c r="CB166" i="3"/>
  <c r="CA166" i="3"/>
  <c r="BZ166" i="3"/>
  <c r="BY166" i="3"/>
  <c r="DS166" i="3" s="1"/>
  <c r="DT166" i="3" s="1"/>
  <c r="BX166" i="3"/>
  <c r="DU166" i="3" s="1"/>
  <c r="DW166" i="3" s="1"/>
  <c r="BW166" i="3"/>
  <c r="BV166" i="3"/>
  <c r="BU166" i="3"/>
  <c r="BS166" i="3"/>
  <c r="X166" i="3"/>
  <c r="CE166" i="3" s="1"/>
  <c r="EA165" i="3"/>
  <c r="DV165" i="3"/>
  <c r="DR165" i="3"/>
  <c r="DP165" i="3"/>
  <c r="DQ165" i="3" s="1"/>
  <c r="DE165" i="3"/>
  <c r="DC165" i="3"/>
  <c r="DB165" i="3"/>
  <c r="DA165" i="3"/>
  <c r="CZ165" i="3"/>
  <c r="CY165" i="3"/>
  <c r="CW165" i="3"/>
  <c r="CV165" i="3"/>
  <c r="CC165" i="3"/>
  <c r="CB165" i="3"/>
  <c r="CA165" i="3"/>
  <c r="BZ165" i="3"/>
  <c r="BY165" i="3"/>
  <c r="BX165" i="3"/>
  <c r="DU165" i="3" s="1"/>
  <c r="DW165" i="3" s="1"/>
  <c r="BW165" i="3"/>
  <c r="BV165" i="3"/>
  <c r="BU165" i="3"/>
  <c r="BS165" i="3"/>
  <c r="CU165" i="3" s="1"/>
  <c r="CX165" i="3" s="1"/>
  <c r="X165" i="3"/>
  <c r="CE165" i="3" s="1"/>
  <c r="EA164" i="3"/>
  <c r="DV164" i="3"/>
  <c r="DS164" i="3"/>
  <c r="DT164" i="3" s="1"/>
  <c r="DR164" i="3"/>
  <c r="DE164" i="3"/>
  <c r="DD164" i="3"/>
  <c r="DB164" i="3"/>
  <c r="DC164" i="3" s="1"/>
  <c r="DF164" i="3" s="1"/>
  <c r="DA164" i="3"/>
  <c r="DX164" i="3" s="1"/>
  <c r="DY164" i="3" s="1"/>
  <c r="CY164" i="3"/>
  <c r="CW164" i="3"/>
  <c r="CV164" i="3"/>
  <c r="CC164" i="3"/>
  <c r="CB164" i="3"/>
  <c r="CA164" i="3"/>
  <c r="BZ164" i="3"/>
  <c r="BY164" i="3"/>
  <c r="BX164" i="3"/>
  <c r="DU164" i="3" s="1"/>
  <c r="DW164" i="3" s="1"/>
  <c r="BW164" i="3"/>
  <c r="BV164" i="3"/>
  <c r="BU164" i="3"/>
  <c r="BS164" i="3"/>
  <c r="CU164" i="3" s="1"/>
  <c r="X164" i="3"/>
  <c r="CE164" i="3" s="1"/>
  <c r="EA163" i="3"/>
  <c r="DV163" i="3"/>
  <c r="DU163" i="3"/>
  <c r="DR163" i="3"/>
  <c r="DS163" i="3" s="1"/>
  <c r="DP163" i="3"/>
  <c r="DE163" i="3"/>
  <c r="DB163" i="3"/>
  <c r="DC163" i="3" s="1"/>
  <c r="CW163" i="3"/>
  <c r="CV163" i="3"/>
  <c r="CY163" i="3" s="1"/>
  <c r="CC163" i="3"/>
  <c r="CB163" i="3"/>
  <c r="CA163" i="3"/>
  <c r="BZ163" i="3"/>
  <c r="BY163" i="3"/>
  <c r="DD163" i="3" s="1"/>
  <c r="BX163" i="3"/>
  <c r="BW163" i="3"/>
  <c r="BV163" i="3"/>
  <c r="BU163" i="3"/>
  <c r="BS163" i="3"/>
  <c r="CU163" i="3" s="1"/>
  <c r="X163" i="3"/>
  <c r="CE163" i="3" s="1"/>
  <c r="EA162" i="3"/>
  <c r="DV162" i="3"/>
  <c r="DU162" i="3"/>
  <c r="DW162" i="3" s="1"/>
  <c r="DS162" i="3"/>
  <c r="DT162" i="3" s="1"/>
  <c r="DR162" i="3"/>
  <c r="DQ162" i="3"/>
  <c r="DP162" i="3"/>
  <c r="DE162" i="3"/>
  <c r="DD162" i="3"/>
  <c r="DB162" i="3"/>
  <c r="CW162" i="3"/>
  <c r="CV162" i="3"/>
  <c r="CC162" i="3"/>
  <c r="CB162" i="3"/>
  <c r="CA162" i="3"/>
  <c r="BZ162" i="3"/>
  <c r="BY162" i="3"/>
  <c r="BX162" i="3"/>
  <c r="BW162" i="3"/>
  <c r="BV162" i="3"/>
  <c r="BU162" i="3"/>
  <c r="BS162" i="3"/>
  <c r="CU162" i="3" s="1"/>
  <c r="X162" i="3"/>
  <c r="DC162" i="3" s="1"/>
  <c r="DF162" i="3" s="1"/>
  <c r="EA161" i="3"/>
  <c r="DV161" i="3"/>
  <c r="DU161" i="3"/>
  <c r="DW161" i="3" s="1"/>
  <c r="DT161" i="3"/>
  <c r="DS161" i="3"/>
  <c r="DR161" i="3"/>
  <c r="DQ161" i="3"/>
  <c r="DE161" i="3"/>
  <c r="DD161" i="3"/>
  <c r="DB161" i="3"/>
  <c r="DC161" i="3" s="1"/>
  <c r="CW161" i="3"/>
  <c r="CV161" i="3"/>
  <c r="CC161" i="3"/>
  <c r="CB161" i="3"/>
  <c r="CA161" i="3"/>
  <c r="BZ161" i="3"/>
  <c r="BY161" i="3"/>
  <c r="BX161" i="3"/>
  <c r="DP161" i="3" s="1"/>
  <c r="BW161" i="3"/>
  <c r="BV161" i="3"/>
  <c r="BU161" i="3"/>
  <c r="BS161" i="3"/>
  <c r="CU161" i="3" s="1"/>
  <c r="X161" i="3"/>
  <c r="EA160" i="3"/>
  <c r="DV160" i="3"/>
  <c r="DU160" i="3"/>
  <c r="DW160" i="3" s="1"/>
  <c r="DS160" i="3"/>
  <c r="DT160" i="3" s="1"/>
  <c r="DR160" i="3"/>
  <c r="DE160" i="3"/>
  <c r="CW160" i="3"/>
  <c r="CV160" i="3"/>
  <c r="CC160" i="3"/>
  <c r="CB160" i="3"/>
  <c r="CA160" i="3"/>
  <c r="BZ160" i="3"/>
  <c r="BY160" i="3"/>
  <c r="DD160" i="3" s="1"/>
  <c r="BX160" i="3"/>
  <c r="DP160" i="3" s="1"/>
  <c r="DQ160" i="3" s="1"/>
  <c r="BW160" i="3"/>
  <c r="BV160" i="3"/>
  <c r="BU160" i="3"/>
  <c r="BS160" i="3"/>
  <c r="CU160" i="3" s="1"/>
  <c r="X160" i="3"/>
  <c r="CE160" i="3" s="1"/>
  <c r="EA159" i="3"/>
  <c r="DV159" i="3"/>
  <c r="DS159" i="3"/>
  <c r="DT159" i="3" s="1"/>
  <c r="DR159" i="3"/>
  <c r="DE159" i="3"/>
  <c r="CY159" i="3"/>
  <c r="CW159" i="3"/>
  <c r="CV159" i="3"/>
  <c r="DA159" i="3" s="1"/>
  <c r="CC159" i="3"/>
  <c r="CB159" i="3"/>
  <c r="CA159" i="3"/>
  <c r="BZ159" i="3"/>
  <c r="BY159" i="3"/>
  <c r="DD159" i="3" s="1"/>
  <c r="BX159" i="3"/>
  <c r="DP159" i="3" s="1"/>
  <c r="DQ159" i="3" s="1"/>
  <c r="BW159" i="3"/>
  <c r="BV159" i="3"/>
  <c r="BU159" i="3"/>
  <c r="BS159" i="3"/>
  <c r="CU159" i="3" s="1"/>
  <c r="X159" i="3"/>
  <c r="EA158" i="3"/>
  <c r="DV158" i="3"/>
  <c r="DU158" i="3"/>
  <c r="DW158" i="3" s="1"/>
  <c r="DR158" i="3"/>
  <c r="DE158" i="3"/>
  <c r="CW158" i="3"/>
  <c r="CV158" i="3"/>
  <c r="CC158" i="3"/>
  <c r="CB158" i="3"/>
  <c r="CA158" i="3"/>
  <c r="BZ158" i="3"/>
  <c r="BY158" i="3"/>
  <c r="DD158" i="3" s="1"/>
  <c r="BX158" i="3"/>
  <c r="DP158" i="3" s="1"/>
  <c r="DQ158" i="3" s="1"/>
  <c r="BW158" i="3"/>
  <c r="BV158" i="3"/>
  <c r="BU158" i="3"/>
  <c r="BS158" i="3"/>
  <c r="CU158" i="3" s="1"/>
  <c r="X158" i="3"/>
  <c r="CE158" i="3" s="1"/>
  <c r="EA157" i="3"/>
  <c r="DV157" i="3"/>
  <c r="DR157" i="3"/>
  <c r="DE157" i="3"/>
  <c r="CY157" i="3"/>
  <c r="CW157" i="3"/>
  <c r="CV157" i="3"/>
  <c r="CC157" i="3"/>
  <c r="CB157" i="3"/>
  <c r="CA157" i="3"/>
  <c r="BZ157" i="3"/>
  <c r="BY157" i="3"/>
  <c r="DS157" i="3" s="1"/>
  <c r="DT157" i="3" s="1"/>
  <c r="BX157" i="3"/>
  <c r="BW157" i="3"/>
  <c r="BV157" i="3"/>
  <c r="BU157" i="3"/>
  <c r="BS157" i="3"/>
  <c r="CU157" i="3" s="1"/>
  <c r="X157" i="3"/>
  <c r="CE157" i="3" s="1"/>
  <c r="EA156" i="3"/>
  <c r="DV156" i="3"/>
  <c r="DR156" i="3"/>
  <c r="DE156" i="3"/>
  <c r="DB156" i="3"/>
  <c r="DC156" i="3" s="1"/>
  <c r="CY156" i="3"/>
  <c r="CW156" i="3"/>
  <c r="DA156" i="3" s="1"/>
  <c r="CV156" i="3"/>
  <c r="CC156" i="3"/>
  <c r="CB156" i="3"/>
  <c r="CA156" i="3"/>
  <c r="BZ156" i="3"/>
  <c r="BY156" i="3"/>
  <c r="BX156" i="3"/>
  <c r="DP156" i="3" s="1"/>
  <c r="DQ156" i="3" s="1"/>
  <c r="BW156" i="3"/>
  <c r="BV156" i="3"/>
  <c r="BU156" i="3"/>
  <c r="BS156" i="3"/>
  <c r="CU156" i="3" s="1"/>
  <c r="X156" i="3"/>
  <c r="CE156" i="3" s="1"/>
  <c r="EA155" i="3"/>
  <c r="DV155" i="3"/>
  <c r="DR155" i="3"/>
  <c r="DE155" i="3"/>
  <c r="CY155" i="3"/>
  <c r="DA155" i="3" s="1"/>
  <c r="CX155" i="3"/>
  <c r="CW155" i="3"/>
  <c r="CV155" i="3"/>
  <c r="CC155" i="3"/>
  <c r="CB155" i="3"/>
  <c r="CA155" i="3"/>
  <c r="BZ155" i="3"/>
  <c r="BY155" i="3"/>
  <c r="DS155" i="3" s="1"/>
  <c r="DT155" i="3" s="1"/>
  <c r="BX155" i="3"/>
  <c r="BW155" i="3"/>
  <c r="BV155" i="3"/>
  <c r="BU155" i="3"/>
  <c r="BS155" i="3"/>
  <c r="CU155" i="3" s="1"/>
  <c r="X155" i="3"/>
  <c r="CE155" i="3" s="1"/>
  <c r="EA154" i="3"/>
  <c r="DV154" i="3"/>
  <c r="DR154" i="3"/>
  <c r="DE154" i="3"/>
  <c r="CY154" i="3"/>
  <c r="CW154" i="3"/>
  <c r="DA154" i="3" s="1"/>
  <c r="CV154" i="3"/>
  <c r="CC154" i="3"/>
  <c r="CB154" i="3"/>
  <c r="CA154" i="3"/>
  <c r="BZ154" i="3"/>
  <c r="BY154" i="3"/>
  <c r="BX154" i="3"/>
  <c r="BW154" i="3"/>
  <c r="BV154" i="3"/>
  <c r="BU154" i="3"/>
  <c r="BS154" i="3"/>
  <c r="CU154" i="3" s="1"/>
  <c r="CX154" i="3" s="1"/>
  <c r="X154" i="3"/>
  <c r="CE154" i="3" s="1"/>
  <c r="EA153" i="3"/>
  <c r="DV153" i="3"/>
  <c r="DR153" i="3"/>
  <c r="DP153" i="3"/>
  <c r="DQ153" i="3" s="1"/>
  <c r="DE153" i="3"/>
  <c r="DC153" i="3"/>
  <c r="DB153" i="3"/>
  <c r="DA153" i="3"/>
  <c r="CY153" i="3"/>
  <c r="CW153" i="3"/>
  <c r="CV153" i="3"/>
  <c r="CC153" i="3"/>
  <c r="CB153" i="3"/>
  <c r="CA153" i="3"/>
  <c r="BZ153" i="3"/>
  <c r="BY153" i="3"/>
  <c r="BX153" i="3"/>
  <c r="DU153" i="3" s="1"/>
  <c r="DW153" i="3" s="1"/>
  <c r="BW153" i="3"/>
  <c r="BV153" i="3"/>
  <c r="BU153" i="3"/>
  <c r="BS153" i="3"/>
  <c r="CU153" i="3" s="1"/>
  <c r="CX153" i="3" s="1"/>
  <c r="X153" i="3"/>
  <c r="CE153" i="3" s="1"/>
  <c r="EA152" i="3"/>
  <c r="DV152" i="3"/>
  <c r="DS152" i="3"/>
  <c r="DT152" i="3" s="1"/>
  <c r="DR152" i="3"/>
  <c r="DE152" i="3"/>
  <c r="DD152" i="3"/>
  <c r="DB152" i="3"/>
  <c r="DC152" i="3" s="1"/>
  <c r="DF152" i="3" s="1"/>
  <c r="DA152" i="3"/>
  <c r="CY152" i="3"/>
  <c r="CW152" i="3"/>
  <c r="CV152" i="3"/>
  <c r="CC152" i="3"/>
  <c r="CB152" i="3"/>
  <c r="CA152" i="3"/>
  <c r="BZ152" i="3"/>
  <c r="BY152" i="3"/>
  <c r="BX152" i="3"/>
  <c r="DU152" i="3" s="1"/>
  <c r="DW152" i="3" s="1"/>
  <c r="BW152" i="3"/>
  <c r="BV152" i="3"/>
  <c r="BU152" i="3"/>
  <c r="BS152" i="3"/>
  <c r="CU152" i="3" s="1"/>
  <c r="X152" i="3"/>
  <c r="CE152" i="3" s="1"/>
  <c r="EA151" i="3"/>
  <c r="DV151" i="3"/>
  <c r="DU151" i="3"/>
  <c r="DW151" i="3" s="1"/>
  <c r="DR151" i="3"/>
  <c r="DS151" i="3" s="1"/>
  <c r="DP151" i="3"/>
  <c r="DH151" i="3"/>
  <c r="DE151" i="3"/>
  <c r="DB151" i="3"/>
  <c r="DC151" i="3" s="1"/>
  <c r="CW151" i="3"/>
  <c r="CV151" i="3"/>
  <c r="CY151" i="3" s="1"/>
  <c r="CU151" i="3"/>
  <c r="CC151" i="3"/>
  <c r="CB151" i="3"/>
  <c r="CA151" i="3"/>
  <c r="BZ151" i="3"/>
  <c r="BY151" i="3"/>
  <c r="DD151" i="3" s="1"/>
  <c r="BX151" i="3"/>
  <c r="BW151" i="3"/>
  <c r="BV151" i="3"/>
  <c r="BU151" i="3"/>
  <c r="BS151" i="3"/>
  <c r="X151" i="3"/>
  <c r="CE151" i="3" s="1"/>
  <c r="EA150" i="3"/>
  <c r="DV150" i="3"/>
  <c r="DU150" i="3"/>
  <c r="DW150" i="3" s="1"/>
  <c r="DS150" i="3"/>
  <c r="DR150" i="3"/>
  <c r="DP150" i="3"/>
  <c r="DE150" i="3"/>
  <c r="DD150" i="3"/>
  <c r="DB150" i="3"/>
  <c r="CW150" i="3"/>
  <c r="CV150" i="3"/>
  <c r="CC150" i="3"/>
  <c r="CB150" i="3"/>
  <c r="CA150" i="3"/>
  <c r="BZ150" i="3"/>
  <c r="BY150" i="3"/>
  <c r="BX150" i="3"/>
  <c r="BW150" i="3"/>
  <c r="BV150" i="3"/>
  <c r="BU150" i="3"/>
  <c r="BS150" i="3"/>
  <c r="CU150" i="3" s="1"/>
  <c r="X150" i="3"/>
  <c r="EA149" i="3"/>
  <c r="DV149" i="3"/>
  <c r="DU149" i="3"/>
  <c r="DR149" i="3"/>
  <c r="DS149" i="3" s="1"/>
  <c r="DE149" i="3"/>
  <c r="DD149" i="3"/>
  <c r="DB149" i="3"/>
  <c r="DC149" i="3" s="1"/>
  <c r="CW149" i="3"/>
  <c r="CV149" i="3"/>
  <c r="CC149" i="3"/>
  <c r="CB149" i="3"/>
  <c r="CA149" i="3"/>
  <c r="BZ149" i="3"/>
  <c r="BY149" i="3"/>
  <c r="BX149" i="3"/>
  <c r="DP149" i="3" s="1"/>
  <c r="BW149" i="3"/>
  <c r="BV149" i="3"/>
  <c r="BU149" i="3"/>
  <c r="BS149" i="3"/>
  <c r="CU149" i="3" s="1"/>
  <c r="X149" i="3"/>
  <c r="CE149" i="3" s="1"/>
  <c r="EA148" i="3"/>
  <c r="DV148" i="3"/>
  <c r="DU148" i="3"/>
  <c r="DR148" i="3"/>
  <c r="DE148" i="3"/>
  <c r="CW148" i="3"/>
  <c r="CV148" i="3"/>
  <c r="CC148" i="3"/>
  <c r="CB148" i="3"/>
  <c r="CA148" i="3"/>
  <c r="BZ148" i="3"/>
  <c r="BY148" i="3"/>
  <c r="DD148" i="3" s="1"/>
  <c r="BX148" i="3"/>
  <c r="DP148" i="3" s="1"/>
  <c r="BW148" i="3"/>
  <c r="BV148" i="3"/>
  <c r="BU148" i="3"/>
  <c r="BS148" i="3"/>
  <c r="CU148" i="3" s="1"/>
  <c r="X148" i="3"/>
  <c r="CE148" i="3" s="1"/>
  <c r="EA147" i="3"/>
  <c r="DV147" i="3"/>
  <c r="DS147" i="3"/>
  <c r="DR147" i="3"/>
  <c r="DE147" i="3"/>
  <c r="CY147" i="3"/>
  <c r="CW147" i="3"/>
  <c r="CV147" i="3"/>
  <c r="DA147" i="3" s="1"/>
  <c r="CC147" i="3"/>
  <c r="CB147" i="3"/>
  <c r="CA147" i="3"/>
  <c r="BZ147" i="3"/>
  <c r="BY147" i="3"/>
  <c r="DD147" i="3" s="1"/>
  <c r="BX147" i="3"/>
  <c r="BW147" i="3"/>
  <c r="BV147" i="3"/>
  <c r="BU147" i="3"/>
  <c r="BS147" i="3"/>
  <c r="CU147" i="3" s="1"/>
  <c r="X147" i="3"/>
  <c r="CE147" i="3" s="1"/>
  <c r="ER146" i="3"/>
  <c r="EQ146" i="3"/>
  <c r="EP146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V146" i="3"/>
  <c r="DR146" i="3"/>
  <c r="DE146" i="3"/>
  <c r="CW146" i="3"/>
  <c r="CV146" i="3"/>
  <c r="CQ146" i="3"/>
  <c r="CK146" i="3"/>
  <c r="CJ146" i="3"/>
  <c r="CI146" i="3"/>
  <c r="CH146" i="3"/>
  <c r="CG146" i="3"/>
  <c r="CC146" i="3"/>
  <c r="CB146" i="3"/>
  <c r="CA146" i="3"/>
  <c r="BZ146" i="3"/>
  <c r="BY146" i="3"/>
  <c r="DD146" i="3" s="1"/>
  <c r="BX146" i="3"/>
  <c r="BW146" i="3"/>
  <c r="BV146" i="3"/>
  <c r="BU146" i="3"/>
  <c r="BS146" i="3"/>
  <c r="CU146" i="3" s="1"/>
  <c r="X146" i="3"/>
  <c r="CE146" i="3" s="1"/>
  <c r="EA145" i="3"/>
  <c r="DW145" i="3"/>
  <c r="DV145" i="3"/>
  <c r="DU145" i="3"/>
  <c r="DR145" i="3"/>
  <c r="DE145" i="3"/>
  <c r="CW145" i="3"/>
  <c r="CV145" i="3"/>
  <c r="CC145" i="3"/>
  <c r="CB145" i="3"/>
  <c r="CA145" i="3"/>
  <c r="BZ145" i="3"/>
  <c r="BY145" i="3"/>
  <c r="BX145" i="3"/>
  <c r="DP145" i="3" s="1"/>
  <c r="DQ145" i="3" s="1"/>
  <c r="BW145" i="3"/>
  <c r="BV145" i="3"/>
  <c r="BU145" i="3"/>
  <c r="BS145" i="3"/>
  <c r="CU145" i="3" s="1"/>
  <c r="X145" i="3"/>
  <c r="CE145" i="3" s="1"/>
  <c r="EA144" i="3"/>
  <c r="DV144" i="3"/>
  <c r="DU144" i="3"/>
  <c r="DW144" i="3" s="1"/>
  <c r="DR144" i="3"/>
  <c r="DE144" i="3"/>
  <c r="DA144" i="3"/>
  <c r="CY144" i="3"/>
  <c r="CW144" i="3"/>
  <c r="CV144" i="3"/>
  <c r="CC144" i="3"/>
  <c r="CB144" i="3"/>
  <c r="CA144" i="3"/>
  <c r="BZ144" i="3"/>
  <c r="BY144" i="3"/>
  <c r="DS144" i="3" s="1"/>
  <c r="BX144" i="3"/>
  <c r="BW144" i="3"/>
  <c r="BV144" i="3"/>
  <c r="BU144" i="3"/>
  <c r="BS144" i="3"/>
  <c r="CU144" i="3" s="1"/>
  <c r="X144" i="3"/>
  <c r="CE144" i="3" s="1"/>
  <c r="EA143" i="3"/>
  <c r="DV143" i="3"/>
  <c r="DR143" i="3"/>
  <c r="DH143" i="3"/>
  <c r="DI143" i="3" s="1"/>
  <c r="DE143" i="3"/>
  <c r="DB143" i="3"/>
  <c r="DC143" i="3" s="1"/>
  <c r="CZ143" i="3"/>
  <c r="CY143" i="3"/>
  <c r="CX143" i="3"/>
  <c r="CW143" i="3"/>
  <c r="DA143" i="3" s="1"/>
  <c r="CV143" i="3"/>
  <c r="CC143" i="3"/>
  <c r="CB143" i="3"/>
  <c r="CA143" i="3"/>
  <c r="BZ143" i="3"/>
  <c r="BY143" i="3"/>
  <c r="BX143" i="3"/>
  <c r="DP143" i="3" s="1"/>
  <c r="DQ143" i="3" s="1"/>
  <c r="BW143" i="3"/>
  <c r="BV143" i="3"/>
  <c r="BU143" i="3"/>
  <c r="CD143" i="3" s="1"/>
  <c r="CI143" i="3" s="1"/>
  <c r="BS143" i="3"/>
  <c r="CU143" i="3" s="1"/>
  <c r="X143" i="3"/>
  <c r="CE143" i="3" s="1"/>
  <c r="EA142" i="3"/>
  <c r="DV142" i="3"/>
  <c r="DR142" i="3"/>
  <c r="DE142" i="3"/>
  <c r="DA142" i="3"/>
  <c r="CY142" i="3"/>
  <c r="CX142" i="3"/>
  <c r="CW142" i="3"/>
  <c r="CV142" i="3"/>
  <c r="CC142" i="3"/>
  <c r="CB142" i="3"/>
  <c r="CA142" i="3"/>
  <c r="BZ142" i="3"/>
  <c r="BY142" i="3"/>
  <c r="DS142" i="3" s="1"/>
  <c r="BX142" i="3"/>
  <c r="DP142" i="3" s="1"/>
  <c r="BW142" i="3"/>
  <c r="BV142" i="3"/>
  <c r="BU142" i="3"/>
  <c r="BS142" i="3"/>
  <c r="CU142" i="3" s="1"/>
  <c r="X142" i="3"/>
  <c r="CE142" i="3" s="1"/>
  <c r="EA141" i="3"/>
  <c r="DV141" i="3"/>
  <c r="DR141" i="3"/>
  <c r="DE141" i="3"/>
  <c r="DD141" i="3"/>
  <c r="DB141" i="3"/>
  <c r="DC141" i="3" s="1"/>
  <c r="CY141" i="3"/>
  <c r="CW141" i="3"/>
  <c r="DA141" i="3" s="1"/>
  <c r="CV141" i="3"/>
  <c r="CC141" i="3"/>
  <c r="CB141" i="3"/>
  <c r="CA141" i="3"/>
  <c r="BZ141" i="3"/>
  <c r="BY141" i="3"/>
  <c r="DS141" i="3" s="1"/>
  <c r="BX141" i="3"/>
  <c r="BW141" i="3"/>
  <c r="BV141" i="3"/>
  <c r="BU141" i="3"/>
  <c r="BS141" i="3"/>
  <c r="CU141" i="3" s="1"/>
  <c r="CX141" i="3" s="1"/>
  <c r="X141" i="3"/>
  <c r="CE141" i="3" s="1"/>
  <c r="EA140" i="3"/>
  <c r="DV140" i="3"/>
  <c r="DR140" i="3"/>
  <c r="DP140" i="3"/>
  <c r="DE140" i="3"/>
  <c r="DC140" i="3"/>
  <c r="DB140" i="3"/>
  <c r="DA140" i="3"/>
  <c r="CY140" i="3"/>
  <c r="CW140" i="3"/>
  <c r="CV140" i="3"/>
  <c r="CC140" i="3"/>
  <c r="CB140" i="3"/>
  <c r="CA140" i="3"/>
  <c r="BZ140" i="3"/>
  <c r="BY140" i="3"/>
  <c r="BX140" i="3"/>
  <c r="DU140" i="3" s="1"/>
  <c r="DW140" i="3" s="1"/>
  <c r="BW140" i="3"/>
  <c r="BV140" i="3"/>
  <c r="BU140" i="3"/>
  <c r="BS140" i="3"/>
  <c r="CU140" i="3" s="1"/>
  <c r="X140" i="3"/>
  <c r="CE140" i="3" s="1"/>
  <c r="EA139" i="3"/>
  <c r="DV139" i="3"/>
  <c r="DS139" i="3"/>
  <c r="DR139" i="3"/>
  <c r="DE139" i="3"/>
  <c r="DD139" i="3"/>
  <c r="DA139" i="3"/>
  <c r="CY139" i="3"/>
  <c r="CW139" i="3"/>
  <c r="CV139" i="3"/>
  <c r="CC139" i="3"/>
  <c r="CB139" i="3"/>
  <c r="CA139" i="3"/>
  <c r="BZ139" i="3"/>
  <c r="BY139" i="3"/>
  <c r="BX139" i="3"/>
  <c r="BW139" i="3"/>
  <c r="BV139" i="3"/>
  <c r="BU139" i="3"/>
  <c r="BS139" i="3"/>
  <c r="CU139" i="3" s="1"/>
  <c r="X139" i="3"/>
  <c r="CE139" i="3" s="1"/>
  <c r="EA138" i="3"/>
  <c r="DV138" i="3"/>
  <c r="DU138" i="3"/>
  <c r="DW138" i="3" s="1"/>
  <c r="DR138" i="3"/>
  <c r="DP138" i="3"/>
  <c r="DE138" i="3"/>
  <c r="DB138" i="3"/>
  <c r="DC138" i="3" s="1"/>
  <c r="CW138" i="3"/>
  <c r="CV138" i="3"/>
  <c r="CY138" i="3" s="1"/>
  <c r="CC138" i="3"/>
  <c r="CB138" i="3"/>
  <c r="CA138" i="3"/>
  <c r="BZ138" i="3"/>
  <c r="BY138" i="3"/>
  <c r="BX138" i="3"/>
  <c r="BW138" i="3"/>
  <c r="BV138" i="3"/>
  <c r="BU138" i="3"/>
  <c r="BS138" i="3"/>
  <c r="CU138" i="3" s="1"/>
  <c r="AD138" i="3"/>
  <c r="X138" i="3"/>
  <c r="EA137" i="3"/>
  <c r="DV137" i="3"/>
  <c r="DU137" i="3"/>
  <c r="DR137" i="3"/>
  <c r="DS137" i="3" s="1"/>
  <c r="DE137" i="3"/>
  <c r="DD137" i="3"/>
  <c r="DB137" i="3"/>
  <c r="DC137" i="3" s="1"/>
  <c r="CW137" i="3"/>
  <c r="CV137" i="3"/>
  <c r="CC137" i="3"/>
  <c r="CB137" i="3"/>
  <c r="CA137" i="3"/>
  <c r="BZ137" i="3"/>
  <c r="BY137" i="3"/>
  <c r="BX137" i="3"/>
  <c r="DP137" i="3" s="1"/>
  <c r="BW137" i="3"/>
  <c r="BV137" i="3"/>
  <c r="BU137" i="3"/>
  <c r="BS137" i="3"/>
  <c r="CU137" i="3" s="1"/>
  <c r="X137" i="3"/>
  <c r="CE137" i="3" s="1"/>
  <c r="EA136" i="3"/>
  <c r="DW136" i="3"/>
  <c r="DV136" i="3"/>
  <c r="DU136" i="3"/>
  <c r="DS136" i="3"/>
  <c r="DR136" i="3"/>
  <c r="DP136" i="3"/>
  <c r="DI136" i="3"/>
  <c r="DH136" i="3"/>
  <c r="DE136" i="3"/>
  <c r="DC136" i="3"/>
  <c r="CX136" i="3"/>
  <c r="CW136" i="3"/>
  <c r="CV136" i="3"/>
  <c r="CC136" i="3"/>
  <c r="CB136" i="3"/>
  <c r="CA136" i="3"/>
  <c r="BZ136" i="3"/>
  <c r="BY136" i="3"/>
  <c r="DD136" i="3" s="1"/>
  <c r="BX136" i="3"/>
  <c r="DB136" i="3" s="1"/>
  <c r="BW136" i="3"/>
  <c r="BV136" i="3"/>
  <c r="BU136" i="3"/>
  <c r="CD136" i="3" s="1"/>
  <c r="BS136" i="3"/>
  <c r="CU136" i="3" s="1"/>
  <c r="X136" i="3"/>
  <c r="CE136" i="3" s="1"/>
  <c r="EA135" i="3"/>
  <c r="DV135" i="3"/>
  <c r="DS135" i="3"/>
  <c r="DR135" i="3"/>
  <c r="DI135" i="3"/>
  <c r="DH135" i="3"/>
  <c r="DE135" i="3"/>
  <c r="DD135" i="3"/>
  <c r="CY135" i="3"/>
  <c r="CW135" i="3"/>
  <c r="CV135" i="3"/>
  <c r="CU135" i="3"/>
  <c r="CC135" i="3"/>
  <c r="CB135" i="3"/>
  <c r="CA135" i="3"/>
  <c r="BZ135" i="3"/>
  <c r="BY135" i="3"/>
  <c r="BX135" i="3"/>
  <c r="BW135" i="3"/>
  <c r="BV135" i="3"/>
  <c r="BU135" i="3"/>
  <c r="BS135" i="3"/>
  <c r="X135" i="3"/>
  <c r="CE135" i="3" s="1"/>
  <c r="EA134" i="3"/>
  <c r="DW134" i="3"/>
  <c r="DV134" i="3"/>
  <c r="DU134" i="3"/>
  <c r="DR134" i="3"/>
  <c r="DE134" i="3"/>
  <c r="CW134" i="3"/>
  <c r="CV134" i="3"/>
  <c r="CC134" i="3"/>
  <c r="CB134" i="3"/>
  <c r="CA134" i="3"/>
  <c r="BZ134" i="3"/>
  <c r="BY134" i="3"/>
  <c r="BX134" i="3"/>
  <c r="DP134" i="3" s="1"/>
  <c r="DQ134" i="3" s="1"/>
  <c r="BW134" i="3"/>
  <c r="BV134" i="3"/>
  <c r="BU134" i="3"/>
  <c r="BS134" i="3"/>
  <c r="CU134" i="3" s="1"/>
  <c r="X134" i="3"/>
  <c r="EA133" i="3"/>
  <c r="DV133" i="3"/>
  <c r="DU133" i="3"/>
  <c r="DS133" i="3"/>
  <c r="DR133" i="3"/>
  <c r="DE133" i="3"/>
  <c r="CY133" i="3"/>
  <c r="DA133" i="3" s="1"/>
  <c r="CX133" i="3"/>
  <c r="CW133" i="3"/>
  <c r="CV133" i="3"/>
  <c r="CC133" i="3"/>
  <c r="CB133" i="3"/>
  <c r="CA133" i="3"/>
  <c r="BZ133" i="3"/>
  <c r="BY133" i="3"/>
  <c r="DD133" i="3" s="1"/>
  <c r="BX133" i="3"/>
  <c r="BW133" i="3"/>
  <c r="BV133" i="3"/>
  <c r="BU133" i="3"/>
  <c r="BS133" i="3"/>
  <c r="CU133" i="3" s="1"/>
  <c r="X133" i="3"/>
  <c r="CE133" i="3" s="1"/>
  <c r="EA132" i="3"/>
  <c r="DV132" i="3"/>
  <c r="DR132" i="3"/>
  <c r="DH132" i="3"/>
  <c r="DI132" i="3" s="1"/>
  <c r="DE132" i="3"/>
  <c r="CY132" i="3"/>
  <c r="CW132" i="3"/>
  <c r="CV132" i="3"/>
  <c r="CU132" i="3"/>
  <c r="CC132" i="3"/>
  <c r="CB132" i="3"/>
  <c r="CA132" i="3"/>
  <c r="BZ132" i="3"/>
  <c r="BY132" i="3"/>
  <c r="BX132" i="3"/>
  <c r="BW132" i="3"/>
  <c r="BV132" i="3"/>
  <c r="BU132" i="3"/>
  <c r="BS132" i="3"/>
  <c r="X132" i="3"/>
  <c r="EA131" i="3"/>
  <c r="DV131" i="3"/>
  <c r="DR131" i="3"/>
  <c r="DP131" i="3"/>
  <c r="DI131" i="3"/>
  <c r="DH131" i="3"/>
  <c r="DE131" i="3"/>
  <c r="DC131" i="3"/>
  <c r="CY131" i="3"/>
  <c r="CX131" i="3"/>
  <c r="CW131" i="3"/>
  <c r="CV131" i="3"/>
  <c r="DA131" i="3" s="1"/>
  <c r="CC131" i="3"/>
  <c r="CB131" i="3"/>
  <c r="CA131" i="3"/>
  <c r="BZ131" i="3"/>
  <c r="BY131" i="3"/>
  <c r="BX131" i="3"/>
  <c r="DB131" i="3" s="1"/>
  <c r="BW131" i="3"/>
  <c r="BV131" i="3"/>
  <c r="BU131" i="3"/>
  <c r="BS131" i="3"/>
  <c r="CU131" i="3" s="1"/>
  <c r="X131" i="3"/>
  <c r="CE131" i="3" s="1"/>
  <c r="EA130" i="3"/>
  <c r="DV130" i="3"/>
  <c r="DR130" i="3"/>
  <c r="DE130" i="3"/>
  <c r="DD130" i="3"/>
  <c r="DB130" i="3"/>
  <c r="DC130" i="3" s="1"/>
  <c r="CY130" i="3"/>
  <c r="CW130" i="3"/>
  <c r="DA130" i="3" s="1"/>
  <c r="CV130" i="3"/>
  <c r="CC130" i="3"/>
  <c r="CB130" i="3"/>
  <c r="CA130" i="3"/>
  <c r="BZ130" i="3"/>
  <c r="BY130" i="3"/>
  <c r="DS130" i="3" s="1"/>
  <c r="BX130" i="3"/>
  <c r="DP130" i="3" s="1"/>
  <c r="BW130" i="3"/>
  <c r="BV130" i="3"/>
  <c r="BU130" i="3"/>
  <c r="BS130" i="3"/>
  <c r="CU130" i="3" s="1"/>
  <c r="CX130" i="3" s="1"/>
  <c r="X130" i="3"/>
  <c r="CE130" i="3" s="1"/>
  <c r="EA129" i="3"/>
  <c r="DW129" i="3"/>
  <c r="DV129" i="3"/>
  <c r="DR129" i="3"/>
  <c r="DP129" i="3"/>
  <c r="DE129" i="3"/>
  <c r="DB129" i="3"/>
  <c r="DC129" i="3" s="1"/>
  <c r="CY129" i="3"/>
  <c r="CX129" i="3"/>
  <c r="CW129" i="3"/>
  <c r="DA129" i="3" s="1"/>
  <c r="CV129" i="3"/>
  <c r="CU129" i="3"/>
  <c r="CZ129" i="3" s="1"/>
  <c r="CC129" i="3"/>
  <c r="CB129" i="3"/>
  <c r="CA129" i="3"/>
  <c r="BZ129" i="3"/>
  <c r="BY129" i="3"/>
  <c r="BX129" i="3"/>
  <c r="DU129" i="3" s="1"/>
  <c r="BW129" i="3"/>
  <c r="BV129" i="3"/>
  <c r="BU129" i="3"/>
  <c r="BS129" i="3"/>
  <c r="X129" i="3"/>
  <c r="CE129" i="3" s="1"/>
  <c r="EA128" i="3"/>
  <c r="DW128" i="3"/>
  <c r="DV128" i="3"/>
  <c r="DS128" i="3"/>
  <c r="DR128" i="3"/>
  <c r="DH128" i="3"/>
  <c r="DI128" i="3" s="1"/>
  <c r="DE128" i="3"/>
  <c r="DD128" i="3"/>
  <c r="CY128" i="3"/>
  <c r="CX128" i="3"/>
  <c r="CW128" i="3"/>
  <c r="CV128" i="3"/>
  <c r="DA128" i="3" s="1"/>
  <c r="CU128" i="3"/>
  <c r="CC128" i="3"/>
  <c r="CB128" i="3"/>
  <c r="CA128" i="3"/>
  <c r="BZ128" i="3"/>
  <c r="BY128" i="3"/>
  <c r="BX128" i="3"/>
  <c r="DU128" i="3" s="1"/>
  <c r="BW128" i="3"/>
  <c r="BV128" i="3"/>
  <c r="BU128" i="3"/>
  <c r="BS128" i="3"/>
  <c r="X128" i="3"/>
  <c r="CE128" i="3" s="1"/>
  <c r="EA127" i="3"/>
  <c r="DV127" i="3"/>
  <c r="DR127" i="3"/>
  <c r="DE127" i="3"/>
  <c r="DD127" i="3"/>
  <c r="DC127" i="3"/>
  <c r="DB127" i="3"/>
  <c r="CW127" i="3"/>
  <c r="CV127" i="3"/>
  <c r="CC127" i="3"/>
  <c r="CB127" i="3"/>
  <c r="CA127" i="3"/>
  <c r="BZ127" i="3"/>
  <c r="BY127" i="3"/>
  <c r="BX127" i="3"/>
  <c r="DU127" i="3" s="1"/>
  <c r="DW127" i="3" s="1"/>
  <c r="BW127" i="3"/>
  <c r="BV127" i="3"/>
  <c r="BU127" i="3"/>
  <c r="BS127" i="3"/>
  <c r="CU127" i="3" s="1"/>
  <c r="X127" i="3"/>
  <c r="CE127" i="3" s="1"/>
  <c r="EA126" i="3"/>
  <c r="DW126" i="3"/>
  <c r="DV126" i="3"/>
  <c r="DU126" i="3"/>
  <c r="DS126" i="3"/>
  <c r="DR126" i="3"/>
  <c r="DP126" i="3"/>
  <c r="DE126" i="3"/>
  <c r="DD126" i="3"/>
  <c r="DB126" i="3"/>
  <c r="CZ126" i="3"/>
  <c r="CW126" i="3"/>
  <c r="CV126" i="3"/>
  <c r="CU126" i="3"/>
  <c r="CX126" i="3" s="1"/>
  <c r="CC126" i="3"/>
  <c r="CB126" i="3"/>
  <c r="CA126" i="3"/>
  <c r="BZ126" i="3"/>
  <c r="BY126" i="3"/>
  <c r="BX126" i="3"/>
  <c r="BW126" i="3"/>
  <c r="BV126" i="3"/>
  <c r="BU126" i="3"/>
  <c r="BS126" i="3"/>
  <c r="X126" i="3"/>
  <c r="DC126" i="3" s="1"/>
  <c r="EA125" i="3"/>
  <c r="DW125" i="3"/>
  <c r="DV125" i="3"/>
  <c r="DU125" i="3"/>
  <c r="DS125" i="3"/>
  <c r="DT125" i="3" s="1"/>
  <c r="DR125" i="3"/>
  <c r="DQ125" i="3"/>
  <c r="DO125" i="3"/>
  <c r="DN125" i="3"/>
  <c r="DJ125" i="3"/>
  <c r="DI125" i="3"/>
  <c r="DM125" i="3" s="1"/>
  <c r="DH125" i="3"/>
  <c r="DE125" i="3"/>
  <c r="DD125" i="3"/>
  <c r="CY125" i="3"/>
  <c r="DA125" i="3" s="1"/>
  <c r="CX125" i="3"/>
  <c r="CW125" i="3"/>
  <c r="CV125" i="3"/>
  <c r="CU125" i="3"/>
  <c r="CC125" i="3"/>
  <c r="CB125" i="3"/>
  <c r="CA125" i="3"/>
  <c r="BZ125" i="3"/>
  <c r="BY125" i="3"/>
  <c r="BX125" i="3"/>
  <c r="DP125" i="3" s="1"/>
  <c r="BW125" i="3"/>
  <c r="BV125" i="3"/>
  <c r="BU125" i="3"/>
  <c r="CD125" i="3" s="1"/>
  <c r="BS125" i="3"/>
  <c r="X125" i="3"/>
  <c r="CE125" i="3" s="1"/>
  <c r="EA124" i="3"/>
  <c r="DV124" i="3"/>
  <c r="DR124" i="3"/>
  <c r="DE124" i="3"/>
  <c r="CY124" i="3"/>
  <c r="CW124" i="3"/>
  <c r="CV124" i="3"/>
  <c r="CU124" i="3"/>
  <c r="CC124" i="3"/>
  <c r="CB124" i="3"/>
  <c r="CA124" i="3"/>
  <c r="BZ124" i="3"/>
  <c r="BY124" i="3"/>
  <c r="DD124" i="3" s="1"/>
  <c r="BX124" i="3"/>
  <c r="DB124" i="3" s="1"/>
  <c r="DC124" i="3" s="1"/>
  <c r="BW124" i="3"/>
  <c r="BV124" i="3"/>
  <c r="BU124" i="3"/>
  <c r="BS124" i="3"/>
  <c r="X124" i="3"/>
  <c r="CE124" i="3" s="1"/>
  <c r="EA123" i="3"/>
  <c r="DV123" i="3"/>
  <c r="DW123" i="3" s="1"/>
  <c r="DU123" i="3"/>
  <c r="DS123" i="3"/>
  <c r="DR123" i="3"/>
  <c r="DE123" i="3"/>
  <c r="DD123" i="3"/>
  <c r="CW123" i="3"/>
  <c r="CV123" i="3"/>
  <c r="CY123" i="3" s="1"/>
  <c r="CU123" i="3"/>
  <c r="CC123" i="3"/>
  <c r="CB123" i="3"/>
  <c r="CA123" i="3"/>
  <c r="BZ123" i="3"/>
  <c r="BY123" i="3"/>
  <c r="BX123" i="3"/>
  <c r="DB123" i="3" s="1"/>
  <c r="BW123" i="3"/>
  <c r="BV123" i="3"/>
  <c r="BU123" i="3"/>
  <c r="BS123" i="3"/>
  <c r="X123" i="3"/>
  <c r="DC123" i="3" s="1"/>
  <c r="DF123" i="3" s="1"/>
  <c r="EA122" i="3"/>
  <c r="DV122" i="3"/>
  <c r="DU122" i="3"/>
  <c r="DR122" i="3"/>
  <c r="DH122" i="3"/>
  <c r="DI122" i="3" s="1"/>
  <c r="DE122" i="3"/>
  <c r="DF122" i="3" s="1"/>
  <c r="DD122" i="3"/>
  <c r="DB122" i="3"/>
  <c r="DC122" i="3" s="1"/>
  <c r="CY122" i="3"/>
  <c r="DA122" i="3" s="1"/>
  <c r="CW122" i="3"/>
  <c r="CV122" i="3"/>
  <c r="CU122" i="3"/>
  <c r="CC122" i="3"/>
  <c r="CB122" i="3"/>
  <c r="CA122" i="3"/>
  <c r="CD122" i="3" s="1"/>
  <c r="BZ122" i="3"/>
  <c r="BY122" i="3"/>
  <c r="BX122" i="3"/>
  <c r="DP122" i="3" s="1"/>
  <c r="BW122" i="3"/>
  <c r="BV122" i="3"/>
  <c r="BU122" i="3"/>
  <c r="BS122" i="3"/>
  <c r="X122" i="3"/>
  <c r="CE122" i="3" s="1"/>
  <c r="EA121" i="3"/>
  <c r="DV121" i="3"/>
  <c r="DU121" i="3"/>
  <c r="DW121" i="3" s="1"/>
  <c r="DR121" i="3"/>
  <c r="DS121" i="3" s="1"/>
  <c r="DP121" i="3"/>
  <c r="DE121" i="3"/>
  <c r="DB121" i="3"/>
  <c r="DC121" i="3" s="1"/>
  <c r="DF121" i="3" s="1"/>
  <c r="CY121" i="3"/>
  <c r="CX121" i="3"/>
  <c r="CW121" i="3"/>
  <c r="CV121" i="3"/>
  <c r="CU121" i="3"/>
  <c r="CZ121" i="3" s="1"/>
  <c r="CC121" i="3"/>
  <c r="CA121" i="3"/>
  <c r="BZ121" i="3"/>
  <c r="BY121" i="3"/>
  <c r="DD121" i="3" s="1"/>
  <c r="BX121" i="3"/>
  <c r="BW121" i="3"/>
  <c r="BV121" i="3"/>
  <c r="BU121" i="3"/>
  <c r="BS121" i="3"/>
  <c r="AH121" i="3"/>
  <c r="CB121" i="3" s="1"/>
  <c r="X121" i="3"/>
  <c r="CE121" i="3" s="1"/>
  <c r="EA120" i="3"/>
  <c r="DW120" i="3"/>
  <c r="DV120" i="3"/>
  <c r="DU120" i="3"/>
  <c r="DR120" i="3"/>
  <c r="DQ120" i="3"/>
  <c r="DP120" i="3"/>
  <c r="DE120" i="3"/>
  <c r="DD120" i="3"/>
  <c r="DC120" i="3"/>
  <c r="DB120" i="3"/>
  <c r="CY120" i="3"/>
  <c r="CW120" i="3"/>
  <c r="CV120" i="3"/>
  <c r="CU120" i="3"/>
  <c r="CC120" i="3"/>
  <c r="CB120" i="3"/>
  <c r="CA120" i="3"/>
  <c r="BZ120" i="3"/>
  <c r="BY120" i="3"/>
  <c r="BX120" i="3"/>
  <c r="BW120" i="3"/>
  <c r="BV120" i="3"/>
  <c r="BU120" i="3"/>
  <c r="BS120" i="3"/>
  <c r="X120" i="3"/>
  <c r="CE120" i="3" s="1"/>
  <c r="EA119" i="3"/>
  <c r="DV119" i="3"/>
  <c r="DS119" i="3"/>
  <c r="DT119" i="3" s="1"/>
  <c r="DR119" i="3"/>
  <c r="DI119" i="3"/>
  <c r="DH119" i="3"/>
  <c r="DE119" i="3"/>
  <c r="DD119" i="3"/>
  <c r="CW119" i="3"/>
  <c r="CV119" i="3"/>
  <c r="CE119" i="3"/>
  <c r="CC119" i="3"/>
  <c r="CB119" i="3"/>
  <c r="CA119" i="3"/>
  <c r="BZ119" i="3"/>
  <c r="BY119" i="3"/>
  <c r="BX119" i="3"/>
  <c r="DP119" i="3" s="1"/>
  <c r="BW119" i="3"/>
  <c r="BV119" i="3"/>
  <c r="BU119" i="3"/>
  <c r="BS119" i="3"/>
  <c r="CU119" i="3" s="1"/>
  <c r="CX119" i="3" s="1"/>
  <c r="CZ119" i="3" s="1"/>
  <c r="X119" i="3"/>
  <c r="EA118" i="3"/>
  <c r="DV118" i="3"/>
  <c r="DR118" i="3"/>
  <c r="DP118" i="3"/>
  <c r="DE118" i="3"/>
  <c r="DF118" i="3" s="1"/>
  <c r="DD118" i="3"/>
  <c r="DC118" i="3"/>
  <c r="CY118" i="3"/>
  <c r="CW118" i="3"/>
  <c r="CV118" i="3"/>
  <c r="DA118" i="3" s="1"/>
  <c r="DX118" i="3" s="1"/>
  <c r="DY118" i="3" s="1"/>
  <c r="CU118" i="3"/>
  <c r="CC118" i="3"/>
  <c r="CB118" i="3"/>
  <c r="CA118" i="3"/>
  <c r="BZ118" i="3"/>
  <c r="BY118" i="3"/>
  <c r="DS118" i="3" s="1"/>
  <c r="BX118" i="3"/>
  <c r="DB118" i="3" s="1"/>
  <c r="BW118" i="3"/>
  <c r="BV118" i="3"/>
  <c r="BU118" i="3"/>
  <c r="BS118" i="3"/>
  <c r="X118" i="3"/>
  <c r="CE118" i="3" s="1"/>
  <c r="EA117" i="3"/>
  <c r="DV117" i="3"/>
  <c r="DU117" i="3"/>
  <c r="DR117" i="3"/>
  <c r="DP117" i="3"/>
  <c r="DE117" i="3"/>
  <c r="DD117" i="3"/>
  <c r="CW117" i="3"/>
  <c r="CV117" i="3"/>
  <c r="CC117" i="3"/>
  <c r="CB117" i="3"/>
  <c r="CA117" i="3"/>
  <c r="BZ117" i="3"/>
  <c r="BY117" i="3"/>
  <c r="BX117" i="3"/>
  <c r="DB117" i="3" s="1"/>
  <c r="DC117" i="3" s="1"/>
  <c r="BW117" i="3"/>
  <c r="BV117" i="3"/>
  <c r="BU117" i="3"/>
  <c r="BS117" i="3"/>
  <c r="CU117" i="3" s="1"/>
  <c r="X117" i="3"/>
  <c r="CE117" i="3" s="1"/>
  <c r="EI116" i="3"/>
  <c r="EA116" i="3"/>
  <c r="DV116" i="3"/>
  <c r="DR116" i="3"/>
  <c r="DS116" i="3" s="1"/>
  <c r="DP116" i="3"/>
  <c r="DH116" i="3"/>
  <c r="DI116" i="3" s="1"/>
  <c r="DE116" i="3"/>
  <c r="DD116" i="3"/>
  <c r="DB116" i="3"/>
  <c r="CY116" i="3"/>
  <c r="CW116" i="3"/>
  <c r="DA116" i="3" s="1"/>
  <c r="CV116" i="3"/>
  <c r="CC116" i="3"/>
  <c r="CB116" i="3"/>
  <c r="CA116" i="3"/>
  <c r="BZ116" i="3"/>
  <c r="BY116" i="3"/>
  <c r="BX116" i="3"/>
  <c r="DU116" i="3" s="1"/>
  <c r="BW116" i="3"/>
  <c r="BV116" i="3"/>
  <c r="CD116" i="3" s="1"/>
  <c r="EQ116" i="3" s="1"/>
  <c r="BU116" i="3"/>
  <c r="BS116" i="3"/>
  <c r="CU116" i="3" s="1"/>
  <c r="X116" i="3"/>
  <c r="CE116" i="3" s="1"/>
  <c r="EA115" i="3"/>
  <c r="DW115" i="3"/>
  <c r="DV115" i="3"/>
  <c r="DU115" i="3"/>
  <c r="DS115" i="3"/>
  <c r="DR115" i="3"/>
  <c r="DE115" i="3"/>
  <c r="DD115" i="3"/>
  <c r="DB115" i="3"/>
  <c r="CW115" i="3"/>
  <c r="CV115" i="3"/>
  <c r="CC115" i="3"/>
  <c r="CB115" i="3"/>
  <c r="CA115" i="3"/>
  <c r="BZ115" i="3"/>
  <c r="BY115" i="3"/>
  <c r="BX115" i="3"/>
  <c r="DP115" i="3" s="1"/>
  <c r="BW115" i="3"/>
  <c r="BV115" i="3"/>
  <c r="BU115" i="3"/>
  <c r="BS115" i="3"/>
  <c r="CU115" i="3" s="1"/>
  <c r="X115" i="3"/>
  <c r="CE115" i="3" s="1"/>
  <c r="EA114" i="3"/>
  <c r="DV114" i="3"/>
  <c r="DR114" i="3"/>
  <c r="DE114" i="3"/>
  <c r="CW114" i="3"/>
  <c r="CV114" i="3"/>
  <c r="CC114" i="3"/>
  <c r="CB114" i="3"/>
  <c r="CA114" i="3"/>
  <c r="BZ114" i="3"/>
  <c r="BY114" i="3"/>
  <c r="DS114" i="3" s="1"/>
  <c r="BX114" i="3"/>
  <c r="DU114" i="3" s="1"/>
  <c r="DW114" i="3" s="1"/>
  <c r="BW114" i="3"/>
  <c r="BV114" i="3"/>
  <c r="BU114" i="3"/>
  <c r="BS114" i="3"/>
  <c r="CU114" i="3" s="1"/>
  <c r="AH114" i="3"/>
  <c r="X114" i="3"/>
  <c r="EA113" i="3"/>
  <c r="DV113" i="3"/>
  <c r="DR113" i="3"/>
  <c r="DS113" i="3" s="1"/>
  <c r="DI113" i="3"/>
  <c r="DH113" i="3"/>
  <c r="DE113" i="3"/>
  <c r="DD113" i="3"/>
  <c r="DA113" i="3"/>
  <c r="CY113" i="3"/>
  <c r="CW113" i="3"/>
  <c r="CV113" i="3"/>
  <c r="CC113" i="3"/>
  <c r="CB113" i="3"/>
  <c r="CA113" i="3"/>
  <c r="BZ113" i="3"/>
  <c r="BY113" i="3"/>
  <c r="BX113" i="3"/>
  <c r="DU113" i="3" s="1"/>
  <c r="DW113" i="3" s="1"/>
  <c r="BW113" i="3"/>
  <c r="BV113" i="3"/>
  <c r="BU113" i="3"/>
  <c r="BS113" i="3"/>
  <c r="CU113" i="3" s="1"/>
  <c r="X113" i="3"/>
  <c r="CE113" i="3" s="1"/>
  <c r="EA112" i="3"/>
  <c r="DV112" i="3"/>
  <c r="DR112" i="3"/>
  <c r="DE112" i="3"/>
  <c r="CY112" i="3"/>
  <c r="CW112" i="3"/>
  <c r="CV112" i="3"/>
  <c r="CC112" i="3"/>
  <c r="CB112" i="3"/>
  <c r="CA112" i="3"/>
  <c r="BZ112" i="3"/>
  <c r="BY112" i="3"/>
  <c r="DS112" i="3" s="1"/>
  <c r="BX112" i="3"/>
  <c r="BW112" i="3"/>
  <c r="BV112" i="3"/>
  <c r="BU112" i="3"/>
  <c r="BS112" i="3"/>
  <c r="CU112" i="3" s="1"/>
  <c r="X112" i="3"/>
  <c r="CE112" i="3" s="1"/>
  <c r="EA111" i="3"/>
  <c r="DV111" i="3"/>
  <c r="DR111" i="3"/>
  <c r="DE111" i="3"/>
  <c r="CZ111" i="3"/>
  <c r="CY111" i="3"/>
  <c r="CW111" i="3"/>
  <c r="CV111" i="3"/>
  <c r="CC111" i="3"/>
  <c r="CB111" i="3"/>
  <c r="CA111" i="3"/>
  <c r="BZ111" i="3"/>
  <c r="BY111" i="3"/>
  <c r="BX111" i="3"/>
  <c r="BW111" i="3"/>
  <c r="BV111" i="3"/>
  <c r="BU111" i="3"/>
  <c r="BS111" i="3"/>
  <c r="CU111" i="3" s="1"/>
  <c r="CX111" i="3" s="1"/>
  <c r="X111" i="3"/>
  <c r="CE111" i="3" s="1"/>
  <c r="EA110" i="3"/>
  <c r="DV110" i="3"/>
  <c r="DU110" i="3"/>
  <c r="DW110" i="3" s="1"/>
  <c r="DR110" i="3"/>
  <c r="DI110" i="3"/>
  <c r="DH110" i="3"/>
  <c r="DE110" i="3"/>
  <c r="DB110" i="3"/>
  <c r="DC110" i="3" s="1"/>
  <c r="DA110" i="3"/>
  <c r="CZ110" i="3"/>
  <c r="CW110" i="3"/>
  <c r="CV110" i="3"/>
  <c r="CY110" i="3" s="1"/>
  <c r="CC110" i="3"/>
  <c r="CB110" i="3"/>
  <c r="CA110" i="3"/>
  <c r="BZ110" i="3"/>
  <c r="BY110" i="3"/>
  <c r="DS110" i="3" s="1"/>
  <c r="BX110" i="3"/>
  <c r="DP110" i="3" s="1"/>
  <c r="BW110" i="3"/>
  <c r="BV110" i="3"/>
  <c r="BU110" i="3"/>
  <c r="BS110" i="3"/>
  <c r="CU110" i="3" s="1"/>
  <c r="CX110" i="3" s="1"/>
  <c r="X110" i="3"/>
  <c r="CE110" i="3" s="1"/>
  <c r="EA109" i="3"/>
  <c r="DV109" i="3"/>
  <c r="DW109" i="3" s="1"/>
  <c r="DU109" i="3"/>
  <c r="DR109" i="3"/>
  <c r="DS109" i="3" s="1"/>
  <c r="DP109" i="3"/>
  <c r="DE109" i="3"/>
  <c r="DB109" i="3"/>
  <c r="DC109" i="3" s="1"/>
  <c r="DA109" i="3"/>
  <c r="CW109" i="3"/>
  <c r="CV109" i="3"/>
  <c r="CY109" i="3" s="1"/>
  <c r="CC109" i="3"/>
  <c r="CB109" i="3"/>
  <c r="CA109" i="3"/>
  <c r="BZ109" i="3"/>
  <c r="BY109" i="3"/>
  <c r="DD109" i="3" s="1"/>
  <c r="BX109" i="3"/>
  <c r="BW109" i="3"/>
  <c r="BV109" i="3"/>
  <c r="BU109" i="3"/>
  <c r="BS109" i="3"/>
  <c r="CU109" i="3" s="1"/>
  <c r="X109" i="3"/>
  <c r="CE109" i="3" s="1"/>
  <c r="EA108" i="3"/>
  <c r="DV108" i="3"/>
  <c r="DS108" i="3"/>
  <c r="DR108" i="3"/>
  <c r="DP108" i="3"/>
  <c r="DH108" i="3"/>
  <c r="DI108" i="3" s="1"/>
  <c r="DE108" i="3"/>
  <c r="DD108" i="3"/>
  <c r="DB108" i="3"/>
  <c r="DC108" i="3" s="1"/>
  <c r="DF108" i="3" s="1"/>
  <c r="CY108" i="3"/>
  <c r="DA108" i="3" s="1"/>
  <c r="CW108" i="3"/>
  <c r="CV108" i="3"/>
  <c r="CC108" i="3"/>
  <c r="CB108" i="3"/>
  <c r="CA108" i="3"/>
  <c r="BZ108" i="3"/>
  <c r="BY108" i="3"/>
  <c r="BX108" i="3"/>
  <c r="DU108" i="3" s="1"/>
  <c r="DW108" i="3" s="1"/>
  <c r="BW108" i="3"/>
  <c r="BV108" i="3"/>
  <c r="BU108" i="3"/>
  <c r="BS108" i="3"/>
  <c r="CU108" i="3" s="1"/>
  <c r="X108" i="3"/>
  <c r="CE108" i="3" s="1"/>
  <c r="EA107" i="3"/>
  <c r="DV107" i="3"/>
  <c r="DT107" i="3"/>
  <c r="DR107" i="3"/>
  <c r="DP107" i="3"/>
  <c r="DQ107" i="3" s="1"/>
  <c r="DH107" i="3"/>
  <c r="DI107" i="3" s="1"/>
  <c r="DE107" i="3"/>
  <c r="DD107" i="3"/>
  <c r="CY107" i="3"/>
  <c r="CW107" i="3"/>
  <c r="CV107" i="3"/>
  <c r="DA107" i="3" s="1"/>
  <c r="CC107" i="3"/>
  <c r="CB107" i="3"/>
  <c r="CA107" i="3"/>
  <c r="BZ107" i="3"/>
  <c r="BY107" i="3"/>
  <c r="DS107" i="3" s="1"/>
  <c r="BX107" i="3"/>
  <c r="DB107" i="3" s="1"/>
  <c r="DC107" i="3" s="1"/>
  <c r="BW107" i="3"/>
  <c r="BV107" i="3"/>
  <c r="BU107" i="3"/>
  <c r="BS107" i="3"/>
  <c r="CU107" i="3" s="1"/>
  <c r="X107" i="3"/>
  <c r="EA106" i="3"/>
  <c r="DV106" i="3"/>
  <c r="DU106" i="3"/>
  <c r="DW106" i="3" s="1"/>
  <c r="DR106" i="3"/>
  <c r="DQ106" i="3"/>
  <c r="DP106" i="3"/>
  <c r="DE106" i="3"/>
  <c r="DD106" i="3"/>
  <c r="CW106" i="3"/>
  <c r="CV106" i="3"/>
  <c r="CC106" i="3"/>
  <c r="CB106" i="3"/>
  <c r="CA106" i="3"/>
  <c r="BZ106" i="3"/>
  <c r="BY106" i="3"/>
  <c r="BX106" i="3"/>
  <c r="DB106" i="3" s="1"/>
  <c r="DC106" i="3" s="1"/>
  <c r="BW106" i="3"/>
  <c r="BV106" i="3"/>
  <c r="BU106" i="3"/>
  <c r="BS106" i="3"/>
  <c r="CU106" i="3" s="1"/>
  <c r="X106" i="3"/>
  <c r="CE106" i="3" s="1"/>
  <c r="EA105" i="3"/>
  <c r="DV105" i="3"/>
  <c r="DS105" i="3"/>
  <c r="DR105" i="3"/>
  <c r="DP105" i="3"/>
  <c r="DF105" i="3"/>
  <c r="DE105" i="3"/>
  <c r="DD105" i="3"/>
  <c r="DB105" i="3"/>
  <c r="DC105" i="3" s="1"/>
  <c r="CY105" i="3"/>
  <c r="CW105" i="3"/>
  <c r="DA105" i="3" s="1"/>
  <c r="CV105" i="3"/>
  <c r="CC105" i="3"/>
  <c r="CB105" i="3"/>
  <c r="CA105" i="3"/>
  <c r="BZ105" i="3"/>
  <c r="BY105" i="3"/>
  <c r="BX105" i="3"/>
  <c r="DU105" i="3" s="1"/>
  <c r="BW105" i="3"/>
  <c r="BV105" i="3"/>
  <c r="BU105" i="3"/>
  <c r="BS105" i="3"/>
  <c r="CU105" i="3" s="1"/>
  <c r="X105" i="3"/>
  <c r="CE105" i="3" s="1"/>
  <c r="EJ104" i="3"/>
  <c r="EA104" i="3"/>
  <c r="DW104" i="3"/>
  <c r="DV104" i="3"/>
  <c r="DU104" i="3"/>
  <c r="DS104" i="3"/>
  <c r="DR104" i="3"/>
  <c r="DH104" i="3"/>
  <c r="DI104" i="3" s="1"/>
  <c r="DF104" i="3"/>
  <c r="DE104" i="3"/>
  <c r="DD104" i="3"/>
  <c r="DB104" i="3"/>
  <c r="DC104" i="3" s="1"/>
  <c r="CW104" i="3"/>
  <c r="CV104" i="3"/>
  <c r="CU104" i="3"/>
  <c r="CC104" i="3"/>
  <c r="CB104" i="3"/>
  <c r="CA104" i="3"/>
  <c r="BZ104" i="3"/>
  <c r="BY104" i="3"/>
  <c r="BX104" i="3"/>
  <c r="DP104" i="3" s="1"/>
  <c r="BW104" i="3"/>
  <c r="BV104" i="3"/>
  <c r="BU104" i="3"/>
  <c r="CD104" i="3" s="1"/>
  <c r="BS104" i="3"/>
  <c r="X104" i="3"/>
  <c r="CE104" i="3" s="1"/>
  <c r="EA103" i="3"/>
  <c r="DV103" i="3"/>
  <c r="DR103" i="3"/>
  <c r="DE103" i="3"/>
  <c r="CY103" i="3"/>
  <c r="CW103" i="3"/>
  <c r="CV103" i="3"/>
  <c r="CC103" i="3"/>
  <c r="CB103" i="3"/>
  <c r="CA103" i="3"/>
  <c r="BZ103" i="3"/>
  <c r="BY103" i="3"/>
  <c r="DS103" i="3" s="1"/>
  <c r="BX103" i="3"/>
  <c r="BW103" i="3"/>
  <c r="BV103" i="3"/>
  <c r="BU103" i="3"/>
  <c r="BS103" i="3"/>
  <c r="CU103" i="3" s="1"/>
  <c r="X103" i="3"/>
  <c r="EA102" i="3"/>
  <c r="DV102" i="3"/>
  <c r="DU102" i="3"/>
  <c r="DW102" i="3" s="1"/>
  <c r="DR102" i="3"/>
  <c r="DP102" i="3"/>
  <c r="DE102" i="3"/>
  <c r="DB102" i="3"/>
  <c r="CZ102" i="3"/>
  <c r="CW102" i="3"/>
  <c r="CV102" i="3"/>
  <c r="CC102" i="3"/>
  <c r="CB102" i="3"/>
  <c r="CA102" i="3"/>
  <c r="BZ102" i="3"/>
  <c r="BY102" i="3"/>
  <c r="BX102" i="3"/>
  <c r="BW102" i="3"/>
  <c r="BV102" i="3"/>
  <c r="BU102" i="3"/>
  <c r="BS102" i="3"/>
  <c r="CU102" i="3" s="1"/>
  <c r="CX102" i="3" s="1"/>
  <c r="X102" i="3"/>
  <c r="CE102" i="3" s="1"/>
  <c r="EA101" i="3"/>
  <c r="DV101" i="3"/>
  <c r="DR101" i="3"/>
  <c r="DS101" i="3" s="1"/>
  <c r="DI101" i="3"/>
  <c r="DH101" i="3"/>
  <c r="DE101" i="3"/>
  <c r="DD101" i="3"/>
  <c r="DA101" i="3"/>
  <c r="CY101" i="3"/>
  <c r="CW101" i="3"/>
  <c r="CV101" i="3"/>
  <c r="CC101" i="3"/>
  <c r="CB101" i="3"/>
  <c r="CA101" i="3"/>
  <c r="BZ101" i="3"/>
  <c r="BY101" i="3"/>
  <c r="BX101" i="3"/>
  <c r="DU101" i="3" s="1"/>
  <c r="DW101" i="3" s="1"/>
  <c r="BW101" i="3"/>
  <c r="BV101" i="3"/>
  <c r="BU101" i="3"/>
  <c r="BS101" i="3"/>
  <c r="CU101" i="3" s="1"/>
  <c r="X101" i="3"/>
  <c r="CE101" i="3" s="1"/>
  <c r="EA100" i="3"/>
  <c r="DV100" i="3"/>
  <c r="DR100" i="3"/>
  <c r="DE100" i="3"/>
  <c r="CY100" i="3"/>
  <c r="CW100" i="3"/>
  <c r="CV100" i="3"/>
  <c r="CC100" i="3"/>
  <c r="CB100" i="3"/>
  <c r="CA100" i="3"/>
  <c r="BZ100" i="3"/>
  <c r="BY100" i="3"/>
  <c r="DS100" i="3" s="1"/>
  <c r="DT100" i="3" s="1"/>
  <c r="BX100" i="3"/>
  <c r="BW100" i="3"/>
  <c r="BV100" i="3"/>
  <c r="BU100" i="3"/>
  <c r="BS100" i="3"/>
  <c r="CU100" i="3" s="1"/>
  <c r="X100" i="3"/>
  <c r="CE100" i="3" s="1"/>
  <c r="EA99" i="3"/>
  <c r="DV99" i="3"/>
  <c r="DR99" i="3"/>
  <c r="DE99" i="3"/>
  <c r="CY99" i="3"/>
  <c r="CW99" i="3"/>
  <c r="CV99" i="3"/>
  <c r="CU99" i="3"/>
  <c r="CX99" i="3" s="1"/>
  <c r="CC99" i="3"/>
  <c r="CB99" i="3"/>
  <c r="CA99" i="3"/>
  <c r="BZ99" i="3"/>
  <c r="BY99" i="3"/>
  <c r="BX99" i="3"/>
  <c r="DB99" i="3" s="1"/>
  <c r="DC99" i="3" s="1"/>
  <c r="BW99" i="3"/>
  <c r="BV99" i="3"/>
  <c r="BU99" i="3"/>
  <c r="BS99" i="3"/>
  <c r="X99" i="3"/>
  <c r="CE99" i="3" s="1"/>
  <c r="EA98" i="3"/>
  <c r="DV98" i="3"/>
  <c r="DU98" i="3"/>
  <c r="DR98" i="3"/>
  <c r="DI98" i="3"/>
  <c r="DH98" i="3"/>
  <c r="DE98" i="3"/>
  <c r="DD98" i="3"/>
  <c r="DB98" i="3"/>
  <c r="DC98" i="3" s="1"/>
  <c r="DA98" i="3"/>
  <c r="CW98" i="3"/>
  <c r="CV98" i="3"/>
  <c r="CY98" i="3" s="1"/>
  <c r="CC98" i="3"/>
  <c r="CB98" i="3"/>
  <c r="CA98" i="3"/>
  <c r="BZ98" i="3"/>
  <c r="BY98" i="3"/>
  <c r="DS98" i="3" s="1"/>
  <c r="BX98" i="3"/>
  <c r="DP98" i="3" s="1"/>
  <c r="BW98" i="3"/>
  <c r="BV98" i="3"/>
  <c r="BU98" i="3"/>
  <c r="BS98" i="3"/>
  <c r="CU98" i="3" s="1"/>
  <c r="CX98" i="3" s="1"/>
  <c r="X98" i="3"/>
  <c r="CE98" i="3" s="1"/>
  <c r="EA97" i="3"/>
  <c r="DW97" i="3"/>
  <c r="DV97" i="3"/>
  <c r="DU97" i="3"/>
  <c r="DR97" i="3"/>
  <c r="DS97" i="3" s="1"/>
  <c r="DP97" i="3"/>
  <c r="DQ97" i="3" s="1"/>
  <c r="DE97" i="3"/>
  <c r="DB97" i="3"/>
  <c r="DC97" i="3" s="1"/>
  <c r="DA97" i="3"/>
  <c r="CX97" i="3"/>
  <c r="CW97" i="3"/>
  <c r="CV97" i="3"/>
  <c r="CY97" i="3" s="1"/>
  <c r="CC97" i="3"/>
  <c r="CB97" i="3"/>
  <c r="CA97" i="3"/>
  <c r="BZ97" i="3"/>
  <c r="BY97" i="3"/>
  <c r="DD97" i="3" s="1"/>
  <c r="BX97" i="3"/>
  <c r="BW97" i="3"/>
  <c r="BV97" i="3"/>
  <c r="BU97" i="3"/>
  <c r="BS97" i="3"/>
  <c r="CU97" i="3" s="1"/>
  <c r="X97" i="3"/>
  <c r="CE97" i="3" s="1"/>
  <c r="EA96" i="3"/>
  <c r="DW96" i="3"/>
  <c r="DV96" i="3"/>
  <c r="DS96" i="3"/>
  <c r="DR96" i="3"/>
  <c r="DE96" i="3"/>
  <c r="DD96" i="3"/>
  <c r="DB96" i="3"/>
  <c r="DC96" i="3" s="1"/>
  <c r="DF96" i="3" s="1"/>
  <c r="CY96" i="3"/>
  <c r="DA96" i="3" s="1"/>
  <c r="CX96" i="3"/>
  <c r="CW96" i="3"/>
  <c r="CV96" i="3"/>
  <c r="CE96" i="3"/>
  <c r="CC96" i="3"/>
  <c r="CB96" i="3"/>
  <c r="CA96" i="3"/>
  <c r="BZ96" i="3"/>
  <c r="BY96" i="3"/>
  <c r="BX96" i="3"/>
  <c r="DU96" i="3" s="1"/>
  <c r="BW96" i="3"/>
  <c r="BV96" i="3"/>
  <c r="BU96" i="3"/>
  <c r="BS96" i="3"/>
  <c r="CU96" i="3" s="1"/>
  <c r="X96" i="3"/>
  <c r="EA95" i="3"/>
  <c r="DV95" i="3"/>
  <c r="DU95" i="3"/>
  <c r="DW95" i="3" s="1"/>
  <c r="DR95" i="3"/>
  <c r="DH95" i="3"/>
  <c r="DI95" i="3" s="1"/>
  <c r="DE95" i="3"/>
  <c r="DD95" i="3"/>
  <c r="CW95" i="3"/>
  <c r="CV95" i="3"/>
  <c r="CC95" i="3"/>
  <c r="CB95" i="3"/>
  <c r="CA95" i="3"/>
  <c r="BZ95" i="3"/>
  <c r="BY95" i="3"/>
  <c r="DS95" i="3" s="1"/>
  <c r="BX95" i="3"/>
  <c r="DB95" i="3" s="1"/>
  <c r="DC95" i="3" s="1"/>
  <c r="BW95" i="3"/>
  <c r="BV95" i="3"/>
  <c r="BU95" i="3"/>
  <c r="BS95" i="3"/>
  <c r="CU95" i="3" s="1"/>
  <c r="X95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V94" i="3"/>
  <c r="DR94" i="3"/>
  <c r="DE94" i="3"/>
  <c r="DD94" i="3"/>
  <c r="DA94" i="3"/>
  <c r="CZ94" i="3"/>
  <c r="CW94" i="3"/>
  <c r="CV94" i="3"/>
  <c r="CY94" i="3" s="1"/>
  <c r="CQ94" i="3"/>
  <c r="CK94" i="3"/>
  <c r="CJ94" i="3"/>
  <c r="CI94" i="3"/>
  <c r="CH94" i="3"/>
  <c r="CG94" i="3"/>
  <c r="CE94" i="3"/>
  <c r="CC94" i="3"/>
  <c r="CB94" i="3"/>
  <c r="CA94" i="3"/>
  <c r="BZ94" i="3"/>
  <c r="BY94" i="3"/>
  <c r="BX94" i="3"/>
  <c r="BW94" i="3"/>
  <c r="BV94" i="3"/>
  <c r="BU94" i="3"/>
  <c r="BS94" i="3"/>
  <c r="CU94" i="3" s="1"/>
  <c r="CX94" i="3" s="1"/>
  <c r="X94" i="3"/>
  <c r="EA93" i="3"/>
  <c r="DV93" i="3"/>
  <c r="DU93" i="3"/>
  <c r="DR93" i="3"/>
  <c r="DS93" i="3" s="1"/>
  <c r="DP93" i="3"/>
  <c r="DF93" i="3"/>
  <c r="DE93" i="3"/>
  <c r="DD93" i="3"/>
  <c r="DB93" i="3"/>
  <c r="CZ93" i="3"/>
  <c r="CW93" i="3"/>
  <c r="DA93" i="3" s="1"/>
  <c r="CV93" i="3"/>
  <c r="CY93" i="3" s="1"/>
  <c r="CC93" i="3"/>
  <c r="CB93" i="3"/>
  <c r="CA93" i="3"/>
  <c r="BZ93" i="3"/>
  <c r="BY93" i="3"/>
  <c r="BX93" i="3"/>
  <c r="BW93" i="3"/>
  <c r="BV93" i="3"/>
  <c r="BU93" i="3"/>
  <c r="BS93" i="3"/>
  <c r="CU93" i="3" s="1"/>
  <c r="CX93" i="3" s="1"/>
  <c r="X93" i="3"/>
  <c r="DC93" i="3" s="1"/>
  <c r="EA92" i="3"/>
  <c r="DV92" i="3"/>
  <c r="DS92" i="3"/>
  <c r="DR92" i="3"/>
  <c r="DP92" i="3"/>
  <c r="DH92" i="3"/>
  <c r="DI92" i="3" s="1"/>
  <c r="DE92" i="3"/>
  <c r="DD92" i="3"/>
  <c r="DB92" i="3"/>
  <c r="CW92" i="3"/>
  <c r="DA92" i="3" s="1"/>
  <c r="CV92" i="3"/>
  <c r="CY92" i="3" s="1"/>
  <c r="CC92" i="3"/>
  <c r="CB92" i="3"/>
  <c r="CA92" i="3"/>
  <c r="BZ92" i="3"/>
  <c r="BY92" i="3"/>
  <c r="BX92" i="3"/>
  <c r="DU92" i="3" s="1"/>
  <c r="DW92" i="3" s="1"/>
  <c r="BW92" i="3"/>
  <c r="BV92" i="3"/>
  <c r="BU92" i="3"/>
  <c r="BS92" i="3"/>
  <c r="CU92" i="3" s="1"/>
  <c r="X92" i="3"/>
  <c r="CE92" i="3" s="1"/>
  <c r="EA91" i="3"/>
  <c r="DV91" i="3"/>
  <c r="DS91" i="3"/>
  <c r="DR91" i="3"/>
  <c r="DE91" i="3"/>
  <c r="DD91" i="3"/>
  <c r="CY91" i="3"/>
  <c r="CW91" i="3"/>
  <c r="CV91" i="3"/>
  <c r="CC91" i="3"/>
  <c r="CB91" i="3"/>
  <c r="CA91" i="3"/>
  <c r="BZ91" i="3"/>
  <c r="BY91" i="3"/>
  <c r="BX91" i="3"/>
  <c r="BW91" i="3"/>
  <c r="BV91" i="3"/>
  <c r="BU91" i="3"/>
  <c r="BS91" i="3"/>
  <c r="CU91" i="3" s="1"/>
  <c r="X91" i="3"/>
  <c r="EA90" i="3"/>
  <c r="DV90" i="3"/>
  <c r="DU90" i="3"/>
  <c r="DR90" i="3"/>
  <c r="DP90" i="3"/>
  <c r="DE90" i="3"/>
  <c r="DD90" i="3"/>
  <c r="DC90" i="3"/>
  <c r="CW90" i="3"/>
  <c r="CV90" i="3"/>
  <c r="CU90" i="3"/>
  <c r="CX90" i="3" s="1"/>
  <c r="CC90" i="3"/>
  <c r="CB90" i="3"/>
  <c r="CA90" i="3"/>
  <c r="BZ90" i="3"/>
  <c r="BY90" i="3"/>
  <c r="DS90" i="3" s="1"/>
  <c r="BX90" i="3"/>
  <c r="DB90" i="3" s="1"/>
  <c r="BW90" i="3"/>
  <c r="BV90" i="3"/>
  <c r="BU90" i="3"/>
  <c r="BS90" i="3"/>
  <c r="X90" i="3"/>
  <c r="CE90" i="3" s="1"/>
  <c r="EA89" i="3"/>
  <c r="DV89" i="3"/>
  <c r="DU89" i="3"/>
  <c r="DW89" i="3" s="1"/>
  <c r="DR89" i="3"/>
  <c r="DP89" i="3"/>
  <c r="DI89" i="3"/>
  <c r="DH89" i="3"/>
  <c r="DE89" i="3"/>
  <c r="DD89" i="3"/>
  <c r="CW89" i="3"/>
  <c r="CV89" i="3"/>
  <c r="CC89" i="3"/>
  <c r="CB89" i="3"/>
  <c r="CA89" i="3"/>
  <c r="BZ89" i="3"/>
  <c r="BY89" i="3"/>
  <c r="DS89" i="3" s="1"/>
  <c r="BX89" i="3"/>
  <c r="DB89" i="3" s="1"/>
  <c r="DC89" i="3" s="1"/>
  <c r="BW89" i="3"/>
  <c r="BV89" i="3"/>
  <c r="BU89" i="3"/>
  <c r="CD89" i="3" s="1"/>
  <c r="BS89" i="3"/>
  <c r="CU89" i="3" s="1"/>
  <c r="X89" i="3"/>
  <c r="CE89" i="3" s="1"/>
  <c r="EA88" i="3"/>
  <c r="DV88" i="3"/>
  <c r="DU88" i="3"/>
  <c r="DW88" i="3" s="1"/>
  <c r="DS88" i="3"/>
  <c r="DR88" i="3"/>
  <c r="DE88" i="3"/>
  <c r="DD88" i="3"/>
  <c r="DB88" i="3"/>
  <c r="DC88" i="3" s="1"/>
  <c r="DF88" i="3" s="1"/>
  <c r="DX88" i="3" s="1"/>
  <c r="DA88" i="3"/>
  <c r="CW88" i="3"/>
  <c r="CV88" i="3"/>
  <c r="CY88" i="3" s="1"/>
  <c r="CC88" i="3"/>
  <c r="CB88" i="3"/>
  <c r="CA88" i="3"/>
  <c r="BZ88" i="3"/>
  <c r="BY88" i="3"/>
  <c r="BX88" i="3"/>
  <c r="DP88" i="3" s="1"/>
  <c r="BW88" i="3"/>
  <c r="BV88" i="3"/>
  <c r="BU88" i="3"/>
  <c r="BS88" i="3"/>
  <c r="CU88" i="3" s="1"/>
  <c r="X88" i="3"/>
  <c r="CE88" i="3" s="1"/>
  <c r="EA87" i="3"/>
  <c r="DV87" i="3"/>
  <c r="DR87" i="3"/>
  <c r="DP87" i="3"/>
  <c r="DE87" i="3"/>
  <c r="CY87" i="3"/>
  <c r="CW87" i="3"/>
  <c r="CV87" i="3"/>
  <c r="CC87" i="3"/>
  <c r="CB87" i="3"/>
  <c r="CA87" i="3"/>
  <c r="BZ87" i="3"/>
  <c r="BY87" i="3"/>
  <c r="DD87" i="3" s="1"/>
  <c r="BX87" i="3"/>
  <c r="BW87" i="3"/>
  <c r="BV87" i="3"/>
  <c r="BU87" i="3"/>
  <c r="BS87" i="3"/>
  <c r="CE87" i="3" s="1"/>
  <c r="X87" i="3"/>
  <c r="EA86" i="3"/>
  <c r="DV86" i="3"/>
  <c r="DR86" i="3"/>
  <c r="DI86" i="3"/>
  <c r="DH86" i="3"/>
  <c r="DE86" i="3"/>
  <c r="CY86" i="3"/>
  <c r="CX86" i="3"/>
  <c r="CW86" i="3"/>
  <c r="CV86" i="3"/>
  <c r="CC86" i="3"/>
  <c r="CB86" i="3"/>
  <c r="CA86" i="3"/>
  <c r="BZ86" i="3"/>
  <c r="BY86" i="3"/>
  <c r="BX86" i="3"/>
  <c r="BW86" i="3"/>
  <c r="BV86" i="3"/>
  <c r="BU86" i="3"/>
  <c r="BS86" i="3"/>
  <c r="CU86" i="3" s="1"/>
  <c r="X86" i="3"/>
  <c r="CE86" i="3" s="1"/>
  <c r="EA85" i="3"/>
  <c r="DV85" i="3"/>
  <c r="DU85" i="3"/>
  <c r="DR85" i="3"/>
  <c r="DE85" i="3"/>
  <c r="DD85" i="3"/>
  <c r="DB85" i="3"/>
  <c r="DC85" i="3" s="1"/>
  <c r="DA85" i="3"/>
  <c r="CY85" i="3"/>
  <c r="CW85" i="3"/>
  <c r="CV85" i="3"/>
  <c r="CC85" i="3"/>
  <c r="CB85" i="3"/>
  <c r="CA85" i="3"/>
  <c r="BZ85" i="3"/>
  <c r="BY85" i="3"/>
  <c r="BX85" i="3"/>
  <c r="DP85" i="3" s="1"/>
  <c r="BW85" i="3"/>
  <c r="BV85" i="3"/>
  <c r="BU85" i="3"/>
  <c r="BS85" i="3"/>
  <c r="CU85" i="3" s="1"/>
  <c r="X85" i="3"/>
  <c r="CE85" i="3" s="1"/>
  <c r="EA84" i="3"/>
  <c r="DV84" i="3"/>
  <c r="DR84" i="3"/>
  <c r="DI84" i="3"/>
  <c r="DH84" i="3"/>
  <c r="DE84" i="3"/>
  <c r="CY84" i="3"/>
  <c r="DA84" i="3" s="1"/>
  <c r="CW84" i="3"/>
  <c r="CV84" i="3"/>
  <c r="CC84" i="3"/>
  <c r="CB84" i="3"/>
  <c r="CA84" i="3"/>
  <c r="BZ84" i="3"/>
  <c r="BY84" i="3"/>
  <c r="DD84" i="3" s="1"/>
  <c r="BX84" i="3"/>
  <c r="DU84" i="3" s="1"/>
  <c r="BW84" i="3"/>
  <c r="BV84" i="3"/>
  <c r="BU84" i="3"/>
  <c r="BS84" i="3"/>
  <c r="CU84" i="3" s="1"/>
  <c r="X84" i="3"/>
  <c r="CE84" i="3" s="1"/>
  <c r="EA83" i="3"/>
  <c r="DV83" i="3"/>
  <c r="DS83" i="3"/>
  <c r="DR83" i="3"/>
  <c r="DE83" i="3"/>
  <c r="DD83" i="3"/>
  <c r="DA83" i="3"/>
  <c r="CY83" i="3"/>
  <c r="CW83" i="3"/>
  <c r="CV83" i="3"/>
  <c r="CU83" i="3"/>
  <c r="CC83" i="3"/>
  <c r="CB83" i="3"/>
  <c r="CA83" i="3"/>
  <c r="BZ83" i="3"/>
  <c r="BY83" i="3"/>
  <c r="BX83" i="3"/>
  <c r="BW83" i="3"/>
  <c r="BV83" i="3"/>
  <c r="BU83" i="3"/>
  <c r="BS83" i="3"/>
  <c r="X83" i="3"/>
  <c r="CE83" i="3" s="1"/>
  <c r="EA82" i="3"/>
  <c r="DV82" i="3"/>
  <c r="DU82" i="3"/>
  <c r="DW82" i="3" s="1"/>
  <c r="DR82" i="3"/>
  <c r="DE82" i="3"/>
  <c r="DD82" i="3"/>
  <c r="CW82" i="3"/>
  <c r="CV82" i="3"/>
  <c r="CY82" i="3" s="1"/>
  <c r="CC82" i="3"/>
  <c r="CB82" i="3"/>
  <c r="CA82" i="3"/>
  <c r="BZ82" i="3"/>
  <c r="BY82" i="3"/>
  <c r="DS82" i="3" s="1"/>
  <c r="DT82" i="3" s="1"/>
  <c r="BX82" i="3"/>
  <c r="BW82" i="3"/>
  <c r="BV82" i="3"/>
  <c r="BU82" i="3"/>
  <c r="BS82" i="3"/>
  <c r="CU82" i="3" s="1"/>
  <c r="X82" i="3"/>
  <c r="CE82" i="3" s="1"/>
  <c r="EA81" i="3"/>
  <c r="DV81" i="3"/>
  <c r="DU81" i="3"/>
  <c r="DW81" i="3" s="1"/>
  <c r="DS81" i="3"/>
  <c r="DR81" i="3"/>
  <c r="DI81" i="3"/>
  <c r="DH81" i="3"/>
  <c r="DE81" i="3"/>
  <c r="CW81" i="3"/>
  <c r="DA81" i="3" s="1"/>
  <c r="CV81" i="3"/>
  <c r="CY81" i="3" s="1"/>
  <c r="CE81" i="3"/>
  <c r="CC81" i="3"/>
  <c r="CB81" i="3"/>
  <c r="CA81" i="3"/>
  <c r="BZ81" i="3"/>
  <c r="BY81" i="3"/>
  <c r="DD81" i="3" s="1"/>
  <c r="BX81" i="3"/>
  <c r="DB81" i="3" s="1"/>
  <c r="DC81" i="3" s="1"/>
  <c r="BW81" i="3"/>
  <c r="BV81" i="3"/>
  <c r="BU81" i="3"/>
  <c r="BS81" i="3"/>
  <c r="CU81" i="3" s="1"/>
  <c r="CX81" i="3" s="1"/>
  <c r="X81" i="3"/>
  <c r="EA80" i="3"/>
  <c r="DV80" i="3"/>
  <c r="DR80" i="3"/>
  <c r="DW80" i="3" s="1"/>
  <c r="DP80" i="3"/>
  <c r="DE80" i="3"/>
  <c r="DB80" i="3"/>
  <c r="CX80" i="3"/>
  <c r="CZ80" i="3" s="1"/>
  <c r="CW80" i="3"/>
  <c r="CV80" i="3"/>
  <c r="CY80" i="3" s="1"/>
  <c r="DA80" i="3" s="1"/>
  <c r="CC80" i="3"/>
  <c r="CB80" i="3"/>
  <c r="CA80" i="3"/>
  <c r="BZ80" i="3"/>
  <c r="BY80" i="3"/>
  <c r="BX80" i="3"/>
  <c r="DU80" i="3" s="1"/>
  <c r="BW80" i="3"/>
  <c r="BV80" i="3"/>
  <c r="BU80" i="3"/>
  <c r="BS80" i="3"/>
  <c r="CU80" i="3" s="1"/>
  <c r="X80" i="3"/>
  <c r="EA79" i="3"/>
  <c r="DW79" i="3"/>
  <c r="DV79" i="3"/>
  <c r="DU79" i="3"/>
  <c r="DT79" i="3"/>
  <c r="DS79" i="3"/>
  <c r="DR79" i="3"/>
  <c r="DQ79" i="3"/>
  <c r="DE79" i="3"/>
  <c r="DD79" i="3"/>
  <c r="DB79" i="3"/>
  <c r="CY79" i="3"/>
  <c r="CX79" i="3"/>
  <c r="CW79" i="3"/>
  <c r="CV79" i="3"/>
  <c r="CU79" i="3"/>
  <c r="CC79" i="3"/>
  <c r="CB79" i="3"/>
  <c r="CA79" i="3"/>
  <c r="BZ79" i="3"/>
  <c r="BY79" i="3"/>
  <c r="BX79" i="3"/>
  <c r="DP79" i="3" s="1"/>
  <c r="BW79" i="3"/>
  <c r="BV79" i="3"/>
  <c r="BU79" i="3"/>
  <c r="BS79" i="3"/>
  <c r="X79" i="3"/>
  <c r="CE79" i="3" s="1"/>
  <c r="EA78" i="3"/>
  <c r="DV78" i="3"/>
  <c r="DS78" i="3"/>
  <c r="DT78" i="3" s="1"/>
  <c r="DR78" i="3"/>
  <c r="DJ78" i="3"/>
  <c r="DH78" i="3"/>
  <c r="DI78" i="3" s="1"/>
  <c r="DK78" i="3" s="1"/>
  <c r="DE78" i="3"/>
  <c r="DD78" i="3"/>
  <c r="DC78" i="3"/>
  <c r="DB78" i="3"/>
  <c r="CY78" i="3"/>
  <c r="CW78" i="3"/>
  <c r="CV78" i="3"/>
  <c r="CK78" i="3"/>
  <c r="CC78" i="3"/>
  <c r="CB78" i="3"/>
  <c r="CA78" i="3"/>
  <c r="BZ78" i="3"/>
  <c r="BY78" i="3"/>
  <c r="BX78" i="3"/>
  <c r="DU78" i="3" s="1"/>
  <c r="BW78" i="3"/>
  <c r="BV78" i="3"/>
  <c r="CD78" i="3" s="1"/>
  <c r="CI78" i="3" s="1"/>
  <c r="BU78" i="3"/>
  <c r="BS78" i="3"/>
  <c r="CU78" i="3" s="1"/>
  <c r="X78" i="3"/>
  <c r="CE78" i="3" s="1"/>
  <c r="EA77" i="3"/>
  <c r="DV77" i="3"/>
  <c r="DU77" i="3"/>
  <c r="DW77" i="3" s="1"/>
  <c r="DR77" i="3"/>
  <c r="DP77" i="3"/>
  <c r="DE77" i="3"/>
  <c r="DC77" i="3"/>
  <c r="DA77" i="3"/>
  <c r="CW77" i="3"/>
  <c r="CV77" i="3"/>
  <c r="CY77" i="3" s="1"/>
  <c r="CC77" i="3"/>
  <c r="CB77" i="3"/>
  <c r="CA77" i="3"/>
  <c r="BZ77" i="3"/>
  <c r="BY77" i="3"/>
  <c r="BX77" i="3"/>
  <c r="DB77" i="3" s="1"/>
  <c r="BW77" i="3"/>
  <c r="BV77" i="3"/>
  <c r="BU77" i="3"/>
  <c r="BS77" i="3"/>
  <c r="CU77" i="3" s="1"/>
  <c r="CX77" i="3" s="1"/>
  <c r="CZ77" i="3" s="1"/>
  <c r="X77" i="3"/>
  <c r="CE77" i="3" s="1"/>
  <c r="EA76" i="3"/>
  <c r="DV76" i="3"/>
  <c r="DU76" i="3"/>
  <c r="DR76" i="3"/>
  <c r="DP76" i="3"/>
  <c r="DF76" i="3"/>
  <c r="DE76" i="3"/>
  <c r="DD76" i="3"/>
  <c r="DC76" i="3"/>
  <c r="DB76" i="3"/>
  <c r="CX76" i="3"/>
  <c r="CW76" i="3"/>
  <c r="CV76" i="3"/>
  <c r="CC76" i="3"/>
  <c r="CB76" i="3"/>
  <c r="CA76" i="3"/>
  <c r="BZ76" i="3"/>
  <c r="BY76" i="3"/>
  <c r="DS76" i="3" s="1"/>
  <c r="BX76" i="3"/>
  <c r="BW76" i="3"/>
  <c r="BV76" i="3"/>
  <c r="BU76" i="3"/>
  <c r="BS76" i="3"/>
  <c r="CU76" i="3" s="1"/>
  <c r="X76" i="3"/>
  <c r="CE76" i="3" s="1"/>
  <c r="EA75" i="3"/>
  <c r="DV75" i="3"/>
  <c r="DR75" i="3"/>
  <c r="DP75" i="3"/>
  <c r="DE75" i="3"/>
  <c r="DC75" i="3"/>
  <c r="DB75" i="3"/>
  <c r="CY75" i="3"/>
  <c r="DA75" i="3" s="1"/>
  <c r="CW75" i="3"/>
  <c r="CV75" i="3"/>
  <c r="CC75" i="3"/>
  <c r="CB75" i="3"/>
  <c r="CA75" i="3"/>
  <c r="BZ75" i="3"/>
  <c r="BY75" i="3"/>
  <c r="DS75" i="3" s="1"/>
  <c r="BX75" i="3"/>
  <c r="DU75" i="3" s="1"/>
  <c r="DW75" i="3" s="1"/>
  <c r="BW75" i="3"/>
  <c r="BV75" i="3"/>
  <c r="BU75" i="3"/>
  <c r="BS75" i="3"/>
  <c r="CU75" i="3" s="1"/>
  <c r="X75" i="3"/>
  <c r="CE75" i="3" s="1"/>
  <c r="EA74" i="3"/>
  <c r="DV74" i="3"/>
  <c r="DR74" i="3"/>
  <c r="DE74" i="3"/>
  <c r="CW74" i="3"/>
  <c r="CV74" i="3"/>
  <c r="CY74" i="3" s="1"/>
  <c r="DA74" i="3" s="1"/>
  <c r="CC74" i="3"/>
  <c r="CB74" i="3"/>
  <c r="CA74" i="3"/>
  <c r="BZ74" i="3"/>
  <c r="BY74" i="3"/>
  <c r="DS74" i="3" s="1"/>
  <c r="BX74" i="3"/>
  <c r="BW74" i="3"/>
  <c r="BV74" i="3"/>
  <c r="BU74" i="3"/>
  <c r="BS74" i="3"/>
  <c r="CU74" i="3" s="1"/>
  <c r="CX74" i="3" s="1"/>
  <c r="X74" i="3"/>
  <c r="CE74" i="3" s="1"/>
  <c r="EA73" i="3"/>
  <c r="DV73" i="3"/>
  <c r="DS73" i="3"/>
  <c r="DR73" i="3"/>
  <c r="DE73" i="3"/>
  <c r="DD73" i="3"/>
  <c r="CW73" i="3"/>
  <c r="CV73" i="3"/>
  <c r="CY73" i="3" s="1"/>
  <c r="CC73" i="3"/>
  <c r="CB73" i="3"/>
  <c r="CA73" i="3"/>
  <c r="BZ73" i="3"/>
  <c r="BY73" i="3"/>
  <c r="BX73" i="3"/>
  <c r="BW73" i="3"/>
  <c r="BV73" i="3"/>
  <c r="BU73" i="3"/>
  <c r="BS73" i="3"/>
  <c r="CU73" i="3" s="1"/>
  <c r="X73" i="3"/>
  <c r="EA72" i="3"/>
  <c r="DW72" i="3"/>
  <c r="DV72" i="3"/>
  <c r="DU72" i="3"/>
  <c r="DS72" i="3"/>
  <c r="DR72" i="3"/>
  <c r="DP72" i="3"/>
  <c r="DE72" i="3"/>
  <c r="DC72" i="3"/>
  <c r="DB72" i="3"/>
  <c r="CW72" i="3"/>
  <c r="CV72" i="3"/>
  <c r="CC72" i="3"/>
  <c r="CB72" i="3"/>
  <c r="CA72" i="3"/>
  <c r="BZ72" i="3"/>
  <c r="BY72" i="3"/>
  <c r="DD72" i="3" s="1"/>
  <c r="BX72" i="3"/>
  <c r="BW72" i="3"/>
  <c r="BV72" i="3"/>
  <c r="BU72" i="3"/>
  <c r="BS72" i="3"/>
  <c r="CU72" i="3" s="1"/>
  <c r="X72" i="3"/>
  <c r="CE72" i="3" s="1"/>
  <c r="EA71" i="3"/>
  <c r="DV71" i="3"/>
  <c r="DS71" i="3"/>
  <c r="DR71" i="3"/>
  <c r="DP71" i="3"/>
  <c r="DQ71" i="3" s="1"/>
  <c r="DH71" i="3"/>
  <c r="DI71" i="3" s="1"/>
  <c r="DF71" i="3"/>
  <c r="DE71" i="3"/>
  <c r="DC71" i="3"/>
  <c r="DB71" i="3"/>
  <c r="CY71" i="3"/>
  <c r="DA71" i="3" s="1"/>
  <c r="CW71" i="3"/>
  <c r="CV71" i="3"/>
  <c r="CE71" i="3"/>
  <c r="CC71" i="3"/>
  <c r="CB71" i="3"/>
  <c r="CA71" i="3"/>
  <c r="BZ71" i="3"/>
  <c r="BY71" i="3"/>
  <c r="DD71" i="3" s="1"/>
  <c r="BX71" i="3"/>
  <c r="DU71" i="3" s="1"/>
  <c r="DW71" i="3" s="1"/>
  <c r="BW71" i="3"/>
  <c r="BV71" i="3"/>
  <c r="BU71" i="3"/>
  <c r="BS71" i="3"/>
  <c r="CU71" i="3" s="1"/>
  <c r="X71" i="3"/>
  <c r="EA70" i="3"/>
  <c r="DV70" i="3"/>
  <c r="DR70" i="3"/>
  <c r="DP70" i="3"/>
  <c r="DE70" i="3"/>
  <c r="DD70" i="3"/>
  <c r="DC70" i="3"/>
  <c r="DA70" i="3"/>
  <c r="CY70" i="3"/>
  <c r="CW70" i="3"/>
  <c r="CV70" i="3"/>
  <c r="CU70" i="3"/>
  <c r="CC70" i="3"/>
  <c r="CB70" i="3"/>
  <c r="CA70" i="3"/>
  <c r="BZ70" i="3"/>
  <c r="BY70" i="3"/>
  <c r="DS70" i="3" s="1"/>
  <c r="BX70" i="3"/>
  <c r="DB70" i="3" s="1"/>
  <c r="BW70" i="3"/>
  <c r="BV70" i="3"/>
  <c r="BU70" i="3"/>
  <c r="BS70" i="3"/>
  <c r="X70" i="3"/>
  <c r="EA69" i="3"/>
  <c r="DV69" i="3"/>
  <c r="DU69" i="3"/>
  <c r="DW69" i="3" s="1"/>
  <c r="DR69" i="3"/>
  <c r="DS69" i="3" s="1"/>
  <c r="DP69" i="3"/>
  <c r="DE69" i="3"/>
  <c r="DD69" i="3"/>
  <c r="DB69" i="3"/>
  <c r="DC69" i="3" s="1"/>
  <c r="CW69" i="3"/>
  <c r="CV69" i="3"/>
  <c r="CC69" i="3"/>
  <c r="CB69" i="3"/>
  <c r="CA69" i="3"/>
  <c r="BZ69" i="3"/>
  <c r="BY69" i="3"/>
  <c r="BX69" i="3"/>
  <c r="BW69" i="3"/>
  <c r="BV69" i="3"/>
  <c r="BU69" i="3"/>
  <c r="BS69" i="3"/>
  <c r="CU69" i="3" s="1"/>
  <c r="X69" i="3"/>
  <c r="CE69" i="3" s="1"/>
  <c r="EA68" i="3"/>
  <c r="DV68" i="3"/>
  <c r="DU68" i="3"/>
  <c r="DS68" i="3"/>
  <c r="DR68" i="3"/>
  <c r="DP68" i="3"/>
  <c r="DH68" i="3"/>
  <c r="DI68" i="3" s="1"/>
  <c r="DF68" i="3"/>
  <c r="DE68" i="3"/>
  <c r="DD68" i="3"/>
  <c r="DB68" i="3"/>
  <c r="CW68" i="3"/>
  <c r="CV68" i="3"/>
  <c r="CC68" i="3"/>
  <c r="CB68" i="3"/>
  <c r="CA68" i="3"/>
  <c r="BZ68" i="3"/>
  <c r="BY68" i="3"/>
  <c r="BX68" i="3"/>
  <c r="BW68" i="3"/>
  <c r="BV68" i="3"/>
  <c r="CD68" i="3" s="1"/>
  <c r="EQ68" i="3" s="1"/>
  <c r="BU68" i="3"/>
  <c r="BS68" i="3"/>
  <c r="CU68" i="3" s="1"/>
  <c r="X68" i="3"/>
  <c r="DC68" i="3" s="1"/>
  <c r="EA67" i="3"/>
  <c r="DW67" i="3"/>
  <c r="DV67" i="3"/>
  <c r="DU67" i="3"/>
  <c r="DS67" i="3"/>
  <c r="DR67" i="3"/>
  <c r="DP67" i="3"/>
  <c r="DF67" i="3"/>
  <c r="DE67" i="3"/>
  <c r="DD67" i="3"/>
  <c r="DB67" i="3"/>
  <c r="CW67" i="3"/>
  <c r="CV67" i="3"/>
  <c r="CU67" i="3"/>
  <c r="CC67" i="3"/>
  <c r="CB67" i="3"/>
  <c r="CA67" i="3"/>
  <c r="BZ67" i="3"/>
  <c r="BY67" i="3"/>
  <c r="BX67" i="3"/>
  <c r="BW67" i="3"/>
  <c r="BV67" i="3"/>
  <c r="BU67" i="3"/>
  <c r="BS67" i="3"/>
  <c r="X67" i="3"/>
  <c r="DC67" i="3" s="1"/>
  <c r="EA66" i="3"/>
  <c r="DV66" i="3"/>
  <c r="DR66" i="3"/>
  <c r="DS66" i="3" s="1"/>
  <c r="DE66" i="3"/>
  <c r="DD66" i="3"/>
  <c r="CY66" i="3"/>
  <c r="CW66" i="3"/>
  <c r="CV66" i="3"/>
  <c r="CC66" i="3"/>
  <c r="CB66" i="3"/>
  <c r="CA66" i="3"/>
  <c r="BZ66" i="3"/>
  <c r="BY66" i="3"/>
  <c r="BX66" i="3"/>
  <c r="DU66" i="3" s="1"/>
  <c r="DW66" i="3" s="1"/>
  <c r="BW66" i="3"/>
  <c r="BV66" i="3"/>
  <c r="BU66" i="3"/>
  <c r="BS66" i="3"/>
  <c r="CU66" i="3" s="1"/>
  <c r="X66" i="3"/>
  <c r="CE66" i="3" s="1"/>
  <c r="EA65" i="3"/>
  <c r="DV65" i="3"/>
  <c r="DU65" i="3"/>
  <c r="DR65" i="3"/>
  <c r="DE65" i="3"/>
  <c r="CZ65" i="3"/>
  <c r="CW65" i="3"/>
  <c r="CV65" i="3"/>
  <c r="CC65" i="3"/>
  <c r="CB65" i="3"/>
  <c r="CA65" i="3"/>
  <c r="BZ65" i="3"/>
  <c r="BY65" i="3"/>
  <c r="BX65" i="3"/>
  <c r="DP65" i="3" s="1"/>
  <c r="DQ65" i="3" s="1"/>
  <c r="BW65" i="3"/>
  <c r="BV65" i="3"/>
  <c r="BU65" i="3"/>
  <c r="BS65" i="3"/>
  <c r="CU65" i="3" s="1"/>
  <c r="CX65" i="3" s="1"/>
  <c r="X65" i="3"/>
  <c r="CE65" i="3" s="1"/>
  <c r="EA64" i="3"/>
  <c r="DV64" i="3"/>
  <c r="DS64" i="3"/>
  <c r="DR64" i="3"/>
  <c r="DE64" i="3"/>
  <c r="DA64" i="3"/>
  <c r="CY64" i="3"/>
  <c r="CW64" i="3"/>
  <c r="CV64" i="3"/>
  <c r="CC64" i="3"/>
  <c r="CB64" i="3"/>
  <c r="CA64" i="3"/>
  <c r="BZ64" i="3"/>
  <c r="BY64" i="3"/>
  <c r="DD64" i="3" s="1"/>
  <c r="BX64" i="3"/>
  <c r="DU64" i="3" s="1"/>
  <c r="DW64" i="3" s="1"/>
  <c r="BW64" i="3"/>
  <c r="BV64" i="3"/>
  <c r="BU64" i="3"/>
  <c r="BS64" i="3"/>
  <c r="CU64" i="3" s="1"/>
  <c r="X64" i="3"/>
  <c r="CE64" i="3" s="1"/>
  <c r="EA63" i="3"/>
  <c r="DV63" i="3"/>
  <c r="DR63" i="3"/>
  <c r="DI63" i="3"/>
  <c r="DH63" i="3"/>
  <c r="DE63" i="3"/>
  <c r="DB63" i="3"/>
  <c r="DC63" i="3" s="1"/>
  <c r="CY63" i="3"/>
  <c r="CX63" i="3"/>
  <c r="CW63" i="3"/>
  <c r="CV63" i="3"/>
  <c r="DA63" i="3" s="1"/>
  <c r="CC63" i="3"/>
  <c r="CB63" i="3"/>
  <c r="CA63" i="3"/>
  <c r="BZ63" i="3"/>
  <c r="BY63" i="3"/>
  <c r="DS63" i="3" s="1"/>
  <c r="BX63" i="3"/>
  <c r="BW63" i="3"/>
  <c r="BV63" i="3"/>
  <c r="BU63" i="3"/>
  <c r="BS63" i="3"/>
  <c r="CU63" i="3" s="1"/>
  <c r="X63" i="3"/>
  <c r="CE63" i="3" s="1"/>
  <c r="EA62" i="3"/>
  <c r="DV62" i="3"/>
  <c r="DR62" i="3"/>
  <c r="DI62" i="3"/>
  <c r="DH62" i="3"/>
  <c r="DE62" i="3"/>
  <c r="CZ62" i="3"/>
  <c r="CY62" i="3"/>
  <c r="CW62" i="3"/>
  <c r="CV62" i="3"/>
  <c r="DA62" i="3" s="1"/>
  <c r="CC62" i="3"/>
  <c r="CB62" i="3"/>
  <c r="CA62" i="3"/>
  <c r="BZ62" i="3"/>
  <c r="BY62" i="3"/>
  <c r="BX62" i="3"/>
  <c r="BW62" i="3"/>
  <c r="BV62" i="3"/>
  <c r="BU62" i="3"/>
  <c r="CD62" i="3" s="1"/>
  <c r="BS62" i="3"/>
  <c r="CU62" i="3" s="1"/>
  <c r="CX62" i="3" s="1"/>
  <c r="X62" i="3"/>
  <c r="CE62" i="3" s="1"/>
  <c r="EA61" i="3"/>
  <c r="DW61" i="3"/>
  <c r="DV61" i="3"/>
  <c r="DU61" i="3"/>
  <c r="DR61" i="3"/>
  <c r="DQ61" i="3"/>
  <c r="DN61" i="3"/>
  <c r="DM61" i="3"/>
  <c r="DK61" i="3"/>
  <c r="DJ61" i="3"/>
  <c r="DO61" i="3" s="1"/>
  <c r="DI61" i="3"/>
  <c r="DL61" i="3" s="1"/>
  <c r="DH61" i="3"/>
  <c r="DE61" i="3"/>
  <c r="DF61" i="3" s="1"/>
  <c r="DD61" i="3"/>
  <c r="DB61" i="3"/>
  <c r="DC61" i="3" s="1"/>
  <c r="CZ61" i="3"/>
  <c r="CW61" i="3"/>
  <c r="CV61" i="3"/>
  <c r="CY61" i="3" s="1"/>
  <c r="DA61" i="3" s="1"/>
  <c r="DX61" i="3" s="1"/>
  <c r="DY61" i="3" s="1"/>
  <c r="CC61" i="3"/>
  <c r="CB61" i="3"/>
  <c r="CA61" i="3"/>
  <c r="BZ61" i="3"/>
  <c r="BY61" i="3"/>
  <c r="DS61" i="3" s="1"/>
  <c r="BX61" i="3"/>
  <c r="DP61" i="3" s="1"/>
  <c r="BW61" i="3"/>
  <c r="BV61" i="3"/>
  <c r="BU61" i="3"/>
  <c r="BS61" i="3"/>
  <c r="CU61" i="3" s="1"/>
  <c r="CX61" i="3" s="1"/>
  <c r="X61" i="3"/>
  <c r="CE61" i="3" s="1"/>
  <c r="ER60" i="3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V60" i="3"/>
  <c r="DR60" i="3"/>
  <c r="DP60" i="3"/>
  <c r="DE60" i="3"/>
  <c r="DB60" i="3"/>
  <c r="DC60" i="3" s="1"/>
  <c r="DA60" i="3"/>
  <c r="CY60" i="3"/>
  <c r="CW60" i="3"/>
  <c r="CV60" i="3"/>
  <c r="CQ60" i="3"/>
  <c r="CK60" i="3"/>
  <c r="CJ60" i="3"/>
  <c r="CI60" i="3"/>
  <c r="CH60" i="3"/>
  <c r="CG60" i="3"/>
  <c r="CC60" i="3"/>
  <c r="CB60" i="3"/>
  <c r="CA60" i="3"/>
  <c r="BZ60" i="3"/>
  <c r="BY60" i="3"/>
  <c r="BX60" i="3"/>
  <c r="DU60" i="3" s="1"/>
  <c r="BW60" i="3"/>
  <c r="BV60" i="3"/>
  <c r="BU60" i="3"/>
  <c r="BS60" i="3"/>
  <c r="CU60" i="3" s="1"/>
  <c r="X60" i="3"/>
  <c r="CE60" i="3" s="1"/>
  <c r="EA59" i="3"/>
  <c r="DV59" i="3"/>
  <c r="DR59" i="3"/>
  <c r="DE59" i="3"/>
  <c r="DA59" i="3"/>
  <c r="CW59" i="3"/>
  <c r="CV59" i="3"/>
  <c r="CC59" i="3"/>
  <c r="CB59" i="3"/>
  <c r="CA59" i="3"/>
  <c r="BZ59" i="3"/>
  <c r="BY59" i="3"/>
  <c r="BX59" i="3"/>
  <c r="BW59" i="3"/>
  <c r="BV59" i="3"/>
  <c r="BU59" i="3"/>
  <c r="BS59" i="3"/>
  <c r="CU59" i="3" s="1"/>
  <c r="CZ59" i="3" s="1"/>
  <c r="X59" i="3"/>
  <c r="CE59" i="3" s="1"/>
  <c r="EA58" i="3"/>
  <c r="DW58" i="3"/>
  <c r="DV58" i="3"/>
  <c r="DU58" i="3"/>
  <c r="DR58" i="3"/>
  <c r="DE58" i="3"/>
  <c r="DD58" i="3"/>
  <c r="DB58" i="3"/>
  <c r="DC58" i="3" s="1"/>
  <c r="CW58" i="3"/>
  <c r="CV58" i="3"/>
  <c r="CY58" i="3" s="1"/>
  <c r="DA58" i="3" s="1"/>
  <c r="CC58" i="3"/>
  <c r="CB58" i="3"/>
  <c r="CA58" i="3"/>
  <c r="BZ58" i="3"/>
  <c r="BY58" i="3"/>
  <c r="DS58" i="3" s="1"/>
  <c r="BX58" i="3"/>
  <c r="DP58" i="3" s="1"/>
  <c r="BW58" i="3"/>
  <c r="BV58" i="3"/>
  <c r="BU58" i="3"/>
  <c r="BS58" i="3"/>
  <c r="CU58" i="3" s="1"/>
  <c r="CX58" i="3" s="1"/>
  <c r="X58" i="3"/>
  <c r="CE58" i="3" s="1"/>
  <c r="EA57" i="3"/>
  <c r="DV57" i="3"/>
  <c r="DR57" i="3"/>
  <c r="DI57" i="3"/>
  <c r="DH57" i="3"/>
  <c r="DE57" i="3"/>
  <c r="DA57" i="3"/>
  <c r="CY57" i="3"/>
  <c r="CW57" i="3"/>
  <c r="CV57" i="3"/>
  <c r="CC57" i="3"/>
  <c r="CB57" i="3"/>
  <c r="CA57" i="3"/>
  <c r="BZ57" i="3"/>
  <c r="BY57" i="3"/>
  <c r="DS57" i="3" s="1"/>
  <c r="BX57" i="3"/>
  <c r="BW57" i="3"/>
  <c r="BV57" i="3"/>
  <c r="BU57" i="3"/>
  <c r="BS57" i="3"/>
  <c r="CU57" i="3" s="1"/>
  <c r="X57" i="3"/>
  <c r="CE57" i="3" s="1"/>
  <c r="EA56" i="3"/>
  <c r="DV56" i="3"/>
  <c r="DU56" i="3"/>
  <c r="DW56" i="3" s="1"/>
  <c r="DS56" i="3"/>
  <c r="DR56" i="3"/>
  <c r="DP56" i="3"/>
  <c r="DE56" i="3"/>
  <c r="DC56" i="3"/>
  <c r="DF56" i="3" s="1"/>
  <c r="DB56" i="3"/>
  <c r="CW56" i="3"/>
  <c r="CV56" i="3"/>
  <c r="CC56" i="3"/>
  <c r="CB56" i="3"/>
  <c r="CA56" i="3"/>
  <c r="BZ56" i="3"/>
  <c r="BY56" i="3"/>
  <c r="DD56" i="3" s="1"/>
  <c r="BX56" i="3"/>
  <c r="BW56" i="3"/>
  <c r="BV56" i="3"/>
  <c r="BU56" i="3"/>
  <c r="BS56" i="3"/>
  <c r="CU56" i="3" s="1"/>
  <c r="X56" i="3"/>
  <c r="CE56" i="3" s="1"/>
  <c r="EA55" i="3"/>
  <c r="DV55" i="3"/>
  <c r="DR55" i="3"/>
  <c r="DP55" i="3"/>
  <c r="DH55" i="3"/>
  <c r="DI55" i="3" s="1"/>
  <c r="DE55" i="3"/>
  <c r="DD55" i="3"/>
  <c r="DC55" i="3"/>
  <c r="DA55" i="3"/>
  <c r="CY55" i="3"/>
  <c r="CW55" i="3"/>
  <c r="CV55" i="3"/>
  <c r="CC55" i="3"/>
  <c r="CB55" i="3"/>
  <c r="CA55" i="3"/>
  <c r="BZ55" i="3"/>
  <c r="BY55" i="3"/>
  <c r="DS55" i="3" s="1"/>
  <c r="BX55" i="3"/>
  <c r="DB55" i="3" s="1"/>
  <c r="BW55" i="3"/>
  <c r="BV55" i="3"/>
  <c r="BU55" i="3"/>
  <c r="BS55" i="3"/>
  <c r="CU55" i="3" s="1"/>
  <c r="X55" i="3"/>
  <c r="EA54" i="3"/>
  <c r="DV54" i="3"/>
  <c r="DU54" i="3"/>
  <c r="DW54" i="3" s="1"/>
  <c r="DR54" i="3"/>
  <c r="DE54" i="3"/>
  <c r="DF54" i="3" s="1"/>
  <c r="DD54" i="3"/>
  <c r="DB54" i="3"/>
  <c r="DC54" i="3" s="1"/>
  <c r="CW54" i="3"/>
  <c r="CV54" i="3"/>
  <c r="CC54" i="3"/>
  <c r="CB54" i="3"/>
  <c r="CA54" i="3"/>
  <c r="BZ54" i="3"/>
  <c r="BY54" i="3"/>
  <c r="BX54" i="3"/>
  <c r="DP54" i="3" s="1"/>
  <c r="BW54" i="3"/>
  <c r="BV54" i="3"/>
  <c r="BU54" i="3"/>
  <c r="BS54" i="3"/>
  <c r="CU54" i="3" s="1"/>
  <c r="X54" i="3"/>
  <c r="CE54" i="3" s="1"/>
  <c r="EA53" i="3"/>
  <c r="DV53" i="3"/>
  <c r="DR53" i="3"/>
  <c r="DS53" i="3" s="1"/>
  <c r="DP53" i="3"/>
  <c r="DE53" i="3"/>
  <c r="DC53" i="3"/>
  <c r="DF53" i="3" s="1"/>
  <c r="CY53" i="3"/>
  <c r="CW53" i="3"/>
  <c r="DA53" i="3" s="1"/>
  <c r="CV53" i="3"/>
  <c r="CC53" i="3"/>
  <c r="CB53" i="3"/>
  <c r="CA53" i="3"/>
  <c r="BZ53" i="3"/>
  <c r="BY53" i="3"/>
  <c r="DD53" i="3" s="1"/>
  <c r="BX53" i="3"/>
  <c r="DB53" i="3" s="1"/>
  <c r="BW53" i="3"/>
  <c r="BV53" i="3"/>
  <c r="BU53" i="3"/>
  <c r="BS53" i="3"/>
  <c r="CU53" i="3" s="1"/>
  <c r="X53" i="3"/>
  <c r="CE53" i="3" s="1"/>
  <c r="EA52" i="3"/>
  <c r="DW52" i="3"/>
  <c r="DV52" i="3"/>
  <c r="DU52" i="3"/>
  <c r="DS52" i="3"/>
  <c r="DR52" i="3"/>
  <c r="DP52" i="3"/>
  <c r="DE52" i="3"/>
  <c r="DD52" i="3"/>
  <c r="DB52" i="3"/>
  <c r="CW52" i="3"/>
  <c r="CV52" i="3"/>
  <c r="CC52" i="3"/>
  <c r="CB52" i="3"/>
  <c r="CA52" i="3"/>
  <c r="BZ52" i="3"/>
  <c r="BY52" i="3"/>
  <c r="BX52" i="3"/>
  <c r="BW52" i="3"/>
  <c r="BV52" i="3"/>
  <c r="BU52" i="3"/>
  <c r="BS52" i="3"/>
  <c r="CU52" i="3" s="1"/>
  <c r="X52" i="3"/>
  <c r="DC52" i="3" s="1"/>
  <c r="DF52" i="3" s="1"/>
  <c r="EA51" i="3"/>
  <c r="DV51" i="3"/>
  <c r="DR51" i="3"/>
  <c r="DI51" i="3"/>
  <c r="DH51" i="3"/>
  <c r="DE51" i="3"/>
  <c r="DD51" i="3"/>
  <c r="CW51" i="3"/>
  <c r="CV51" i="3"/>
  <c r="CC51" i="3"/>
  <c r="CB51" i="3"/>
  <c r="CA51" i="3"/>
  <c r="BZ51" i="3"/>
  <c r="BY51" i="3"/>
  <c r="DS51" i="3" s="1"/>
  <c r="BX51" i="3"/>
  <c r="DU51" i="3" s="1"/>
  <c r="BW51" i="3"/>
  <c r="BV51" i="3"/>
  <c r="BU51" i="3"/>
  <c r="BS51" i="3"/>
  <c r="CU51" i="3" s="1"/>
  <c r="X51" i="3"/>
  <c r="EA50" i="3"/>
  <c r="DV50" i="3"/>
  <c r="DU50" i="3"/>
  <c r="DW50" i="3" s="1"/>
  <c r="DR50" i="3"/>
  <c r="DP50" i="3"/>
  <c r="DE50" i="3"/>
  <c r="DB50" i="3"/>
  <c r="CZ50" i="3"/>
  <c r="CW50" i="3"/>
  <c r="CV50" i="3"/>
  <c r="CC50" i="3"/>
  <c r="CB50" i="3"/>
  <c r="CA50" i="3"/>
  <c r="BZ50" i="3"/>
  <c r="BY50" i="3"/>
  <c r="DD50" i="3" s="1"/>
  <c r="DF50" i="3" s="1"/>
  <c r="BX50" i="3"/>
  <c r="BW50" i="3"/>
  <c r="BV50" i="3"/>
  <c r="BU50" i="3"/>
  <c r="BS50" i="3"/>
  <c r="CU50" i="3" s="1"/>
  <c r="CX50" i="3" s="1"/>
  <c r="X50" i="3"/>
  <c r="DC50" i="3" s="1"/>
  <c r="EA49" i="3"/>
  <c r="DW49" i="3"/>
  <c r="DV49" i="3"/>
  <c r="DS49" i="3"/>
  <c r="DR49" i="3"/>
  <c r="DE49" i="3"/>
  <c r="DD49" i="3"/>
  <c r="DA49" i="3"/>
  <c r="CY49" i="3"/>
  <c r="CW49" i="3"/>
  <c r="CV49" i="3"/>
  <c r="CU49" i="3"/>
  <c r="CC49" i="3"/>
  <c r="CB49" i="3"/>
  <c r="CA49" i="3"/>
  <c r="BZ49" i="3"/>
  <c r="BY49" i="3"/>
  <c r="BX49" i="3"/>
  <c r="DU49" i="3" s="1"/>
  <c r="BW49" i="3"/>
  <c r="BV49" i="3"/>
  <c r="BU49" i="3"/>
  <c r="BS49" i="3"/>
  <c r="X49" i="3"/>
  <c r="EA48" i="3"/>
  <c r="DV48" i="3"/>
  <c r="DU48" i="3"/>
  <c r="DW48" i="3" s="1"/>
  <c r="DR48" i="3"/>
  <c r="DI48" i="3"/>
  <c r="DH48" i="3"/>
  <c r="DE48" i="3"/>
  <c r="DB48" i="3"/>
  <c r="DC48" i="3" s="1"/>
  <c r="CY48" i="3"/>
  <c r="CX48" i="3"/>
  <c r="CW48" i="3"/>
  <c r="CV48" i="3"/>
  <c r="CC48" i="3"/>
  <c r="CB48" i="3"/>
  <c r="CA48" i="3"/>
  <c r="BZ48" i="3"/>
  <c r="BY48" i="3"/>
  <c r="DS48" i="3" s="1"/>
  <c r="BX48" i="3"/>
  <c r="DP48" i="3" s="1"/>
  <c r="BW48" i="3"/>
  <c r="BV48" i="3"/>
  <c r="BU48" i="3"/>
  <c r="BS48" i="3"/>
  <c r="CU48" i="3" s="1"/>
  <c r="X48" i="3"/>
  <c r="CE48" i="3" s="1"/>
  <c r="EA47" i="3"/>
  <c r="DV47" i="3"/>
  <c r="DR47" i="3"/>
  <c r="DM47" i="3"/>
  <c r="DL47" i="3"/>
  <c r="DJ47" i="3"/>
  <c r="DI47" i="3"/>
  <c r="DK47" i="3" s="1"/>
  <c r="DH47" i="3"/>
  <c r="DE47" i="3"/>
  <c r="CY47" i="3"/>
  <c r="CW47" i="3"/>
  <c r="CV47" i="3"/>
  <c r="CC47" i="3"/>
  <c r="CB47" i="3"/>
  <c r="CA47" i="3"/>
  <c r="BZ47" i="3"/>
  <c r="BY47" i="3"/>
  <c r="BX47" i="3"/>
  <c r="BW47" i="3"/>
  <c r="BV47" i="3"/>
  <c r="BU47" i="3"/>
  <c r="BS47" i="3"/>
  <c r="CU47" i="3" s="1"/>
  <c r="CX47" i="3" s="1"/>
  <c r="X47" i="3"/>
  <c r="CE47" i="3" s="1"/>
  <c r="EA46" i="3"/>
  <c r="DW46" i="3"/>
  <c r="DV46" i="3"/>
  <c r="DU46" i="3"/>
  <c r="DR46" i="3"/>
  <c r="DQ46" i="3"/>
  <c r="DE46" i="3"/>
  <c r="DD46" i="3"/>
  <c r="DB46" i="3"/>
  <c r="DC46" i="3" s="1"/>
  <c r="DA46" i="3"/>
  <c r="CW46" i="3"/>
  <c r="CV46" i="3"/>
  <c r="CY46" i="3" s="1"/>
  <c r="CC46" i="3"/>
  <c r="CB46" i="3"/>
  <c r="CA46" i="3"/>
  <c r="BZ46" i="3"/>
  <c r="BY46" i="3"/>
  <c r="DS46" i="3" s="1"/>
  <c r="DT46" i="3" s="1"/>
  <c r="BX46" i="3"/>
  <c r="DP46" i="3" s="1"/>
  <c r="BW46" i="3"/>
  <c r="BV46" i="3"/>
  <c r="BU46" i="3"/>
  <c r="BS46" i="3"/>
  <c r="CU46" i="3" s="1"/>
  <c r="CX46" i="3" s="1"/>
  <c r="CZ46" i="3" s="1"/>
  <c r="X46" i="3"/>
  <c r="CE46" i="3" s="1"/>
  <c r="EQ45" i="3"/>
  <c r="EE45" i="3"/>
  <c r="EA45" i="3"/>
  <c r="DV45" i="3"/>
  <c r="DR45" i="3"/>
  <c r="DL45" i="3"/>
  <c r="DK45" i="3"/>
  <c r="DI45" i="3"/>
  <c r="DM45" i="3" s="1"/>
  <c r="DH45" i="3"/>
  <c r="DE45" i="3"/>
  <c r="DB45" i="3"/>
  <c r="DC45" i="3" s="1"/>
  <c r="DA45" i="3"/>
  <c r="CY45" i="3"/>
  <c r="CW45" i="3"/>
  <c r="CV45" i="3"/>
  <c r="CD45" i="3"/>
  <c r="EK45" i="3" s="1"/>
  <c r="CC45" i="3"/>
  <c r="CB45" i="3"/>
  <c r="CA45" i="3"/>
  <c r="BZ45" i="3"/>
  <c r="BY45" i="3"/>
  <c r="DS45" i="3" s="1"/>
  <c r="DT45" i="3" s="1"/>
  <c r="BX45" i="3"/>
  <c r="BW45" i="3"/>
  <c r="BV45" i="3"/>
  <c r="BU45" i="3"/>
  <c r="BS45" i="3"/>
  <c r="CU45" i="3" s="1"/>
  <c r="X45" i="3"/>
  <c r="CE45" i="3" s="1"/>
  <c r="EA44" i="3"/>
  <c r="DV44" i="3"/>
  <c r="DS44" i="3"/>
  <c r="DT44" i="3" s="1"/>
  <c r="DR44" i="3"/>
  <c r="DP44" i="3"/>
  <c r="DQ44" i="3" s="1"/>
  <c r="DO44" i="3"/>
  <c r="DM44" i="3"/>
  <c r="DL44" i="3"/>
  <c r="DJ44" i="3"/>
  <c r="DN44" i="3" s="1"/>
  <c r="DI44" i="3"/>
  <c r="DK44" i="3" s="1"/>
  <c r="DH44" i="3"/>
  <c r="DE44" i="3"/>
  <c r="DC44" i="3"/>
  <c r="DF44" i="3" s="1"/>
  <c r="DB44" i="3"/>
  <c r="CZ44" i="3"/>
  <c r="CY44" i="3"/>
  <c r="CW44" i="3"/>
  <c r="CV44" i="3"/>
  <c r="DA44" i="3" s="1"/>
  <c r="DX44" i="3" s="1"/>
  <c r="DY44" i="3" s="1"/>
  <c r="CE44" i="3"/>
  <c r="CC44" i="3"/>
  <c r="CB44" i="3"/>
  <c r="CA44" i="3"/>
  <c r="BZ44" i="3"/>
  <c r="BY44" i="3"/>
  <c r="DD44" i="3" s="1"/>
  <c r="BX44" i="3"/>
  <c r="DU44" i="3" s="1"/>
  <c r="DW44" i="3" s="1"/>
  <c r="BW44" i="3"/>
  <c r="BV44" i="3"/>
  <c r="BU44" i="3"/>
  <c r="BS44" i="3"/>
  <c r="CU44" i="3" s="1"/>
  <c r="CX44" i="3" s="1"/>
  <c r="X44" i="3"/>
  <c r="EA43" i="3"/>
  <c r="DV43" i="3"/>
  <c r="DT43" i="3"/>
  <c r="DR43" i="3"/>
  <c r="DP43" i="3"/>
  <c r="DQ43" i="3" s="1"/>
  <c r="DE43" i="3"/>
  <c r="DD43" i="3"/>
  <c r="DA43" i="3"/>
  <c r="CY43" i="3"/>
  <c r="CW43" i="3"/>
  <c r="CV43" i="3"/>
  <c r="CC43" i="3"/>
  <c r="CB43" i="3"/>
  <c r="CA43" i="3"/>
  <c r="BZ43" i="3"/>
  <c r="BY43" i="3"/>
  <c r="DS43" i="3" s="1"/>
  <c r="BX43" i="3"/>
  <c r="DB43" i="3" s="1"/>
  <c r="DC43" i="3" s="1"/>
  <c r="BW43" i="3"/>
  <c r="BV43" i="3"/>
  <c r="BU43" i="3"/>
  <c r="BS43" i="3"/>
  <c r="CU43" i="3" s="1"/>
  <c r="X43" i="3"/>
  <c r="CE43" i="3" s="1"/>
  <c r="EA42" i="3"/>
  <c r="DV42" i="3"/>
  <c r="DU42" i="3"/>
  <c r="DW42" i="3" s="1"/>
  <c r="DR42" i="3"/>
  <c r="DI42" i="3"/>
  <c r="DH42" i="3"/>
  <c r="DE42" i="3"/>
  <c r="DD42" i="3"/>
  <c r="DB42" i="3"/>
  <c r="DC42" i="3" s="1"/>
  <c r="CW42" i="3"/>
  <c r="CV42" i="3"/>
  <c r="CC42" i="3"/>
  <c r="CD42" i="3" s="1"/>
  <c r="CB42" i="3"/>
  <c r="CA42" i="3"/>
  <c r="BZ42" i="3"/>
  <c r="BY42" i="3"/>
  <c r="DS42" i="3" s="1"/>
  <c r="DT42" i="3" s="1"/>
  <c r="BX42" i="3"/>
  <c r="DP42" i="3" s="1"/>
  <c r="DQ42" i="3" s="1"/>
  <c r="BW42" i="3"/>
  <c r="BV42" i="3"/>
  <c r="BU42" i="3"/>
  <c r="BS42" i="3"/>
  <c r="CU42" i="3" s="1"/>
  <c r="X42" i="3"/>
  <c r="CE42" i="3" s="1"/>
  <c r="EA41" i="3"/>
  <c r="DV41" i="3"/>
  <c r="DR41" i="3"/>
  <c r="DS41" i="3" s="1"/>
  <c r="DP41" i="3"/>
  <c r="DE41" i="3"/>
  <c r="DB41" i="3"/>
  <c r="CY41" i="3"/>
  <c r="CW41" i="3"/>
  <c r="DA41" i="3" s="1"/>
  <c r="CV41" i="3"/>
  <c r="CC41" i="3"/>
  <c r="CB41" i="3"/>
  <c r="CA41" i="3"/>
  <c r="BZ41" i="3"/>
  <c r="BY41" i="3"/>
  <c r="DD41" i="3" s="1"/>
  <c r="BX41" i="3"/>
  <c r="DU41" i="3" s="1"/>
  <c r="DW41" i="3" s="1"/>
  <c r="BW41" i="3"/>
  <c r="BV41" i="3"/>
  <c r="BU41" i="3"/>
  <c r="BS41" i="3"/>
  <c r="CU41" i="3" s="1"/>
  <c r="X41" i="3"/>
  <c r="CE41" i="3" s="1"/>
  <c r="EA40" i="3"/>
  <c r="DW40" i="3"/>
  <c r="DV40" i="3"/>
  <c r="DU40" i="3"/>
  <c r="DS40" i="3"/>
  <c r="DR40" i="3"/>
  <c r="DP40" i="3"/>
  <c r="DF40" i="3"/>
  <c r="DE40" i="3"/>
  <c r="DD40" i="3"/>
  <c r="DB40" i="3"/>
  <c r="CW40" i="3"/>
  <c r="CV40" i="3"/>
  <c r="CU40" i="3"/>
  <c r="CE40" i="3"/>
  <c r="CC40" i="3"/>
  <c r="CB40" i="3"/>
  <c r="CA40" i="3"/>
  <c r="BZ40" i="3"/>
  <c r="BY40" i="3"/>
  <c r="BX40" i="3"/>
  <c r="BW40" i="3"/>
  <c r="BV40" i="3"/>
  <c r="BU40" i="3"/>
  <c r="BS40" i="3"/>
  <c r="X40" i="3"/>
  <c r="DC40" i="3" s="1"/>
  <c r="EA39" i="3"/>
  <c r="DV39" i="3"/>
  <c r="DT39" i="3"/>
  <c r="DS39" i="3"/>
  <c r="DR39" i="3"/>
  <c r="DL39" i="3"/>
  <c r="DI39" i="3"/>
  <c r="DH39" i="3"/>
  <c r="DE39" i="3"/>
  <c r="DD39" i="3"/>
  <c r="CW39" i="3"/>
  <c r="CV39" i="3"/>
  <c r="CU39" i="3"/>
  <c r="CC39" i="3"/>
  <c r="CB39" i="3"/>
  <c r="CA39" i="3"/>
  <c r="BZ39" i="3"/>
  <c r="BY39" i="3"/>
  <c r="BX39" i="3"/>
  <c r="BW39" i="3"/>
  <c r="BV39" i="3"/>
  <c r="BU39" i="3"/>
  <c r="CD39" i="3" s="1"/>
  <c r="BS39" i="3"/>
  <c r="X39" i="3"/>
  <c r="CE39" i="3" s="1"/>
  <c r="EA38" i="3"/>
  <c r="DV38" i="3"/>
  <c r="DU38" i="3"/>
  <c r="DR38" i="3"/>
  <c r="DP38" i="3"/>
  <c r="DI38" i="3"/>
  <c r="DH38" i="3"/>
  <c r="DE38" i="3"/>
  <c r="DB38" i="3"/>
  <c r="CZ38" i="3"/>
  <c r="CW38" i="3"/>
  <c r="CV38" i="3"/>
  <c r="CC38" i="3"/>
  <c r="CB38" i="3"/>
  <c r="CA38" i="3"/>
  <c r="BZ38" i="3"/>
  <c r="BY38" i="3"/>
  <c r="DD38" i="3" s="1"/>
  <c r="BX38" i="3"/>
  <c r="BW38" i="3"/>
  <c r="BV38" i="3"/>
  <c r="BU38" i="3"/>
  <c r="CD38" i="3" s="1"/>
  <c r="BS38" i="3"/>
  <c r="CU38" i="3" s="1"/>
  <c r="CX38" i="3" s="1"/>
  <c r="X38" i="3"/>
  <c r="DC38" i="3" s="1"/>
  <c r="DF38" i="3" s="1"/>
  <c r="EA37" i="3"/>
  <c r="DW37" i="3"/>
  <c r="DV37" i="3"/>
  <c r="DS37" i="3"/>
  <c r="DR37" i="3"/>
  <c r="DE37" i="3"/>
  <c r="DD37" i="3"/>
  <c r="DA37" i="3"/>
  <c r="CY37" i="3"/>
  <c r="CW37" i="3"/>
  <c r="CV37" i="3"/>
  <c r="CU37" i="3"/>
  <c r="CC37" i="3"/>
  <c r="CB37" i="3"/>
  <c r="CA37" i="3"/>
  <c r="BZ37" i="3"/>
  <c r="BY37" i="3"/>
  <c r="BX37" i="3"/>
  <c r="DU37" i="3" s="1"/>
  <c r="BW37" i="3"/>
  <c r="BV37" i="3"/>
  <c r="BU37" i="3"/>
  <c r="BS37" i="3"/>
  <c r="X37" i="3"/>
  <c r="EA36" i="3"/>
  <c r="DV36" i="3"/>
  <c r="DU36" i="3"/>
  <c r="DW36" i="3" s="1"/>
  <c r="DR36" i="3"/>
  <c r="DI36" i="3"/>
  <c r="DH36" i="3"/>
  <c r="DE36" i="3"/>
  <c r="DB36" i="3"/>
  <c r="DC36" i="3" s="1"/>
  <c r="CY36" i="3"/>
  <c r="CX36" i="3"/>
  <c r="CW36" i="3"/>
  <c r="CV36" i="3"/>
  <c r="CC36" i="3"/>
  <c r="CB36" i="3"/>
  <c r="CA36" i="3"/>
  <c r="BZ36" i="3"/>
  <c r="BY36" i="3"/>
  <c r="DS36" i="3" s="1"/>
  <c r="BX36" i="3"/>
  <c r="DP36" i="3" s="1"/>
  <c r="BW36" i="3"/>
  <c r="BV36" i="3"/>
  <c r="BU36" i="3"/>
  <c r="BS36" i="3"/>
  <c r="CU36" i="3" s="1"/>
  <c r="X36" i="3"/>
  <c r="CE36" i="3" s="1"/>
  <c r="EA35" i="3"/>
  <c r="DV35" i="3"/>
  <c r="DR35" i="3"/>
  <c r="DE35" i="3"/>
  <c r="CY35" i="3"/>
  <c r="CW35" i="3"/>
  <c r="CV35" i="3"/>
  <c r="DA35" i="3" s="1"/>
  <c r="CC35" i="3"/>
  <c r="CB35" i="3"/>
  <c r="CA35" i="3"/>
  <c r="BZ35" i="3"/>
  <c r="BY35" i="3"/>
  <c r="BX35" i="3"/>
  <c r="BW35" i="3"/>
  <c r="BV35" i="3"/>
  <c r="BU35" i="3"/>
  <c r="BS35" i="3"/>
  <c r="CU35" i="3" s="1"/>
  <c r="CX35" i="3" s="1"/>
  <c r="X35" i="3"/>
  <c r="CE35" i="3" s="1"/>
  <c r="EA34" i="3"/>
  <c r="DW34" i="3"/>
  <c r="DV34" i="3"/>
  <c r="DU34" i="3"/>
  <c r="DR34" i="3"/>
  <c r="DE34" i="3"/>
  <c r="DD34" i="3"/>
  <c r="DB34" i="3"/>
  <c r="DC34" i="3" s="1"/>
  <c r="DA34" i="3"/>
  <c r="CX34" i="3"/>
  <c r="CW34" i="3"/>
  <c r="CV34" i="3"/>
  <c r="CY34" i="3" s="1"/>
  <c r="CC34" i="3"/>
  <c r="CB34" i="3"/>
  <c r="CA34" i="3"/>
  <c r="BZ34" i="3"/>
  <c r="BY34" i="3"/>
  <c r="DS34" i="3" s="1"/>
  <c r="BX34" i="3"/>
  <c r="DP34" i="3" s="1"/>
  <c r="BW34" i="3"/>
  <c r="BV34" i="3"/>
  <c r="BU34" i="3"/>
  <c r="BS34" i="3"/>
  <c r="CU34" i="3" s="1"/>
  <c r="CZ34" i="3" s="1"/>
  <c r="X34" i="3"/>
  <c r="CE34" i="3" s="1"/>
  <c r="EA33" i="3"/>
  <c r="EN33" i="3" s="1"/>
  <c r="DV33" i="3"/>
  <c r="DR33" i="3"/>
  <c r="DI33" i="3"/>
  <c r="DH33" i="3"/>
  <c r="DE33" i="3"/>
  <c r="DB33" i="3"/>
  <c r="DC33" i="3" s="1"/>
  <c r="CY33" i="3"/>
  <c r="DA33" i="3" s="1"/>
  <c r="CW33" i="3"/>
  <c r="CV33" i="3"/>
  <c r="CD33" i="3"/>
  <c r="CC33" i="3"/>
  <c r="CB33" i="3"/>
  <c r="CA33" i="3"/>
  <c r="BZ33" i="3"/>
  <c r="BY33" i="3"/>
  <c r="DS33" i="3" s="1"/>
  <c r="BX33" i="3"/>
  <c r="BW33" i="3"/>
  <c r="BV33" i="3"/>
  <c r="BU33" i="3"/>
  <c r="BS33" i="3"/>
  <c r="CU33" i="3" s="1"/>
  <c r="X33" i="3"/>
  <c r="CE33" i="3" s="1"/>
  <c r="EA32" i="3"/>
  <c r="DV32" i="3"/>
  <c r="DS32" i="3"/>
  <c r="DR32" i="3"/>
  <c r="DP32" i="3"/>
  <c r="DI32" i="3"/>
  <c r="DH32" i="3"/>
  <c r="DE32" i="3"/>
  <c r="DB32" i="3"/>
  <c r="CW32" i="3"/>
  <c r="CV32" i="3"/>
  <c r="CC32" i="3"/>
  <c r="CB32" i="3"/>
  <c r="CA32" i="3"/>
  <c r="BZ32" i="3"/>
  <c r="BY32" i="3"/>
  <c r="DD32" i="3" s="1"/>
  <c r="BX32" i="3"/>
  <c r="DU32" i="3" s="1"/>
  <c r="DW32" i="3" s="1"/>
  <c r="BW32" i="3"/>
  <c r="BV32" i="3"/>
  <c r="BU32" i="3"/>
  <c r="CD32" i="3" s="1"/>
  <c r="EN32" i="3" s="1"/>
  <c r="BS32" i="3"/>
  <c r="CU32" i="3" s="1"/>
  <c r="CX32" i="3" s="1"/>
  <c r="X32" i="3"/>
  <c r="DC32" i="3" s="1"/>
  <c r="DF32" i="3" s="1"/>
  <c r="EA31" i="3"/>
  <c r="DV31" i="3"/>
  <c r="DR31" i="3"/>
  <c r="DP31" i="3"/>
  <c r="DQ31" i="3" s="1"/>
  <c r="DE31" i="3"/>
  <c r="DD31" i="3"/>
  <c r="DA31" i="3"/>
  <c r="CY31" i="3"/>
  <c r="CW31" i="3"/>
  <c r="CV31" i="3"/>
  <c r="CU31" i="3"/>
  <c r="CC31" i="3"/>
  <c r="CB31" i="3"/>
  <c r="CA31" i="3"/>
  <c r="BZ31" i="3"/>
  <c r="BY31" i="3"/>
  <c r="DS31" i="3" s="1"/>
  <c r="BX31" i="3"/>
  <c r="DB31" i="3" s="1"/>
  <c r="DC31" i="3" s="1"/>
  <c r="BW31" i="3"/>
  <c r="BV31" i="3"/>
  <c r="BU31" i="3"/>
  <c r="BS31" i="3"/>
  <c r="X31" i="3"/>
  <c r="EA30" i="3"/>
  <c r="DV30" i="3"/>
  <c r="DU30" i="3"/>
  <c r="DR30" i="3"/>
  <c r="DS30" i="3" s="1"/>
  <c r="DE30" i="3"/>
  <c r="DF30" i="3" s="1"/>
  <c r="DD30" i="3"/>
  <c r="DB30" i="3"/>
  <c r="DC30" i="3" s="1"/>
  <c r="CW30" i="3"/>
  <c r="CV30" i="3"/>
  <c r="CC30" i="3"/>
  <c r="CB30" i="3"/>
  <c r="CA30" i="3"/>
  <c r="BZ30" i="3"/>
  <c r="BY30" i="3"/>
  <c r="BX30" i="3"/>
  <c r="DP30" i="3" s="1"/>
  <c r="BW30" i="3"/>
  <c r="BV30" i="3"/>
  <c r="BU30" i="3"/>
  <c r="BS30" i="3"/>
  <c r="CU30" i="3" s="1"/>
  <c r="X30" i="3"/>
  <c r="CE30" i="3" s="1"/>
  <c r="EA29" i="3"/>
  <c r="DV29" i="3"/>
  <c r="DS29" i="3"/>
  <c r="DR29" i="3"/>
  <c r="DP29" i="3"/>
  <c r="DE29" i="3"/>
  <c r="CY29" i="3"/>
  <c r="CW29" i="3"/>
  <c r="DA29" i="3" s="1"/>
  <c r="CV29" i="3"/>
  <c r="CC29" i="3"/>
  <c r="CB29" i="3"/>
  <c r="CA29" i="3"/>
  <c r="BZ29" i="3"/>
  <c r="BY29" i="3"/>
  <c r="DD29" i="3" s="1"/>
  <c r="BX29" i="3"/>
  <c r="DB29" i="3" s="1"/>
  <c r="BW29" i="3"/>
  <c r="BV29" i="3"/>
  <c r="BU29" i="3"/>
  <c r="BS29" i="3"/>
  <c r="CU29" i="3" s="1"/>
  <c r="X29" i="3"/>
  <c r="DC29" i="3" s="1"/>
  <c r="DF29" i="3" s="1"/>
  <c r="EA28" i="3"/>
  <c r="DW28" i="3"/>
  <c r="DV28" i="3"/>
  <c r="DU28" i="3"/>
  <c r="DS28" i="3"/>
  <c r="DR28" i="3"/>
  <c r="DP28" i="3"/>
  <c r="DH28" i="3"/>
  <c r="DI28" i="3" s="1"/>
  <c r="DE28" i="3"/>
  <c r="DD28" i="3"/>
  <c r="DB28" i="3"/>
  <c r="CW28" i="3"/>
  <c r="CV28" i="3"/>
  <c r="CE28" i="3"/>
  <c r="CC28" i="3"/>
  <c r="CB28" i="3"/>
  <c r="CA28" i="3"/>
  <c r="BZ28" i="3"/>
  <c r="BY28" i="3"/>
  <c r="BX28" i="3"/>
  <c r="BW28" i="3"/>
  <c r="BV28" i="3"/>
  <c r="BU28" i="3"/>
  <c r="BS28" i="3"/>
  <c r="CU28" i="3" s="1"/>
  <c r="X28" i="3"/>
  <c r="DC28" i="3" s="1"/>
  <c r="DF28" i="3" s="1"/>
  <c r="EA27" i="3"/>
  <c r="DV27" i="3"/>
  <c r="DR27" i="3"/>
  <c r="DS27" i="3" s="1"/>
  <c r="DE27" i="3"/>
  <c r="DD27" i="3"/>
  <c r="CY27" i="3"/>
  <c r="CW27" i="3"/>
  <c r="CV27" i="3"/>
  <c r="CC27" i="3"/>
  <c r="CB27" i="3"/>
  <c r="CA27" i="3"/>
  <c r="BZ27" i="3"/>
  <c r="BY27" i="3"/>
  <c r="BX27" i="3"/>
  <c r="BW27" i="3"/>
  <c r="BV27" i="3"/>
  <c r="BU27" i="3"/>
  <c r="BS27" i="3"/>
  <c r="CU27" i="3" s="1"/>
  <c r="X27" i="3"/>
  <c r="EA26" i="3"/>
  <c r="DV26" i="3"/>
  <c r="DU26" i="3"/>
  <c r="DR26" i="3"/>
  <c r="DP26" i="3"/>
  <c r="DE26" i="3"/>
  <c r="DB26" i="3"/>
  <c r="DC26" i="3" s="1"/>
  <c r="DF26" i="3" s="1"/>
  <c r="CZ26" i="3"/>
  <c r="CX26" i="3"/>
  <c r="CW26" i="3"/>
  <c r="CV26" i="3"/>
  <c r="CE26" i="3"/>
  <c r="CC26" i="3"/>
  <c r="CB26" i="3"/>
  <c r="CA26" i="3"/>
  <c r="BZ26" i="3"/>
  <c r="BY26" i="3"/>
  <c r="DD26" i="3" s="1"/>
  <c r="BX26" i="3"/>
  <c r="BW26" i="3"/>
  <c r="BV26" i="3"/>
  <c r="BU26" i="3"/>
  <c r="BS26" i="3"/>
  <c r="CU26" i="3" s="1"/>
  <c r="X26" i="3"/>
  <c r="EA25" i="3"/>
  <c r="DV25" i="3"/>
  <c r="DS25" i="3"/>
  <c r="DR25" i="3"/>
  <c r="DH25" i="3"/>
  <c r="DI25" i="3" s="1"/>
  <c r="DE25" i="3"/>
  <c r="DD25" i="3"/>
  <c r="CY25" i="3"/>
  <c r="CW25" i="3"/>
  <c r="DA25" i="3" s="1"/>
  <c r="CV25" i="3"/>
  <c r="CC25" i="3"/>
  <c r="CB25" i="3"/>
  <c r="CA25" i="3"/>
  <c r="BZ25" i="3"/>
  <c r="BY25" i="3"/>
  <c r="BX25" i="3"/>
  <c r="BW25" i="3"/>
  <c r="BV25" i="3"/>
  <c r="BU25" i="3"/>
  <c r="CD25" i="3" s="1"/>
  <c r="BS25" i="3"/>
  <c r="CU25" i="3" s="1"/>
  <c r="X25" i="3"/>
  <c r="EA24" i="3"/>
  <c r="DW24" i="3"/>
  <c r="DV24" i="3"/>
  <c r="DU24" i="3"/>
  <c r="DR24" i="3"/>
  <c r="DE24" i="3"/>
  <c r="DB24" i="3"/>
  <c r="DC24" i="3" s="1"/>
  <c r="CY24" i="3"/>
  <c r="CW24" i="3"/>
  <c r="CV24" i="3"/>
  <c r="CC24" i="3"/>
  <c r="CB24" i="3"/>
  <c r="CA24" i="3"/>
  <c r="BZ24" i="3"/>
  <c r="BY24" i="3"/>
  <c r="BX24" i="3"/>
  <c r="DP24" i="3" s="1"/>
  <c r="BW24" i="3"/>
  <c r="BV24" i="3"/>
  <c r="BU24" i="3"/>
  <c r="BS24" i="3"/>
  <c r="CU24" i="3" s="1"/>
  <c r="X24" i="3"/>
  <c r="CE24" i="3" s="1"/>
  <c r="EA23" i="3"/>
  <c r="DV23" i="3"/>
  <c r="DU23" i="3"/>
  <c r="DW23" i="3" s="1"/>
  <c r="DR23" i="3"/>
  <c r="DE23" i="3"/>
  <c r="CY23" i="3"/>
  <c r="CW23" i="3"/>
  <c r="CZ23" i="3" s="1"/>
  <c r="CV23" i="3"/>
  <c r="DA23" i="3" s="1"/>
  <c r="CC23" i="3"/>
  <c r="CB23" i="3"/>
  <c r="CA23" i="3"/>
  <c r="BZ23" i="3"/>
  <c r="BY23" i="3"/>
  <c r="BX23" i="3"/>
  <c r="DB23" i="3" s="1"/>
  <c r="DC23" i="3" s="1"/>
  <c r="BW23" i="3"/>
  <c r="BV23" i="3"/>
  <c r="BU23" i="3"/>
  <c r="BS23" i="3"/>
  <c r="CU23" i="3" s="1"/>
  <c r="CX23" i="3" s="1"/>
  <c r="X23" i="3"/>
  <c r="CE23" i="3" s="1"/>
  <c r="EJ22" i="3"/>
  <c r="EA22" i="3"/>
  <c r="DV22" i="3"/>
  <c r="DU22" i="3"/>
  <c r="DW22" i="3" s="1"/>
  <c r="DR22" i="3"/>
  <c r="DI22" i="3"/>
  <c r="DH22" i="3"/>
  <c r="DE22" i="3"/>
  <c r="DD22" i="3"/>
  <c r="DB22" i="3"/>
  <c r="DC22" i="3" s="1"/>
  <c r="DF22" i="3" s="1"/>
  <c r="DA22" i="3"/>
  <c r="DX22" i="3" s="1"/>
  <c r="CW22" i="3"/>
  <c r="CV22" i="3"/>
  <c r="CY22" i="3" s="1"/>
  <c r="CU22" i="3"/>
  <c r="CC22" i="3"/>
  <c r="CB22" i="3"/>
  <c r="CA22" i="3"/>
  <c r="BZ22" i="3"/>
  <c r="BY22" i="3"/>
  <c r="DS22" i="3" s="1"/>
  <c r="BX22" i="3"/>
  <c r="DP22" i="3" s="1"/>
  <c r="BW22" i="3"/>
  <c r="BV22" i="3"/>
  <c r="BU22" i="3"/>
  <c r="CD22" i="3" s="1"/>
  <c r="CI22" i="3" s="1"/>
  <c r="BS22" i="3"/>
  <c r="CE22" i="3" s="1"/>
  <c r="X22" i="3"/>
  <c r="EA21" i="3"/>
  <c r="DW21" i="3"/>
  <c r="DV21" i="3"/>
  <c r="DU21" i="3"/>
  <c r="DR21" i="3"/>
  <c r="DE21" i="3"/>
  <c r="CX21" i="3"/>
  <c r="CW21" i="3"/>
  <c r="CV21" i="3"/>
  <c r="CU21" i="3"/>
  <c r="CC21" i="3"/>
  <c r="CB21" i="3"/>
  <c r="CA21" i="3"/>
  <c r="BZ21" i="3"/>
  <c r="BY21" i="3"/>
  <c r="DS21" i="3" s="1"/>
  <c r="BX21" i="3"/>
  <c r="DB21" i="3" s="1"/>
  <c r="DC21" i="3" s="1"/>
  <c r="BW21" i="3"/>
  <c r="BV21" i="3"/>
  <c r="BU21" i="3"/>
  <c r="BS21" i="3"/>
  <c r="X21" i="3"/>
  <c r="CE21" i="3" s="1"/>
  <c r="EA20" i="3"/>
  <c r="DV20" i="3"/>
  <c r="DR20" i="3"/>
  <c r="DE20" i="3"/>
  <c r="CY20" i="3"/>
  <c r="CX20" i="3"/>
  <c r="CW20" i="3"/>
  <c r="CV20" i="3"/>
  <c r="CE20" i="3"/>
  <c r="CC20" i="3"/>
  <c r="CB20" i="3"/>
  <c r="CA20" i="3"/>
  <c r="BZ20" i="3"/>
  <c r="BY20" i="3"/>
  <c r="BX20" i="3"/>
  <c r="DU20" i="3" s="1"/>
  <c r="BW20" i="3"/>
  <c r="BV20" i="3"/>
  <c r="BU20" i="3"/>
  <c r="BS20" i="3"/>
  <c r="CU20" i="3" s="1"/>
  <c r="X20" i="3"/>
  <c r="EA19" i="3"/>
  <c r="DV19" i="3"/>
  <c r="DR19" i="3"/>
  <c r="DH19" i="3"/>
  <c r="DI19" i="3" s="1"/>
  <c r="DE19" i="3"/>
  <c r="DA19" i="3"/>
  <c r="CY19" i="3"/>
  <c r="CW19" i="3"/>
  <c r="CV19" i="3"/>
  <c r="CU19" i="3"/>
  <c r="CC19" i="3"/>
  <c r="CB19" i="3"/>
  <c r="CA19" i="3"/>
  <c r="BZ19" i="3"/>
  <c r="BY19" i="3"/>
  <c r="DS19" i="3" s="1"/>
  <c r="BX19" i="3"/>
  <c r="BW19" i="3"/>
  <c r="BV19" i="3"/>
  <c r="BU19" i="3"/>
  <c r="BS19" i="3"/>
  <c r="X19" i="3"/>
  <c r="CE19" i="3" s="1"/>
  <c r="EA18" i="3"/>
  <c r="DW18" i="3"/>
  <c r="DV18" i="3"/>
  <c r="DU18" i="3"/>
  <c r="DS18" i="3"/>
  <c r="DR18" i="3"/>
  <c r="DI18" i="3"/>
  <c r="DH18" i="3"/>
  <c r="DE18" i="3"/>
  <c r="CY18" i="3"/>
  <c r="CX18" i="3"/>
  <c r="CW18" i="3"/>
  <c r="CV18" i="3"/>
  <c r="DA18" i="3" s="1"/>
  <c r="CC18" i="3"/>
  <c r="CB18" i="3"/>
  <c r="CA18" i="3"/>
  <c r="BZ18" i="3"/>
  <c r="BY18" i="3"/>
  <c r="DD18" i="3" s="1"/>
  <c r="BX18" i="3"/>
  <c r="DP18" i="3" s="1"/>
  <c r="BW18" i="3"/>
  <c r="BV18" i="3"/>
  <c r="BU18" i="3"/>
  <c r="BS18" i="3"/>
  <c r="CU18" i="3" s="1"/>
  <c r="X18" i="3"/>
  <c r="CE18" i="3" s="1"/>
  <c r="EA17" i="3"/>
  <c r="DV17" i="3"/>
  <c r="DU17" i="3"/>
  <c r="DW17" i="3" s="1"/>
  <c r="DS17" i="3"/>
  <c r="DT17" i="3" s="1"/>
  <c r="DR17" i="3"/>
  <c r="DP17" i="3"/>
  <c r="DQ17" i="3" s="1"/>
  <c r="DE17" i="3"/>
  <c r="DD17" i="3"/>
  <c r="DB17" i="3"/>
  <c r="DC17" i="3" s="1"/>
  <c r="CZ17" i="3"/>
  <c r="CY17" i="3"/>
  <c r="CW17" i="3"/>
  <c r="DA17" i="3" s="1"/>
  <c r="CV17" i="3"/>
  <c r="CU17" i="3"/>
  <c r="CX17" i="3" s="1"/>
  <c r="CC17" i="3"/>
  <c r="CB17" i="3"/>
  <c r="CA17" i="3"/>
  <c r="BZ17" i="3"/>
  <c r="BY17" i="3"/>
  <c r="BX17" i="3"/>
  <c r="BW17" i="3"/>
  <c r="BV17" i="3"/>
  <c r="BU17" i="3"/>
  <c r="BS17" i="3"/>
  <c r="X17" i="3"/>
  <c r="CE17" i="3" s="1"/>
  <c r="EA16" i="3"/>
  <c r="DV16" i="3"/>
  <c r="DU16" i="3"/>
  <c r="DR16" i="3"/>
  <c r="DP16" i="3"/>
  <c r="DE16" i="3"/>
  <c r="DB16" i="3"/>
  <c r="DC16" i="3" s="1"/>
  <c r="DA16" i="3"/>
  <c r="CW16" i="3"/>
  <c r="CV16" i="3"/>
  <c r="CY16" i="3" s="1"/>
  <c r="CU16" i="3"/>
  <c r="CC16" i="3"/>
  <c r="CB16" i="3"/>
  <c r="CA16" i="3"/>
  <c r="BZ16" i="3"/>
  <c r="BY16" i="3"/>
  <c r="DS16" i="3" s="1"/>
  <c r="BX16" i="3"/>
  <c r="BW16" i="3"/>
  <c r="BV16" i="3"/>
  <c r="BU16" i="3"/>
  <c r="BS16" i="3"/>
  <c r="X16" i="3"/>
  <c r="CE16" i="3" s="1"/>
  <c r="EA15" i="3"/>
  <c r="DV15" i="3"/>
  <c r="DU15" i="3"/>
  <c r="DR15" i="3"/>
  <c r="DP15" i="3"/>
  <c r="DE15" i="3"/>
  <c r="DD15" i="3"/>
  <c r="DB15" i="3"/>
  <c r="DC15" i="3" s="1"/>
  <c r="DF15" i="3" s="1"/>
  <c r="CW15" i="3"/>
  <c r="CV15" i="3"/>
  <c r="CC15" i="3"/>
  <c r="CB15" i="3"/>
  <c r="CA15" i="3"/>
  <c r="BZ15" i="3"/>
  <c r="BY15" i="3"/>
  <c r="BX15" i="3"/>
  <c r="BW15" i="3"/>
  <c r="BV15" i="3"/>
  <c r="BU15" i="3"/>
  <c r="BS15" i="3"/>
  <c r="CU15" i="3" s="1"/>
  <c r="X15" i="3"/>
  <c r="EA14" i="3"/>
  <c r="DV14" i="3"/>
  <c r="DS14" i="3"/>
  <c r="DR14" i="3"/>
  <c r="DE14" i="3"/>
  <c r="DD14" i="3"/>
  <c r="CZ14" i="3"/>
  <c r="CY14" i="3"/>
  <c r="CX14" i="3"/>
  <c r="CW14" i="3"/>
  <c r="CV14" i="3"/>
  <c r="CU14" i="3"/>
  <c r="CC14" i="3"/>
  <c r="CB14" i="3"/>
  <c r="CA14" i="3"/>
  <c r="BZ14" i="3"/>
  <c r="BY14" i="3"/>
  <c r="BX14" i="3"/>
  <c r="BW14" i="3"/>
  <c r="BV14" i="3"/>
  <c r="BU14" i="3"/>
  <c r="BS14" i="3"/>
  <c r="X14" i="3"/>
  <c r="CE14" i="3" s="1"/>
  <c r="EA13" i="3"/>
  <c r="DV13" i="3"/>
  <c r="DR13" i="3"/>
  <c r="DP13" i="3"/>
  <c r="DH13" i="3"/>
  <c r="DI13" i="3" s="1"/>
  <c r="DE13" i="3"/>
  <c r="DB13" i="3"/>
  <c r="DC13" i="3" s="1"/>
  <c r="CY13" i="3"/>
  <c r="CW13" i="3"/>
  <c r="DA13" i="3" s="1"/>
  <c r="CV13" i="3"/>
  <c r="CC13" i="3"/>
  <c r="CB13" i="3"/>
  <c r="CA13" i="3"/>
  <c r="BZ13" i="3"/>
  <c r="BY13" i="3"/>
  <c r="DS13" i="3" s="1"/>
  <c r="BX13" i="3"/>
  <c r="DU13" i="3" s="1"/>
  <c r="DW13" i="3" s="1"/>
  <c r="BW13" i="3"/>
  <c r="BV13" i="3"/>
  <c r="BU13" i="3"/>
  <c r="BS13" i="3"/>
  <c r="CU13" i="3" s="1"/>
  <c r="X13" i="3"/>
  <c r="CE13" i="3" s="1"/>
  <c r="EA12" i="3"/>
  <c r="DW12" i="3"/>
  <c r="DV12" i="3"/>
  <c r="DU12" i="3"/>
  <c r="DR12" i="3"/>
  <c r="DP12" i="3"/>
  <c r="DE12" i="3"/>
  <c r="DC12" i="3"/>
  <c r="DB12" i="3"/>
  <c r="CW12" i="3"/>
  <c r="CV12" i="3"/>
  <c r="CC12" i="3"/>
  <c r="CB12" i="3"/>
  <c r="CA12" i="3"/>
  <c r="BZ12" i="3"/>
  <c r="BY12" i="3"/>
  <c r="DS12" i="3" s="1"/>
  <c r="BX12" i="3"/>
  <c r="BW12" i="3"/>
  <c r="BV12" i="3"/>
  <c r="BU12" i="3"/>
  <c r="BS12" i="3"/>
  <c r="CU12" i="3" s="1"/>
  <c r="X12" i="3"/>
  <c r="CE12" i="3" s="1"/>
  <c r="EA11" i="3"/>
  <c r="DV11" i="3"/>
  <c r="DR11" i="3"/>
  <c r="DS11" i="3" s="1"/>
  <c r="DE11" i="3"/>
  <c r="DD11" i="3"/>
  <c r="CY11" i="3"/>
  <c r="DA11" i="3" s="1"/>
  <c r="CW11" i="3"/>
  <c r="CV11" i="3"/>
  <c r="CC11" i="3"/>
  <c r="CB11" i="3"/>
  <c r="CA11" i="3"/>
  <c r="BZ11" i="3"/>
  <c r="BY11" i="3"/>
  <c r="BX11" i="3"/>
  <c r="BW11" i="3"/>
  <c r="BV11" i="3"/>
  <c r="BU11" i="3"/>
  <c r="BS11" i="3"/>
  <c r="CU11" i="3" s="1"/>
  <c r="X11" i="3"/>
  <c r="CE11" i="3" s="1"/>
  <c r="EA10" i="3"/>
  <c r="DV10" i="3"/>
  <c r="DR10" i="3"/>
  <c r="DP10" i="3"/>
  <c r="DH10" i="3"/>
  <c r="DI10" i="3" s="1"/>
  <c r="DE10" i="3"/>
  <c r="DB10" i="3"/>
  <c r="DC10" i="3" s="1"/>
  <c r="CY10" i="3"/>
  <c r="CW10" i="3"/>
  <c r="CV10" i="3"/>
  <c r="DA10" i="3" s="1"/>
  <c r="CD10" i="3"/>
  <c r="CC10" i="3"/>
  <c r="CB10" i="3"/>
  <c r="CA10" i="3"/>
  <c r="BZ10" i="3"/>
  <c r="BY10" i="3"/>
  <c r="BX10" i="3"/>
  <c r="DU10" i="3" s="1"/>
  <c r="BW10" i="3"/>
  <c r="BV10" i="3"/>
  <c r="BU10" i="3"/>
  <c r="BS10" i="3"/>
  <c r="CU10" i="3" s="1"/>
  <c r="CX10" i="3" s="1"/>
  <c r="X10" i="3"/>
  <c r="CE10" i="3" s="1"/>
  <c r="ER9" i="3"/>
  <c r="EM9" i="3"/>
  <c r="EF9" i="3"/>
  <c r="EA9" i="3"/>
  <c r="DV9" i="3"/>
  <c r="DS9" i="3"/>
  <c r="DR9" i="3"/>
  <c r="DP9" i="3"/>
  <c r="DH9" i="3"/>
  <c r="DI9" i="3" s="1"/>
  <c r="DE9" i="3"/>
  <c r="DD9" i="3"/>
  <c r="DA9" i="3"/>
  <c r="CW9" i="3"/>
  <c r="CV9" i="3"/>
  <c r="CY9" i="3" s="1"/>
  <c r="CC9" i="3"/>
  <c r="CB9" i="3"/>
  <c r="CA9" i="3"/>
  <c r="BZ9" i="3"/>
  <c r="CD9" i="3" s="1"/>
  <c r="BY9" i="3"/>
  <c r="BX9" i="3"/>
  <c r="DU9" i="3" s="1"/>
  <c r="DW9" i="3" s="1"/>
  <c r="BW9" i="3"/>
  <c r="BV9" i="3"/>
  <c r="BU9" i="3"/>
  <c r="BS9" i="3"/>
  <c r="CU9" i="3" s="1"/>
  <c r="X9" i="3"/>
  <c r="CE9" i="3" s="1"/>
  <c r="EA8" i="3"/>
  <c r="DV8" i="3"/>
  <c r="DU8" i="3"/>
  <c r="DW8" i="3" s="1"/>
  <c r="DS8" i="3"/>
  <c r="DR8" i="3"/>
  <c r="DP8" i="3"/>
  <c r="DE8" i="3"/>
  <c r="DD8" i="3"/>
  <c r="DB8" i="3"/>
  <c r="DC8" i="3" s="1"/>
  <c r="DF8" i="3" s="1"/>
  <c r="CW8" i="3"/>
  <c r="CV8" i="3"/>
  <c r="CC8" i="3"/>
  <c r="CB8" i="3"/>
  <c r="CA8" i="3"/>
  <c r="BZ8" i="3"/>
  <c r="BY8" i="3"/>
  <c r="BX8" i="3"/>
  <c r="BW8" i="3"/>
  <c r="BV8" i="3"/>
  <c r="BU8" i="3"/>
  <c r="BS8" i="3"/>
  <c r="CU8" i="3" s="1"/>
  <c r="X8" i="3"/>
  <c r="CE8" i="3" s="1"/>
  <c r="EA7" i="3"/>
  <c r="DV7" i="3"/>
  <c r="DU7" i="3"/>
  <c r="DW7" i="3" s="1"/>
  <c r="DR7" i="3"/>
  <c r="DS7" i="3" s="1"/>
  <c r="DP7" i="3"/>
  <c r="DI7" i="3"/>
  <c r="DH7" i="3"/>
  <c r="DE7" i="3"/>
  <c r="DD7" i="3"/>
  <c r="DC7" i="3"/>
  <c r="DB7" i="3"/>
  <c r="CW7" i="3"/>
  <c r="CV7" i="3"/>
  <c r="CC7" i="3"/>
  <c r="CB7" i="3"/>
  <c r="CA7" i="3"/>
  <c r="BZ7" i="3"/>
  <c r="BY7" i="3"/>
  <c r="BX7" i="3"/>
  <c r="BW7" i="3"/>
  <c r="BV7" i="3"/>
  <c r="BU7" i="3"/>
  <c r="BS7" i="3"/>
  <c r="CU7" i="3" s="1"/>
  <c r="X7" i="3"/>
  <c r="CE7" i="3" s="1"/>
  <c r="EA6" i="3"/>
  <c r="DV6" i="3"/>
  <c r="DU6" i="3"/>
  <c r="DW6" i="3" s="1"/>
  <c r="DS6" i="3"/>
  <c r="DR6" i="3"/>
  <c r="DE6" i="3"/>
  <c r="DD6" i="3"/>
  <c r="CW6" i="3"/>
  <c r="CV6" i="3"/>
  <c r="CC6" i="3"/>
  <c r="CB6" i="3"/>
  <c r="CA6" i="3"/>
  <c r="BZ6" i="3"/>
  <c r="BY6" i="3"/>
  <c r="BX6" i="3"/>
  <c r="DP6" i="3" s="1"/>
  <c r="BW6" i="3"/>
  <c r="BV6" i="3"/>
  <c r="BU6" i="3"/>
  <c r="BS6" i="3"/>
  <c r="CU6" i="3" s="1"/>
  <c r="X6" i="3"/>
  <c r="CE6" i="3" s="1"/>
  <c r="EA5" i="3"/>
  <c r="DV5" i="3"/>
  <c r="DR5" i="3"/>
  <c r="DE5" i="3"/>
  <c r="CY5" i="3"/>
  <c r="CX5" i="3"/>
  <c r="CW5" i="3"/>
  <c r="CV5" i="3"/>
  <c r="DA5" i="3" s="1"/>
  <c r="CC5" i="3"/>
  <c r="CB5" i="3"/>
  <c r="CA5" i="3"/>
  <c r="BZ5" i="3"/>
  <c r="BY5" i="3"/>
  <c r="DD5" i="3" s="1"/>
  <c r="BX5" i="3"/>
  <c r="DP5" i="3" s="1"/>
  <c r="DQ5" i="3" s="1"/>
  <c r="BW5" i="3"/>
  <c r="BV5" i="3"/>
  <c r="BU5" i="3"/>
  <c r="BS5" i="3"/>
  <c r="CU5" i="3" s="1"/>
  <c r="X5" i="3"/>
  <c r="CE5" i="3" s="1"/>
  <c r="EA4" i="3"/>
  <c r="DV4" i="3"/>
  <c r="DS4" i="3"/>
  <c r="DR4" i="3"/>
  <c r="DE4" i="3"/>
  <c r="CY4" i="3"/>
  <c r="CW4" i="3"/>
  <c r="CV4" i="3"/>
  <c r="DA4" i="3" s="1"/>
  <c r="CE4" i="3"/>
  <c r="CC4" i="3"/>
  <c r="CB4" i="3"/>
  <c r="CA4" i="3"/>
  <c r="BZ4" i="3"/>
  <c r="BY4" i="3"/>
  <c r="DD4" i="3" s="1"/>
  <c r="BX4" i="3"/>
  <c r="BW4" i="3"/>
  <c r="BV4" i="3"/>
  <c r="BU4" i="3"/>
  <c r="BS4" i="3"/>
  <c r="CU4" i="3" s="1"/>
  <c r="X4" i="3"/>
  <c r="EA3" i="3"/>
  <c r="DV3" i="3"/>
  <c r="DR3" i="3"/>
  <c r="DH3" i="3"/>
  <c r="DI3" i="3" s="1"/>
  <c r="DE3" i="3"/>
  <c r="CZ3" i="3"/>
  <c r="CY3" i="3"/>
  <c r="CW3" i="3"/>
  <c r="DA3" i="3" s="1"/>
  <c r="CV3" i="3"/>
  <c r="CC3" i="3"/>
  <c r="CB3" i="3"/>
  <c r="CA3" i="3"/>
  <c r="BZ3" i="3"/>
  <c r="BY3" i="3"/>
  <c r="BX3" i="3"/>
  <c r="DP3" i="3" s="1"/>
  <c r="DQ3" i="3" s="1"/>
  <c r="BW3" i="3"/>
  <c r="BV3" i="3"/>
  <c r="BU3" i="3"/>
  <c r="BS3" i="3"/>
  <c r="CU3" i="3" s="1"/>
  <c r="CX3" i="3" s="1"/>
  <c r="X3" i="3"/>
  <c r="CE3" i="3" s="1"/>
  <c r="CQ220" i="2"/>
  <c r="CQ219" i="2"/>
  <c r="CQ218" i="2"/>
  <c r="CQ217" i="2"/>
  <c r="CQ216" i="2"/>
  <c r="CQ215" i="2"/>
  <c r="CQ214" i="2"/>
  <c r="CQ213" i="2"/>
  <c r="EA212" i="2"/>
  <c r="DV212" i="2"/>
  <c r="DR212" i="2"/>
  <c r="DE212" i="2"/>
  <c r="CY212" i="2"/>
  <c r="CW212" i="2"/>
  <c r="DA212" i="2" s="1"/>
  <c r="CV212" i="2"/>
  <c r="CC212" i="2"/>
  <c r="CB212" i="2"/>
  <c r="CA212" i="2"/>
  <c r="BZ212" i="2"/>
  <c r="BY212" i="2"/>
  <c r="BX212" i="2"/>
  <c r="DP212" i="2" s="1"/>
  <c r="BW212" i="2"/>
  <c r="BV212" i="2"/>
  <c r="BU212" i="2"/>
  <c r="BS212" i="2"/>
  <c r="CU212" i="2" s="1"/>
  <c r="X212" i="2"/>
  <c r="EA211" i="2"/>
  <c r="DV211" i="2"/>
  <c r="DU211" i="2"/>
  <c r="DW211" i="2" s="1"/>
  <c r="DR211" i="2"/>
  <c r="DE211" i="2"/>
  <c r="DB211" i="2"/>
  <c r="DC211" i="2" s="1"/>
  <c r="DA211" i="2"/>
  <c r="CW211" i="2"/>
  <c r="CV211" i="2"/>
  <c r="CY211" i="2" s="1"/>
  <c r="CC211" i="2"/>
  <c r="CB211" i="2"/>
  <c r="CA211" i="2"/>
  <c r="BZ211" i="2"/>
  <c r="BY211" i="2"/>
  <c r="DS211" i="2" s="1"/>
  <c r="BX211" i="2"/>
  <c r="DP211" i="2" s="1"/>
  <c r="BW211" i="2"/>
  <c r="BV211" i="2"/>
  <c r="BU211" i="2"/>
  <c r="BS211" i="2"/>
  <c r="CU211" i="2" s="1"/>
  <c r="X211" i="2"/>
  <c r="CE211" i="2" s="1"/>
  <c r="EA210" i="2"/>
  <c r="DV210" i="2"/>
  <c r="DU210" i="2"/>
  <c r="DW210" i="2" s="1"/>
  <c r="DR210" i="2"/>
  <c r="DE210" i="2"/>
  <c r="DB210" i="2"/>
  <c r="DC210" i="2" s="1"/>
  <c r="CW210" i="2"/>
  <c r="DA210" i="2" s="1"/>
  <c r="CV210" i="2"/>
  <c r="CY210" i="2" s="1"/>
  <c r="CC210" i="2"/>
  <c r="CB210" i="2"/>
  <c r="CA210" i="2"/>
  <c r="BZ210" i="2"/>
  <c r="BY210" i="2"/>
  <c r="DS210" i="2" s="1"/>
  <c r="BX210" i="2"/>
  <c r="DP210" i="2" s="1"/>
  <c r="BW210" i="2"/>
  <c r="BV210" i="2"/>
  <c r="BU210" i="2"/>
  <c r="BS210" i="2"/>
  <c r="CU210" i="2" s="1"/>
  <c r="X210" i="2"/>
  <c r="CE210" i="2" s="1"/>
  <c r="EA209" i="2"/>
  <c r="DW209" i="2"/>
  <c r="DV209" i="2"/>
  <c r="DU209" i="2"/>
  <c r="DR209" i="2"/>
  <c r="DP209" i="2"/>
  <c r="DI209" i="2"/>
  <c r="DH209" i="2"/>
  <c r="DE209" i="2"/>
  <c r="DC209" i="2"/>
  <c r="DB209" i="2"/>
  <c r="CW209" i="2"/>
  <c r="CV209" i="2"/>
  <c r="CC209" i="2"/>
  <c r="CB209" i="2"/>
  <c r="CA209" i="2"/>
  <c r="BZ209" i="2"/>
  <c r="BY209" i="2"/>
  <c r="DS209" i="2" s="1"/>
  <c r="BX209" i="2"/>
  <c r="BW209" i="2"/>
  <c r="BV209" i="2"/>
  <c r="BU209" i="2"/>
  <c r="CD209" i="2" s="1"/>
  <c r="BS209" i="2"/>
  <c r="CU209" i="2" s="1"/>
  <c r="X209" i="2"/>
  <c r="CE209" i="2" s="1"/>
  <c r="EA208" i="2"/>
  <c r="DV208" i="2"/>
  <c r="DT208" i="2"/>
  <c r="DS208" i="2"/>
  <c r="DR208" i="2"/>
  <c r="DE208" i="2"/>
  <c r="DD208" i="2"/>
  <c r="CY208" i="2"/>
  <c r="CW208" i="2"/>
  <c r="CV208" i="2"/>
  <c r="CC208" i="2"/>
  <c r="CB208" i="2"/>
  <c r="CA208" i="2"/>
  <c r="BZ208" i="2"/>
  <c r="BY208" i="2"/>
  <c r="BX208" i="2"/>
  <c r="BW208" i="2"/>
  <c r="BV208" i="2"/>
  <c r="BU208" i="2"/>
  <c r="BS208" i="2"/>
  <c r="CU208" i="2" s="1"/>
  <c r="X208" i="2"/>
  <c r="CE208" i="2" s="1"/>
  <c r="EA207" i="2"/>
  <c r="DV207" i="2"/>
  <c r="DR207" i="2"/>
  <c r="DE207" i="2"/>
  <c r="CZ207" i="2"/>
  <c r="CY207" i="2"/>
  <c r="CW207" i="2"/>
  <c r="CV207" i="2"/>
  <c r="DA207" i="2" s="1"/>
  <c r="CC207" i="2"/>
  <c r="CB207" i="2"/>
  <c r="CA207" i="2"/>
  <c r="BZ207" i="2"/>
  <c r="BY207" i="2"/>
  <c r="BX207" i="2"/>
  <c r="DU207" i="2" s="1"/>
  <c r="DW207" i="2" s="1"/>
  <c r="BW207" i="2"/>
  <c r="BV207" i="2"/>
  <c r="BU207" i="2"/>
  <c r="BS207" i="2"/>
  <c r="CU207" i="2" s="1"/>
  <c r="CX207" i="2" s="1"/>
  <c r="X207" i="2"/>
  <c r="CE207" i="2" s="1"/>
  <c r="EA206" i="2"/>
  <c r="DV206" i="2"/>
  <c r="DS206" i="2"/>
  <c r="DR206" i="2"/>
  <c r="DI206" i="2"/>
  <c r="DH206" i="2"/>
  <c r="DE206" i="2"/>
  <c r="DA206" i="2"/>
  <c r="CY206" i="2"/>
  <c r="CW206" i="2"/>
  <c r="CV206" i="2"/>
  <c r="CC206" i="2"/>
  <c r="CB206" i="2"/>
  <c r="CA206" i="2"/>
  <c r="BZ206" i="2"/>
  <c r="BY206" i="2"/>
  <c r="DD206" i="2" s="1"/>
  <c r="BX206" i="2"/>
  <c r="DU206" i="2" s="1"/>
  <c r="DW206" i="2" s="1"/>
  <c r="BW206" i="2"/>
  <c r="BV206" i="2"/>
  <c r="BU206" i="2"/>
  <c r="BS206" i="2"/>
  <c r="CU206" i="2" s="1"/>
  <c r="X206" i="2"/>
  <c r="CE206" i="2" s="1"/>
  <c r="EA205" i="2"/>
  <c r="DV205" i="2"/>
  <c r="DU205" i="2"/>
  <c r="DW205" i="2" s="1"/>
  <c r="DR205" i="2"/>
  <c r="DE205" i="2"/>
  <c r="DB205" i="2"/>
  <c r="DC205" i="2" s="1"/>
  <c r="CW205" i="2"/>
  <c r="CV205" i="2"/>
  <c r="CC205" i="2"/>
  <c r="CB205" i="2"/>
  <c r="CA205" i="2"/>
  <c r="BZ205" i="2"/>
  <c r="BY205" i="2"/>
  <c r="DS205" i="2" s="1"/>
  <c r="BX205" i="2"/>
  <c r="DP205" i="2" s="1"/>
  <c r="BW205" i="2"/>
  <c r="BV205" i="2"/>
  <c r="BU205" i="2"/>
  <c r="BS205" i="2"/>
  <c r="CU205" i="2" s="1"/>
  <c r="X205" i="2"/>
  <c r="EA204" i="2"/>
  <c r="DV204" i="2"/>
  <c r="DU204" i="2"/>
  <c r="DW204" i="2" s="1"/>
  <c r="DR204" i="2"/>
  <c r="DP204" i="2"/>
  <c r="DI204" i="2"/>
  <c r="DH204" i="2"/>
  <c r="DE204" i="2"/>
  <c r="DC204" i="2"/>
  <c r="DB204" i="2"/>
  <c r="CW204" i="2"/>
  <c r="CV204" i="2"/>
  <c r="CC204" i="2"/>
  <c r="CB204" i="2"/>
  <c r="CA204" i="2"/>
  <c r="BZ204" i="2"/>
  <c r="BY204" i="2"/>
  <c r="DS204" i="2" s="1"/>
  <c r="BX204" i="2"/>
  <c r="BW204" i="2"/>
  <c r="BV204" i="2"/>
  <c r="BU204" i="2"/>
  <c r="BS204" i="2"/>
  <c r="CU204" i="2" s="1"/>
  <c r="X204" i="2"/>
  <c r="CE204" i="2" s="1"/>
  <c r="EA203" i="2"/>
  <c r="DV203" i="2"/>
  <c r="DU203" i="2"/>
  <c r="DW203" i="2" s="1"/>
  <c r="DR203" i="2"/>
  <c r="DE203" i="2"/>
  <c r="DD203" i="2"/>
  <c r="DB203" i="2"/>
  <c r="DC203" i="2" s="1"/>
  <c r="CW203" i="2"/>
  <c r="CV203" i="2"/>
  <c r="CC203" i="2"/>
  <c r="CB203" i="2"/>
  <c r="CA203" i="2"/>
  <c r="BZ203" i="2"/>
  <c r="BY203" i="2"/>
  <c r="DS203" i="2" s="1"/>
  <c r="DT203" i="2" s="1"/>
  <c r="BX203" i="2"/>
  <c r="DP203" i="2" s="1"/>
  <c r="DQ203" i="2" s="1"/>
  <c r="BW203" i="2"/>
  <c r="BV203" i="2"/>
  <c r="BU203" i="2"/>
  <c r="BS203" i="2"/>
  <c r="CU203" i="2" s="1"/>
  <c r="X203" i="2"/>
  <c r="CE203" i="2" s="1"/>
  <c r="EA202" i="2"/>
  <c r="DV202" i="2"/>
  <c r="DR202" i="2"/>
  <c r="DK202" i="2"/>
  <c r="DJ202" i="2"/>
  <c r="DH202" i="2"/>
  <c r="DI202" i="2" s="1"/>
  <c r="DE202" i="2"/>
  <c r="CY202" i="2"/>
  <c r="CW202" i="2"/>
  <c r="CV202" i="2"/>
  <c r="CI202" i="2"/>
  <c r="CD202" i="2"/>
  <c r="CC202" i="2"/>
  <c r="CB202" i="2"/>
  <c r="CA202" i="2"/>
  <c r="BZ202" i="2"/>
  <c r="BY202" i="2"/>
  <c r="DD202" i="2" s="1"/>
  <c r="BX202" i="2"/>
  <c r="DP202" i="2" s="1"/>
  <c r="DQ202" i="2" s="1"/>
  <c r="BW202" i="2"/>
  <c r="BV202" i="2"/>
  <c r="BU202" i="2"/>
  <c r="BS202" i="2"/>
  <c r="CU202" i="2" s="1"/>
  <c r="X202" i="2"/>
  <c r="CE202" i="2" s="1"/>
  <c r="EA201" i="2"/>
  <c r="DV201" i="2"/>
  <c r="DS201" i="2"/>
  <c r="DR201" i="2"/>
  <c r="DE201" i="2"/>
  <c r="CY201" i="2"/>
  <c r="CX201" i="2"/>
  <c r="CW201" i="2"/>
  <c r="CV201" i="2"/>
  <c r="DA201" i="2" s="1"/>
  <c r="CC201" i="2"/>
  <c r="CB201" i="2"/>
  <c r="CA201" i="2"/>
  <c r="BZ201" i="2"/>
  <c r="BY201" i="2"/>
  <c r="DD201" i="2" s="1"/>
  <c r="BX201" i="2"/>
  <c r="BW201" i="2"/>
  <c r="BV201" i="2"/>
  <c r="BU201" i="2"/>
  <c r="BS201" i="2"/>
  <c r="CU201" i="2" s="1"/>
  <c r="X201" i="2"/>
  <c r="CE201" i="2" s="1"/>
  <c r="EA200" i="2"/>
  <c r="DV200" i="2"/>
  <c r="DR200" i="2"/>
  <c r="DE200" i="2"/>
  <c r="CY200" i="2"/>
  <c r="CW200" i="2"/>
  <c r="DA200" i="2" s="1"/>
  <c r="CV200" i="2"/>
  <c r="CC200" i="2"/>
  <c r="CB200" i="2"/>
  <c r="CA200" i="2"/>
  <c r="BZ200" i="2"/>
  <c r="BY200" i="2"/>
  <c r="BX200" i="2"/>
  <c r="BW200" i="2"/>
  <c r="BV200" i="2"/>
  <c r="BU200" i="2"/>
  <c r="BS200" i="2"/>
  <c r="CU200" i="2" s="1"/>
  <c r="X200" i="2"/>
  <c r="EA199" i="2"/>
  <c r="DV199" i="2"/>
  <c r="DU199" i="2"/>
  <c r="DW199" i="2" s="1"/>
  <c r="DR199" i="2"/>
  <c r="DI199" i="2"/>
  <c r="DH199" i="2"/>
  <c r="DE199" i="2"/>
  <c r="DB199" i="2"/>
  <c r="DC199" i="2" s="1"/>
  <c r="CW199" i="2"/>
  <c r="CV199" i="2"/>
  <c r="CY199" i="2" s="1"/>
  <c r="CC199" i="2"/>
  <c r="CB199" i="2"/>
  <c r="CA199" i="2"/>
  <c r="BZ199" i="2"/>
  <c r="BY199" i="2"/>
  <c r="BX199" i="2"/>
  <c r="DP199" i="2" s="1"/>
  <c r="DQ199" i="2" s="1"/>
  <c r="BW199" i="2"/>
  <c r="BV199" i="2"/>
  <c r="BU199" i="2"/>
  <c r="CD199" i="2" s="1"/>
  <c r="BS199" i="2"/>
  <c r="CU199" i="2" s="1"/>
  <c r="X199" i="2"/>
  <c r="CE199" i="2" s="1"/>
  <c r="EA198" i="2"/>
  <c r="DV198" i="2"/>
  <c r="DU198" i="2"/>
  <c r="DR198" i="2"/>
  <c r="DE198" i="2"/>
  <c r="DB198" i="2"/>
  <c r="DC198" i="2" s="1"/>
  <c r="CW198" i="2"/>
  <c r="DA198" i="2" s="1"/>
  <c r="CV198" i="2"/>
  <c r="CY198" i="2" s="1"/>
  <c r="CC198" i="2"/>
  <c r="CB198" i="2"/>
  <c r="CA198" i="2"/>
  <c r="BZ198" i="2"/>
  <c r="BY198" i="2"/>
  <c r="DS198" i="2" s="1"/>
  <c r="DT198" i="2" s="1"/>
  <c r="BX198" i="2"/>
  <c r="DP198" i="2" s="1"/>
  <c r="DQ198" i="2" s="1"/>
  <c r="BW198" i="2"/>
  <c r="BV198" i="2"/>
  <c r="BU198" i="2"/>
  <c r="BS198" i="2"/>
  <c r="CU198" i="2" s="1"/>
  <c r="X198" i="2"/>
  <c r="CE198" i="2" s="1"/>
  <c r="EA197" i="2"/>
  <c r="DW197" i="2"/>
  <c r="DV197" i="2"/>
  <c r="DU197" i="2"/>
  <c r="DR197" i="2"/>
  <c r="DP197" i="2"/>
  <c r="DE197" i="2"/>
  <c r="DC197" i="2"/>
  <c r="DB197" i="2"/>
  <c r="CW197" i="2"/>
  <c r="CV197" i="2"/>
  <c r="CC197" i="2"/>
  <c r="CB197" i="2"/>
  <c r="CA197" i="2"/>
  <c r="BZ197" i="2"/>
  <c r="BY197" i="2"/>
  <c r="DS197" i="2" s="1"/>
  <c r="BX197" i="2"/>
  <c r="BW197" i="2"/>
  <c r="BV197" i="2"/>
  <c r="BU197" i="2"/>
  <c r="BS197" i="2"/>
  <c r="CU197" i="2" s="1"/>
  <c r="X197" i="2"/>
  <c r="CE197" i="2" s="1"/>
  <c r="EA196" i="2"/>
  <c r="DV196" i="2"/>
  <c r="DT196" i="2"/>
  <c r="DS196" i="2"/>
  <c r="DR196" i="2"/>
  <c r="DP196" i="2"/>
  <c r="DQ196" i="2" s="1"/>
  <c r="DE196" i="2"/>
  <c r="DD196" i="2"/>
  <c r="CY196" i="2"/>
  <c r="CW196" i="2"/>
  <c r="CV196" i="2"/>
  <c r="CC196" i="2"/>
  <c r="CB196" i="2"/>
  <c r="CA196" i="2"/>
  <c r="BZ196" i="2"/>
  <c r="BY196" i="2"/>
  <c r="BX196" i="2"/>
  <c r="BW196" i="2"/>
  <c r="BV196" i="2"/>
  <c r="BU196" i="2"/>
  <c r="BS196" i="2"/>
  <c r="CU196" i="2" s="1"/>
  <c r="X196" i="2"/>
  <c r="CE196" i="2" s="1"/>
  <c r="EA195" i="2"/>
  <c r="DV195" i="2"/>
  <c r="DR195" i="2"/>
  <c r="DE195" i="2"/>
  <c r="DD195" i="2"/>
  <c r="CZ195" i="2"/>
  <c r="CY195" i="2"/>
  <c r="CX195" i="2"/>
  <c r="CW195" i="2"/>
  <c r="CV195" i="2"/>
  <c r="DA195" i="2" s="1"/>
  <c r="CC195" i="2"/>
  <c r="CB195" i="2"/>
  <c r="CA195" i="2"/>
  <c r="BZ195" i="2"/>
  <c r="BY195" i="2"/>
  <c r="DS195" i="2" s="1"/>
  <c r="DT195" i="2" s="1"/>
  <c r="BX195" i="2"/>
  <c r="DU195" i="2" s="1"/>
  <c r="DW195" i="2" s="1"/>
  <c r="BW195" i="2"/>
  <c r="BV195" i="2"/>
  <c r="BU195" i="2"/>
  <c r="BS195" i="2"/>
  <c r="CU195" i="2" s="1"/>
  <c r="X195" i="2"/>
  <c r="CE195" i="2" s="1"/>
  <c r="EA194" i="2"/>
  <c r="DV194" i="2"/>
  <c r="DS194" i="2"/>
  <c r="DT194" i="2" s="1"/>
  <c r="DR194" i="2"/>
  <c r="DE194" i="2"/>
  <c r="CW194" i="2"/>
  <c r="CV194" i="2"/>
  <c r="CC194" i="2"/>
  <c r="CB194" i="2"/>
  <c r="CA194" i="2"/>
  <c r="BZ194" i="2"/>
  <c r="BY194" i="2"/>
  <c r="DD194" i="2" s="1"/>
  <c r="BX194" i="2"/>
  <c r="BW194" i="2"/>
  <c r="BV194" i="2"/>
  <c r="BU194" i="2"/>
  <c r="BS194" i="2"/>
  <c r="CU194" i="2" s="1"/>
  <c r="X194" i="2"/>
  <c r="CE194" i="2" s="1"/>
  <c r="EA193" i="2"/>
  <c r="DV193" i="2"/>
  <c r="DU193" i="2"/>
  <c r="DR193" i="2"/>
  <c r="DM193" i="2"/>
  <c r="DI193" i="2"/>
  <c r="DH193" i="2"/>
  <c r="DE193" i="2"/>
  <c r="DB193" i="2"/>
  <c r="CW193" i="2"/>
  <c r="DA193" i="2" s="1"/>
  <c r="CV193" i="2"/>
  <c r="CY193" i="2" s="1"/>
  <c r="CH193" i="2"/>
  <c r="CG193" i="2"/>
  <c r="CC193" i="2"/>
  <c r="CB193" i="2"/>
  <c r="CA193" i="2"/>
  <c r="BZ193" i="2"/>
  <c r="BY193" i="2"/>
  <c r="DD193" i="2" s="1"/>
  <c r="BX193" i="2"/>
  <c r="DP193" i="2" s="1"/>
  <c r="DQ193" i="2" s="1"/>
  <c r="BW193" i="2"/>
  <c r="BV193" i="2"/>
  <c r="BU193" i="2"/>
  <c r="CD193" i="2" s="1"/>
  <c r="BS193" i="2"/>
  <c r="CU193" i="2" s="1"/>
  <c r="X193" i="2"/>
  <c r="EA192" i="2"/>
  <c r="DW192" i="2"/>
  <c r="DV192" i="2"/>
  <c r="DU192" i="2"/>
  <c r="DR192" i="2"/>
  <c r="DP192" i="2"/>
  <c r="DE192" i="2"/>
  <c r="DC192" i="2"/>
  <c r="DB192" i="2"/>
  <c r="CW192" i="2"/>
  <c r="CV192" i="2"/>
  <c r="CY192" i="2" s="1"/>
  <c r="CC192" i="2"/>
  <c r="CB192" i="2"/>
  <c r="CA192" i="2"/>
  <c r="BZ192" i="2"/>
  <c r="BY192" i="2"/>
  <c r="DS192" i="2" s="1"/>
  <c r="BX192" i="2"/>
  <c r="BW192" i="2"/>
  <c r="BV192" i="2"/>
  <c r="BU192" i="2"/>
  <c r="BS192" i="2"/>
  <c r="CU192" i="2" s="1"/>
  <c r="X192" i="2"/>
  <c r="EA191" i="2"/>
  <c r="DV191" i="2"/>
  <c r="DR191" i="2"/>
  <c r="DP191" i="2"/>
  <c r="DQ191" i="2" s="1"/>
  <c r="DE191" i="2"/>
  <c r="DD191" i="2"/>
  <c r="CW191" i="2"/>
  <c r="CV191" i="2"/>
  <c r="CC191" i="2"/>
  <c r="CB191" i="2"/>
  <c r="CA191" i="2"/>
  <c r="BZ191" i="2"/>
  <c r="BY191" i="2"/>
  <c r="DS191" i="2" s="1"/>
  <c r="DT191" i="2" s="1"/>
  <c r="BX191" i="2"/>
  <c r="DU191" i="2" s="1"/>
  <c r="DW191" i="2" s="1"/>
  <c r="BW191" i="2"/>
  <c r="BV191" i="2"/>
  <c r="BU191" i="2"/>
  <c r="BS191" i="2"/>
  <c r="CU191" i="2" s="1"/>
  <c r="X191" i="2"/>
  <c r="CE191" i="2" s="1"/>
  <c r="EA190" i="2"/>
  <c r="DV190" i="2"/>
  <c r="DU190" i="2"/>
  <c r="DW190" i="2" s="1"/>
  <c r="DR190" i="2"/>
  <c r="DQ190" i="2"/>
  <c r="DP190" i="2"/>
  <c r="DM190" i="2"/>
  <c r="DL190" i="2"/>
  <c r="DK190" i="2"/>
  <c r="DI190" i="2"/>
  <c r="DJ190" i="2" s="1"/>
  <c r="DH190" i="2"/>
  <c r="DE190" i="2"/>
  <c r="DD190" i="2"/>
  <c r="DC190" i="2"/>
  <c r="CW190" i="2"/>
  <c r="CV190" i="2"/>
  <c r="CU190" i="2"/>
  <c r="CC190" i="2"/>
  <c r="CB190" i="2"/>
  <c r="CA190" i="2"/>
  <c r="BZ190" i="2"/>
  <c r="BY190" i="2"/>
  <c r="DS190" i="2" s="1"/>
  <c r="BX190" i="2"/>
  <c r="DB190" i="2" s="1"/>
  <c r="BW190" i="2"/>
  <c r="BV190" i="2"/>
  <c r="BU190" i="2"/>
  <c r="BS190" i="2"/>
  <c r="X190" i="2"/>
  <c r="EA189" i="2"/>
  <c r="DV189" i="2"/>
  <c r="DU189" i="2"/>
  <c r="DW189" i="2" s="1"/>
  <c r="DR189" i="2"/>
  <c r="DE189" i="2"/>
  <c r="DD189" i="2"/>
  <c r="CY189" i="2"/>
  <c r="CW189" i="2"/>
  <c r="CV189" i="2"/>
  <c r="DA189" i="2" s="1"/>
  <c r="CC189" i="2"/>
  <c r="CB189" i="2"/>
  <c r="CA189" i="2"/>
  <c r="BZ189" i="2"/>
  <c r="BY189" i="2"/>
  <c r="DS189" i="2" s="1"/>
  <c r="DT189" i="2" s="1"/>
  <c r="BX189" i="2"/>
  <c r="BW189" i="2"/>
  <c r="BV189" i="2"/>
  <c r="BU189" i="2"/>
  <c r="BS189" i="2"/>
  <c r="CU189" i="2" s="1"/>
  <c r="X189" i="2"/>
  <c r="CE189" i="2" s="1"/>
  <c r="EA188" i="2"/>
  <c r="DV188" i="2"/>
  <c r="DR188" i="2"/>
  <c r="DE188" i="2"/>
  <c r="CY188" i="2"/>
  <c r="CW188" i="2"/>
  <c r="DA188" i="2" s="1"/>
  <c r="CV188" i="2"/>
  <c r="CU188" i="2"/>
  <c r="CC188" i="2"/>
  <c r="CB188" i="2"/>
  <c r="CA188" i="2"/>
  <c r="BZ188" i="2"/>
  <c r="BY188" i="2"/>
  <c r="BX188" i="2"/>
  <c r="BW188" i="2"/>
  <c r="BV188" i="2"/>
  <c r="BU188" i="2"/>
  <c r="BS188" i="2"/>
  <c r="X188" i="2"/>
  <c r="CE188" i="2" s="1"/>
  <c r="EA187" i="2"/>
  <c r="DV187" i="2"/>
  <c r="DU187" i="2"/>
  <c r="DW187" i="2" s="1"/>
  <c r="DS187" i="2"/>
  <c r="DT187" i="2" s="1"/>
  <c r="DR187" i="2"/>
  <c r="DF187" i="2"/>
  <c r="DE187" i="2"/>
  <c r="DB187" i="2"/>
  <c r="DC187" i="2" s="1"/>
  <c r="CY187" i="2"/>
  <c r="CW187" i="2"/>
  <c r="CV187" i="2"/>
  <c r="DA187" i="2" s="1"/>
  <c r="DX187" i="2" s="1"/>
  <c r="DY187" i="2" s="1"/>
  <c r="CU187" i="2"/>
  <c r="CC187" i="2"/>
  <c r="CB187" i="2"/>
  <c r="CA187" i="2"/>
  <c r="BZ187" i="2"/>
  <c r="BY187" i="2"/>
  <c r="DD187" i="2" s="1"/>
  <c r="BX187" i="2"/>
  <c r="DP187" i="2" s="1"/>
  <c r="DQ187" i="2" s="1"/>
  <c r="BW187" i="2"/>
  <c r="BV187" i="2"/>
  <c r="BU187" i="2"/>
  <c r="BS187" i="2"/>
  <c r="CE187" i="2" s="1"/>
  <c r="X187" i="2"/>
  <c r="EA186" i="2"/>
  <c r="DV186" i="2"/>
  <c r="DU186" i="2"/>
  <c r="DW186" i="2" s="1"/>
  <c r="DR186" i="2"/>
  <c r="DE186" i="2"/>
  <c r="DB186" i="2"/>
  <c r="DC186" i="2" s="1"/>
  <c r="CY186" i="2"/>
  <c r="CW186" i="2"/>
  <c r="CV186" i="2"/>
  <c r="DA186" i="2" s="1"/>
  <c r="CC186" i="2"/>
  <c r="CB186" i="2"/>
  <c r="CA186" i="2"/>
  <c r="BZ186" i="2"/>
  <c r="BY186" i="2"/>
  <c r="BX186" i="2"/>
  <c r="DP186" i="2" s="1"/>
  <c r="DQ186" i="2" s="1"/>
  <c r="BW186" i="2"/>
  <c r="BV186" i="2"/>
  <c r="BU186" i="2"/>
  <c r="BS186" i="2"/>
  <c r="CU186" i="2" s="1"/>
  <c r="X186" i="2"/>
  <c r="CE186" i="2" s="1"/>
  <c r="EA185" i="2"/>
  <c r="DW185" i="2"/>
  <c r="DV185" i="2"/>
  <c r="DU185" i="2"/>
  <c r="DR185" i="2"/>
  <c r="DP185" i="2"/>
  <c r="DE185" i="2"/>
  <c r="DB185" i="2"/>
  <c r="DA185" i="2"/>
  <c r="CW185" i="2"/>
  <c r="CV185" i="2"/>
  <c r="CY185" i="2" s="1"/>
  <c r="CU185" i="2"/>
  <c r="CC185" i="2"/>
  <c r="CB185" i="2"/>
  <c r="CA185" i="2"/>
  <c r="BZ185" i="2"/>
  <c r="BY185" i="2"/>
  <c r="DS185" i="2" s="1"/>
  <c r="DT185" i="2" s="1"/>
  <c r="BX185" i="2"/>
  <c r="BW185" i="2"/>
  <c r="BV185" i="2"/>
  <c r="BU185" i="2"/>
  <c r="BS185" i="2"/>
  <c r="X185" i="2"/>
  <c r="DC185" i="2" s="1"/>
  <c r="EA184" i="2"/>
  <c r="DV184" i="2"/>
  <c r="DS184" i="2"/>
  <c r="DT184" i="2" s="1"/>
  <c r="DR184" i="2"/>
  <c r="DH184" i="2"/>
  <c r="DI184" i="2" s="1"/>
  <c r="DE184" i="2"/>
  <c r="DD184" i="2"/>
  <c r="DA184" i="2"/>
  <c r="CY184" i="2"/>
  <c r="CW184" i="2"/>
  <c r="CV184" i="2"/>
  <c r="CU184" i="2"/>
  <c r="CC184" i="2"/>
  <c r="CB184" i="2"/>
  <c r="CA184" i="2"/>
  <c r="BZ184" i="2"/>
  <c r="BY184" i="2"/>
  <c r="BX184" i="2"/>
  <c r="DB184" i="2" s="1"/>
  <c r="DC184" i="2" s="1"/>
  <c r="BW184" i="2"/>
  <c r="BV184" i="2"/>
  <c r="BU184" i="2"/>
  <c r="BS184" i="2"/>
  <c r="X184" i="2"/>
  <c r="CE184" i="2" s="1"/>
  <c r="EA183" i="2"/>
  <c r="DV183" i="2"/>
  <c r="DR183" i="2"/>
  <c r="DS183" i="2" s="1"/>
  <c r="DP183" i="2"/>
  <c r="DE183" i="2"/>
  <c r="DF183" i="2" s="1"/>
  <c r="DD183" i="2"/>
  <c r="DB183" i="2"/>
  <c r="DC183" i="2" s="1"/>
  <c r="CY183" i="2"/>
  <c r="CX183" i="2"/>
  <c r="CW183" i="2"/>
  <c r="CV183" i="2"/>
  <c r="CC183" i="2"/>
  <c r="CB183" i="2"/>
  <c r="CA183" i="2"/>
  <c r="BZ183" i="2"/>
  <c r="BY183" i="2"/>
  <c r="BX183" i="2"/>
  <c r="DU183" i="2" s="1"/>
  <c r="DW183" i="2" s="1"/>
  <c r="BW183" i="2"/>
  <c r="BV183" i="2"/>
  <c r="BU183" i="2"/>
  <c r="BS183" i="2"/>
  <c r="CU183" i="2" s="1"/>
  <c r="X183" i="2"/>
  <c r="CE183" i="2" s="1"/>
  <c r="EA182" i="2"/>
  <c r="DV182" i="2"/>
  <c r="DU182" i="2"/>
  <c r="DW182" i="2" s="1"/>
  <c r="DT182" i="2"/>
  <c r="DS182" i="2"/>
  <c r="DR182" i="2"/>
  <c r="DE182" i="2"/>
  <c r="DD182" i="2"/>
  <c r="CY182" i="2"/>
  <c r="CW182" i="2"/>
  <c r="CV182" i="2"/>
  <c r="DA182" i="2" s="1"/>
  <c r="CU182" i="2"/>
  <c r="CC182" i="2"/>
  <c r="CB182" i="2"/>
  <c r="CA182" i="2"/>
  <c r="BZ182" i="2"/>
  <c r="BY182" i="2"/>
  <c r="BX182" i="2"/>
  <c r="DB182" i="2" s="1"/>
  <c r="DC182" i="2" s="1"/>
  <c r="DF182" i="2" s="1"/>
  <c r="BW182" i="2"/>
  <c r="BV182" i="2"/>
  <c r="BU182" i="2"/>
  <c r="BS182" i="2"/>
  <c r="X182" i="2"/>
  <c r="CE182" i="2" s="1"/>
  <c r="EA181" i="2"/>
  <c r="DV181" i="2"/>
  <c r="DW181" i="2" s="1"/>
  <c r="DU181" i="2"/>
  <c r="DR181" i="2"/>
  <c r="DQ181" i="2"/>
  <c r="DE181" i="2"/>
  <c r="DB181" i="2"/>
  <c r="DC181" i="2" s="1"/>
  <c r="CW181" i="2"/>
  <c r="CV181" i="2"/>
  <c r="CY181" i="2" s="1"/>
  <c r="DA181" i="2" s="1"/>
  <c r="CU181" i="2"/>
  <c r="CC181" i="2"/>
  <c r="CB181" i="2"/>
  <c r="CA181" i="2"/>
  <c r="BZ181" i="2"/>
  <c r="BY181" i="2"/>
  <c r="BX181" i="2"/>
  <c r="DP181" i="2" s="1"/>
  <c r="BW181" i="2"/>
  <c r="BV181" i="2"/>
  <c r="BU181" i="2"/>
  <c r="BS181" i="2"/>
  <c r="X181" i="2"/>
  <c r="CE181" i="2" s="1"/>
  <c r="EA180" i="2"/>
  <c r="DV180" i="2"/>
  <c r="DS180" i="2"/>
  <c r="DT180" i="2" s="1"/>
  <c r="DR180" i="2"/>
  <c r="DP180" i="2"/>
  <c r="DQ180" i="2" s="1"/>
  <c r="DE180" i="2"/>
  <c r="DF180" i="2" s="1"/>
  <c r="DC180" i="2"/>
  <c r="DB180" i="2"/>
  <c r="CY180" i="2"/>
  <c r="CX180" i="2"/>
  <c r="CW180" i="2"/>
  <c r="DA180" i="2" s="1"/>
  <c r="DX180" i="2" s="1"/>
  <c r="DY180" i="2" s="1"/>
  <c r="CV180" i="2"/>
  <c r="CC180" i="2"/>
  <c r="CB180" i="2"/>
  <c r="CA180" i="2"/>
  <c r="BZ180" i="2"/>
  <c r="BY180" i="2"/>
  <c r="DD180" i="2" s="1"/>
  <c r="BX180" i="2"/>
  <c r="DU180" i="2" s="1"/>
  <c r="DW180" i="2" s="1"/>
  <c r="BW180" i="2"/>
  <c r="BV180" i="2"/>
  <c r="BU180" i="2"/>
  <c r="BS180" i="2"/>
  <c r="CU180" i="2" s="1"/>
  <c r="X180" i="2"/>
  <c r="CE180" i="2" s="1"/>
  <c r="EA179" i="2"/>
  <c r="DV179" i="2"/>
  <c r="DU179" i="2"/>
  <c r="DW179" i="2" s="1"/>
  <c r="DR179" i="2"/>
  <c r="DP179" i="2"/>
  <c r="DQ179" i="2" s="1"/>
  <c r="DE179" i="2"/>
  <c r="DB179" i="2"/>
  <c r="DC179" i="2" s="1"/>
  <c r="CW179" i="2"/>
  <c r="CV179" i="2"/>
  <c r="CC179" i="2"/>
  <c r="CB179" i="2"/>
  <c r="CA179" i="2"/>
  <c r="BZ179" i="2"/>
  <c r="BY179" i="2"/>
  <c r="DS179" i="2" s="1"/>
  <c r="DT179" i="2" s="1"/>
  <c r="BX179" i="2"/>
  <c r="BW179" i="2"/>
  <c r="BV179" i="2"/>
  <c r="BU179" i="2"/>
  <c r="BS179" i="2"/>
  <c r="CU179" i="2" s="1"/>
  <c r="X179" i="2"/>
  <c r="CE179" i="2" s="1"/>
  <c r="EA178" i="2"/>
  <c r="DV178" i="2"/>
  <c r="DW178" i="2" s="1"/>
  <c r="DS178" i="2"/>
  <c r="DR178" i="2"/>
  <c r="DH178" i="2"/>
  <c r="DI178" i="2" s="1"/>
  <c r="DE178" i="2"/>
  <c r="DD178" i="2"/>
  <c r="CY178" i="2"/>
  <c r="CW178" i="2"/>
  <c r="CV178" i="2"/>
  <c r="DA178" i="2" s="1"/>
  <c r="CC178" i="2"/>
  <c r="CB178" i="2"/>
  <c r="CA178" i="2"/>
  <c r="BZ178" i="2"/>
  <c r="BY178" i="2"/>
  <c r="BX178" i="2"/>
  <c r="DU178" i="2" s="1"/>
  <c r="BW178" i="2"/>
  <c r="BV178" i="2"/>
  <c r="BU178" i="2"/>
  <c r="BS178" i="2"/>
  <c r="CU178" i="2" s="1"/>
  <c r="X178" i="2"/>
  <c r="CE178" i="2" s="1"/>
  <c r="EA177" i="2"/>
  <c r="DV177" i="2"/>
  <c r="DR177" i="2"/>
  <c r="DE177" i="2"/>
  <c r="CY177" i="2"/>
  <c r="CX177" i="2"/>
  <c r="CW177" i="2"/>
  <c r="CV177" i="2"/>
  <c r="CC177" i="2"/>
  <c r="CB177" i="2"/>
  <c r="CA177" i="2"/>
  <c r="BZ177" i="2"/>
  <c r="BY177" i="2"/>
  <c r="DS177" i="2" s="1"/>
  <c r="DT177" i="2" s="1"/>
  <c r="BX177" i="2"/>
  <c r="BW177" i="2"/>
  <c r="BV177" i="2"/>
  <c r="BU177" i="2"/>
  <c r="BS177" i="2"/>
  <c r="CU177" i="2" s="1"/>
  <c r="X177" i="2"/>
  <c r="CE177" i="2" s="1"/>
  <c r="EA176" i="2"/>
  <c r="DV176" i="2"/>
  <c r="DR176" i="2"/>
  <c r="DE176" i="2"/>
  <c r="CZ176" i="2"/>
  <c r="CY176" i="2"/>
  <c r="DA176" i="2" s="1"/>
  <c r="CW176" i="2"/>
  <c r="CV176" i="2"/>
  <c r="CC176" i="2"/>
  <c r="CB176" i="2"/>
  <c r="CA176" i="2"/>
  <c r="BZ176" i="2"/>
  <c r="BY176" i="2"/>
  <c r="BX176" i="2"/>
  <c r="BW176" i="2"/>
  <c r="BV176" i="2"/>
  <c r="BU176" i="2"/>
  <c r="BS176" i="2"/>
  <c r="CU176" i="2" s="1"/>
  <c r="CX176" i="2" s="1"/>
  <c r="X176" i="2"/>
  <c r="CE176" i="2" s="1"/>
  <c r="EA175" i="2"/>
  <c r="DV175" i="2"/>
  <c r="DR175" i="2"/>
  <c r="DE175" i="2"/>
  <c r="DB175" i="2"/>
  <c r="DC175" i="2" s="1"/>
  <c r="DA175" i="2"/>
  <c r="CZ175" i="2"/>
  <c r="CY175" i="2"/>
  <c r="CW175" i="2"/>
  <c r="CV175" i="2"/>
  <c r="CC175" i="2"/>
  <c r="CB175" i="2"/>
  <c r="CA175" i="2"/>
  <c r="BZ175" i="2"/>
  <c r="BY175" i="2"/>
  <c r="BX175" i="2"/>
  <c r="DU175" i="2" s="1"/>
  <c r="DW175" i="2" s="1"/>
  <c r="BW175" i="2"/>
  <c r="BV175" i="2"/>
  <c r="BU175" i="2"/>
  <c r="BS175" i="2"/>
  <c r="CU175" i="2" s="1"/>
  <c r="CX175" i="2" s="1"/>
  <c r="X175" i="2"/>
  <c r="CE175" i="2" s="1"/>
  <c r="EA174" i="2"/>
  <c r="DV174" i="2"/>
  <c r="DU174" i="2"/>
  <c r="DW174" i="2" s="1"/>
  <c r="DT174" i="2"/>
  <c r="DS174" i="2"/>
  <c r="DR174" i="2"/>
  <c r="DP174" i="2"/>
  <c r="DQ174" i="2" s="1"/>
  <c r="DE174" i="2"/>
  <c r="DB174" i="2"/>
  <c r="DC174" i="2" s="1"/>
  <c r="DF174" i="2" s="1"/>
  <c r="DA174" i="2"/>
  <c r="CW174" i="2"/>
  <c r="CV174" i="2"/>
  <c r="CY174" i="2" s="1"/>
  <c r="CC174" i="2"/>
  <c r="CB174" i="2"/>
  <c r="CA174" i="2"/>
  <c r="BZ174" i="2"/>
  <c r="BY174" i="2"/>
  <c r="DD174" i="2" s="1"/>
  <c r="BX174" i="2"/>
  <c r="BW174" i="2"/>
  <c r="BV174" i="2"/>
  <c r="BU174" i="2"/>
  <c r="BS174" i="2"/>
  <c r="CU174" i="2" s="1"/>
  <c r="X174" i="2"/>
  <c r="CE174" i="2" s="1"/>
  <c r="EA173" i="2"/>
  <c r="DV173" i="2"/>
  <c r="DU173" i="2"/>
  <c r="DW173" i="2" s="1"/>
  <c r="DR173" i="2"/>
  <c r="DP173" i="2"/>
  <c r="DQ173" i="2" s="1"/>
  <c r="DE173" i="2"/>
  <c r="DD173" i="2"/>
  <c r="DC173" i="2"/>
  <c r="DF173" i="2" s="1"/>
  <c r="DB173" i="2"/>
  <c r="CW173" i="2"/>
  <c r="CV173" i="2"/>
  <c r="CC173" i="2"/>
  <c r="CB173" i="2"/>
  <c r="CA173" i="2"/>
  <c r="BZ173" i="2"/>
  <c r="BY173" i="2"/>
  <c r="DS173" i="2" s="1"/>
  <c r="DT173" i="2" s="1"/>
  <c r="BX173" i="2"/>
  <c r="BW173" i="2"/>
  <c r="BV173" i="2"/>
  <c r="BU173" i="2"/>
  <c r="BS173" i="2"/>
  <c r="CU173" i="2" s="1"/>
  <c r="X173" i="2"/>
  <c r="CE173" i="2" s="1"/>
  <c r="EA172" i="2"/>
  <c r="DV172" i="2"/>
  <c r="DW172" i="2" s="1"/>
  <c r="DU172" i="2"/>
  <c r="DR172" i="2"/>
  <c r="DP172" i="2"/>
  <c r="DQ172" i="2" s="1"/>
  <c r="DE172" i="2"/>
  <c r="DF172" i="2" s="1"/>
  <c r="DD172" i="2"/>
  <c r="DC172" i="2"/>
  <c r="DB172" i="2"/>
  <c r="CW172" i="2"/>
  <c r="CV172" i="2"/>
  <c r="CC172" i="2"/>
  <c r="CB172" i="2"/>
  <c r="CA172" i="2"/>
  <c r="BZ172" i="2"/>
  <c r="BY172" i="2"/>
  <c r="DS172" i="2" s="1"/>
  <c r="DT172" i="2" s="1"/>
  <c r="BX172" i="2"/>
  <c r="BW172" i="2"/>
  <c r="BV172" i="2"/>
  <c r="BU172" i="2"/>
  <c r="BS172" i="2"/>
  <c r="CU172" i="2" s="1"/>
  <c r="X172" i="2"/>
  <c r="CE172" i="2" s="1"/>
  <c r="EA171" i="2"/>
  <c r="DV171" i="2"/>
  <c r="DS171" i="2"/>
  <c r="DT171" i="2" s="1"/>
  <c r="DR171" i="2"/>
  <c r="DE171" i="2"/>
  <c r="DD171" i="2"/>
  <c r="CY171" i="2"/>
  <c r="DA171" i="2" s="1"/>
  <c r="CW171" i="2"/>
  <c r="CV171" i="2"/>
  <c r="CC171" i="2"/>
  <c r="CB171" i="2"/>
  <c r="CA171" i="2"/>
  <c r="BZ171" i="2"/>
  <c r="BY171" i="2"/>
  <c r="BX171" i="2"/>
  <c r="DP171" i="2" s="1"/>
  <c r="BW171" i="2"/>
  <c r="BV171" i="2"/>
  <c r="BU171" i="2"/>
  <c r="BS171" i="2"/>
  <c r="CU171" i="2" s="1"/>
  <c r="X171" i="2"/>
  <c r="CE171" i="2" s="1"/>
  <c r="EA170" i="2"/>
  <c r="DV170" i="2"/>
  <c r="DS170" i="2"/>
  <c r="DT170" i="2" s="1"/>
  <c r="DR170" i="2"/>
  <c r="DE170" i="2"/>
  <c r="CY170" i="2"/>
  <c r="CW170" i="2"/>
  <c r="CV170" i="2"/>
  <c r="DA170" i="2" s="1"/>
  <c r="CC170" i="2"/>
  <c r="CB170" i="2"/>
  <c r="CA170" i="2"/>
  <c r="BZ170" i="2"/>
  <c r="BY170" i="2"/>
  <c r="DD170" i="2" s="1"/>
  <c r="BX170" i="2"/>
  <c r="DP170" i="2" s="1"/>
  <c r="DQ170" i="2" s="1"/>
  <c r="BW170" i="2"/>
  <c r="BV170" i="2"/>
  <c r="BU170" i="2"/>
  <c r="BS170" i="2"/>
  <c r="CU170" i="2" s="1"/>
  <c r="X170" i="2"/>
  <c r="CE170" i="2" s="1"/>
  <c r="ER169" i="2"/>
  <c r="EG169" i="2"/>
  <c r="EF169" i="2"/>
  <c r="EA169" i="2"/>
  <c r="DV169" i="2"/>
  <c r="DU169" i="2"/>
  <c r="DW169" i="2" s="1"/>
  <c r="DT169" i="2"/>
  <c r="DS169" i="2"/>
  <c r="DR169" i="2"/>
  <c r="DP169" i="2"/>
  <c r="DQ169" i="2" s="1"/>
  <c r="DH169" i="2"/>
  <c r="DI169" i="2" s="1"/>
  <c r="DE169" i="2"/>
  <c r="CW169" i="2"/>
  <c r="CV169" i="2"/>
  <c r="CC169" i="2"/>
  <c r="CB169" i="2"/>
  <c r="CA169" i="2"/>
  <c r="BZ169" i="2"/>
  <c r="BY169" i="2"/>
  <c r="DD169" i="2" s="1"/>
  <c r="BX169" i="2"/>
  <c r="DB169" i="2" s="1"/>
  <c r="DC169" i="2" s="1"/>
  <c r="DF169" i="2" s="1"/>
  <c r="BW169" i="2"/>
  <c r="BV169" i="2"/>
  <c r="BU169" i="2"/>
  <c r="CD169" i="2" s="1"/>
  <c r="CG169" i="2" s="1"/>
  <c r="BS169" i="2"/>
  <c r="CU169" i="2" s="1"/>
  <c r="X169" i="2"/>
  <c r="CE169" i="2" s="1"/>
  <c r="EA168" i="2"/>
  <c r="DV168" i="2"/>
  <c r="DU168" i="2"/>
  <c r="DW168" i="2" s="1"/>
  <c r="DT168" i="2"/>
  <c r="DR168" i="2"/>
  <c r="DE168" i="2"/>
  <c r="DD168" i="2"/>
  <c r="DB168" i="2"/>
  <c r="DC168" i="2" s="1"/>
  <c r="CW168" i="2"/>
  <c r="CV168" i="2"/>
  <c r="CC168" i="2"/>
  <c r="CB168" i="2"/>
  <c r="CA168" i="2"/>
  <c r="BZ168" i="2"/>
  <c r="BY168" i="2"/>
  <c r="DS168" i="2" s="1"/>
  <c r="BX168" i="2"/>
  <c r="DP168" i="2" s="1"/>
  <c r="DQ168" i="2" s="1"/>
  <c r="BW168" i="2"/>
  <c r="BV168" i="2"/>
  <c r="BU168" i="2"/>
  <c r="BS168" i="2"/>
  <c r="CU168" i="2" s="1"/>
  <c r="X168" i="2"/>
  <c r="CE168" i="2" s="1"/>
  <c r="EA167" i="2"/>
  <c r="DV167" i="2"/>
  <c r="DU167" i="2"/>
  <c r="DR167" i="2"/>
  <c r="DP167" i="2"/>
  <c r="DQ167" i="2" s="1"/>
  <c r="DE167" i="2"/>
  <c r="DB167" i="2"/>
  <c r="DC167" i="2" s="1"/>
  <c r="CW167" i="2"/>
  <c r="CV167" i="2"/>
  <c r="CC167" i="2"/>
  <c r="CB167" i="2"/>
  <c r="CA167" i="2"/>
  <c r="BZ167" i="2"/>
  <c r="BY167" i="2"/>
  <c r="DS167" i="2" s="1"/>
  <c r="BX167" i="2"/>
  <c r="BW167" i="2"/>
  <c r="BV167" i="2"/>
  <c r="BU167" i="2"/>
  <c r="BS167" i="2"/>
  <c r="CU167" i="2" s="1"/>
  <c r="X167" i="2"/>
  <c r="CE167" i="2" s="1"/>
  <c r="EA166" i="2"/>
  <c r="DV166" i="2"/>
  <c r="DW166" i="2" s="1"/>
  <c r="DS166" i="2"/>
  <c r="DT166" i="2" s="1"/>
  <c r="DR166" i="2"/>
  <c r="DE166" i="2"/>
  <c r="DD166" i="2"/>
  <c r="CY166" i="2"/>
  <c r="CX166" i="2"/>
  <c r="CW166" i="2"/>
  <c r="CV166" i="2"/>
  <c r="CC166" i="2"/>
  <c r="CB166" i="2"/>
  <c r="CA166" i="2"/>
  <c r="BZ166" i="2"/>
  <c r="BY166" i="2"/>
  <c r="BX166" i="2"/>
  <c r="DU166" i="2" s="1"/>
  <c r="BW166" i="2"/>
  <c r="BV166" i="2"/>
  <c r="BU166" i="2"/>
  <c r="BS166" i="2"/>
  <c r="CU166" i="2" s="1"/>
  <c r="X166" i="2"/>
  <c r="CE166" i="2" s="1"/>
  <c r="EA165" i="2"/>
  <c r="DV165" i="2"/>
  <c r="DR165" i="2"/>
  <c r="DE165" i="2"/>
  <c r="CY165" i="2"/>
  <c r="CW165" i="2"/>
  <c r="CV165" i="2"/>
  <c r="CC165" i="2"/>
  <c r="CB165" i="2"/>
  <c r="CA165" i="2"/>
  <c r="BZ165" i="2"/>
  <c r="BY165" i="2"/>
  <c r="DS165" i="2" s="1"/>
  <c r="DT165" i="2" s="1"/>
  <c r="BX165" i="2"/>
  <c r="BW165" i="2"/>
  <c r="BV165" i="2"/>
  <c r="BU165" i="2"/>
  <c r="BS165" i="2"/>
  <c r="CU165" i="2" s="1"/>
  <c r="X165" i="2"/>
  <c r="CE165" i="2" s="1"/>
  <c r="EA164" i="2"/>
  <c r="DV164" i="2"/>
  <c r="DR164" i="2"/>
  <c r="DE164" i="2"/>
  <c r="CZ164" i="2"/>
  <c r="CY164" i="2"/>
  <c r="DA164" i="2" s="1"/>
  <c r="CW164" i="2"/>
  <c r="CV164" i="2"/>
  <c r="CC164" i="2"/>
  <c r="CB164" i="2"/>
  <c r="CA164" i="2"/>
  <c r="BZ164" i="2"/>
  <c r="BY164" i="2"/>
  <c r="BX164" i="2"/>
  <c r="BW164" i="2"/>
  <c r="BV164" i="2"/>
  <c r="BU164" i="2"/>
  <c r="BS164" i="2"/>
  <c r="CU164" i="2" s="1"/>
  <c r="CX164" i="2" s="1"/>
  <c r="X164" i="2"/>
  <c r="CE164" i="2" s="1"/>
  <c r="EA163" i="2"/>
  <c r="DV163" i="2"/>
  <c r="DR163" i="2"/>
  <c r="DE163" i="2"/>
  <c r="DB163" i="2"/>
  <c r="DC163" i="2" s="1"/>
  <c r="DA163" i="2"/>
  <c r="CY163" i="2"/>
  <c r="CW163" i="2"/>
  <c r="CV163" i="2"/>
  <c r="CC163" i="2"/>
  <c r="CB163" i="2"/>
  <c r="CA163" i="2"/>
  <c r="BZ163" i="2"/>
  <c r="BY163" i="2"/>
  <c r="BX163" i="2"/>
  <c r="DU163" i="2" s="1"/>
  <c r="DW163" i="2" s="1"/>
  <c r="BW163" i="2"/>
  <c r="BV163" i="2"/>
  <c r="BU163" i="2"/>
  <c r="BS163" i="2"/>
  <c r="CU163" i="2" s="1"/>
  <c r="X163" i="2"/>
  <c r="CE163" i="2" s="1"/>
  <c r="EA162" i="2"/>
  <c r="DV162" i="2"/>
  <c r="DU162" i="2"/>
  <c r="DW162" i="2" s="1"/>
  <c r="DT162" i="2"/>
  <c r="DS162" i="2"/>
  <c r="DR162" i="2"/>
  <c r="DP162" i="2"/>
  <c r="DQ162" i="2" s="1"/>
  <c r="DE162" i="2"/>
  <c r="DB162" i="2"/>
  <c r="DC162" i="2" s="1"/>
  <c r="DA162" i="2"/>
  <c r="CW162" i="2"/>
  <c r="CV162" i="2"/>
  <c r="CY162" i="2" s="1"/>
  <c r="CC162" i="2"/>
  <c r="CB162" i="2"/>
  <c r="CA162" i="2"/>
  <c r="BZ162" i="2"/>
  <c r="BY162" i="2"/>
  <c r="DD162" i="2" s="1"/>
  <c r="BX162" i="2"/>
  <c r="BW162" i="2"/>
  <c r="BV162" i="2"/>
  <c r="BU162" i="2"/>
  <c r="BS162" i="2"/>
  <c r="CU162" i="2" s="1"/>
  <c r="X162" i="2"/>
  <c r="CE162" i="2" s="1"/>
  <c r="EA161" i="2"/>
  <c r="DV161" i="2"/>
  <c r="DU161" i="2"/>
  <c r="DW161" i="2" s="1"/>
  <c r="DR161" i="2"/>
  <c r="DP161" i="2"/>
  <c r="DQ161" i="2" s="1"/>
  <c r="DE161" i="2"/>
  <c r="DD161" i="2"/>
  <c r="DB161" i="2"/>
  <c r="DC161" i="2" s="1"/>
  <c r="DF161" i="2" s="1"/>
  <c r="CW161" i="2"/>
  <c r="CV161" i="2"/>
  <c r="CC161" i="2"/>
  <c r="CB161" i="2"/>
  <c r="CA161" i="2"/>
  <c r="BZ161" i="2"/>
  <c r="BY161" i="2"/>
  <c r="DS161" i="2" s="1"/>
  <c r="DT161" i="2" s="1"/>
  <c r="BX161" i="2"/>
  <c r="BW161" i="2"/>
  <c r="BV161" i="2"/>
  <c r="BU161" i="2"/>
  <c r="BS161" i="2"/>
  <c r="CU161" i="2" s="1"/>
  <c r="X161" i="2"/>
  <c r="CE161" i="2" s="1"/>
  <c r="EA160" i="2"/>
  <c r="DV160" i="2"/>
  <c r="DW160" i="2" s="1"/>
  <c r="DU160" i="2"/>
  <c r="DR160" i="2"/>
  <c r="DQ160" i="2"/>
  <c r="DP160" i="2"/>
  <c r="DE160" i="2"/>
  <c r="DF160" i="2" s="1"/>
  <c r="DD160" i="2"/>
  <c r="DC160" i="2"/>
  <c r="DB160" i="2"/>
  <c r="CW160" i="2"/>
  <c r="CV160" i="2"/>
  <c r="CC160" i="2"/>
  <c r="CB160" i="2"/>
  <c r="CA160" i="2"/>
  <c r="BZ160" i="2"/>
  <c r="BY160" i="2"/>
  <c r="DS160" i="2" s="1"/>
  <c r="DT160" i="2" s="1"/>
  <c r="BX160" i="2"/>
  <c r="BW160" i="2"/>
  <c r="BV160" i="2"/>
  <c r="BU160" i="2"/>
  <c r="BS160" i="2"/>
  <c r="CU160" i="2" s="1"/>
  <c r="X160" i="2"/>
  <c r="CE160" i="2" s="1"/>
  <c r="EA159" i="2"/>
  <c r="DV159" i="2"/>
  <c r="DS159" i="2"/>
  <c r="DT159" i="2" s="1"/>
  <c r="DR159" i="2"/>
  <c r="DE159" i="2"/>
  <c r="DD159" i="2"/>
  <c r="CY159" i="2"/>
  <c r="DA159" i="2" s="1"/>
  <c r="CX159" i="2"/>
  <c r="CW159" i="2"/>
  <c r="CV159" i="2"/>
  <c r="CC159" i="2"/>
  <c r="CB159" i="2"/>
  <c r="CA159" i="2"/>
  <c r="BZ159" i="2"/>
  <c r="BY159" i="2"/>
  <c r="BX159" i="2"/>
  <c r="DP159" i="2" s="1"/>
  <c r="DQ159" i="2" s="1"/>
  <c r="BW159" i="2"/>
  <c r="BV159" i="2"/>
  <c r="BU159" i="2"/>
  <c r="BS159" i="2"/>
  <c r="CU159" i="2" s="1"/>
  <c r="X159" i="2"/>
  <c r="CE159" i="2" s="1"/>
  <c r="EA158" i="2"/>
  <c r="DV158" i="2"/>
  <c r="DT158" i="2"/>
  <c r="DS158" i="2"/>
  <c r="DR158" i="2"/>
  <c r="DE158" i="2"/>
  <c r="CY158" i="2"/>
  <c r="CW158" i="2"/>
  <c r="CV158" i="2"/>
  <c r="CU158" i="2"/>
  <c r="CC158" i="2"/>
  <c r="CB158" i="2"/>
  <c r="CA158" i="2"/>
  <c r="BZ158" i="2"/>
  <c r="BY158" i="2"/>
  <c r="DD158" i="2" s="1"/>
  <c r="BX158" i="2"/>
  <c r="BW158" i="2"/>
  <c r="BV158" i="2"/>
  <c r="BU158" i="2"/>
  <c r="BS158" i="2"/>
  <c r="X158" i="2"/>
  <c r="CE158" i="2" s="1"/>
  <c r="EA157" i="2"/>
  <c r="DV157" i="2"/>
  <c r="DU157" i="2"/>
  <c r="DW157" i="2" s="1"/>
  <c r="DR157" i="2"/>
  <c r="DP157" i="2"/>
  <c r="DQ157" i="2" s="1"/>
  <c r="DE157" i="2"/>
  <c r="CW157" i="2"/>
  <c r="CV157" i="2"/>
  <c r="CE157" i="2"/>
  <c r="CC157" i="2"/>
  <c r="CB157" i="2"/>
  <c r="CA157" i="2"/>
  <c r="BZ157" i="2"/>
  <c r="BY157" i="2"/>
  <c r="DD157" i="2" s="1"/>
  <c r="BX157" i="2"/>
  <c r="DB157" i="2" s="1"/>
  <c r="BW157" i="2"/>
  <c r="BV157" i="2"/>
  <c r="BU157" i="2"/>
  <c r="BS157" i="2"/>
  <c r="CU157" i="2" s="1"/>
  <c r="X157" i="2"/>
  <c r="EA156" i="2"/>
  <c r="DV156" i="2"/>
  <c r="DU156" i="2"/>
  <c r="DR156" i="2"/>
  <c r="DE156" i="2"/>
  <c r="DF156" i="2" s="1"/>
  <c r="DD156" i="2"/>
  <c r="DB156" i="2"/>
  <c r="DC156" i="2" s="1"/>
  <c r="DA156" i="2"/>
  <c r="CW156" i="2"/>
  <c r="CV156" i="2"/>
  <c r="CY156" i="2" s="1"/>
  <c r="CC156" i="2"/>
  <c r="CB156" i="2"/>
  <c r="CA156" i="2"/>
  <c r="BZ156" i="2"/>
  <c r="BY156" i="2"/>
  <c r="DS156" i="2" s="1"/>
  <c r="DT156" i="2" s="1"/>
  <c r="BX156" i="2"/>
  <c r="DP156" i="2" s="1"/>
  <c r="DQ156" i="2" s="1"/>
  <c r="BW156" i="2"/>
  <c r="BV156" i="2"/>
  <c r="BU156" i="2"/>
  <c r="BS156" i="2"/>
  <c r="CU156" i="2" s="1"/>
  <c r="X156" i="2"/>
  <c r="EA155" i="2"/>
  <c r="DW155" i="2"/>
  <c r="DV155" i="2"/>
  <c r="DU155" i="2"/>
  <c r="DR155" i="2"/>
  <c r="DP155" i="2"/>
  <c r="DE155" i="2"/>
  <c r="DB155" i="2"/>
  <c r="DC155" i="2" s="1"/>
  <c r="CW155" i="2"/>
  <c r="CV155" i="2"/>
  <c r="CC155" i="2"/>
  <c r="CB155" i="2"/>
  <c r="CA155" i="2"/>
  <c r="BZ155" i="2"/>
  <c r="BY155" i="2"/>
  <c r="DS155" i="2" s="1"/>
  <c r="BX155" i="2"/>
  <c r="BW155" i="2"/>
  <c r="BV155" i="2"/>
  <c r="BU155" i="2"/>
  <c r="BS155" i="2"/>
  <c r="CU155" i="2" s="1"/>
  <c r="X155" i="2"/>
  <c r="CE155" i="2" s="1"/>
  <c r="EA154" i="2"/>
  <c r="DV154" i="2"/>
  <c r="DS154" i="2"/>
  <c r="DT154" i="2" s="1"/>
  <c r="DR154" i="2"/>
  <c r="DP154" i="2"/>
  <c r="DQ154" i="2" s="1"/>
  <c r="DE154" i="2"/>
  <c r="DD154" i="2"/>
  <c r="CY154" i="2"/>
  <c r="CW154" i="2"/>
  <c r="CV154" i="2"/>
  <c r="CC154" i="2"/>
  <c r="CB154" i="2"/>
  <c r="CA154" i="2"/>
  <c r="BZ154" i="2"/>
  <c r="BY154" i="2"/>
  <c r="BX154" i="2"/>
  <c r="BW154" i="2"/>
  <c r="BV154" i="2"/>
  <c r="BU154" i="2"/>
  <c r="BS154" i="2"/>
  <c r="CU154" i="2" s="1"/>
  <c r="X154" i="2"/>
  <c r="CE154" i="2" s="1"/>
  <c r="EA153" i="2"/>
  <c r="DV153" i="2"/>
  <c r="DR153" i="2"/>
  <c r="DE153" i="2"/>
  <c r="CY153" i="2"/>
  <c r="CW153" i="2"/>
  <c r="CV153" i="2"/>
  <c r="DA153" i="2" s="1"/>
  <c r="CC153" i="2"/>
  <c r="CB153" i="2"/>
  <c r="CA153" i="2"/>
  <c r="BZ153" i="2"/>
  <c r="BY153" i="2"/>
  <c r="DS153" i="2" s="1"/>
  <c r="DT153" i="2" s="1"/>
  <c r="BX153" i="2"/>
  <c r="BW153" i="2"/>
  <c r="BV153" i="2"/>
  <c r="BU153" i="2"/>
  <c r="BS153" i="2"/>
  <c r="CU153" i="2" s="1"/>
  <c r="X153" i="2"/>
  <c r="CE153" i="2" s="1"/>
  <c r="EA152" i="2"/>
  <c r="DV152" i="2"/>
  <c r="DR152" i="2"/>
  <c r="DI152" i="2"/>
  <c r="DH152" i="2"/>
  <c r="DE152" i="2"/>
  <c r="DA152" i="2"/>
  <c r="CY152" i="2"/>
  <c r="CW152" i="2"/>
  <c r="CV152" i="2"/>
  <c r="CD152" i="2"/>
  <c r="CC152" i="2"/>
  <c r="CB152" i="2"/>
  <c r="CA152" i="2"/>
  <c r="BZ152" i="2"/>
  <c r="BY152" i="2"/>
  <c r="BX152" i="2"/>
  <c r="BW152" i="2"/>
  <c r="BV152" i="2"/>
  <c r="BU152" i="2"/>
  <c r="BS152" i="2"/>
  <c r="CU152" i="2" s="1"/>
  <c r="CX152" i="2" s="1"/>
  <c r="X152" i="2"/>
  <c r="CE152" i="2" s="1"/>
  <c r="EA151" i="2"/>
  <c r="DV151" i="2"/>
  <c r="DR151" i="2"/>
  <c r="DE151" i="2"/>
  <c r="DB151" i="2"/>
  <c r="DA151" i="2"/>
  <c r="CY151" i="2"/>
  <c r="CW151" i="2"/>
  <c r="CV151" i="2"/>
  <c r="CC151" i="2"/>
  <c r="CB151" i="2"/>
  <c r="CA151" i="2"/>
  <c r="BZ151" i="2"/>
  <c r="BY151" i="2"/>
  <c r="DD151" i="2" s="1"/>
  <c r="BX151" i="2"/>
  <c r="DU151" i="2" s="1"/>
  <c r="DW151" i="2" s="1"/>
  <c r="BW151" i="2"/>
  <c r="BV151" i="2"/>
  <c r="BU151" i="2"/>
  <c r="BS151" i="2"/>
  <c r="CU151" i="2" s="1"/>
  <c r="X151" i="2"/>
  <c r="CE151" i="2" s="1"/>
  <c r="EA150" i="2"/>
  <c r="DV150" i="2"/>
  <c r="DU150" i="2"/>
  <c r="DW150" i="2" s="1"/>
  <c r="DS150" i="2"/>
  <c r="DR150" i="2"/>
  <c r="DP150" i="2"/>
  <c r="DE150" i="2"/>
  <c r="DB150" i="2"/>
  <c r="DC150" i="2" s="1"/>
  <c r="DF150" i="2" s="1"/>
  <c r="DA150" i="2"/>
  <c r="CW150" i="2"/>
  <c r="CV150" i="2"/>
  <c r="CY150" i="2" s="1"/>
  <c r="CC150" i="2"/>
  <c r="CB150" i="2"/>
  <c r="CA150" i="2"/>
  <c r="BZ150" i="2"/>
  <c r="BY150" i="2"/>
  <c r="DD150" i="2" s="1"/>
  <c r="BX150" i="2"/>
  <c r="BW150" i="2"/>
  <c r="BV150" i="2"/>
  <c r="BU150" i="2"/>
  <c r="BS150" i="2"/>
  <c r="CU150" i="2" s="1"/>
  <c r="X150" i="2"/>
  <c r="EA149" i="2"/>
  <c r="DV149" i="2"/>
  <c r="DR149" i="2"/>
  <c r="DE149" i="2"/>
  <c r="DD149" i="2"/>
  <c r="CW149" i="2"/>
  <c r="CV149" i="2"/>
  <c r="CC149" i="2"/>
  <c r="CB149" i="2"/>
  <c r="CA149" i="2"/>
  <c r="BZ149" i="2"/>
  <c r="BY149" i="2"/>
  <c r="DS149" i="2" s="1"/>
  <c r="BX149" i="2"/>
  <c r="BW149" i="2"/>
  <c r="BV149" i="2"/>
  <c r="BU149" i="2"/>
  <c r="BS149" i="2"/>
  <c r="CU149" i="2" s="1"/>
  <c r="X149" i="2"/>
  <c r="CE149" i="2" s="1"/>
  <c r="EA148" i="2"/>
  <c r="DV148" i="2"/>
  <c r="DU148" i="2"/>
  <c r="DW148" i="2" s="1"/>
  <c r="DR148" i="2"/>
  <c r="DP148" i="2"/>
  <c r="DE148" i="2"/>
  <c r="DC148" i="2"/>
  <c r="DB148" i="2"/>
  <c r="CZ148" i="2"/>
  <c r="CX148" i="2"/>
  <c r="CW148" i="2"/>
  <c r="CV148" i="2"/>
  <c r="CC148" i="2"/>
  <c r="CB148" i="2"/>
  <c r="CA148" i="2"/>
  <c r="BZ148" i="2"/>
  <c r="BY148" i="2"/>
  <c r="BX148" i="2"/>
  <c r="BW148" i="2"/>
  <c r="BV148" i="2"/>
  <c r="BU148" i="2"/>
  <c r="BS148" i="2"/>
  <c r="CU148" i="2" s="1"/>
  <c r="X148" i="2"/>
  <c r="CE148" i="2" s="1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W147" i="2"/>
  <c r="DV147" i="2"/>
  <c r="DU147" i="2"/>
  <c r="DR147" i="2"/>
  <c r="DP147" i="2"/>
  <c r="DE147" i="2"/>
  <c r="DB147" i="2"/>
  <c r="DC147" i="2" s="1"/>
  <c r="CY147" i="2"/>
  <c r="CW147" i="2"/>
  <c r="DA147" i="2" s="1"/>
  <c r="CV147" i="2"/>
  <c r="CQ147" i="2"/>
  <c r="CK147" i="2"/>
  <c r="CJ147" i="2"/>
  <c r="CI147" i="2"/>
  <c r="CH147" i="2"/>
  <c r="CG147" i="2"/>
  <c r="CE147" i="2"/>
  <c r="CC147" i="2"/>
  <c r="CB147" i="2"/>
  <c r="CA147" i="2"/>
  <c r="BZ147" i="2"/>
  <c r="BY147" i="2"/>
  <c r="BX147" i="2"/>
  <c r="BW147" i="2"/>
  <c r="BV147" i="2"/>
  <c r="BU147" i="2"/>
  <c r="BS147" i="2"/>
  <c r="CU147" i="2" s="1"/>
  <c r="CX147" i="2" s="1"/>
  <c r="X147" i="2"/>
  <c r="EA146" i="2"/>
  <c r="DV146" i="2"/>
  <c r="DS146" i="2"/>
  <c r="DT146" i="2" s="1"/>
  <c r="DR146" i="2"/>
  <c r="DE146" i="2"/>
  <c r="DD146" i="2"/>
  <c r="CY146" i="2"/>
  <c r="CX146" i="2"/>
  <c r="CW146" i="2"/>
  <c r="DA146" i="2" s="1"/>
  <c r="CV146" i="2"/>
  <c r="CC146" i="2"/>
  <c r="CB146" i="2"/>
  <c r="CA146" i="2"/>
  <c r="BZ146" i="2"/>
  <c r="BY146" i="2"/>
  <c r="BX146" i="2"/>
  <c r="BW146" i="2"/>
  <c r="BV146" i="2"/>
  <c r="BU146" i="2"/>
  <c r="BS146" i="2"/>
  <c r="CU146" i="2" s="1"/>
  <c r="X146" i="2"/>
  <c r="CE146" i="2" s="1"/>
  <c r="EA145" i="2"/>
  <c r="DV145" i="2"/>
  <c r="DU145" i="2"/>
  <c r="DW145" i="2" s="1"/>
  <c r="DR145" i="2"/>
  <c r="DE145" i="2"/>
  <c r="DF145" i="2" s="1"/>
  <c r="DB145" i="2"/>
  <c r="DC145" i="2" s="1"/>
  <c r="CY145" i="2"/>
  <c r="CW145" i="2"/>
  <c r="CV145" i="2"/>
  <c r="CC145" i="2"/>
  <c r="CB145" i="2"/>
  <c r="CA145" i="2"/>
  <c r="BZ145" i="2"/>
  <c r="BY145" i="2"/>
  <c r="DD145" i="2" s="1"/>
  <c r="BX145" i="2"/>
  <c r="DP145" i="2" s="1"/>
  <c r="BW145" i="2"/>
  <c r="BV145" i="2"/>
  <c r="BU145" i="2"/>
  <c r="BS145" i="2"/>
  <c r="CU145" i="2" s="1"/>
  <c r="CX145" i="2" s="1"/>
  <c r="X145" i="2"/>
  <c r="CE145" i="2" s="1"/>
  <c r="EA144" i="2"/>
  <c r="DV144" i="2"/>
  <c r="DS144" i="2"/>
  <c r="DT144" i="2" s="1"/>
  <c r="DR144" i="2"/>
  <c r="DP144" i="2"/>
  <c r="DQ144" i="2" s="1"/>
  <c r="DH144" i="2"/>
  <c r="DI144" i="2" s="1"/>
  <c r="DE144" i="2"/>
  <c r="CW144" i="2"/>
  <c r="CV144" i="2"/>
  <c r="CU144" i="2"/>
  <c r="CC144" i="2"/>
  <c r="CB144" i="2"/>
  <c r="CA144" i="2"/>
  <c r="BZ144" i="2"/>
  <c r="BY144" i="2"/>
  <c r="DD144" i="2" s="1"/>
  <c r="BX144" i="2"/>
  <c r="DB144" i="2" s="1"/>
  <c r="DC144" i="2" s="1"/>
  <c r="DF144" i="2" s="1"/>
  <c r="BW144" i="2"/>
  <c r="BV144" i="2"/>
  <c r="BU144" i="2"/>
  <c r="BS144" i="2"/>
  <c r="X144" i="2"/>
  <c r="CE144" i="2" s="1"/>
  <c r="EA143" i="2"/>
  <c r="DV143" i="2"/>
  <c r="DU143" i="2"/>
  <c r="DW143" i="2" s="1"/>
  <c r="DR143" i="2"/>
  <c r="DE143" i="2"/>
  <c r="DD143" i="2"/>
  <c r="DB143" i="2"/>
  <c r="DC143" i="2" s="1"/>
  <c r="DA143" i="2"/>
  <c r="CW143" i="2"/>
  <c r="CV143" i="2"/>
  <c r="CY143" i="2" s="1"/>
  <c r="CC143" i="2"/>
  <c r="CB143" i="2"/>
  <c r="CA143" i="2"/>
  <c r="BZ143" i="2"/>
  <c r="BY143" i="2"/>
  <c r="DS143" i="2" s="1"/>
  <c r="BX143" i="2"/>
  <c r="DP143" i="2" s="1"/>
  <c r="BW143" i="2"/>
  <c r="BV143" i="2"/>
  <c r="BU143" i="2"/>
  <c r="BS143" i="2"/>
  <c r="CU143" i="2" s="1"/>
  <c r="X143" i="2"/>
  <c r="EA142" i="2"/>
  <c r="DV142" i="2"/>
  <c r="DU142" i="2"/>
  <c r="DW142" i="2" s="1"/>
  <c r="DR142" i="2"/>
  <c r="DP142" i="2"/>
  <c r="DE142" i="2"/>
  <c r="DB142" i="2"/>
  <c r="DC142" i="2" s="1"/>
  <c r="CX142" i="2"/>
  <c r="CW142" i="2"/>
  <c r="DA142" i="2" s="1"/>
  <c r="CV142" i="2"/>
  <c r="CY142" i="2" s="1"/>
  <c r="CC142" i="2"/>
  <c r="CB142" i="2"/>
  <c r="CA142" i="2"/>
  <c r="BZ142" i="2"/>
  <c r="BY142" i="2"/>
  <c r="BX142" i="2"/>
  <c r="BW142" i="2"/>
  <c r="BV142" i="2"/>
  <c r="BU142" i="2"/>
  <c r="BS142" i="2"/>
  <c r="CU142" i="2" s="1"/>
  <c r="X142" i="2"/>
  <c r="CE142" i="2" s="1"/>
  <c r="EA141" i="2"/>
  <c r="DV141" i="2"/>
  <c r="DR141" i="2"/>
  <c r="DP141" i="2"/>
  <c r="DE141" i="2"/>
  <c r="CY141" i="2"/>
  <c r="CX141" i="2"/>
  <c r="CW141" i="2"/>
  <c r="DA141" i="2" s="1"/>
  <c r="CV141" i="2"/>
  <c r="CC141" i="2"/>
  <c r="CB141" i="2"/>
  <c r="CA141" i="2"/>
  <c r="BZ141" i="2"/>
  <c r="BY141" i="2"/>
  <c r="DS141" i="2" s="1"/>
  <c r="BX141" i="2"/>
  <c r="DU141" i="2" s="1"/>
  <c r="DW141" i="2" s="1"/>
  <c r="BW141" i="2"/>
  <c r="BV141" i="2"/>
  <c r="BU141" i="2"/>
  <c r="BS141" i="2"/>
  <c r="CU141" i="2" s="1"/>
  <c r="X141" i="2"/>
  <c r="CE141" i="2" s="1"/>
  <c r="EA140" i="2"/>
  <c r="DV140" i="2"/>
  <c r="DR140" i="2"/>
  <c r="DE140" i="2"/>
  <c r="DA140" i="2"/>
  <c r="CY140" i="2"/>
  <c r="CW140" i="2"/>
  <c r="CV140" i="2"/>
  <c r="CC140" i="2"/>
  <c r="CB140" i="2"/>
  <c r="CA140" i="2"/>
  <c r="BZ140" i="2"/>
  <c r="BY140" i="2"/>
  <c r="DS140" i="2" s="1"/>
  <c r="BX140" i="2"/>
  <c r="DU140" i="2" s="1"/>
  <c r="DW140" i="2" s="1"/>
  <c r="BW140" i="2"/>
  <c r="BV140" i="2"/>
  <c r="BU140" i="2"/>
  <c r="BS140" i="2"/>
  <c r="CU140" i="2" s="1"/>
  <c r="X140" i="2"/>
  <c r="EA139" i="2"/>
  <c r="DV139" i="2"/>
  <c r="DU139" i="2"/>
  <c r="DW139" i="2" s="1"/>
  <c r="DR139" i="2"/>
  <c r="DP139" i="2"/>
  <c r="DE139" i="2"/>
  <c r="DB139" i="2"/>
  <c r="DC139" i="2" s="1"/>
  <c r="CW139" i="2"/>
  <c r="CV139" i="2"/>
  <c r="CC139" i="2"/>
  <c r="CB139" i="2"/>
  <c r="CA139" i="2"/>
  <c r="BZ139" i="2"/>
  <c r="BY139" i="2"/>
  <c r="DS139" i="2" s="1"/>
  <c r="BX139" i="2"/>
  <c r="BW139" i="2"/>
  <c r="BV139" i="2"/>
  <c r="BU139" i="2"/>
  <c r="BS139" i="2"/>
  <c r="CU139" i="2" s="1"/>
  <c r="CX139" i="2" s="1"/>
  <c r="X139" i="2"/>
  <c r="CE139" i="2" s="1"/>
  <c r="EA138" i="2"/>
  <c r="DV138" i="2"/>
  <c r="DS138" i="2"/>
  <c r="DR138" i="2"/>
  <c r="DP138" i="2"/>
  <c r="DE138" i="2"/>
  <c r="DD138" i="2"/>
  <c r="DB138" i="2"/>
  <c r="CY138" i="2"/>
  <c r="CW138" i="2"/>
  <c r="DA138" i="2" s="1"/>
  <c r="CV138" i="2"/>
  <c r="CC138" i="2"/>
  <c r="CB138" i="2"/>
  <c r="CA138" i="2"/>
  <c r="BZ138" i="2"/>
  <c r="BY138" i="2"/>
  <c r="BX138" i="2"/>
  <c r="DU138" i="2" s="1"/>
  <c r="DW138" i="2" s="1"/>
  <c r="BW138" i="2"/>
  <c r="BV138" i="2"/>
  <c r="BU138" i="2"/>
  <c r="BS138" i="2"/>
  <c r="CU138" i="2" s="1"/>
  <c r="X138" i="2"/>
  <c r="CE138" i="2" s="1"/>
  <c r="EA137" i="2"/>
  <c r="DV137" i="2"/>
  <c r="DR137" i="2"/>
  <c r="DS137" i="2" s="1"/>
  <c r="DH137" i="2"/>
  <c r="DI137" i="2" s="1"/>
  <c r="DE137" i="2"/>
  <c r="DD137" i="2"/>
  <c r="DA137" i="2"/>
  <c r="CY137" i="2"/>
  <c r="CW137" i="2"/>
  <c r="CV137" i="2"/>
  <c r="CC137" i="2"/>
  <c r="CB137" i="2"/>
  <c r="CA137" i="2"/>
  <c r="BZ137" i="2"/>
  <c r="BY137" i="2"/>
  <c r="BX137" i="2"/>
  <c r="BW137" i="2"/>
  <c r="BV137" i="2"/>
  <c r="BU137" i="2"/>
  <c r="BS137" i="2"/>
  <c r="CU137" i="2" s="1"/>
  <c r="X137" i="2"/>
  <c r="CE137" i="2" s="1"/>
  <c r="EA136" i="2"/>
  <c r="DV136" i="2"/>
  <c r="DU136" i="2"/>
  <c r="DR136" i="2"/>
  <c r="DH136" i="2"/>
  <c r="DI136" i="2" s="1"/>
  <c r="DE136" i="2"/>
  <c r="CY136" i="2"/>
  <c r="CW136" i="2"/>
  <c r="CV136" i="2"/>
  <c r="CC136" i="2"/>
  <c r="CB136" i="2"/>
  <c r="CA136" i="2"/>
  <c r="BZ136" i="2"/>
  <c r="BY136" i="2"/>
  <c r="DS136" i="2" s="1"/>
  <c r="BX136" i="2"/>
  <c r="DB136" i="2" s="1"/>
  <c r="DC136" i="2" s="1"/>
  <c r="BW136" i="2"/>
  <c r="BV136" i="2"/>
  <c r="BU136" i="2"/>
  <c r="BS136" i="2"/>
  <c r="CU136" i="2" s="1"/>
  <c r="X136" i="2"/>
  <c r="CE136" i="2" s="1"/>
  <c r="EA135" i="2"/>
  <c r="DV135" i="2"/>
  <c r="DU135" i="2"/>
  <c r="DW135" i="2" s="1"/>
  <c r="DR135" i="2"/>
  <c r="DQ135" i="2"/>
  <c r="DP135" i="2"/>
  <c r="DE135" i="2"/>
  <c r="DC135" i="2"/>
  <c r="DB135" i="2"/>
  <c r="CW135" i="2"/>
  <c r="CV135" i="2"/>
  <c r="CY135" i="2" s="1"/>
  <c r="CC135" i="2"/>
  <c r="CB135" i="2"/>
  <c r="CA135" i="2"/>
  <c r="BZ135" i="2"/>
  <c r="BY135" i="2"/>
  <c r="DS135" i="2" s="1"/>
  <c r="DT135" i="2" s="1"/>
  <c r="BX135" i="2"/>
  <c r="BW135" i="2"/>
  <c r="BV135" i="2"/>
  <c r="BU135" i="2"/>
  <c r="BS135" i="2"/>
  <c r="CU135" i="2" s="1"/>
  <c r="X135" i="2"/>
  <c r="EA134" i="2"/>
  <c r="DV134" i="2"/>
  <c r="DR134" i="2"/>
  <c r="DS134" i="2" s="1"/>
  <c r="DE134" i="2"/>
  <c r="DD134" i="2"/>
  <c r="DA134" i="2"/>
  <c r="CY134" i="2"/>
  <c r="CW134" i="2"/>
  <c r="CV134" i="2"/>
  <c r="CC134" i="2"/>
  <c r="CB134" i="2"/>
  <c r="CA134" i="2"/>
  <c r="BZ134" i="2"/>
  <c r="BY134" i="2"/>
  <c r="BX134" i="2"/>
  <c r="BW134" i="2"/>
  <c r="BV134" i="2"/>
  <c r="BU134" i="2"/>
  <c r="BS134" i="2"/>
  <c r="CU134" i="2" s="1"/>
  <c r="X134" i="2"/>
  <c r="CE134" i="2" s="1"/>
  <c r="EA133" i="2"/>
  <c r="DV133" i="2"/>
  <c r="DU133" i="2"/>
  <c r="DR133" i="2"/>
  <c r="DH133" i="2"/>
  <c r="DI133" i="2" s="1"/>
  <c r="DE133" i="2"/>
  <c r="DB133" i="2"/>
  <c r="DC133" i="2" s="1"/>
  <c r="DF133" i="2" s="1"/>
  <c r="CW133" i="2"/>
  <c r="CV133" i="2"/>
  <c r="CC133" i="2"/>
  <c r="CB133" i="2"/>
  <c r="CA133" i="2"/>
  <c r="BZ133" i="2"/>
  <c r="BY133" i="2"/>
  <c r="DD133" i="2" s="1"/>
  <c r="BX133" i="2"/>
  <c r="DP133" i="2" s="1"/>
  <c r="BW133" i="2"/>
  <c r="BV133" i="2"/>
  <c r="BU133" i="2"/>
  <c r="CD133" i="2" s="1"/>
  <c r="BS133" i="2"/>
  <c r="CU133" i="2" s="1"/>
  <c r="X133" i="2"/>
  <c r="CE133" i="2" s="1"/>
  <c r="EA132" i="2"/>
  <c r="DV132" i="2"/>
  <c r="DR132" i="2"/>
  <c r="DP132" i="2"/>
  <c r="DH132" i="2"/>
  <c r="DI132" i="2" s="1"/>
  <c r="DE132" i="2"/>
  <c r="DA132" i="2"/>
  <c r="CZ132" i="2"/>
  <c r="CY132" i="2"/>
  <c r="CW132" i="2"/>
  <c r="CV132" i="2"/>
  <c r="CC132" i="2"/>
  <c r="CB132" i="2"/>
  <c r="CA132" i="2"/>
  <c r="BZ132" i="2"/>
  <c r="BY132" i="2"/>
  <c r="BX132" i="2"/>
  <c r="BW132" i="2"/>
  <c r="BV132" i="2"/>
  <c r="BU132" i="2"/>
  <c r="CD132" i="2" s="1"/>
  <c r="BS132" i="2"/>
  <c r="CU132" i="2" s="1"/>
  <c r="CX132" i="2" s="1"/>
  <c r="X132" i="2"/>
  <c r="CE132" i="2" s="1"/>
  <c r="EA131" i="2"/>
  <c r="DV131" i="2"/>
  <c r="DR131" i="2"/>
  <c r="DE131" i="2"/>
  <c r="CW131" i="2"/>
  <c r="CV131" i="2"/>
  <c r="CC131" i="2"/>
  <c r="CB131" i="2"/>
  <c r="CA131" i="2"/>
  <c r="BZ131" i="2"/>
  <c r="BY131" i="2"/>
  <c r="DS131" i="2" s="1"/>
  <c r="BX131" i="2"/>
  <c r="DP131" i="2" s="1"/>
  <c r="BW131" i="2"/>
  <c r="BV131" i="2"/>
  <c r="BU131" i="2"/>
  <c r="BS131" i="2"/>
  <c r="CU131" i="2" s="1"/>
  <c r="X131" i="2"/>
  <c r="EA130" i="2"/>
  <c r="DV130" i="2"/>
  <c r="DU130" i="2"/>
  <c r="DS130" i="2"/>
  <c r="DR130" i="2"/>
  <c r="DW130" i="2" s="1"/>
  <c r="DE130" i="2"/>
  <c r="CW130" i="2"/>
  <c r="CV130" i="2"/>
  <c r="CC130" i="2"/>
  <c r="CB130" i="2"/>
  <c r="CA130" i="2"/>
  <c r="BZ130" i="2"/>
  <c r="BY130" i="2"/>
  <c r="DD130" i="2" s="1"/>
  <c r="BX130" i="2"/>
  <c r="DP130" i="2" s="1"/>
  <c r="BW130" i="2"/>
  <c r="BV130" i="2"/>
  <c r="BU130" i="2"/>
  <c r="BS130" i="2"/>
  <c r="CU130" i="2" s="1"/>
  <c r="X130" i="2"/>
  <c r="CE130" i="2" s="1"/>
  <c r="EA129" i="2"/>
  <c r="DV129" i="2"/>
  <c r="DR129" i="2"/>
  <c r="DP129" i="2"/>
  <c r="DH129" i="2"/>
  <c r="DI129" i="2" s="1"/>
  <c r="DE129" i="2"/>
  <c r="DB129" i="2"/>
  <c r="DC129" i="2" s="1"/>
  <c r="DA129" i="2"/>
  <c r="CY129" i="2"/>
  <c r="CW129" i="2"/>
  <c r="CV129" i="2"/>
  <c r="CU129" i="2"/>
  <c r="CE129" i="2"/>
  <c r="CC129" i="2"/>
  <c r="CB129" i="2"/>
  <c r="CA129" i="2"/>
  <c r="BZ129" i="2"/>
  <c r="BY129" i="2"/>
  <c r="BX129" i="2"/>
  <c r="DU129" i="2" s="1"/>
  <c r="DW129" i="2" s="1"/>
  <c r="BW129" i="2"/>
  <c r="BV129" i="2"/>
  <c r="BU129" i="2"/>
  <c r="BS129" i="2"/>
  <c r="X129" i="2"/>
  <c r="EA128" i="2"/>
  <c r="DV128" i="2"/>
  <c r="DR128" i="2"/>
  <c r="DE128" i="2"/>
  <c r="CY128" i="2"/>
  <c r="CX128" i="2"/>
  <c r="CW128" i="2"/>
  <c r="DA128" i="2" s="1"/>
  <c r="CV128" i="2"/>
  <c r="CC128" i="2"/>
  <c r="CB128" i="2"/>
  <c r="CA128" i="2"/>
  <c r="BZ128" i="2"/>
  <c r="BY128" i="2"/>
  <c r="DS128" i="2" s="1"/>
  <c r="BX128" i="2"/>
  <c r="BW128" i="2"/>
  <c r="BV128" i="2"/>
  <c r="BU128" i="2"/>
  <c r="BS128" i="2"/>
  <c r="CU128" i="2" s="1"/>
  <c r="X128" i="2"/>
  <c r="CE128" i="2" s="1"/>
  <c r="EA127" i="2"/>
  <c r="DV127" i="2"/>
  <c r="DR127" i="2"/>
  <c r="DE127" i="2"/>
  <c r="CY127" i="2"/>
  <c r="CW127" i="2"/>
  <c r="CV127" i="2"/>
  <c r="DA127" i="2" s="1"/>
  <c r="CC127" i="2"/>
  <c r="CB127" i="2"/>
  <c r="CA127" i="2"/>
  <c r="BZ127" i="2"/>
  <c r="BY127" i="2"/>
  <c r="BX127" i="2"/>
  <c r="BW127" i="2"/>
  <c r="BV127" i="2"/>
  <c r="BU127" i="2"/>
  <c r="BS127" i="2"/>
  <c r="CU127" i="2" s="1"/>
  <c r="X127" i="2"/>
  <c r="CE127" i="2" s="1"/>
  <c r="EA126" i="2"/>
  <c r="DV126" i="2"/>
  <c r="DR126" i="2"/>
  <c r="DN126" i="2"/>
  <c r="DM126" i="2"/>
  <c r="DL126" i="2"/>
  <c r="DJ126" i="2"/>
  <c r="DO126" i="2" s="1"/>
  <c r="DI126" i="2"/>
  <c r="DK126" i="2" s="1"/>
  <c r="DH126" i="2"/>
  <c r="DE126" i="2"/>
  <c r="DA126" i="2"/>
  <c r="CY126" i="2"/>
  <c r="CW126" i="2"/>
  <c r="CV126" i="2"/>
  <c r="CC126" i="2"/>
  <c r="CB126" i="2"/>
  <c r="CA126" i="2"/>
  <c r="BZ126" i="2"/>
  <c r="BY126" i="2"/>
  <c r="BX126" i="2"/>
  <c r="DU126" i="2" s="1"/>
  <c r="DW126" i="2" s="1"/>
  <c r="BW126" i="2"/>
  <c r="BV126" i="2"/>
  <c r="BU126" i="2"/>
  <c r="BS126" i="2"/>
  <c r="CU126" i="2" s="1"/>
  <c r="CX126" i="2" s="1"/>
  <c r="X126" i="2"/>
  <c r="CE126" i="2" s="1"/>
  <c r="EA125" i="2"/>
  <c r="DW125" i="2"/>
  <c r="DV125" i="2"/>
  <c r="DU125" i="2"/>
  <c r="DS125" i="2"/>
  <c r="DT125" i="2" s="1"/>
  <c r="DR125" i="2"/>
  <c r="DP125" i="2"/>
  <c r="DE125" i="2"/>
  <c r="DB125" i="2"/>
  <c r="DC125" i="2" s="1"/>
  <c r="DF125" i="2" s="1"/>
  <c r="CW125" i="2"/>
  <c r="CV125" i="2"/>
  <c r="CY125" i="2" s="1"/>
  <c r="DA125" i="2" s="1"/>
  <c r="DX125" i="2" s="1"/>
  <c r="DY125" i="2" s="1"/>
  <c r="CC125" i="2"/>
  <c r="CB125" i="2"/>
  <c r="CA125" i="2"/>
  <c r="BZ125" i="2"/>
  <c r="BY125" i="2"/>
  <c r="DD125" i="2" s="1"/>
  <c r="BX125" i="2"/>
  <c r="BW125" i="2"/>
  <c r="BV125" i="2"/>
  <c r="BU125" i="2"/>
  <c r="BS125" i="2"/>
  <c r="CU125" i="2" s="1"/>
  <c r="X125" i="2"/>
  <c r="CE125" i="2" s="1"/>
  <c r="EA124" i="2"/>
  <c r="DV124" i="2"/>
  <c r="DS124" i="2"/>
  <c r="DR124" i="2"/>
  <c r="DP124" i="2"/>
  <c r="DE124" i="2"/>
  <c r="DD124" i="2"/>
  <c r="DC124" i="2"/>
  <c r="DF124" i="2" s="1"/>
  <c r="DB124" i="2"/>
  <c r="CY124" i="2"/>
  <c r="DA124" i="2" s="1"/>
  <c r="CW124" i="2"/>
  <c r="CV124" i="2"/>
  <c r="CC124" i="2"/>
  <c r="CB124" i="2"/>
  <c r="CA124" i="2"/>
  <c r="BZ124" i="2"/>
  <c r="BY124" i="2"/>
  <c r="BX124" i="2"/>
  <c r="DU124" i="2" s="1"/>
  <c r="DW124" i="2" s="1"/>
  <c r="BW124" i="2"/>
  <c r="BV124" i="2"/>
  <c r="BU124" i="2"/>
  <c r="BS124" i="2"/>
  <c r="CU124" i="2" s="1"/>
  <c r="X124" i="2"/>
  <c r="CE124" i="2" s="1"/>
  <c r="EA123" i="2"/>
  <c r="DV123" i="2"/>
  <c r="DU123" i="2"/>
  <c r="DW123" i="2" s="1"/>
  <c r="DR123" i="2"/>
  <c r="DP123" i="2"/>
  <c r="DI123" i="2"/>
  <c r="DH123" i="2"/>
  <c r="DE123" i="2"/>
  <c r="DF123" i="2" s="1"/>
  <c r="DD123" i="2"/>
  <c r="DC123" i="2"/>
  <c r="DB123" i="2"/>
  <c r="CW123" i="2"/>
  <c r="CV123" i="2"/>
  <c r="CC123" i="2"/>
  <c r="CB123" i="2"/>
  <c r="CA123" i="2"/>
  <c r="BZ123" i="2"/>
  <c r="BY123" i="2"/>
  <c r="DS123" i="2" s="1"/>
  <c r="BX123" i="2"/>
  <c r="BW123" i="2"/>
  <c r="BV123" i="2"/>
  <c r="BU123" i="2"/>
  <c r="CD123" i="2" s="1"/>
  <c r="BS123" i="2"/>
  <c r="CU123" i="2" s="1"/>
  <c r="X123" i="2"/>
  <c r="CE123" i="2" s="1"/>
  <c r="EA122" i="2"/>
  <c r="DV122" i="2"/>
  <c r="DU122" i="2"/>
  <c r="DW122" i="2" s="1"/>
  <c r="DR122" i="2"/>
  <c r="DP122" i="2"/>
  <c r="DE122" i="2"/>
  <c r="DF122" i="2" s="1"/>
  <c r="DD122" i="2"/>
  <c r="CW122" i="2"/>
  <c r="CV122" i="2"/>
  <c r="CC122" i="2"/>
  <c r="CB122" i="2"/>
  <c r="CA122" i="2"/>
  <c r="BZ122" i="2"/>
  <c r="BY122" i="2"/>
  <c r="DS122" i="2" s="1"/>
  <c r="BX122" i="2"/>
  <c r="DB122" i="2" s="1"/>
  <c r="DC122" i="2" s="1"/>
  <c r="BW122" i="2"/>
  <c r="BV122" i="2"/>
  <c r="BU122" i="2"/>
  <c r="BS122" i="2"/>
  <c r="CU122" i="2" s="1"/>
  <c r="X122" i="2"/>
  <c r="CE122" i="2" s="1"/>
  <c r="EA121" i="2"/>
  <c r="DW121" i="2"/>
  <c r="DV121" i="2"/>
  <c r="DU121" i="2"/>
  <c r="DR121" i="2"/>
  <c r="DS121" i="2" s="1"/>
  <c r="DE121" i="2"/>
  <c r="DD121" i="2"/>
  <c r="DB121" i="2"/>
  <c r="CW121" i="2"/>
  <c r="CV121" i="2"/>
  <c r="CC121" i="2"/>
  <c r="CB121" i="2"/>
  <c r="CA121" i="2"/>
  <c r="BZ121" i="2"/>
  <c r="BY121" i="2"/>
  <c r="BX121" i="2"/>
  <c r="DP121" i="2" s="1"/>
  <c r="DQ121" i="2" s="1"/>
  <c r="BW121" i="2"/>
  <c r="BV121" i="2"/>
  <c r="BU121" i="2"/>
  <c r="BS121" i="2"/>
  <c r="CU121" i="2" s="1"/>
  <c r="X121" i="2"/>
  <c r="CE121" i="2" s="1"/>
  <c r="EA120" i="2"/>
  <c r="DV120" i="2"/>
  <c r="DS120" i="2"/>
  <c r="DT120" i="2" s="1"/>
  <c r="DR120" i="2"/>
  <c r="DH120" i="2"/>
  <c r="DI120" i="2" s="1"/>
  <c r="DE120" i="2"/>
  <c r="CY120" i="2"/>
  <c r="CW120" i="2"/>
  <c r="CV120" i="2"/>
  <c r="DA120" i="2" s="1"/>
  <c r="CC120" i="2"/>
  <c r="CB120" i="2"/>
  <c r="CA120" i="2"/>
  <c r="BZ120" i="2"/>
  <c r="BY120" i="2"/>
  <c r="DD120" i="2" s="1"/>
  <c r="BX120" i="2"/>
  <c r="DP120" i="2" s="1"/>
  <c r="DQ120" i="2" s="1"/>
  <c r="BW120" i="2"/>
  <c r="BV120" i="2"/>
  <c r="BU120" i="2"/>
  <c r="BS120" i="2"/>
  <c r="CU120" i="2" s="1"/>
  <c r="X120" i="2"/>
  <c r="CE120" i="2" s="1"/>
  <c r="EA119" i="2"/>
  <c r="DV119" i="2"/>
  <c r="DU119" i="2"/>
  <c r="DW119" i="2" s="1"/>
  <c r="DR119" i="2"/>
  <c r="DE119" i="2"/>
  <c r="CW119" i="2"/>
  <c r="CV119" i="2"/>
  <c r="CC119" i="2"/>
  <c r="CB119" i="2"/>
  <c r="CA119" i="2"/>
  <c r="BZ119" i="2"/>
  <c r="BY119" i="2"/>
  <c r="DD119" i="2" s="1"/>
  <c r="BX119" i="2"/>
  <c r="DP119" i="2" s="1"/>
  <c r="BW119" i="2"/>
  <c r="BV119" i="2"/>
  <c r="BU119" i="2"/>
  <c r="BS119" i="2"/>
  <c r="CU119" i="2" s="1"/>
  <c r="X119" i="2"/>
  <c r="CE119" i="2" s="1"/>
  <c r="EA118" i="2"/>
  <c r="DV118" i="2"/>
  <c r="DU118" i="2"/>
  <c r="DR118" i="2"/>
  <c r="DE118" i="2"/>
  <c r="CW118" i="2"/>
  <c r="CV118" i="2"/>
  <c r="CC118" i="2"/>
  <c r="CB118" i="2"/>
  <c r="CA118" i="2"/>
  <c r="BZ118" i="2"/>
  <c r="BY118" i="2"/>
  <c r="DS118" i="2" s="1"/>
  <c r="BX118" i="2"/>
  <c r="DP118" i="2" s="1"/>
  <c r="BW118" i="2"/>
  <c r="BV118" i="2"/>
  <c r="BU118" i="2"/>
  <c r="BS118" i="2"/>
  <c r="CU118" i="2" s="1"/>
  <c r="X118" i="2"/>
  <c r="CE118" i="2" s="1"/>
  <c r="EA117" i="2"/>
  <c r="DW117" i="2"/>
  <c r="DV117" i="2"/>
  <c r="DU117" i="2"/>
  <c r="DR117" i="2"/>
  <c r="DI117" i="2"/>
  <c r="DH117" i="2"/>
  <c r="DE117" i="2"/>
  <c r="DB117" i="2"/>
  <c r="DC117" i="2" s="1"/>
  <c r="CW117" i="2"/>
  <c r="CV117" i="2"/>
  <c r="CY117" i="2" s="1"/>
  <c r="CC117" i="2"/>
  <c r="CB117" i="2"/>
  <c r="CA117" i="2"/>
  <c r="BZ117" i="2"/>
  <c r="BY117" i="2"/>
  <c r="DS117" i="2" s="1"/>
  <c r="BX117" i="2"/>
  <c r="DP117" i="2" s="1"/>
  <c r="BW117" i="2"/>
  <c r="BV117" i="2"/>
  <c r="BU117" i="2"/>
  <c r="CD117" i="2" s="1"/>
  <c r="CJ117" i="2" s="1"/>
  <c r="BS117" i="2"/>
  <c r="CU117" i="2" s="1"/>
  <c r="X117" i="2"/>
  <c r="CE117" i="2" s="1"/>
  <c r="EA116" i="2"/>
  <c r="DV116" i="2"/>
  <c r="DR116" i="2"/>
  <c r="DE116" i="2"/>
  <c r="CY116" i="2"/>
  <c r="CX116" i="2"/>
  <c r="CW116" i="2"/>
  <c r="CV116" i="2"/>
  <c r="CC116" i="2"/>
  <c r="CB116" i="2"/>
  <c r="CA116" i="2"/>
  <c r="BZ116" i="2"/>
  <c r="BY116" i="2"/>
  <c r="DS116" i="2" s="1"/>
  <c r="BX116" i="2"/>
  <c r="BW116" i="2"/>
  <c r="BV116" i="2"/>
  <c r="BU116" i="2"/>
  <c r="BS116" i="2"/>
  <c r="CU116" i="2" s="1"/>
  <c r="X116" i="2"/>
  <c r="CE116" i="2" s="1"/>
  <c r="EA115" i="2"/>
  <c r="DV115" i="2"/>
  <c r="DR115" i="2"/>
  <c r="DE115" i="2"/>
  <c r="CY115" i="2"/>
  <c r="CW115" i="2"/>
  <c r="CV115" i="2"/>
  <c r="DA115" i="2" s="1"/>
  <c r="CC115" i="2"/>
  <c r="CB115" i="2"/>
  <c r="CA115" i="2"/>
  <c r="BZ115" i="2"/>
  <c r="BY115" i="2"/>
  <c r="BX115" i="2"/>
  <c r="BW115" i="2"/>
  <c r="BV115" i="2"/>
  <c r="BU115" i="2"/>
  <c r="BS115" i="2"/>
  <c r="CU115" i="2" s="1"/>
  <c r="CX115" i="2" s="1"/>
  <c r="X115" i="2"/>
  <c r="CE115" i="2" s="1"/>
  <c r="EA114" i="2"/>
  <c r="DV114" i="2"/>
  <c r="DR114" i="2"/>
  <c r="DI114" i="2"/>
  <c r="DH114" i="2"/>
  <c r="DE114" i="2"/>
  <c r="DA114" i="2"/>
  <c r="CY114" i="2"/>
  <c r="CW114" i="2"/>
  <c r="CV114" i="2"/>
  <c r="CC114" i="2"/>
  <c r="CB114" i="2"/>
  <c r="CA114" i="2"/>
  <c r="BZ114" i="2"/>
  <c r="BY114" i="2"/>
  <c r="BX114" i="2"/>
  <c r="DU114" i="2" s="1"/>
  <c r="DW114" i="2" s="1"/>
  <c r="BW114" i="2"/>
  <c r="BV114" i="2"/>
  <c r="BU114" i="2"/>
  <c r="BS114" i="2"/>
  <c r="CU114" i="2" s="1"/>
  <c r="X114" i="2"/>
  <c r="CE114" i="2" s="1"/>
  <c r="EA113" i="2"/>
  <c r="DV113" i="2"/>
  <c r="DU113" i="2"/>
  <c r="DS113" i="2"/>
  <c r="DR113" i="2"/>
  <c r="DW113" i="2" s="1"/>
  <c r="DP113" i="2"/>
  <c r="DE113" i="2"/>
  <c r="DB113" i="2"/>
  <c r="DC113" i="2" s="1"/>
  <c r="DA113" i="2"/>
  <c r="CW113" i="2"/>
  <c r="CV113" i="2"/>
  <c r="CY113" i="2" s="1"/>
  <c r="CC113" i="2"/>
  <c r="CB113" i="2"/>
  <c r="CA113" i="2"/>
  <c r="BZ113" i="2"/>
  <c r="BY113" i="2"/>
  <c r="DD113" i="2" s="1"/>
  <c r="BX113" i="2"/>
  <c r="BW113" i="2"/>
  <c r="BV113" i="2"/>
  <c r="BU113" i="2"/>
  <c r="BS113" i="2"/>
  <c r="CU113" i="2" s="1"/>
  <c r="X113" i="2"/>
  <c r="CE113" i="2" s="1"/>
  <c r="EA112" i="2"/>
  <c r="DV112" i="2"/>
  <c r="DS112" i="2"/>
  <c r="DR112" i="2"/>
  <c r="DP112" i="2"/>
  <c r="DE112" i="2"/>
  <c r="DD112" i="2"/>
  <c r="DC112" i="2"/>
  <c r="DF112" i="2" s="1"/>
  <c r="DB112" i="2"/>
  <c r="DA112" i="2"/>
  <c r="CY112" i="2"/>
  <c r="CW112" i="2"/>
  <c r="CV112" i="2"/>
  <c r="CC112" i="2"/>
  <c r="CB112" i="2"/>
  <c r="CA112" i="2"/>
  <c r="BZ112" i="2"/>
  <c r="BY112" i="2"/>
  <c r="BX112" i="2"/>
  <c r="DU112" i="2" s="1"/>
  <c r="DW112" i="2" s="1"/>
  <c r="BW112" i="2"/>
  <c r="BV112" i="2"/>
  <c r="BU112" i="2"/>
  <c r="BS112" i="2"/>
  <c r="CU112" i="2" s="1"/>
  <c r="X112" i="2"/>
  <c r="CE112" i="2" s="1"/>
  <c r="EA111" i="2"/>
  <c r="DV111" i="2"/>
  <c r="DU111" i="2"/>
  <c r="DW111" i="2" s="1"/>
  <c r="DR111" i="2"/>
  <c r="DP111" i="2"/>
  <c r="DI111" i="2"/>
  <c r="DH111" i="2"/>
  <c r="DE111" i="2"/>
  <c r="DF111" i="2" s="1"/>
  <c r="DD111" i="2"/>
  <c r="DC111" i="2"/>
  <c r="DB111" i="2"/>
  <c r="CW111" i="2"/>
  <c r="CV111" i="2"/>
  <c r="CC111" i="2"/>
  <c r="CB111" i="2"/>
  <c r="CA111" i="2"/>
  <c r="BZ111" i="2"/>
  <c r="BY111" i="2"/>
  <c r="DS111" i="2" s="1"/>
  <c r="BX111" i="2"/>
  <c r="BW111" i="2"/>
  <c r="BV111" i="2"/>
  <c r="BU111" i="2"/>
  <c r="BS111" i="2"/>
  <c r="CU111" i="2" s="1"/>
  <c r="X111" i="2"/>
  <c r="CE111" i="2" s="1"/>
  <c r="EA110" i="2"/>
  <c r="DV110" i="2"/>
  <c r="DU110" i="2"/>
  <c r="DR110" i="2"/>
  <c r="DP110" i="2"/>
  <c r="DE110" i="2"/>
  <c r="DD110" i="2"/>
  <c r="CW110" i="2"/>
  <c r="CV110" i="2"/>
  <c r="CC110" i="2"/>
  <c r="CB110" i="2"/>
  <c r="CA110" i="2"/>
  <c r="BZ110" i="2"/>
  <c r="BY110" i="2"/>
  <c r="DS110" i="2" s="1"/>
  <c r="BX110" i="2"/>
  <c r="DB110" i="2" s="1"/>
  <c r="DC110" i="2" s="1"/>
  <c r="BW110" i="2"/>
  <c r="BV110" i="2"/>
  <c r="BU110" i="2"/>
  <c r="BS110" i="2"/>
  <c r="CU110" i="2" s="1"/>
  <c r="X110" i="2"/>
  <c r="CE110" i="2" s="1"/>
  <c r="ER109" i="2"/>
  <c r="EQ109" i="2"/>
  <c r="EA109" i="2"/>
  <c r="DV109" i="2"/>
  <c r="DU109" i="2"/>
  <c r="DR109" i="2"/>
  <c r="DW109" i="2" s="1"/>
  <c r="DK109" i="2"/>
  <c r="DJ109" i="2"/>
  <c r="DO109" i="2" s="1"/>
  <c r="DI109" i="2"/>
  <c r="DM109" i="2" s="1"/>
  <c r="DH109" i="2"/>
  <c r="DE109" i="2"/>
  <c r="DD109" i="2"/>
  <c r="DB109" i="2"/>
  <c r="CW109" i="2"/>
  <c r="CV109" i="2"/>
  <c r="CQ109" i="2"/>
  <c r="CD109" i="2"/>
  <c r="EF109" i="2" s="1"/>
  <c r="CC109" i="2"/>
  <c r="CB109" i="2"/>
  <c r="CA109" i="2"/>
  <c r="BZ109" i="2"/>
  <c r="BY109" i="2"/>
  <c r="BX109" i="2"/>
  <c r="DP109" i="2" s="1"/>
  <c r="BW109" i="2"/>
  <c r="BV109" i="2"/>
  <c r="BU109" i="2"/>
  <c r="BS109" i="2"/>
  <c r="CU109" i="2" s="1"/>
  <c r="X109" i="2"/>
  <c r="CE109" i="2" s="1"/>
  <c r="EA108" i="2"/>
  <c r="DV108" i="2"/>
  <c r="DT108" i="2"/>
  <c r="DS108" i="2"/>
  <c r="DR108" i="2"/>
  <c r="DH108" i="2"/>
  <c r="DI108" i="2" s="1"/>
  <c r="DE108" i="2"/>
  <c r="CY108" i="2"/>
  <c r="CW108" i="2"/>
  <c r="CV108" i="2"/>
  <c r="DA108" i="2" s="1"/>
  <c r="CC108" i="2"/>
  <c r="CB108" i="2"/>
  <c r="CA108" i="2"/>
  <c r="BZ108" i="2"/>
  <c r="BY108" i="2"/>
  <c r="DD108" i="2" s="1"/>
  <c r="BX108" i="2"/>
  <c r="DP108" i="2" s="1"/>
  <c r="DQ108" i="2" s="1"/>
  <c r="BW108" i="2"/>
  <c r="BV108" i="2"/>
  <c r="BU108" i="2"/>
  <c r="CD108" i="2" s="1"/>
  <c r="BS108" i="2"/>
  <c r="CU108" i="2" s="1"/>
  <c r="X108" i="2"/>
  <c r="EA107" i="2"/>
  <c r="DV107" i="2"/>
  <c r="DU107" i="2"/>
  <c r="DW107" i="2" s="1"/>
  <c r="DR107" i="2"/>
  <c r="DE107" i="2"/>
  <c r="CW107" i="2"/>
  <c r="CV107" i="2"/>
  <c r="CC107" i="2"/>
  <c r="CB107" i="2"/>
  <c r="CA107" i="2"/>
  <c r="BZ107" i="2"/>
  <c r="BY107" i="2"/>
  <c r="DD107" i="2" s="1"/>
  <c r="BX107" i="2"/>
  <c r="DP107" i="2" s="1"/>
  <c r="DQ107" i="2" s="1"/>
  <c r="BW107" i="2"/>
  <c r="BV107" i="2"/>
  <c r="BU107" i="2"/>
  <c r="BS107" i="2"/>
  <c r="CU107" i="2" s="1"/>
  <c r="X107" i="2"/>
  <c r="EA106" i="2"/>
  <c r="DV106" i="2"/>
  <c r="DU106" i="2"/>
  <c r="DR106" i="2"/>
  <c r="DE106" i="2"/>
  <c r="CW106" i="2"/>
  <c r="CV106" i="2"/>
  <c r="CC106" i="2"/>
  <c r="CB106" i="2"/>
  <c r="CA106" i="2"/>
  <c r="BZ106" i="2"/>
  <c r="BY106" i="2"/>
  <c r="DS106" i="2" s="1"/>
  <c r="BX106" i="2"/>
  <c r="DP106" i="2" s="1"/>
  <c r="BW106" i="2"/>
  <c r="BV106" i="2"/>
  <c r="BU106" i="2"/>
  <c r="BS106" i="2"/>
  <c r="CU106" i="2" s="1"/>
  <c r="X106" i="2"/>
  <c r="CE106" i="2" s="1"/>
  <c r="EA105" i="2"/>
  <c r="DW105" i="2"/>
  <c r="DV105" i="2"/>
  <c r="DU105" i="2"/>
  <c r="DR105" i="2"/>
  <c r="DI105" i="2"/>
  <c r="DH105" i="2"/>
  <c r="DE105" i="2"/>
  <c r="DB105" i="2"/>
  <c r="DC105" i="2" s="1"/>
  <c r="CX105" i="2"/>
  <c r="CW105" i="2"/>
  <c r="CV105" i="2"/>
  <c r="CY105" i="2" s="1"/>
  <c r="CC105" i="2"/>
  <c r="CB105" i="2"/>
  <c r="CA105" i="2"/>
  <c r="BZ105" i="2"/>
  <c r="BY105" i="2"/>
  <c r="DS105" i="2" s="1"/>
  <c r="BX105" i="2"/>
  <c r="DP105" i="2" s="1"/>
  <c r="BW105" i="2"/>
  <c r="BV105" i="2"/>
  <c r="BU105" i="2"/>
  <c r="BS105" i="2"/>
  <c r="CU105" i="2" s="1"/>
  <c r="X105" i="2"/>
  <c r="CE105" i="2" s="1"/>
  <c r="EA104" i="2"/>
  <c r="DV104" i="2"/>
  <c r="DR104" i="2"/>
  <c r="DE104" i="2"/>
  <c r="CY104" i="2"/>
  <c r="CW104" i="2"/>
  <c r="CV104" i="2"/>
  <c r="CC104" i="2"/>
  <c r="CB104" i="2"/>
  <c r="CA104" i="2"/>
  <c r="BZ104" i="2"/>
  <c r="BY104" i="2"/>
  <c r="DS104" i="2" s="1"/>
  <c r="BX104" i="2"/>
  <c r="BW104" i="2"/>
  <c r="BV104" i="2"/>
  <c r="BU104" i="2"/>
  <c r="BS104" i="2"/>
  <c r="CU104" i="2" s="1"/>
  <c r="X104" i="2"/>
  <c r="CE104" i="2" s="1"/>
  <c r="EA103" i="2"/>
  <c r="DV103" i="2"/>
  <c r="DR103" i="2"/>
  <c r="DE103" i="2"/>
  <c r="CZ103" i="2"/>
  <c r="CY103" i="2"/>
  <c r="CW103" i="2"/>
  <c r="CV103" i="2"/>
  <c r="CC103" i="2"/>
  <c r="CB103" i="2"/>
  <c r="CA103" i="2"/>
  <c r="BZ103" i="2"/>
  <c r="BY103" i="2"/>
  <c r="BX103" i="2"/>
  <c r="BW103" i="2"/>
  <c r="BV103" i="2"/>
  <c r="BU103" i="2"/>
  <c r="BS103" i="2"/>
  <c r="CU103" i="2" s="1"/>
  <c r="CX103" i="2" s="1"/>
  <c r="X103" i="2"/>
  <c r="CE103" i="2" s="1"/>
  <c r="EA102" i="2"/>
  <c r="DV102" i="2"/>
  <c r="DR102" i="2"/>
  <c r="DI102" i="2"/>
  <c r="DH102" i="2"/>
  <c r="DE102" i="2"/>
  <c r="DA102" i="2"/>
  <c r="CY102" i="2"/>
  <c r="CW102" i="2"/>
  <c r="CV102" i="2"/>
  <c r="CC102" i="2"/>
  <c r="CB102" i="2"/>
  <c r="CA102" i="2"/>
  <c r="BZ102" i="2"/>
  <c r="BY102" i="2"/>
  <c r="BX102" i="2"/>
  <c r="DU102" i="2" s="1"/>
  <c r="DW102" i="2" s="1"/>
  <c r="BW102" i="2"/>
  <c r="BV102" i="2"/>
  <c r="BU102" i="2"/>
  <c r="BS102" i="2"/>
  <c r="CU102" i="2" s="1"/>
  <c r="CX102" i="2" s="1"/>
  <c r="X102" i="2"/>
  <c r="CE102" i="2" s="1"/>
  <c r="EA101" i="2"/>
  <c r="DV101" i="2"/>
  <c r="DU101" i="2"/>
  <c r="DS101" i="2"/>
  <c r="DT101" i="2" s="1"/>
  <c r="DR101" i="2"/>
  <c r="DW101" i="2" s="1"/>
  <c r="DP101" i="2"/>
  <c r="DE101" i="2"/>
  <c r="DB101" i="2"/>
  <c r="DC101" i="2" s="1"/>
  <c r="CW101" i="2"/>
  <c r="CV101" i="2"/>
  <c r="CY101" i="2" s="1"/>
  <c r="DA101" i="2" s="1"/>
  <c r="CC101" i="2"/>
  <c r="CB101" i="2"/>
  <c r="CA101" i="2"/>
  <c r="BZ101" i="2"/>
  <c r="BY101" i="2"/>
  <c r="DD101" i="2" s="1"/>
  <c r="BX101" i="2"/>
  <c r="BW101" i="2"/>
  <c r="BV101" i="2"/>
  <c r="BU101" i="2"/>
  <c r="BS101" i="2"/>
  <c r="CU101" i="2" s="1"/>
  <c r="X101" i="2"/>
  <c r="CE101" i="2" s="1"/>
  <c r="EA100" i="2"/>
  <c r="DV100" i="2"/>
  <c r="DS100" i="2"/>
  <c r="DR100" i="2"/>
  <c r="DP100" i="2"/>
  <c r="DE100" i="2"/>
  <c r="DD100" i="2"/>
  <c r="DB100" i="2"/>
  <c r="DC100" i="2" s="1"/>
  <c r="DF100" i="2" s="1"/>
  <c r="DA100" i="2"/>
  <c r="CY100" i="2"/>
  <c r="CW100" i="2"/>
  <c r="CV100" i="2"/>
  <c r="CC100" i="2"/>
  <c r="CB100" i="2"/>
  <c r="CA100" i="2"/>
  <c r="BZ100" i="2"/>
  <c r="BY100" i="2"/>
  <c r="BX100" i="2"/>
  <c r="DU100" i="2" s="1"/>
  <c r="DW100" i="2" s="1"/>
  <c r="BW100" i="2"/>
  <c r="BV100" i="2"/>
  <c r="BU100" i="2"/>
  <c r="BS100" i="2"/>
  <c r="CU100" i="2" s="1"/>
  <c r="X100" i="2"/>
  <c r="CE100" i="2" s="1"/>
  <c r="EA99" i="2"/>
  <c r="DV99" i="2"/>
  <c r="DU99" i="2"/>
  <c r="DW99" i="2" s="1"/>
  <c r="DR99" i="2"/>
  <c r="DP99" i="2"/>
  <c r="DI99" i="2"/>
  <c r="DH99" i="2"/>
  <c r="DE99" i="2"/>
  <c r="DD99" i="2"/>
  <c r="DC99" i="2"/>
  <c r="DF99" i="2" s="1"/>
  <c r="DB99" i="2"/>
  <c r="CW99" i="2"/>
  <c r="CV99" i="2"/>
  <c r="CC99" i="2"/>
  <c r="CB99" i="2"/>
  <c r="CA99" i="2"/>
  <c r="BZ99" i="2"/>
  <c r="BY99" i="2"/>
  <c r="DS99" i="2" s="1"/>
  <c r="BX99" i="2"/>
  <c r="BW99" i="2"/>
  <c r="BV99" i="2"/>
  <c r="BU99" i="2"/>
  <c r="CD99" i="2" s="1"/>
  <c r="BS99" i="2"/>
  <c r="CU99" i="2" s="1"/>
  <c r="X99" i="2"/>
  <c r="CE99" i="2" s="1"/>
  <c r="EA98" i="2"/>
  <c r="DV98" i="2"/>
  <c r="DU98" i="2"/>
  <c r="DW98" i="2" s="1"/>
  <c r="DR98" i="2"/>
  <c r="DQ98" i="2"/>
  <c r="DP98" i="2"/>
  <c r="DE98" i="2"/>
  <c r="DD98" i="2"/>
  <c r="CW98" i="2"/>
  <c r="CV98" i="2"/>
  <c r="CC98" i="2"/>
  <c r="CB98" i="2"/>
  <c r="CA98" i="2"/>
  <c r="BZ98" i="2"/>
  <c r="BY98" i="2"/>
  <c r="BX98" i="2"/>
  <c r="DB98" i="2" s="1"/>
  <c r="DC98" i="2" s="1"/>
  <c r="BW98" i="2"/>
  <c r="BV98" i="2"/>
  <c r="BU98" i="2"/>
  <c r="BS98" i="2"/>
  <c r="CU98" i="2" s="1"/>
  <c r="X98" i="2"/>
  <c r="CE98" i="2" s="1"/>
  <c r="EA97" i="2"/>
  <c r="DV97" i="2"/>
  <c r="DU97" i="2"/>
  <c r="DS97" i="2"/>
  <c r="DR97" i="2"/>
  <c r="DW97" i="2" s="1"/>
  <c r="DE97" i="2"/>
  <c r="DD97" i="2"/>
  <c r="DB97" i="2"/>
  <c r="CW97" i="2"/>
  <c r="CV97" i="2"/>
  <c r="CE97" i="2"/>
  <c r="CC97" i="2"/>
  <c r="CB97" i="2"/>
  <c r="CA97" i="2"/>
  <c r="BZ97" i="2"/>
  <c r="BY97" i="2"/>
  <c r="BX97" i="2"/>
  <c r="DP97" i="2" s="1"/>
  <c r="BW97" i="2"/>
  <c r="BV97" i="2"/>
  <c r="BU97" i="2"/>
  <c r="BS97" i="2"/>
  <c r="CU97" i="2" s="1"/>
  <c r="X97" i="2"/>
  <c r="EA96" i="2"/>
  <c r="DV96" i="2"/>
  <c r="DS96" i="2"/>
  <c r="DR96" i="2"/>
  <c r="DH96" i="2"/>
  <c r="DI96" i="2" s="1"/>
  <c r="DE96" i="2"/>
  <c r="CY96" i="2"/>
  <c r="CW96" i="2"/>
  <c r="CV96" i="2"/>
  <c r="DA96" i="2" s="1"/>
  <c r="CC96" i="2"/>
  <c r="CB96" i="2"/>
  <c r="CA96" i="2"/>
  <c r="BZ96" i="2"/>
  <c r="BY96" i="2"/>
  <c r="DD96" i="2" s="1"/>
  <c r="BX96" i="2"/>
  <c r="DP96" i="2" s="1"/>
  <c r="BW96" i="2"/>
  <c r="BV96" i="2"/>
  <c r="BU96" i="2"/>
  <c r="BS96" i="2"/>
  <c r="CU96" i="2" s="1"/>
  <c r="X96" i="2"/>
  <c r="CE96" i="2" s="1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V95" i="2"/>
  <c r="DU95" i="2"/>
  <c r="DW95" i="2" s="1"/>
  <c r="DS95" i="2"/>
  <c r="DR95" i="2"/>
  <c r="DE95" i="2"/>
  <c r="DD95" i="2"/>
  <c r="CW95" i="2"/>
  <c r="CV95" i="2"/>
  <c r="CU95" i="2"/>
  <c r="CQ95" i="2"/>
  <c r="CK95" i="2"/>
  <c r="CJ95" i="2"/>
  <c r="CI95" i="2"/>
  <c r="CH95" i="2"/>
  <c r="CG95" i="2"/>
  <c r="CC95" i="2"/>
  <c r="CB95" i="2"/>
  <c r="CA95" i="2"/>
  <c r="BZ95" i="2"/>
  <c r="BY95" i="2"/>
  <c r="BX95" i="2"/>
  <c r="DP95" i="2" s="1"/>
  <c r="BW95" i="2"/>
  <c r="BV95" i="2"/>
  <c r="BU95" i="2"/>
  <c r="BS95" i="2"/>
  <c r="X95" i="2"/>
  <c r="CE95" i="2" s="1"/>
  <c r="EA94" i="2"/>
  <c r="DV94" i="2"/>
  <c r="DU94" i="2"/>
  <c r="DW94" i="2" s="1"/>
  <c r="DR94" i="2"/>
  <c r="DE94" i="2"/>
  <c r="CW94" i="2"/>
  <c r="CV94" i="2"/>
  <c r="CC94" i="2"/>
  <c r="CB94" i="2"/>
  <c r="CA94" i="2"/>
  <c r="BZ94" i="2"/>
  <c r="BY94" i="2"/>
  <c r="DD94" i="2" s="1"/>
  <c r="BX94" i="2"/>
  <c r="DP94" i="2" s="1"/>
  <c r="BW94" i="2"/>
  <c r="BV94" i="2"/>
  <c r="BU94" i="2"/>
  <c r="BS94" i="2"/>
  <c r="CU94" i="2" s="1"/>
  <c r="X94" i="2"/>
  <c r="EA93" i="2"/>
  <c r="DV93" i="2"/>
  <c r="DU93" i="2"/>
  <c r="DR93" i="2"/>
  <c r="DI93" i="2"/>
  <c r="DH93" i="2"/>
  <c r="DE93" i="2"/>
  <c r="CW93" i="2"/>
  <c r="CV93" i="2"/>
  <c r="CC93" i="2"/>
  <c r="CB93" i="2"/>
  <c r="CA93" i="2"/>
  <c r="BZ93" i="2"/>
  <c r="BY93" i="2"/>
  <c r="DS93" i="2" s="1"/>
  <c r="BX93" i="2"/>
  <c r="DP93" i="2" s="1"/>
  <c r="BW93" i="2"/>
  <c r="BV93" i="2"/>
  <c r="BU93" i="2"/>
  <c r="CD93" i="2" s="1"/>
  <c r="EI93" i="2" s="1"/>
  <c r="BS93" i="2"/>
  <c r="CU93" i="2" s="1"/>
  <c r="X93" i="2"/>
  <c r="CE93" i="2" s="1"/>
  <c r="EA92" i="2"/>
  <c r="DV92" i="2"/>
  <c r="DR92" i="2"/>
  <c r="DE92" i="2"/>
  <c r="DB92" i="2"/>
  <c r="DC92" i="2" s="1"/>
  <c r="CW92" i="2"/>
  <c r="CV92" i="2"/>
  <c r="DA92" i="2" s="1"/>
  <c r="CC92" i="2"/>
  <c r="CB92" i="2"/>
  <c r="CA92" i="2"/>
  <c r="BZ92" i="2"/>
  <c r="BY92" i="2"/>
  <c r="DS92" i="2" s="1"/>
  <c r="BX92" i="2"/>
  <c r="DP92" i="2" s="1"/>
  <c r="BW92" i="2"/>
  <c r="BV92" i="2"/>
  <c r="BU92" i="2"/>
  <c r="BS92" i="2"/>
  <c r="CU92" i="2" s="1"/>
  <c r="CZ92" i="2" s="1"/>
  <c r="X92" i="2"/>
  <c r="EA91" i="2"/>
  <c r="DV91" i="2"/>
  <c r="DU91" i="2"/>
  <c r="DR91" i="2"/>
  <c r="DE91" i="2"/>
  <c r="CW91" i="2"/>
  <c r="CV91" i="2"/>
  <c r="CC91" i="2"/>
  <c r="CB91" i="2"/>
  <c r="CA91" i="2"/>
  <c r="BZ91" i="2"/>
  <c r="BY91" i="2"/>
  <c r="DS91" i="2" s="1"/>
  <c r="BX91" i="2"/>
  <c r="DP91" i="2" s="1"/>
  <c r="BW91" i="2"/>
  <c r="BV91" i="2"/>
  <c r="BU91" i="2"/>
  <c r="BS91" i="2"/>
  <c r="CU91" i="2" s="1"/>
  <c r="X91" i="2"/>
  <c r="CE91" i="2" s="1"/>
  <c r="EA90" i="2"/>
  <c r="DW90" i="2"/>
  <c r="DV90" i="2"/>
  <c r="DU90" i="2"/>
  <c r="DR90" i="2"/>
  <c r="DI90" i="2"/>
  <c r="DH90" i="2"/>
  <c r="DE90" i="2"/>
  <c r="DB90" i="2"/>
  <c r="DC90" i="2" s="1"/>
  <c r="CX90" i="2"/>
  <c r="CW90" i="2"/>
  <c r="CV90" i="2"/>
  <c r="CC90" i="2"/>
  <c r="CB90" i="2"/>
  <c r="CA90" i="2"/>
  <c r="BZ90" i="2"/>
  <c r="BY90" i="2"/>
  <c r="DS90" i="2" s="1"/>
  <c r="BX90" i="2"/>
  <c r="DP90" i="2" s="1"/>
  <c r="BW90" i="2"/>
  <c r="BV90" i="2"/>
  <c r="BU90" i="2"/>
  <c r="BS90" i="2"/>
  <c r="CU90" i="2" s="1"/>
  <c r="X90" i="2"/>
  <c r="CE90" i="2" s="1"/>
  <c r="EA89" i="2"/>
  <c r="DV89" i="2"/>
  <c r="DR89" i="2"/>
  <c r="DE89" i="2"/>
  <c r="CY89" i="2"/>
  <c r="CW89" i="2"/>
  <c r="CV89" i="2"/>
  <c r="CC89" i="2"/>
  <c r="CB89" i="2"/>
  <c r="CA89" i="2"/>
  <c r="BZ89" i="2"/>
  <c r="BY89" i="2"/>
  <c r="DS89" i="2" s="1"/>
  <c r="BX89" i="2"/>
  <c r="BW89" i="2"/>
  <c r="BV89" i="2"/>
  <c r="BU89" i="2"/>
  <c r="BS89" i="2"/>
  <c r="CU89" i="2" s="1"/>
  <c r="X89" i="2"/>
  <c r="CE89" i="2" s="1"/>
  <c r="EA88" i="2"/>
  <c r="DV88" i="2"/>
  <c r="DR88" i="2"/>
  <c r="DE88" i="2"/>
  <c r="CY88" i="2"/>
  <c r="CW88" i="2"/>
  <c r="CV88" i="2"/>
  <c r="CC88" i="2"/>
  <c r="CB88" i="2"/>
  <c r="CA88" i="2"/>
  <c r="BZ88" i="2"/>
  <c r="BY88" i="2"/>
  <c r="BX88" i="2"/>
  <c r="BW88" i="2"/>
  <c r="BV88" i="2"/>
  <c r="BU88" i="2"/>
  <c r="BS88" i="2"/>
  <c r="CU88" i="2" s="1"/>
  <c r="CX88" i="2" s="1"/>
  <c r="X88" i="2"/>
  <c r="CE88" i="2" s="1"/>
  <c r="EA87" i="2"/>
  <c r="DV87" i="2"/>
  <c r="DR87" i="2"/>
  <c r="DI87" i="2"/>
  <c r="DH87" i="2"/>
  <c r="DE87" i="2"/>
  <c r="DA87" i="2"/>
  <c r="CY87" i="2"/>
  <c r="CW87" i="2"/>
  <c r="CV87" i="2"/>
  <c r="CC87" i="2"/>
  <c r="CB87" i="2"/>
  <c r="CA87" i="2"/>
  <c r="BZ87" i="2"/>
  <c r="BY87" i="2"/>
  <c r="BX87" i="2"/>
  <c r="DU87" i="2" s="1"/>
  <c r="DW87" i="2" s="1"/>
  <c r="BW87" i="2"/>
  <c r="BV87" i="2"/>
  <c r="BU87" i="2"/>
  <c r="BS87" i="2"/>
  <c r="CU87" i="2" s="1"/>
  <c r="X87" i="2"/>
  <c r="CE87" i="2" s="1"/>
  <c r="EA86" i="2"/>
  <c r="DV86" i="2"/>
  <c r="DR86" i="2"/>
  <c r="DP86" i="2"/>
  <c r="DE86" i="2"/>
  <c r="DB86" i="2"/>
  <c r="DC86" i="2" s="1"/>
  <c r="DA86" i="2"/>
  <c r="CY86" i="2"/>
  <c r="CW86" i="2"/>
  <c r="CV86" i="2"/>
  <c r="CC86" i="2"/>
  <c r="CB86" i="2"/>
  <c r="CA86" i="2"/>
  <c r="BZ86" i="2"/>
  <c r="BY86" i="2"/>
  <c r="DS86" i="2" s="1"/>
  <c r="BX86" i="2"/>
  <c r="DU86" i="2" s="1"/>
  <c r="DW86" i="2" s="1"/>
  <c r="BW86" i="2"/>
  <c r="BV86" i="2"/>
  <c r="BU86" i="2"/>
  <c r="BS86" i="2"/>
  <c r="CU86" i="2" s="1"/>
  <c r="X86" i="2"/>
  <c r="CE86" i="2" s="1"/>
  <c r="EA85" i="2"/>
  <c r="DV85" i="2"/>
  <c r="DS85" i="2"/>
  <c r="DR85" i="2"/>
  <c r="DP85" i="2"/>
  <c r="DH85" i="2"/>
  <c r="DI85" i="2" s="1"/>
  <c r="DE85" i="2"/>
  <c r="DD85" i="2"/>
  <c r="DC85" i="2"/>
  <c r="DF85" i="2" s="1"/>
  <c r="DB85" i="2"/>
  <c r="DA85" i="2"/>
  <c r="CY85" i="2"/>
  <c r="CW85" i="2"/>
  <c r="CV85" i="2"/>
  <c r="CC85" i="2"/>
  <c r="CB85" i="2"/>
  <c r="CA85" i="2"/>
  <c r="BZ85" i="2"/>
  <c r="BY85" i="2"/>
  <c r="BX85" i="2"/>
  <c r="DU85" i="2" s="1"/>
  <c r="DW85" i="2" s="1"/>
  <c r="BW85" i="2"/>
  <c r="BV85" i="2"/>
  <c r="BU85" i="2"/>
  <c r="BS85" i="2"/>
  <c r="CU85" i="2" s="1"/>
  <c r="X85" i="2"/>
  <c r="CE85" i="2" s="1"/>
  <c r="EA84" i="2"/>
  <c r="DV84" i="2"/>
  <c r="DU84" i="2"/>
  <c r="DW84" i="2" s="1"/>
  <c r="DR84" i="2"/>
  <c r="DP84" i="2"/>
  <c r="DE84" i="2"/>
  <c r="DD84" i="2"/>
  <c r="DC84" i="2"/>
  <c r="DB84" i="2"/>
  <c r="CW84" i="2"/>
  <c r="CV84" i="2"/>
  <c r="CC84" i="2"/>
  <c r="CB84" i="2"/>
  <c r="CA84" i="2"/>
  <c r="BZ84" i="2"/>
  <c r="BY84" i="2"/>
  <c r="DS84" i="2" s="1"/>
  <c r="BX84" i="2"/>
  <c r="BW84" i="2"/>
  <c r="BV84" i="2"/>
  <c r="BU84" i="2"/>
  <c r="BS84" i="2"/>
  <c r="CU84" i="2" s="1"/>
  <c r="X84" i="2"/>
  <c r="CE84" i="2" s="1"/>
  <c r="EA83" i="2"/>
  <c r="DV83" i="2"/>
  <c r="DU83" i="2"/>
  <c r="DW83" i="2" s="1"/>
  <c r="DR83" i="2"/>
  <c r="DQ83" i="2"/>
  <c r="DP83" i="2"/>
  <c r="DE83" i="2"/>
  <c r="DF83" i="2" s="1"/>
  <c r="DD83" i="2"/>
  <c r="DC83" i="2"/>
  <c r="DB83" i="2"/>
  <c r="CW83" i="2"/>
  <c r="CV83" i="2"/>
  <c r="CC83" i="2"/>
  <c r="CB83" i="2"/>
  <c r="CA83" i="2"/>
  <c r="BZ83" i="2"/>
  <c r="BY83" i="2"/>
  <c r="DS83" i="2" s="1"/>
  <c r="DT83" i="2" s="1"/>
  <c r="BX83" i="2"/>
  <c r="BW83" i="2"/>
  <c r="BV83" i="2"/>
  <c r="BU83" i="2"/>
  <c r="BS83" i="2"/>
  <c r="CU83" i="2" s="1"/>
  <c r="X83" i="2"/>
  <c r="CE83" i="2" s="1"/>
  <c r="EQ82" i="2"/>
  <c r="EA82" i="2"/>
  <c r="DV82" i="2"/>
  <c r="DU82" i="2"/>
  <c r="DS82" i="2"/>
  <c r="DR82" i="2"/>
  <c r="DW82" i="2" s="1"/>
  <c r="DI82" i="2"/>
  <c r="DH82" i="2"/>
  <c r="DE82" i="2"/>
  <c r="DD82" i="2"/>
  <c r="DB82" i="2"/>
  <c r="CW82" i="2"/>
  <c r="CV82" i="2"/>
  <c r="CD82" i="2"/>
  <c r="CC82" i="2"/>
  <c r="CB82" i="2"/>
  <c r="CA82" i="2"/>
  <c r="BZ82" i="2"/>
  <c r="BY82" i="2"/>
  <c r="BX82" i="2"/>
  <c r="DP82" i="2" s="1"/>
  <c r="BW82" i="2"/>
  <c r="BV82" i="2"/>
  <c r="BU82" i="2"/>
  <c r="BS82" i="2"/>
  <c r="CU82" i="2" s="1"/>
  <c r="X82" i="2"/>
  <c r="CE82" i="2" s="1"/>
  <c r="EA81" i="2"/>
  <c r="DV81" i="2"/>
  <c r="DS81" i="2"/>
  <c r="DR81" i="2"/>
  <c r="DE81" i="2"/>
  <c r="CY81" i="2"/>
  <c r="CW81" i="2"/>
  <c r="CV81" i="2"/>
  <c r="DA81" i="2" s="1"/>
  <c r="CU81" i="2"/>
  <c r="CC81" i="2"/>
  <c r="CB81" i="2"/>
  <c r="CA81" i="2"/>
  <c r="BZ81" i="2"/>
  <c r="BY81" i="2"/>
  <c r="DD81" i="2" s="1"/>
  <c r="BX81" i="2"/>
  <c r="DP81" i="2" s="1"/>
  <c r="BW81" i="2"/>
  <c r="BV81" i="2"/>
  <c r="BU81" i="2"/>
  <c r="BS81" i="2"/>
  <c r="X81" i="2"/>
  <c r="CE81" i="2" s="1"/>
  <c r="EA80" i="2"/>
  <c r="DV80" i="2"/>
  <c r="DU80" i="2"/>
  <c r="DW80" i="2" s="1"/>
  <c r="DR80" i="2"/>
  <c r="DE80" i="2"/>
  <c r="CW80" i="2"/>
  <c r="CV80" i="2"/>
  <c r="CC80" i="2"/>
  <c r="CB80" i="2"/>
  <c r="CA80" i="2"/>
  <c r="BZ80" i="2"/>
  <c r="BY80" i="2"/>
  <c r="DD80" i="2" s="1"/>
  <c r="BX80" i="2"/>
  <c r="DP80" i="2" s="1"/>
  <c r="DQ80" i="2" s="1"/>
  <c r="BW80" i="2"/>
  <c r="BV80" i="2"/>
  <c r="BU80" i="2"/>
  <c r="BS80" i="2"/>
  <c r="CU80" i="2" s="1"/>
  <c r="X80" i="2"/>
  <c r="EA79" i="2"/>
  <c r="DV79" i="2"/>
  <c r="DU79" i="2"/>
  <c r="DR79" i="2"/>
  <c r="DI79" i="2"/>
  <c r="DH79" i="2"/>
  <c r="DE79" i="2"/>
  <c r="CW79" i="2"/>
  <c r="CV79" i="2"/>
  <c r="CC79" i="2"/>
  <c r="CB79" i="2"/>
  <c r="CA79" i="2"/>
  <c r="BZ79" i="2"/>
  <c r="BY79" i="2"/>
  <c r="DS79" i="2" s="1"/>
  <c r="DT79" i="2" s="1"/>
  <c r="BX79" i="2"/>
  <c r="DP79" i="2" s="1"/>
  <c r="DQ79" i="2" s="1"/>
  <c r="BW79" i="2"/>
  <c r="BV79" i="2"/>
  <c r="BU79" i="2"/>
  <c r="BS79" i="2"/>
  <c r="CU79" i="2" s="1"/>
  <c r="X79" i="2"/>
  <c r="CE79" i="2" s="1"/>
  <c r="EA78" i="2"/>
  <c r="DW78" i="2"/>
  <c r="DV78" i="2"/>
  <c r="DU78" i="2"/>
  <c r="DR78" i="2"/>
  <c r="DE78" i="2"/>
  <c r="DB78" i="2"/>
  <c r="DC78" i="2" s="1"/>
  <c r="CX78" i="2"/>
  <c r="CW78" i="2"/>
  <c r="CV78" i="2"/>
  <c r="CC78" i="2"/>
  <c r="CB78" i="2"/>
  <c r="CA78" i="2"/>
  <c r="BZ78" i="2"/>
  <c r="BY78" i="2"/>
  <c r="DS78" i="2" s="1"/>
  <c r="BX78" i="2"/>
  <c r="DP78" i="2" s="1"/>
  <c r="BW78" i="2"/>
  <c r="BV78" i="2"/>
  <c r="BU78" i="2"/>
  <c r="BS78" i="2"/>
  <c r="CU78" i="2" s="1"/>
  <c r="X78" i="2"/>
  <c r="CE78" i="2" s="1"/>
  <c r="EA77" i="2"/>
  <c r="DV77" i="2"/>
  <c r="DR77" i="2"/>
  <c r="DE77" i="2"/>
  <c r="CY77" i="2"/>
  <c r="CX77" i="2"/>
  <c r="CW77" i="2"/>
  <c r="CV77" i="2"/>
  <c r="CC77" i="2"/>
  <c r="CB77" i="2"/>
  <c r="CA77" i="2"/>
  <c r="BZ77" i="2"/>
  <c r="BY77" i="2"/>
  <c r="DS77" i="2" s="1"/>
  <c r="BX77" i="2"/>
  <c r="BW77" i="2"/>
  <c r="BV77" i="2"/>
  <c r="BU77" i="2"/>
  <c r="BS77" i="2"/>
  <c r="CU77" i="2" s="1"/>
  <c r="X77" i="2"/>
  <c r="CE77" i="2" s="1"/>
  <c r="EA76" i="2"/>
  <c r="DV76" i="2"/>
  <c r="DR76" i="2"/>
  <c r="DE76" i="2"/>
  <c r="CY76" i="2"/>
  <c r="CW76" i="2"/>
  <c r="CV76" i="2"/>
  <c r="CC76" i="2"/>
  <c r="CB76" i="2"/>
  <c r="CA76" i="2"/>
  <c r="BZ76" i="2"/>
  <c r="BY76" i="2"/>
  <c r="BX76" i="2"/>
  <c r="BW76" i="2"/>
  <c r="BV76" i="2"/>
  <c r="BU76" i="2"/>
  <c r="BS76" i="2"/>
  <c r="CU76" i="2" s="1"/>
  <c r="X76" i="2"/>
  <c r="CE76" i="2" s="1"/>
  <c r="EA75" i="2"/>
  <c r="DV75" i="2"/>
  <c r="DR75" i="2"/>
  <c r="DE75" i="2"/>
  <c r="DA75" i="2"/>
  <c r="CZ75" i="2"/>
  <c r="CY75" i="2"/>
  <c r="CW75" i="2"/>
  <c r="CV75" i="2"/>
  <c r="CC75" i="2"/>
  <c r="CB75" i="2"/>
  <c r="CA75" i="2"/>
  <c r="BZ75" i="2"/>
  <c r="BY75" i="2"/>
  <c r="BX75" i="2"/>
  <c r="DU75" i="2" s="1"/>
  <c r="DW75" i="2" s="1"/>
  <c r="BW75" i="2"/>
  <c r="BV75" i="2"/>
  <c r="BU75" i="2"/>
  <c r="BS75" i="2"/>
  <c r="CU75" i="2" s="1"/>
  <c r="CX75" i="2" s="1"/>
  <c r="X75" i="2"/>
  <c r="CE75" i="2" s="1"/>
  <c r="EA74" i="2"/>
  <c r="DV74" i="2"/>
  <c r="DU74" i="2"/>
  <c r="DR74" i="2"/>
  <c r="DW74" i="2" s="1"/>
  <c r="DP74" i="2"/>
  <c r="DE74" i="2"/>
  <c r="DB74" i="2"/>
  <c r="DC74" i="2" s="1"/>
  <c r="DA74" i="2"/>
  <c r="CW74" i="2"/>
  <c r="CV74" i="2"/>
  <c r="CY74" i="2" s="1"/>
  <c r="CC74" i="2"/>
  <c r="CB74" i="2"/>
  <c r="CA74" i="2"/>
  <c r="BZ74" i="2"/>
  <c r="BY74" i="2"/>
  <c r="DS74" i="2" s="1"/>
  <c r="BX74" i="2"/>
  <c r="BW74" i="2"/>
  <c r="BV74" i="2"/>
  <c r="BU74" i="2"/>
  <c r="BS74" i="2"/>
  <c r="CU74" i="2" s="1"/>
  <c r="X74" i="2"/>
  <c r="CE74" i="2" s="1"/>
  <c r="EA73" i="2"/>
  <c r="DV73" i="2"/>
  <c r="DR73" i="2"/>
  <c r="DS73" i="2" s="1"/>
  <c r="DP73" i="2"/>
  <c r="DE73" i="2"/>
  <c r="DD73" i="2"/>
  <c r="DC73" i="2"/>
  <c r="DB73" i="2"/>
  <c r="DA73" i="2"/>
  <c r="CY73" i="2"/>
  <c r="CW73" i="2"/>
  <c r="CV73" i="2"/>
  <c r="CC73" i="2"/>
  <c r="CB73" i="2"/>
  <c r="CA73" i="2"/>
  <c r="BZ73" i="2"/>
  <c r="BY73" i="2"/>
  <c r="BX73" i="2"/>
  <c r="DU73" i="2" s="1"/>
  <c r="DW73" i="2" s="1"/>
  <c r="BW73" i="2"/>
  <c r="BV73" i="2"/>
  <c r="BU73" i="2"/>
  <c r="BS73" i="2"/>
  <c r="CU73" i="2" s="1"/>
  <c r="X73" i="2"/>
  <c r="CE73" i="2" s="1"/>
  <c r="EA72" i="2"/>
  <c r="DV72" i="2"/>
  <c r="DU72" i="2"/>
  <c r="DW72" i="2" s="1"/>
  <c r="DS72" i="2"/>
  <c r="DR72" i="2"/>
  <c r="DQ72" i="2"/>
  <c r="DP72" i="2"/>
  <c r="DI72" i="2"/>
  <c r="DM72" i="2" s="1"/>
  <c r="DH72" i="2"/>
  <c r="DE72" i="2"/>
  <c r="DD72" i="2"/>
  <c r="DC72" i="2"/>
  <c r="DB72" i="2"/>
  <c r="CW72" i="2"/>
  <c r="CV72" i="2"/>
  <c r="CC72" i="2"/>
  <c r="CB72" i="2"/>
  <c r="CA72" i="2"/>
  <c r="BZ72" i="2"/>
  <c r="BY72" i="2"/>
  <c r="BX72" i="2"/>
  <c r="BW72" i="2"/>
  <c r="BV72" i="2"/>
  <c r="BU72" i="2"/>
  <c r="BS72" i="2"/>
  <c r="CU72" i="2" s="1"/>
  <c r="X72" i="2"/>
  <c r="CE72" i="2" s="1"/>
  <c r="EA71" i="2"/>
  <c r="DV71" i="2"/>
  <c r="DU71" i="2"/>
  <c r="DW71" i="2" s="1"/>
  <c r="DR71" i="2"/>
  <c r="DP71" i="2"/>
  <c r="DE71" i="2"/>
  <c r="DD71" i="2"/>
  <c r="CW71" i="2"/>
  <c r="CV71" i="2"/>
  <c r="CC71" i="2"/>
  <c r="CB71" i="2"/>
  <c r="CA71" i="2"/>
  <c r="BZ71" i="2"/>
  <c r="BY71" i="2"/>
  <c r="DS71" i="2" s="1"/>
  <c r="BX71" i="2"/>
  <c r="DB71" i="2" s="1"/>
  <c r="DC71" i="2" s="1"/>
  <c r="BW71" i="2"/>
  <c r="BV71" i="2"/>
  <c r="BU71" i="2"/>
  <c r="BS71" i="2"/>
  <c r="CU71" i="2" s="1"/>
  <c r="X71" i="2"/>
  <c r="CE71" i="2" s="1"/>
  <c r="EA70" i="2"/>
  <c r="DV70" i="2"/>
  <c r="DU70" i="2"/>
  <c r="DS70" i="2"/>
  <c r="DR70" i="2"/>
  <c r="DW70" i="2" s="1"/>
  <c r="DP70" i="2"/>
  <c r="DE70" i="2"/>
  <c r="DD70" i="2"/>
  <c r="DB70" i="2"/>
  <c r="DC70" i="2" s="1"/>
  <c r="DF70" i="2" s="1"/>
  <c r="CW70" i="2"/>
  <c r="CV70" i="2"/>
  <c r="CC70" i="2"/>
  <c r="CB70" i="2"/>
  <c r="CA70" i="2"/>
  <c r="BZ70" i="2"/>
  <c r="BY70" i="2"/>
  <c r="BX70" i="2"/>
  <c r="BW70" i="2"/>
  <c r="BV70" i="2"/>
  <c r="BU70" i="2"/>
  <c r="BS70" i="2"/>
  <c r="CU70" i="2" s="1"/>
  <c r="X70" i="2"/>
  <c r="CE70" i="2" s="1"/>
  <c r="EG69" i="2"/>
  <c r="EA69" i="2"/>
  <c r="DV69" i="2"/>
  <c r="DS69" i="2"/>
  <c r="DR69" i="2"/>
  <c r="DH69" i="2"/>
  <c r="DI69" i="2" s="1"/>
  <c r="DE69" i="2"/>
  <c r="DD69" i="2"/>
  <c r="CY69" i="2"/>
  <c r="CW69" i="2"/>
  <c r="CV69" i="2"/>
  <c r="DA69" i="2" s="1"/>
  <c r="CC69" i="2"/>
  <c r="CB69" i="2"/>
  <c r="CA69" i="2"/>
  <c r="BZ69" i="2"/>
  <c r="BY69" i="2"/>
  <c r="BX69" i="2"/>
  <c r="DP69" i="2" s="1"/>
  <c r="BW69" i="2"/>
  <c r="BV69" i="2"/>
  <c r="CD69" i="2" s="1"/>
  <c r="BU69" i="2"/>
  <c r="BS69" i="2"/>
  <c r="CE69" i="2" s="1"/>
  <c r="X69" i="2"/>
  <c r="EA68" i="2"/>
  <c r="DV68" i="2"/>
  <c r="DU68" i="2"/>
  <c r="DW68" i="2" s="1"/>
  <c r="DR68" i="2"/>
  <c r="DE68" i="2"/>
  <c r="CW68" i="2"/>
  <c r="CV68" i="2"/>
  <c r="CC68" i="2"/>
  <c r="CB68" i="2"/>
  <c r="CA68" i="2"/>
  <c r="BZ68" i="2"/>
  <c r="BY68" i="2"/>
  <c r="DD68" i="2" s="1"/>
  <c r="BX68" i="2"/>
  <c r="DP68" i="2" s="1"/>
  <c r="BW68" i="2"/>
  <c r="BV68" i="2"/>
  <c r="BU68" i="2"/>
  <c r="BS68" i="2"/>
  <c r="CU68" i="2" s="1"/>
  <c r="X68" i="2"/>
  <c r="CE68" i="2" s="1"/>
  <c r="EA67" i="2"/>
  <c r="DV67" i="2"/>
  <c r="DU67" i="2"/>
  <c r="DW67" i="2" s="1"/>
  <c r="DR67" i="2"/>
  <c r="DE67" i="2"/>
  <c r="CW67" i="2"/>
  <c r="CV67" i="2"/>
  <c r="CC67" i="2"/>
  <c r="CB67" i="2"/>
  <c r="CA67" i="2"/>
  <c r="BZ67" i="2"/>
  <c r="BY67" i="2"/>
  <c r="DS67" i="2" s="1"/>
  <c r="BX67" i="2"/>
  <c r="DP67" i="2" s="1"/>
  <c r="BW67" i="2"/>
  <c r="BV67" i="2"/>
  <c r="BU67" i="2"/>
  <c r="BS67" i="2"/>
  <c r="CU67" i="2" s="1"/>
  <c r="X67" i="2"/>
  <c r="CE67" i="2" s="1"/>
  <c r="EA66" i="2"/>
  <c r="DV66" i="2"/>
  <c r="DW66" i="2" s="1"/>
  <c r="DU66" i="2"/>
  <c r="DR66" i="2"/>
  <c r="DE66" i="2"/>
  <c r="DB66" i="2"/>
  <c r="DC66" i="2" s="1"/>
  <c r="CX66" i="2"/>
  <c r="CW66" i="2"/>
  <c r="CV66" i="2"/>
  <c r="CC66" i="2"/>
  <c r="CB66" i="2"/>
  <c r="CA66" i="2"/>
  <c r="BZ66" i="2"/>
  <c r="BY66" i="2"/>
  <c r="DS66" i="2" s="1"/>
  <c r="DT66" i="2" s="1"/>
  <c r="BX66" i="2"/>
  <c r="DP66" i="2" s="1"/>
  <c r="DQ66" i="2" s="1"/>
  <c r="BW66" i="2"/>
  <c r="BV66" i="2"/>
  <c r="BU66" i="2"/>
  <c r="BS66" i="2"/>
  <c r="CU66" i="2" s="1"/>
  <c r="X66" i="2"/>
  <c r="CE66" i="2" s="1"/>
  <c r="EA65" i="2"/>
  <c r="DV65" i="2"/>
  <c r="DR65" i="2"/>
  <c r="DE65" i="2"/>
  <c r="CY65" i="2"/>
  <c r="CW65" i="2"/>
  <c r="CV65" i="2"/>
  <c r="CC65" i="2"/>
  <c r="CB65" i="2"/>
  <c r="CA65" i="2"/>
  <c r="BZ65" i="2"/>
  <c r="BY65" i="2"/>
  <c r="DS65" i="2" s="1"/>
  <c r="BX65" i="2"/>
  <c r="BW65" i="2"/>
  <c r="BV65" i="2"/>
  <c r="BU65" i="2"/>
  <c r="BS65" i="2"/>
  <c r="CU65" i="2" s="1"/>
  <c r="X65" i="2"/>
  <c r="CE65" i="2" s="1"/>
  <c r="EA64" i="2"/>
  <c r="DV64" i="2"/>
  <c r="DR64" i="2"/>
  <c r="DI64" i="2"/>
  <c r="DH64" i="2"/>
  <c r="DE64" i="2"/>
  <c r="CZ64" i="2"/>
  <c r="CY64" i="2"/>
  <c r="CW64" i="2"/>
  <c r="CV64" i="2"/>
  <c r="CC64" i="2"/>
  <c r="CB64" i="2"/>
  <c r="CA64" i="2"/>
  <c r="BZ64" i="2"/>
  <c r="BY64" i="2"/>
  <c r="BX64" i="2"/>
  <c r="BW64" i="2"/>
  <c r="BV64" i="2"/>
  <c r="BU64" i="2"/>
  <c r="BS64" i="2"/>
  <c r="CU64" i="2" s="1"/>
  <c r="CX64" i="2" s="1"/>
  <c r="X64" i="2"/>
  <c r="CE64" i="2" s="1"/>
  <c r="EA63" i="2"/>
  <c r="DV63" i="2"/>
  <c r="DR63" i="2"/>
  <c r="DI63" i="2"/>
  <c r="DH63" i="2"/>
  <c r="DE63" i="2"/>
  <c r="DA63" i="2"/>
  <c r="CZ63" i="2"/>
  <c r="CY63" i="2"/>
  <c r="CW63" i="2"/>
  <c r="CV63" i="2"/>
  <c r="CC63" i="2"/>
  <c r="CB63" i="2"/>
  <c r="CA63" i="2"/>
  <c r="BZ63" i="2"/>
  <c r="BY63" i="2"/>
  <c r="BX63" i="2"/>
  <c r="DU63" i="2" s="1"/>
  <c r="DW63" i="2" s="1"/>
  <c r="BW63" i="2"/>
  <c r="BV63" i="2"/>
  <c r="BU63" i="2"/>
  <c r="BS63" i="2"/>
  <c r="CU63" i="2" s="1"/>
  <c r="CX63" i="2" s="1"/>
  <c r="X63" i="2"/>
  <c r="CE63" i="2" s="1"/>
  <c r="EA62" i="2"/>
  <c r="DV62" i="2"/>
  <c r="DR62" i="2"/>
  <c r="DQ62" i="2"/>
  <c r="DP62" i="2"/>
  <c r="DO62" i="2"/>
  <c r="DN62" i="2"/>
  <c r="DM62" i="2"/>
  <c r="DK62" i="2"/>
  <c r="DJ62" i="2"/>
  <c r="DI62" i="2"/>
  <c r="DL62" i="2" s="1"/>
  <c r="DH62" i="2"/>
  <c r="DE62" i="2"/>
  <c r="DB62" i="2"/>
  <c r="DC62" i="2" s="1"/>
  <c r="CW62" i="2"/>
  <c r="CV62" i="2"/>
  <c r="CY62" i="2" s="1"/>
  <c r="DA62" i="2" s="1"/>
  <c r="CC62" i="2"/>
  <c r="CB62" i="2"/>
  <c r="CA62" i="2"/>
  <c r="BZ62" i="2"/>
  <c r="BY62" i="2"/>
  <c r="DS62" i="2" s="1"/>
  <c r="BX62" i="2"/>
  <c r="DU62" i="2" s="1"/>
  <c r="DW62" i="2" s="1"/>
  <c r="BW62" i="2"/>
  <c r="BV62" i="2"/>
  <c r="BU62" i="2"/>
  <c r="BS62" i="2"/>
  <c r="CU62" i="2" s="1"/>
  <c r="X62" i="2"/>
  <c r="CE62" i="2" s="1"/>
  <c r="ER61" i="2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V61" i="2"/>
  <c r="DR61" i="2"/>
  <c r="DP61" i="2"/>
  <c r="DE61" i="2"/>
  <c r="DB61" i="2"/>
  <c r="DC61" i="2" s="1"/>
  <c r="DA61" i="2"/>
  <c r="CY61" i="2"/>
  <c r="CW61" i="2"/>
  <c r="CV61" i="2"/>
  <c r="CU61" i="2"/>
  <c r="CQ61" i="2"/>
  <c r="CK61" i="2"/>
  <c r="CJ61" i="2"/>
  <c r="CI61" i="2"/>
  <c r="CH61" i="2"/>
  <c r="CG61" i="2"/>
  <c r="CC61" i="2"/>
  <c r="CB61" i="2"/>
  <c r="CA61" i="2"/>
  <c r="BZ61" i="2"/>
  <c r="BY61" i="2"/>
  <c r="DS61" i="2" s="1"/>
  <c r="BX61" i="2"/>
  <c r="DU61" i="2" s="1"/>
  <c r="DW61" i="2" s="1"/>
  <c r="BW61" i="2"/>
  <c r="BV61" i="2"/>
  <c r="BU61" i="2"/>
  <c r="BS61" i="2"/>
  <c r="X61" i="2"/>
  <c r="CE61" i="2" s="1"/>
  <c r="EA60" i="2"/>
  <c r="DV60" i="2"/>
  <c r="DR60" i="2"/>
  <c r="DP60" i="2"/>
  <c r="DE60" i="2"/>
  <c r="DB60" i="2"/>
  <c r="DC60" i="2" s="1"/>
  <c r="DA60" i="2"/>
  <c r="CW60" i="2"/>
  <c r="CV60" i="2"/>
  <c r="CC60" i="2"/>
  <c r="CB60" i="2"/>
  <c r="CA60" i="2"/>
  <c r="BZ60" i="2"/>
  <c r="BY60" i="2"/>
  <c r="BX60" i="2"/>
  <c r="DU60" i="2" s="1"/>
  <c r="DW60" i="2" s="1"/>
  <c r="BW60" i="2"/>
  <c r="BV60" i="2"/>
  <c r="BU60" i="2"/>
  <c r="BS60" i="2"/>
  <c r="CU60" i="2" s="1"/>
  <c r="CZ60" i="2" s="1"/>
  <c r="X60" i="2"/>
  <c r="CE60" i="2" s="1"/>
  <c r="EA59" i="2"/>
  <c r="DV59" i="2"/>
  <c r="DU59" i="2"/>
  <c r="DS59" i="2"/>
  <c r="DR59" i="2"/>
  <c r="DW59" i="2" s="1"/>
  <c r="DP59" i="2"/>
  <c r="DE59" i="2"/>
  <c r="DB59" i="2"/>
  <c r="DA59" i="2"/>
  <c r="CW59" i="2"/>
  <c r="CV59" i="2"/>
  <c r="CY59" i="2" s="1"/>
  <c r="CC59" i="2"/>
  <c r="CB59" i="2"/>
  <c r="CA59" i="2"/>
  <c r="BZ59" i="2"/>
  <c r="BY59" i="2"/>
  <c r="BX59" i="2"/>
  <c r="BW59" i="2"/>
  <c r="BV59" i="2"/>
  <c r="BU59" i="2"/>
  <c r="BS59" i="2"/>
  <c r="CU59" i="2" s="1"/>
  <c r="X59" i="2"/>
  <c r="CE59" i="2" s="1"/>
  <c r="EA58" i="2"/>
  <c r="DV58" i="2"/>
  <c r="DR58" i="2"/>
  <c r="DS58" i="2" s="1"/>
  <c r="DP58" i="2"/>
  <c r="DH58" i="2"/>
  <c r="DI58" i="2" s="1"/>
  <c r="DE58" i="2"/>
  <c r="DF58" i="2" s="1"/>
  <c r="DD58" i="2"/>
  <c r="DC58" i="2"/>
  <c r="DB58" i="2"/>
  <c r="DA58" i="2"/>
  <c r="CY58" i="2"/>
  <c r="CW58" i="2"/>
  <c r="CV58" i="2"/>
  <c r="CC58" i="2"/>
  <c r="CB58" i="2"/>
  <c r="CA58" i="2"/>
  <c r="BZ58" i="2"/>
  <c r="BY58" i="2"/>
  <c r="BX58" i="2"/>
  <c r="DU58" i="2" s="1"/>
  <c r="DW58" i="2" s="1"/>
  <c r="BW58" i="2"/>
  <c r="BV58" i="2"/>
  <c r="BU58" i="2"/>
  <c r="BS58" i="2"/>
  <c r="CU58" i="2" s="1"/>
  <c r="X58" i="2"/>
  <c r="CE58" i="2" s="1"/>
  <c r="EA57" i="2"/>
  <c r="DV57" i="2"/>
  <c r="DU57" i="2"/>
  <c r="DW57" i="2" s="1"/>
  <c r="DS57" i="2"/>
  <c r="DR57" i="2"/>
  <c r="DP57" i="2"/>
  <c r="DE57" i="2"/>
  <c r="DD57" i="2"/>
  <c r="DC57" i="2"/>
  <c r="DF57" i="2" s="1"/>
  <c r="DB57" i="2"/>
  <c r="CW57" i="2"/>
  <c r="CV57" i="2"/>
  <c r="CC57" i="2"/>
  <c r="CB57" i="2"/>
  <c r="CA57" i="2"/>
  <c r="BZ57" i="2"/>
  <c r="BY57" i="2"/>
  <c r="BX57" i="2"/>
  <c r="BW57" i="2"/>
  <c r="BV57" i="2"/>
  <c r="BU57" i="2"/>
  <c r="BS57" i="2"/>
  <c r="CU57" i="2" s="1"/>
  <c r="X57" i="2"/>
  <c r="CE57" i="2" s="1"/>
  <c r="EA56" i="2"/>
  <c r="DV56" i="2"/>
  <c r="DU56" i="2"/>
  <c r="DR56" i="2"/>
  <c r="DP56" i="2"/>
  <c r="DH56" i="2"/>
  <c r="DI56" i="2" s="1"/>
  <c r="DE56" i="2"/>
  <c r="DD56" i="2"/>
  <c r="CW56" i="2"/>
  <c r="CV56" i="2"/>
  <c r="CC56" i="2"/>
  <c r="CB56" i="2"/>
  <c r="CA56" i="2"/>
  <c r="BZ56" i="2"/>
  <c r="BY56" i="2"/>
  <c r="BX56" i="2"/>
  <c r="DB56" i="2" s="1"/>
  <c r="DC56" i="2" s="1"/>
  <c r="BW56" i="2"/>
  <c r="BV56" i="2"/>
  <c r="CD56" i="2" s="1"/>
  <c r="BU56" i="2"/>
  <c r="BS56" i="2"/>
  <c r="CU56" i="2" s="1"/>
  <c r="X56" i="2"/>
  <c r="H56" i="2"/>
  <c r="CE56" i="2" s="1"/>
  <c r="EA55" i="2"/>
  <c r="DV55" i="2"/>
  <c r="DS55" i="2"/>
  <c r="DR55" i="2"/>
  <c r="DE55" i="2"/>
  <c r="CY55" i="2"/>
  <c r="CW55" i="2"/>
  <c r="CV55" i="2"/>
  <c r="CC55" i="2"/>
  <c r="CB55" i="2"/>
  <c r="CA55" i="2"/>
  <c r="BZ55" i="2"/>
  <c r="BY55" i="2"/>
  <c r="DD55" i="2" s="1"/>
  <c r="BX55" i="2"/>
  <c r="BW55" i="2"/>
  <c r="BV55" i="2"/>
  <c r="BU55" i="2"/>
  <c r="BS55" i="2"/>
  <c r="CE55" i="2" s="1"/>
  <c r="X55" i="2"/>
  <c r="EA54" i="2"/>
  <c r="DV54" i="2"/>
  <c r="DU54" i="2"/>
  <c r="DW54" i="2" s="1"/>
  <c r="DR54" i="2"/>
  <c r="DE54" i="2"/>
  <c r="CW54" i="2"/>
  <c r="CV54" i="2"/>
  <c r="CC54" i="2"/>
  <c r="CB54" i="2"/>
  <c r="CA54" i="2"/>
  <c r="BZ54" i="2"/>
  <c r="BY54" i="2"/>
  <c r="BX54" i="2"/>
  <c r="DP54" i="2" s="1"/>
  <c r="BW54" i="2"/>
  <c r="BV54" i="2"/>
  <c r="BU54" i="2"/>
  <c r="BS54" i="2"/>
  <c r="CU54" i="2" s="1"/>
  <c r="X54" i="2"/>
  <c r="EA53" i="2"/>
  <c r="DV53" i="2"/>
  <c r="DU53" i="2"/>
  <c r="DR53" i="2"/>
  <c r="DE53" i="2"/>
  <c r="CW53" i="2"/>
  <c r="CV53" i="2"/>
  <c r="CU53" i="2"/>
  <c r="CC53" i="2"/>
  <c r="CB53" i="2"/>
  <c r="CA53" i="2"/>
  <c r="BZ53" i="2"/>
  <c r="BY53" i="2"/>
  <c r="DS53" i="2" s="1"/>
  <c r="BX53" i="2"/>
  <c r="DP53" i="2" s="1"/>
  <c r="BW53" i="2"/>
  <c r="BV53" i="2"/>
  <c r="BU53" i="2"/>
  <c r="BS53" i="2"/>
  <c r="X53" i="2"/>
  <c r="EA52" i="2"/>
  <c r="DV52" i="2"/>
  <c r="DU52" i="2"/>
  <c r="DW52" i="2" s="1"/>
  <c r="DR52" i="2"/>
  <c r="DI52" i="2"/>
  <c r="DH52" i="2"/>
  <c r="DE52" i="2"/>
  <c r="DB52" i="2"/>
  <c r="DC52" i="2" s="1"/>
  <c r="CW52" i="2"/>
  <c r="CV52" i="2"/>
  <c r="CC52" i="2"/>
  <c r="CB52" i="2"/>
  <c r="CA52" i="2"/>
  <c r="BZ52" i="2"/>
  <c r="BY52" i="2"/>
  <c r="DS52" i="2" s="1"/>
  <c r="BX52" i="2"/>
  <c r="DP52" i="2" s="1"/>
  <c r="BW52" i="2"/>
  <c r="BV52" i="2"/>
  <c r="BU52" i="2"/>
  <c r="CD52" i="2" s="1"/>
  <c r="CJ52" i="2" s="1"/>
  <c r="BS52" i="2"/>
  <c r="CU52" i="2" s="1"/>
  <c r="X52" i="2"/>
  <c r="CE52" i="2" s="1"/>
  <c r="EA51" i="2"/>
  <c r="DV51" i="2"/>
  <c r="DR51" i="2"/>
  <c r="DP51" i="2"/>
  <c r="DE51" i="2"/>
  <c r="CY51" i="2"/>
  <c r="CW51" i="2"/>
  <c r="CV51" i="2"/>
  <c r="CC51" i="2"/>
  <c r="CB51" i="2"/>
  <c r="CA51" i="2"/>
  <c r="BZ51" i="2"/>
  <c r="BY51" i="2"/>
  <c r="DS51" i="2" s="1"/>
  <c r="BX51" i="2"/>
  <c r="BW51" i="2"/>
  <c r="BV51" i="2"/>
  <c r="BU51" i="2"/>
  <c r="BS51" i="2"/>
  <c r="CU51" i="2" s="1"/>
  <c r="X51" i="2"/>
  <c r="CE51" i="2" s="1"/>
  <c r="EA50" i="2"/>
  <c r="DV50" i="2"/>
  <c r="DR50" i="2"/>
  <c r="DE50" i="2"/>
  <c r="DD50" i="2"/>
  <c r="CY50" i="2"/>
  <c r="CW50" i="2"/>
  <c r="CV50" i="2"/>
  <c r="DA50" i="2" s="1"/>
  <c r="CC50" i="2"/>
  <c r="CB50" i="2"/>
  <c r="CA50" i="2"/>
  <c r="BZ50" i="2"/>
  <c r="BY50" i="2"/>
  <c r="DS50" i="2" s="1"/>
  <c r="BX50" i="2"/>
  <c r="BW50" i="2"/>
  <c r="BV50" i="2"/>
  <c r="BU50" i="2"/>
  <c r="BS50" i="2"/>
  <c r="CU50" i="2" s="1"/>
  <c r="X50" i="2"/>
  <c r="CE50" i="2" s="1"/>
  <c r="EA49" i="2"/>
  <c r="DV49" i="2"/>
  <c r="DR49" i="2"/>
  <c r="DH49" i="2"/>
  <c r="DI49" i="2" s="1"/>
  <c r="DE49" i="2"/>
  <c r="DA49" i="2"/>
  <c r="CY49" i="2"/>
  <c r="CW49" i="2"/>
  <c r="CV49" i="2"/>
  <c r="CC49" i="2"/>
  <c r="CB49" i="2"/>
  <c r="CA49" i="2"/>
  <c r="BZ49" i="2"/>
  <c r="BY49" i="2"/>
  <c r="BX49" i="2"/>
  <c r="BW49" i="2"/>
  <c r="BV49" i="2"/>
  <c r="BU49" i="2"/>
  <c r="BS49" i="2"/>
  <c r="CU49" i="2" s="1"/>
  <c r="X49" i="2"/>
  <c r="CE49" i="2" s="1"/>
  <c r="EA48" i="2"/>
  <c r="DV48" i="2"/>
  <c r="DU48" i="2"/>
  <c r="DW48" i="2" s="1"/>
  <c r="DS48" i="2"/>
  <c r="DT48" i="2" s="1"/>
  <c r="DR48" i="2"/>
  <c r="DM48" i="2"/>
  <c r="DI48" i="2"/>
  <c r="DH48" i="2"/>
  <c r="DE48" i="2"/>
  <c r="DD48" i="2"/>
  <c r="DB48" i="2"/>
  <c r="DC48" i="2" s="1"/>
  <c r="DA48" i="2"/>
  <c r="CZ48" i="2"/>
  <c r="CW48" i="2"/>
  <c r="CV48" i="2"/>
  <c r="CY48" i="2" s="1"/>
  <c r="CE48" i="2"/>
  <c r="CC48" i="2"/>
  <c r="CB48" i="2"/>
  <c r="CA48" i="2"/>
  <c r="BZ48" i="2"/>
  <c r="BY48" i="2"/>
  <c r="BX48" i="2"/>
  <c r="DP48" i="2" s="1"/>
  <c r="DQ48" i="2" s="1"/>
  <c r="BW48" i="2"/>
  <c r="BV48" i="2"/>
  <c r="BU48" i="2"/>
  <c r="BS48" i="2"/>
  <c r="CU48" i="2" s="1"/>
  <c r="CX48" i="2" s="1"/>
  <c r="X48" i="2"/>
  <c r="EA47" i="2"/>
  <c r="DV47" i="2"/>
  <c r="DT47" i="2"/>
  <c r="DS47" i="2"/>
  <c r="DR47" i="2"/>
  <c r="DP47" i="2"/>
  <c r="DQ47" i="2" s="1"/>
  <c r="DE47" i="2"/>
  <c r="DB47" i="2"/>
  <c r="DC47" i="2" s="1"/>
  <c r="CY47" i="2"/>
  <c r="CW47" i="2"/>
  <c r="DA47" i="2" s="1"/>
  <c r="CV47" i="2"/>
  <c r="CU47" i="2"/>
  <c r="CC47" i="2"/>
  <c r="CB47" i="2"/>
  <c r="CA47" i="2"/>
  <c r="BZ47" i="2"/>
  <c r="BY47" i="2"/>
  <c r="DD47" i="2" s="1"/>
  <c r="BX47" i="2"/>
  <c r="DU47" i="2" s="1"/>
  <c r="DW47" i="2" s="1"/>
  <c r="BW47" i="2"/>
  <c r="BV47" i="2"/>
  <c r="BU47" i="2"/>
  <c r="BS47" i="2"/>
  <c r="X47" i="2"/>
  <c r="EA46" i="2"/>
  <c r="DW46" i="2"/>
  <c r="DV46" i="2"/>
  <c r="DU46" i="2"/>
  <c r="DS46" i="2"/>
  <c r="DT46" i="2" s="1"/>
  <c r="DR46" i="2"/>
  <c r="DQ46" i="2"/>
  <c r="DP46" i="2"/>
  <c r="DK46" i="2"/>
  <c r="DI46" i="2"/>
  <c r="DH46" i="2"/>
  <c r="DE46" i="2"/>
  <c r="DD46" i="2"/>
  <c r="DB46" i="2"/>
  <c r="DC46" i="2" s="1"/>
  <c r="DF46" i="2" s="1"/>
  <c r="CW46" i="2"/>
  <c r="CV46" i="2"/>
  <c r="CC46" i="2"/>
  <c r="CB46" i="2"/>
  <c r="CA46" i="2"/>
  <c r="BZ46" i="2"/>
  <c r="BY46" i="2"/>
  <c r="BX46" i="2"/>
  <c r="BW46" i="2"/>
  <c r="BV46" i="2"/>
  <c r="BU46" i="2"/>
  <c r="BS46" i="2"/>
  <c r="CE46" i="2" s="1"/>
  <c r="X46" i="2"/>
  <c r="EA45" i="2"/>
  <c r="DV45" i="2"/>
  <c r="DU45" i="2"/>
  <c r="DW45" i="2" s="1"/>
  <c r="DT45" i="2"/>
  <c r="DR45" i="2"/>
  <c r="DQ45" i="2"/>
  <c r="DP45" i="2"/>
  <c r="DI45" i="2"/>
  <c r="DH45" i="2"/>
  <c r="DE45" i="2"/>
  <c r="DF45" i="2" s="1"/>
  <c r="DD45" i="2"/>
  <c r="DC45" i="2"/>
  <c r="CW45" i="2"/>
  <c r="CV45" i="2"/>
  <c r="CC45" i="2"/>
  <c r="CB45" i="2"/>
  <c r="CA45" i="2"/>
  <c r="BZ45" i="2"/>
  <c r="BY45" i="2"/>
  <c r="DS45" i="2" s="1"/>
  <c r="BX45" i="2"/>
  <c r="DB45" i="2" s="1"/>
  <c r="BW45" i="2"/>
  <c r="BV45" i="2"/>
  <c r="BU45" i="2"/>
  <c r="BS45" i="2"/>
  <c r="CU45" i="2" s="1"/>
  <c r="X45" i="2"/>
  <c r="EA44" i="2"/>
  <c r="DV44" i="2"/>
  <c r="DU44" i="2"/>
  <c r="DS44" i="2"/>
  <c r="DT44" i="2" s="1"/>
  <c r="DR44" i="2"/>
  <c r="DE44" i="2"/>
  <c r="DB44" i="2"/>
  <c r="DC44" i="2" s="1"/>
  <c r="DF44" i="2" s="1"/>
  <c r="CX44" i="2"/>
  <c r="CZ44" i="2" s="1"/>
  <c r="CW44" i="2"/>
  <c r="CV44" i="2"/>
  <c r="CC44" i="2"/>
  <c r="CB44" i="2"/>
  <c r="CA44" i="2"/>
  <c r="BZ44" i="2"/>
  <c r="BY44" i="2"/>
  <c r="DD44" i="2" s="1"/>
  <c r="BX44" i="2"/>
  <c r="DP44" i="2" s="1"/>
  <c r="DQ44" i="2" s="1"/>
  <c r="BW44" i="2"/>
  <c r="BV44" i="2"/>
  <c r="BU44" i="2"/>
  <c r="BS44" i="2"/>
  <c r="CU44" i="2" s="1"/>
  <c r="X44" i="2"/>
  <c r="CE44" i="2" s="1"/>
  <c r="EA43" i="2"/>
  <c r="DV43" i="2"/>
  <c r="DT43" i="2"/>
  <c r="DS43" i="2"/>
  <c r="DR43" i="2"/>
  <c r="DK43" i="2"/>
  <c r="DH43" i="2"/>
  <c r="DI43" i="2" s="1"/>
  <c r="DM43" i="2" s="1"/>
  <c r="DE43" i="2"/>
  <c r="DA43" i="2"/>
  <c r="CY43" i="2"/>
  <c r="CX43" i="2"/>
  <c r="CW43" i="2"/>
  <c r="CV43" i="2"/>
  <c r="CD43" i="2"/>
  <c r="CC43" i="2"/>
  <c r="CB43" i="2"/>
  <c r="CA43" i="2"/>
  <c r="BZ43" i="2"/>
  <c r="BY43" i="2"/>
  <c r="DD43" i="2" s="1"/>
  <c r="BX43" i="2"/>
  <c r="BW43" i="2"/>
  <c r="BV43" i="2"/>
  <c r="BU43" i="2"/>
  <c r="BS43" i="2"/>
  <c r="CU43" i="2" s="1"/>
  <c r="X43" i="2"/>
  <c r="CE43" i="2" s="1"/>
  <c r="EA42" i="2"/>
  <c r="DV42" i="2"/>
  <c r="DS42" i="2"/>
  <c r="DR42" i="2"/>
  <c r="DE42" i="2"/>
  <c r="CW42" i="2"/>
  <c r="CV42" i="2"/>
  <c r="CE42" i="2"/>
  <c r="CC42" i="2"/>
  <c r="CB42" i="2"/>
  <c r="CA42" i="2"/>
  <c r="BZ42" i="2"/>
  <c r="BY42" i="2"/>
  <c r="DD42" i="2" s="1"/>
  <c r="BX42" i="2"/>
  <c r="BW42" i="2"/>
  <c r="BV42" i="2"/>
  <c r="BU42" i="2"/>
  <c r="BS42" i="2"/>
  <c r="CU42" i="2" s="1"/>
  <c r="X42" i="2"/>
  <c r="EA41" i="2"/>
  <c r="DV41" i="2"/>
  <c r="DR41" i="2"/>
  <c r="DE41" i="2"/>
  <c r="CY41" i="2"/>
  <c r="CW41" i="2"/>
  <c r="DA41" i="2" s="1"/>
  <c r="CV41" i="2"/>
  <c r="CC41" i="2"/>
  <c r="CB41" i="2"/>
  <c r="CA41" i="2"/>
  <c r="BZ41" i="2"/>
  <c r="BY41" i="2"/>
  <c r="BX41" i="2"/>
  <c r="BW41" i="2"/>
  <c r="BV41" i="2"/>
  <c r="BU41" i="2"/>
  <c r="BS41" i="2"/>
  <c r="CU41" i="2" s="1"/>
  <c r="X41" i="2"/>
  <c r="EA40" i="2"/>
  <c r="DV40" i="2"/>
  <c r="DU40" i="2"/>
  <c r="DW40" i="2" s="1"/>
  <c r="DR40" i="2"/>
  <c r="DM40" i="2"/>
  <c r="DK40" i="2"/>
  <c r="DJ40" i="2"/>
  <c r="DI40" i="2"/>
  <c r="DL40" i="2" s="1"/>
  <c r="DH40" i="2"/>
  <c r="DE40" i="2"/>
  <c r="DB40" i="2"/>
  <c r="DC40" i="2" s="1"/>
  <c r="CZ40" i="2"/>
  <c r="CX40" i="2"/>
  <c r="CW40" i="2"/>
  <c r="CV40" i="2"/>
  <c r="CC40" i="2"/>
  <c r="CB40" i="2"/>
  <c r="CA40" i="2"/>
  <c r="BZ40" i="2"/>
  <c r="BY40" i="2"/>
  <c r="BX40" i="2"/>
  <c r="DP40" i="2" s="1"/>
  <c r="DQ40" i="2" s="1"/>
  <c r="BW40" i="2"/>
  <c r="BV40" i="2"/>
  <c r="BU40" i="2"/>
  <c r="BS40" i="2"/>
  <c r="CU40" i="2" s="1"/>
  <c r="X40" i="2"/>
  <c r="CE40" i="2" s="1"/>
  <c r="EA39" i="2"/>
  <c r="DV39" i="2"/>
  <c r="DR39" i="2"/>
  <c r="DH39" i="2"/>
  <c r="DI39" i="2" s="1"/>
  <c r="DE39" i="2"/>
  <c r="CY39" i="2"/>
  <c r="CW39" i="2"/>
  <c r="DA39" i="2" s="1"/>
  <c r="CV39" i="2"/>
  <c r="CC39" i="2"/>
  <c r="CB39" i="2"/>
  <c r="CA39" i="2"/>
  <c r="BZ39" i="2"/>
  <c r="BY39" i="2"/>
  <c r="DS39" i="2" s="1"/>
  <c r="BX39" i="2"/>
  <c r="BW39" i="2"/>
  <c r="BV39" i="2"/>
  <c r="BU39" i="2"/>
  <c r="BS39" i="2"/>
  <c r="CU39" i="2" s="1"/>
  <c r="CX39" i="2" s="1"/>
  <c r="X39" i="2"/>
  <c r="CE39" i="2" s="1"/>
  <c r="EA38" i="2"/>
  <c r="DV38" i="2"/>
  <c r="DS38" i="2"/>
  <c r="DR38" i="2"/>
  <c r="DE38" i="2"/>
  <c r="DB38" i="2"/>
  <c r="DC38" i="2" s="1"/>
  <c r="DF38" i="2" s="1"/>
  <c r="CZ38" i="2"/>
  <c r="CY38" i="2"/>
  <c r="CX38" i="2"/>
  <c r="CW38" i="2"/>
  <c r="CV38" i="2"/>
  <c r="CC38" i="2"/>
  <c r="CB38" i="2"/>
  <c r="CA38" i="2"/>
  <c r="BZ38" i="2"/>
  <c r="BY38" i="2"/>
  <c r="DD38" i="2" s="1"/>
  <c r="BX38" i="2"/>
  <c r="DU38" i="2" s="1"/>
  <c r="DW38" i="2" s="1"/>
  <c r="BW38" i="2"/>
  <c r="BV38" i="2"/>
  <c r="BU38" i="2"/>
  <c r="BS38" i="2"/>
  <c r="CU38" i="2" s="1"/>
  <c r="X38" i="2"/>
  <c r="CE38" i="2" s="1"/>
  <c r="EA37" i="2"/>
  <c r="DV37" i="2"/>
  <c r="DR37" i="2"/>
  <c r="DP37" i="2"/>
  <c r="DH37" i="2"/>
  <c r="DI37" i="2" s="1"/>
  <c r="DE37" i="2"/>
  <c r="DD37" i="2"/>
  <c r="DA37" i="2"/>
  <c r="CY37" i="2"/>
  <c r="CW37" i="2"/>
  <c r="CV37" i="2"/>
  <c r="CK37" i="2"/>
  <c r="CG37" i="2"/>
  <c r="CC37" i="2"/>
  <c r="CB37" i="2"/>
  <c r="CA37" i="2"/>
  <c r="BZ37" i="2"/>
  <c r="BY37" i="2"/>
  <c r="BX37" i="2"/>
  <c r="CD37" i="2" s="1"/>
  <c r="BW37" i="2"/>
  <c r="BV37" i="2"/>
  <c r="BU37" i="2"/>
  <c r="BS37" i="2"/>
  <c r="CU37" i="2" s="1"/>
  <c r="X37" i="2"/>
  <c r="CE37" i="2" s="1"/>
  <c r="EA36" i="2"/>
  <c r="DV36" i="2"/>
  <c r="DU36" i="2"/>
  <c r="DR36" i="2"/>
  <c r="DS36" i="2" s="1"/>
  <c r="DP36" i="2"/>
  <c r="DE36" i="2"/>
  <c r="DD36" i="2"/>
  <c r="DB36" i="2"/>
  <c r="DA36" i="2"/>
  <c r="CZ36" i="2"/>
  <c r="CW36" i="2"/>
  <c r="CV36" i="2"/>
  <c r="CY36" i="2" s="1"/>
  <c r="CC36" i="2"/>
  <c r="CB36" i="2"/>
  <c r="CA36" i="2"/>
  <c r="BZ36" i="2"/>
  <c r="BY36" i="2"/>
  <c r="BX36" i="2"/>
  <c r="BW36" i="2"/>
  <c r="BV36" i="2"/>
  <c r="BU36" i="2"/>
  <c r="BS36" i="2"/>
  <c r="CU36" i="2" s="1"/>
  <c r="CX36" i="2" s="1"/>
  <c r="X36" i="2"/>
  <c r="CE36" i="2" s="1"/>
  <c r="EA35" i="2"/>
  <c r="DV35" i="2"/>
  <c r="DR35" i="2"/>
  <c r="DS35" i="2" s="1"/>
  <c r="DP35" i="2"/>
  <c r="DE35" i="2"/>
  <c r="DD35" i="2"/>
  <c r="DB35" i="2"/>
  <c r="DC35" i="2" s="1"/>
  <c r="DF35" i="2" s="1"/>
  <c r="CY35" i="2"/>
  <c r="CW35" i="2"/>
  <c r="DA35" i="2" s="1"/>
  <c r="CV35" i="2"/>
  <c r="CU35" i="2"/>
  <c r="CC35" i="2"/>
  <c r="CB35" i="2"/>
  <c r="CA35" i="2"/>
  <c r="BZ35" i="2"/>
  <c r="BY35" i="2"/>
  <c r="BX35" i="2"/>
  <c r="DU35" i="2" s="1"/>
  <c r="BW35" i="2"/>
  <c r="BV35" i="2"/>
  <c r="BU35" i="2"/>
  <c r="BS35" i="2"/>
  <c r="X35" i="2"/>
  <c r="CE35" i="2" s="1"/>
  <c r="EA34" i="2"/>
  <c r="DW34" i="2"/>
  <c r="DV34" i="2"/>
  <c r="DU34" i="2"/>
  <c r="DS34" i="2"/>
  <c r="DR34" i="2"/>
  <c r="DP34" i="2"/>
  <c r="DI34" i="2"/>
  <c r="DH34" i="2"/>
  <c r="DE34" i="2"/>
  <c r="DD34" i="2"/>
  <c r="DB34" i="2"/>
  <c r="CX34" i="2"/>
  <c r="CW34" i="2"/>
  <c r="CV34" i="2"/>
  <c r="CC34" i="2"/>
  <c r="CB34" i="2"/>
  <c r="CA34" i="2"/>
  <c r="BZ34" i="2"/>
  <c r="BY34" i="2"/>
  <c r="BX34" i="2"/>
  <c r="BW34" i="2"/>
  <c r="BV34" i="2"/>
  <c r="BU34" i="2"/>
  <c r="BS34" i="2"/>
  <c r="CU34" i="2" s="1"/>
  <c r="X34" i="2"/>
  <c r="EA33" i="2"/>
  <c r="DV33" i="2"/>
  <c r="DU33" i="2"/>
  <c r="DR33" i="2"/>
  <c r="DI33" i="2"/>
  <c r="DH33" i="2"/>
  <c r="DE33" i="2"/>
  <c r="DD33" i="2"/>
  <c r="DC33" i="2"/>
  <c r="CY33" i="2"/>
  <c r="CW33" i="2"/>
  <c r="CV33" i="2"/>
  <c r="CG33" i="2"/>
  <c r="CD33" i="2"/>
  <c r="EQ33" i="2" s="1"/>
  <c r="CC33" i="2"/>
  <c r="CB33" i="2"/>
  <c r="CA33" i="2"/>
  <c r="BZ33" i="2"/>
  <c r="BY33" i="2"/>
  <c r="DS33" i="2" s="1"/>
  <c r="BX33" i="2"/>
  <c r="DB33" i="2" s="1"/>
  <c r="BW33" i="2"/>
  <c r="BV33" i="2"/>
  <c r="BU33" i="2"/>
  <c r="BS33" i="2"/>
  <c r="CU33" i="2" s="1"/>
  <c r="X33" i="2"/>
  <c r="CE33" i="2" s="1"/>
  <c r="EA32" i="2"/>
  <c r="DV32" i="2"/>
  <c r="DW32" i="2" s="1"/>
  <c r="DU32" i="2"/>
  <c r="DR32" i="2"/>
  <c r="DQ32" i="2"/>
  <c r="DI32" i="2"/>
  <c r="DH32" i="2"/>
  <c r="DE32" i="2"/>
  <c r="DD32" i="2"/>
  <c r="DB32" i="2"/>
  <c r="CW32" i="2"/>
  <c r="CV32" i="2"/>
  <c r="CC32" i="2"/>
  <c r="CB32" i="2"/>
  <c r="CA32" i="2"/>
  <c r="BZ32" i="2"/>
  <c r="BY32" i="2"/>
  <c r="DS32" i="2" s="1"/>
  <c r="DT32" i="2" s="1"/>
  <c r="BX32" i="2"/>
  <c r="DP32" i="2" s="1"/>
  <c r="BW32" i="2"/>
  <c r="BV32" i="2"/>
  <c r="BU32" i="2"/>
  <c r="BS32" i="2"/>
  <c r="CU32" i="2" s="1"/>
  <c r="X32" i="2"/>
  <c r="CE32" i="2" s="1"/>
  <c r="EA31" i="2"/>
  <c r="DV31" i="2"/>
  <c r="DR31" i="2"/>
  <c r="DS31" i="2" s="1"/>
  <c r="DE31" i="2"/>
  <c r="CY31" i="2"/>
  <c r="CW31" i="2"/>
  <c r="DA31" i="2" s="1"/>
  <c r="CV31" i="2"/>
  <c r="CC31" i="2"/>
  <c r="CB31" i="2"/>
  <c r="CA31" i="2"/>
  <c r="BZ31" i="2"/>
  <c r="BY31" i="2"/>
  <c r="DD31" i="2" s="1"/>
  <c r="BX31" i="2"/>
  <c r="BW31" i="2"/>
  <c r="BV31" i="2"/>
  <c r="BU31" i="2"/>
  <c r="BS31" i="2"/>
  <c r="CU31" i="2" s="1"/>
  <c r="X31" i="2"/>
  <c r="CE31" i="2" s="1"/>
  <c r="EA30" i="2"/>
  <c r="DV30" i="2"/>
  <c r="DU30" i="2"/>
  <c r="DW30" i="2" s="1"/>
  <c r="DR30" i="2"/>
  <c r="DE30" i="2"/>
  <c r="DB30" i="2"/>
  <c r="DC30" i="2" s="1"/>
  <c r="CW30" i="2"/>
  <c r="CV30" i="2"/>
  <c r="CU30" i="2"/>
  <c r="CC30" i="2"/>
  <c r="CB30" i="2"/>
  <c r="CA30" i="2"/>
  <c r="BZ30" i="2"/>
  <c r="BY30" i="2"/>
  <c r="BX30" i="2"/>
  <c r="DP30" i="2" s="1"/>
  <c r="BW30" i="2"/>
  <c r="BV30" i="2"/>
  <c r="BU30" i="2"/>
  <c r="BS30" i="2"/>
  <c r="CE30" i="2" s="1"/>
  <c r="X30" i="2"/>
  <c r="EA29" i="2"/>
  <c r="DV29" i="2"/>
  <c r="DU29" i="2"/>
  <c r="DW29" i="2" s="1"/>
  <c r="DR29" i="2"/>
  <c r="DP29" i="2"/>
  <c r="DE29" i="2"/>
  <c r="CW29" i="2"/>
  <c r="CV29" i="2"/>
  <c r="CU29" i="2"/>
  <c r="CC29" i="2"/>
  <c r="CB29" i="2"/>
  <c r="CA29" i="2"/>
  <c r="BZ29" i="2"/>
  <c r="BY29" i="2"/>
  <c r="BX29" i="2"/>
  <c r="DB29" i="2" s="1"/>
  <c r="DC29" i="2" s="1"/>
  <c r="BW29" i="2"/>
  <c r="BV29" i="2"/>
  <c r="BU29" i="2"/>
  <c r="BS29" i="2"/>
  <c r="X29" i="2"/>
  <c r="EA28" i="2"/>
  <c r="DV28" i="2"/>
  <c r="DW28" i="2" s="1"/>
  <c r="DU28" i="2"/>
  <c r="DR28" i="2"/>
  <c r="DP28" i="2"/>
  <c r="DI28" i="2"/>
  <c r="DH28" i="2"/>
  <c r="DE28" i="2"/>
  <c r="DB28" i="2"/>
  <c r="DC28" i="2" s="1"/>
  <c r="DA28" i="2"/>
  <c r="CZ28" i="2"/>
  <c r="CX28" i="2"/>
  <c r="CW28" i="2"/>
  <c r="CV28" i="2"/>
  <c r="CY28" i="2" s="1"/>
  <c r="CC28" i="2"/>
  <c r="CB28" i="2"/>
  <c r="CA28" i="2"/>
  <c r="BZ28" i="2"/>
  <c r="BY28" i="2"/>
  <c r="DS28" i="2" s="1"/>
  <c r="BX28" i="2"/>
  <c r="BW28" i="2"/>
  <c r="BV28" i="2"/>
  <c r="BU28" i="2"/>
  <c r="BS28" i="2"/>
  <c r="CU28" i="2" s="1"/>
  <c r="X28" i="2"/>
  <c r="CE28" i="2" s="1"/>
  <c r="EA27" i="2"/>
  <c r="DV27" i="2"/>
  <c r="DR27" i="2"/>
  <c r="DP27" i="2"/>
  <c r="DE27" i="2"/>
  <c r="DD27" i="2"/>
  <c r="DA27" i="2"/>
  <c r="CY27" i="2"/>
  <c r="CX27" i="2"/>
  <c r="CW27" i="2"/>
  <c r="CV27" i="2"/>
  <c r="CC27" i="2"/>
  <c r="CB27" i="2"/>
  <c r="CA27" i="2"/>
  <c r="BZ27" i="2"/>
  <c r="BY27" i="2"/>
  <c r="BX27" i="2"/>
  <c r="DU27" i="2" s="1"/>
  <c r="BW27" i="2"/>
  <c r="BV27" i="2"/>
  <c r="BU27" i="2"/>
  <c r="BS27" i="2"/>
  <c r="CU27" i="2" s="1"/>
  <c r="X27" i="2"/>
  <c r="CE27" i="2" s="1"/>
  <c r="EA26" i="2"/>
  <c r="DV26" i="2"/>
  <c r="DR26" i="2"/>
  <c r="DP26" i="2"/>
  <c r="DE26" i="2"/>
  <c r="DB26" i="2"/>
  <c r="DC26" i="2" s="1"/>
  <c r="CW26" i="2"/>
  <c r="CV26" i="2"/>
  <c r="CE26" i="2"/>
  <c r="CC26" i="2"/>
  <c r="CB26" i="2"/>
  <c r="CA26" i="2"/>
  <c r="BZ26" i="2"/>
  <c r="BY26" i="2"/>
  <c r="BX26" i="2"/>
  <c r="DU26" i="2" s="1"/>
  <c r="DW26" i="2" s="1"/>
  <c r="BW26" i="2"/>
  <c r="BV26" i="2"/>
  <c r="BU26" i="2"/>
  <c r="BS26" i="2"/>
  <c r="CU26" i="2" s="1"/>
  <c r="X26" i="2"/>
  <c r="EA25" i="2"/>
  <c r="DV25" i="2"/>
  <c r="DR25" i="2"/>
  <c r="DP25" i="2"/>
  <c r="DH25" i="2"/>
  <c r="DI25" i="2" s="1"/>
  <c r="DE25" i="2"/>
  <c r="CY25" i="2"/>
  <c r="DA25" i="2" s="1"/>
  <c r="CW25" i="2"/>
  <c r="CV25" i="2"/>
  <c r="CD25" i="2"/>
  <c r="CC25" i="2"/>
  <c r="CB25" i="2"/>
  <c r="CA25" i="2"/>
  <c r="BZ25" i="2"/>
  <c r="BY25" i="2"/>
  <c r="DD25" i="2" s="1"/>
  <c r="BX25" i="2"/>
  <c r="BW25" i="2"/>
  <c r="BV25" i="2"/>
  <c r="BU25" i="2"/>
  <c r="BS25" i="2"/>
  <c r="CU25" i="2" s="1"/>
  <c r="CX25" i="2" s="1"/>
  <c r="X25" i="2"/>
  <c r="EA24" i="2"/>
  <c r="DV24" i="2"/>
  <c r="DU24" i="2"/>
  <c r="DW24" i="2" s="1"/>
  <c r="DS24" i="2"/>
  <c r="DR24" i="2"/>
  <c r="DP24" i="2"/>
  <c r="DE24" i="2"/>
  <c r="DD24" i="2"/>
  <c r="DB24" i="2"/>
  <c r="DC24" i="2" s="1"/>
  <c r="DF24" i="2" s="1"/>
  <c r="CW24" i="2"/>
  <c r="CV24" i="2"/>
  <c r="CC24" i="2"/>
  <c r="CB24" i="2"/>
  <c r="CA24" i="2"/>
  <c r="BZ24" i="2"/>
  <c r="BY24" i="2"/>
  <c r="BX24" i="2"/>
  <c r="BW24" i="2"/>
  <c r="BV24" i="2"/>
  <c r="BU24" i="2"/>
  <c r="BS24" i="2"/>
  <c r="CU24" i="2" s="1"/>
  <c r="CX24" i="2" s="1"/>
  <c r="CZ24" i="2" s="1"/>
  <c r="X24" i="2"/>
  <c r="CE24" i="2" s="1"/>
  <c r="EA23" i="2"/>
  <c r="DV23" i="2"/>
  <c r="DS23" i="2"/>
  <c r="DR23" i="2"/>
  <c r="DP23" i="2"/>
  <c r="DE23" i="2"/>
  <c r="DF23" i="2" s="1"/>
  <c r="DD23" i="2"/>
  <c r="DC23" i="2"/>
  <c r="DB23" i="2"/>
  <c r="DA23" i="2"/>
  <c r="CY23" i="2"/>
  <c r="CW23" i="2"/>
  <c r="CV23" i="2"/>
  <c r="CU23" i="2"/>
  <c r="CC23" i="2"/>
  <c r="CB23" i="2"/>
  <c r="CA23" i="2"/>
  <c r="BZ23" i="2"/>
  <c r="BY23" i="2"/>
  <c r="BX23" i="2"/>
  <c r="DU23" i="2" s="1"/>
  <c r="BW23" i="2"/>
  <c r="BV23" i="2"/>
  <c r="BU23" i="2"/>
  <c r="BS23" i="2"/>
  <c r="X23" i="2"/>
  <c r="CE23" i="2" s="1"/>
  <c r="EA22" i="2"/>
  <c r="DW22" i="2"/>
  <c r="DV22" i="2"/>
  <c r="DU22" i="2"/>
  <c r="DR22" i="2"/>
  <c r="DP22" i="2"/>
  <c r="DH22" i="2"/>
  <c r="DI22" i="2" s="1"/>
  <c r="DE22" i="2"/>
  <c r="DB22" i="2"/>
  <c r="DC22" i="2" s="1"/>
  <c r="DF22" i="2" s="1"/>
  <c r="CX22" i="2"/>
  <c r="CZ22" i="2" s="1"/>
  <c r="CW22" i="2"/>
  <c r="CV22" i="2"/>
  <c r="CC22" i="2"/>
  <c r="CB22" i="2"/>
  <c r="CA22" i="2"/>
  <c r="BZ22" i="2"/>
  <c r="BY22" i="2"/>
  <c r="DD22" i="2" s="1"/>
  <c r="BX22" i="2"/>
  <c r="BW22" i="2"/>
  <c r="BV22" i="2"/>
  <c r="BU22" i="2"/>
  <c r="BS22" i="2"/>
  <c r="CU22" i="2" s="1"/>
  <c r="X22" i="2"/>
  <c r="CE22" i="2" s="1"/>
  <c r="EA21" i="2"/>
  <c r="DV21" i="2"/>
  <c r="DR21" i="2"/>
  <c r="DE21" i="2"/>
  <c r="DD21" i="2"/>
  <c r="CY21" i="2"/>
  <c r="CW21" i="2"/>
  <c r="CV21" i="2"/>
  <c r="DA21" i="2" s="1"/>
  <c r="CU21" i="2"/>
  <c r="CC21" i="2"/>
  <c r="CB21" i="2"/>
  <c r="CA21" i="2"/>
  <c r="BZ21" i="2"/>
  <c r="BY21" i="2"/>
  <c r="BX21" i="2"/>
  <c r="BW21" i="2"/>
  <c r="BV21" i="2"/>
  <c r="BU21" i="2"/>
  <c r="BS21" i="2"/>
  <c r="X21" i="2"/>
  <c r="EA20" i="2"/>
  <c r="DV20" i="2"/>
  <c r="DU20" i="2"/>
  <c r="DR20" i="2"/>
  <c r="DS20" i="2" s="1"/>
  <c r="DE20" i="2"/>
  <c r="DD20" i="2"/>
  <c r="DB20" i="2"/>
  <c r="CX20" i="2"/>
  <c r="CW20" i="2"/>
  <c r="CZ20" i="2" s="1"/>
  <c r="CV20" i="2"/>
  <c r="CC20" i="2"/>
  <c r="CB20" i="2"/>
  <c r="CA20" i="2"/>
  <c r="BZ20" i="2"/>
  <c r="BY20" i="2"/>
  <c r="BX20" i="2"/>
  <c r="DP20" i="2" s="1"/>
  <c r="BW20" i="2"/>
  <c r="BV20" i="2"/>
  <c r="BU20" i="2"/>
  <c r="BS20" i="2"/>
  <c r="CU20" i="2" s="1"/>
  <c r="X20" i="2"/>
  <c r="CE20" i="2" s="1"/>
  <c r="EA19" i="2"/>
  <c r="DV19" i="2"/>
  <c r="DS19" i="2"/>
  <c r="DR19" i="2"/>
  <c r="DH19" i="2"/>
  <c r="DI19" i="2" s="1"/>
  <c r="DE19" i="2"/>
  <c r="CY19" i="2"/>
  <c r="CW19" i="2"/>
  <c r="DA19" i="2" s="1"/>
  <c r="CV19" i="2"/>
  <c r="CC19" i="2"/>
  <c r="CB19" i="2"/>
  <c r="CA19" i="2"/>
  <c r="BZ19" i="2"/>
  <c r="BY19" i="2"/>
  <c r="DD19" i="2" s="1"/>
  <c r="BX19" i="2"/>
  <c r="BW19" i="2"/>
  <c r="BV19" i="2"/>
  <c r="BU19" i="2"/>
  <c r="BS19" i="2"/>
  <c r="CU19" i="2" s="1"/>
  <c r="X19" i="2"/>
  <c r="CE19" i="2" s="1"/>
  <c r="EH18" i="2"/>
  <c r="EA18" i="2"/>
  <c r="DV18" i="2"/>
  <c r="DS18" i="2"/>
  <c r="DR18" i="2"/>
  <c r="DI18" i="2"/>
  <c r="DH18" i="2"/>
  <c r="DE18" i="2"/>
  <c r="DB18" i="2"/>
  <c r="CY18" i="2"/>
  <c r="CW18" i="2"/>
  <c r="CV18" i="2"/>
  <c r="CJ18" i="2"/>
  <c r="CH18" i="2"/>
  <c r="CG18" i="2"/>
  <c r="CC18" i="2"/>
  <c r="CB18" i="2"/>
  <c r="CA18" i="2"/>
  <c r="BZ18" i="2"/>
  <c r="BY18" i="2"/>
  <c r="DD18" i="2" s="1"/>
  <c r="BX18" i="2"/>
  <c r="DP18" i="2" s="1"/>
  <c r="BW18" i="2"/>
  <c r="BV18" i="2"/>
  <c r="BU18" i="2"/>
  <c r="CD18" i="2" s="1"/>
  <c r="BS18" i="2"/>
  <c r="CU18" i="2" s="1"/>
  <c r="X18" i="2"/>
  <c r="CE18" i="2" s="1"/>
  <c r="EA17" i="2"/>
  <c r="DV17" i="2"/>
  <c r="DR17" i="2"/>
  <c r="DE17" i="2"/>
  <c r="CY17" i="2"/>
  <c r="CW17" i="2"/>
  <c r="DA17" i="2" s="1"/>
  <c r="CV17" i="2"/>
  <c r="CC17" i="2"/>
  <c r="CB17" i="2"/>
  <c r="CA17" i="2"/>
  <c r="BZ17" i="2"/>
  <c r="BY17" i="2"/>
  <c r="BX17" i="2"/>
  <c r="DU17" i="2" s="1"/>
  <c r="DW17" i="2" s="1"/>
  <c r="BW17" i="2"/>
  <c r="BV17" i="2"/>
  <c r="BU17" i="2"/>
  <c r="BS17" i="2"/>
  <c r="CU17" i="2" s="1"/>
  <c r="X17" i="2"/>
  <c r="EA16" i="2"/>
  <c r="DV16" i="2"/>
  <c r="DU16" i="2"/>
  <c r="DW16" i="2" s="1"/>
  <c r="DR16" i="2"/>
  <c r="DP16" i="2"/>
  <c r="DE16" i="2"/>
  <c r="DB16" i="2"/>
  <c r="CW16" i="2"/>
  <c r="DA16" i="2" s="1"/>
  <c r="CV16" i="2"/>
  <c r="CY16" i="2" s="1"/>
  <c r="CC16" i="2"/>
  <c r="CB16" i="2"/>
  <c r="CA16" i="2"/>
  <c r="BZ16" i="2"/>
  <c r="BY16" i="2"/>
  <c r="BX16" i="2"/>
  <c r="BW16" i="2"/>
  <c r="BV16" i="2"/>
  <c r="BU16" i="2"/>
  <c r="BS16" i="2"/>
  <c r="CU16" i="2" s="1"/>
  <c r="CX16" i="2" s="1"/>
  <c r="CZ16" i="2" s="1"/>
  <c r="X16" i="2"/>
  <c r="DC16" i="2" s="1"/>
  <c r="EA15" i="2"/>
  <c r="DV15" i="2"/>
  <c r="DR15" i="2"/>
  <c r="DE15" i="2"/>
  <c r="DD15" i="2"/>
  <c r="CY15" i="2"/>
  <c r="CW15" i="2"/>
  <c r="DA15" i="2" s="1"/>
  <c r="CV15" i="2"/>
  <c r="CC15" i="2"/>
  <c r="CB15" i="2"/>
  <c r="CA15" i="2"/>
  <c r="BZ15" i="2"/>
  <c r="BY15" i="2"/>
  <c r="BX15" i="2"/>
  <c r="BW15" i="2"/>
  <c r="BV15" i="2"/>
  <c r="BU15" i="2"/>
  <c r="BS15" i="2"/>
  <c r="CU15" i="2" s="1"/>
  <c r="X15" i="2"/>
  <c r="EA14" i="2"/>
  <c r="DV14" i="2"/>
  <c r="DU14" i="2"/>
  <c r="DW14" i="2" s="1"/>
  <c r="DR14" i="2"/>
  <c r="DE14" i="2"/>
  <c r="CX14" i="2"/>
  <c r="CZ14" i="2" s="1"/>
  <c r="CW14" i="2"/>
  <c r="CV14" i="2"/>
  <c r="CC14" i="2"/>
  <c r="CB14" i="2"/>
  <c r="CA14" i="2"/>
  <c r="BZ14" i="2"/>
  <c r="BY14" i="2"/>
  <c r="BX14" i="2"/>
  <c r="BW14" i="2"/>
  <c r="BV14" i="2"/>
  <c r="BU14" i="2"/>
  <c r="BS14" i="2"/>
  <c r="CU14" i="2" s="1"/>
  <c r="X14" i="2"/>
  <c r="CE14" i="2" s="1"/>
  <c r="EA13" i="2"/>
  <c r="DV13" i="2"/>
  <c r="DU13" i="2"/>
  <c r="DW13" i="2" s="1"/>
  <c r="DR13" i="2"/>
  <c r="DH13" i="2"/>
  <c r="DI13" i="2" s="1"/>
  <c r="DE13" i="2"/>
  <c r="DA13" i="2"/>
  <c r="CY13" i="2"/>
  <c r="CW13" i="2"/>
  <c r="CV13" i="2"/>
  <c r="CU13" i="2"/>
  <c r="CC13" i="2"/>
  <c r="CB13" i="2"/>
  <c r="CA13" i="2"/>
  <c r="BZ13" i="2"/>
  <c r="BY13" i="2"/>
  <c r="DD13" i="2" s="1"/>
  <c r="BX13" i="2"/>
  <c r="DP13" i="2" s="1"/>
  <c r="BW13" i="2"/>
  <c r="BV13" i="2"/>
  <c r="BU13" i="2"/>
  <c r="BS13" i="2"/>
  <c r="X13" i="2"/>
  <c r="CE13" i="2" s="1"/>
  <c r="EA12" i="2"/>
  <c r="DV12" i="2"/>
  <c r="DU12" i="2"/>
  <c r="DR12" i="2"/>
  <c r="DW12" i="2" s="1"/>
  <c r="DP12" i="2"/>
  <c r="DE12" i="2"/>
  <c r="DC12" i="2"/>
  <c r="DB12" i="2"/>
  <c r="CW12" i="2"/>
  <c r="CV12" i="2"/>
  <c r="CY12" i="2" s="1"/>
  <c r="CC12" i="2"/>
  <c r="CB12" i="2"/>
  <c r="CA12" i="2"/>
  <c r="BZ12" i="2"/>
  <c r="BY12" i="2"/>
  <c r="DD12" i="2" s="1"/>
  <c r="BX12" i="2"/>
  <c r="BW12" i="2"/>
  <c r="BV12" i="2"/>
  <c r="BU12" i="2"/>
  <c r="BS12" i="2"/>
  <c r="CU12" i="2" s="1"/>
  <c r="X12" i="2"/>
  <c r="CE12" i="2" s="1"/>
  <c r="EA11" i="2"/>
  <c r="DV11" i="2"/>
  <c r="DS11" i="2"/>
  <c r="DR11" i="2"/>
  <c r="DE11" i="2"/>
  <c r="DD11" i="2"/>
  <c r="CY11" i="2"/>
  <c r="CX11" i="2"/>
  <c r="CW11" i="2"/>
  <c r="CV11" i="2"/>
  <c r="CU11" i="2"/>
  <c r="CC11" i="2"/>
  <c r="CB11" i="2"/>
  <c r="CA11" i="2"/>
  <c r="BZ11" i="2"/>
  <c r="BY11" i="2"/>
  <c r="BX11" i="2"/>
  <c r="DU11" i="2" s="1"/>
  <c r="DW11" i="2" s="1"/>
  <c r="BW11" i="2"/>
  <c r="BV11" i="2"/>
  <c r="BU11" i="2"/>
  <c r="BS11" i="2"/>
  <c r="X11" i="2"/>
  <c r="CE11" i="2" s="1"/>
  <c r="EA10" i="2"/>
  <c r="DV10" i="2"/>
  <c r="DW10" i="2" s="1"/>
  <c r="DU10" i="2"/>
  <c r="DR10" i="2"/>
  <c r="DP10" i="2"/>
  <c r="DI10" i="2"/>
  <c r="DH10" i="2"/>
  <c r="DE10" i="2"/>
  <c r="DB10" i="2"/>
  <c r="CW10" i="2"/>
  <c r="CV10" i="2"/>
  <c r="CU10" i="2"/>
  <c r="CD10" i="2"/>
  <c r="CC10" i="2"/>
  <c r="CB10" i="2"/>
  <c r="CA10" i="2"/>
  <c r="BZ10" i="2"/>
  <c r="BY10" i="2"/>
  <c r="DS10" i="2" s="1"/>
  <c r="BX10" i="2"/>
  <c r="BW10" i="2"/>
  <c r="BV10" i="2"/>
  <c r="BU10" i="2"/>
  <c r="BS10" i="2"/>
  <c r="X10" i="2"/>
  <c r="CE10" i="2" s="1"/>
  <c r="ER9" i="2"/>
  <c r="EA9" i="2"/>
  <c r="DV9" i="2"/>
  <c r="DR9" i="2"/>
  <c r="DS9" i="2" s="1"/>
  <c r="DI9" i="2"/>
  <c r="DH9" i="2"/>
  <c r="DE9" i="2"/>
  <c r="DD9" i="2"/>
  <c r="CW9" i="2"/>
  <c r="CV9" i="2"/>
  <c r="CC9" i="2"/>
  <c r="CB9" i="2"/>
  <c r="CD9" i="2" s="1"/>
  <c r="CA9" i="2"/>
  <c r="BZ9" i="2"/>
  <c r="BY9" i="2"/>
  <c r="BX9" i="2"/>
  <c r="DU9" i="2" s="1"/>
  <c r="DW9" i="2" s="1"/>
  <c r="BW9" i="2"/>
  <c r="BV9" i="2"/>
  <c r="BU9" i="2"/>
  <c r="BS9" i="2"/>
  <c r="CU9" i="2" s="1"/>
  <c r="X9" i="2"/>
  <c r="CE9" i="2" s="1"/>
  <c r="EA8" i="2"/>
  <c r="DV8" i="2"/>
  <c r="DR8" i="2"/>
  <c r="DS8" i="2" s="1"/>
  <c r="DE8" i="2"/>
  <c r="DD8" i="2"/>
  <c r="CY8" i="2"/>
  <c r="CW8" i="2"/>
  <c r="CV8" i="2"/>
  <c r="DA8" i="2" s="1"/>
  <c r="CC8" i="2"/>
  <c r="CB8" i="2"/>
  <c r="CA8" i="2"/>
  <c r="BZ8" i="2"/>
  <c r="BY8" i="2"/>
  <c r="BX8" i="2"/>
  <c r="DB8" i="2" s="1"/>
  <c r="BW8" i="2"/>
  <c r="BV8" i="2"/>
  <c r="BU8" i="2"/>
  <c r="BS8" i="2"/>
  <c r="CU8" i="2" s="1"/>
  <c r="X8" i="2"/>
  <c r="CE8" i="2" s="1"/>
  <c r="ER7" i="2"/>
  <c r="EQ7" i="2"/>
  <c r="EF7" i="2"/>
  <c r="EA7" i="2"/>
  <c r="DV7" i="2"/>
  <c r="DR7" i="2"/>
  <c r="DS7" i="2" s="1"/>
  <c r="DP7" i="2"/>
  <c r="DH7" i="2"/>
  <c r="DI7" i="2" s="1"/>
  <c r="DE7" i="2"/>
  <c r="DA7" i="2"/>
  <c r="CY7" i="2"/>
  <c r="CW7" i="2"/>
  <c r="CV7" i="2"/>
  <c r="CQ7" i="2"/>
  <c r="CG7" i="2"/>
  <c r="CD7" i="2"/>
  <c r="EG7" i="2" s="1"/>
  <c r="CC7" i="2"/>
  <c r="CB7" i="2"/>
  <c r="CA7" i="2"/>
  <c r="BZ7" i="2"/>
  <c r="BY7" i="2"/>
  <c r="DD7" i="2" s="1"/>
  <c r="BX7" i="2"/>
  <c r="DB7" i="2" s="1"/>
  <c r="DC7" i="2" s="1"/>
  <c r="DF7" i="2" s="1"/>
  <c r="BW7" i="2"/>
  <c r="BV7" i="2"/>
  <c r="BU7" i="2"/>
  <c r="BS7" i="2"/>
  <c r="CU7" i="2" s="1"/>
  <c r="X7" i="2"/>
  <c r="CE7" i="2" s="1"/>
  <c r="EA6" i="2"/>
  <c r="DV6" i="2"/>
  <c r="DU6" i="2"/>
  <c r="DW6" i="2" s="1"/>
  <c r="DS6" i="2"/>
  <c r="DR6" i="2"/>
  <c r="DE6" i="2"/>
  <c r="DD6" i="2"/>
  <c r="CW6" i="2"/>
  <c r="CV6" i="2"/>
  <c r="CU6" i="2"/>
  <c r="CE6" i="2"/>
  <c r="CC6" i="2"/>
  <c r="CB6" i="2"/>
  <c r="CA6" i="2"/>
  <c r="BZ6" i="2"/>
  <c r="BY6" i="2"/>
  <c r="BX6" i="2"/>
  <c r="DP6" i="2" s="1"/>
  <c r="BW6" i="2"/>
  <c r="BV6" i="2"/>
  <c r="BU6" i="2"/>
  <c r="BS6" i="2"/>
  <c r="X6" i="2"/>
  <c r="EA5" i="2"/>
  <c r="DV5" i="2"/>
  <c r="DU5" i="2"/>
  <c r="DR5" i="2"/>
  <c r="DP5" i="2"/>
  <c r="DQ5" i="2" s="1"/>
  <c r="DE5" i="2"/>
  <c r="DB5" i="2"/>
  <c r="DC5" i="2" s="1"/>
  <c r="CW5" i="2"/>
  <c r="CV5" i="2"/>
  <c r="CU5" i="2"/>
  <c r="CC5" i="2"/>
  <c r="CB5" i="2"/>
  <c r="CA5" i="2"/>
  <c r="BZ5" i="2"/>
  <c r="BY5" i="2"/>
  <c r="DD5" i="2" s="1"/>
  <c r="BX5" i="2"/>
  <c r="BW5" i="2"/>
  <c r="BV5" i="2"/>
  <c r="BU5" i="2"/>
  <c r="BS5" i="2"/>
  <c r="X5" i="2"/>
  <c r="EA4" i="2"/>
  <c r="DV4" i="2"/>
  <c r="DU4" i="2"/>
  <c r="DW4" i="2" s="1"/>
  <c r="DS4" i="2"/>
  <c r="DR4" i="2"/>
  <c r="DP4" i="2"/>
  <c r="DQ4" i="2" s="1"/>
  <c r="DE4" i="2"/>
  <c r="DD4" i="2"/>
  <c r="DC4" i="2"/>
  <c r="DF4" i="2" s="1"/>
  <c r="DB4" i="2"/>
  <c r="CX4" i="2"/>
  <c r="CW4" i="2"/>
  <c r="CV4" i="2"/>
  <c r="CC4" i="2"/>
  <c r="CB4" i="2"/>
  <c r="CA4" i="2"/>
  <c r="BZ4" i="2"/>
  <c r="BY4" i="2"/>
  <c r="BX4" i="2"/>
  <c r="BW4" i="2"/>
  <c r="BV4" i="2"/>
  <c r="BU4" i="2"/>
  <c r="BS4" i="2"/>
  <c r="CU4" i="2" s="1"/>
  <c r="X4" i="2"/>
  <c r="CE4" i="2" s="1"/>
  <c r="EA3" i="2"/>
  <c r="DV3" i="2"/>
  <c r="DR3" i="2"/>
  <c r="DL3" i="2"/>
  <c r="DH3" i="2"/>
  <c r="DI3" i="2" s="1"/>
  <c r="DM3" i="2" s="1"/>
  <c r="DE3" i="2"/>
  <c r="DD3" i="2"/>
  <c r="CY3" i="2"/>
  <c r="CW3" i="2"/>
  <c r="CV3" i="2"/>
  <c r="CJ3" i="2"/>
  <c r="CI3" i="2"/>
  <c r="CC3" i="2"/>
  <c r="CB3" i="2"/>
  <c r="CA3" i="2"/>
  <c r="BZ3" i="2"/>
  <c r="BY3" i="2"/>
  <c r="DS3" i="2" s="1"/>
  <c r="BX3" i="2"/>
  <c r="BW3" i="2"/>
  <c r="BV3" i="2"/>
  <c r="CD3" i="2" s="1"/>
  <c r="CK3" i="2" s="1"/>
  <c r="BU3" i="2"/>
  <c r="BS3" i="2"/>
  <c r="CU3" i="2" s="1"/>
  <c r="X3" i="2"/>
  <c r="CE3" i="2" s="1"/>
  <c r="EA221" i="1"/>
  <c r="DV221" i="1"/>
  <c r="DR221" i="1"/>
  <c r="DS221" i="1" s="1"/>
  <c r="DP221" i="1"/>
  <c r="DE221" i="1"/>
  <c r="DA221" i="1"/>
  <c r="CY221" i="1"/>
  <c r="CW221" i="1"/>
  <c r="CV221" i="1"/>
  <c r="CE221" i="1"/>
  <c r="CC221" i="1"/>
  <c r="CB221" i="1"/>
  <c r="CA221" i="1"/>
  <c r="BZ221" i="1"/>
  <c r="BY221" i="1"/>
  <c r="DD221" i="1" s="1"/>
  <c r="BX221" i="1"/>
  <c r="DB221" i="1" s="1"/>
  <c r="BW221" i="1"/>
  <c r="BV221" i="1"/>
  <c r="BU221" i="1"/>
  <c r="BS221" i="1"/>
  <c r="CU221" i="1" s="1"/>
  <c r="X221" i="1"/>
  <c r="DC221" i="1" s="1"/>
  <c r="DF221" i="1" s="1"/>
  <c r="CD221" i="1" s="1"/>
  <c r="CG221" i="1" s="1"/>
  <c r="EA220" i="1"/>
  <c r="DV220" i="1"/>
  <c r="DU220" i="1"/>
  <c r="DW220" i="1" s="1"/>
  <c r="DS220" i="1"/>
  <c r="DR220" i="1"/>
  <c r="DE220" i="1"/>
  <c r="DD220" i="1"/>
  <c r="CW220" i="1"/>
  <c r="CV220" i="1"/>
  <c r="CC220" i="1"/>
  <c r="CB220" i="1"/>
  <c r="CA220" i="1"/>
  <c r="BZ220" i="1"/>
  <c r="BY220" i="1"/>
  <c r="BX220" i="1"/>
  <c r="DP220" i="1" s="1"/>
  <c r="BW220" i="1"/>
  <c r="BV220" i="1"/>
  <c r="BU220" i="1"/>
  <c r="BS220" i="1"/>
  <c r="CU220" i="1" s="1"/>
  <c r="X220" i="1"/>
  <c r="CE220" i="1" s="1"/>
  <c r="EA219" i="1"/>
  <c r="DV219" i="1"/>
  <c r="DU219" i="1"/>
  <c r="DR219" i="1"/>
  <c r="DP219" i="1"/>
  <c r="DH219" i="1"/>
  <c r="DI219" i="1" s="1"/>
  <c r="DE219" i="1"/>
  <c r="DB219" i="1"/>
  <c r="CW219" i="1"/>
  <c r="CV219" i="1"/>
  <c r="CC219" i="1"/>
  <c r="CB219" i="1"/>
  <c r="CA219" i="1"/>
  <c r="BZ219" i="1"/>
  <c r="BY219" i="1"/>
  <c r="DD219" i="1" s="1"/>
  <c r="BX219" i="1"/>
  <c r="BW219" i="1"/>
  <c r="BV219" i="1"/>
  <c r="BU219" i="1"/>
  <c r="BS219" i="1"/>
  <c r="CU219" i="1" s="1"/>
  <c r="X219" i="1"/>
  <c r="DC219" i="1" s="1"/>
  <c r="EA218" i="1"/>
  <c r="DV218" i="1"/>
  <c r="DU218" i="1"/>
  <c r="DW218" i="1" s="1"/>
  <c r="DT218" i="1"/>
  <c r="DS218" i="1"/>
  <c r="DR218" i="1"/>
  <c r="DP218" i="1"/>
  <c r="DQ218" i="1" s="1"/>
  <c r="DE218" i="1"/>
  <c r="DD218" i="1"/>
  <c r="DC218" i="1"/>
  <c r="DF218" i="1" s="1"/>
  <c r="DB218" i="1"/>
  <c r="CX218" i="1"/>
  <c r="CW218" i="1"/>
  <c r="CV218" i="1"/>
  <c r="CC218" i="1"/>
  <c r="CB218" i="1"/>
  <c r="CA218" i="1"/>
  <c r="BZ218" i="1"/>
  <c r="BY218" i="1"/>
  <c r="BX218" i="1"/>
  <c r="BW218" i="1"/>
  <c r="BV218" i="1"/>
  <c r="BU218" i="1"/>
  <c r="CD218" i="1" s="1"/>
  <c r="BS218" i="1"/>
  <c r="CU218" i="1" s="1"/>
  <c r="X218" i="1"/>
  <c r="CE218" i="1" s="1"/>
  <c r="EA217" i="1"/>
  <c r="DV217" i="1"/>
  <c r="DR217" i="1"/>
  <c r="DE217" i="1"/>
  <c r="DD217" i="1"/>
  <c r="CY217" i="1"/>
  <c r="CW217" i="1"/>
  <c r="CV217" i="1"/>
  <c r="CC217" i="1"/>
  <c r="CB217" i="1"/>
  <c r="CA217" i="1"/>
  <c r="BZ217" i="1"/>
  <c r="BY217" i="1"/>
  <c r="DS217" i="1" s="1"/>
  <c r="DT217" i="1" s="1"/>
  <c r="BX217" i="1"/>
  <c r="BW217" i="1"/>
  <c r="BV217" i="1"/>
  <c r="BU217" i="1"/>
  <c r="BS217" i="1"/>
  <c r="CU217" i="1" s="1"/>
  <c r="X217" i="1"/>
  <c r="CE217" i="1" s="1"/>
  <c r="EA216" i="1"/>
  <c r="DV216" i="1"/>
  <c r="DR216" i="1"/>
  <c r="DI216" i="1"/>
  <c r="DH216" i="1"/>
  <c r="DE216" i="1"/>
  <c r="CY216" i="1"/>
  <c r="CW216" i="1"/>
  <c r="CV216" i="1"/>
  <c r="CC216" i="1"/>
  <c r="CB216" i="1"/>
  <c r="CA216" i="1"/>
  <c r="BZ216" i="1"/>
  <c r="BY216" i="1"/>
  <c r="BX216" i="1"/>
  <c r="BW216" i="1"/>
  <c r="BV216" i="1"/>
  <c r="BU216" i="1"/>
  <c r="BS216" i="1"/>
  <c r="CU216" i="1" s="1"/>
  <c r="X216" i="1"/>
  <c r="CE216" i="1" s="1"/>
  <c r="EA215" i="1"/>
  <c r="DV215" i="1"/>
  <c r="DR215" i="1"/>
  <c r="DE215" i="1"/>
  <c r="CY215" i="1"/>
  <c r="DA215" i="1" s="1"/>
  <c r="CW215" i="1"/>
  <c r="CV215" i="1"/>
  <c r="CC215" i="1"/>
  <c r="CB215" i="1"/>
  <c r="CA215" i="1"/>
  <c r="BZ215" i="1"/>
  <c r="BY215" i="1"/>
  <c r="BX215" i="1"/>
  <c r="BW215" i="1"/>
  <c r="BV215" i="1"/>
  <c r="BU215" i="1"/>
  <c r="BS215" i="1"/>
  <c r="CU215" i="1" s="1"/>
  <c r="CX215" i="1" s="1"/>
  <c r="X215" i="1"/>
  <c r="CE215" i="1" s="1"/>
  <c r="EA214" i="1"/>
  <c r="DW214" i="1"/>
  <c r="DV214" i="1"/>
  <c r="DU214" i="1"/>
  <c r="DR214" i="1"/>
  <c r="DE214" i="1"/>
  <c r="DB214" i="1"/>
  <c r="DA214" i="1"/>
  <c r="CW214" i="1"/>
  <c r="CV214" i="1"/>
  <c r="CY214" i="1" s="1"/>
  <c r="CC214" i="1"/>
  <c r="CB214" i="1"/>
  <c r="CA214" i="1"/>
  <c r="BZ214" i="1"/>
  <c r="BY214" i="1"/>
  <c r="BX214" i="1"/>
  <c r="DP214" i="1" s="1"/>
  <c r="BW214" i="1"/>
  <c r="BV214" i="1"/>
  <c r="BU214" i="1"/>
  <c r="BS214" i="1"/>
  <c r="CU214" i="1" s="1"/>
  <c r="X214" i="1"/>
  <c r="CE214" i="1" s="1"/>
  <c r="EA213" i="1"/>
  <c r="DV213" i="1"/>
  <c r="DU213" i="1"/>
  <c r="DW213" i="1" s="1"/>
  <c r="DR213" i="1"/>
  <c r="DP213" i="1"/>
  <c r="DI213" i="1"/>
  <c r="DH213" i="1"/>
  <c r="DE213" i="1"/>
  <c r="DC213" i="1"/>
  <c r="DB213" i="1"/>
  <c r="CW213" i="1"/>
  <c r="CV213" i="1"/>
  <c r="CY213" i="1" s="1"/>
  <c r="DA213" i="1" s="1"/>
  <c r="CC213" i="1"/>
  <c r="CB213" i="1"/>
  <c r="CA213" i="1"/>
  <c r="BZ213" i="1"/>
  <c r="BY213" i="1"/>
  <c r="DS213" i="1" s="1"/>
  <c r="BX213" i="1"/>
  <c r="BW213" i="1"/>
  <c r="BV213" i="1"/>
  <c r="BU213" i="1"/>
  <c r="BS213" i="1"/>
  <c r="CU213" i="1" s="1"/>
  <c r="X213" i="1"/>
  <c r="CE213" i="1" s="1"/>
  <c r="EA212" i="1"/>
  <c r="DV212" i="1"/>
  <c r="DW212" i="1" s="1"/>
  <c r="DU212" i="1"/>
  <c r="DR212" i="1"/>
  <c r="DP212" i="1"/>
  <c r="DE212" i="1"/>
  <c r="DD212" i="1"/>
  <c r="DC212" i="1"/>
  <c r="DB212" i="1"/>
  <c r="CW212" i="1"/>
  <c r="DA212" i="1" s="1"/>
  <c r="CV212" i="1"/>
  <c r="CY212" i="1" s="1"/>
  <c r="CC212" i="1"/>
  <c r="CB212" i="1"/>
  <c r="CA212" i="1"/>
  <c r="BZ212" i="1"/>
  <c r="BY212" i="1"/>
  <c r="DS212" i="1" s="1"/>
  <c r="BX212" i="1"/>
  <c r="BW212" i="1"/>
  <c r="BV212" i="1"/>
  <c r="BU212" i="1"/>
  <c r="BS212" i="1"/>
  <c r="CU212" i="1" s="1"/>
  <c r="X212" i="1"/>
  <c r="CE212" i="1" s="1"/>
  <c r="EA211" i="1"/>
  <c r="DW211" i="1"/>
  <c r="DV211" i="1"/>
  <c r="DU211" i="1"/>
  <c r="DR211" i="1"/>
  <c r="DQ211" i="1"/>
  <c r="DP211" i="1"/>
  <c r="DK211" i="1"/>
  <c r="DI211" i="1"/>
  <c r="DM211" i="1" s="1"/>
  <c r="DH211" i="1"/>
  <c r="DE211" i="1"/>
  <c r="DF211" i="1" s="1"/>
  <c r="DD211" i="1"/>
  <c r="DC211" i="1"/>
  <c r="CW211" i="1"/>
  <c r="CV211" i="1"/>
  <c r="CC211" i="1"/>
  <c r="CB211" i="1"/>
  <c r="CA211" i="1"/>
  <c r="BZ211" i="1"/>
  <c r="BY211" i="1"/>
  <c r="DS211" i="1" s="1"/>
  <c r="DT211" i="1" s="1"/>
  <c r="BX211" i="1"/>
  <c r="DB211" i="1" s="1"/>
  <c r="BW211" i="1"/>
  <c r="BV211" i="1"/>
  <c r="BU211" i="1"/>
  <c r="BS211" i="1"/>
  <c r="CU211" i="1" s="1"/>
  <c r="X211" i="1"/>
  <c r="CE211" i="1" s="1"/>
  <c r="EA210" i="1"/>
  <c r="DV210" i="1"/>
  <c r="DS210" i="1"/>
  <c r="DT210" i="1" s="1"/>
  <c r="DR210" i="1"/>
  <c r="DE210" i="1"/>
  <c r="DD210" i="1"/>
  <c r="CY210" i="1"/>
  <c r="CW210" i="1"/>
  <c r="CV210" i="1"/>
  <c r="DA210" i="1" s="1"/>
  <c r="CC210" i="1"/>
  <c r="CB210" i="1"/>
  <c r="CA210" i="1"/>
  <c r="BZ210" i="1"/>
  <c r="BY210" i="1"/>
  <c r="BX210" i="1"/>
  <c r="DB210" i="1" s="1"/>
  <c r="BW210" i="1"/>
  <c r="BV210" i="1"/>
  <c r="BU210" i="1"/>
  <c r="BS210" i="1"/>
  <c r="CU210" i="1" s="1"/>
  <c r="X210" i="1"/>
  <c r="CE210" i="1" s="1"/>
  <c r="EA209" i="1"/>
  <c r="DV209" i="1"/>
  <c r="DS209" i="1"/>
  <c r="DT209" i="1" s="1"/>
  <c r="DR209" i="1"/>
  <c r="DP209" i="1"/>
  <c r="DQ209" i="1" s="1"/>
  <c r="DE209" i="1"/>
  <c r="DA209" i="1"/>
  <c r="CY209" i="1"/>
  <c r="CW209" i="1"/>
  <c r="CV209" i="1"/>
  <c r="CU209" i="1"/>
  <c r="CC209" i="1"/>
  <c r="CB209" i="1"/>
  <c r="CA209" i="1"/>
  <c r="BZ209" i="1"/>
  <c r="BY209" i="1"/>
  <c r="DD209" i="1" s="1"/>
  <c r="BX209" i="1"/>
  <c r="DB209" i="1" s="1"/>
  <c r="BW209" i="1"/>
  <c r="BV209" i="1"/>
  <c r="BU209" i="1"/>
  <c r="BS209" i="1"/>
  <c r="X209" i="1"/>
  <c r="DC209" i="1" s="1"/>
  <c r="EA208" i="1"/>
  <c r="DV208" i="1"/>
  <c r="DU208" i="1"/>
  <c r="DW208" i="1" s="1"/>
  <c r="DS208" i="1"/>
  <c r="DT208" i="1" s="1"/>
  <c r="DR208" i="1"/>
  <c r="DH208" i="1"/>
  <c r="DI208" i="1" s="1"/>
  <c r="DE208" i="1"/>
  <c r="DD208" i="1"/>
  <c r="CW208" i="1"/>
  <c r="CV208" i="1"/>
  <c r="CU208" i="1"/>
  <c r="CE208" i="1"/>
  <c r="CC208" i="1"/>
  <c r="CB208" i="1"/>
  <c r="CA208" i="1"/>
  <c r="BZ208" i="1"/>
  <c r="BY208" i="1"/>
  <c r="BX208" i="1"/>
  <c r="DP208" i="1" s="1"/>
  <c r="DQ208" i="1" s="1"/>
  <c r="BW208" i="1"/>
  <c r="BV208" i="1"/>
  <c r="BU208" i="1"/>
  <c r="BS208" i="1"/>
  <c r="X208" i="1"/>
  <c r="EA207" i="1"/>
  <c r="DV207" i="1"/>
  <c r="DU207" i="1"/>
  <c r="DR207" i="1"/>
  <c r="DP207" i="1"/>
  <c r="DE207" i="1"/>
  <c r="DB207" i="1"/>
  <c r="CW207" i="1"/>
  <c r="CV207" i="1"/>
  <c r="CC207" i="1"/>
  <c r="CB207" i="1"/>
  <c r="CA207" i="1"/>
  <c r="BZ207" i="1"/>
  <c r="BY207" i="1"/>
  <c r="DD207" i="1" s="1"/>
  <c r="BX207" i="1"/>
  <c r="BW207" i="1"/>
  <c r="BV207" i="1"/>
  <c r="BU207" i="1"/>
  <c r="BS207" i="1"/>
  <c r="CU207" i="1" s="1"/>
  <c r="X207" i="1"/>
  <c r="DC207" i="1" s="1"/>
  <c r="EA206" i="1"/>
  <c r="DV206" i="1"/>
  <c r="DW206" i="1" s="1"/>
  <c r="DU206" i="1"/>
  <c r="DT206" i="1"/>
  <c r="DS206" i="1"/>
  <c r="DR206" i="1"/>
  <c r="DP206" i="1"/>
  <c r="DQ206" i="1" s="1"/>
  <c r="DE206" i="1"/>
  <c r="DD206" i="1"/>
  <c r="DC206" i="1"/>
  <c r="DF206" i="1" s="1"/>
  <c r="DB206" i="1"/>
  <c r="CX206" i="1"/>
  <c r="CW206" i="1"/>
  <c r="CV206" i="1"/>
  <c r="CC206" i="1"/>
  <c r="CB206" i="1"/>
  <c r="CA206" i="1"/>
  <c r="BZ206" i="1"/>
  <c r="BY206" i="1"/>
  <c r="BX206" i="1"/>
  <c r="BW206" i="1"/>
  <c r="BV206" i="1"/>
  <c r="BU206" i="1"/>
  <c r="BS206" i="1"/>
  <c r="CU206" i="1" s="1"/>
  <c r="X206" i="1"/>
  <c r="CE206" i="1" s="1"/>
  <c r="EA205" i="1"/>
  <c r="DV205" i="1"/>
  <c r="DU205" i="1"/>
  <c r="DW205" i="1" s="1"/>
  <c r="DS205" i="1"/>
  <c r="DR205" i="1"/>
  <c r="DP205" i="1"/>
  <c r="DI205" i="1"/>
  <c r="DH205" i="1"/>
  <c r="DE205" i="1"/>
  <c r="DD205" i="1"/>
  <c r="DB205" i="1"/>
  <c r="CX205" i="1"/>
  <c r="CW205" i="1"/>
  <c r="CV205" i="1"/>
  <c r="CC205" i="1"/>
  <c r="CB205" i="1"/>
  <c r="CA205" i="1"/>
  <c r="BZ205" i="1"/>
  <c r="BY205" i="1"/>
  <c r="BX205" i="1"/>
  <c r="BW205" i="1"/>
  <c r="BV205" i="1"/>
  <c r="BU205" i="1"/>
  <c r="BS205" i="1"/>
  <c r="CU205" i="1" s="1"/>
  <c r="X205" i="1"/>
  <c r="CE205" i="1" s="1"/>
  <c r="EA204" i="1"/>
  <c r="DV204" i="1"/>
  <c r="DR204" i="1"/>
  <c r="DE204" i="1"/>
  <c r="DD204" i="1"/>
  <c r="CY204" i="1"/>
  <c r="CX204" i="1"/>
  <c r="CW204" i="1"/>
  <c r="CV204" i="1"/>
  <c r="DA204" i="1" s="1"/>
  <c r="CC204" i="1"/>
  <c r="CB204" i="1"/>
  <c r="CA204" i="1"/>
  <c r="BZ204" i="1"/>
  <c r="BY204" i="1"/>
  <c r="DS204" i="1" s="1"/>
  <c r="BX204" i="1"/>
  <c r="BW204" i="1"/>
  <c r="BV204" i="1"/>
  <c r="BU204" i="1"/>
  <c r="BS204" i="1"/>
  <c r="CU204" i="1" s="1"/>
  <c r="X204" i="1"/>
  <c r="CE204" i="1" s="1"/>
  <c r="EA203" i="1"/>
  <c r="DV203" i="1"/>
  <c r="DR203" i="1"/>
  <c r="DE203" i="1"/>
  <c r="CZ203" i="1"/>
  <c r="CY203" i="1"/>
  <c r="CX203" i="1"/>
  <c r="CW203" i="1"/>
  <c r="CV203" i="1"/>
  <c r="CC203" i="1"/>
  <c r="CB203" i="1"/>
  <c r="CA203" i="1"/>
  <c r="BZ203" i="1"/>
  <c r="BY203" i="1"/>
  <c r="BX203" i="1"/>
  <c r="BW203" i="1"/>
  <c r="BV203" i="1"/>
  <c r="BU203" i="1"/>
  <c r="BS203" i="1"/>
  <c r="CU203" i="1" s="1"/>
  <c r="X203" i="1"/>
  <c r="CE203" i="1" s="1"/>
  <c r="EA202" i="1"/>
  <c r="DV202" i="1"/>
  <c r="DR202" i="1"/>
  <c r="DH202" i="1"/>
  <c r="DI202" i="1" s="1"/>
  <c r="DE202" i="1"/>
  <c r="CY202" i="1"/>
  <c r="DA202" i="1" s="1"/>
  <c r="CW202" i="1"/>
  <c r="CV202" i="1"/>
  <c r="CC202" i="1"/>
  <c r="CB202" i="1"/>
  <c r="CA202" i="1"/>
  <c r="BZ202" i="1"/>
  <c r="BY202" i="1"/>
  <c r="BX202" i="1"/>
  <c r="BW202" i="1"/>
  <c r="BV202" i="1"/>
  <c r="BU202" i="1"/>
  <c r="BS202" i="1"/>
  <c r="CU202" i="1" s="1"/>
  <c r="CX202" i="1" s="1"/>
  <c r="X202" i="1"/>
  <c r="CE202" i="1" s="1"/>
  <c r="EA201" i="1"/>
  <c r="DV201" i="1"/>
  <c r="DR201" i="1"/>
  <c r="DE201" i="1"/>
  <c r="DB201" i="1"/>
  <c r="DA201" i="1"/>
  <c r="CY201" i="1"/>
  <c r="CW201" i="1"/>
  <c r="CV201" i="1"/>
  <c r="CC201" i="1"/>
  <c r="CB201" i="1"/>
  <c r="CA201" i="1"/>
  <c r="BZ201" i="1"/>
  <c r="BY201" i="1"/>
  <c r="BX201" i="1"/>
  <c r="DU201" i="1" s="1"/>
  <c r="DW201" i="1" s="1"/>
  <c r="BW201" i="1"/>
  <c r="BV201" i="1"/>
  <c r="BU201" i="1"/>
  <c r="BS201" i="1"/>
  <c r="CU201" i="1" s="1"/>
  <c r="CX201" i="1" s="1"/>
  <c r="X201" i="1"/>
  <c r="CE201" i="1" s="1"/>
  <c r="EA200" i="1"/>
  <c r="DV200" i="1"/>
  <c r="DU200" i="1"/>
  <c r="DW200" i="1" s="1"/>
  <c r="DR200" i="1"/>
  <c r="DP200" i="1"/>
  <c r="DE200" i="1"/>
  <c r="DC200" i="1"/>
  <c r="DB200" i="1"/>
  <c r="DA200" i="1"/>
  <c r="CW200" i="1"/>
  <c r="CV200" i="1"/>
  <c r="CY200" i="1" s="1"/>
  <c r="CC200" i="1"/>
  <c r="CB200" i="1"/>
  <c r="CA200" i="1"/>
  <c r="BZ200" i="1"/>
  <c r="BY200" i="1"/>
  <c r="DS200" i="1" s="1"/>
  <c r="BX200" i="1"/>
  <c r="BW200" i="1"/>
  <c r="BV200" i="1"/>
  <c r="BU200" i="1"/>
  <c r="BS200" i="1"/>
  <c r="CU200" i="1" s="1"/>
  <c r="X200" i="1"/>
  <c r="CE200" i="1" s="1"/>
  <c r="EA199" i="1"/>
  <c r="DV199" i="1"/>
  <c r="DW199" i="1" s="1"/>
  <c r="DU199" i="1"/>
  <c r="DR199" i="1"/>
  <c r="DP199" i="1"/>
  <c r="DQ199" i="1" s="1"/>
  <c r="DO199" i="1"/>
  <c r="DM199" i="1"/>
  <c r="DK199" i="1"/>
  <c r="DJ199" i="1"/>
  <c r="DN199" i="1" s="1"/>
  <c r="DI199" i="1"/>
  <c r="DL199" i="1" s="1"/>
  <c r="DH199" i="1"/>
  <c r="DE199" i="1"/>
  <c r="DD199" i="1"/>
  <c r="DC199" i="1"/>
  <c r="DB199" i="1"/>
  <c r="CW199" i="1"/>
  <c r="CV199" i="1"/>
  <c r="CY199" i="1" s="1"/>
  <c r="CC199" i="1"/>
  <c r="CB199" i="1"/>
  <c r="CA199" i="1"/>
  <c r="BZ199" i="1"/>
  <c r="BY199" i="1"/>
  <c r="DS199" i="1" s="1"/>
  <c r="BX199" i="1"/>
  <c r="BW199" i="1"/>
  <c r="BV199" i="1"/>
  <c r="BU199" i="1"/>
  <c r="BS199" i="1"/>
  <c r="CU199" i="1" s="1"/>
  <c r="X199" i="1"/>
  <c r="CE199" i="1" s="1"/>
  <c r="EA198" i="1"/>
  <c r="DW198" i="1"/>
  <c r="DV198" i="1"/>
  <c r="DU198" i="1"/>
  <c r="DR198" i="1"/>
  <c r="DQ198" i="1"/>
  <c r="DP198" i="1"/>
  <c r="DE198" i="1"/>
  <c r="DD198" i="1"/>
  <c r="DC198" i="1"/>
  <c r="DB198" i="1"/>
  <c r="CW198" i="1"/>
  <c r="CV198" i="1"/>
  <c r="CY198" i="1" s="1"/>
  <c r="DA198" i="1" s="1"/>
  <c r="CC198" i="1"/>
  <c r="CB198" i="1"/>
  <c r="CA198" i="1"/>
  <c r="BZ198" i="1"/>
  <c r="BY198" i="1"/>
  <c r="DS198" i="1" s="1"/>
  <c r="DT198" i="1" s="1"/>
  <c r="BX198" i="1"/>
  <c r="BW198" i="1"/>
  <c r="BV198" i="1"/>
  <c r="BU198" i="1"/>
  <c r="BS198" i="1"/>
  <c r="CU198" i="1" s="1"/>
  <c r="X198" i="1"/>
  <c r="CE198" i="1" s="1"/>
  <c r="EA197" i="1"/>
  <c r="DV197" i="1"/>
  <c r="DS197" i="1"/>
  <c r="DR197" i="1"/>
  <c r="DE197" i="1"/>
  <c r="DD197" i="1"/>
  <c r="CY197" i="1"/>
  <c r="CW197" i="1"/>
  <c r="CV197" i="1"/>
  <c r="DA197" i="1" s="1"/>
  <c r="CC197" i="1"/>
  <c r="CB197" i="1"/>
  <c r="CA197" i="1"/>
  <c r="BZ197" i="1"/>
  <c r="BY197" i="1"/>
  <c r="BX197" i="1"/>
  <c r="DB197" i="1" s="1"/>
  <c r="BW197" i="1"/>
  <c r="BV197" i="1"/>
  <c r="BU197" i="1"/>
  <c r="BS197" i="1"/>
  <c r="CU197" i="1" s="1"/>
  <c r="X197" i="1"/>
  <c r="CE197" i="1" s="1"/>
  <c r="EA196" i="1"/>
  <c r="DV196" i="1"/>
  <c r="DS196" i="1"/>
  <c r="DT196" i="1" s="1"/>
  <c r="DR196" i="1"/>
  <c r="DP196" i="1"/>
  <c r="DQ196" i="1" s="1"/>
  <c r="DE196" i="1"/>
  <c r="DA196" i="1"/>
  <c r="CY196" i="1"/>
  <c r="CW196" i="1"/>
  <c r="CV196" i="1"/>
  <c r="CU196" i="1"/>
  <c r="CC196" i="1"/>
  <c r="CB196" i="1"/>
  <c r="CA196" i="1"/>
  <c r="BZ196" i="1"/>
  <c r="BY196" i="1"/>
  <c r="DD196" i="1" s="1"/>
  <c r="BX196" i="1"/>
  <c r="DB196" i="1" s="1"/>
  <c r="BW196" i="1"/>
  <c r="BV196" i="1"/>
  <c r="BU196" i="1"/>
  <c r="BS196" i="1"/>
  <c r="X196" i="1"/>
  <c r="DC196" i="1" s="1"/>
  <c r="EA195" i="1"/>
  <c r="DV195" i="1"/>
  <c r="DU195" i="1"/>
  <c r="DW195" i="1" s="1"/>
  <c r="DS195" i="1"/>
  <c r="DT195" i="1" s="1"/>
  <c r="DR195" i="1"/>
  <c r="DE195" i="1"/>
  <c r="DD195" i="1"/>
  <c r="CW195" i="1"/>
  <c r="CV195" i="1"/>
  <c r="CC195" i="1"/>
  <c r="CB195" i="1"/>
  <c r="CA195" i="1"/>
  <c r="BZ195" i="1"/>
  <c r="BY195" i="1"/>
  <c r="BX195" i="1"/>
  <c r="DP195" i="1" s="1"/>
  <c r="DQ195" i="1" s="1"/>
  <c r="BW195" i="1"/>
  <c r="BV195" i="1"/>
  <c r="BU195" i="1"/>
  <c r="BS195" i="1"/>
  <c r="CU195" i="1" s="1"/>
  <c r="X195" i="1"/>
  <c r="CE195" i="1" s="1"/>
  <c r="EA194" i="1"/>
  <c r="DV194" i="1"/>
  <c r="DU194" i="1"/>
  <c r="DW194" i="1" s="1"/>
  <c r="DT194" i="1"/>
  <c r="DS194" i="1"/>
  <c r="DR194" i="1"/>
  <c r="DP194" i="1"/>
  <c r="DQ194" i="1" s="1"/>
  <c r="DE194" i="1"/>
  <c r="DB194" i="1"/>
  <c r="CW194" i="1"/>
  <c r="CV194" i="1"/>
  <c r="CC194" i="1"/>
  <c r="CB194" i="1"/>
  <c r="CA194" i="1"/>
  <c r="BZ194" i="1"/>
  <c r="BY194" i="1"/>
  <c r="DD194" i="1" s="1"/>
  <c r="BX194" i="1"/>
  <c r="BW194" i="1"/>
  <c r="BV194" i="1"/>
  <c r="BU194" i="1"/>
  <c r="BS194" i="1"/>
  <c r="CU194" i="1" s="1"/>
  <c r="X194" i="1"/>
  <c r="DC194" i="1" s="1"/>
  <c r="EA193" i="1"/>
  <c r="DW193" i="1"/>
  <c r="DV193" i="1"/>
  <c r="DU193" i="1"/>
  <c r="DT193" i="1"/>
  <c r="DS193" i="1"/>
  <c r="DR193" i="1"/>
  <c r="DP193" i="1"/>
  <c r="DQ193" i="1" s="1"/>
  <c r="DJ193" i="1"/>
  <c r="DI193" i="1"/>
  <c r="DH193" i="1"/>
  <c r="DE193" i="1"/>
  <c r="DD193" i="1"/>
  <c r="DB193" i="1"/>
  <c r="CX193" i="1"/>
  <c r="CW193" i="1"/>
  <c r="CV193" i="1"/>
  <c r="CC193" i="1"/>
  <c r="CB193" i="1"/>
  <c r="CA193" i="1"/>
  <c r="BZ193" i="1"/>
  <c r="BY193" i="1"/>
  <c r="BX193" i="1"/>
  <c r="BW193" i="1"/>
  <c r="BV193" i="1"/>
  <c r="BU193" i="1"/>
  <c r="BS193" i="1"/>
  <c r="CU193" i="1" s="1"/>
  <c r="X193" i="1"/>
  <c r="CE193" i="1" s="1"/>
  <c r="EA192" i="1"/>
  <c r="DV192" i="1"/>
  <c r="DR192" i="1"/>
  <c r="DE192" i="1"/>
  <c r="DD192" i="1"/>
  <c r="CY192" i="1"/>
  <c r="CW192" i="1"/>
  <c r="CV192" i="1"/>
  <c r="CC192" i="1"/>
  <c r="CB192" i="1"/>
  <c r="CA192" i="1"/>
  <c r="BZ192" i="1"/>
  <c r="BY192" i="1"/>
  <c r="DS192" i="1" s="1"/>
  <c r="BX192" i="1"/>
  <c r="BW192" i="1"/>
  <c r="BV192" i="1"/>
  <c r="BU192" i="1"/>
  <c r="BS192" i="1"/>
  <c r="CU192" i="1" s="1"/>
  <c r="X192" i="1"/>
  <c r="CE192" i="1" s="1"/>
  <c r="EA191" i="1"/>
  <c r="DV191" i="1"/>
  <c r="DR191" i="1"/>
  <c r="DE191" i="1"/>
  <c r="CY191" i="1"/>
  <c r="CW191" i="1"/>
  <c r="CV191" i="1"/>
  <c r="DA191" i="1" s="1"/>
  <c r="CC191" i="1"/>
  <c r="CB191" i="1"/>
  <c r="CA191" i="1"/>
  <c r="BZ191" i="1"/>
  <c r="BY191" i="1"/>
  <c r="BX191" i="1"/>
  <c r="BW191" i="1"/>
  <c r="BV191" i="1"/>
  <c r="BU191" i="1"/>
  <c r="BS191" i="1"/>
  <c r="CU191" i="1" s="1"/>
  <c r="X191" i="1"/>
  <c r="CE191" i="1" s="1"/>
  <c r="EA190" i="1"/>
  <c r="DV190" i="1"/>
  <c r="DR190" i="1"/>
  <c r="DL190" i="1"/>
  <c r="DH190" i="1"/>
  <c r="DI190" i="1" s="1"/>
  <c r="DE190" i="1"/>
  <c r="DA190" i="1"/>
  <c r="CZ190" i="1"/>
  <c r="CY190" i="1"/>
  <c r="CW190" i="1"/>
  <c r="CV190" i="1"/>
  <c r="CC190" i="1"/>
  <c r="CB190" i="1"/>
  <c r="CA190" i="1"/>
  <c r="BZ190" i="1"/>
  <c r="BY190" i="1"/>
  <c r="BX190" i="1"/>
  <c r="BW190" i="1"/>
  <c r="BV190" i="1"/>
  <c r="BU190" i="1"/>
  <c r="BS190" i="1"/>
  <c r="CU190" i="1" s="1"/>
  <c r="CX190" i="1" s="1"/>
  <c r="X190" i="1"/>
  <c r="CE190" i="1" s="1"/>
  <c r="EA189" i="1"/>
  <c r="DV189" i="1"/>
  <c r="DR189" i="1"/>
  <c r="DE189" i="1"/>
  <c r="DB189" i="1"/>
  <c r="DA189" i="1"/>
  <c r="CZ189" i="1"/>
  <c r="CY189" i="1"/>
  <c r="CW189" i="1"/>
  <c r="CV189" i="1"/>
  <c r="CC189" i="1"/>
  <c r="CB189" i="1"/>
  <c r="CA189" i="1"/>
  <c r="BZ189" i="1"/>
  <c r="BY189" i="1"/>
  <c r="BX189" i="1"/>
  <c r="DU189" i="1" s="1"/>
  <c r="DW189" i="1" s="1"/>
  <c r="BW189" i="1"/>
  <c r="BV189" i="1"/>
  <c r="BU189" i="1"/>
  <c r="BS189" i="1"/>
  <c r="CU189" i="1" s="1"/>
  <c r="CX189" i="1" s="1"/>
  <c r="X189" i="1"/>
  <c r="CE189" i="1" s="1"/>
  <c r="EA188" i="1"/>
  <c r="DV188" i="1"/>
  <c r="DU188" i="1"/>
  <c r="DW188" i="1" s="1"/>
  <c r="DR188" i="1"/>
  <c r="DP188" i="1"/>
  <c r="DE188" i="1"/>
  <c r="DC188" i="1"/>
  <c r="DB188" i="1"/>
  <c r="DA188" i="1"/>
  <c r="CW188" i="1"/>
  <c r="CV188" i="1"/>
  <c r="CY188" i="1" s="1"/>
  <c r="CC188" i="1"/>
  <c r="CB188" i="1"/>
  <c r="CA188" i="1"/>
  <c r="BZ188" i="1"/>
  <c r="BY188" i="1"/>
  <c r="DS188" i="1" s="1"/>
  <c r="BX188" i="1"/>
  <c r="BW188" i="1"/>
  <c r="BV188" i="1"/>
  <c r="BU188" i="1"/>
  <c r="BS188" i="1"/>
  <c r="CU188" i="1" s="1"/>
  <c r="X188" i="1"/>
  <c r="CE188" i="1" s="1"/>
  <c r="EA187" i="1"/>
  <c r="DV187" i="1"/>
  <c r="DW187" i="1" s="1"/>
  <c r="DU187" i="1"/>
  <c r="DR187" i="1"/>
  <c r="DQ187" i="1"/>
  <c r="DP187" i="1"/>
  <c r="DE187" i="1"/>
  <c r="DD187" i="1"/>
  <c r="DC187" i="1"/>
  <c r="DB187" i="1"/>
  <c r="CW187" i="1"/>
  <c r="DA187" i="1" s="1"/>
  <c r="CV187" i="1"/>
  <c r="CY187" i="1" s="1"/>
  <c r="CC187" i="1"/>
  <c r="CB187" i="1"/>
  <c r="CA187" i="1"/>
  <c r="BZ187" i="1"/>
  <c r="BY187" i="1"/>
  <c r="DS187" i="1" s="1"/>
  <c r="DT187" i="1" s="1"/>
  <c r="BX187" i="1"/>
  <c r="BW187" i="1"/>
  <c r="BV187" i="1"/>
  <c r="BU187" i="1"/>
  <c r="BS187" i="1"/>
  <c r="CU187" i="1" s="1"/>
  <c r="X187" i="1"/>
  <c r="CE187" i="1" s="1"/>
  <c r="EA186" i="1"/>
  <c r="DW186" i="1"/>
  <c r="DV186" i="1"/>
  <c r="DU186" i="1"/>
  <c r="DR186" i="1"/>
  <c r="DQ186" i="1"/>
  <c r="DP186" i="1"/>
  <c r="DE186" i="1"/>
  <c r="DD186" i="1"/>
  <c r="DC186" i="1"/>
  <c r="DB186" i="1"/>
  <c r="CW186" i="1"/>
  <c r="CV186" i="1"/>
  <c r="CY186" i="1" s="1"/>
  <c r="DA186" i="1" s="1"/>
  <c r="CC186" i="1"/>
  <c r="CB186" i="1"/>
  <c r="CA186" i="1"/>
  <c r="BZ186" i="1"/>
  <c r="BY186" i="1"/>
  <c r="DS186" i="1" s="1"/>
  <c r="DT186" i="1" s="1"/>
  <c r="BX186" i="1"/>
  <c r="BW186" i="1"/>
  <c r="BV186" i="1"/>
  <c r="BU186" i="1"/>
  <c r="BS186" i="1"/>
  <c r="CU186" i="1" s="1"/>
  <c r="X186" i="1"/>
  <c r="CE186" i="1" s="1"/>
  <c r="EA185" i="1"/>
  <c r="DV185" i="1"/>
  <c r="DS185" i="1"/>
  <c r="DT185" i="1" s="1"/>
  <c r="DR185" i="1"/>
  <c r="DE185" i="1"/>
  <c r="DD185" i="1"/>
  <c r="CY185" i="1"/>
  <c r="CW185" i="1"/>
  <c r="CV185" i="1"/>
  <c r="DA185" i="1" s="1"/>
  <c r="CC185" i="1"/>
  <c r="CB185" i="1"/>
  <c r="CA185" i="1"/>
  <c r="BZ185" i="1"/>
  <c r="BY185" i="1"/>
  <c r="BX185" i="1"/>
  <c r="DB185" i="1" s="1"/>
  <c r="BW185" i="1"/>
  <c r="BV185" i="1"/>
  <c r="BU185" i="1"/>
  <c r="BS185" i="1"/>
  <c r="CU185" i="1" s="1"/>
  <c r="X185" i="1"/>
  <c r="CE185" i="1" s="1"/>
  <c r="EA184" i="1"/>
  <c r="DV184" i="1"/>
  <c r="DS184" i="1"/>
  <c r="DT184" i="1" s="1"/>
  <c r="DR184" i="1"/>
  <c r="DP184" i="1"/>
  <c r="DQ184" i="1" s="1"/>
  <c r="DH184" i="1"/>
  <c r="DI184" i="1" s="1"/>
  <c r="DE184" i="1"/>
  <c r="DF184" i="1" s="1"/>
  <c r="CD184" i="1" s="1"/>
  <c r="CQ184" i="1" s="1"/>
  <c r="DA184" i="1"/>
  <c r="CY184" i="1"/>
  <c r="CW184" i="1"/>
  <c r="CV184" i="1"/>
  <c r="CU184" i="1"/>
  <c r="CC184" i="1"/>
  <c r="CB184" i="1"/>
  <c r="CA184" i="1"/>
  <c r="BZ184" i="1"/>
  <c r="BY184" i="1"/>
  <c r="DD184" i="1" s="1"/>
  <c r="BX184" i="1"/>
  <c r="DB184" i="1" s="1"/>
  <c r="BW184" i="1"/>
  <c r="BV184" i="1"/>
  <c r="BU184" i="1"/>
  <c r="BS184" i="1"/>
  <c r="X184" i="1"/>
  <c r="DC184" i="1" s="1"/>
  <c r="EA183" i="1"/>
  <c r="DV183" i="1"/>
  <c r="DU183" i="1"/>
  <c r="DW183" i="1" s="1"/>
  <c r="DS183" i="1"/>
  <c r="DR183" i="1"/>
  <c r="DE183" i="1"/>
  <c r="DD183" i="1"/>
  <c r="CW183" i="1"/>
  <c r="CV183" i="1"/>
  <c r="CE183" i="1"/>
  <c r="CC183" i="1"/>
  <c r="CB183" i="1"/>
  <c r="CA183" i="1"/>
  <c r="BZ183" i="1"/>
  <c r="BY183" i="1"/>
  <c r="BX183" i="1"/>
  <c r="DP183" i="1" s="1"/>
  <c r="BW183" i="1"/>
  <c r="BV183" i="1"/>
  <c r="BU183" i="1"/>
  <c r="BS183" i="1"/>
  <c r="CU183" i="1" s="1"/>
  <c r="X183" i="1"/>
  <c r="EA182" i="1"/>
  <c r="DV182" i="1"/>
  <c r="DU182" i="1"/>
  <c r="DW182" i="1" s="1"/>
  <c r="DT182" i="1"/>
  <c r="DS182" i="1"/>
  <c r="DR182" i="1"/>
  <c r="DP182" i="1"/>
  <c r="DQ182" i="1" s="1"/>
  <c r="DE182" i="1"/>
  <c r="DF182" i="1" s="1"/>
  <c r="DB182" i="1"/>
  <c r="CW182" i="1"/>
  <c r="CV182" i="1"/>
  <c r="CU182" i="1"/>
  <c r="CC182" i="1"/>
  <c r="CB182" i="1"/>
  <c r="CA182" i="1"/>
  <c r="BZ182" i="1"/>
  <c r="BY182" i="1"/>
  <c r="DD182" i="1" s="1"/>
  <c r="BX182" i="1"/>
  <c r="BW182" i="1"/>
  <c r="BV182" i="1"/>
  <c r="BU182" i="1"/>
  <c r="BS182" i="1"/>
  <c r="X182" i="1"/>
  <c r="DC182" i="1" s="1"/>
  <c r="EA181" i="1"/>
  <c r="DV181" i="1"/>
  <c r="DU181" i="1"/>
  <c r="DT181" i="1"/>
  <c r="DS181" i="1"/>
  <c r="DR181" i="1"/>
  <c r="DP181" i="1"/>
  <c r="DQ181" i="1" s="1"/>
  <c r="DE181" i="1"/>
  <c r="DD181" i="1"/>
  <c r="DB181" i="1"/>
  <c r="CX181" i="1"/>
  <c r="CW181" i="1"/>
  <c r="CV181" i="1"/>
  <c r="CC181" i="1"/>
  <c r="CB181" i="1"/>
  <c r="CA181" i="1"/>
  <c r="BZ181" i="1"/>
  <c r="BY181" i="1"/>
  <c r="BX181" i="1"/>
  <c r="BW181" i="1"/>
  <c r="BV181" i="1"/>
  <c r="BU181" i="1"/>
  <c r="BS181" i="1"/>
  <c r="CU181" i="1" s="1"/>
  <c r="X181" i="1"/>
  <c r="CE181" i="1" s="1"/>
  <c r="EA180" i="1"/>
  <c r="DV180" i="1"/>
  <c r="DR180" i="1"/>
  <c r="DE180" i="1"/>
  <c r="DD180" i="1"/>
  <c r="CY180" i="1"/>
  <c r="CW180" i="1"/>
  <c r="CV180" i="1"/>
  <c r="DA180" i="1" s="1"/>
  <c r="CC180" i="1"/>
  <c r="CB180" i="1"/>
  <c r="CA180" i="1"/>
  <c r="BZ180" i="1"/>
  <c r="BY180" i="1"/>
  <c r="DS180" i="1" s="1"/>
  <c r="DT180" i="1" s="1"/>
  <c r="BX180" i="1"/>
  <c r="BW180" i="1"/>
  <c r="BV180" i="1"/>
  <c r="BU180" i="1"/>
  <c r="BS180" i="1"/>
  <c r="CU180" i="1" s="1"/>
  <c r="X180" i="1"/>
  <c r="CE180" i="1" s="1"/>
  <c r="EA179" i="1"/>
  <c r="DV179" i="1"/>
  <c r="DR179" i="1"/>
  <c r="DI179" i="1"/>
  <c r="DH179" i="1"/>
  <c r="DE179" i="1"/>
  <c r="CY179" i="1"/>
  <c r="CW179" i="1"/>
  <c r="CV179" i="1"/>
  <c r="CC179" i="1"/>
  <c r="CB179" i="1"/>
  <c r="CA179" i="1"/>
  <c r="BZ179" i="1"/>
  <c r="BY179" i="1"/>
  <c r="BX179" i="1"/>
  <c r="BW179" i="1"/>
  <c r="BV179" i="1"/>
  <c r="BU179" i="1"/>
  <c r="BS179" i="1"/>
  <c r="CU179" i="1" s="1"/>
  <c r="CX179" i="1" s="1"/>
  <c r="CZ179" i="1" s="1"/>
  <c r="X179" i="1"/>
  <c r="CE179" i="1" s="1"/>
  <c r="EA178" i="1"/>
  <c r="DV178" i="1"/>
  <c r="DR178" i="1"/>
  <c r="DE178" i="1"/>
  <c r="CZ178" i="1"/>
  <c r="CY178" i="1"/>
  <c r="DA178" i="1" s="1"/>
  <c r="CW178" i="1"/>
  <c r="CV178" i="1"/>
  <c r="CC178" i="1"/>
  <c r="CB178" i="1"/>
  <c r="CA178" i="1"/>
  <c r="BZ178" i="1"/>
  <c r="BY178" i="1"/>
  <c r="BX178" i="1"/>
  <c r="BW178" i="1"/>
  <c r="BV178" i="1"/>
  <c r="BU178" i="1"/>
  <c r="BS178" i="1"/>
  <c r="CU178" i="1" s="1"/>
  <c r="CX178" i="1" s="1"/>
  <c r="X178" i="1"/>
  <c r="CE178" i="1" s="1"/>
  <c r="EA177" i="1"/>
  <c r="DV177" i="1"/>
  <c r="DR177" i="1"/>
  <c r="DE177" i="1"/>
  <c r="DB177" i="1"/>
  <c r="DA177" i="1"/>
  <c r="CY177" i="1"/>
  <c r="CW177" i="1"/>
  <c r="CV177" i="1"/>
  <c r="CC177" i="1"/>
  <c r="CB177" i="1"/>
  <c r="CA177" i="1"/>
  <c r="BZ177" i="1"/>
  <c r="BY177" i="1"/>
  <c r="BX177" i="1"/>
  <c r="DU177" i="1" s="1"/>
  <c r="DW177" i="1" s="1"/>
  <c r="BW177" i="1"/>
  <c r="BV177" i="1"/>
  <c r="BU177" i="1"/>
  <c r="BS177" i="1"/>
  <c r="CU177" i="1" s="1"/>
  <c r="X177" i="1"/>
  <c r="CE177" i="1" s="1"/>
  <c r="EA176" i="1"/>
  <c r="DV176" i="1"/>
  <c r="DU176" i="1"/>
  <c r="DW176" i="1" s="1"/>
  <c r="DR176" i="1"/>
  <c r="DP176" i="1"/>
  <c r="DE176" i="1"/>
  <c r="DC176" i="1"/>
  <c r="DB176" i="1"/>
  <c r="DA176" i="1"/>
  <c r="CW176" i="1"/>
  <c r="CV176" i="1"/>
  <c r="CY176" i="1" s="1"/>
  <c r="CC176" i="1"/>
  <c r="CB176" i="1"/>
  <c r="CA176" i="1"/>
  <c r="BZ176" i="1"/>
  <c r="BY176" i="1"/>
  <c r="DS176" i="1" s="1"/>
  <c r="BX176" i="1"/>
  <c r="BW176" i="1"/>
  <c r="BV176" i="1"/>
  <c r="BU176" i="1"/>
  <c r="BS176" i="1"/>
  <c r="CU176" i="1" s="1"/>
  <c r="X176" i="1"/>
  <c r="CE176" i="1" s="1"/>
  <c r="EA175" i="1"/>
  <c r="DV175" i="1"/>
  <c r="DW175" i="1" s="1"/>
  <c r="DU175" i="1"/>
  <c r="DR175" i="1"/>
  <c r="DQ175" i="1"/>
  <c r="DP175" i="1"/>
  <c r="DE175" i="1"/>
  <c r="DD175" i="1"/>
  <c r="DC175" i="1"/>
  <c r="DB175" i="1"/>
  <c r="CW175" i="1"/>
  <c r="CV175" i="1"/>
  <c r="CY175" i="1" s="1"/>
  <c r="CC175" i="1"/>
  <c r="CB175" i="1"/>
  <c r="CA175" i="1"/>
  <c r="BZ175" i="1"/>
  <c r="BY175" i="1"/>
  <c r="DS175" i="1" s="1"/>
  <c r="DT175" i="1" s="1"/>
  <c r="BX175" i="1"/>
  <c r="BW175" i="1"/>
  <c r="BV175" i="1"/>
  <c r="BU175" i="1"/>
  <c r="BS175" i="1"/>
  <c r="CU175" i="1" s="1"/>
  <c r="X175" i="1"/>
  <c r="CE175" i="1" s="1"/>
  <c r="EA174" i="1"/>
  <c r="DW174" i="1"/>
  <c r="DV174" i="1"/>
  <c r="DU174" i="1"/>
  <c r="DR174" i="1"/>
  <c r="DQ174" i="1"/>
  <c r="DP174" i="1"/>
  <c r="DE174" i="1"/>
  <c r="DD174" i="1"/>
  <c r="DC174" i="1"/>
  <c r="DB174" i="1"/>
  <c r="CW174" i="1"/>
  <c r="CV174" i="1"/>
  <c r="CY174" i="1" s="1"/>
  <c r="DA174" i="1" s="1"/>
  <c r="CC174" i="1"/>
  <c r="CB174" i="1"/>
  <c r="CA174" i="1"/>
  <c r="BZ174" i="1"/>
  <c r="BY174" i="1"/>
  <c r="DS174" i="1" s="1"/>
  <c r="DT174" i="1" s="1"/>
  <c r="BX174" i="1"/>
  <c r="BW174" i="1"/>
  <c r="BV174" i="1"/>
  <c r="BU174" i="1"/>
  <c r="BS174" i="1"/>
  <c r="CU174" i="1" s="1"/>
  <c r="X174" i="1"/>
  <c r="CE174" i="1" s="1"/>
  <c r="ED173" i="1"/>
  <c r="EA173" i="1"/>
  <c r="DV173" i="1"/>
  <c r="DS173" i="1"/>
  <c r="DT173" i="1" s="1"/>
  <c r="DR173" i="1"/>
  <c r="DE173" i="1"/>
  <c r="DD173" i="1"/>
  <c r="CY173" i="1"/>
  <c r="CW173" i="1"/>
  <c r="CV173" i="1"/>
  <c r="DA173" i="1" s="1"/>
  <c r="CD173" i="1"/>
  <c r="CC173" i="1"/>
  <c r="CB173" i="1"/>
  <c r="CA173" i="1"/>
  <c r="BZ173" i="1"/>
  <c r="BY173" i="1"/>
  <c r="BX173" i="1"/>
  <c r="DB173" i="1" s="1"/>
  <c r="BW173" i="1"/>
  <c r="BV173" i="1"/>
  <c r="BU173" i="1"/>
  <c r="BS173" i="1"/>
  <c r="CU173" i="1" s="1"/>
  <c r="X173" i="1"/>
  <c r="CE173" i="1" s="1"/>
  <c r="EA172" i="1"/>
  <c r="DV172" i="1"/>
  <c r="DS172" i="1"/>
  <c r="DT172" i="1" s="1"/>
  <c r="DR172" i="1"/>
  <c r="DP172" i="1"/>
  <c r="DQ172" i="1" s="1"/>
  <c r="DF172" i="1"/>
  <c r="CD172" i="1" s="1"/>
  <c r="DE172" i="1"/>
  <c r="DA172" i="1"/>
  <c r="CY172" i="1"/>
  <c r="CW172" i="1"/>
  <c r="CV172" i="1"/>
  <c r="CC172" i="1"/>
  <c r="CB172" i="1"/>
  <c r="CA172" i="1"/>
  <c r="BZ172" i="1"/>
  <c r="BY172" i="1"/>
  <c r="DD172" i="1" s="1"/>
  <c r="BX172" i="1"/>
  <c r="DB172" i="1" s="1"/>
  <c r="BW172" i="1"/>
  <c r="BV172" i="1"/>
  <c r="BU172" i="1"/>
  <c r="BS172" i="1"/>
  <c r="CU172" i="1" s="1"/>
  <c r="X172" i="1"/>
  <c r="DC172" i="1" s="1"/>
  <c r="EA171" i="1"/>
  <c r="DV171" i="1"/>
  <c r="DU171" i="1"/>
  <c r="DW171" i="1" s="1"/>
  <c r="DS171" i="1"/>
  <c r="DT171" i="1" s="1"/>
  <c r="DR171" i="1"/>
  <c r="DE171" i="1"/>
  <c r="DD171" i="1"/>
  <c r="CW171" i="1"/>
  <c r="CV171" i="1"/>
  <c r="CE171" i="1"/>
  <c r="CC171" i="1"/>
  <c r="CB171" i="1"/>
  <c r="CA171" i="1"/>
  <c r="BZ171" i="1"/>
  <c r="BY171" i="1"/>
  <c r="BX171" i="1"/>
  <c r="DP171" i="1" s="1"/>
  <c r="DQ171" i="1" s="1"/>
  <c r="BW171" i="1"/>
  <c r="BV171" i="1"/>
  <c r="BU171" i="1"/>
  <c r="BS171" i="1"/>
  <c r="CU171" i="1" s="1"/>
  <c r="X171" i="1"/>
  <c r="EA170" i="1"/>
  <c r="DV170" i="1"/>
  <c r="DU170" i="1"/>
  <c r="DT170" i="1"/>
  <c r="DS170" i="1"/>
  <c r="DR170" i="1"/>
  <c r="DP170" i="1"/>
  <c r="DQ170" i="1" s="1"/>
  <c r="DH170" i="1"/>
  <c r="DI170" i="1" s="1"/>
  <c r="DE170" i="1"/>
  <c r="DB170" i="1"/>
  <c r="CW170" i="1"/>
  <c r="CV170" i="1"/>
  <c r="CC170" i="1"/>
  <c r="CB170" i="1"/>
  <c r="CA170" i="1"/>
  <c r="BZ170" i="1"/>
  <c r="BY170" i="1"/>
  <c r="DD170" i="1" s="1"/>
  <c r="BX170" i="1"/>
  <c r="BW170" i="1"/>
  <c r="BV170" i="1"/>
  <c r="BU170" i="1"/>
  <c r="BS170" i="1"/>
  <c r="CU170" i="1" s="1"/>
  <c r="X170" i="1"/>
  <c r="DC170" i="1" s="1"/>
  <c r="EA169" i="1"/>
  <c r="DW169" i="1"/>
  <c r="DV169" i="1"/>
  <c r="DU169" i="1"/>
  <c r="DT169" i="1"/>
  <c r="DS169" i="1"/>
  <c r="DR169" i="1"/>
  <c r="DP169" i="1"/>
  <c r="DQ169" i="1" s="1"/>
  <c r="DE169" i="1"/>
  <c r="DD169" i="1"/>
  <c r="DB169" i="1"/>
  <c r="CW169" i="1"/>
  <c r="CV169" i="1"/>
  <c r="CC169" i="1"/>
  <c r="CB169" i="1"/>
  <c r="CA169" i="1"/>
  <c r="BZ169" i="1"/>
  <c r="BY169" i="1"/>
  <c r="BX169" i="1"/>
  <c r="BW169" i="1"/>
  <c r="BV169" i="1"/>
  <c r="BU169" i="1"/>
  <c r="BS169" i="1"/>
  <c r="CU169" i="1" s="1"/>
  <c r="X169" i="1"/>
  <c r="CE169" i="1" s="1"/>
  <c r="EA168" i="1"/>
  <c r="DV168" i="1"/>
  <c r="DR168" i="1"/>
  <c r="DE168" i="1"/>
  <c r="DD168" i="1"/>
  <c r="CY168" i="1"/>
  <c r="CW168" i="1"/>
  <c r="CV168" i="1"/>
  <c r="CC168" i="1"/>
  <c r="CB168" i="1"/>
  <c r="CA168" i="1"/>
  <c r="BZ168" i="1"/>
  <c r="BY168" i="1"/>
  <c r="DS168" i="1" s="1"/>
  <c r="BX168" i="1"/>
  <c r="BW168" i="1"/>
  <c r="BV168" i="1"/>
  <c r="BU168" i="1"/>
  <c r="BS168" i="1"/>
  <c r="CU168" i="1" s="1"/>
  <c r="X168" i="1"/>
  <c r="CE168" i="1" s="1"/>
  <c r="EA167" i="1"/>
  <c r="DV167" i="1"/>
  <c r="DR167" i="1"/>
  <c r="DE167" i="1"/>
  <c r="CY167" i="1"/>
  <c r="CX167" i="1"/>
  <c r="CZ167" i="1" s="1"/>
  <c r="CW167" i="1"/>
  <c r="CV167" i="1"/>
  <c r="CC167" i="1"/>
  <c r="CB167" i="1"/>
  <c r="CA167" i="1"/>
  <c r="BZ167" i="1"/>
  <c r="BY167" i="1"/>
  <c r="BX167" i="1"/>
  <c r="BW167" i="1"/>
  <c r="BV167" i="1"/>
  <c r="BU167" i="1"/>
  <c r="BS167" i="1"/>
  <c r="CU167" i="1" s="1"/>
  <c r="X167" i="1"/>
  <c r="CE167" i="1" s="1"/>
  <c r="EA166" i="1"/>
  <c r="DV166" i="1"/>
  <c r="DR166" i="1"/>
  <c r="DE166" i="1"/>
  <c r="CY166" i="1"/>
  <c r="DA166" i="1" s="1"/>
  <c r="CW166" i="1"/>
  <c r="CV166" i="1"/>
  <c r="CC166" i="1"/>
  <c r="CB166" i="1"/>
  <c r="CA166" i="1"/>
  <c r="BZ166" i="1"/>
  <c r="BY166" i="1"/>
  <c r="BX166" i="1"/>
  <c r="BW166" i="1"/>
  <c r="BV166" i="1"/>
  <c r="BU166" i="1"/>
  <c r="BS166" i="1"/>
  <c r="CU166" i="1" s="1"/>
  <c r="X166" i="1"/>
  <c r="CE166" i="1" s="1"/>
  <c r="EA165" i="1"/>
  <c r="DV165" i="1"/>
  <c r="DR165" i="1"/>
  <c r="DE165" i="1"/>
  <c r="DB165" i="1"/>
  <c r="DA165" i="1"/>
  <c r="CZ165" i="1"/>
  <c r="CY165" i="1"/>
  <c r="CW165" i="1"/>
  <c r="CV165" i="1"/>
  <c r="CC165" i="1"/>
  <c r="CB165" i="1"/>
  <c r="CA165" i="1"/>
  <c r="BZ165" i="1"/>
  <c r="BY165" i="1"/>
  <c r="BX165" i="1"/>
  <c r="DU165" i="1" s="1"/>
  <c r="DW165" i="1" s="1"/>
  <c r="BW165" i="1"/>
  <c r="BV165" i="1"/>
  <c r="BU165" i="1"/>
  <c r="BS165" i="1"/>
  <c r="CU165" i="1" s="1"/>
  <c r="CX165" i="1" s="1"/>
  <c r="X165" i="1"/>
  <c r="CE165" i="1" s="1"/>
  <c r="EA164" i="1"/>
  <c r="DV164" i="1"/>
  <c r="DU164" i="1"/>
  <c r="DW164" i="1" s="1"/>
  <c r="DR164" i="1"/>
  <c r="DP164" i="1"/>
  <c r="DQ164" i="1" s="1"/>
  <c r="DE164" i="1"/>
  <c r="DC164" i="1"/>
  <c r="DB164" i="1"/>
  <c r="DA164" i="1"/>
  <c r="CW164" i="1"/>
  <c r="CV164" i="1"/>
  <c r="CY164" i="1" s="1"/>
  <c r="CC164" i="1"/>
  <c r="CB164" i="1"/>
  <c r="CA164" i="1"/>
  <c r="BZ164" i="1"/>
  <c r="BY164" i="1"/>
  <c r="DS164" i="1" s="1"/>
  <c r="DT164" i="1" s="1"/>
  <c r="BX164" i="1"/>
  <c r="BW164" i="1"/>
  <c r="BV164" i="1"/>
  <c r="BU164" i="1"/>
  <c r="BS164" i="1"/>
  <c r="CU164" i="1" s="1"/>
  <c r="X164" i="1"/>
  <c r="CE164" i="1" s="1"/>
  <c r="EA163" i="1"/>
  <c r="DV163" i="1"/>
  <c r="DW163" i="1" s="1"/>
  <c r="DU163" i="1"/>
  <c r="DR163" i="1"/>
  <c r="DQ163" i="1"/>
  <c r="DP163" i="1"/>
  <c r="DE163" i="1"/>
  <c r="DD163" i="1"/>
  <c r="DC163" i="1"/>
  <c r="DB163" i="1"/>
  <c r="CW163" i="1"/>
  <c r="CV163" i="1"/>
  <c r="CY163" i="1" s="1"/>
  <c r="CC163" i="1"/>
  <c r="CB163" i="1"/>
  <c r="CA163" i="1"/>
  <c r="BZ163" i="1"/>
  <c r="BY163" i="1"/>
  <c r="DS163" i="1" s="1"/>
  <c r="DT163" i="1" s="1"/>
  <c r="BX163" i="1"/>
  <c r="BW163" i="1"/>
  <c r="BV163" i="1"/>
  <c r="BU163" i="1"/>
  <c r="BS163" i="1"/>
  <c r="CU163" i="1" s="1"/>
  <c r="X163" i="1"/>
  <c r="CE163" i="1" s="1"/>
  <c r="EA162" i="1"/>
  <c r="DW162" i="1"/>
  <c r="DV162" i="1"/>
  <c r="DU162" i="1"/>
  <c r="DR162" i="1"/>
  <c r="DQ162" i="1"/>
  <c r="DP162" i="1"/>
  <c r="DE162" i="1"/>
  <c r="DF162" i="1" s="1"/>
  <c r="DD162" i="1"/>
  <c r="DC162" i="1"/>
  <c r="DB162" i="1"/>
  <c r="CW162" i="1"/>
  <c r="CV162" i="1"/>
  <c r="CY162" i="1" s="1"/>
  <c r="DA162" i="1" s="1"/>
  <c r="CC162" i="1"/>
  <c r="CD162" i="1" s="1"/>
  <c r="CB162" i="1"/>
  <c r="CA162" i="1"/>
  <c r="BZ162" i="1"/>
  <c r="BY162" i="1"/>
  <c r="DS162" i="1" s="1"/>
  <c r="DT162" i="1" s="1"/>
  <c r="BX162" i="1"/>
  <c r="BW162" i="1"/>
  <c r="BV162" i="1"/>
  <c r="BU162" i="1"/>
  <c r="BS162" i="1"/>
  <c r="CU162" i="1" s="1"/>
  <c r="X162" i="1"/>
  <c r="CE162" i="1" s="1"/>
  <c r="EA161" i="1"/>
  <c r="DV161" i="1"/>
  <c r="DS161" i="1"/>
  <c r="DT161" i="1" s="1"/>
  <c r="DR161" i="1"/>
  <c r="DE161" i="1"/>
  <c r="DD161" i="1"/>
  <c r="CY161" i="1"/>
  <c r="CW161" i="1"/>
  <c r="CV161" i="1"/>
  <c r="DA161" i="1" s="1"/>
  <c r="CC161" i="1"/>
  <c r="CB161" i="1"/>
  <c r="CA161" i="1"/>
  <c r="BZ161" i="1"/>
  <c r="BY161" i="1"/>
  <c r="BX161" i="1"/>
  <c r="DB161" i="1" s="1"/>
  <c r="BW161" i="1"/>
  <c r="BV161" i="1"/>
  <c r="BU161" i="1"/>
  <c r="BS161" i="1"/>
  <c r="CU161" i="1" s="1"/>
  <c r="X161" i="1"/>
  <c r="CE161" i="1" s="1"/>
  <c r="EA160" i="1"/>
  <c r="DV160" i="1"/>
  <c r="DT160" i="1"/>
  <c r="DS160" i="1"/>
  <c r="DR160" i="1"/>
  <c r="DP160" i="1"/>
  <c r="DQ160" i="1" s="1"/>
  <c r="DE160" i="1"/>
  <c r="DA160" i="1"/>
  <c r="CY160" i="1"/>
  <c r="CW160" i="1"/>
  <c r="CV160" i="1"/>
  <c r="CU160" i="1"/>
  <c r="CC160" i="1"/>
  <c r="CB160" i="1"/>
  <c r="CA160" i="1"/>
  <c r="BZ160" i="1"/>
  <c r="BY160" i="1"/>
  <c r="DD160" i="1" s="1"/>
  <c r="DF160" i="1" s="1"/>
  <c r="CD160" i="1" s="1"/>
  <c r="BX160" i="1"/>
  <c r="DB160" i="1" s="1"/>
  <c r="BW160" i="1"/>
  <c r="BV160" i="1"/>
  <c r="BU160" i="1"/>
  <c r="BS160" i="1"/>
  <c r="X160" i="1"/>
  <c r="DC160" i="1" s="1"/>
  <c r="ER159" i="1"/>
  <c r="EH159" i="1"/>
  <c r="EF159" i="1"/>
  <c r="EA159" i="1"/>
  <c r="DV159" i="1"/>
  <c r="DU159" i="1"/>
  <c r="DW159" i="1" s="1"/>
  <c r="DS159" i="1"/>
  <c r="DT159" i="1" s="1"/>
  <c r="DR159" i="1"/>
  <c r="DE159" i="1"/>
  <c r="DD159" i="1"/>
  <c r="CW159" i="1"/>
  <c r="CV159" i="1"/>
  <c r="CU159" i="1"/>
  <c r="CH159" i="1"/>
  <c r="CG159" i="1"/>
  <c r="CC159" i="1"/>
  <c r="CB159" i="1"/>
  <c r="CA159" i="1"/>
  <c r="BZ159" i="1"/>
  <c r="BY159" i="1"/>
  <c r="BX159" i="1"/>
  <c r="DP159" i="1" s="1"/>
  <c r="DQ159" i="1" s="1"/>
  <c r="BW159" i="1"/>
  <c r="BV159" i="1"/>
  <c r="BU159" i="1"/>
  <c r="CD159" i="1" s="1"/>
  <c r="EG159" i="1" s="1"/>
  <c r="BS159" i="1"/>
  <c r="X159" i="1"/>
  <c r="CE159" i="1" s="1"/>
  <c r="EA158" i="1"/>
  <c r="DV158" i="1"/>
  <c r="DU158" i="1"/>
  <c r="DT158" i="1"/>
  <c r="DS158" i="1"/>
  <c r="DR158" i="1"/>
  <c r="DP158" i="1"/>
  <c r="DQ158" i="1" s="1"/>
  <c r="DE158" i="1"/>
  <c r="DB158" i="1"/>
  <c r="CW158" i="1"/>
  <c r="CV158" i="1"/>
  <c r="CC158" i="1"/>
  <c r="CB158" i="1"/>
  <c r="CA158" i="1"/>
  <c r="BZ158" i="1"/>
  <c r="BY158" i="1"/>
  <c r="DD158" i="1" s="1"/>
  <c r="BX158" i="1"/>
  <c r="BW158" i="1"/>
  <c r="BV158" i="1"/>
  <c r="BU158" i="1"/>
  <c r="BS158" i="1"/>
  <c r="CU158" i="1" s="1"/>
  <c r="X158" i="1"/>
  <c r="DC158" i="1" s="1"/>
  <c r="EA157" i="1"/>
  <c r="DV157" i="1"/>
  <c r="DU157" i="1"/>
  <c r="DW157" i="1" s="1"/>
  <c r="DT157" i="1"/>
  <c r="DS157" i="1"/>
  <c r="DR157" i="1"/>
  <c r="DP157" i="1"/>
  <c r="DQ157" i="1" s="1"/>
  <c r="DE157" i="1"/>
  <c r="DD157" i="1"/>
  <c r="DB157" i="1"/>
  <c r="CW157" i="1"/>
  <c r="CV157" i="1"/>
  <c r="CC157" i="1"/>
  <c r="CB157" i="1"/>
  <c r="CA157" i="1"/>
  <c r="BZ157" i="1"/>
  <c r="BY157" i="1"/>
  <c r="BX157" i="1"/>
  <c r="BW157" i="1"/>
  <c r="BV157" i="1"/>
  <c r="BU157" i="1"/>
  <c r="BS157" i="1"/>
  <c r="CU157" i="1" s="1"/>
  <c r="X157" i="1"/>
  <c r="CE157" i="1" s="1"/>
  <c r="EA156" i="1"/>
  <c r="DV156" i="1"/>
  <c r="DR156" i="1"/>
  <c r="DE156" i="1"/>
  <c r="DD156" i="1"/>
  <c r="CY156" i="1"/>
  <c r="CX156" i="1"/>
  <c r="CW156" i="1"/>
  <c r="CV156" i="1"/>
  <c r="CC156" i="1"/>
  <c r="CB156" i="1"/>
  <c r="CA156" i="1"/>
  <c r="BZ156" i="1"/>
  <c r="BY156" i="1"/>
  <c r="DS156" i="1" s="1"/>
  <c r="BX156" i="1"/>
  <c r="BW156" i="1"/>
  <c r="BV156" i="1"/>
  <c r="BU156" i="1"/>
  <c r="BS156" i="1"/>
  <c r="CU156" i="1" s="1"/>
  <c r="X156" i="1"/>
  <c r="CE156" i="1" s="1"/>
  <c r="EA155" i="1"/>
  <c r="DV155" i="1"/>
  <c r="DR155" i="1"/>
  <c r="DE155" i="1"/>
  <c r="CY155" i="1"/>
  <c r="CW155" i="1"/>
  <c r="CV155" i="1"/>
  <c r="DA155" i="1" s="1"/>
  <c r="CC155" i="1"/>
  <c r="CB155" i="1"/>
  <c r="CA155" i="1"/>
  <c r="BZ155" i="1"/>
  <c r="BY155" i="1"/>
  <c r="BX155" i="1"/>
  <c r="BW155" i="1"/>
  <c r="BV155" i="1"/>
  <c r="BU155" i="1"/>
  <c r="BS155" i="1"/>
  <c r="CU155" i="1" s="1"/>
  <c r="X155" i="1"/>
  <c r="CE155" i="1" s="1"/>
  <c r="EA154" i="1"/>
  <c r="DV154" i="1"/>
  <c r="DR154" i="1"/>
  <c r="DE154" i="1"/>
  <c r="CZ154" i="1"/>
  <c r="CY154" i="1"/>
  <c r="DA154" i="1" s="1"/>
  <c r="CW154" i="1"/>
  <c r="CV154" i="1"/>
  <c r="CC154" i="1"/>
  <c r="CB154" i="1"/>
  <c r="CA154" i="1"/>
  <c r="BZ154" i="1"/>
  <c r="BY154" i="1"/>
  <c r="BX154" i="1"/>
  <c r="BW154" i="1"/>
  <c r="BV154" i="1"/>
  <c r="BU154" i="1"/>
  <c r="BS154" i="1"/>
  <c r="CU154" i="1" s="1"/>
  <c r="CX154" i="1" s="1"/>
  <c r="X154" i="1"/>
  <c r="CE154" i="1" s="1"/>
  <c r="EA153" i="1"/>
  <c r="DV153" i="1"/>
  <c r="DR153" i="1"/>
  <c r="DH153" i="1"/>
  <c r="DI153" i="1" s="1"/>
  <c r="DE153" i="1"/>
  <c r="DB153" i="1"/>
  <c r="DA153" i="1"/>
  <c r="CZ153" i="1"/>
  <c r="CY153" i="1"/>
  <c r="CW153" i="1"/>
  <c r="CV153" i="1"/>
  <c r="CU153" i="1"/>
  <c r="CX153" i="1" s="1"/>
  <c r="CC153" i="1"/>
  <c r="CB153" i="1"/>
  <c r="CA153" i="1"/>
  <c r="BZ153" i="1"/>
  <c r="BY153" i="1"/>
  <c r="BX153" i="1"/>
  <c r="DU153" i="1" s="1"/>
  <c r="DW153" i="1" s="1"/>
  <c r="BW153" i="1"/>
  <c r="BV153" i="1"/>
  <c r="BU153" i="1"/>
  <c r="BS153" i="1"/>
  <c r="X153" i="1"/>
  <c r="CE153" i="1" s="1"/>
  <c r="EA152" i="1"/>
  <c r="DV152" i="1"/>
  <c r="DU152" i="1"/>
  <c r="DW152" i="1" s="1"/>
  <c r="DR152" i="1"/>
  <c r="DP152" i="1"/>
  <c r="DE152" i="1"/>
  <c r="DC152" i="1"/>
  <c r="DB152" i="1"/>
  <c r="DA152" i="1"/>
  <c r="CW152" i="1"/>
  <c r="CV152" i="1"/>
  <c r="CY152" i="1" s="1"/>
  <c r="CC152" i="1"/>
  <c r="CB152" i="1"/>
  <c r="CA152" i="1"/>
  <c r="BZ152" i="1"/>
  <c r="BY152" i="1"/>
  <c r="DS152" i="1" s="1"/>
  <c r="BX152" i="1"/>
  <c r="BW152" i="1"/>
  <c r="BV152" i="1"/>
  <c r="BU152" i="1"/>
  <c r="BS152" i="1"/>
  <c r="CU152" i="1" s="1"/>
  <c r="X152" i="1"/>
  <c r="CE152" i="1" s="1"/>
  <c r="EA151" i="1"/>
  <c r="DV151" i="1"/>
  <c r="DW151" i="1" s="1"/>
  <c r="DU151" i="1"/>
  <c r="DR151" i="1"/>
  <c r="DP151" i="1"/>
  <c r="DE151" i="1"/>
  <c r="DD151" i="1"/>
  <c r="DC151" i="1"/>
  <c r="DF151" i="1" s="1"/>
  <c r="DB151" i="1"/>
  <c r="CW151" i="1"/>
  <c r="CV151" i="1"/>
  <c r="CY151" i="1" s="1"/>
  <c r="CC151" i="1"/>
  <c r="CB151" i="1"/>
  <c r="CA151" i="1"/>
  <c r="BZ151" i="1"/>
  <c r="BY151" i="1"/>
  <c r="DS151" i="1" s="1"/>
  <c r="BX151" i="1"/>
  <c r="BW151" i="1"/>
  <c r="BV151" i="1"/>
  <c r="BU151" i="1"/>
  <c r="BS151" i="1"/>
  <c r="CU151" i="1" s="1"/>
  <c r="X151" i="1"/>
  <c r="CE151" i="1" s="1"/>
  <c r="EA150" i="1"/>
  <c r="DW150" i="1"/>
  <c r="DV150" i="1"/>
  <c r="DU150" i="1"/>
  <c r="DR150" i="1"/>
  <c r="DP150" i="1"/>
  <c r="DE150" i="1"/>
  <c r="DD150" i="1"/>
  <c r="DC150" i="1"/>
  <c r="DB150" i="1"/>
  <c r="CX150" i="1"/>
  <c r="CW150" i="1"/>
  <c r="CV150" i="1"/>
  <c r="CY150" i="1" s="1"/>
  <c r="DA150" i="1" s="1"/>
  <c r="CC150" i="1"/>
  <c r="CB150" i="1"/>
  <c r="CA150" i="1"/>
  <c r="BZ150" i="1"/>
  <c r="BY150" i="1"/>
  <c r="DS150" i="1" s="1"/>
  <c r="BX150" i="1"/>
  <c r="BW150" i="1"/>
  <c r="BV150" i="1"/>
  <c r="BU150" i="1"/>
  <c r="BS150" i="1"/>
  <c r="CU150" i="1" s="1"/>
  <c r="X150" i="1"/>
  <c r="CE150" i="1" s="1"/>
  <c r="EA149" i="1"/>
  <c r="DV149" i="1"/>
  <c r="DR149" i="1"/>
  <c r="DS149" i="1" s="1"/>
  <c r="DE149" i="1"/>
  <c r="DD149" i="1"/>
  <c r="CY149" i="1"/>
  <c r="CW149" i="1"/>
  <c r="CV149" i="1"/>
  <c r="DA149" i="1" s="1"/>
  <c r="CE149" i="1"/>
  <c r="CC149" i="1"/>
  <c r="CB149" i="1"/>
  <c r="CA149" i="1"/>
  <c r="BZ149" i="1"/>
  <c r="BY149" i="1"/>
  <c r="BX149" i="1"/>
  <c r="BW149" i="1"/>
  <c r="BV149" i="1"/>
  <c r="BU149" i="1"/>
  <c r="BS149" i="1"/>
  <c r="CU149" i="1" s="1"/>
  <c r="X149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V148" i="1"/>
  <c r="DR148" i="1"/>
  <c r="DS148" i="1" s="1"/>
  <c r="DE148" i="1"/>
  <c r="DD148" i="1"/>
  <c r="CZ148" i="1"/>
  <c r="CW148" i="1"/>
  <c r="CV148" i="1"/>
  <c r="CY148" i="1" s="1"/>
  <c r="DA148" i="1" s="1"/>
  <c r="CU148" i="1"/>
  <c r="CX148" i="1" s="1"/>
  <c r="CQ148" i="1"/>
  <c r="CK148" i="1"/>
  <c r="CJ148" i="1"/>
  <c r="CI148" i="1"/>
  <c r="CH148" i="1"/>
  <c r="CG148" i="1"/>
  <c r="CC148" i="1"/>
  <c r="CB148" i="1"/>
  <c r="CA148" i="1"/>
  <c r="BZ148" i="1"/>
  <c r="BY148" i="1"/>
  <c r="BX148" i="1"/>
  <c r="BW148" i="1"/>
  <c r="BV148" i="1"/>
  <c r="BU148" i="1"/>
  <c r="BS148" i="1"/>
  <c r="X148" i="1"/>
  <c r="CE148" i="1" s="1"/>
  <c r="EA147" i="1"/>
  <c r="DV147" i="1"/>
  <c r="DU147" i="1"/>
  <c r="DW147" i="1" s="1"/>
  <c r="DT147" i="1"/>
  <c r="DS147" i="1"/>
  <c r="DR147" i="1"/>
  <c r="DP147" i="1"/>
  <c r="DQ147" i="1" s="1"/>
  <c r="DE147" i="1"/>
  <c r="DF147" i="1" s="1"/>
  <c r="CW147" i="1"/>
  <c r="CV147" i="1"/>
  <c r="CU147" i="1"/>
  <c r="CC147" i="1"/>
  <c r="CB147" i="1"/>
  <c r="CA147" i="1"/>
  <c r="BZ147" i="1"/>
  <c r="BY147" i="1"/>
  <c r="DD147" i="1" s="1"/>
  <c r="BX147" i="1"/>
  <c r="DB147" i="1" s="1"/>
  <c r="BW147" i="1"/>
  <c r="BV147" i="1"/>
  <c r="BU147" i="1"/>
  <c r="BS147" i="1"/>
  <c r="X147" i="1"/>
  <c r="DC147" i="1" s="1"/>
  <c r="EA146" i="1"/>
  <c r="DV146" i="1"/>
  <c r="DU146" i="1"/>
  <c r="DW146" i="1" s="1"/>
  <c r="DS146" i="1"/>
  <c r="DR146" i="1"/>
  <c r="DE146" i="1"/>
  <c r="DD146" i="1"/>
  <c r="CW146" i="1"/>
  <c r="CV146" i="1"/>
  <c r="CU146" i="1"/>
  <c r="CC146" i="1"/>
  <c r="CB146" i="1"/>
  <c r="CA146" i="1"/>
  <c r="BZ146" i="1"/>
  <c r="BY146" i="1"/>
  <c r="BX146" i="1"/>
  <c r="DP146" i="1" s="1"/>
  <c r="BW146" i="1"/>
  <c r="BV146" i="1"/>
  <c r="BU146" i="1"/>
  <c r="BS146" i="1"/>
  <c r="CE146" i="1" s="1"/>
  <c r="X146" i="1"/>
  <c r="EA145" i="1"/>
  <c r="DV145" i="1"/>
  <c r="DU145" i="1"/>
  <c r="DW145" i="1" s="1"/>
  <c r="DT145" i="1"/>
  <c r="DS145" i="1"/>
  <c r="DR145" i="1"/>
  <c r="DP145" i="1"/>
  <c r="DQ145" i="1" s="1"/>
  <c r="DH145" i="1"/>
  <c r="DI145" i="1" s="1"/>
  <c r="DE145" i="1"/>
  <c r="DB145" i="1"/>
  <c r="CW145" i="1"/>
  <c r="CV145" i="1"/>
  <c r="CC145" i="1"/>
  <c r="CB145" i="1"/>
  <c r="CA145" i="1"/>
  <c r="BZ145" i="1"/>
  <c r="BY145" i="1"/>
  <c r="DD145" i="1" s="1"/>
  <c r="BX145" i="1"/>
  <c r="BW145" i="1"/>
  <c r="BV145" i="1"/>
  <c r="BU145" i="1"/>
  <c r="BS145" i="1"/>
  <c r="CU145" i="1" s="1"/>
  <c r="X145" i="1"/>
  <c r="DC145" i="1" s="1"/>
  <c r="EA144" i="1"/>
  <c r="DV144" i="1"/>
  <c r="DW144" i="1" s="1"/>
  <c r="DU144" i="1"/>
  <c r="DS144" i="1"/>
  <c r="DR144" i="1"/>
  <c r="DP144" i="1"/>
  <c r="DE144" i="1"/>
  <c r="DD144" i="1"/>
  <c r="DC144" i="1"/>
  <c r="DF144" i="1" s="1"/>
  <c r="CW144" i="1"/>
  <c r="CV144" i="1"/>
  <c r="CC144" i="1"/>
  <c r="CB144" i="1"/>
  <c r="CA144" i="1"/>
  <c r="BZ144" i="1"/>
  <c r="BY144" i="1"/>
  <c r="BX144" i="1"/>
  <c r="DB144" i="1" s="1"/>
  <c r="BW144" i="1"/>
  <c r="BV144" i="1"/>
  <c r="BU144" i="1"/>
  <c r="BS144" i="1"/>
  <c r="CU144" i="1" s="1"/>
  <c r="X144" i="1"/>
  <c r="CE144" i="1" s="1"/>
  <c r="EA143" i="1"/>
  <c r="DV143" i="1"/>
  <c r="DR143" i="1"/>
  <c r="DE143" i="1"/>
  <c r="DD143" i="1"/>
  <c r="CW143" i="1"/>
  <c r="CV143" i="1"/>
  <c r="CC143" i="1"/>
  <c r="CB143" i="1"/>
  <c r="CA143" i="1"/>
  <c r="BZ143" i="1"/>
  <c r="BY143" i="1"/>
  <c r="DS143" i="1" s="1"/>
  <c r="BX143" i="1"/>
  <c r="BW143" i="1"/>
  <c r="BV143" i="1"/>
  <c r="BU143" i="1"/>
  <c r="BS143" i="1"/>
  <c r="CU143" i="1" s="1"/>
  <c r="X143" i="1"/>
  <c r="EA142" i="1"/>
  <c r="DV142" i="1"/>
  <c r="DR142" i="1"/>
  <c r="DE142" i="1"/>
  <c r="CZ142" i="1"/>
  <c r="CY142" i="1"/>
  <c r="CX142" i="1"/>
  <c r="CW142" i="1"/>
  <c r="CV142" i="1"/>
  <c r="CC142" i="1"/>
  <c r="CB142" i="1"/>
  <c r="CA142" i="1"/>
  <c r="BZ142" i="1"/>
  <c r="BY142" i="1"/>
  <c r="BX142" i="1"/>
  <c r="BW142" i="1"/>
  <c r="BV142" i="1"/>
  <c r="BU142" i="1"/>
  <c r="BS142" i="1"/>
  <c r="CU142" i="1" s="1"/>
  <c r="X142" i="1"/>
  <c r="CE142" i="1" s="1"/>
  <c r="EA141" i="1"/>
  <c r="DW141" i="1"/>
  <c r="DV141" i="1"/>
  <c r="DU141" i="1"/>
  <c r="DS141" i="1"/>
  <c r="DR141" i="1"/>
  <c r="DE141" i="1"/>
  <c r="CY141" i="1"/>
  <c r="CW141" i="1"/>
  <c r="CV141" i="1"/>
  <c r="DA141" i="1" s="1"/>
  <c r="CE141" i="1"/>
  <c r="CC141" i="1"/>
  <c r="CB141" i="1"/>
  <c r="CA141" i="1"/>
  <c r="BZ141" i="1"/>
  <c r="BY141" i="1"/>
  <c r="DD141" i="1" s="1"/>
  <c r="BX141" i="1"/>
  <c r="BW141" i="1"/>
  <c r="BV141" i="1"/>
  <c r="BU141" i="1"/>
  <c r="BS141" i="1"/>
  <c r="CU141" i="1" s="1"/>
  <c r="X141" i="1"/>
  <c r="EA140" i="1"/>
  <c r="DV140" i="1"/>
  <c r="DR140" i="1"/>
  <c r="DE140" i="1"/>
  <c r="DB140" i="1"/>
  <c r="CZ140" i="1"/>
  <c r="CY140" i="1"/>
  <c r="DA140" i="1" s="1"/>
  <c r="CW140" i="1"/>
  <c r="CV140" i="1"/>
  <c r="CC140" i="1"/>
  <c r="CB140" i="1"/>
  <c r="CA140" i="1"/>
  <c r="BZ140" i="1"/>
  <c r="BY140" i="1"/>
  <c r="BX140" i="1"/>
  <c r="BW140" i="1"/>
  <c r="BV140" i="1"/>
  <c r="BU140" i="1"/>
  <c r="BS140" i="1"/>
  <c r="CU140" i="1" s="1"/>
  <c r="CX140" i="1" s="1"/>
  <c r="X140" i="1"/>
  <c r="CE140" i="1" s="1"/>
  <c r="EA139" i="1"/>
  <c r="DW139" i="1"/>
  <c r="DV139" i="1"/>
  <c r="DR139" i="1"/>
  <c r="DP139" i="1"/>
  <c r="DE139" i="1"/>
  <c r="DC139" i="1"/>
  <c r="DB139" i="1"/>
  <c r="CY139" i="1"/>
  <c r="CW139" i="1"/>
  <c r="CV139" i="1"/>
  <c r="DA139" i="1" s="1"/>
  <c r="CC139" i="1"/>
  <c r="CB139" i="1"/>
  <c r="CA139" i="1"/>
  <c r="BZ139" i="1"/>
  <c r="BY139" i="1"/>
  <c r="BX139" i="1"/>
  <c r="DU139" i="1" s="1"/>
  <c r="BW139" i="1"/>
  <c r="BV139" i="1"/>
  <c r="BU139" i="1"/>
  <c r="BS139" i="1"/>
  <c r="CU139" i="1" s="1"/>
  <c r="X139" i="1"/>
  <c r="CE139" i="1" s="1"/>
  <c r="EA138" i="1"/>
  <c r="DV138" i="1"/>
  <c r="DR138" i="1"/>
  <c r="DI138" i="1"/>
  <c r="DH138" i="1"/>
  <c r="DE138" i="1"/>
  <c r="CZ138" i="1"/>
  <c r="CX138" i="1"/>
  <c r="CW138" i="1"/>
  <c r="CV138" i="1"/>
  <c r="CC138" i="1"/>
  <c r="CB138" i="1"/>
  <c r="CA138" i="1"/>
  <c r="BZ138" i="1"/>
  <c r="BY138" i="1"/>
  <c r="DS138" i="1" s="1"/>
  <c r="BX138" i="1"/>
  <c r="DU138" i="1" s="1"/>
  <c r="DW138" i="1" s="1"/>
  <c r="BW138" i="1"/>
  <c r="BV138" i="1"/>
  <c r="BU138" i="1"/>
  <c r="BS138" i="1"/>
  <c r="CU138" i="1" s="1"/>
  <c r="X138" i="1"/>
  <c r="CE138" i="1" s="1"/>
  <c r="EA137" i="1"/>
  <c r="DV137" i="1"/>
  <c r="DW137" i="1" s="1"/>
  <c r="DR137" i="1"/>
  <c r="DP137" i="1"/>
  <c r="DI137" i="1"/>
  <c r="DH137" i="1"/>
  <c r="DE137" i="1"/>
  <c r="DB137" i="1"/>
  <c r="CW137" i="1"/>
  <c r="CV137" i="1"/>
  <c r="CC137" i="1"/>
  <c r="CB137" i="1"/>
  <c r="CA137" i="1"/>
  <c r="BZ137" i="1"/>
  <c r="BY137" i="1"/>
  <c r="DS137" i="1" s="1"/>
  <c r="BX137" i="1"/>
  <c r="DU137" i="1" s="1"/>
  <c r="BW137" i="1"/>
  <c r="BV137" i="1"/>
  <c r="BU137" i="1"/>
  <c r="BS137" i="1"/>
  <c r="CU137" i="1" s="1"/>
  <c r="X137" i="1"/>
  <c r="CE137" i="1" s="1"/>
  <c r="EA136" i="1"/>
  <c r="DV136" i="1"/>
  <c r="DR136" i="1"/>
  <c r="DE136" i="1"/>
  <c r="CY136" i="1"/>
  <c r="DA136" i="1" s="1"/>
  <c r="CW136" i="1"/>
  <c r="CV136" i="1"/>
  <c r="CC136" i="1"/>
  <c r="CB136" i="1"/>
  <c r="CA136" i="1"/>
  <c r="BZ136" i="1"/>
  <c r="BY136" i="1"/>
  <c r="DS136" i="1" s="1"/>
  <c r="DT136" i="1" s="1"/>
  <c r="BX136" i="1"/>
  <c r="BW136" i="1"/>
  <c r="BV136" i="1"/>
  <c r="BU136" i="1"/>
  <c r="BS136" i="1"/>
  <c r="CU136" i="1" s="1"/>
  <c r="X136" i="1"/>
  <c r="CE136" i="1" s="1"/>
  <c r="EH135" i="1"/>
  <c r="EA135" i="1"/>
  <c r="DV135" i="1"/>
  <c r="DU135" i="1"/>
  <c r="DW135" i="1" s="1"/>
  <c r="DR135" i="1"/>
  <c r="DS135" i="1" s="1"/>
  <c r="DF135" i="1"/>
  <c r="DE135" i="1"/>
  <c r="DD135" i="1"/>
  <c r="CW135" i="1"/>
  <c r="CV135" i="1"/>
  <c r="CJ135" i="1"/>
  <c r="CG135" i="1"/>
  <c r="CD135" i="1"/>
  <c r="EJ135" i="1" s="1"/>
  <c r="CC135" i="1"/>
  <c r="CB135" i="1"/>
  <c r="CA135" i="1"/>
  <c r="BZ135" i="1"/>
  <c r="BY135" i="1"/>
  <c r="BX135" i="1"/>
  <c r="DP135" i="1" s="1"/>
  <c r="BW135" i="1"/>
  <c r="BV135" i="1"/>
  <c r="BU135" i="1"/>
  <c r="BS135" i="1"/>
  <c r="CU135" i="1" s="1"/>
  <c r="X135" i="1"/>
  <c r="DC135" i="1" s="1"/>
  <c r="EA134" i="1"/>
  <c r="DV134" i="1"/>
  <c r="DU134" i="1"/>
  <c r="DR134" i="1"/>
  <c r="DS134" i="1" s="1"/>
  <c r="DE134" i="1"/>
  <c r="DD134" i="1"/>
  <c r="DC134" i="1"/>
  <c r="CZ134" i="1"/>
  <c r="CW134" i="1"/>
  <c r="CV134" i="1"/>
  <c r="CY134" i="1" s="1"/>
  <c r="DA134" i="1" s="1"/>
  <c r="CU134" i="1"/>
  <c r="CX134" i="1" s="1"/>
  <c r="CS134" i="1"/>
  <c r="CC134" i="1"/>
  <c r="CB134" i="1"/>
  <c r="CA134" i="1"/>
  <c r="BZ134" i="1"/>
  <c r="BY134" i="1"/>
  <c r="BX134" i="1"/>
  <c r="DP134" i="1" s="1"/>
  <c r="BW134" i="1"/>
  <c r="BV134" i="1"/>
  <c r="BU134" i="1"/>
  <c r="BS134" i="1"/>
  <c r="X134" i="1"/>
  <c r="CE134" i="1" s="1"/>
  <c r="EA133" i="1"/>
  <c r="DV133" i="1"/>
  <c r="DW133" i="1" s="1"/>
  <c r="DU133" i="1"/>
  <c r="DR133" i="1"/>
  <c r="DP133" i="1"/>
  <c r="DI133" i="1"/>
  <c r="DH133" i="1"/>
  <c r="DE133" i="1"/>
  <c r="DD133" i="1"/>
  <c r="DC133" i="1"/>
  <c r="DB133" i="1"/>
  <c r="DA133" i="1"/>
  <c r="CZ133" i="1"/>
  <c r="CX133" i="1"/>
  <c r="CW133" i="1"/>
  <c r="CV133" i="1"/>
  <c r="CY133" i="1" s="1"/>
  <c r="CU133" i="1"/>
  <c r="CC133" i="1"/>
  <c r="CB133" i="1"/>
  <c r="CA133" i="1"/>
  <c r="BZ133" i="1"/>
  <c r="BY133" i="1"/>
  <c r="DS133" i="1" s="1"/>
  <c r="BX133" i="1"/>
  <c r="BW133" i="1"/>
  <c r="BV133" i="1"/>
  <c r="BU133" i="1"/>
  <c r="BS133" i="1"/>
  <c r="X133" i="1"/>
  <c r="CE133" i="1" s="1"/>
  <c r="EA132" i="1"/>
  <c r="DV132" i="1"/>
  <c r="DU132" i="1"/>
  <c r="DW132" i="1" s="1"/>
  <c r="DR132" i="1"/>
  <c r="DS132" i="1" s="1"/>
  <c r="DH132" i="1"/>
  <c r="DI132" i="1" s="1"/>
  <c r="DE132" i="1"/>
  <c r="DD132" i="1"/>
  <c r="CX132" i="1"/>
  <c r="CW132" i="1"/>
  <c r="CV132" i="1"/>
  <c r="CU132" i="1"/>
  <c r="CC132" i="1"/>
  <c r="CB132" i="1"/>
  <c r="CA132" i="1"/>
  <c r="BZ132" i="1"/>
  <c r="BY132" i="1"/>
  <c r="BX132" i="1"/>
  <c r="BW132" i="1"/>
  <c r="BV132" i="1"/>
  <c r="BU132" i="1"/>
  <c r="BS132" i="1"/>
  <c r="X132" i="1"/>
  <c r="CE132" i="1" s="1"/>
  <c r="EA131" i="1"/>
  <c r="DV131" i="1"/>
  <c r="DR131" i="1"/>
  <c r="DS131" i="1" s="1"/>
  <c r="DE131" i="1"/>
  <c r="DD131" i="1"/>
  <c r="CW131" i="1"/>
  <c r="CV131" i="1"/>
  <c r="CU131" i="1"/>
  <c r="CE131" i="1"/>
  <c r="CC131" i="1"/>
  <c r="CB131" i="1"/>
  <c r="CA131" i="1"/>
  <c r="BZ131" i="1"/>
  <c r="BY131" i="1"/>
  <c r="BX131" i="1"/>
  <c r="DC131" i="1" s="1"/>
  <c r="DF131" i="1" s="1"/>
  <c r="BW131" i="1"/>
  <c r="BV131" i="1"/>
  <c r="BU131" i="1"/>
  <c r="BS131" i="1"/>
  <c r="X131" i="1"/>
  <c r="EA130" i="1"/>
  <c r="DV130" i="1"/>
  <c r="DR130" i="1"/>
  <c r="DP130" i="1"/>
  <c r="DE130" i="1"/>
  <c r="CY130" i="1"/>
  <c r="DA130" i="1" s="1"/>
  <c r="CW130" i="1"/>
  <c r="CV130" i="1"/>
  <c r="CC130" i="1"/>
  <c r="CB130" i="1"/>
  <c r="CA130" i="1"/>
  <c r="BZ130" i="1"/>
  <c r="BY130" i="1"/>
  <c r="DD130" i="1" s="1"/>
  <c r="BX130" i="1"/>
  <c r="BW130" i="1"/>
  <c r="BV130" i="1"/>
  <c r="BU130" i="1"/>
  <c r="BS130" i="1"/>
  <c r="CU130" i="1" s="1"/>
  <c r="X130" i="1"/>
  <c r="CE130" i="1" s="1"/>
  <c r="EA129" i="1"/>
  <c r="DV129" i="1"/>
  <c r="DS129" i="1"/>
  <c r="DR129" i="1"/>
  <c r="DI129" i="1"/>
  <c r="DH129" i="1"/>
  <c r="DE129" i="1"/>
  <c r="CW129" i="1"/>
  <c r="CV129" i="1"/>
  <c r="CC129" i="1"/>
  <c r="CB129" i="1"/>
  <c r="CA129" i="1"/>
  <c r="BZ129" i="1"/>
  <c r="BY129" i="1"/>
  <c r="DD129" i="1" s="1"/>
  <c r="BX129" i="1"/>
  <c r="BW129" i="1"/>
  <c r="BV129" i="1"/>
  <c r="BU129" i="1"/>
  <c r="BS129" i="1"/>
  <c r="CU129" i="1" s="1"/>
  <c r="X129" i="1"/>
  <c r="CE129" i="1" s="1"/>
  <c r="EA128" i="1"/>
  <c r="DV128" i="1"/>
  <c r="DU128" i="1"/>
  <c r="DW128" i="1" s="1"/>
  <c r="DS128" i="1"/>
  <c r="DR128" i="1"/>
  <c r="DP128" i="1"/>
  <c r="DF128" i="1"/>
  <c r="DE128" i="1"/>
  <c r="DD128" i="1"/>
  <c r="CW128" i="1"/>
  <c r="CV128" i="1"/>
  <c r="CC128" i="1"/>
  <c r="CB128" i="1"/>
  <c r="CA128" i="1"/>
  <c r="BZ128" i="1"/>
  <c r="BY128" i="1"/>
  <c r="BX128" i="1"/>
  <c r="DB128" i="1" s="1"/>
  <c r="BW128" i="1"/>
  <c r="BV128" i="1"/>
  <c r="BU128" i="1"/>
  <c r="CD128" i="1" s="1"/>
  <c r="EJ128" i="1" s="1"/>
  <c r="BS128" i="1"/>
  <c r="X128" i="1"/>
  <c r="DC128" i="1" s="1"/>
  <c r="EA127" i="1"/>
  <c r="DV127" i="1"/>
  <c r="DU127" i="1"/>
  <c r="DW127" i="1" s="1"/>
  <c r="DR127" i="1"/>
  <c r="DE127" i="1"/>
  <c r="DD127" i="1"/>
  <c r="CY127" i="1"/>
  <c r="CW127" i="1"/>
  <c r="CV127" i="1"/>
  <c r="CC127" i="1"/>
  <c r="CB127" i="1"/>
  <c r="CA127" i="1"/>
  <c r="BZ127" i="1"/>
  <c r="BY127" i="1"/>
  <c r="DS127" i="1" s="1"/>
  <c r="BX127" i="1"/>
  <c r="BW127" i="1"/>
  <c r="BV127" i="1"/>
  <c r="BU127" i="1"/>
  <c r="BS127" i="1"/>
  <c r="CU127" i="1" s="1"/>
  <c r="X127" i="1"/>
  <c r="CE127" i="1" s="1"/>
  <c r="EA126" i="1"/>
  <c r="DV126" i="1"/>
  <c r="DU126" i="1"/>
  <c r="DW126" i="1" s="1"/>
  <c r="DR126" i="1"/>
  <c r="DM126" i="1"/>
  <c r="DK126" i="1"/>
  <c r="DI126" i="1"/>
  <c r="DL126" i="1" s="1"/>
  <c r="DH126" i="1"/>
  <c r="DE126" i="1"/>
  <c r="CW126" i="1"/>
  <c r="CV126" i="1"/>
  <c r="CJ126" i="1"/>
  <c r="CI126" i="1"/>
  <c r="CH126" i="1"/>
  <c r="CC126" i="1"/>
  <c r="CB126" i="1"/>
  <c r="CA126" i="1"/>
  <c r="BZ126" i="1"/>
  <c r="BY126" i="1"/>
  <c r="BX126" i="1"/>
  <c r="DP126" i="1" s="1"/>
  <c r="DQ126" i="1" s="1"/>
  <c r="BW126" i="1"/>
  <c r="BV126" i="1"/>
  <c r="BU126" i="1"/>
  <c r="CD126" i="1" s="1"/>
  <c r="BS126" i="1"/>
  <c r="CU126" i="1" s="1"/>
  <c r="CX126" i="1" s="1"/>
  <c r="X126" i="1"/>
  <c r="CE126" i="1" s="1"/>
  <c r="EA125" i="1"/>
  <c r="DV125" i="1"/>
  <c r="DS125" i="1"/>
  <c r="DT125" i="1" s="1"/>
  <c r="DR125" i="1"/>
  <c r="DE125" i="1"/>
  <c r="CY125" i="1"/>
  <c r="CW125" i="1"/>
  <c r="DA125" i="1" s="1"/>
  <c r="CV125" i="1"/>
  <c r="CC125" i="1"/>
  <c r="CB125" i="1"/>
  <c r="CA125" i="1"/>
  <c r="BZ125" i="1"/>
  <c r="BY125" i="1"/>
  <c r="DD125" i="1" s="1"/>
  <c r="BX125" i="1"/>
  <c r="BW125" i="1"/>
  <c r="BV125" i="1"/>
  <c r="BU125" i="1"/>
  <c r="BS125" i="1"/>
  <c r="CU125" i="1" s="1"/>
  <c r="X125" i="1"/>
  <c r="CE125" i="1" s="1"/>
  <c r="EA124" i="1"/>
  <c r="DV124" i="1"/>
  <c r="DR124" i="1"/>
  <c r="DE124" i="1"/>
  <c r="CY124" i="1"/>
  <c r="CW124" i="1"/>
  <c r="CV124" i="1"/>
  <c r="DA124" i="1" s="1"/>
  <c r="CC124" i="1"/>
  <c r="CB124" i="1"/>
  <c r="CA124" i="1"/>
  <c r="BZ124" i="1"/>
  <c r="BY124" i="1"/>
  <c r="BX124" i="1"/>
  <c r="DB124" i="1" s="1"/>
  <c r="BW124" i="1"/>
  <c r="BV124" i="1"/>
  <c r="BU124" i="1"/>
  <c r="BS124" i="1"/>
  <c r="CU124" i="1" s="1"/>
  <c r="X124" i="1"/>
  <c r="CE124" i="1" s="1"/>
  <c r="EA123" i="1"/>
  <c r="DV123" i="1"/>
  <c r="DR123" i="1"/>
  <c r="DP123" i="1"/>
  <c r="DI123" i="1"/>
  <c r="DH123" i="1"/>
  <c r="DE123" i="1"/>
  <c r="DA123" i="1"/>
  <c r="CY123" i="1"/>
  <c r="CW123" i="1"/>
  <c r="CV123" i="1"/>
  <c r="CC123" i="1"/>
  <c r="CB123" i="1"/>
  <c r="CA123" i="1"/>
  <c r="BZ123" i="1"/>
  <c r="BY123" i="1"/>
  <c r="BX123" i="1"/>
  <c r="BW123" i="1"/>
  <c r="BV123" i="1"/>
  <c r="BU123" i="1"/>
  <c r="BS123" i="1"/>
  <c r="CU123" i="1" s="1"/>
  <c r="X123" i="1"/>
  <c r="CE123" i="1" s="1"/>
  <c r="EA122" i="1"/>
  <c r="DV122" i="1"/>
  <c r="DR122" i="1"/>
  <c r="DE122" i="1"/>
  <c r="DB122" i="1"/>
  <c r="DA122" i="1"/>
  <c r="CZ122" i="1"/>
  <c r="CY122" i="1"/>
  <c r="CW122" i="1"/>
  <c r="CV122" i="1"/>
  <c r="CC122" i="1"/>
  <c r="CB122" i="1"/>
  <c r="CA122" i="1"/>
  <c r="BZ122" i="1"/>
  <c r="BY122" i="1"/>
  <c r="DS122" i="1" s="1"/>
  <c r="BX122" i="1"/>
  <c r="DU122" i="1" s="1"/>
  <c r="DW122" i="1" s="1"/>
  <c r="BW122" i="1"/>
  <c r="BV122" i="1"/>
  <c r="BU122" i="1"/>
  <c r="BS122" i="1"/>
  <c r="CU122" i="1" s="1"/>
  <c r="CX122" i="1" s="1"/>
  <c r="X122" i="1"/>
  <c r="CE122" i="1" s="1"/>
  <c r="EA121" i="1"/>
  <c r="DV121" i="1"/>
  <c r="DR121" i="1"/>
  <c r="DP121" i="1"/>
  <c r="DQ121" i="1" s="1"/>
  <c r="DE121" i="1"/>
  <c r="DC121" i="1"/>
  <c r="DB121" i="1"/>
  <c r="DA121" i="1"/>
  <c r="CY121" i="1"/>
  <c r="CW121" i="1"/>
  <c r="CV121" i="1"/>
  <c r="CC121" i="1"/>
  <c r="CB121" i="1"/>
  <c r="CA121" i="1"/>
  <c r="BZ121" i="1"/>
  <c r="BY121" i="1"/>
  <c r="BX121" i="1"/>
  <c r="DU121" i="1" s="1"/>
  <c r="DW121" i="1" s="1"/>
  <c r="BW121" i="1"/>
  <c r="BV121" i="1"/>
  <c r="BU121" i="1"/>
  <c r="BS121" i="1"/>
  <c r="CU121" i="1" s="1"/>
  <c r="X121" i="1"/>
  <c r="CE121" i="1" s="1"/>
  <c r="EA120" i="1"/>
  <c r="DV120" i="1"/>
  <c r="DS120" i="1"/>
  <c r="DT120" i="1" s="1"/>
  <c r="DR120" i="1"/>
  <c r="DP120" i="1"/>
  <c r="DQ120" i="1" s="1"/>
  <c r="DH120" i="1"/>
  <c r="DI120" i="1" s="1"/>
  <c r="DE120" i="1"/>
  <c r="DD120" i="1"/>
  <c r="DC120" i="1"/>
  <c r="DF120" i="1" s="1"/>
  <c r="DB120" i="1"/>
  <c r="CY120" i="1"/>
  <c r="DA120" i="1" s="1"/>
  <c r="CW120" i="1"/>
  <c r="CV120" i="1"/>
  <c r="CC120" i="1"/>
  <c r="CB120" i="1"/>
  <c r="CA120" i="1"/>
  <c r="BZ120" i="1"/>
  <c r="BY120" i="1"/>
  <c r="BX120" i="1"/>
  <c r="DU120" i="1" s="1"/>
  <c r="DW120" i="1" s="1"/>
  <c r="BW120" i="1"/>
  <c r="BV120" i="1"/>
  <c r="BU120" i="1"/>
  <c r="BS120" i="1"/>
  <c r="CU120" i="1" s="1"/>
  <c r="X120" i="1"/>
  <c r="CE120" i="1" s="1"/>
  <c r="EA119" i="1"/>
  <c r="DV119" i="1"/>
  <c r="DU119" i="1"/>
  <c r="DR119" i="1"/>
  <c r="DP119" i="1"/>
  <c r="DE119" i="1"/>
  <c r="DD119" i="1"/>
  <c r="DC119" i="1"/>
  <c r="DB119" i="1"/>
  <c r="CW119" i="1"/>
  <c r="CV119" i="1"/>
  <c r="CU119" i="1"/>
  <c r="CC119" i="1"/>
  <c r="CB119" i="1"/>
  <c r="CA119" i="1"/>
  <c r="BZ119" i="1"/>
  <c r="BY119" i="1"/>
  <c r="BX119" i="1"/>
  <c r="BW119" i="1"/>
  <c r="BV119" i="1"/>
  <c r="BU119" i="1"/>
  <c r="BS119" i="1"/>
  <c r="X119" i="1"/>
  <c r="CE119" i="1" s="1"/>
  <c r="EA118" i="1"/>
  <c r="DV118" i="1"/>
  <c r="DU118" i="1"/>
  <c r="DW118" i="1" s="1"/>
  <c r="DR118" i="1"/>
  <c r="DS118" i="1" s="1"/>
  <c r="DP118" i="1"/>
  <c r="DF118" i="1"/>
  <c r="DE118" i="1"/>
  <c r="DD118" i="1"/>
  <c r="DB118" i="1"/>
  <c r="CW118" i="1"/>
  <c r="CV118" i="1"/>
  <c r="CC118" i="1"/>
  <c r="CD118" i="1" s="1"/>
  <c r="CB118" i="1"/>
  <c r="CA118" i="1"/>
  <c r="BZ118" i="1"/>
  <c r="BY118" i="1"/>
  <c r="BX118" i="1"/>
  <c r="BW118" i="1"/>
  <c r="BV118" i="1"/>
  <c r="BU118" i="1"/>
  <c r="BS118" i="1"/>
  <c r="CU118" i="1" s="1"/>
  <c r="X118" i="1"/>
  <c r="DC118" i="1" s="1"/>
  <c r="EQ117" i="1"/>
  <c r="EA117" i="1"/>
  <c r="DV117" i="1"/>
  <c r="DU117" i="1"/>
  <c r="DR117" i="1"/>
  <c r="DS117" i="1" s="1"/>
  <c r="DP117" i="1"/>
  <c r="DH117" i="1"/>
  <c r="DI117" i="1" s="1"/>
  <c r="DE117" i="1"/>
  <c r="DF117" i="1" s="1"/>
  <c r="DD117" i="1"/>
  <c r="DB117" i="1"/>
  <c r="CW117" i="1"/>
  <c r="CV117" i="1"/>
  <c r="CI117" i="1"/>
  <c r="CG117" i="1"/>
  <c r="CC117" i="1"/>
  <c r="CB117" i="1"/>
  <c r="CA117" i="1"/>
  <c r="BZ117" i="1"/>
  <c r="BY117" i="1"/>
  <c r="BX117" i="1"/>
  <c r="BW117" i="1"/>
  <c r="BV117" i="1"/>
  <c r="CD117" i="1" s="1"/>
  <c r="BU117" i="1"/>
  <c r="BS117" i="1"/>
  <c r="CU117" i="1" s="1"/>
  <c r="X117" i="1"/>
  <c r="DC117" i="1" s="1"/>
  <c r="EA116" i="1"/>
  <c r="DV116" i="1"/>
  <c r="DU116" i="1"/>
  <c r="DW116" i="1" s="1"/>
  <c r="DS116" i="1"/>
  <c r="DR116" i="1"/>
  <c r="DP116" i="1"/>
  <c r="DF116" i="1"/>
  <c r="DE116" i="1"/>
  <c r="DD116" i="1"/>
  <c r="CW116" i="1"/>
  <c r="CV116" i="1"/>
  <c r="CU116" i="1"/>
  <c r="CC116" i="1"/>
  <c r="CB116" i="1"/>
  <c r="CA116" i="1"/>
  <c r="BZ116" i="1"/>
  <c r="BY116" i="1"/>
  <c r="BX116" i="1"/>
  <c r="DB116" i="1" s="1"/>
  <c r="BW116" i="1"/>
  <c r="BV116" i="1"/>
  <c r="BU116" i="1"/>
  <c r="BS116" i="1"/>
  <c r="X116" i="1"/>
  <c r="DC116" i="1" s="1"/>
  <c r="EA115" i="1"/>
  <c r="DV115" i="1"/>
  <c r="DU115" i="1"/>
  <c r="DW115" i="1" s="1"/>
  <c r="DR115" i="1"/>
  <c r="DE115" i="1"/>
  <c r="DD115" i="1"/>
  <c r="CW115" i="1"/>
  <c r="CV115" i="1"/>
  <c r="CU115" i="1"/>
  <c r="CC115" i="1"/>
  <c r="CB115" i="1"/>
  <c r="CA115" i="1"/>
  <c r="BZ115" i="1"/>
  <c r="BY115" i="1"/>
  <c r="DS115" i="1" s="1"/>
  <c r="BX115" i="1"/>
  <c r="BW115" i="1"/>
  <c r="BV115" i="1"/>
  <c r="BU115" i="1"/>
  <c r="BS115" i="1"/>
  <c r="X115" i="1"/>
  <c r="CE115" i="1" s="1"/>
  <c r="EA114" i="1"/>
  <c r="DV114" i="1"/>
  <c r="DU114" i="1"/>
  <c r="DW114" i="1" s="1"/>
  <c r="DR114" i="1"/>
  <c r="DI114" i="1"/>
  <c r="DH114" i="1"/>
  <c r="DE114" i="1"/>
  <c r="CX114" i="1"/>
  <c r="CW114" i="1"/>
  <c r="CZ114" i="1" s="1"/>
  <c r="CV114" i="1"/>
  <c r="CC114" i="1"/>
  <c r="CB114" i="1"/>
  <c r="CA114" i="1"/>
  <c r="BZ114" i="1"/>
  <c r="BY114" i="1"/>
  <c r="BX114" i="1"/>
  <c r="DP114" i="1" s="1"/>
  <c r="BW114" i="1"/>
  <c r="BV114" i="1"/>
  <c r="BU114" i="1"/>
  <c r="BS114" i="1"/>
  <c r="CU114" i="1" s="1"/>
  <c r="X114" i="1"/>
  <c r="CE114" i="1" s="1"/>
  <c r="EA113" i="1"/>
  <c r="DV113" i="1"/>
  <c r="DS113" i="1"/>
  <c r="DR113" i="1"/>
  <c r="DE113" i="1"/>
  <c r="CY113" i="1"/>
  <c r="CW113" i="1"/>
  <c r="DA113" i="1" s="1"/>
  <c r="CV113" i="1"/>
  <c r="CC113" i="1"/>
  <c r="CB113" i="1"/>
  <c r="CA113" i="1"/>
  <c r="BZ113" i="1"/>
  <c r="BY113" i="1"/>
  <c r="DD113" i="1" s="1"/>
  <c r="BX113" i="1"/>
  <c r="BW113" i="1"/>
  <c r="BV113" i="1"/>
  <c r="BU113" i="1"/>
  <c r="BS113" i="1"/>
  <c r="CU113" i="1" s="1"/>
  <c r="X113" i="1"/>
  <c r="CE113" i="1" s="1"/>
  <c r="EA112" i="1"/>
  <c r="DV112" i="1"/>
  <c r="DR112" i="1"/>
  <c r="DE112" i="1"/>
  <c r="CY112" i="1"/>
  <c r="CX112" i="1"/>
  <c r="CZ112" i="1" s="1"/>
  <c r="CW112" i="1"/>
  <c r="CV112" i="1"/>
  <c r="DA112" i="1" s="1"/>
  <c r="CC112" i="1"/>
  <c r="CB112" i="1"/>
  <c r="CA112" i="1"/>
  <c r="BZ112" i="1"/>
  <c r="BY112" i="1"/>
  <c r="BX112" i="1"/>
  <c r="BW112" i="1"/>
  <c r="BV112" i="1"/>
  <c r="BU112" i="1"/>
  <c r="BS112" i="1"/>
  <c r="CU112" i="1" s="1"/>
  <c r="X112" i="1"/>
  <c r="CE112" i="1" s="1"/>
  <c r="EA111" i="1"/>
  <c r="DV111" i="1"/>
  <c r="DR111" i="1"/>
  <c r="DI111" i="1"/>
  <c r="DH111" i="1"/>
  <c r="DE111" i="1"/>
  <c r="CZ111" i="1"/>
  <c r="CY111" i="1"/>
  <c r="DA111" i="1" s="1"/>
  <c r="CW111" i="1"/>
  <c r="CV111" i="1"/>
  <c r="CC111" i="1"/>
  <c r="CB111" i="1"/>
  <c r="CA111" i="1"/>
  <c r="BZ111" i="1"/>
  <c r="BY111" i="1"/>
  <c r="BX111" i="1"/>
  <c r="BW111" i="1"/>
  <c r="BV111" i="1"/>
  <c r="BU111" i="1"/>
  <c r="BS111" i="1"/>
  <c r="CU111" i="1" s="1"/>
  <c r="CX111" i="1" s="1"/>
  <c r="X111" i="1"/>
  <c r="CE111" i="1" s="1"/>
  <c r="EA110" i="1"/>
  <c r="DV110" i="1"/>
  <c r="DR110" i="1"/>
  <c r="DE110" i="1"/>
  <c r="DB110" i="1"/>
  <c r="DA110" i="1"/>
  <c r="CZ110" i="1"/>
  <c r="CY110" i="1"/>
  <c r="CW110" i="1"/>
  <c r="CV110" i="1"/>
  <c r="CC110" i="1"/>
  <c r="CB110" i="1"/>
  <c r="CA110" i="1"/>
  <c r="BZ110" i="1"/>
  <c r="BY110" i="1"/>
  <c r="BX110" i="1"/>
  <c r="DU110" i="1" s="1"/>
  <c r="DW110" i="1" s="1"/>
  <c r="BW110" i="1"/>
  <c r="BV110" i="1"/>
  <c r="BU110" i="1"/>
  <c r="BS110" i="1"/>
  <c r="CU110" i="1" s="1"/>
  <c r="CX110" i="1" s="1"/>
  <c r="X110" i="1"/>
  <c r="CE110" i="1" s="1"/>
  <c r="EA109" i="1"/>
  <c r="DV109" i="1"/>
  <c r="DR109" i="1"/>
  <c r="DP109" i="1"/>
  <c r="DM109" i="1"/>
  <c r="DL109" i="1"/>
  <c r="DK109" i="1"/>
  <c r="DI109" i="1"/>
  <c r="DJ109" i="1" s="1"/>
  <c r="DN109" i="1" s="1"/>
  <c r="DH109" i="1"/>
  <c r="DE109" i="1"/>
  <c r="DC109" i="1"/>
  <c r="DB109" i="1"/>
  <c r="DA109" i="1"/>
  <c r="CY109" i="1"/>
  <c r="CW109" i="1"/>
  <c r="CV109" i="1"/>
  <c r="CC109" i="1"/>
  <c r="CB109" i="1"/>
  <c r="CA109" i="1"/>
  <c r="BZ109" i="1"/>
  <c r="BY109" i="1"/>
  <c r="DS109" i="1" s="1"/>
  <c r="BX109" i="1"/>
  <c r="DU109" i="1" s="1"/>
  <c r="BW109" i="1"/>
  <c r="BV109" i="1"/>
  <c r="BU109" i="1"/>
  <c r="BS109" i="1"/>
  <c r="CU109" i="1" s="1"/>
  <c r="X109" i="1"/>
  <c r="CE109" i="1" s="1"/>
  <c r="EA108" i="1"/>
  <c r="DV108" i="1"/>
  <c r="DS108" i="1"/>
  <c r="DT108" i="1" s="1"/>
  <c r="DR108" i="1"/>
  <c r="DP108" i="1"/>
  <c r="DQ108" i="1" s="1"/>
  <c r="DH108" i="1"/>
  <c r="DI108" i="1" s="1"/>
  <c r="DE108" i="1"/>
  <c r="DD108" i="1"/>
  <c r="DC108" i="1"/>
  <c r="DF108" i="1" s="1"/>
  <c r="DB108" i="1"/>
  <c r="CY108" i="1"/>
  <c r="DA108" i="1" s="1"/>
  <c r="CW108" i="1"/>
  <c r="CV108" i="1"/>
  <c r="CE108" i="1"/>
  <c r="CC108" i="1"/>
  <c r="CB108" i="1"/>
  <c r="CA108" i="1"/>
  <c r="BZ108" i="1"/>
  <c r="BY108" i="1"/>
  <c r="BX108" i="1"/>
  <c r="DU108" i="1" s="1"/>
  <c r="DW108" i="1" s="1"/>
  <c r="BW108" i="1"/>
  <c r="BV108" i="1"/>
  <c r="BU108" i="1"/>
  <c r="BS108" i="1"/>
  <c r="CU108" i="1" s="1"/>
  <c r="X108" i="1"/>
  <c r="EA107" i="1"/>
  <c r="DV107" i="1"/>
  <c r="DU107" i="1"/>
  <c r="DW107" i="1" s="1"/>
  <c r="DR107" i="1"/>
  <c r="DP107" i="1"/>
  <c r="DQ107" i="1" s="1"/>
  <c r="DE107" i="1"/>
  <c r="DF107" i="1" s="1"/>
  <c r="DD107" i="1"/>
  <c r="DC107" i="1"/>
  <c r="DB107" i="1"/>
  <c r="CW107" i="1"/>
  <c r="CV107" i="1"/>
  <c r="CU107" i="1"/>
  <c r="CC107" i="1"/>
  <c r="CB107" i="1"/>
  <c r="CD107" i="1" s="1"/>
  <c r="CA107" i="1"/>
  <c r="BZ107" i="1"/>
  <c r="BY107" i="1"/>
  <c r="DS107" i="1" s="1"/>
  <c r="BX107" i="1"/>
  <c r="BW107" i="1"/>
  <c r="BV107" i="1"/>
  <c r="BU107" i="1"/>
  <c r="BS107" i="1"/>
  <c r="X107" i="1"/>
  <c r="EA106" i="1"/>
  <c r="DV106" i="1"/>
  <c r="DU106" i="1"/>
  <c r="DS106" i="1"/>
  <c r="DR106" i="1"/>
  <c r="DP106" i="1"/>
  <c r="DE106" i="1"/>
  <c r="DF106" i="1" s="1"/>
  <c r="DD106" i="1"/>
  <c r="DB106" i="1"/>
  <c r="CW106" i="1"/>
  <c r="CV106" i="1"/>
  <c r="CC106" i="1"/>
  <c r="CB106" i="1"/>
  <c r="CA106" i="1"/>
  <c r="BZ106" i="1"/>
  <c r="BY106" i="1"/>
  <c r="BX106" i="1"/>
  <c r="BW106" i="1"/>
  <c r="BV106" i="1"/>
  <c r="BU106" i="1"/>
  <c r="BS106" i="1"/>
  <c r="CU106" i="1" s="1"/>
  <c r="X106" i="1"/>
  <c r="DC106" i="1" s="1"/>
  <c r="EA105" i="1"/>
  <c r="DV105" i="1"/>
  <c r="DU105" i="1"/>
  <c r="DR105" i="1"/>
  <c r="DS105" i="1" s="1"/>
  <c r="DP105" i="1"/>
  <c r="DH105" i="1"/>
  <c r="DI105" i="1" s="1"/>
  <c r="DE105" i="1"/>
  <c r="DF105" i="1" s="1"/>
  <c r="CD105" i="1" s="1"/>
  <c r="DD105" i="1"/>
  <c r="DB105" i="1"/>
  <c r="CW105" i="1"/>
  <c r="CV105" i="1"/>
  <c r="CU105" i="1"/>
  <c r="CC105" i="1"/>
  <c r="CB105" i="1"/>
  <c r="CA105" i="1"/>
  <c r="BZ105" i="1"/>
  <c r="BY105" i="1"/>
  <c r="BX105" i="1"/>
  <c r="BW105" i="1"/>
  <c r="BV105" i="1"/>
  <c r="BU105" i="1"/>
  <c r="BS105" i="1"/>
  <c r="X105" i="1"/>
  <c r="DC105" i="1" s="1"/>
  <c r="EA104" i="1"/>
  <c r="DV104" i="1"/>
  <c r="DU104" i="1"/>
  <c r="DW104" i="1" s="1"/>
  <c r="DS104" i="1"/>
  <c r="DR104" i="1"/>
  <c r="DP104" i="1"/>
  <c r="DE104" i="1"/>
  <c r="DD104" i="1"/>
  <c r="CW104" i="1"/>
  <c r="CV104" i="1"/>
  <c r="CC104" i="1"/>
  <c r="CB104" i="1"/>
  <c r="CA104" i="1"/>
  <c r="BZ104" i="1"/>
  <c r="BY104" i="1"/>
  <c r="BX104" i="1"/>
  <c r="DB104" i="1" s="1"/>
  <c r="BW104" i="1"/>
  <c r="BV104" i="1"/>
  <c r="BU104" i="1"/>
  <c r="BS104" i="1"/>
  <c r="CU104" i="1" s="1"/>
  <c r="X104" i="1"/>
  <c r="EA103" i="1"/>
  <c r="DV103" i="1"/>
  <c r="DR103" i="1"/>
  <c r="DE103" i="1"/>
  <c r="DD103" i="1"/>
  <c r="CW103" i="1"/>
  <c r="CV103" i="1"/>
  <c r="CC103" i="1"/>
  <c r="CB103" i="1"/>
  <c r="CA103" i="1"/>
  <c r="BZ103" i="1"/>
  <c r="BY103" i="1"/>
  <c r="DS103" i="1" s="1"/>
  <c r="BX103" i="1"/>
  <c r="BW103" i="1"/>
  <c r="BV103" i="1"/>
  <c r="BU103" i="1"/>
  <c r="BS103" i="1"/>
  <c r="CU103" i="1" s="1"/>
  <c r="X103" i="1"/>
  <c r="CE103" i="1" s="1"/>
  <c r="EA102" i="1"/>
  <c r="DW102" i="1"/>
  <c r="DV102" i="1"/>
  <c r="DU102" i="1"/>
  <c r="DR102" i="1"/>
  <c r="DI102" i="1"/>
  <c r="DH102" i="1"/>
  <c r="DE102" i="1"/>
  <c r="CW102" i="1"/>
  <c r="CV102" i="1"/>
  <c r="CC102" i="1"/>
  <c r="CB102" i="1"/>
  <c r="CA102" i="1"/>
  <c r="BZ102" i="1"/>
  <c r="BY102" i="1"/>
  <c r="BX102" i="1"/>
  <c r="DP102" i="1" s="1"/>
  <c r="BW102" i="1"/>
  <c r="BV102" i="1"/>
  <c r="BU102" i="1"/>
  <c r="BS102" i="1"/>
  <c r="CU102" i="1" s="1"/>
  <c r="X102" i="1"/>
  <c r="CE102" i="1" s="1"/>
  <c r="EA101" i="1"/>
  <c r="DV101" i="1"/>
  <c r="DS101" i="1"/>
  <c r="DT101" i="1" s="1"/>
  <c r="DR101" i="1"/>
  <c r="DE101" i="1"/>
  <c r="CY101" i="1"/>
  <c r="DA101" i="1" s="1"/>
  <c r="CW101" i="1"/>
  <c r="CV101" i="1"/>
  <c r="CC101" i="1"/>
  <c r="CB101" i="1"/>
  <c r="CA101" i="1"/>
  <c r="BZ101" i="1"/>
  <c r="BY101" i="1"/>
  <c r="DD101" i="1" s="1"/>
  <c r="BX101" i="1"/>
  <c r="BW101" i="1"/>
  <c r="BV101" i="1"/>
  <c r="BU101" i="1"/>
  <c r="BS101" i="1"/>
  <c r="CU101" i="1" s="1"/>
  <c r="X101" i="1"/>
  <c r="CE101" i="1" s="1"/>
  <c r="EA100" i="1"/>
  <c r="DV100" i="1"/>
  <c r="DR100" i="1"/>
  <c r="DE100" i="1"/>
  <c r="DB100" i="1"/>
  <c r="CY100" i="1"/>
  <c r="CW100" i="1"/>
  <c r="CV100" i="1"/>
  <c r="CC100" i="1"/>
  <c r="CB100" i="1"/>
  <c r="CA100" i="1"/>
  <c r="BZ100" i="1"/>
  <c r="BY100" i="1"/>
  <c r="BX100" i="1"/>
  <c r="BW100" i="1"/>
  <c r="BV100" i="1"/>
  <c r="BU100" i="1"/>
  <c r="BS100" i="1"/>
  <c r="CU100" i="1" s="1"/>
  <c r="X100" i="1"/>
  <c r="CE100" i="1" s="1"/>
  <c r="EA99" i="1"/>
  <c r="DV99" i="1"/>
  <c r="DR99" i="1"/>
  <c r="DP99" i="1"/>
  <c r="DI99" i="1"/>
  <c r="DH99" i="1"/>
  <c r="DE99" i="1"/>
  <c r="DC99" i="1"/>
  <c r="CY99" i="1"/>
  <c r="DA99" i="1" s="1"/>
  <c r="CW99" i="1"/>
  <c r="CV99" i="1"/>
  <c r="CC99" i="1"/>
  <c r="CB99" i="1"/>
  <c r="CA99" i="1"/>
  <c r="BZ99" i="1"/>
  <c r="BY99" i="1"/>
  <c r="BX99" i="1"/>
  <c r="BW99" i="1"/>
  <c r="BV99" i="1"/>
  <c r="BU99" i="1"/>
  <c r="BS99" i="1"/>
  <c r="CU99" i="1" s="1"/>
  <c r="X99" i="1"/>
  <c r="CE99" i="1" s="1"/>
  <c r="EA98" i="1"/>
  <c r="DV98" i="1"/>
  <c r="DR98" i="1"/>
  <c r="DE98" i="1"/>
  <c r="DD98" i="1"/>
  <c r="DB98" i="1"/>
  <c r="DA98" i="1"/>
  <c r="CY98" i="1"/>
  <c r="CW98" i="1"/>
  <c r="CV98" i="1"/>
  <c r="CC98" i="1"/>
  <c r="CB98" i="1"/>
  <c r="CA98" i="1"/>
  <c r="BZ98" i="1"/>
  <c r="BY98" i="1"/>
  <c r="DS98" i="1" s="1"/>
  <c r="BX98" i="1"/>
  <c r="DU98" i="1" s="1"/>
  <c r="DW98" i="1" s="1"/>
  <c r="BW98" i="1"/>
  <c r="BV98" i="1"/>
  <c r="BU98" i="1"/>
  <c r="BS98" i="1"/>
  <c r="CU98" i="1" s="1"/>
  <c r="X98" i="1"/>
  <c r="CE98" i="1" s="1"/>
  <c r="EA97" i="1"/>
  <c r="DV97" i="1"/>
  <c r="DR97" i="1"/>
  <c r="DP97" i="1"/>
  <c r="DE97" i="1"/>
  <c r="DC97" i="1"/>
  <c r="DB97" i="1"/>
  <c r="DA97" i="1"/>
  <c r="CY97" i="1"/>
  <c r="CW97" i="1"/>
  <c r="CV97" i="1"/>
  <c r="CC97" i="1"/>
  <c r="CB97" i="1"/>
  <c r="CA97" i="1"/>
  <c r="BZ97" i="1"/>
  <c r="BY97" i="1"/>
  <c r="BX97" i="1"/>
  <c r="DU97" i="1" s="1"/>
  <c r="BW97" i="1"/>
  <c r="BV97" i="1"/>
  <c r="BU97" i="1"/>
  <c r="BS97" i="1"/>
  <c r="CU97" i="1" s="1"/>
  <c r="X97" i="1"/>
  <c r="CE97" i="1" s="1"/>
  <c r="EA96" i="1"/>
  <c r="DV96" i="1"/>
  <c r="DS96" i="1"/>
  <c r="DR96" i="1"/>
  <c r="DP96" i="1"/>
  <c r="DH96" i="1"/>
  <c r="DI96" i="1" s="1"/>
  <c r="DE96" i="1"/>
  <c r="DD96" i="1"/>
  <c r="DC96" i="1"/>
  <c r="DF96" i="1" s="1"/>
  <c r="DB96" i="1"/>
  <c r="CY96" i="1"/>
  <c r="DA96" i="1" s="1"/>
  <c r="CW96" i="1"/>
  <c r="CV96" i="1"/>
  <c r="CE96" i="1"/>
  <c r="CC96" i="1"/>
  <c r="CB96" i="1"/>
  <c r="CA96" i="1"/>
  <c r="BZ96" i="1"/>
  <c r="BY96" i="1"/>
  <c r="BX96" i="1"/>
  <c r="DU96" i="1" s="1"/>
  <c r="DW96" i="1" s="1"/>
  <c r="BW96" i="1"/>
  <c r="BV96" i="1"/>
  <c r="BU96" i="1"/>
  <c r="BS96" i="1"/>
  <c r="CU96" i="1" s="1"/>
  <c r="X96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V95" i="1"/>
  <c r="DU95" i="1"/>
  <c r="DR95" i="1"/>
  <c r="DP95" i="1"/>
  <c r="DE95" i="1"/>
  <c r="DD95" i="1"/>
  <c r="DC95" i="1"/>
  <c r="CW95" i="1"/>
  <c r="CV95" i="1"/>
  <c r="CU95" i="1"/>
  <c r="CQ95" i="1"/>
  <c r="CK95" i="1"/>
  <c r="CJ95" i="1"/>
  <c r="CI95" i="1"/>
  <c r="CH95" i="1"/>
  <c r="CG95" i="1"/>
  <c r="CE95" i="1"/>
  <c r="CC95" i="1"/>
  <c r="CB95" i="1"/>
  <c r="CA95" i="1"/>
  <c r="BZ95" i="1"/>
  <c r="BY95" i="1"/>
  <c r="BX95" i="1"/>
  <c r="DB95" i="1" s="1"/>
  <c r="BW95" i="1"/>
  <c r="BV95" i="1"/>
  <c r="BU95" i="1"/>
  <c r="BS95" i="1"/>
  <c r="X95" i="1"/>
  <c r="EA94" i="1"/>
  <c r="DV94" i="1"/>
  <c r="DS94" i="1"/>
  <c r="DR94" i="1"/>
  <c r="DP94" i="1"/>
  <c r="DE94" i="1"/>
  <c r="DD94" i="1"/>
  <c r="DB94" i="1"/>
  <c r="CY94" i="1"/>
  <c r="DA94" i="1" s="1"/>
  <c r="CW94" i="1"/>
  <c r="CV94" i="1"/>
  <c r="CE94" i="1"/>
  <c r="CC94" i="1"/>
  <c r="CB94" i="1"/>
  <c r="CA94" i="1"/>
  <c r="BZ94" i="1"/>
  <c r="BY94" i="1"/>
  <c r="BX94" i="1"/>
  <c r="DU94" i="1" s="1"/>
  <c r="DW94" i="1" s="1"/>
  <c r="BW94" i="1"/>
  <c r="BV94" i="1"/>
  <c r="BU94" i="1"/>
  <c r="BS94" i="1"/>
  <c r="CU94" i="1" s="1"/>
  <c r="X94" i="1"/>
  <c r="DC94" i="1" s="1"/>
  <c r="DF94" i="1" s="1"/>
  <c r="EQ93" i="1"/>
  <c r="EA93" i="1"/>
  <c r="DV93" i="1"/>
  <c r="DU93" i="1"/>
  <c r="DR93" i="1"/>
  <c r="DP93" i="1"/>
  <c r="DH93" i="1"/>
  <c r="DI93" i="1" s="1"/>
  <c r="DE93" i="1"/>
  <c r="DF93" i="1" s="1"/>
  <c r="DD93" i="1"/>
  <c r="DC93" i="1"/>
  <c r="DB93" i="1"/>
  <c r="CW93" i="1"/>
  <c r="CV93" i="1"/>
  <c r="CC93" i="1"/>
  <c r="CD93" i="1" s="1"/>
  <c r="CB93" i="1"/>
  <c r="CA93" i="1"/>
  <c r="BZ93" i="1"/>
  <c r="BY93" i="1"/>
  <c r="BX93" i="1"/>
  <c r="BW93" i="1"/>
  <c r="BV93" i="1"/>
  <c r="BU93" i="1"/>
  <c r="BS93" i="1"/>
  <c r="CU93" i="1" s="1"/>
  <c r="X93" i="1"/>
  <c r="EA92" i="1"/>
  <c r="DV92" i="1"/>
  <c r="DU92" i="1"/>
  <c r="DW92" i="1" s="1"/>
  <c r="DS92" i="1"/>
  <c r="DR92" i="1"/>
  <c r="DE92" i="1"/>
  <c r="DD92" i="1"/>
  <c r="DA92" i="1"/>
  <c r="CW92" i="1"/>
  <c r="CV92" i="1"/>
  <c r="CE92" i="1"/>
  <c r="CC92" i="1"/>
  <c r="CB92" i="1"/>
  <c r="CA92" i="1"/>
  <c r="BZ92" i="1"/>
  <c r="BY92" i="1"/>
  <c r="BX92" i="1"/>
  <c r="DP92" i="1" s="1"/>
  <c r="BW92" i="1"/>
  <c r="BV92" i="1"/>
  <c r="BU92" i="1"/>
  <c r="BS92" i="1"/>
  <c r="CU92" i="1" s="1"/>
  <c r="CZ92" i="1" s="1"/>
  <c r="X92" i="1"/>
  <c r="EA91" i="1"/>
  <c r="DV91" i="1"/>
  <c r="DU91" i="1"/>
  <c r="DW91" i="1" s="1"/>
  <c r="DR91" i="1"/>
  <c r="DP91" i="1"/>
  <c r="DE91" i="1"/>
  <c r="DD91" i="1"/>
  <c r="DC91" i="1"/>
  <c r="DB91" i="1"/>
  <c r="CW91" i="1"/>
  <c r="CV91" i="1"/>
  <c r="CU91" i="1"/>
  <c r="CC91" i="1"/>
  <c r="CB91" i="1"/>
  <c r="CA91" i="1"/>
  <c r="BZ91" i="1"/>
  <c r="BY91" i="1"/>
  <c r="DS91" i="1" s="1"/>
  <c r="BX91" i="1"/>
  <c r="BW91" i="1"/>
  <c r="BV91" i="1"/>
  <c r="BU91" i="1"/>
  <c r="BS91" i="1"/>
  <c r="X91" i="1"/>
  <c r="CE91" i="1" s="1"/>
  <c r="EA90" i="1"/>
  <c r="DV90" i="1"/>
  <c r="DU90" i="1"/>
  <c r="DR90" i="1"/>
  <c r="DS90" i="1" s="1"/>
  <c r="DP90" i="1"/>
  <c r="DI90" i="1"/>
  <c r="DH90" i="1"/>
  <c r="DE90" i="1"/>
  <c r="DF90" i="1" s="1"/>
  <c r="DD90" i="1"/>
  <c r="DB90" i="1"/>
  <c r="CW90" i="1"/>
  <c r="CV90" i="1"/>
  <c r="CC90" i="1"/>
  <c r="CB90" i="1"/>
  <c r="CA90" i="1"/>
  <c r="BZ90" i="1"/>
  <c r="BY90" i="1"/>
  <c r="BX90" i="1"/>
  <c r="BW90" i="1"/>
  <c r="BV90" i="1"/>
  <c r="BU90" i="1"/>
  <c r="CD90" i="1" s="1"/>
  <c r="BS90" i="1"/>
  <c r="CU90" i="1" s="1"/>
  <c r="X90" i="1"/>
  <c r="DC90" i="1" s="1"/>
  <c r="EA89" i="1"/>
  <c r="DV89" i="1"/>
  <c r="DU89" i="1"/>
  <c r="DR89" i="1"/>
  <c r="DS89" i="1" s="1"/>
  <c r="DP89" i="1"/>
  <c r="DE89" i="1"/>
  <c r="DF89" i="1" s="1"/>
  <c r="CD89" i="1" s="1"/>
  <c r="DD89" i="1"/>
  <c r="DB89" i="1"/>
  <c r="CW89" i="1"/>
  <c r="CV89" i="1"/>
  <c r="CC89" i="1"/>
  <c r="CB89" i="1"/>
  <c r="CA89" i="1"/>
  <c r="BZ89" i="1"/>
  <c r="BY89" i="1"/>
  <c r="BX89" i="1"/>
  <c r="BW89" i="1"/>
  <c r="BV89" i="1"/>
  <c r="BU89" i="1"/>
  <c r="BS89" i="1"/>
  <c r="CU89" i="1" s="1"/>
  <c r="X89" i="1"/>
  <c r="DC89" i="1" s="1"/>
  <c r="EA88" i="1"/>
  <c r="DV88" i="1"/>
  <c r="DU88" i="1"/>
  <c r="DW88" i="1" s="1"/>
  <c r="DS88" i="1"/>
  <c r="DR88" i="1"/>
  <c r="DP88" i="1"/>
  <c r="DE88" i="1"/>
  <c r="DD88" i="1"/>
  <c r="CW88" i="1"/>
  <c r="CV88" i="1"/>
  <c r="CC88" i="1"/>
  <c r="CB88" i="1"/>
  <c r="CA88" i="1"/>
  <c r="BZ88" i="1"/>
  <c r="BY88" i="1"/>
  <c r="BX88" i="1"/>
  <c r="DB88" i="1" s="1"/>
  <c r="BW88" i="1"/>
  <c r="BV88" i="1"/>
  <c r="BU88" i="1"/>
  <c r="BS88" i="1"/>
  <c r="CU88" i="1" s="1"/>
  <c r="X88" i="1"/>
  <c r="EA87" i="1"/>
  <c r="DV87" i="1"/>
  <c r="DR87" i="1"/>
  <c r="DH87" i="1"/>
  <c r="DI87" i="1" s="1"/>
  <c r="DE87" i="1"/>
  <c r="DD87" i="1"/>
  <c r="CW87" i="1"/>
  <c r="CV87" i="1"/>
  <c r="CC87" i="1"/>
  <c r="CB87" i="1"/>
  <c r="CA87" i="1"/>
  <c r="BZ87" i="1"/>
  <c r="BY87" i="1"/>
  <c r="DS87" i="1" s="1"/>
  <c r="BX87" i="1"/>
  <c r="DU87" i="1" s="1"/>
  <c r="DW87" i="1" s="1"/>
  <c r="BW87" i="1"/>
  <c r="BV87" i="1"/>
  <c r="BU87" i="1"/>
  <c r="BS87" i="1"/>
  <c r="CU87" i="1" s="1"/>
  <c r="X87" i="1"/>
  <c r="CE87" i="1" s="1"/>
  <c r="EA86" i="1"/>
  <c r="DW86" i="1"/>
  <c r="DV86" i="1"/>
  <c r="DU86" i="1"/>
  <c r="DR86" i="1"/>
  <c r="DE86" i="1"/>
  <c r="CW86" i="1"/>
  <c r="CV86" i="1"/>
  <c r="CC86" i="1"/>
  <c r="CB86" i="1"/>
  <c r="CA86" i="1"/>
  <c r="BZ86" i="1"/>
  <c r="BY86" i="1"/>
  <c r="BX86" i="1"/>
  <c r="DP86" i="1" s="1"/>
  <c r="BW86" i="1"/>
  <c r="BV86" i="1"/>
  <c r="BU86" i="1"/>
  <c r="BS86" i="1"/>
  <c r="CU86" i="1" s="1"/>
  <c r="X86" i="1"/>
  <c r="CE86" i="1" s="1"/>
  <c r="EA85" i="1"/>
  <c r="DV85" i="1"/>
  <c r="DS85" i="1"/>
  <c r="DR85" i="1"/>
  <c r="DI85" i="1"/>
  <c r="DH85" i="1"/>
  <c r="DE85" i="1"/>
  <c r="CY85" i="1"/>
  <c r="CW85" i="1"/>
  <c r="DA85" i="1" s="1"/>
  <c r="CV85" i="1"/>
  <c r="CC85" i="1"/>
  <c r="CB85" i="1"/>
  <c r="CA85" i="1"/>
  <c r="BZ85" i="1"/>
  <c r="BY85" i="1"/>
  <c r="DD85" i="1" s="1"/>
  <c r="BX85" i="1"/>
  <c r="BW85" i="1"/>
  <c r="BV85" i="1"/>
  <c r="BU85" i="1"/>
  <c r="BS85" i="1"/>
  <c r="CU85" i="1" s="1"/>
  <c r="X85" i="1"/>
  <c r="CE85" i="1" s="1"/>
  <c r="EA84" i="1"/>
  <c r="DV84" i="1"/>
  <c r="DR84" i="1"/>
  <c r="DE84" i="1"/>
  <c r="CY84" i="1"/>
  <c r="DA84" i="1" s="1"/>
  <c r="CW84" i="1"/>
  <c r="CV84" i="1"/>
  <c r="CC84" i="1"/>
  <c r="CB84" i="1"/>
  <c r="CA84" i="1"/>
  <c r="BZ84" i="1"/>
  <c r="BY84" i="1"/>
  <c r="BX84" i="1"/>
  <c r="BW84" i="1"/>
  <c r="BV84" i="1"/>
  <c r="BU84" i="1"/>
  <c r="BS84" i="1"/>
  <c r="CU84" i="1" s="1"/>
  <c r="X84" i="1"/>
  <c r="EA83" i="1"/>
  <c r="DV83" i="1"/>
  <c r="DR83" i="1"/>
  <c r="DP83" i="1"/>
  <c r="DQ83" i="1" s="1"/>
  <c r="DE83" i="1"/>
  <c r="DC83" i="1"/>
  <c r="CZ83" i="1"/>
  <c r="CY83" i="1"/>
  <c r="DA83" i="1" s="1"/>
  <c r="CW83" i="1"/>
  <c r="CV83" i="1"/>
  <c r="CC83" i="1"/>
  <c r="CB83" i="1"/>
  <c r="CA83" i="1"/>
  <c r="BZ83" i="1"/>
  <c r="BY83" i="1"/>
  <c r="BX83" i="1"/>
  <c r="DB83" i="1" s="1"/>
  <c r="BW83" i="1"/>
  <c r="BV83" i="1"/>
  <c r="BU83" i="1"/>
  <c r="BS83" i="1"/>
  <c r="CU83" i="1" s="1"/>
  <c r="CX83" i="1" s="1"/>
  <c r="X83" i="1"/>
  <c r="CE83" i="1" s="1"/>
  <c r="EA82" i="1"/>
  <c r="DV82" i="1"/>
  <c r="DR82" i="1"/>
  <c r="DP82" i="1"/>
  <c r="DH82" i="1"/>
  <c r="DI82" i="1" s="1"/>
  <c r="DE82" i="1"/>
  <c r="DC82" i="1"/>
  <c r="DB82" i="1"/>
  <c r="CY82" i="1"/>
  <c r="CW82" i="1"/>
  <c r="CV82" i="1"/>
  <c r="CC82" i="1"/>
  <c r="CB82" i="1"/>
  <c r="CA82" i="1"/>
  <c r="BZ82" i="1"/>
  <c r="BY82" i="1"/>
  <c r="DS82" i="1" s="1"/>
  <c r="BX82" i="1"/>
  <c r="DU82" i="1" s="1"/>
  <c r="DW82" i="1" s="1"/>
  <c r="BW82" i="1"/>
  <c r="BV82" i="1"/>
  <c r="BU82" i="1"/>
  <c r="BS82" i="1"/>
  <c r="CU82" i="1" s="1"/>
  <c r="CX82" i="1" s="1"/>
  <c r="X82" i="1"/>
  <c r="CE82" i="1" s="1"/>
  <c r="EA81" i="1"/>
  <c r="DW81" i="1"/>
  <c r="DV81" i="1"/>
  <c r="DR81" i="1"/>
  <c r="DS81" i="1" s="1"/>
  <c r="DP81" i="1"/>
  <c r="DE81" i="1"/>
  <c r="DD81" i="1"/>
  <c r="DC81" i="1"/>
  <c r="DB81" i="1"/>
  <c r="DA81" i="1"/>
  <c r="CY81" i="1"/>
  <c r="CW81" i="1"/>
  <c r="CV81" i="1"/>
  <c r="CC81" i="1"/>
  <c r="CB81" i="1"/>
  <c r="CA81" i="1"/>
  <c r="BZ81" i="1"/>
  <c r="BY81" i="1"/>
  <c r="BX81" i="1"/>
  <c r="DU81" i="1" s="1"/>
  <c r="BW81" i="1"/>
  <c r="BV81" i="1"/>
  <c r="BU81" i="1"/>
  <c r="BS81" i="1"/>
  <c r="CU81" i="1" s="1"/>
  <c r="X81" i="1"/>
  <c r="CE81" i="1" s="1"/>
  <c r="EA80" i="1"/>
  <c r="DV80" i="1"/>
  <c r="DS80" i="1"/>
  <c r="DT80" i="1" s="1"/>
  <c r="DR80" i="1"/>
  <c r="DE80" i="1"/>
  <c r="DD80" i="1"/>
  <c r="CY80" i="1"/>
  <c r="DA80" i="1" s="1"/>
  <c r="CW80" i="1"/>
  <c r="CV80" i="1"/>
  <c r="CE80" i="1"/>
  <c r="CC80" i="1"/>
  <c r="CB80" i="1"/>
  <c r="CA80" i="1"/>
  <c r="BZ80" i="1"/>
  <c r="BY80" i="1"/>
  <c r="BX80" i="1"/>
  <c r="BW80" i="1"/>
  <c r="BV80" i="1"/>
  <c r="BU80" i="1"/>
  <c r="BS80" i="1"/>
  <c r="CU80" i="1" s="1"/>
  <c r="X80" i="1"/>
  <c r="EA79" i="1"/>
  <c r="DV79" i="1"/>
  <c r="DU79" i="1"/>
  <c r="DW79" i="1" s="1"/>
  <c r="DR79" i="1"/>
  <c r="DP79" i="1"/>
  <c r="DQ79" i="1" s="1"/>
  <c r="DH79" i="1"/>
  <c r="DI79" i="1" s="1"/>
  <c r="DE79" i="1"/>
  <c r="DC79" i="1"/>
  <c r="DB79" i="1"/>
  <c r="CW79" i="1"/>
  <c r="CV79" i="1"/>
  <c r="CC79" i="1"/>
  <c r="CB79" i="1"/>
  <c r="CA79" i="1"/>
  <c r="BZ79" i="1"/>
  <c r="BY79" i="1"/>
  <c r="DS79" i="1" s="1"/>
  <c r="DT79" i="1" s="1"/>
  <c r="BX79" i="1"/>
  <c r="BW79" i="1"/>
  <c r="BV79" i="1"/>
  <c r="BU79" i="1"/>
  <c r="BS79" i="1"/>
  <c r="CU79" i="1" s="1"/>
  <c r="X79" i="1"/>
  <c r="CE79" i="1" s="1"/>
  <c r="EA78" i="1"/>
  <c r="DV78" i="1"/>
  <c r="DU78" i="1"/>
  <c r="DW78" i="1" s="1"/>
  <c r="DS78" i="1"/>
  <c r="DR78" i="1"/>
  <c r="DP78" i="1"/>
  <c r="DE78" i="1"/>
  <c r="DD78" i="1"/>
  <c r="DB78" i="1"/>
  <c r="CW78" i="1"/>
  <c r="CV78" i="1"/>
  <c r="CC78" i="1"/>
  <c r="CB78" i="1"/>
  <c r="CA78" i="1"/>
  <c r="BZ78" i="1"/>
  <c r="BY78" i="1"/>
  <c r="BX78" i="1"/>
  <c r="BW78" i="1"/>
  <c r="BV78" i="1"/>
  <c r="BU78" i="1"/>
  <c r="BS78" i="1"/>
  <c r="CU78" i="1" s="1"/>
  <c r="X78" i="1"/>
  <c r="DC78" i="1" s="1"/>
  <c r="DF78" i="1" s="1"/>
  <c r="EA77" i="1"/>
  <c r="DV77" i="1"/>
  <c r="DU77" i="1"/>
  <c r="DR77" i="1"/>
  <c r="DS77" i="1" s="1"/>
  <c r="DP77" i="1"/>
  <c r="DE77" i="1"/>
  <c r="DF77" i="1" s="1"/>
  <c r="DD77" i="1"/>
  <c r="DB77" i="1"/>
  <c r="CW77" i="1"/>
  <c r="CV77" i="1"/>
  <c r="CC77" i="1"/>
  <c r="CB77" i="1"/>
  <c r="CA77" i="1"/>
  <c r="BZ77" i="1"/>
  <c r="BY77" i="1"/>
  <c r="BX77" i="1"/>
  <c r="BW77" i="1"/>
  <c r="BV77" i="1"/>
  <c r="CD77" i="1" s="1"/>
  <c r="EG77" i="1" s="1"/>
  <c r="BU77" i="1"/>
  <c r="BS77" i="1"/>
  <c r="CU77" i="1" s="1"/>
  <c r="X77" i="1"/>
  <c r="DC77" i="1" s="1"/>
  <c r="EA76" i="1"/>
  <c r="DV76" i="1"/>
  <c r="DU76" i="1"/>
  <c r="DW76" i="1" s="1"/>
  <c r="DS76" i="1"/>
  <c r="DR76" i="1"/>
  <c r="DP76" i="1"/>
  <c r="DE76" i="1"/>
  <c r="DD76" i="1"/>
  <c r="DC76" i="1"/>
  <c r="DF76" i="1" s="1"/>
  <c r="CX76" i="1"/>
  <c r="CW76" i="1"/>
  <c r="CV76" i="1"/>
  <c r="CU76" i="1"/>
  <c r="CE76" i="1"/>
  <c r="CC76" i="1"/>
  <c r="CB76" i="1"/>
  <c r="CA76" i="1"/>
  <c r="BZ76" i="1"/>
  <c r="BY76" i="1"/>
  <c r="BX76" i="1"/>
  <c r="DB76" i="1" s="1"/>
  <c r="BW76" i="1"/>
  <c r="BV76" i="1"/>
  <c r="BU76" i="1"/>
  <c r="BS76" i="1"/>
  <c r="X76" i="1"/>
  <c r="EA75" i="1"/>
  <c r="DV75" i="1"/>
  <c r="DR75" i="1"/>
  <c r="DE75" i="1"/>
  <c r="DD75" i="1"/>
  <c r="CW75" i="1"/>
  <c r="CV75" i="1"/>
  <c r="CY75" i="1" s="1"/>
  <c r="CC75" i="1"/>
  <c r="CB75" i="1"/>
  <c r="CA75" i="1"/>
  <c r="BZ75" i="1"/>
  <c r="BY75" i="1"/>
  <c r="DS75" i="1" s="1"/>
  <c r="BX75" i="1"/>
  <c r="BW75" i="1"/>
  <c r="BV75" i="1"/>
  <c r="BU75" i="1"/>
  <c r="BS75" i="1"/>
  <c r="CU75" i="1" s="1"/>
  <c r="X75" i="1"/>
  <c r="CE75" i="1" s="1"/>
  <c r="EA74" i="1"/>
  <c r="DV74" i="1"/>
  <c r="DU74" i="1"/>
  <c r="DR74" i="1"/>
  <c r="DE74" i="1"/>
  <c r="CW74" i="1"/>
  <c r="CV74" i="1"/>
  <c r="CC74" i="1"/>
  <c r="CB74" i="1"/>
  <c r="CA74" i="1"/>
  <c r="BZ74" i="1"/>
  <c r="BY74" i="1"/>
  <c r="BX74" i="1"/>
  <c r="DP74" i="1" s="1"/>
  <c r="BW74" i="1"/>
  <c r="BV74" i="1"/>
  <c r="BU74" i="1"/>
  <c r="BS74" i="1"/>
  <c r="CU74" i="1" s="1"/>
  <c r="X74" i="1"/>
  <c r="CE74" i="1" s="1"/>
  <c r="EA73" i="1"/>
  <c r="DV73" i="1"/>
  <c r="DS73" i="1"/>
  <c r="DR73" i="1"/>
  <c r="DE73" i="1"/>
  <c r="CY73" i="1"/>
  <c r="CX73" i="1"/>
  <c r="CW73" i="1"/>
  <c r="DA73" i="1" s="1"/>
  <c r="CV73" i="1"/>
  <c r="CE73" i="1"/>
  <c r="CC73" i="1"/>
  <c r="CB73" i="1"/>
  <c r="CA73" i="1"/>
  <c r="BZ73" i="1"/>
  <c r="BY73" i="1"/>
  <c r="DD73" i="1" s="1"/>
  <c r="BX73" i="1"/>
  <c r="BW73" i="1"/>
  <c r="BV73" i="1"/>
  <c r="BU73" i="1"/>
  <c r="BS73" i="1"/>
  <c r="CU73" i="1" s="1"/>
  <c r="X73" i="1"/>
  <c r="EA72" i="1"/>
  <c r="DV72" i="1"/>
  <c r="DR72" i="1"/>
  <c r="DH72" i="1"/>
  <c r="DI72" i="1" s="1"/>
  <c r="DE72" i="1"/>
  <c r="CY72" i="1"/>
  <c r="DA72" i="1" s="1"/>
  <c r="CW72" i="1"/>
  <c r="CV72" i="1"/>
  <c r="CC72" i="1"/>
  <c r="CB72" i="1"/>
  <c r="CA72" i="1"/>
  <c r="BZ72" i="1"/>
  <c r="BY72" i="1"/>
  <c r="BX72" i="1"/>
  <c r="DB72" i="1" s="1"/>
  <c r="BW72" i="1"/>
  <c r="BV72" i="1"/>
  <c r="BU72" i="1"/>
  <c r="BS72" i="1"/>
  <c r="CU72" i="1" s="1"/>
  <c r="X72" i="1"/>
  <c r="CE72" i="1" s="1"/>
  <c r="EA71" i="1"/>
  <c r="DV71" i="1"/>
  <c r="DR71" i="1"/>
  <c r="DP71" i="1"/>
  <c r="DE71" i="1"/>
  <c r="CZ71" i="1"/>
  <c r="CW71" i="1"/>
  <c r="CV71" i="1"/>
  <c r="CC71" i="1"/>
  <c r="CB71" i="1"/>
  <c r="CA71" i="1"/>
  <c r="BZ71" i="1"/>
  <c r="BY71" i="1"/>
  <c r="BX71" i="1"/>
  <c r="DB71" i="1" s="1"/>
  <c r="BW71" i="1"/>
  <c r="BV71" i="1"/>
  <c r="BU71" i="1"/>
  <c r="BS71" i="1"/>
  <c r="CU71" i="1" s="1"/>
  <c r="CX71" i="1" s="1"/>
  <c r="X71" i="1"/>
  <c r="CE71" i="1" s="1"/>
  <c r="EA70" i="1"/>
  <c r="DV70" i="1"/>
  <c r="DR70" i="1"/>
  <c r="DP70" i="1"/>
  <c r="DE70" i="1"/>
  <c r="DD70" i="1"/>
  <c r="DC70" i="1"/>
  <c r="DB70" i="1"/>
  <c r="CY70" i="1"/>
  <c r="CW70" i="1"/>
  <c r="DA70" i="1" s="1"/>
  <c r="CV70" i="1"/>
  <c r="CC70" i="1"/>
  <c r="CB70" i="1"/>
  <c r="CA70" i="1"/>
  <c r="BZ70" i="1"/>
  <c r="BY70" i="1"/>
  <c r="DS70" i="1" s="1"/>
  <c r="BX70" i="1"/>
  <c r="DU70" i="1" s="1"/>
  <c r="DW70" i="1" s="1"/>
  <c r="BW70" i="1"/>
  <c r="BV70" i="1"/>
  <c r="BU70" i="1"/>
  <c r="BS70" i="1"/>
  <c r="CU70" i="1" s="1"/>
  <c r="CX70" i="1" s="1"/>
  <c r="X70" i="1"/>
  <c r="CE70" i="1" s="1"/>
  <c r="EA69" i="1"/>
  <c r="DV69" i="1"/>
  <c r="DR69" i="1"/>
  <c r="DS69" i="1" s="1"/>
  <c r="DP69" i="1"/>
  <c r="DH69" i="1"/>
  <c r="DI69" i="1" s="1"/>
  <c r="DE69" i="1"/>
  <c r="DF69" i="1" s="1"/>
  <c r="DD69" i="1"/>
  <c r="DC69" i="1"/>
  <c r="DB69" i="1"/>
  <c r="DA69" i="1"/>
  <c r="CY69" i="1"/>
  <c r="CX69" i="1"/>
  <c r="CW69" i="1"/>
  <c r="CV69" i="1"/>
  <c r="CC69" i="1"/>
  <c r="CB69" i="1"/>
  <c r="CA69" i="1"/>
  <c r="BZ69" i="1"/>
  <c r="BY69" i="1"/>
  <c r="BX69" i="1"/>
  <c r="DU69" i="1" s="1"/>
  <c r="DW69" i="1" s="1"/>
  <c r="BW69" i="1"/>
  <c r="CD69" i="1" s="1"/>
  <c r="EO69" i="1" s="1"/>
  <c r="BV69" i="1"/>
  <c r="BU69" i="1"/>
  <c r="BS69" i="1"/>
  <c r="CU69" i="1" s="1"/>
  <c r="X69" i="1"/>
  <c r="CE69" i="1" s="1"/>
  <c r="EA68" i="1"/>
  <c r="DV68" i="1"/>
  <c r="DS68" i="1"/>
  <c r="DR68" i="1"/>
  <c r="DE68" i="1"/>
  <c r="DD68" i="1"/>
  <c r="CY68" i="1"/>
  <c r="DA68" i="1" s="1"/>
  <c r="CW68" i="1"/>
  <c r="CV68" i="1"/>
  <c r="CC68" i="1"/>
  <c r="CB68" i="1"/>
  <c r="CA68" i="1"/>
  <c r="BZ68" i="1"/>
  <c r="BY68" i="1"/>
  <c r="BX68" i="1"/>
  <c r="DB68" i="1" s="1"/>
  <c r="BW68" i="1"/>
  <c r="BV68" i="1"/>
  <c r="BU68" i="1"/>
  <c r="BS68" i="1"/>
  <c r="CU68" i="1" s="1"/>
  <c r="X68" i="1"/>
  <c r="CE68" i="1" s="1"/>
  <c r="EA67" i="1"/>
  <c r="DV67" i="1"/>
  <c r="DU67" i="1"/>
  <c r="DW67" i="1" s="1"/>
  <c r="DR67" i="1"/>
  <c r="DP67" i="1"/>
  <c r="DE67" i="1"/>
  <c r="DC67" i="1"/>
  <c r="DB67" i="1"/>
  <c r="CZ67" i="1"/>
  <c r="CW67" i="1"/>
  <c r="CV67" i="1"/>
  <c r="CU67" i="1"/>
  <c r="CX67" i="1" s="1"/>
  <c r="CC67" i="1"/>
  <c r="CB67" i="1"/>
  <c r="CA67" i="1"/>
  <c r="BZ67" i="1"/>
  <c r="BY67" i="1"/>
  <c r="BX67" i="1"/>
  <c r="BW67" i="1"/>
  <c r="BV67" i="1"/>
  <c r="BU67" i="1"/>
  <c r="BS67" i="1"/>
  <c r="X67" i="1"/>
  <c r="CE67" i="1" s="1"/>
  <c r="EA66" i="1"/>
  <c r="DV66" i="1"/>
  <c r="DU66" i="1"/>
  <c r="DW66" i="1" s="1"/>
  <c r="DS66" i="1"/>
  <c r="DT66" i="1" s="1"/>
  <c r="DR66" i="1"/>
  <c r="DQ66" i="1"/>
  <c r="DP66" i="1"/>
  <c r="DF66" i="1"/>
  <c r="DE66" i="1"/>
  <c r="DD66" i="1"/>
  <c r="DB66" i="1"/>
  <c r="CW66" i="1"/>
  <c r="CV66" i="1"/>
  <c r="CY66" i="1" s="1"/>
  <c r="CC66" i="1"/>
  <c r="CB66" i="1"/>
  <c r="CA66" i="1"/>
  <c r="BZ66" i="1"/>
  <c r="BY66" i="1"/>
  <c r="BX66" i="1"/>
  <c r="BW66" i="1"/>
  <c r="BV66" i="1"/>
  <c r="BU66" i="1"/>
  <c r="BS66" i="1"/>
  <c r="CU66" i="1" s="1"/>
  <c r="X66" i="1"/>
  <c r="DC66" i="1" s="1"/>
  <c r="EA65" i="1"/>
  <c r="DV65" i="1"/>
  <c r="DU65" i="1"/>
  <c r="DW65" i="1" s="1"/>
  <c r="DS65" i="1"/>
  <c r="DR65" i="1"/>
  <c r="DP65" i="1"/>
  <c r="DE65" i="1"/>
  <c r="DD65" i="1"/>
  <c r="DB65" i="1"/>
  <c r="CW65" i="1"/>
  <c r="CV65" i="1"/>
  <c r="CE65" i="1"/>
  <c r="CC65" i="1"/>
  <c r="CB65" i="1"/>
  <c r="CA65" i="1"/>
  <c r="BZ65" i="1"/>
  <c r="BY65" i="1"/>
  <c r="BX65" i="1"/>
  <c r="BW65" i="1"/>
  <c r="BV65" i="1"/>
  <c r="BU65" i="1"/>
  <c r="BS65" i="1"/>
  <c r="CU65" i="1" s="1"/>
  <c r="X65" i="1"/>
  <c r="DC65" i="1" s="1"/>
  <c r="DF65" i="1" s="1"/>
  <c r="EA64" i="1"/>
  <c r="DV64" i="1"/>
  <c r="DU64" i="1"/>
  <c r="DW64" i="1" s="1"/>
  <c r="DS64" i="1"/>
  <c r="DR64" i="1"/>
  <c r="DP64" i="1"/>
  <c r="DH64" i="1"/>
  <c r="DI64" i="1" s="1"/>
  <c r="DE64" i="1"/>
  <c r="DD64" i="1"/>
  <c r="DC64" i="1"/>
  <c r="DF64" i="1" s="1"/>
  <c r="CW64" i="1"/>
  <c r="CV64" i="1"/>
  <c r="CE64" i="1"/>
  <c r="CC64" i="1"/>
  <c r="CB64" i="1"/>
  <c r="CA64" i="1"/>
  <c r="BZ64" i="1"/>
  <c r="BY64" i="1"/>
  <c r="BX64" i="1"/>
  <c r="DB64" i="1" s="1"/>
  <c r="BW64" i="1"/>
  <c r="BV64" i="1"/>
  <c r="BU64" i="1"/>
  <c r="BS64" i="1"/>
  <c r="CU64" i="1" s="1"/>
  <c r="X64" i="1"/>
  <c r="EA63" i="1"/>
  <c r="DV63" i="1"/>
  <c r="DU63" i="1"/>
  <c r="DR63" i="1"/>
  <c r="DH63" i="1"/>
  <c r="DI63" i="1" s="1"/>
  <c r="DE63" i="1"/>
  <c r="DD63" i="1"/>
  <c r="CW63" i="1"/>
  <c r="CV63" i="1"/>
  <c r="CY63" i="1" s="1"/>
  <c r="CC63" i="1"/>
  <c r="CB63" i="1"/>
  <c r="CA63" i="1"/>
  <c r="BZ63" i="1"/>
  <c r="BY63" i="1"/>
  <c r="DS63" i="1" s="1"/>
  <c r="BX63" i="1"/>
  <c r="BW63" i="1"/>
  <c r="BV63" i="1"/>
  <c r="BU63" i="1"/>
  <c r="BS63" i="1"/>
  <c r="CU63" i="1" s="1"/>
  <c r="CX63" i="1" s="1"/>
  <c r="X63" i="1"/>
  <c r="CE63" i="1" s="1"/>
  <c r="EA62" i="1"/>
  <c r="DW62" i="1"/>
  <c r="DV62" i="1"/>
  <c r="DR62" i="1"/>
  <c r="DK62" i="1"/>
  <c r="DI62" i="1"/>
  <c r="DM62" i="1" s="1"/>
  <c r="DH62" i="1"/>
  <c r="DE62" i="1"/>
  <c r="DA62" i="1"/>
  <c r="CZ62" i="1"/>
  <c r="CW62" i="1"/>
  <c r="CV62" i="1"/>
  <c r="CY62" i="1" s="1"/>
  <c r="CC62" i="1"/>
  <c r="CB62" i="1"/>
  <c r="CA62" i="1"/>
  <c r="BZ62" i="1"/>
  <c r="BY62" i="1"/>
  <c r="BX62" i="1"/>
  <c r="DU62" i="1" s="1"/>
  <c r="BW62" i="1"/>
  <c r="BV62" i="1"/>
  <c r="BU62" i="1"/>
  <c r="BS62" i="1"/>
  <c r="CU62" i="1" s="1"/>
  <c r="CX62" i="1" s="1"/>
  <c r="X62" i="1"/>
  <c r="CE62" i="1" s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V61" i="1"/>
  <c r="DS61" i="1"/>
  <c r="DR61" i="1"/>
  <c r="DE61" i="1"/>
  <c r="DB61" i="1"/>
  <c r="CY61" i="1"/>
  <c r="DA61" i="1" s="1"/>
  <c r="CW61" i="1"/>
  <c r="CV61" i="1"/>
  <c r="CQ61" i="1"/>
  <c r="CK61" i="1"/>
  <c r="CJ61" i="1"/>
  <c r="CI61" i="1"/>
  <c r="CH61" i="1"/>
  <c r="CG61" i="1"/>
  <c r="CE61" i="1"/>
  <c r="CC61" i="1"/>
  <c r="CB61" i="1"/>
  <c r="CA61" i="1"/>
  <c r="BZ61" i="1"/>
  <c r="BY61" i="1"/>
  <c r="DD61" i="1" s="1"/>
  <c r="BX61" i="1"/>
  <c r="BW61" i="1"/>
  <c r="BV61" i="1"/>
  <c r="BU61" i="1"/>
  <c r="BS61" i="1"/>
  <c r="CU61" i="1" s="1"/>
  <c r="X61" i="1"/>
  <c r="EA60" i="1"/>
  <c r="DV60" i="1"/>
  <c r="DR60" i="1"/>
  <c r="DE60" i="1"/>
  <c r="CY60" i="1"/>
  <c r="CW60" i="1"/>
  <c r="DA60" i="1" s="1"/>
  <c r="CV60" i="1"/>
  <c r="CC60" i="1"/>
  <c r="CB60" i="1"/>
  <c r="CA60" i="1"/>
  <c r="BZ60" i="1"/>
  <c r="BY60" i="1"/>
  <c r="DD60" i="1" s="1"/>
  <c r="BX60" i="1"/>
  <c r="BW60" i="1"/>
  <c r="BV60" i="1"/>
  <c r="BU60" i="1"/>
  <c r="BS60" i="1"/>
  <c r="CU60" i="1" s="1"/>
  <c r="CX60" i="1" s="1"/>
  <c r="X60" i="1"/>
  <c r="CE60" i="1" s="1"/>
  <c r="EA59" i="1"/>
  <c r="DV59" i="1"/>
  <c r="DU59" i="1"/>
  <c r="DW59" i="1" s="1"/>
  <c r="DR59" i="1"/>
  <c r="DP59" i="1"/>
  <c r="DE59" i="1"/>
  <c r="DC59" i="1"/>
  <c r="CY59" i="1"/>
  <c r="DA59" i="1" s="1"/>
  <c r="CW59" i="1"/>
  <c r="CV59" i="1"/>
  <c r="CC59" i="1"/>
  <c r="CB59" i="1"/>
  <c r="CA59" i="1"/>
  <c r="BZ59" i="1"/>
  <c r="BY59" i="1"/>
  <c r="BX59" i="1"/>
  <c r="DB59" i="1" s="1"/>
  <c r="BW59" i="1"/>
  <c r="BV59" i="1"/>
  <c r="BU59" i="1"/>
  <c r="BS59" i="1"/>
  <c r="CU59" i="1" s="1"/>
  <c r="CX59" i="1" s="1"/>
  <c r="X59" i="1"/>
  <c r="CE59" i="1" s="1"/>
  <c r="EA58" i="1"/>
  <c r="DV58" i="1"/>
  <c r="DR58" i="1"/>
  <c r="DI58" i="1"/>
  <c r="DH58" i="1"/>
  <c r="DE58" i="1"/>
  <c r="CY58" i="1"/>
  <c r="CW58" i="1"/>
  <c r="CV58" i="1"/>
  <c r="DA58" i="1" s="1"/>
  <c r="CC58" i="1"/>
  <c r="CB58" i="1"/>
  <c r="CA58" i="1"/>
  <c r="BZ58" i="1"/>
  <c r="BY58" i="1"/>
  <c r="DS58" i="1" s="1"/>
  <c r="BX58" i="1"/>
  <c r="DC58" i="1" s="1"/>
  <c r="BW58" i="1"/>
  <c r="BV58" i="1"/>
  <c r="BU58" i="1"/>
  <c r="BS58" i="1"/>
  <c r="CU58" i="1" s="1"/>
  <c r="CX58" i="1" s="1"/>
  <c r="X58" i="1"/>
  <c r="CE58" i="1" s="1"/>
  <c r="EA57" i="1"/>
  <c r="DW57" i="1"/>
  <c r="DV57" i="1"/>
  <c r="DR57" i="1"/>
  <c r="DP57" i="1"/>
  <c r="DE57" i="1"/>
  <c r="DC57" i="1"/>
  <c r="DB57" i="1"/>
  <c r="CY57" i="1"/>
  <c r="CX57" i="1"/>
  <c r="CW57" i="1"/>
  <c r="CV57" i="1"/>
  <c r="CC57" i="1"/>
  <c r="CB57" i="1"/>
  <c r="CA57" i="1"/>
  <c r="BZ57" i="1"/>
  <c r="BY57" i="1"/>
  <c r="DD57" i="1" s="1"/>
  <c r="BX57" i="1"/>
  <c r="DU57" i="1" s="1"/>
  <c r="BW57" i="1"/>
  <c r="BV57" i="1"/>
  <c r="BU57" i="1"/>
  <c r="BS57" i="1"/>
  <c r="CU57" i="1" s="1"/>
  <c r="X57" i="1"/>
  <c r="CE57" i="1" s="1"/>
  <c r="EA56" i="1"/>
  <c r="DV56" i="1"/>
  <c r="DR56" i="1"/>
  <c r="DS56" i="1" s="1"/>
  <c r="DP56" i="1"/>
  <c r="DH56" i="1"/>
  <c r="DI56" i="1" s="1"/>
  <c r="DE56" i="1"/>
  <c r="DD56" i="1"/>
  <c r="DB56" i="1"/>
  <c r="CY56" i="1"/>
  <c r="DA56" i="1" s="1"/>
  <c r="CX56" i="1"/>
  <c r="CW56" i="1"/>
  <c r="CV56" i="1"/>
  <c r="CC56" i="1"/>
  <c r="CB56" i="1"/>
  <c r="CA56" i="1"/>
  <c r="BZ56" i="1"/>
  <c r="BY56" i="1"/>
  <c r="BX56" i="1"/>
  <c r="DU56" i="1" s="1"/>
  <c r="DW56" i="1" s="1"/>
  <c r="BW56" i="1"/>
  <c r="BV56" i="1"/>
  <c r="BU56" i="1"/>
  <c r="BS56" i="1"/>
  <c r="CU56" i="1" s="1"/>
  <c r="X56" i="1"/>
  <c r="DC56" i="1" s="1"/>
  <c r="DF56" i="1" s="1"/>
  <c r="DX56" i="1" s="1"/>
  <c r="EA55" i="1"/>
  <c r="DV55" i="1"/>
  <c r="DR55" i="1"/>
  <c r="DE55" i="1"/>
  <c r="DF55" i="1" s="1"/>
  <c r="DX55" i="1" s="1"/>
  <c r="DD55" i="1"/>
  <c r="DC55" i="1"/>
  <c r="CY55" i="1"/>
  <c r="DA55" i="1" s="1"/>
  <c r="CW55" i="1"/>
  <c r="CV55" i="1"/>
  <c r="CU55" i="1"/>
  <c r="CX55" i="1" s="1"/>
  <c r="CC55" i="1"/>
  <c r="CB55" i="1"/>
  <c r="CA55" i="1"/>
  <c r="BZ55" i="1"/>
  <c r="BY55" i="1"/>
  <c r="DS55" i="1" s="1"/>
  <c r="BX55" i="1"/>
  <c r="DU55" i="1" s="1"/>
  <c r="DW55" i="1" s="1"/>
  <c r="BW55" i="1"/>
  <c r="BV55" i="1"/>
  <c r="BU55" i="1"/>
  <c r="BS55" i="1"/>
  <c r="X55" i="1"/>
  <c r="CE55" i="1" s="1"/>
  <c r="EA54" i="1"/>
  <c r="DV54" i="1"/>
  <c r="DU54" i="1"/>
  <c r="DR54" i="1"/>
  <c r="DS54" i="1" s="1"/>
  <c r="DP54" i="1"/>
  <c r="DE54" i="1"/>
  <c r="DD54" i="1"/>
  <c r="DB54" i="1"/>
  <c r="DA54" i="1"/>
  <c r="CW54" i="1"/>
  <c r="CV54" i="1"/>
  <c r="CY54" i="1" s="1"/>
  <c r="CC54" i="1"/>
  <c r="CB54" i="1"/>
  <c r="CA54" i="1"/>
  <c r="BZ54" i="1"/>
  <c r="BY54" i="1"/>
  <c r="BX54" i="1"/>
  <c r="BW54" i="1"/>
  <c r="BV54" i="1"/>
  <c r="BU54" i="1"/>
  <c r="BS54" i="1"/>
  <c r="CU54" i="1" s="1"/>
  <c r="CX54" i="1" s="1"/>
  <c r="X54" i="1"/>
  <c r="DC54" i="1" s="1"/>
  <c r="EA53" i="1"/>
  <c r="DV53" i="1"/>
  <c r="DU53" i="1"/>
  <c r="DW53" i="1" s="1"/>
  <c r="DS53" i="1"/>
  <c r="DR53" i="1"/>
  <c r="DP53" i="1"/>
  <c r="DE53" i="1"/>
  <c r="DF53" i="1" s="1"/>
  <c r="DD53" i="1"/>
  <c r="DB53" i="1"/>
  <c r="CW53" i="1"/>
  <c r="CV53" i="1"/>
  <c r="CY53" i="1" s="1"/>
  <c r="CU53" i="1"/>
  <c r="CC53" i="1"/>
  <c r="CB53" i="1"/>
  <c r="CA53" i="1"/>
  <c r="BZ53" i="1"/>
  <c r="BY53" i="1"/>
  <c r="BX53" i="1"/>
  <c r="BW53" i="1"/>
  <c r="BV53" i="1"/>
  <c r="BU53" i="1"/>
  <c r="BS53" i="1"/>
  <c r="X53" i="1"/>
  <c r="DC53" i="1" s="1"/>
  <c r="EA52" i="1"/>
  <c r="DV52" i="1"/>
  <c r="DU52" i="1"/>
  <c r="DW52" i="1" s="1"/>
  <c r="DS52" i="1"/>
  <c r="DR52" i="1"/>
  <c r="DP52" i="1"/>
  <c r="DH52" i="1"/>
  <c r="DI52" i="1" s="1"/>
  <c r="DE52" i="1"/>
  <c r="DF52" i="1" s="1"/>
  <c r="DD52" i="1"/>
  <c r="DB52" i="1"/>
  <c r="CW52" i="1"/>
  <c r="CV52" i="1"/>
  <c r="CC52" i="1"/>
  <c r="CB52" i="1"/>
  <c r="CA52" i="1"/>
  <c r="BZ52" i="1"/>
  <c r="BY52" i="1"/>
  <c r="BX52" i="1"/>
  <c r="BW52" i="1"/>
  <c r="BV52" i="1"/>
  <c r="BU52" i="1"/>
  <c r="CD52" i="1" s="1"/>
  <c r="CG52" i="1" s="1"/>
  <c r="BS52" i="1"/>
  <c r="CU52" i="1" s="1"/>
  <c r="CX52" i="1" s="1"/>
  <c r="X52" i="1"/>
  <c r="DC52" i="1" s="1"/>
  <c r="EA51" i="1"/>
  <c r="DV51" i="1"/>
  <c r="DR51" i="1"/>
  <c r="DS51" i="1" s="1"/>
  <c r="DP51" i="1"/>
  <c r="DE51" i="1"/>
  <c r="DD51" i="1"/>
  <c r="CW51" i="1"/>
  <c r="CV51" i="1"/>
  <c r="CC51" i="1"/>
  <c r="CB51" i="1"/>
  <c r="CA51" i="1"/>
  <c r="BZ51" i="1"/>
  <c r="BY51" i="1"/>
  <c r="BX51" i="1"/>
  <c r="DB51" i="1" s="1"/>
  <c r="BW51" i="1"/>
  <c r="BV51" i="1"/>
  <c r="BU51" i="1"/>
  <c r="BS51" i="1"/>
  <c r="CU51" i="1" s="1"/>
  <c r="X51" i="1"/>
  <c r="CE51" i="1" s="1"/>
  <c r="EA50" i="1"/>
  <c r="DV50" i="1"/>
  <c r="DR50" i="1"/>
  <c r="DE50" i="1"/>
  <c r="DD50" i="1"/>
  <c r="CW50" i="1"/>
  <c r="CV50" i="1"/>
  <c r="CU50" i="1"/>
  <c r="CE50" i="1"/>
  <c r="CC50" i="1"/>
  <c r="CB50" i="1"/>
  <c r="CA50" i="1"/>
  <c r="BZ50" i="1"/>
  <c r="BY50" i="1"/>
  <c r="DS50" i="1" s="1"/>
  <c r="BX50" i="1"/>
  <c r="BW50" i="1"/>
  <c r="BV50" i="1"/>
  <c r="BU50" i="1"/>
  <c r="BS50" i="1"/>
  <c r="X50" i="1"/>
  <c r="EA49" i="1"/>
  <c r="DV49" i="1"/>
  <c r="DR49" i="1"/>
  <c r="DI49" i="1"/>
  <c r="DH49" i="1"/>
  <c r="DE49" i="1"/>
  <c r="CW49" i="1"/>
  <c r="CV49" i="1"/>
  <c r="CY49" i="1" s="1"/>
  <c r="CU49" i="1"/>
  <c r="CC49" i="1"/>
  <c r="CB49" i="1"/>
  <c r="CA49" i="1"/>
  <c r="BZ49" i="1"/>
  <c r="BY49" i="1"/>
  <c r="DD49" i="1" s="1"/>
  <c r="BX49" i="1"/>
  <c r="BW49" i="1"/>
  <c r="BV49" i="1"/>
  <c r="BU49" i="1"/>
  <c r="BS49" i="1"/>
  <c r="X49" i="1"/>
  <c r="CE49" i="1" s="1"/>
  <c r="EA48" i="1"/>
  <c r="DW48" i="1"/>
  <c r="DV48" i="1"/>
  <c r="DS48" i="1"/>
  <c r="DT48" i="1" s="1"/>
  <c r="DR48" i="1"/>
  <c r="DI48" i="1"/>
  <c r="DH48" i="1"/>
  <c r="DE48" i="1"/>
  <c r="DB48" i="1"/>
  <c r="CW48" i="1"/>
  <c r="CV48" i="1"/>
  <c r="CY48" i="1" s="1"/>
  <c r="CU48" i="1"/>
  <c r="CC48" i="1"/>
  <c r="CB48" i="1"/>
  <c r="CA48" i="1"/>
  <c r="BZ48" i="1"/>
  <c r="BY48" i="1"/>
  <c r="DD48" i="1" s="1"/>
  <c r="BX48" i="1"/>
  <c r="DU48" i="1" s="1"/>
  <c r="BW48" i="1"/>
  <c r="BV48" i="1"/>
  <c r="BU48" i="1"/>
  <c r="BS48" i="1"/>
  <c r="CE48" i="1" s="1"/>
  <c r="X48" i="1"/>
  <c r="EA47" i="1"/>
  <c r="DV47" i="1"/>
  <c r="DR47" i="1"/>
  <c r="DE47" i="1"/>
  <c r="CW47" i="1"/>
  <c r="CV47" i="1"/>
  <c r="CU47" i="1"/>
  <c r="CC47" i="1"/>
  <c r="CB47" i="1"/>
  <c r="CA47" i="1"/>
  <c r="BZ47" i="1"/>
  <c r="BY47" i="1"/>
  <c r="BX47" i="1"/>
  <c r="DU47" i="1" s="1"/>
  <c r="DW47" i="1" s="1"/>
  <c r="BW47" i="1"/>
  <c r="BV47" i="1"/>
  <c r="BU47" i="1"/>
  <c r="BS47" i="1"/>
  <c r="X47" i="1"/>
  <c r="EA46" i="1"/>
  <c r="DV46" i="1"/>
  <c r="DU46" i="1"/>
  <c r="DW46" i="1" s="1"/>
  <c r="DR46" i="1"/>
  <c r="DI46" i="1"/>
  <c r="DM46" i="1" s="1"/>
  <c r="DH46" i="1"/>
  <c r="DE46" i="1"/>
  <c r="DD46" i="1"/>
  <c r="CX46" i="1"/>
  <c r="CZ46" i="1" s="1"/>
  <c r="CW46" i="1"/>
  <c r="CV46" i="1"/>
  <c r="CC46" i="1"/>
  <c r="CB46" i="1"/>
  <c r="CA46" i="1"/>
  <c r="BZ46" i="1"/>
  <c r="BY46" i="1"/>
  <c r="DS46" i="1" s="1"/>
  <c r="DT46" i="1" s="1"/>
  <c r="BX46" i="1"/>
  <c r="BW46" i="1"/>
  <c r="BV46" i="1"/>
  <c r="BU46" i="1"/>
  <c r="BS46" i="1"/>
  <c r="CU46" i="1" s="1"/>
  <c r="X46" i="1"/>
  <c r="CE46" i="1" s="1"/>
  <c r="EA45" i="1"/>
  <c r="DV45" i="1"/>
  <c r="DR45" i="1"/>
  <c r="DK45" i="1"/>
  <c r="DH45" i="1"/>
  <c r="DI45" i="1" s="1"/>
  <c r="DM45" i="1" s="1"/>
  <c r="DE45" i="1"/>
  <c r="DD45" i="1"/>
  <c r="CY45" i="1"/>
  <c r="DA45" i="1" s="1"/>
  <c r="CX45" i="1"/>
  <c r="CW45" i="1"/>
  <c r="CV45" i="1"/>
  <c r="CC45" i="1"/>
  <c r="CB45" i="1"/>
  <c r="CA45" i="1"/>
  <c r="BZ45" i="1"/>
  <c r="BY45" i="1"/>
  <c r="DS45" i="1" s="1"/>
  <c r="DT45" i="1" s="1"/>
  <c r="BX45" i="1"/>
  <c r="BW45" i="1"/>
  <c r="BV45" i="1"/>
  <c r="BU45" i="1"/>
  <c r="BS45" i="1"/>
  <c r="CU45" i="1" s="1"/>
  <c r="CZ45" i="1" s="1"/>
  <c r="X45" i="1"/>
  <c r="CE45" i="1" s="1"/>
  <c r="EA44" i="1"/>
  <c r="DW44" i="1"/>
  <c r="DV44" i="1"/>
  <c r="DS44" i="1"/>
  <c r="DT44" i="1" s="1"/>
  <c r="DR44" i="1"/>
  <c r="DP44" i="1"/>
  <c r="DQ44" i="1" s="1"/>
  <c r="DE44" i="1"/>
  <c r="DC44" i="1"/>
  <c r="DB44" i="1"/>
  <c r="CY44" i="1"/>
  <c r="DA44" i="1" s="1"/>
  <c r="CX44" i="1"/>
  <c r="CZ44" i="1" s="1"/>
  <c r="CW44" i="1"/>
  <c r="CV44" i="1"/>
  <c r="CU44" i="1"/>
  <c r="CC44" i="1"/>
  <c r="CB44" i="1"/>
  <c r="CA44" i="1"/>
  <c r="BZ44" i="1"/>
  <c r="BY44" i="1"/>
  <c r="DD44" i="1" s="1"/>
  <c r="BX44" i="1"/>
  <c r="DU44" i="1" s="1"/>
  <c r="BW44" i="1"/>
  <c r="BV44" i="1"/>
  <c r="BU44" i="1"/>
  <c r="BS44" i="1"/>
  <c r="X44" i="1"/>
  <c r="CE44" i="1" s="1"/>
  <c r="EA43" i="1"/>
  <c r="DV43" i="1"/>
  <c r="DS43" i="1"/>
  <c r="DT43" i="1" s="1"/>
  <c r="DR43" i="1"/>
  <c r="DI43" i="1"/>
  <c r="DL43" i="1" s="1"/>
  <c r="DH43" i="1"/>
  <c r="DE43" i="1"/>
  <c r="DD43" i="1"/>
  <c r="CW43" i="1"/>
  <c r="CV43" i="1"/>
  <c r="CU43" i="1"/>
  <c r="CC43" i="1"/>
  <c r="CB43" i="1"/>
  <c r="CA43" i="1"/>
  <c r="BZ43" i="1"/>
  <c r="BY43" i="1"/>
  <c r="BX43" i="1"/>
  <c r="DU43" i="1" s="1"/>
  <c r="DW43" i="1" s="1"/>
  <c r="BW43" i="1"/>
  <c r="BV43" i="1"/>
  <c r="BU43" i="1"/>
  <c r="BS43" i="1"/>
  <c r="X43" i="1"/>
  <c r="CE43" i="1" s="1"/>
  <c r="EA42" i="1"/>
  <c r="DV42" i="1"/>
  <c r="DU42" i="1"/>
  <c r="DR42" i="1"/>
  <c r="DP42" i="1"/>
  <c r="DE42" i="1"/>
  <c r="DC42" i="1"/>
  <c r="DB42" i="1"/>
  <c r="DA42" i="1"/>
  <c r="CZ42" i="1"/>
  <c r="CW42" i="1"/>
  <c r="CV42" i="1"/>
  <c r="CY42" i="1" s="1"/>
  <c r="CU42" i="1"/>
  <c r="CX42" i="1" s="1"/>
  <c r="CC42" i="1"/>
  <c r="CB42" i="1"/>
  <c r="CA42" i="1"/>
  <c r="BZ42" i="1"/>
  <c r="BY42" i="1"/>
  <c r="DS42" i="1" s="1"/>
  <c r="BX42" i="1"/>
  <c r="BW42" i="1"/>
  <c r="BV42" i="1"/>
  <c r="BU42" i="1"/>
  <c r="BS42" i="1"/>
  <c r="X42" i="1"/>
  <c r="CE42" i="1" s="1"/>
  <c r="EA41" i="1"/>
  <c r="DV41" i="1"/>
  <c r="DU41" i="1"/>
  <c r="DW41" i="1" s="1"/>
  <c r="DS41" i="1"/>
  <c r="DR41" i="1"/>
  <c r="DP41" i="1"/>
  <c r="DE41" i="1"/>
  <c r="DF41" i="1" s="1"/>
  <c r="DD41" i="1"/>
  <c r="DC41" i="1"/>
  <c r="DB41" i="1"/>
  <c r="CW41" i="1"/>
  <c r="DA41" i="1" s="1"/>
  <c r="CV41" i="1"/>
  <c r="CY41" i="1" s="1"/>
  <c r="CU41" i="1"/>
  <c r="CC41" i="1"/>
  <c r="CB41" i="1"/>
  <c r="CA41" i="1"/>
  <c r="BZ41" i="1"/>
  <c r="BY41" i="1"/>
  <c r="BX41" i="1"/>
  <c r="BW41" i="1"/>
  <c r="BV41" i="1"/>
  <c r="BU41" i="1"/>
  <c r="BS41" i="1"/>
  <c r="X41" i="1"/>
  <c r="CE41" i="1" s="1"/>
  <c r="EA40" i="1"/>
  <c r="DV40" i="1"/>
  <c r="DS40" i="1"/>
  <c r="DT40" i="1" s="1"/>
  <c r="DR40" i="1"/>
  <c r="DP40" i="1"/>
  <c r="DQ40" i="1" s="1"/>
  <c r="DH40" i="1"/>
  <c r="DI40" i="1" s="1"/>
  <c r="DE40" i="1"/>
  <c r="DD40" i="1"/>
  <c r="CW40" i="1"/>
  <c r="CV40" i="1"/>
  <c r="CU40" i="1"/>
  <c r="CC40" i="1"/>
  <c r="CB40" i="1"/>
  <c r="CA40" i="1"/>
  <c r="BZ40" i="1"/>
  <c r="BY40" i="1"/>
  <c r="BX40" i="1"/>
  <c r="DC40" i="1" s="1"/>
  <c r="BW40" i="1"/>
  <c r="BV40" i="1"/>
  <c r="BU40" i="1"/>
  <c r="BS40" i="1"/>
  <c r="X40" i="1"/>
  <c r="CE40" i="1" s="1"/>
  <c r="EA39" i="1"/>
  <c r="DV39" i="1"/>
  <c r="DR39" i="1"/>
  <c r="DP39" i="1"/>
  <c r="DH39" i="1"/>
  <c r="DI39" i="1" s="1"/>
  <c r="DE39" i="1"/>
  <c r="CY39" i="1"/>
  <c r="CX39" i="1"/>
  <c r="CW39" i="1"/>
  <c r="CV39" i="1"/>
  <c r="CC39" i="1"/>
  <c r="CB39" i="1"/>
  <c r="CA39" i="1"/>
  <c r="BZ39" i="1"/>
  <c r="BY39" i="1"/>
  <c r="DS39" i="1" s="1"/>
  <c r="BX39" i="1"/>
  <c r="DB39" i="1" s="1"/>
  <c r="BW39" i="1"/>
  <c r="BV39" i="1"/>
  <c r="BU39" i="1"/>
  <c r="BS39" i="1"/>
  <c r="CU39" i="1" s="1"/>
  <c r="X39" i="1"/>
  <c r="CE39" i="1" s="1"/>
  <c r="EA38" i="1"/>
  <c r="DV38" i="1"/>
  <c r="DR38" i="1"/>
  <c r="DE38" i="1"/>
  <c r="CW38" i="1"/>
  <c r="CV38" i="1"/>
  <c r="CY38" i="1" s="1"/>
  <c r="DA38" i="1" s="1"/>
  <c r="CC38" i="1"/>
  <c r="CB38" i="1"/>
  <c r="CA38" i="1"/>
  <c r="BZ38" i="1"/>
  <c r="BY38" i="1"/>
  <c r="DD38" i="1" s="1"/>
  <c r="BX38" i="1"/>
  <c r="BW38" i="1"/>
  <c r="BV38" i="1"/>
  <c r="BU38" i="1"/>
  <c r="BS38" i="1"/>
  <c r="CU38" i="1" s="1"/>
  <c r="CX38" i="1" s="1"/>
  <c r="X38" i="1"/>
  <c r="CE38" i="1" s="1"/>
  <c r="EA37" i="1"/>
  <c r="DV37" i="1"/>
  <c r="DU37" i="1"/>
  <c r="DW37" i="1" s="1"/>
  <c r="DR37" i="1"/>
  <c r="DH37" i="1"/>
  <c r="DI37" i="1" s="1"/>
  <c r="DE37" i="1"/>
  <c r="CY37" i="1"/>
  <c r="CW37" i="1"/>
  <c r="DA37" i="1" s="1"/>
  <c r="CV37" i="1"/>
  <c r="CC37" i="1"/>
  <c r="CB37" i="1"/>
  <c r="CA37" i="1"/>
  <c r="BZ37" i="1"/>
  <c r="BY37" i="1"/>
  <c r="DD37" i="1" s="1"/>
  <c r="BX37" i="1"/>
  <c r="DB37" i="1" s="1"/>
  <c r="BW37" i="1"/>
  <c r="BV37" i="1"/>
  <c r="BU37" i="1"/>
  <c r="BS37" i="1"/>
  <c r="CU37" i="1" s="1"/>
  <c r="X37" i="1"/>
  <c r="CE37" i="1" s="1"/>
  <c r="EA36" i="1"/>
  <c r="DV36" i="1"/>
  <c r="DS36" i="1"/>
  <c r="DR36" i="1"/>
  <c r="DE36" i="1"/>
  <c r="CW36" i="1"/>
  <c r="CV36" i="1"/>
  <c r="CC36" i="1"/>
  <c r="CB36" i="1"/>
  <c r="CA36" i="1"/>
  <c r="BZ36" i="1"/>
  <c r="BY36" i="1"/>
  <c r="DD36" i="1" s="1"/>
  <c r="BX36" i="1"/>
  <c r="DU36" i="1" s="1"/>
  <c r="DW36" i="1" s="1"/>
  <c r="BW36" i="1"/>
  <c r="BV36" i="1"/>
  <c r="BU36" i="1"/>
  <c r="BS36" i="1"/>
  <c r="CU36" i="1" s="1"/>
  <c r="CX36" i="1" s="1"/>
  <c r="X36" i="1"/>
  <c r="CE36" i="1" s="1"/>
  <c r="EA35" i="1"/>
  <c r="DV35" i="1"/>
  <c r="DR35" i="1"/>
  <c r="DP35" i="1"/>
  <c r="DE35" i="1"/>
  <c r="DC35" i="1"/>
  <c r="DB35" i="1"/>
  <c r="CW35" i="1"/>
  <c r="CV35" i="1"/>
  <c r="CY35" i="1" s="1"/>
  <c r="DA35" i="1" s="1"/>
  <c r="CC35" i="1"/>
  <c r="CB35" i="1"/>
  <c r="CA35" i="1"/>
  <c r="BZ35" i="1"/>
  <c r="BY35" i="1"/>
  <c r="DS35" i="1" s="1"/>
  <c r="BX35" i="1"/>
  <c r="DU35" i="1" s="1"/>
  <c r="DW35" i="1" s="1"/>
  <c r="BW35" i="1"/>
  <c r="BV35" i="1"/>
  <c r="BU35" i="1"/>
  <c r="BS35" i="1"/>
  <c r="CU35" i="1" s="1"/>
  <c r="CX35" i="1" s="1"/>
  <c r="X35" i="1"/>
  <c r="CE35" i="1" s="1"/>
  <c r="EA34" i="1"/>
  <c r="DV34" i="1"/>
  <c r="DU34" i="1"/>
  <c r="DR34" i="1"/>
  <c r="DI34" i="1"/>
  <c r="DH34" i="1"/>
  <c r="DE34" i="1"/>
  <c r="DC34" i="1"/>
  <c r="CY34" i="1"/>
  <c r="CW34" i="1"/>
  <c r="DA34" i="1" s="1"/>
  <c r="CV34" i="1"/>
  <c r="CC34" i="1"/>
  <c r="CB34" i="1"/>
  <c r="CA34" i="1"/>
  <c r="BZ34" i="1"/>
  <c r="BY34" i="1"/>
  <c r="DS34" i="1" s="1"/>
  <c r="BX34" i="1"/>
  <c r="DP34" i="1" s="1"/>
  <c r="BW34" i="1"/>
  <c r="BV34" i="1"/>
  <c r="BU34" i="1"/>
  <c r="BS34" i="1"/>
  <c r="CU34" i="1" s="1"/>
  <c r="CX34" i="1" s="1"/>
  <c r="X34" i="1"/>
  <c r="CE34" i="1" s="1"/>
  <c r="EA33" i="1"/>
  <c r="DV33" i="1"/>
  <c r="DR33" i="1"/>
  <c r="DH33" i="1"/>
  <c r="DI33" i="1" s="1"/>
  <c r="DE33" i="1"/>
  <c r="CY33" i="1"/>
  <c r="DA33" i="1" s="1"/>
  <c r="CX33" i="1"/>
  <c r="CZ33" i="1" s="1"/>
  <c r="CW33" i="1"/>
  <c r="CV33" i="1"/>
  <c r="CU33" i="1"/>
  <c r="CC33" i="1"/>
  <c r="CB33" i="1"/>
  <c r="CA33" i="1"/>
  <c r="BZ33" i="1"/>
  <c r="BY33" i="1"/>
  <c r="DD33" i="1" s="1"/>
  <c r="BX33" i="1"/>
  <c r="BW33" i="1"/>
  <c r="BV33" i="1"/>
  <c r="BU33" i="1"/>
  <c r="BS33" i="1"/>
  <c r="X33" i="1"/>
  <c r="CE33" i="1" s="1"/>
  <c r="EA32" i="1"/>
  <c r="DV32" i="1"/>
  <c r="DS32" i="1"/>
  <c r="DT32" i="1" s="1"/>
  <c r="DR32" i="1"/>
  <c r="DP32" i="1"/>
  <c r="DQ32" i="1" s="1"/>
  <c r="DI32" i="1"/>
  <c r="DH32" i="1"/>
  <c r="DE32" i="1"/>
  <c r="DF32" i="1" s="1"/>
  <c r="DD32" i="1"/>
  <c r="DB32" i="1"/>
  <c r="CW32" i="1"/>
  <c r="CV32" i="1"/>
  <c r="CJ32" i="1"/>
  <c r="CC32" i="1"/>
  <c r="CB32" i="1"/>
  <c r="CA32" i="1"/>
  <c r="BZ32" i="1"/>
  <c r="BY32" i="1"/>
  <c r="BX32" i="1"/>
  <c r="DC32" i="1" s="1"/>
  <c r="BW32" i="1"/>
  <c r="BV32" i="1"/>
  <c r="BU32" i="1"/>
  <c r="CD32" i="1" s="1"/>
  <c r="BS32" i="1"/>
  <c r="CU32" i="1" s="1"/>
  <c r="CX32" i="1" s="1"/>
  <c r="X32" i="1"/>
  <c r="EA31" i="1"/>
  <c r="DV31" i="1"/>
  <c r="DU31" i="1"/>
  <c r="DW31" i="1" s="1"/>
  <c r="DS31" i="1"/>
  <c r="DR31" i="1"/>
  <c r="DF31" i="1"/>
  <c r="DE31" i="1"/>
  <c r="CY31" i="1"/>
  <c r="CW31" i="1"/>
  <c r="CV31" i="1"/>
  <c r="DA31" i="1" s="1"/>
  <c r="CU31" i="1"/>
  <c r="CX31" i="1" s="1"/>
  <c r="CC31" i="1"/>
  <c r="CB31" i="1"/>
  <c r="CD31" i="1" s="1"/>
  <c r="CA31" i="1"/>
  <c r="BZ31" i="1"/>
  <c r="BY31" i="1"/>
  <c r="DD31" i="1" s="1"/>
  <c r="BX31" i="1"/>
  <c r="DC31" i="1" s="1"/>
  <c r="BW31" i="1"/>
  <c r="BV31" i="1"/>
  <c r="BU31" i="1"/>
  <c r="BS31" i="1"/>
  <c r="X31" i="1"/>
  <c r="CE31" i="1" s="1"/>
  <c r="EA30" i="1"/>
  <c r="DV30" i="1"/>
  <c r="DU30" i="1"/>
  <c r="DW30" i="1" s="1"/>
  <c r="DR30" i="1"/>
  <c r="DP30" i="1"/>
  <c r="DE30" i="1"/>
  <c r="DC30" i="1"/>
  <c r="DB30" i="1"/>
  <c r="DA30" i="1"/>
  <c r="CW30" i="1"/>
  <c r="CV30" i="1"/>
  <c r="CY30" i="1" s="1"/>
  <c r="CC30" i="1"/>
  <c r="CB30" i="1"/>
  <c r="CA30" i="1"/>
  <c r="BZ30" i="1"/>
  <c r="BY30" i="1"/>
  <c r="BX30" i="1"/>
  <c r="BW30" i="1"/>
  <c r="BV30" i="1"/>
  <c r="BU30" i="1"/>
  <c r="BS30" i="1"/>
  <c r="CU30" i="1" s="1"/>
  <c r="X30" i="1"/>
  <c r="CE30" i="1" s="1"/>
  <c r="EA29" i="1"/>
  <c r="DW29" i="1"/>
  <c r="DV29" i="1"/>
  <c r="DS29" i="1"/>
  <c r="DR29" i="1"/>
  <c r="DE29" i="1"/>
  <c r="DF29" i="1" s="1"/>
  <c r="DD29" i="1"/>
  <c r="DC29" i="1"/>
  <c r="CW29" i="1"/>
  <c r="CV29" i="1"/>
  <c r="CI29" i="1"/>
  <c r="CC29" i="1"/>
  <c r="CB29" i="1"/>
  <c r="CA29" i="1"/>
  <c r="BZ29" i="1"/>
  <c r="BY29" i="1"/>
  <c r="BX29" i="1"/>
  <c r="DU29" i="1" s="1"/>
  <c r="BW29" i="1"/>
  <c r="BV29" i="1"/>
  <c r="BU29" i="1"/>
  <c r="CD29" i="1" s="1"/>
  <c r="BS29" i="1"/>
  <c r="CU29" i="1" s="1"/>
  <c r="X29" i="1"/>
  <c r="EA28" i="1"/>
  <c r="DV28" i="1"/>
  <c r="DU28" i="1"/>
  <c r="DW28" i="1" s="1"/>
  <c r="DR28" i="1"/>
  <c r="DP28" i="1"/>
  <c r="DH28" i="1"/>
  <c r="DI28" i="1" s="1"/>
  <c r="DE28" i="1"/>
  <c r="DB28" i="1"/>
  <c r="CW28" i="1"/>
  <c r="CV28" i="1"/>
  <c r="CY28" i="1" s="1"/>
  <c r="CU28" i="1"/>
  <c r="CC28" i="1"/>
  <c r="CB28" i="1"/>
  <c r="CA28" i="1"/>
  <c r="BZ28" i="1"/>
  <c r="BY28" i="1"/>
  <c r="DD28" i="1" s="1"/>
  <c r="BX28" i="1"/>
  <c r="BW28" i="1"/>
  <c r="BV28" i="1"/>
  <c r="BU28" i="1"/>
  <c r="BS28" i="1"/>
  <c r="X28" i="1"/>
  <c r="DC28" i="1" s="1"/>
  <c r="DF28" i="1" s="1"/>
  <c r="EA27" i="1"/>
  <c r="DV27" i="1"/>
  <c r="DR27" i="1"/>
  <c r="DS27" i="1" s="1"/>
  <c r="DP27" i="1"/>
  <c r="DE27" i="1"/>
  <c r="DD27" i="1"/>
  <c r="DC27" i="1"/>
  <c r="DA27" i="1"/>
  <c r="CY27" i="1"/>
  <c r="CW27" i="1"/>
  <c r="CV27" i="1"/>
  <c r="CC27" i="1"/>
  <c r="CB27" i="1"/>
  <c r="CA27" i="1"/>
  <c r="BZ27" i="1"/>
  <c r="BY27" i="1"/>
  <c r="BX27" i="1"/>
  <c r="DB27" i="1" s="1"/>
  <c r="BW27" i="1"/>
  <c r="BV27" i="1"/>
  <c r="BU27" i="1"/>
  <c r="BS27" i="1"/>
  <c r="CU27" i="1" s="1"/>
  <c r="X27" i="1"/>
  <c r="CE27" i="1" s="1"/>
  <c r="EA26" i="1"/>
  <c r="DV26" i="1"/>
  <c r="DU26" i="1"/>
  <c r="DW26" i="1" s="1"/>
  <c r="DR26" i="1"/>
  <c r="DS26" i="1" s="1"/>
  <c r="DP26" i="1"/>
  <c r="DE26" i="1"/>
  <c r="DD26" i="1"/>
  <c r="DC26" i="1"/>
  <c r="DB26" i="1"/>
  <c r="CW26" i="1"/>
  <c r="CV26" i="1"/>
  <c r="CY26" i="1" s="1"/>
  <c r="CC26" i="1"/>
  <c r="CB26" i="1"/>
  <c r="CA26" i="1"/>
  <c r="BZ26" i="1"/>
  <c r="BY26" i="1"/>
  <c r="BX26" i="1"/>
  <c r="BW26" i="1"/>
  <c r="BV26" i="1"/>
  <c r="BU26" i="1"/>
  <c r="BS26" i="1"/>
  <c r="CU26" i="1" s="1"/>
  <c r="X26" i="1"/>
  <c r="CE26" i="1" s="1"/>
  <c r="EA25" i="1"/>
  <c r="DV25" i="1"/>
  <c r="DR25" i="1"/>
  <c r="DS25" i="1" s="1"/>
  <c r="DP25" i="1"/>
  <c r="DH25" i="1"/>
  <c r="DI25" i="1" s="1"/>
  <c r="DE25" i="1"/>
  <c r="DD25" i="1"/>
  <c r="DC25" i="1"/>
  <c r="CY25" i="1"/>
  <c r="CW25" i="1"/>
  <c r="DA25" i="1" s="1"/>
  <c r="CV25" i="1"/>
  <c r="CC25" i="1"/>
  <c r="CB25" i="1"/>
  <c r="CA25" i="1"/>
  <c r="BZ25" i="1"/>
  <c r="BY25" i="1"/>
  <c r="BX25" i="1"/>
  <c r="DU25" i="1" s="1"/>
  <c r="BW25" i="1"/>
  <c r="BV25" i="1"/>
  <c r="BU25" i="1"/>
  <c r="BS25" i="1"/>
  <c r="CU25" i="1" s="1"/>
  <c r="X25" i="1"/>
  <c r="CE25" i="1" s="1"/>
  <c r="EA24" i="1"/>
  <c r="DV24" i="1"/>
  <c r="DU24" i="1"/>
  <c r="DR24" i="1"/>
  <c r="DW24" i="1" s="1"/>
  <c r="DP24" i="1"/>
  <c r="DF24" i="1"/>
  <c r="DE24" i="1"/>
  <c r="DD24" i="1"/>
  <c r="DB24" i="1"/>
  <c r="CW24" i="1"/>
  <c r="CV24" i="1"/>
  <c r="CC24" i="1"/>
  <c r="CD24" i="1" s="1"/>
  <c r="CB24" i="1"/>
  <c r="CA24" i="1"/>
  <c r="BZ24" i="1"/>
  <c r="BY24" i="1"/>
  <c r="BX24" i="1"/>
  <c r="BW24" i="1"/>
  <c r="BV24" i="1"/>
  <c r="BU24" i="1"/>
  <c r="BS24" i="1"/>
  <c r="CU24" i="1" s="1"/>
  <c r="X24" i="1"/>
  <c r="DC24" i="1" s="1"/>
  <c r="EA23" i="1"/>
  <c r="DV23" i="1"/>
  <c r="DU23" i="1"/>
  <c r="DW23" i="1" s="1"/>
  <c r="DS23" i="1"/>
  <c r="DR23" i="1"/>
  <c r="DE23" i="1"/>
  <c r="DD23" i="1"/>
  <c r="CW23" i="1"/>
  <c r="CV23" i="1"/>
  <c r="CY23" i="1" s="1"/>
  <c r="CU23" i="1"/>
  <c r="CC23" i="1"/>
  <c r="CB23" i="1"/>
  <c r="CA23" i="1"/>
  <c r="BZ23" i="1"/>
  <c r="BY23" i="1"/>
  <c r="BX23" i="1"/>
  <c r="BW23" i="1"/>
  <c r="BV23" i="1"/>
  <c r="BU23" i="1"/>
  <c r="BS23" i="1"/>
  <c r="X23" i="1"/>
  <c r="CE23" i="1" s="1"/>
  <c r="EA22" i="1"/>
  <c r="DV22" i="1"/>
  <c r="DU22" i="1"/>
  <c r="DW22" i="1" s="1"/>
  <c r="DS22" i="1"/>
  <c r="DR22" i="1"/>
  <c r="DP22" i="1"/>
  <c r="DI22" i="1"/>
  <c r="DH22" i="1"/>
  <c r="DE22" i="1"/>
  <c r="DB22" i="1"/>
  <c r="CW22" i="1"/>
  <c r="CV22" i="1"/>
  <c r="CC22" i="1"/>
  <c r="CB22" i="1"/>
  <c r="CA22" i="1"/>
  <c r="BZ22" i="1"/>
  <c r="BY22" i="1"/>
  <c r="DD22" i="1" s="1"/>
  <c r="BX22" i="1"/>
  <c r="BW22" i="1"/>
  <c r="BV22" i="1"/>
  <c r="BU22" i="1"/>
  <c r="BS22" i="1"/>
  <c r="CU22" i="1" s="1"/>
  <c r="X22" i="1"/>
  <c r="DC22" i="1" s="1"/>
  <c r="DF22" i="1" s="1"/>
  <c r="EA21" i="1"/>
  <c r="DV21" i="1"/>
  <c r="DU21" i="1"/>
  <c r="DW21" i="1" s="1"/>
  <c r="DR21" i="1"/>
  <c r="DE21" i="1"/>
  <c r="DD21" i="1"/>
  <c r="CW21" i="1"/>
  <c r="CV21" i="1"/>
  <c r="CC21" i="1"/>
  <c r="CB21" i="1"/>
  <c r="CA21" i="1"/>
  <c r="BZ21" i="1"/>
  <c r="BY21" i="1"/>
  <c r="DS21" i="1" s="1"/>
  <c r="BX21" i="1"/>
  <c r="DP21" i="1" s="1"/>
  <c r="BW21" i="1"/>
  <c r="BV21" i="1"/>
  <c r="BU21" i="1"/>
  <c r="BS21" i="1"/>
  <c r="CU21" i="1" s="1"/>
  <c r="X21" i="1"/>
  <c r="CE21" i="1" s="1"/>
  <c r="EA20" i="1"/>
  <c r="DW20" i="1"/>
  <c r="DV20" i="1"/>
  <c r="DU20" i="1"/>
  <c r="DR20" i="1"/>
  <c r="DE20" i="1"/>
  <c r="CX20" i="1"/>
  <c r="CW20" i="1"/>
  <c r="CV20" i="1"/>
  <c r="CC20" i="1"/>
  <c r="CB20" i="1"/>
  <c r="CA20" i="1"/>
  <c r="BZ20" i="1"/>
  <c r="BY20" i="1"/>
  <c r="DS20" i="1" s="1"/>
  <c r="BX20" i="1"/>
  <c r="DP20" i="1" s="1"/>
  <c r="BW20" i="1"/>
  <c r="BV20" i="1"/>
  <c r="BU20" i="1"/>
  <c r="BS20" i="1"/>
  <c r="CU20" i="1" s="1"/>
  <c r="X20" i="1"/>
  <c r="CE20" i="1" s="1"/>
  <c r="EA19" i="1"/>
  <c r="DV19" i="1"/>
  <c r="DR19" i="1"/>
  <c r="DH19" i="1"/>
  <c r="DI19" i="1" s="1"/>
  <c r="DE19" i="1"/>
  <c r="CY19" i="1"/>
  <c r="CW19" i="1"/>
  <c r="CV19" i="1"/>
  <c r="CC19" i="1"/>
  <c r="CB19" i="1"/>
  <c r="CA19" i="1"/>
  <c r="BZ19" i="1"/>
  <c r="BY19" i="1"/>
  <c r="DD19" i="1" s="1"/>
  <c r="BX19" i="1"/>
  <c r="BW19" i="1"/>
  <c r="BV19" i="1"/>
  <c r="BU19" i="1"/>
  <c r="BS19" i="1"/>
  <c r="CU19" i="1" s="1"/>
  <c r="CX19" i="1" s="1"/>
  <c r="X19" i="1"/>
  <c r="CE19" i="1" s="1"/>
  <c r="EA18" i="1"/>
  <c r="DV18" i="1"/>
  <c r="DR18" i="1"/>
  <c r="DH18" i="1"/>
  <c r="DI18" i="1" s="1"/>
  <c r="DE18" i="1"/>
  <c r="CY18" i="1"/>
  <c r="DA18" i="1" s="1"/>
  <c r="CX18" i="1"/>
  <c r="CW18" i="1"/>
  <c r="CV18" i="1"/>
  <c r="CC18" i="1"/>
  <c r="CB18" i="1"/>
  <c r="CA18" i="1"/>
  <c r="BZ18" i="1"/>
  <c r="BY18" i="1"/>
  <c r="BX18" i="1"/>
  <c r="BW18" i="1"/>
  <c r="BV18" i="1"/>
  <c r="BU18" i="1"/>
  <c r="BS18" i="1"/>
  <c r="CU18" i="1" s="1"/>
  <c r="CZ18" i="1" s="1"/>
  <c r="X18" i="1"/>
  <c r="CE18" i="1" s="1"/>
  <c r="EA17" i="1"/>
  <c r="DV17" i="1"/>
  <c r="DR17" i="1"/>
  <c r="DE17" i="1"/>
  <c r="CZ17" i="1"/>
  <c r="CY17" i="1"/>
  <c r="DA17" i="1" s="1"/>
  <c r="CW17" i="1"/>
  <c r="CV17" i="1"/>
  <c r="CC17" i="1"/>
  <c r="CB17" i="1"/>
  <c r="CA17" i="1"/>
  <c r="BZ17" i="1"/>
  <c r="BY17" i="1"/>
  <c r="BX17" i="1"/>
  <c r="BW17" i="1"/>
  <c r="BV17" i="1"/>
  <c r="BU17" i="1"/>
  <c r="BS17" i="1"/>
  <c r="CU17" i="1" s="1"/>
  <c r="CX17" i="1" s="1"/>
  <c r="X17" i="1"/>
  <c r="CE17" i="1" s="1"/>
  <c r="EA16" i="1"/>
  <c r="DV16" i="1"/>
  <c r="DU16" i="1"/>
  <c r="DW16" i="1" s="1"/>
  <c r="DR16" i="1"/>
  <c r="DP16" i="1"/>
  <c r="DE16" i="1"/>
  <c r="DC16" i="1"/>
  <c r="DB16" i="1"/>
  <c r="CW16" i="1"/>
  <c r="CV16" i="1"/>
  <c r="CY16" i="1" s="1"/>
  <c r="DA16" i="1" s="1"/>
  <c r="CC16" i="1"/>
  <c r="CB16" i="1"/>
  <c r="CA16" i="1"/>
  <c r="BZ16" i="1"/>
  <c r="BY16" i="1"/>
  <c r="BX16" i="1"/>
  <c r="BW16" i="1"/>
  <c r="BV16" i="1"/>
  <c r="BU16" i="1"/>
  <c r="BS16" i="1"/>
  <c r="CU16" i="1" s="1"/>
  <c r="CX16" i="1" s="1"/>
  <c r="X16" i="1"/>
  <c r="CE16" i="1" s="1"/>
  <c r="EA15" i="1"/>
  <c r="DV15" i="1"/>
  <c r="DR15" i="1"/>
  <c r="DS15" i="1" s="1"/>
  <c r="DP15" i="1"/>
  <c r="DE15" i="1"/>
  <c r="DD15" i="1"/>
  <c r="DC15" i="1"/>
  <c r="DB15" i="1"/>
  <c r="DA15" i="1"/>
  <c r="CY15" i="1"/>
  <c r="CW15" i="1"/>
  <c r="CV15" i="1"/>
  <c r="CC15" i="1"/>
  <c r="CB15" i="1"/>
  <c r="CA15" i="1"/>
  <c r="BZ15" i="1"/>
  <c r="BY15" i="1"/>
  <c r="BX15" i="1"/>
  <c r="DU15" i="1" s="1"/>
  <c r="DW15" i="1" s="1"/>
  <c r="BW15" i="1"/>
  <c r="BV15" i="1"/>
  <c r="BU15" i="1"/>
  <c r="BS15" i="1"/>
  <c r="CU15" i="1" s="1"/>
  <c r="X15" i="1"/>
  <c r="CE15" i="1" s="1"/>
  <c r="EA14" i="1"/>
  <c r="DV14" i="1"/>
  <c r="DU14" i="1"/>
  <c r="DW14" i="1" s="1"/>
  <c r="DR14" i="1"/>
  <c r="DS14" i="1" s="1"/>
  <c r="DP14" i="1"/>
  <c r="DE14" i="1"/>
  <c r="DF14" i="1" s="1"/>
  <c r="DD14" i="1"/>
  <c r="DC14" i="1"/>
  <c r="DB14" i="1"/>
  <c r="CW14" i="1"/>
  <c r="CV14" i="1"/>
  <c r="CC14" i="1"/>
  <c r="CB14" i="1"/>
  <c r="CA14" i="1"/>
  <c r="BZ14" i="1"/>
  <c r="BY14" i="1"/>
  <c r="BX14" i="1"/>
  <c r="BW14" i="1"/>
  <c r="BV14" i="1"/>
  <c r="BU14" i="1"/>
  <c r="BS14" i="1"/>
  <c r="CU14" i="1" s="1"/>
  <c r="X14" i="1"/>
  <c r="CE14" i="1" s="1"/>
  <c r="EA13" i="1"/>
  <c r="DV13" i="1"/>
  <c r="DR13" i="1"/>
  <c r="DS13" i="1" s="1"/>
  <c r="DP13" i="1"/>
  <c r="DH13" i="1"/>
  <c r="DI13" i="1" s="1"/>
  <c r="DE13" i="1"/>
  <c r="DD13" i="1"/>
  <c r="DC13" i="1"/>
  <c r="CY13" i="1"/>
  <c r="CW13" i="1"/>
  <c r="CV13" i="1"/>
  <c r="DA13" i="1" s="1"/>
  <c r="CC13" i="1"/>
  <c r="CB13" i="1"/>
  <c r="CA13" i="1"/>
  <c r="BZ13" i="1"/>
  <c r="BY13" i="1"/>
  <c r="BX13" i="1"/>
  <c r="DU13" i="1" s="1"/>
  <c r="DW13" i="1" s="1"/>
  <c r="BW13" i="1"/>
  <c r="BV13" i="1"/>
  <c r="BU13" i="1"/>
  <c r="BS13" i="1"/>
  <c r="CU13" i="1" s="1"/>
  <c r="X13" i="1"/>
  <c r="CE13" i="1" s="1"/>
  <c r="EA12" i="1"/>
  <c r="DV12" i="1"/>
  <c r="DU12" i="1"/>
  <c r="DR12" i="1"/>
  <c r="DW12" i="1" s="1"/>
  <c r="DP12" i="1"/>
  <c r="DE12" i="1"/>
  <c r="DF12" i="1" s="1"/>
  <c r="CD12" i="1" s="1"/>
  <c r="DD12" i="1"/>
  <c r="DB12" i="1"/>
  <c r="CW12" i="1"/>
  <c r="CV12" i="1"/>
  <c r="CC12" i="1"/>
  <c r="CB12" i="1"/>
  <c r="CA12" i="1"/>
  <c r="BZ12" i="1"/>
  <c r="BY12" i="1"/>
  <c r="BX12" i="1"/>
  <c r="BW12" i="1"/>
  <c r="BV12" i="1"/>
  <c r="BU12" i="1"/>
  <c r="BS12" i="1"/>
  <c r="CU12" i="1" s="1"/>
  <c r="X12" i="1"/>
  <c r="DC12" i="1" s="1"/>
  <c r="EA11" i="1"/>
  <c r="DV11" i="1"/>
  <c r="DU11" i="1"/>
  <c r="DW11" i="1" s="1"/>
  <c r="DR11" i="1"/>
  <c r="DS11" i="1" s="1"/>
  <c r="DE11" i="1"/>
  <c r="DD11" i="1"/>
  <c r="CW11" i="1"/>
  <c r="CV11" i="1"/>
  <c r="CY11" i="1" s="1"/>
  <c r="CC11" i="1"/>
  <c r="CB11" i="1"/>
  <c r="CA11" i="1"/>
  <c r="BZ11" i="1"/>
  <c r="BY11" i="1"/>
  <c r="BX11" i="1"/>
  <c r="DP11" i="1" s="1"/>
  <c r="BW11" i="1"/>
  <c r="BV11" i="1"/>
  <c r="BU11" i="1"/>
  <c r="BS11" i="1"/>
  <c r="CU11" i="1" s="1"/>
  <c r="X11" i="1"/>
  <c r="CE11" i="1" s="1"/>
  <c r="EA10" i="1"/>
  <c r="DV10" i="1"/>
  <c r="DU10" i="1"/>
  <c r="DW10" i="1" s="1"/>
  <c r="DS10" i="1"/>
  <c r="DR10" i="1"/>
  <c r="DP10" i="1"/>
  <c r="DH10" i="1"/>
  <c r="DI10" i="1" s="1"/>
  <c r="DE10" i="1"/>
  <c r="DB10" i="1"/>
  <c r="CW10" i="1"/>
  <c r="CV10" i="1"/>
  <c r="CE10" i="1"/>
  <c r="CC10" i="1"/>
  <c r="CB10" i="1"/>
  <c r="CA10" i="1"/>
  <c r="BZ10" i="1"/>
  <c r="BY10" i="1"/>
  <c r="DD10" i="1" s="1"/>
  <c r="BX10" i="1"/>
  <c r="BW10" i="1"/>
  <c r="BV10" i="1"/>
  <c r="BU10" i="1"/>
  <c r="BS10" i="1"/>
  <c r="CU10" i="1" s="1"/>
  <c r="X10" i="1"/>
  <c r="DC10" i="1" s="1"/>
  <c r="DF10" i="1" s="1"/>
  <c r="EA9" i="1"/>
  <c r="DV9" i="1"/>
  <c r="DU9" i="1"/>
  <c r="DR9" i="1"/>
  <c r="DH9" i="1"/>
  <c r="DI9" i="1" s="1"/>
  <c r="DE9" i="1"/>
  <c r="DD9" i="1"/>
  <c r="CW9" i="1"/>
  <c r="CV9" i="1"/>
  <c r="CC9" i="1"/>
  <c r="CB9" i="1"/>
  <c r="CA9" i="1"/>
  <c r="BZ9" i="1"/>
  <c r="BY9" i="1"/>
  <c r="DS9" i="1" s="1"/>
  <c r="BX9" i="1"/>
  <c r="DC9" i="1" s="1"/>
  <c r="BW9" i="1"/>
  <c r="BV9" i="1"/>
  <c r="BU9" i="1"/>
  <c r="BS9" i="1"/>
  <c r="CU9" i="1" s="1"/>
  <c r="X9" i="1"/>
  <c r="EA8" i="1"/>
  <c r="DV8" i="1"/>
  <c r="DU8" i="1"/>
  <c r="DW8" i="1" s="1"/>
  <c r="DR8" i="1"/>
  <c r="DE8" i="1"/>
  <c r="CX8" i="1"/>
  <c r="CW8" i="1"/>
  <c r="CV8" i="1"/>
  <c r="CC8" i="1"/>
  <c r="CB8" i="1"/>
  <c r="CA8" i="1"/>
  <c r="BZ8" i="1"/>
  <c r="BY8" i="1"/>
  <c r="DD8" i="1" s="1"/>
  <c r="BX8" i="1"/>
  <c r="DP8" i="1" s="1"/>
  <c r="BW8" i="1"/>
  <c r="BV8" i="1"/>
  <c r="BU8" i="1"/>
  <c r="BS8" i="1"/>
  <c r="CU8" i="1" s="1"/>
  <c r="X8" i="1"/>
  <c r="CE8" i="1" s="1"/>
  <c r="EA7" i="1"/>
  <c r="DV7" i="1"/>
  <c r="DR7" i="1"/>
  <c r="DH7" i="1"/>
  <c r="DI7" i="1" s="1"/>
  <c r="DE7" i="1"/>
  <c r="CY7" i="1"/>
  <c r="CW7" i="1"/>
  <c r="CV7" i="1"/>
  <c r="CC7" i="1"/>
  <c r="CB7" i="1"/>
  <c r="CA7" i="1"/>
  <c r="BZ7" i="1"/>
  <c r="BY7" i="1"/>
  <c r="DD7" i="1" s="1"/>
  <c r="BX7" i="1"/>
  <c r="BW7" i="1"/>
  <c r="BV7" i="1"/>
  <c r="BU7" i="1"/>
  <c r="BS7" i="1"/>
  <c r="CU7" i="1" s="1"/>
  <c r="CX7" i="1" s="1"/>
  <c r="X7" i="1"/>
  <c r="CE7" i="1" s="1"/>
  <c r="EA6" i="1"/>
  <c r="DV6" i="1"/>
  <c r="DR6" i="1"/>
  <c r="DE6" i="1"/>
  <c r="CY6" i="1"/>
  <c r="DA6" i="1" s="1"/>
  <c r="CW6" i="1"/>
  <c r="CV6" i="1"/>
  <c r="CC6" i="1"/>
  <c r="CB6" i="1"/>
  <c r="CA6" i="1"/>
  <c r="BZ6" i="1"/>
  <c r="BY6" i="1"/>
  <c r="BX6" i="1"/>
  <c r="BW6" i="1"/>
  <c r="BV6" i="1"/>
  <c r="BU6" i="1"/>
  <c r="BS6" i="1"/>
  <c r="CU6" i="1" s="1"/>
  <c r="X6" i="1"/>
  <c r="CE6" i="1" s="1"/>
  <c r="EA5" i="1"/>
  <c r="DV5" i="1"/>
  <c r="DR5" i="1"/>
  <c r="DE5" i="1"/>
  <c r="CZ5" i="1"/>
  <c r="CY5" i="1"/>
  <c r="DA5" i="1" s="1"/>
  <c r="CW5" i="1"/>
  <c r="CV5" i="1"/>
  <c r="CC5" i="1"/>
  <c r="CB5" i="1"/>
  <c r="CA5" i="1"/>
  <c r="BZ5" i="1"/>
  <c r="BY5" i="1"/>
  <c r="BX5" i="1"/>
  <c r="BW5" i="1"/>
  <c r="BV5" i="1"/>
  <c r="BU5" i="1"/>
  <c r="BS5" i="1"/>
  <c r="CU5" i="1" s="1"/>
  <c r="CX5" i="1" s="1"/>
  <c r="X5" i="1"/>
  <c r="CE5" i="1" s="1"/>
  <c r="EA4" i="1"/>
  <c r="DV4" i="1"/>
  <c r="DU4" i="1"/>
  <c r="DW4" i="1" s="1"/>
  <c r="DR4" i="1"/>
  <c r="DP4" i="1"/>
  <c r="DQ4" i="1" s="1"/>
  <c r="DE4" i="1"/>
  <c r="DC4" i="1"/>
  <c r="DB4" i="1"/>
  <c r="CW4" i="1"/>
  <c r="CV4" i="1"/>
  <c r="CY4" i="1" s="1"/>
  <c r="DA4" i="1" s="1"/>
  <c r="CC4" i="1"/>
  <c r="CB4" i="1"/>
  <c r="CA4" i="1"/>
  <c r="BZ4" i="1"/>
  <c r="BY4" i="1"/>
  <c r="BX4" i="1"/>
  <c r="BW4" i="1"/>
  <c r="BV4" i="1"/>
  <c r="BU4" i="1"/>
  <c r="BS4" i="1"/>
  <c r="CU4" i="1" s="1"/>
  <c r="CX4" i="1" s="1"/>
  <c r="X4" i="1"/>
  <c r="CE4" i="1" s="1"/>
  <c r="EA3" i="1"/>
  <c r="DV3" i="1"/>
  <c r="DR3" i="1"/>
  <c r="DS3" i="1" s="1"/>
  <c r="DP3" i="1"/>
  <c r="DQ3" i="1" s="1"/>
  <c r="DH3" i="1"/>
  <c r="DI3" i="1" s="1"/>
  <c r="DE3" i="1"/>
  <c r="DF3" i="1" s="1"/>
  <c r="DD3" i="1"/>
  <c r="DC3" i="1"/>
  <c r="DB3" i="1"/>
  <c r="DA3" i="1"/>
  <c r="DX3" i="1" s="1"/>
  <c r="DY3" i="1" s="1"/>
  <c r="CY3" i="1"/>
  <c r="CW3" i="1"/>
  <c r="CV3" i="1"/>
  <c r="CC3" i="1"/>
  <c r="CB3" i="1"/>
  <c r="CA3" i="1"/>
  <c r="BZ3" i="1"/>
  <c r="BY3" i="1"/>
  <c r="BX3" i="1"/>
  <c r="DU3" i="1" s="1"/>
  <c r="DW3" i="1" s="1"/>
  <c r="BW3" i="1"/>
  <c r="BV3" i="1"/>
  <c r="BU3" i="1"/>
  <c r="BS3" i="1"/>
  <c r="CU3" i="1" s="1"/>
  <c r="X3" i="1"/>
  <c r="CE3" i="1" s="1"/>
  <c r="D30" i="9" l="1"/>
  <c r="EJ31" i="1"/>
  <c r="CJ31" i="1"/>
  <c r="ER31" i="1"/>
  <c r="EE31" i="1"/>
  <c r="EC31" i="1"/>
  <c r="EQ31" i="1"/>
  <c r="ED31" i="1"/>
  <c r="CI31" i="1"/>
  <c r="EO31" i="1"/>
  <c r="EB31" i="1"/>
  <c r="CK31" i="1"/>
  <c r="EN31" i="1"/>
  <c r="EK31" i="1"/>
  <c r="H32" i="22" s="1"/>
  <c r="EM31" i="1"/>
  <c r="CH31" i="1"/>
  <c r="EL31" i="1"/>
  <c r="CG31" i="1"/>
  <c r="EF31" i="1"/>
  <c r="EP31" i="1"/>
  <c r="EH31" i="1"/>
  <c r="EG31" i="1"/>
  <c r="CQ31" i="1"/>
  <c r="EI31" i="1"/>
  <c r="DM40" i="1"/>
  <c r="DK40" i="1"/>
  <c r="DL40" i="1"/>
  <c r="DJ40" i="1"/>
  <c r="CZ11" i="1"/>
  <c r="CX11" i="1"/>
  <c r="CX10" i="1"/>
  <c r="CZ10" i="1" s="1"/>
  <c r="CX21" i="1"/>
  <c r="CZ21" i="1"/>
  <c r="D23" i="9"/>
  <c r="EN24" i="1"/>
  <c r="CJ24" i="1"/>
  <c r="EM24" i="1"/>
  <c r="EK24" i="1"/>
  <c r="CK24" i="1"/>
  <c r="EJ24" i="1"/>
  <c r="EG24" i="1"/>
  <c r="CG24" i="1"/>
  <c r="EI24" i="1"/>
  <c r="CI24" i="1"/>
  <c r="EH24" i="1"/>
  <c r="CH24" i="1"/>
  <c r="EO24" i="1"/>
  <c r="EL24" i="1"/>
  <c r="EQ24" i="1"/>
  <c r="ER24" i="1" s="1"/>
  <c r="CX9" i="1"/>
  <c r="CZ9" i="1"/>
  <c r="CD28" i="1"/>
  <c r="DX35" i="1"/>
  <c r="CX22" i="1"/>
  <c r="CZ22" i="1" s="1"/>
  <c r="D11" i="9"/>
  <c r="EN12" i="1"/>
  <c r="CG12" i="1"/>
  <c r="CK12" i="1"/>
  <c r="EJ12" i="1"/>
  <c r="CJ12" i="1"/>
  <c r="EG12" i="1"/>
  <c r="EI12" i="1"/>
  <c r="ER12" i="1" s="1"/>
  <c r="CI12" i="1"/>
  <c r="EH12" i="1"/>
  <c r="EL12" i="1" s="1"/>
  <c r="CH12" i="1"/>
  <c r="EO12" i="1"/>
  <c r="EQ12" i="1"/>
  <c r="EK12" i="1" s="1"/>
  <c r="H13" i="22" s="1"/>
  <c r="D117" i="9"/>
  <c r="EO118" i="1"/>
  <c r="EN118" i="1"/>
  <c r="EM118" i="1"/>
  <c r="EL118" i="1"/>
  <c r="EK118" i="1"/>
  <c r="AF119" i="21" s="1"/>
  <c r="CK118" i="1"/>
  <c r="EJ118" i="1"/>
  <c r="CJ118" i="1"/>
  <c r="EI118" i="1"/>
  <c r="CI118" i="1"/>
  <c r="EG118" i="1"/>
  <c r="CG118" i="1"/>
  <c r="EQ118" i="1"/>
  <c r="ER118" i="1"/>
  <c r="CH118" i="1"/>
  <c r="EP118" i="1"/>
  <c r="EH118" i="1"/>
  <c r="CZ135" i="1"/>
  <c r="CX135" i="1"/>
  <c r="CY29" i="1"/>
  <c r="DA29" i="1"/>
  <c r="DX29" i="1" s="1"/>
  <c r="D31" i="9"/>
  <c r="EI32" i="1"/>
  <c r="CI32" i="1"/>
  <c r="EG32" i="1"/>
  <c r="ER32" i="1"/>
  <c r="EM32" i="1"/>
  <c r="CK32" i="1"/>
  <c r="EF32" i="1"/>
  <c r="CQ32" i="1"/>
  <c r="EP32" i="1"/>
  <c r="EC32" i="1"/>
  <c r="EQ32" i="1"/>
  <c r="ED32" i="1"/>
  <c r="EO32" i="1"/>
  <c r="EB32" i="1"/>
  <c r="EN32" i="1"/>
  <c r="EH32" i="1"/>
  <c r="EE32" i="1"/>
  <c r="CZ72" i="1"/>
  <c r="CX72" i="1"/>
  <c r="DW74" i="1"/>
  <c r="CY116" i="1"/>
  <c r="DA116" i="1" s="1"/>
  <c r="DX116" i="1" s="1"/>
  <c r="DU33" i="1"/>
  <c r="DW33" i="1" s="1"/>
  <c r="DC33" i="1"/>
  <c r="DF33" i="1" s="1"/>
  <c r="DX33" i="1" s="1"/>
  <c r="DP33" i="1"/>
  <c r="DB33" i="1"/>
  <c r="DX42" i="1"/>
  <c r="DU45" i="1"/>
  <c r="DW45" i="1" s="1"/>
  <c r="DP45" i="1"/>
  <c r="DQ45" i="1" s="1"/>
  <c r="CZ64" i="1"/>
  <c r="CX64" i="1"/>
  <c r="CX3" i="1"/>
  <c r="CZ3" i="1" s="1"/>
  <c r="DP18" i="1"/>
  <c r="DC18" i="1"/>
  <c r="DB18" i="1"/>
  <c r="DU18" i="1"/>
  <c r="DW18" i="1" s="1"/>
  <c r="CZ20" i="1"/>
  <c r="CD22" i="1"/>
  <c r="CY36" i="1"/>
  <c r="DA36" i="1"/>
  <c r="DP46" i="1"/>
  <c r="DQ46" i="1" s="1"/>
  <c r="DB46" i="1"/>
  <c r="DC46" i="1"/>
  <c r="DF46" i="1" s="1"/>
  <c r="DS5" i="1"/>
  <c r="DD5" i="1"/>
  <c r="DS12" i="1"/>
  <c r="CY20" i="1"/>
  <c r="DA20" i="1" s="1"/>
  <c r="DC23" i="1"/>
  <c r="DF23" i="1" s="1"/>
  <c r="CD23" i="1" s="1"/>
  <c r="DF25" i="1"/>
  <c r="CD25" i="1" s="1"/>
  <c r="CG29" i="1"/>
  <c r="CZ38" i="1"/>
  <c r="CE52" i="1"/>
  <c r="CD53" i="1"/>
  <c r="DF15" i="1"/>
  <c r="CD15" i="1" s="1"/>
  <c r="DA22" i="1"/>
  <c r="DX22" i="1" s="1"/>
  <c r="CY22" i="1"/>
  <c r="CE29" i="1"/>
  <c r="CH29" i="1"/>
  <c r="CE32" i="1"/>
  <c r="CH32" i="1"/>
  <c r="DP38" i="1"/>
  <c r="DC38" i="1"/>
  <c r="DB38" i="1"/>
  <c r="DU38" i="1"/>
  <c r="DW38" i="1" s="1"/>
  <c r="CZ39" i="1"/>
  <c r="DF40" i="1"/>
  <c r="CD40" i="1" s="1"/>
  <c r="DF44" i="1"/>
  <c r="DA47" i="1"/>
  <c r="CZ50" i="1"/>
  <c r="CX50" i="1"/>
  <c r="CZ54" i="1"/>
  <c r="CD78" i="1"/>
  <c r="CZ82" i="1"/>
  <c r="DA82" i="1"/>
  <c r="DX82" i="1" s="1"/>
  <c r="CD106" i="1"/>
  <c r="CZ113" i="1"/>
  <c r="CX113" i="1"/>
  <c r="CX129" i="1"/>
  <c r="CZ129" i="1" s="1"/>
  <c r="CX130" i="1"/>
  <c r="CZ130" i="1"/>
  <c r="CX147" i="1"/>
  <c r="CZ147" i="1"/>
  <c r="DW181" i="1"/>
  <c r="CZ52" i="1"/>
  <c r="D88" i="9"/>
  <c r="EO89" i="1"/>
  <c r="EN89" i="1"/>
  <c r="EK89" i="1"/>
  <c r="CK89" i="1"/>
  <c r="EJ89" i="1"/>
  <c r="CJ89" i="1"/>
  <c r="EH89" i="1"/>
  <c r="EM89" i="1" s="1"/>
  <c r="CH89" i="1"/>
  <c r="EG89" i="1"/>
  <c r="T90" i="21" s="1"/>
  <c r="CI89" i="1"/>
  <c r="EI89" i="1"/>
  <c r="ER89" i="1" s="1"/>
  <c r="EP89" i="1" s="1"/>
  <c r="EQ89" i="1"/>
  <c r="CG89" i="1"/>
  <c r="CY32" i="1"/>
  <c r="DA32" i="1"/>
  <c r="DX32" i="1" s="1"/>
  <c r="DY32" i="1" s="1"/>
  <c r="DK43" i="1"/>
  <c r="DJ43" i="1"/>
  <c r="D51" i="9"/>
  <c r="EK52" i="1"/>
  <c r="CK52" i="1"/>
  <c r="EN52" i="1"/>
  <c r="EJ52" i="1"/>
  <c r="CH52" i="1"/>
  <c r="EQ52" i="1"/>
  <c r="CI52" i="1"/>
  <c r="EO52" i="1"/>
  <c r="CJ52" i="1"/>
  <c r="EG52" i="1"/>
  <c r="EH52" i="1"/>
  <c r="W53" i="21" s="1"/>
  <c r="DF198" i="1"/>
  <c r="CZ8" i="1"/>
  <c r="CD10" i="1"/>
  <c r="CX29" i="1"/>
  <c r="CZ29" i="1" s="1"/>
  <c r="CZ37" i="1"/>
  <c r="CX37" i="1"/>
  <c r="DM43" i="1"/>
  <c r="DB45" i="1"/>
  <c r="DF54" i="1"/>
  <c r="CD54" i="1" s="1"/>
  <c r="CZ63" i="1"/>
  <c r="CD65" i="1"/>
  <c r="CY71" i="1"/>
  <c r="DA71" i="1"/>
  <c r="DU73" i="1"/>
  <c r="DW73" i="1" s="1"/>
  <c r="DP73" i="1"/>
  <c r="DC73" i="1"/>
  <c r="DF73" i="1" s="1"/>
  <c r="DX73" i="1" s="1"/>
  <c r="DB73" i="1"/>
  <c r="DX96" i="1"/>
  <c r="CZ97" i="1"/>
  <c r="CX97" i="1"/>
  <c r="CX98" i="1"/>
  <c r="CZ98" i="1"/>
  <c r="D161" i="9"/>
  <c r="EM162" i="1"/>
  <c r="AL163" i="21" s="1"/>
  <c r="EL162" i="1"/>
  <c r="EK162" i="1"/>
  <c r="CK162" i="1"/>
  <c r="EJ162" i="1"/>
  <c r="CJ162" i="1"/>
  <c r="EI162" i="1"/>
  <c r="CI162" i="1"/>
  <c r="EH162" i="1"/>
  <c r="CH162" i="1"/>
  <c r="EG162" i="1"/>
  <c r="CG162" i="1"/>
  <c r="ER162" i="1"/>
  <c r="EF162" i="1"/>
  <c r="EN162" i="1"/>
  <c r="EB162" i="1"/>
  <c r="EQ162" i="1"/>
  <c r="EP162" i="1"/>
  <c r="EO162" i="1"/>
  <c r="EE162" i="1"/>
  <c r="ED162" i="1"/>
  <c r="EC162" i="1"/>
  <c r="H163" i="21" s="1"/>
  <c r="CQ162" i="1"/>
  <c r="DA50" i="1"/>
  <c r="DX50" i="1" s="1"/>
  <c r="CY50" i="1"/>
  <c r="CX33" i="2"/>
  <c r="CZ33" i="2" s="1"/>
  <c r="DF4" i="1"/>
  <c r="CD4" i="1" s="1"/>
  <c r="DF9" i="1"/>
  <c r="CD9" i="1" s="1"/>
  <c r="DL79" i="1"/>
  <c r="DK79" i="1"/>
  <c r="DJ79" i="1"/>
  <c r="DM79" i="1"/>
  <c r="DS110" i="1"/>
  <c r="DD110" i="1"/>
  <c r="CX136" i="1"/>
  <c r="CZ136" i="1" s="1"/>
  <c r="CX146" i="1"/>
  <c r="CZ146" i="1" s="1"/>
  <c r="DA20" i="2"/>
  <c r="CY20" i="2"/>
  <c r="CX65" i="1"/>
  <c r="CZ65" i="1" s="1"/>
  <c r="DS67" i="1"/>
  <c r="DD67" i="1"/>
  <c r="D68" i="9"/>
  <c r="EL69" i="1"/>
  <c r="EK69" i="1"/>
  <c r="CK69" i="1"/>
  <c r="EI69" i="1"/>
  <c r="CI69" i="1"/>
  <c r="EH69" i="1"/>
  <c r="CH69" i="1"/>
  <c r="EG69" i="1"/>
  <c r="CG69" i="1"/>
  <c r="ER69" i="1"/>
  <c r="EP69" i="1"/>
  <c r="EJ69" i="1"/>
  <c r="CJ69" i="1"/>
  <c r="EQ69" i="1"/>
  <c r="EM69" i="1"/>
  <c r="EN69" i="1"/>
  <c r="AO70" i="21" s="1"/>
  <c r="DU80" i="1"/>
  <c r="DW80" i="1" s="1"/>
  <c r="CD80" i="1"/>
  <c r="DP80" i="1"/>
  <c r="DQ80" i="1" s="1"/>
  <c r="DB80" i="1"/>
  <c r="DC80" i="1"/>
  <c r="DF80" i="1" s="1"/>
  <c r="DX80" i="1" s="1"/>
  <c r="DY80" i="1" s="1"/>
  <c r="DP143" i="1"/>
  <c r="DQ143" i="1" s="1"/>
  <c r="DC143" i="1"/>
  <c r="DB143" i="1"/>
  <c r="DU143" i="1"/>
  <c r="DW143" i="1" s="1"/>
  <c r="CY146" i="1"/>
  <c r="DA146" i="1"/>
  <c r="CX221" i="1"/>
  <c r="CZ221" i="1" s="1"/>
  <c r="E9" i="9"/>
  <c r="EM10" i="2"/>
  <c r="EQ10" i="2"/>
  <c r="EO10" i="2"/>
  <c r="CK10" i="2"/>
  <c r="EN10" i="2"/>
  <c r="CJ10" i="2"/>
  <c r="EL10" i="2"/>
  <c r="CI10" i="2"/>
  <c r="CH10" i="2"/>
  <c r="EG10" i="2"/>
  <c r="EJ10" i="2"/>
  <c r="EI10" i="2"/>
  <c r="EH10" i="2"/>
  <c r="CG10" i="2"/>
  <c r="CD3" i="1"/>
  <c r="CX6" i="1"/>
  <c r="CZ6" i="1" s="1"/>
  <c r="CX15" i="1"/>
  <c r="CZ15" i="1"/>
  <c r="CZ16" i="1"/>
  <c r="DS17" i="1"/>
  <c r="DT17" i="1" s="1"/>
  <c r="DD17" i="1"/>
  <c r="CE24" i="1"/>
  <c r="CZ25" i="1"/>
  <c r="CX25" i="1"/>
  <c r="CD27" i="1"/>
  <c r="CE28" i="1"/>
  <c r="DP6" i="1"/>
  <c r="DC6" i="1"/>
  <c r="DB6" i="1"/>
  <c r="DU6" i="1"/>
  <c r="DW6" i="1" s="1"/>
  <c r="DA8" i="1"/>
  <c r="CY8" i="1"/>
  <c r="DF13" i="1"/>
  <c r="CD13" i="1" s="1"/>
  <c r="DA19" i="1"/>
  <c r="DA21" i="1"/>
  <c r="CY21" i="1"/>
  <c r="CX24" i="1"/>
  <c r="CZ24" i="1" s="1"/>
  <c r="DS24" i="1"/>
  <c r="DF27" i="1"/>
  <c r="DX27" i="1" s="1"/>
  <c r="CZ35" i="1"/>
  <c r="DS38" i="1"/>
  <c r="DC45" i="1"/>
  <c r="CZ66" i="1"/>
  <c r="CX66" i="1"/>
  <c r="DF72" i="1"/>
  <c r="DU84" i="1"/>
  <c r="DW84" i="1" s="1"/>
  <c r="DP84" i="1"/>
  <c r="DC84" i="1"/>
  <c r="DB84" i="1"/>
  <c r="CX99" i="1"/>
  <c r="CZ99" i="1" s="1"/>
  <c r="CX115" i="1"/>
  <c r="CZ115" i="1" s="1"/>
  <c r="D116" i="9"/>
  <c r="EO117" i="1"/>
  <c r="EN117" i="1"/>
  <c r="EM117" i="1"/>
  <c r="EL117" i="1"/>
  <c r="EK117" i="1"/>
  <c r="H118" i="22" s="1"/>
  <c r="CK117" i="1"/>
  <c r="EJ117" i="1"/>
  <c r="CJ117" i="1"/>
  <c r="EH117" i="1"/>
  <c r="CH117" i="1"/>
  <c r="EG117" i="1"/>
  <c r="EI117" i="1"/>
  <c r="ER117" i="1" s="1"/>
  <c r="EP117" i="1" s="1"/>
  <c r="CX144" i="1"/>
  <c r="CZ144" i="1" s="1"/>
  <c r="D159" i="9"/>
  <c r="EO160" i="1"/>
  <c r="EC160" i="1"/>
  <c r="EN160" i="1"/>
  <c r="EB160" i="1"/>
  <c r="EM160" i="1"/>
  <c r="EL160" i="1"/>
  <c r="EK160" i="1"/>
  <c r="H161" i="22" s="1"/>
  <c r="CK160" i="1"/>
  <c r="EJ160" i="1"/>
  <c r="CJ160" i="1"/>
  <c r="EI160" i="1"/>
  <c r="CI160" i="1"/>
  <c r="EH160" i="1"/>
  <c r="CH160" i="1"/>
  <c r="EP160" i="1"/>
  <c r="ED160" i="1"/>
  <c r="CQ160" i="1"/>
  <c r="CG160" i="1"/>
  <c r="EQ160" i="1"/>
  <c r="EE160" i="1"/>
  <c r="ER160" i="1"/>
  <c r="EG160" i="1"/>
  <c r="T161" i="21" s="1"/>
  <c r="EF160" i="1"/>
  <c r="DS14" i="2"/>
  <c r="DD14" i="2"/>
  <c r="DX41" i="1"/>
  <c r="CD44" i="1"/>
  <c r="CD66" i="1"/>
  <c r="DJ72" i="1"/>
  <c r="DL72" i="1"/>
  <c r="DK72" i="1"/>
  <c r="DM72" i="1"/>
  <c r="CG77" i="1"/>
  <c r="DS84" i="1"/>
  <c r="DD84" i="1"/>
  <c r="DC104" i="1"/>
  <c r="DF104" i="1" s="1"/>
  <c r="CE104" i="1"/>
  <c r="D106" i="9"/>
  <c r="EN107" i="1"/>
  <c r="AO108" i="21" s="1"/>
  <c r="EB107" i="1"/>
  <c r="EM107" i="1"/>
  <c r="EL107" i="1"/>
  <c r="EK107" i="1"/>
  <c r="CK107" i="1"/>
  <c r="EJ107" i="1"/>
  <c r="CJ107" i="1"/>
  <c r="EI107" i="1"/>
  <c r="CI107" i="1"/>
  <c r="EH107" i="1"/>
  <c r="CH107" i="1"/>
  <c r="ER107" i="1"/>
  <c r="EF107" i="1"/>
  <c r="EG107" i="1"/>
  <c r="EQ107" i="1"/>
  <c r="EP107" i="1"/>
  <c r="CG107" i="1"/>
  <c r="EO107" i="1"/>
  <c r="EE107" i="1"/>
  <c r="ED107" i="1"/>
  <c r="EC107" i="1"/>
  <c r="CQ107" i="1"/>
  <c r="CY115" i="1"/>
  <c r="DA115" i="1" s="1"/>
  <c r="DX115" i="1" s="1"/>
  <c r="CX108" i="2"/>
  <c r="CZ108" i="2" s="1"/>
  <c r="E226" i="22"/>
  <c r="E214" i="22"/>
  <c r="E161" i="22"/>
  <c r="E149" i="22"/>
  <c r="L149" i="22" s="1"/>
  <c r="E181" i="22"/>
  <c r="H173" i="22"/>
  <c r="H149" i="22"/>
  <c r="AF226" i="21"/>
  <c r="AI229" i="21"/>
  <c r="Q227" i="21"/>
  <c r="T229" i="21"/>
  <c r="N227" i="21"/>
  <c r="K226" i="21"/>
  <c r="H227" i="21"/>
  <c r="K214" i="21"/>
  <c r="Q229" i="21"/>
  <c r="AL228" i="21"/>
  <c r="AC227" i="21"/>
  <c r="W226" i="21"/>
  <c r="W225" i="21"/>
  <c r="Z214" i="21"/>
  <c r="K228" i="21"/>
  <c r="T225" i="21"/>
  <c r="E207" i="21"/>
  <c r="Z186" i="21"/>
  <c r="AO229" i="21"/>
  <c r="AF228" i="21"/>
  <c r="Z227" i="21"/>
  <c r="W214" i="21"/>
  <c r="H214" i="21"/>
  <c r="H30" i="22"/>
  <c r="K229" i="21"/>
  <c r="AL226" i="21"/>
  <c r="Q225" i="21"/>
  <c r="E62" i="22"/>
  <c r="H225" i="21"/>
  <c r="AC229" i="21"/>
  <c r="Z228" i="21"/>
  <c r="AL227" i="21"/>
  <c r="AL214" i="21"/>
  <c r="N214" i="21"/>
  <c r="AO163" i="21"/>
  <c r="AC163" i="21"/>
  <c r="AI226" i="21"/>
  <c r="AL225" i="21"/>
  <c r="AF221" i="21"/>
  <c r="AI214" i="21"/>
  <c r="AL173" i="21"/>
  <c r="AL161" i="21"/>
  <c r="Z161" i="21"/>
  <c r="N161" i="21"/>
  <c r="AL149" i="21"/>
  <c r="Z149" i="21"/>
  <c r="N149" i="21"/>
  <c r="E225" i="21"/>
  <c r="T227" i="21"/>
  <c r="Z226" i="21"/>
  <c r="AF225" i="21"/>
  <c r="AF214" i="21"/>
  <c r="H226" i="21"/>
  <c r="Z163" i="21"/>
  <c r="W161" i="21"/>
  <c r="AC149" i="21"/>
  <c r="K163" i="21"/>
  <c r="H161" i="21"/>
  <c r="AO228" i="21"/>
  <c r="AI225" i="21"/>
  <c r="AF173" i="21"/>
  <c r="AI161" i="21"/>
  <c r="AO149" i="21"/>
  <c r="K149" i="21"/>
  <c r="W163" i="21"/>
  <c r="N228" i="21"/>
  <c r="Z225" i="21"/>
  <c r="AC173" i="21"/>
  <c r="AF161" i="21"/>
  <c r="H149" i="21"/>
  <c r="W181" i="21"/>
  <c r="AC161" i="21"/>
  <c r="Q163" i="21"/>
  <c r="AF149" i="21"/>
  <c r="T226" i="21"/>
  <c r="T181" i="21"/>
  <c r="Q160" i="21"/>
  <c r="E229" i="21"/>
  <c r="N226" i="21"/>
  <c r="E186" i="21"/>
  <c r="N163" i="21"/>
  <c r="AO119" i="21"/>
  <c r="Z119" i="21"/>
  <c r="W228" i="21"/>
  <c r="K181" i="21"/>
  <c r="Q161" i="21"/>
  <c r="W149" i="21"/>
  <c r="E161" i="21"/>
  <c r="AO227" i="21"/>
  <c r="AI163" i="21"/>
  <c r="AO161" i="21"/>
  <c r="E149" i="21"/>
  <c r="T173" i="21"/>
  <c r="AI136" i="21"/>
  <c r="AF163" i="21"/>
  <c r="W136" i="21"/>
  <c r="E108" i="21"/>
  <c r="AC96" i="21"/>
  <c r="T214" i="21"/>
  <c r="AI149" i="21"/>
  <c r="K96" i="21"/>
  <c r="K161" i="21"/>
  <c r="W119" i="21"/>
  <c r="Z96" i="21"/>
  <c r="W129" i="21"/>
  <c r="T108" i="21"/>
  <c r="N225" i="21"/>
  <c r="T149" i="21"/>
  <c r="AF160" i="21"/>
  <c r="T119" i="21"/>
  <c r="Q108" i="21"/>
  <c r="W96" i="21"/>
  <c r="AI108" i="21"/>
  <c r="AL96" i="21"/>
  <c r="AI181" i="21"/>
  <c r="N108" i="21"/>
  <c r="AI96" i="21"/>
  <c r="T163" i="21"/>
  <c r="H108" i="21"/>
  <c r="E163" i="21"/>
  <c r="AI62" i="21"/>
  <c r="Q96" i="21"/>
  <c r="AC62" i="21"/>
  <c r="N62" i="21"/>
  <c r="Z62" i="21"/>
  <c r="Z30" i="21"/>
  <c r="N96" i="21"/>
  <c r="Q149" i="21"/>
  <c r="AL119" i="21"/>
  <c r="AC108" i="21"/>
  <c r="AF70" i="21"/>
  <c r="E96" i="21"/>
  <c r="AF53" i="21"/>
  <c r="AC129" i="21"/>
  <c r="AI119" i="21"/>
  <c r="AO62" i="21"/>
  <c r="AC53" i="21"/>
  <c r="K62" i="21"/>
  <c r="H62" i="21"/>
  <c r="Z33" i="21"/>
  <c r="AC119" i="21"/>
  <c r="E62" i="21"/>
  <c r="T53" i="21"/>
  <c r="W33" i="21"/>
  <c r="AI94" i="21"/>
  <c r="T33" i="21"/>
  <c r="K33" i="21"/>
  <c r="AO96" i="21"/>
  <c r="H33" i="21"/>
  <c r="T30" i="21"/>
  <c r="W32" i="21"/>
  <c r="AO33" i="21"/>
  <c r="AL33" i="21"/>
  <c r="CX26" i="1"/>
  <c r="CZ26" i="1" s="1"/>
  <c r="CX51" i="1"/>
  <c r="CZ51" i="1" s="1"/>
  <c r="CY51" i="1"/>
  <c r="DA51" i="1" s="1"/>
  <c r="CZ59" i="1"/>
  <c r="DX68" i="1"/>
  <c r="CZ116" i="1"/>
  <c r="CX116" i="1"/>
  <c r="CZ157" i="1"/>
  <c r="CX157" i="1"/>
  <c r="CD14" i="1"/>
  <c r="D28" i="9"/>
  <c r="EI29" i="1"/>
  <c r="ER29" i="1" s="1"/>
  <c r="EH29" i="1"/>
  <c r="EG29" i="1"/>
  <c r="EQ29" i="1"/>
  <c r="EK29" i="1" s="1"/>
  <c r="AF30" i="21" s="1"/>
  <c r="EO29" i="1"/>
  <c r="CJ29" i="1"/>
  <c r="CK29" i="1"/>
  <c r="EJ29" i="1"/>
  <c r="AC30" i="21" s="1"/>
  <c r="DD30" i="1"/>
  <c r="DF30" i="1" s="1"/>
  <c r="CD30" i="1" s="1"/>
  <c r="DS30" i="1"/>
  <c r="DF38" i="1"/>
  <c r="DX38" i="1" s="1"/>
  <c r="DB47" i="1"/>
  <c r="DP47" i="1"/>
  <c r="DQ47" i="1" s="1"/>
  <c r="DC47" i="1"/>
  <c r="DF47" i="1" s="1"/>
  <c r="CD47" i="1" s="1"/>
  <c r="CZ48" i="1"/>
  <c r="CX48" i="1"/>
  <c r="DA145" i="1"/>
  <c r="CY145" i="1"/>
  <c r="DU17" i="1"/>
  <c r="DW17" i="1" s="1"/>
  <c r="DP17" i="1"/>
  <c r="DQ17" i="1" s="1"/>
  <c r="DB17" i="1"/>
  <c r="DC17" i="1"/>
  <c r="DF17" i="1" s="1"/>
  <c r="CZ117" i="1"/>
  <c r="CX117" i="1"/>
  <c r="D171" i="9"/>
  <c r="EO172" i="1"/>
  <c r="EC172" i="1"/>
  <c r="H173" i="21" s="1"/>
  <c r="EN172" i="1"/>
  <c r="AO173" i="21" s="1"/>
  <c r="EB172" i="1"/>
  <c r="E173" i="21" s="1"/>
  <c r="EM172" i="1"/>
  <c r="EL172" i="1"/>
  <c r="AI173" i="21" s="1"/>
  <c r="EK172" i="1"/>
  <c r="CK172" i="1"/>
  <c r="EJ172" i="1"/>
  <c r="CJ172" i="1"/>
  <c r="EI172" i="1"/>
  <c r="Z173" i="21" s="1"/>
  <c r="CI172" i="1"/>
  <c r="EH172" i="1"/>
  <c r="W173" i="21" s="1"/>
  <c r="CH172" i="1"/>
  <c r="EP172" i="1"/>
  <c r="ED172" i="1"/>
  <c r="K173" i="21" s="1"/>
  <c r="EQ172" i="1"/>
  <c r="EG172" i="1"/>
  <c r="EF172" i="1"/>
  <c r="Q173" i="21" s="1"/>
  <c r="EE172" i="1"/>
  <c r="N173" i="21" s="1"/>
  <c r="CG172" i="1"/>
  <c r="ER172" i="1"/>
  <c r="E173" i="22" s="1"/>
  <c r="L173" i="22" s="1"/>
  <c r="CQ172" i="1"/>
  <c r="DD6" i="1"/>
  <c r="DS6" i="1"/>
  <c r="CY10" i="1"/>
  <c r="DA10" i="1" s="1"/>
  <c r="DX10" i="1" s="1"/>
  <c r="DS16" i="1"/>
  <c r="DD16" i="1"/>
  <c r="DL3" i="1"/>
  <c r="DK3" i="1"/>
  <c r="DJ3" i="1"/>
  <c r="DM3" i="1"/>
  <c r="CX14" i="1"/>
  <c r="CZ14" i="1" s="1"/>
  <c r="DF16" i="1"/>
  <c r="DX16" i="1" s="1"/>
  <c r="DC19" i="1"/>
  <c r="DP19" i="1"/>
  <c r="DB19" i="1"/>
  <c r="DU19" i="1"/>
  <c r="DW19" i="1" s="1"/>
  <c r="CE22" i="1"/>
  <c r="DX25" i="1"/>
  <c r="DF26" i="1"/>
  <c r="CD26" i="1" s="1"/>
  <c r="CZ28" i="1"/>
  <c r="CX28" i="1"/>
  <c r="EN29" i="1"/>
  <c r="AO30" i="21" s="1"/>
  <c r="EJ32" i="1"/>
  <c r="DW34" i="1"/>
  <c r="CD56" i="1"/>
  <c r="CZ75" i="1"/>
  <c r="CX75" i="1"/>
  <c r="CI77" i="1"/>
  <c r="DC88" i="1"/>
  <c r="DF88" i="1" s="1"/>
  <c r="CE88" i="1"/>
  <c r="D92" i="9"/>
  <c r="EN93" i="1"/>
  <c r="EM93" i="1"/>
  <c r="EL93" i="1"/>
  <c r="EK93" i="1"/>
  <c r="CK93" i="1"/>
  <c r="EJ93" i="1"/>
  <c r="CJ93" i="1"/>
  <c r="EI93" i="1"/>
  <c r="CI93" i="1"/>
  <c r="EH93" i="1"/>
  <c r="CH93" i="1"/>
  <c r="ER93" i="1"/>
  <c r="EP93" i="1" s="1"/>
  <c r="EO93" i="1"/>
  <c r="EG93" i="1"/>
  <c r="T94" i="21" s="1"/>
  <c r="CG93" i="1"/>
  <c r="CX104" i="1"/>
  <c r="CZ104" i="1" s="1"/>
  <c r="DX190" i="1"/>
  <c r="DY190" i="1" s="1"/>
  <c r="CZ220" i="1"/>
  <c r="CX220" i="1"/>
  <c r="CZ134" i="2"/>
  <c r="CX134" i="2"/>
  <c r="CE9" i="1"/>
  <c r="DW9" i="1"/>
  <c r="DA14" i="1"/>
  <c r="DX14" i="1" s="1"/>
  <c r="DX15" i="1"/>
  <c r="DF19" i="1"/>
  <c r="CD19" i="1" s="1"/>
  <c r="DF21" i="1"/>
  <c r="CD21" i="1" s="1"/>
  <c r="DW25" i="1"/>
  <c r="EK32" i="1"/>
  <c r="CZ40" i="1"/>
  <c r="CX40" i="1"/>
  <c r="CX43" i="1"/>
  <c r="CZ43" i="1" s="1"/>
  <c r="DX44" i="1"/>
  <c r="DY44" i="1" s="1"/>
  <c r="DK48" i="1"/>
  <c r="DM48" i="1"/>
  <c r="DL48" i="1"/>
  <c r="CZ49" i="1"/>
  <c r="CX49" i="1"/>
  <c r="DA57" i="1"/>
  <c r="CZ57" i="1"/>
  <c r="CZ77" i="1"/>
  <c r="CX77" i="1"/>
  <c r="CX88" i="1"/>
  <c r="CZ88" i="1" s="1"/>
  <c r="CX91" i="1"/>
  <c r="CZ91" i="1" s="1"/>
  <c r="CX107" i="1"/>
  <c r="CZ107" i="1" s="1"/>
  <c r="DF109" i="1"/>
  <c r="CD109" i="1" s="1"/>
  <c r="CY114" i="1"/>
  <c r="DA114" i="1" s="1"/>
  <c r="DX114" i="1" s="1"/>
  <c r="CX123" i="1"/>
  <c r="CZ123" i="1"/>
  <c r="CH128" i="1"/>
  <c r="DF196" i="1"/>
  <c r="CD196" i="1" s="1"/>
  <c r="CZ7" i="1"/>
  <c r="CX30" i="1"/>
  <c r="CZ30" i="1"/>
  <c r="DX31" i="1"/>
  <c r="DY31" i="1" s="1"/>
  <c r="EL32" i="1"/>
  <c r="AI33" i="21" s="1"/>
  <c r="CZ36" i="1"/>
  <c r="CD38" i="1"/>
  <c r="CD41" i="1"/>
  <c r="DA43" i="1"/>
  <c r="CY43" i="1"/>
  <c r="DJ48" i="1"/>
  <c r="CE54" i="1"/>
  <c r="CX61" i="1"/>
  <c r="CZ61" i="1" s="1"/>
  <c r="DW63" i="1"/>
  <c r="CX74" i="1"/>
  <c r="CZ74" i="1" s="1"/>
  <c r="CY78" i="1"/>
  <c r="DA78" i="1" s="1"/>
  <c r="DX78" i="1" s="1"/>
  <c r="CX79" i="1"/>
  <c r="CZ79" i="1" s="1"/>
  <c r="CX87" i="1"/>
  <c r="CZ87" i="1" s="1"/>
  <c r="CX103" i="1"/>
  <c r="CZ103" i="1" s="1"/>
  <c r="DX120" i="1"/>
  <c r="DY120" i="1" s="1"/>
  <c r="CJ128" i="1"/>
  <c r="CX131" i="1"/>
  <c r="CZ131" i="1" s="1"/>
  <c r="CX195" i="1"/>
  <c r="CZ195" i="1" s="1"/>
  <c r="DX85" i="1"/>
  <c r="CX93" i="1"/>
  <c r="CZ93" i="1" s="1"/>
  <c r="CZ95" i="1"/>
  <c r="CX95" i="1"/>
  <c r="CD108" i="1"/>
  <c r="CE128" i="1"/>
  <c r="CU128" i="1"/>
  <c r="DA137" i="1"/>
  <c r="CY137" i="1"/>
  <c r="CX155" i="1"/>
  <c r="CZ155" i="1" s="1"/>
  <c r="CX184" i="1"/>
  <c r="CZ184" i="1" s="1"/>
  <c r="D219" i="9"/>
  <c r="ER218" i="1"/>
  <c r="E221" i="22" s="1"/>
  <c r="L221" i="22" s="1"/>
  <c r="EF218" i="1"/>
  <c r="EQ218" i="1"/>
  <c r="EE218" i="1"/>
  <c r="N221" i="21" s="1"/>
  <c r="CQ218" i="1"/>
  <c r="EP218" i="1"/>
  <c r="ED218" i="1"/>
  <c r="K221" i="21" s="1"/>
  <c r="EO218" i="1"/>
  <c r="EC218" i="1"/>
  <c r="EN218" i="1"/>
  <c r="EB218" i="1"/>
  <c r="EM218" i="1"/>
  <c r="AL221" i="21" s="1"/>
  <c r="EL218" i="1"/>
  <c r="AI221" i="21" s="1"/>
  <c r="EK218" i="1"/>
  <c r="H221" i="22" s="1"/>
  <c r="CK218" i="1"/>
  <c r="EG218" i="1"/>
  <c r="T221" i="21" s="1"/>
  <c r="CG218" i="1"/>
  <c r="CJ218" i="1"/>
  <c r="CI218" i="1"/>
  <c r="CH218" i="1"/>
  <c r="EJ218" i="1"/>
  <c r="EI218" i="1"/>
  <c r="Z221" i="21" s="1"/>
  <c r="EH218" i="1"/>
  <c r="W221" i="21" s="1"/>
  <c r="CZ219" i="1"/>
  <c r="CX219" i="1"/>
  <c r="DD4" i="1"/>
  <c r="DS4" i="1"/>
  <c r="DC7" i="1"/>
  <c r="DF7" i="1" s="1"/>
  <c r="DB7" i="1"/>
  <c r="DU7" i="1"/>
  <c r="DW7" i="1" s="1"/>
  <c r="DP7" i="1"/>
  <c r="CZ32" i="1"/>
  <c r="DD34" i="1"/>
  <c r="DF34" i="1" s="1"/>
  <c r="CX84" i="1"/>
  <c r="CZ84" i="1" s="1"/>
  <c r="D104" i="9"/>
  <c r="EO105" i="1"/>
  <c r="EN105" i="1"/>
  <c r="EM105" i="1"/>
  <c r="EL105" i="1"/>
  <c r="AI106" i="21" s="1"/>
  <c r="EK105" i="1"/>
  <c r="H106" i="22" s="1"/>
  <c r="CK105" i="1"/>
  <c r="EJ105" i="1"/>
  <c r="CJ105" i="1"/>
  <c r="EH105" i="1"/>
  <c r="CH105" i="1"/>
  <c r="EI105" i="1"/>
  <c r="CI105" i="1"/>
  <c r="EG105" i="1"/>
  <c r="EQ105" i="1"/>
  <c r="ER105" i="1" s="1"/>
  <c r="CG105" i="1"/>
  <c r="D222" i="9"/>
  <c r="EO221" i="1"/>
  <c r="EN221" i="1"/>
  <c r="CK221" i="1"/>
  <c r="EJ221" i="1"/>
  <c r="CJ221" i="1"/>
  <c r="EI221" i="1"/>
  <c r="ER221" i="1" s="1"/>
  <c r="CI221" i="1"/>
  <c r="EH221" i="1"/>
  <c r="CH221" i="1"/>
  <c r="EQ221" i="1"/>
  <c r="EK221" i="1" s="1"/>
  <c r="EG221" i="1"/>
  <c r="CZ85" i="2"/>
  <c r="CX85" i="2"/>
  <c r="CZ19" i="1"/>
  <c r="DS47" i="1"/>
  <c r="DT47" i="1" s="1"/>
  <c r="DD47" i="1"/>
  <c r="EI52" i="1"/>
  <c r="Z53" i="21" s="1"/>
  <c r="DF58" i="1"/>
  <c r="DX58" i="1" s="1"/>
  <c r="DU5" i="1"/>
  <c r="DW5" i="1" s="1"/>
  <c r="DB5" i="1"/>
  <c r="DP5" i="1"/>
  <c r="DQ5" i="1" s="1"/>
  <c r="DC5" i="1"/>
  <c r="DF5" i="1" s="1"/>
  <c r="DX5" i="1" s="1"/>
  <c r="DY5" i="1" s="1"/>
  <c r="CE12" i="1"/>
  <c r="CZ13" i="1"/>
  <c r="CX13" i="1"/>
  <c r="CZ23" i="1"/>
  <c r="CX23" i="1"/>
  <c r="CX27" i="1"/>
  <c r="CZ27" i="1" s="1"/>
  <c r="D76" i="9"/>
  <c r="EO77" i="1"/>
  <c r="CK77" i="1"/>
  <c r="EJ77" i="1"/>
  <c r="CJ77" i="1"/>
  <c r="EH77" i="1"/>
  <c r="EM77" i="1" s="1"/>
  <c r="CH77" i="1"/>
  <c r="EI77" i="1"/>
  <c r="ER77" i="1" s="1"/>
  <c r="EP77" i="1" s="1"/>
  <c r="EQ77" i="1"/>
  <c r="EK77" i="1" s="1"/>
  <c r="EN77" i="1"/>
  <c r="CZ4" i="1"/>
  <c r="CD7" i="1"/>
  <c r="DA7" i="1"/>
  <c r="CY9" i="1"/>
  <c r="DA9" i="1" s="1"/>
  <c r="DX9" i="1" s="1"/>
  <c r="CX12" i="1"/>
  <c r="CZ12" i="1" s="1"/>
  <c r="DD18" i="1"/>
  <c r="DS18" i="1"/>
  <c r="CG32" i="1"/>
  <c r="CZ86" i="1"/>
  <c r="CZ89" i="1"/>
  <c r="CX89" i="1"/>
  <c r="D89" i="9"/>
  <c r="EO90" i="1"/>
  <c r="EN90" i="1"/>
  <c r="EK90" i="1"/>
  <c r="H91" i="22" s="1"/>
  <c r="CK90" i="1"/>
  <c r="EJ90" i="1"/>
  <c r="CJ90" i="1"/>
  <c r="EI90" i="1"/>
  <c r="ER90" i="1" s="1"/>
  <c r="EP90" i="1" s="1"/>
  <c r="CI90" i="1"/>
  <c r="EG90" i="1"/>
  <c r="CG90" i="1"/>
  <c r="EQ90" i="1"/>
  <c r="CH90" i="1"/>
  <c r="EH90" i="1"/>
  <c r="DU111" i="1"/>
  <c r="DW111" i="1" s="1"/>
  <c r="DB111" i="1"/>
  <c r="DC111" i="1"/>
  <c r="DP111" i="1"/>
  <c r="CZ124" i="1"/>
  <c r="DX125" i="1"/>
  <c r="DY125" i="1" s="1"/>
  <c r="CZ127" i="1"/>
  <c r="CX127" i="1"/>
  <c r="D127" i="9"/>
  <c r="ER128" i="1"/>
  <c r="E129" i="22" s="1"/>
  <c r="EQ128" i="1"/>
  <c r="EK128" i="1" s="1"/>
  <c r="AF129" i="21" s="1"/>
  <c r="EO128" i="1"/>
  <c r="EN128" i="1"/>
  <c r="AO129" i="21" s="1"/>
  <c r="EL128" i="1"/>
  <c r="AI129" i="21" s="1"/>
  <c r="CK128" i="1"/>
  <c r="EI128" i="1"/>
  <c r="CI128" i="1"/>
  <c r="EG128" i="1"/>
  <c r="T129" i="21" s="1"/>
  <c r="EH128" i="1"/>
  <c r="EM128" i="1" s="1"/>
  <c r="CG128" i="1"/>
  <c r="CX137" i="1"/>
  <c r="CZ137" i="1" s="1"/>
  <c r="CZ143" i="1"/>
  <c r="CX143" i="1"/>
  <c r="CZ185" i="1"/>
  <c r="CX185" i="1"/>
  <c r="CD13" i="2"/>
  <c r="DU60" i="1"/>
  <c r="DW60" i="1" s="1"/>
  <c r="DP60" i="1"/>
  <c r="DC60" i="1"/>
  <c r="DF60" i="1" s="1"/>
  <c r="DF70" i="1"/>
  <c r="DX70" i="1" s="1"/>
  <c r="D125" i="9"/>
  <c r="EG126" i="1"/>
  <c r="T127" i="21" s="1"/>
  <c r="CG126" i="1"/>
  <c r="ER126" i="1"/>
  <c r="EF126" i="1"/>
  <c r="Q127" i="21" s="1"/>
  <c r="EQ126" i="1"/>
  <c r="EE126" i="1"/>
  <c r="CQ126" i="1"/>
  <c r="EP126" i="1"/>
  <c r="ED126" i="1"/>
  <c r="EO126" i="1"/>
  <c r="EC126" i="1"/>
  <c r="EN126" i="1"/>
  <c r="AO127" i="21" s="1"/>
  <c r="EB126" i="1"/>
  <c r="EM126" i="1"/>
  <c r="EK126" i="1"/>
  <c r="CK126" i="1"/>
  <c r="CZ139" i="1"/>
  <c r="CX139" i="1"/>
  <c r="CX17" i="2"/>
  <c r="CZ17" i="2"/>
  <c r="DB36" i="1"/>
  <c r="DP36" i="1"/>
  <c r="CE56" i="1"/>
  <c r="DS99" i="1"/>
  <c r="DD99" i="1"/>
  <c r="DF99" i="1" s="1"/>
  <c r="DP103" i="1"/>
  <c r="DC103" i="1"/>
  <c r="DF103" i="1" s="1"/>
  <c r="CD103" i="1" s="1"/>
  <c r="DB103" i="1"/>
  <c r="DF153" i="1"/>
  <c r="CY159" i="1"/>
  <c r="DA159" i="1" s="1"/>
  <c r="DA11" i="1"/>
  <c r="DD20" i="1"/>
  <c r="DC21" i="1"/>
  <c r="DA23" i="1"/>
  <c r="DS7" i="1"/>
  <c r="CY14" i="1"/>
  <c r="DS19" i="1"/>
  <c r="DS8" i="1"/>
  <c r="DC11" i="1"/>
  <c r="DF11" i="1" s="1"/>
  <c r="CD11" i="1" s="1"/>
  <c r="DP23" i="1"/>
  <c r="DB13" i="1"/>
  <c r="DB25" i="1"/>
  <c r="DA26" i="1"/>
  <c r="DS28" i="1"/>
  <c r="DU32" i="1"/>
  <c r="DW32" i="1" s="1"/>
  <c r="DB34" i="1"/>
  <c r="DS37" i="1"/>
  <c r="DA39" i="1"/>
  <c r="DU40" i="1"/>
  <c r="DW40" i="1" s="1"/>
  <c r="DB55" i="1"/>
  <c r="DD58" i="1"/>
  <c r="DU58" i="1"/>
  <c r="DW58" i="1" s="1"/>
  <c r="DB60" i="1"/>
  <c r="CE77" i="1"/>
  <c r="DD79" i="1"/>
  <c r="DF79" i="1" s="1"/>
  <c r="CD79" i="1" s="1"/>
  <c r="DX81" i="1"/>
  <c r="CD82" i="1"/>
  <c r="CY90" i="1"/>
  <c r="DA90" i="1" s="1"/>
  <c r="DW90" i="1"/>
  <c r="CE93" i="1"/>
  <c r="DW95" i="1"/>
  <c r="CY106" i="1"/>
  <c r="DA106" i="1" s="1"/>
  <c r="CZ108" i="1"/>
  <c r="CX108" i="1"/>
  <c r="CD115" i="1"/>
  <c r="CE117" i="1"/>
  <c r="CZ121" i="1"/>
  <c r="CX121" i="1"/>
  <c r="DJ126" i="1"/>
  <c r="EL126" i="1"/>
  <c r="AI127" i="21" s="1"/>
  <c r="DC132" i="1"/>
  <c r="DF132" i="1" s="1"/>
  <c r="CD132" i="1" s="1"/>
  <c r="DA132" i="1"/>
  <c r="CY132" i="1"/>
  <c r="CE135" i="1"/>
  <c r="DU178" i="1"/>
  <c r="DW178" i="1" s="1"/>
  <c r="DP178" i="1"/>
  <c r="DQ178" i="1" s="1"/>
  <c r="DC178" i="1"/>
  <c r="DB178" i="1"/>
  <c r="CZ191" i="1"/>
  <c r="CX191" i="1"/>
  <c r="DM208" i="1"/>
  <c r="DL208" i="1"/>
  <c r="DK208" i="1"/>
  <c r="DJ208" i="1"/>
  <c r="CX214" i="1"/>
  <c r="CZ214" i="1"/>
  <c r="CX217" i="1"/>
  <c r="CZ217" i="1" s="1"/>
  <c r="DA219" i="1"/>
  <c r="DX219" i="1" s="1"/>
  <c r="CY219" i="1"/>
  <c r="E8" i="9"/>
  <c r="EN9" i="2"/>
  <c r="EB9" i="2"/>
  <c r="EP9" i="2"/>
  <c r="EC9" i="2"/>
  <c r="EO9" i="2"/>
  <c r="EM9" i="2"/>
  <c r="CK9" i="2"/>
  <c r="EL9" i="2"/>
  <c r="CJ9" i="2"/>
  <c r="EK9" i="2"/>
  <c r="CI9" i="2"/>
  <c r="EJ9" i="2"/>
  <c r="CH9" i="2"/>
  <c r="EI9" i="2"/>
  <c r="CG9" i="2"/>
  <c r="EH9" i="2"/>
  <c r="EQ9" i="2"/>
  <c r="ED9" i="2"/>
  <c r="EF9" i="2"/>
  <c r="EE9" i="2"/>
  <c r="CQ9" i="2"/>
  <c r="EG9" i="2"/>
  <c r="CX18" i="2"/>
  <c r="CZ18" i="2"/>
  <c r="DF63" i="1"/>
  <c r="CX68" i="1"/>
  <c r="CZ68" i="1" s="1"/>
  <c r="DU71" i="1"/>
  <c r="DW71" i="1" s="1"/>
  <c r="CD88" i="1"/>
  <c r="E107" i="9"/>
  <c r="EP108" i="2"/>
  <c r="ED108" i="2"/>
  <c r="EO108" i="2"/>
  <c r="EC108" i="2"/>
  <c r="EN108" i="2"/>
  <c r="EB108" i="2"/>
  <c r="EM108" i="2"/>
  <c r="EL108" i="2"/>
  <c r="EK108" i="2"/>
  <c r="CK108" i="2"/>
  <c r="EJ108" i="2"/>
  <c r="CJ108" i="2"/>
  <c r="EI108" i="2"/>
  <c r="CI108" i="2"/>
  <c r="EH108" i="2"/>
  <c r="CH108" i="2"/>
  <c r="EQ108" i="2"/>
  <c r="EE108" i="2"/>
  <c r="CQ108" i="2"/>
  <c r="ER108" i="2"/>
  <c r="CG108" i="2"/>
  <c r="EG108" i="2"/>
  <c r="EF108" i="2"/>
  <c r="CD63" i="1"/>
  <c r="DS71" i="1"/>
  <c r="DD71" i="1"/>
  <c r="CZ109" i="1"/>
  <c r="CX109" i="1"/>
  <c r="DU112" i="1"/>
  <c r="DW112" i="1" s="1"/>
  <c r="DP112" i="1"/>
  <c r="DC112" i="1"/>
  <c r="DF112" i="1" s="1"/>
  <c r="CZ118" i="1"/>
  <c r="CX118" i="1"/>
  <c r="ER69" i="2"/>
  <c r="DD35" i="1"/>
  <c r="DJ46" i="1"/>
  <c r="DC51" i="1"/>
  <c r="DF51" i="1" s="1"/>
  <c r="CD51" i="1" s="1"/>
  <c r="CZ53" i="1"/>
  <c r="CX53" i="1"/>
  <c r="CD64" i="1"/>
  <c r="DP68" i="1"/>
  <c r="DA74" i="1"/>
  <c r="CY74" i="1"/>
  <c r="DW97" i="1"/>
  <c r="DU103" i="1"/>
  <c r="DW103" i="1" s="1"/>
  <c r="DX108" i="1"/>
  <c r="DY108" i="1" s="1"/>
  <c r="DS112" i="1"/>
  <c r="DD112" i="1"/>
  <c r="DU113" i="1"/>
  <c r="DW113" i="1" s="1"/>
  <c r="DP113" i="1"/>
  <c r="DC113" i="1"/>
  <c r="DF113" i="1" s="1"/>
  <c r="DX113" i="1" s="1"/>
  <c r="DB113" i="1"/>
  <c r="DS114" i="1"/>
  <c r="DD114" i="1"/>
  <c r="DS121" i="1"/>
  <c r="DU123" i="1"/>
  <c r="DW123" i="1" s="1"/>
  <c r="DB123" i="1"/>
  <c r="DA126" i="1"/>
  <c r="DX126" i="1" s="1"/>
  <c r="DY126" i="1" s="1"/>
  <c r="CY126" i="1"/>
  <c r="DA127" i="1"/>
  <c r="DX127" i="1" s="1"/>
  <c r="DA128" i="1"/>
  <c r="DX128" i="1" s="1"/>
  <c r="CY128" i="1"/>
  <c r="CY135" i="1"/>
  <c r="DA135" i="1" s="1"/>
  <c r="DU136" i="1"/>
  <c r="DW136" i="1" s="1"/>
  <c r="DC136" i="1"/>
  <c r="DF136" i="1" s="1"/>
  <c r="DP136" i="1"/>
  <c r="DQ136" i="1" s="1"/>
  <c r="DF140" i="1"/>
  <c r="CX141" i="1"/>
  <c r="CZ141" i="1" s="1"/>
  <c r="DM145" i="1"/>
  <c r="DL145" i="1"/>
  <c r="DK145" i="1"/>
  <c r="DJ145" i="1"/>
  <c r="DP156" i="1"/>
  <c r="DC156" i="1"/>
  <c r="DF156" i="1" s="1"/>
  <c r="CD156" i="1" s="1"/>
  <c r="DB156" i="1"/>
  <c r="DU156" i="1"/>
  <c r="DW156" i="1" s="1"/>
  <c r="CZ158" i="1"/>
  <c r="CX158" i="1"/>
  <c r="CX170" i="1"/>
  <c r="CZ170" i="1" s="1"/>
  <c r="DS203" i="1"/>
  <c r="DT203" i="1" s="1"/>
  <c r="DD203" i="1"/>
  <c r="CZ3" i="2"/>
  <c r="CX3" i="2"/>
  <c r="DA11" i="2"/>
  <c r="DA26" i="2"/>
  <c r="CY26" i="2"/>
  <c r="CX29" i="2"/>
  <c r="CZ29" i="2"/>
  <c r="CX30" i="2"/>
  <c r="CZ30" i="2" s="1"/>
  <c r="CX54" i="2"/>
  <c r="CZ54" i="2" s="1"/>
  <c r="DU64" i="2"/>
  <c r="DW64" i="2" s="1"/>
  <c r="DP64" i="2"/>
  <c r="DB64" i="2"/>
  <c r="DC64" i="2" s="1"/>
  <c r="CX76" i="2"/>
  <c r="CZ76" i="2" s="1"/>
  <c r="DS111" i="1"/>
  <c r="DD111" i="1"/>
  <c r="DF111" i="1" s="1"/>
  <c r="DP115" i="1"/>
  <c r="DC115" i="1"/>
  <c r="DF115" i="1" s="1"/>
  <c r="DB115" i="1"/>
  <c r="DF119" i="1"/>
  <c r="CD119" i="1" s="1"/>
  <c r="CD127" i="1"/>
  <c r="DW93" i="1"/>
  <c r="CE105" i="1"/>
  <c r="CX169" i="1"/>
  <c r="CZ169" i="1" s="1"/>
  <c r="CZ47" i="2"/>
  <c r="CX47" i="2"/>
  <c r="CZ58" i="2"/>
  <c r="CX58" i="2"/>
  <c r="CX101" i="2"/>
  <c r="CZ101" i="2" s="1"/>
  <c r="F38" i="9"/>
  <c r="EG38" i="3"/>
  <c r="CG38" i="3"/>
  <c r="EQ38" i="3"/>
  <c r="EK38" i="3" s="1"/>
  <c r="EO38" i="3"/>
  <c r="EN38" i="3"/>
  <c r="CK38" i="3"/>
  <c r="EJ38" i="3"/>
  <c r="CJ38" i="3"/>
  <c r="ER38" i="3"/>
  <c r="CI38" i="3"/>
  <c r="CH38" i="3"/>
  <c r="EI38" i="3"/>
  <c r="EH38" i="3"/>
  <c r="EM38" i="3" s="1"/>
  <c r="DC39" i="1"/>
  <c r="DF39" i="1" s="1"/>
  <c r="CD39" i="1" s="1"/>
  <c r="DD42" i="1"/>
  <c r="DF42" i="1" s="1"/>
  <c r="CD42" i="1" s="1"/>
  <c r="DU27" i="1"/>
  <c r="DW27" i="1" s="1"/>
  <c r="DB29" i="1"/>
  <c r="DP29" i="1"/>
  <c r="DF35" i="1"/>
  <c r="CD35" i="1" s="1"/>
  <c r="DD39" i="1"/>
  <c r="DP43" i="1"/>
  <c r="DQ43" i="1" s="1"/>
  <c r="DJ45" i="1"/>
  <c r="DK46" i="1"/>
  <c r="DW54" i="1"/>
  <c r="DX54" i="1" s="1"/>
  <c r="DU61" i="1"/>
  <c r="DW61" i="1" s="1"/>
  <c r="DP61" i="1"/>
  <c r="DC61" i="1"/>
  <c r="DF61" i="1" s="1"/>
  <c r="DX61" i="1" s="1"/>
  <c r="DJ62" i="1"/>
  <c r="DX69" i="1"/>
  <c r="DS74" i="1"/>
  <c r="DD74" i="1"/>
  <c r="DA88" i="1"/>
  <c r="DX88" i="1" s="1"/>
  <c r="CY88" i="1"/>
  <c r="DS93" i="1"/>
  <c r="DF95" i="1"/>
  <c r="DS97" i="1"/>
  <c r="DU99" i="1"/>
  <c r="DW99" i="1" s="1"/>
  <c r="DB99" i="1"/>
  <c r="DA100" i="1"/>
  <c r="CD101" i="1"/>
  <c r="DA102" i="1"/>
  <c r="CY102" i="1"/>
  <c r="CY104" i="1"/>
  <c r="DA104" i="1" s="1"/>
  <c r="DX104" i="1" s="1"/>
  <c r="DF114" i="1"/>
  <c r="CD114" i="1" s="1"/>
  <c r="DW117" i="1"/>
  <c r="DS123" i="1"/>
  <c r="DD123" i="1"/>
  <c r="DP127" i="1"/>
  <c r="DC127" i="1"/>
  <c r="DF127" i="1" s="1"/>
  <c r="DB127" i="1"/>
  <c r="DA129" i="1"/>
  <c r="DB130" i="1"/>
  <c r="DU130" i="1"/>
  <c r="DW130" i="1" s="1"/>
  <c r="DC130" i="1"/>
  <c r="DF133" i="1"/>
  <c r="DA158" i="1"/>
  <c r="CY158" i="1"/>
  <c r="CZ159" i="1"/>
  <c r="CX159" i="1"/>
  <c r="CZ171" i="1"/>
  <c r="CX171" i="1"/>
  <c r="CE172" i="1"/>
  <c r="D184" i="9"/>
  <c r="EO184" i="1"/>
  <c r="EC184" i="1"/>
  <c r="H186" i="21" s="1"/>
  <c r="EN184" i="1"/>
  <c r="AO186" i="21" s="1"/>
  <c r="EB184" i="1"/>
  <c r="EM184" i="1"/>
  <c r="AL186" i="21" s="1"/>
  <c r="EL184" i="1"/>
  <c r="AI186" i="21" s="1"/>
  <c r="EK184" i="1"/>
  <c r="AF186" i="21" s="1"/>
  <c r="CK184" i="1"/>
  <c r="EJ184" i="1"/>
  <c r="AC186" i="21" s="1"/>
  <c r="CJ184" i="1"/>
  <c r="EI184" i="1"/>
  <c r="CI184" i="1"/>
  <c r="EH184" i="1"/>
  <c r="W186" i="21" s="1"/>
  <c r="CH184" i="1"/>
  <c r="EP184" i="1"/>
  <c r="ED184" i="1"/>
  <c r="K186" i="21" s="1"/>
  <c r="ER184" i="1"/>
  <c r="EQ184" i="1"/>
  <c r="EG184" i="1"/>
  <c r="T186" i="21" s="1"/>
  <c r="EF184" i="1"/>
  <c r="Q186" i="21" s="1"/>
  <c r="EE184" i="1"/>
  <c r="N186" i="21" s="1"/>
  <c r="DF186" i="1"/>
  <c r="DX186" i="1" s="1"/>
  <c r="DY186" i="1" s="1"/>
  <c r="DS202" i="1"/>
  <c r="DT202" i="1" s="1"/>
  <c r="DD202" i="1"/>
  <c r="DS215" i="1"/>
  <c r="DD215" i="1"/>
  <c r="CY24" i="2"/>
  <c r="DA24" i="2"/>
  <c r="DX24" i="2" s="1"/>
  <c r="E24" i="9"/>
  <c r="EJ25" i="2"/>
  <c r="CJ25" i="2"/>
  <c r="EH25" i="2"/>
  <c r="CH25" i="2"/>
  <c r="EN25" i="2"/>
  <c r="EG25" i="2"/>
  <c r="EQ25" i="2"/>
  <c r="EO25" i="2"/>
  <c r="CK25" i="2"/>
  <c r="EI25" i="2"/>
  <c r="EM25" i="2"/>
  <c r="EL25" i="2"/>
  <c r="CI25" i="2"/>
  <c r="CG25" i="2"/>
  <c r="DA29" i="2"/>
  <c r="CY29" i="2"/>
  <c r="DF31" i="2"/>
  <c r="DX31" i="2" s="1"/>
  <c r="DY31" i="2" s="1"/>
  <c r="DO40" i="2"/>
  <c r="DN40" i="2"/>
  <c r="DF62" i="1"/>
  <c r="CD62" i="1" s="1"/>
  <c r="CX94" i="1"/>
  <c r="CZ94" i="1" s="1"/>
  <c r="CD104" i="1"/>
  <c r="CE118" i="1"/>
  <c r="DS115" i="2"/>
  <c r="DD115" i="2"/>
  <c r="DA28" i="1"/>
  <c r="DX28" i="1" s="1"/>
  <c r="CZ194" i="1"/>
  <c r="CX194" i="1"/>
  <c r="CE90" i="1"/>
  <c r="CZ172" i="1"/>
  <c r="CX172" i="1"/>
  <c r="CD198" i="1"/>
  <c r="CX207" i="1"/>
  <c r="CZ207" i="1" s="1"/>
  <c r="CZ208" i="1"/>
  <c r="CX208" i="1"/>
  <c r="DF209" i="1"/>
  <c r="E2" i="9"/>
  <c r="EG3" i="2"/>
  <c r="CG3" i="2"/>
  <c r="ER3" i="2"/>
  <c r="EF3" i="2"/>
  <c r="EQ3" i="2"/>
  <c r="EE3" i="2"/>
  <c r="CQ3" i="2"/>
  <c r="K2" i="9" s="1"/>
  <c r="EP3" i="2"/>
  <c r="ED3" i="2"/>
  <c r="EO3" i="2"/>
  <c r="EC3" i="2"/>
  <c r="EN3" i="2"/>
  <c r="EB3" i="2"/>
  <c r="EM3" i="2"/>
  <c r="EL3" i="2"/>
  <c r="EH3" i="2"/>
  <c r="CH3" i="2"/>
  <c r="EK3" i="2"/>
  <c r="EJ3" i="2"/>
  <c r="EI3" i="2"/>
  <c r="DB19" i="2"/>
  <c r="DC19" i="2" s="1"/>
  <c r="DF19" i="2" s="1"/>
  <c r="DU19" i="2"/>
  <c r="DW19" i="2" s="1"/>
  <c r="DP19" i="2"/>
  <c r="CX97" i="2"/>
  <c r="CZ97" i="2" s="1"/>
  <c r="CZ145" i="1"/>
  <c r="CX145" i="1"/>
  <c r="DA170" i="1"/>
  <c r="DX170" i="1" s="1"/>
  <c r="DY170" i="1" s="1"/>
  <c r="CY170" i="1"/>
  <c r="DP192" i="1"/>
  <c r="DC192" i="1"/>
  <c r="DF192" i="1" s="1"/>
  <c r="CD192" i="1" s="1"/>
  <c r="DB192" i="1"/>
  <c r="DU192" i="1"/>
  <c r="DW192" i="1" s="1"/>
  <c r="CZ81" i="1"/>
  <c r="DF81" i="1"/>
  <c r="CD81" i="1" s="1"/>
  <c r="DB8" i="1"/>
  <c r="DB20" i="1"/>
  <c r="CY40" i="1"/>
  <c r="DA40" i="1" s="1"/>
  <c r="DX40" i="1" s="1"/>
  <c r="DY40" i="1" s="1"/>
  <c r="DW42" i="1"/>
  <c r="DL46" i="1"/>
  <c r="CX47" i="1"/>
  <c r="CZ47" i="1" s="1"/>
  <c r="DM170" i="1"/>
  <c r="DL170" i="1"/>
  <c r="DK170" i="1"/>
  <c r="DJ170" i="1"/>
  <c r="DC8" i="1"/>
  <c r="DF8" i="1" s="1"/>
  <c r="CD8" i="1" s="1"/>
  <c r="DB9" i="1"/>
  <c r="CY12" i="1"/>
  <c r="DA12" i="1" s="1"/>
  <c r="DC20" i="1"/>
  <c r="DF20" i="1" s="1"/>
  <c r="CD20" i="1" s="1"/>
  <c r="DB21" i="1"/>
  <c r="CY24" i="1"/>
  <c r="DA24" i="1" s="1"/>
  <c r="CZ31" i="1"/>
  <c r="DS33" i="1"/>
  <c r="DC36" i="1"/>
  <c r="DF36" i="1" s="1"/>
  <c r="CD36" i="1" s="1"/>
  <c r="DU39" i="1"/>
  <c r="DW39" i="1" s="1"/>
  <c r="DB40" i="1"/>
  <c r="DC43" i="1"/>
  <c r="DF43" i="1" s="1"/>
  <c r="CD43" i="1" s="1"/>
  <c r="DL45" i="1"/>
  <c r="CY46" i="1"/>
  <c r="DA46" i="1" s="1"/>
  <c r="DX46" i="1" s="1"/>
  <c r="DY46" i="1" s="1"/>
  <c r="CE47" i="1"/>
  <c r="CY47" i="1"/>
  <c r="DS49" i="1"/>
  <c r="DP50" i="1"/>
  <c r="DC50" i="1"/>
  <c r="DF50" i="1" s="1"/>
  <c r="CD50" i="1" s="1"/>
  <c r="DB50" i="1"/>
  <c r="DU50" i="1"/>
  <c r="DW50" i="1" s="1"/>
  <c r="CE53" i="1"/>
  <c r="DA53" i="1"/>
  <c r="DX53" i="1" s="1"/>
  <c r="CZ56" i="1"/>
  <c r="CZ58" i="1"/>
  <c r="DS62" i="1"/>
  <c r="DD62" i="1"/>
  <c r="DL62" i="1"/>
  <c r="DS72" i="1"/>
  <c r="DD72" i="1"/>
  <c r="DW77" i="1"/>
  <c r="CZ78" i="1"/>
  <c r="CX78" i="1"/>
  <c r="DD82" i="1"/>
  <c r="CE84" i="1"/>
  <c r="CX85" i="1"/>
  <c r="CZ85" i="1" s="1"/>
  <c r="CY87" i="1"/>
  <c r="DA87" i="1" s="1"/>
  <c r="DX87" i="1" s="1"/>
  <c r="CZ90" i="1"/>
  <c r="CX90" i="1"/>
  <c r="DF91" i="1"/>
  <c r="CD91" i="1" s="1"/>
  <c r="DX94" i="1"/>
  <c r="DU100" i="1"/>
  <c r="DW100" i="1" s="1"/>
  <c r="DP100" i="1"/>
  <c r="DC100" i="1"/>
  <c r="DF100" i="1" s="1"/>
  <c r="CD100" i="1" s="1"/>
  <c r="CX100" i="1"/>
  <c r="CZ100" i="1" s="1"/>
  <c r="CX102" i="1"/>
  <c r="CZ102" i="1" s="1"/>
  <c r="CY103" i="1"/>
  <c r="DA103" i="1" s="1"/>
  <c r="DX103" i="1" s="1"/>
  <c r="CX106" i="1"/>
  <c r="CZ106" i="1" s="1"/>
  <c r="DW109" i="1"/>
  <c r="DO109" i="1"/>
  <c r="CE116" i="1"/>
  <c r="DA118" i="1"/>
  <c r="CY118" i="1"/>
  <c r="CX120" i="1"/>
  <c r="CZ120" i="1" s="1"/>
  <c r="DD122" i="1"/>
  <c r="DC123" i="1"/>
  <c r="DS124" i="1"/>
  <c r="DD124" i="1"/>
  <c r="DU125" i="1"/>
  <c r="DW125" i="1" s="1"/>
  <c r="DP125" i="1"/>
  <c r="DC125" i="1"/>
  <c r="DF125" i="1" s="1"/>
  <c r="CD125" i="1" s="1"/>
  <c r="DB125" i="1"/>
  <c r="CX125" i="1"/>
  <c r="CZ125" i="1" s="1"/>
  <c r="DS126" i="1"/>
  <c r="DT126" i="1" s="1"/>
  <c r="DD126" i="1"/>
  <c r="CZ126" i="1"/>
  <c r="CY129" i="1"/>
  <c r="EG135" i="1"/>
  <c r="T136" i="21" s="1"/>
  <c r="DB136" i="1"/>
  <c r="CX166" i="1"/>
  <c r="CZ166" i="1"/>
  <c r="D172" i="9"/>
  <c r="EN173" i="1"/>
  <c r="AO174" i="21" s="1"/>
  <c r="EB173" i="1"/>
  <c r="E174" i="21" s="1"/>
  <c r="EM173" i="1"/>
  <c r="AL174" i="21" s="1"/>
  <c r="EL173" i="1"/>
  <c r="EK173" i="1"/>
  <c r="AF174" i="21" s="1"/>
  <c r="CK173" i="1"/>
  <c r="EJ173" i="1"/>
  <c r="CJ173" i="1"/>
  <c r="EI173" i="1"/>
  <c r="Z174" i="21" s="1"/>
  <c r="CI173" i="1"/>
  <c r="EH173" i="1"/>
  <c r="CH173" i="1"/>
  <c r="EG173" i="1"/>
  <c r="T174" i="21" s="1"/>
  <c r="CG173" i="1"/>
  <c r="EO173" i="1"/>
  <c r="EC173" i="1"/>
  <c r="ER173" i="1"/>
  <c r="EQ173" i="1"/>
  <c r="EP173" i="1"/>
  <c r="EF173" i="1"/>
  <c r="Q174" i="21" s="1"/>
  <c r="EE173" i="1"/>
  <c r="N174" i="21" s="1"/>
  <c r="CQ173" i="1"/>
  <c r="CX177" i="1"/>
  <c r="CZ177" i="1" s="1"/>
  <c r="CZ196" i="1"/>
  <c r="CX196" i="1"/>
  <c r="DF207" i="1"/>
  <c r="CD207" i="1" s="1"/>
  <c r="CX209" i="1"/>
  <c r="CZ209" i="1" s="1"/>
  <c r="CD211" i="1"/>
  <c r="DF212" i="1"/>
  <c r="CX213" i="1"/>
  <c r="CZ213" i="1" s="1"/>
  <c r="DF8" i="2"/>
  <c r="CY53" i="2"/>
  <c r="DA53" i="2"/>
  <c r="DA95" i="2"/>
  <c r="CY95" i="2"/>
  <c r="CX107" i="2"/>
  <c r="CZ107" i="2" s="1"/>
  <c r="DU137" i="2"/>
  <c r="DW137" i="2" s="1"/>
  <c r="DP137" i="2"/>
  <c r="DB137" i="2"/>
  <c r="DC137" i="2" s="1"/>
  <c r="DF137" i="2" s="1"/>
  <c r="DX137" i="2" s="1"/>
  <c r="CZ163" i="1"/>
  <c r="CX163" i="1"/>
  <c r="CE89" i="1"/>
  <c r="DW134" i="1"/>
  <c r="DO193" i="1"/>
  <c r="DN193" i="1"/>
  <c r="DP75" i="1"/>
  <c r="DC75" i="1"/>
  <c r="DB75" i="1"/>
  <c r="CD76" i="1"/>
  <c r="CE78" i="1"/>
  <c r="DU85" i="1"/>
  <c r="DW85" i="1" s="1"/>
  <c r="DP85" i="1"/>
  <c r="DC85" i="1"/>
  <c r="DF85" i="1" s="1"/>
  <c r="CD85" i="1" s="1"/>
  <c r="DB85" i="1"/>
  <c r="DA86" i="1"/>
  <c r="DX86" i="1" s="1"/>
  <c r="CY86" i="1"/>
  <c r="CX124" i="1"/>
  <c r="DA48" i="1"/>
  <c r="DX48" i="1" s="1"/>
  <c r="DY48" i="1" s="1"/>
  <c r="DA49" i="1"/>
  <c r="CD55" i="1"/>
  <c r="DP55" i="1"/>
  <c r="DF57" i="1"/>
  <c r="CD57" i="1" s="1"/>
  <c r="DP58" i="1"/>
  <c r="DA63" i="1"/>
  <c r="CY65" i="1"/>
  <c r="DA65" i="1" s="1"/>
  <c r="DX65" i="1" s="1"/>
  <c r="DA66" i="1"/>
  <c r="DX66" i="1" s="1"/>
  <c r="DY66" i="1" s="1"/>
  <c r="CZ73" i="1"/>
  <c r="CZ80" i="1"/>
  <c r="CX80" i="1"/>
  <c r="DF82" i="1"/>
  <c r="DU83" i="1"/>
  <c r="DW83" i="1" s="1"/>
  <c r="CX86" i="1"/>
  <c r="CZ96" i="1"/>
  <c r="CX96" i="1"/>
  <c r="DS100" i="1"/>
  <c r="DD100" i="1"/>
  <c r="DU101" i="1"/>
  <c r="DW101" i="1" s="1"/>
  <c r="DP101" i="1"/>
  <c r="DC101" i="1"/>
  <c r="DF101" i="1" s="1"/>
  <c r="DX101" i="1" s="1"/>
  <c r="DY101" i="1" s="1"/>
  <c r="DB101" i="1"/>
  <c r="CX101" i="1"/>
  <c r="CZ101" i="1" s="1"/>
  <c r="DS102" i="1"/>
  <c r="DD102" i="1"/>
  <c r="CX105" i="1"/>
  <c r="CZ105" i="1" s="1"/>
  <c r="CE107" i="1"/>
  <c r="CX119" i="1"/>
  <c r="CZ119" i="1" s="1"/>
  <c r="DW119" i="1"/>
  <c r="CD120" i="1"/>
  <c r="DF123" i="1"/>
  <c r="DX123" i="1" s="1"/>
  <c r="DF126" i="1"/>
  <c r="EH126" i="1"/>
  <c r="W127" i="21" s="1"/>
  <c r="DF129" i="1"/>
  <c r="CD129" i="1" s="1"/>
  <c r="DF12" i="2"/>
  <c r="CZ35" i="2"/>
  <c r="CX35" i="2"/>
  <c r="CZ42" i="2"/>
  <c r="CX42" i="2"/>
  <c r="E42" i="9"/>
  <c r="EP43" i="2"/>
  <c r="ED43" i="2"/>
  <c r="EO43" i="2"/>
  <c r="EC43" i="2"/>
  <c r="EN43" i="2"/>
  <c r="EB43" i="2"/>
  <c r="EL43" i="2"/>
  <c r="EH43" i="2"/>
  <c r="CH43" i="2"/>
  <c r="EK43" i="2"/>
  <c r="EJ43" i="2"/>
  <c r="EI43" i="2"/>
  <c r="EG43" i="2"/>
  <c r="CQ43" i="2"/>
  <c r="EF43" i="2"/>
  <c r="EE43" i="2"/>
  <c r="CK43" i="2"/>
  <c r="CJ43" i="2"/>
  <c r="CI43" i="2"/>
  <c r="EM43" i="2"/>
  <c r="ER43" i="2"/>
  <c r="EQ43" i="2"/>
  <c r="CG43" i="2"/>
  <c r="DA45" i="2"/>
  <c r="DX45" i="2" s="1"/>
  <c r="DY45" i="2" s="1"/>
  <c r="CY45" i="2"/>
  <c r="CX169" i="2"/>
  <c r="CZ169" i="2" s="1"/>
  <c r="CY169" i="1"/>
  <c r="DA169" i="1" s="1"/>
  <c r="DU190" i="1"/>
  <c r="DW190" i="1" s="1"/>
  <c r="DP190" i="1"/>
  <c r="DQ190" i="1" s="1"/>
  <c r="DC190" i="1"/>
  <c r="DF190" i="1" s="1"/>
  <c r="DB190" i="1"/>
  <c r="DS190" i="1"/>
  <c r="DT190" i="1" s="1"/>
  <c r="DD190" i="1"/>
  <c r="DB43" i="1"/>
  <c r="DF67" i="1"/>
  <c r="CD67" i="1" s="1"/>
  <c r="DC71" i="1"/>
  <c r="DF71" i="1" s="1"/>
  <c r="CD71" i="1" s="1"/>
  <c r="DU72" i="1"/>
  <c r="DW72" i="1" s="1"/>
  <c r="DP72" i="1"/>
  <c r="DQ72" i="1" s="1"/>
  <c r="DC72" i="1"/>
  <c r="DA75" i="1"/>
  <c r="DU75" i="1"/>
  <c r="DW75" i="1" s="1"/>
  <c r="DF84" i="1"/>
  <c r="DP87" i="1"/>
  <c r="DC87" i="1"/>
  <c r="DF87" i="1" s="1"/>
  <c r="CD87" i="1" s="1"/>
  <c r="DB87" i="1"/>
  <c r="DP9" i="1"/>
  <c r="DB23" i="1"/>
  <c r="DB31" i="1"/>
  <c r="DP31" i="1"/>
  <c r="DQ31" i="1" s="1"/>
  <c r="CZ34" i="1"/>
  <c r="CX41" i="1"/>
  <c r="CZ41" i="1" s="1"/>
  <c r="DP49" i="1"/>
  <c r="DC49" i="1"/>
  <c r="DF49" i="1" s="1"/>
  <c r="CD49" i="1" s="1"/>
  <c r="DB49" i="1"/>
  <c r="DU49" i="1"/>
  <c r="DW49" i="1" s="1"/>
  <c r="DS57" i="1"/>
  <c r="DB58" i="1"/>
  <c r="DS59" i="1"/>
  <c r="DD59" i="1"/>
  <c r="DF59" i="1" s="1"/>
  <c r="CZ60" i="1"/>
  <c r="DS60" i="1"/>
  <c r="DA64" i="1"/>
  <c r="DX64" i="1" s="1"/>
  <c r="CY64" i="1"/>
  <c r="CZ69" i="1"/>
  <c r="CD73" i="1"/>
  <c r="CZ76" i="1"/>
  <c r="CX81" i="1"/>
  <c r="DS83" i="1"/>
  <c r="DT83" i="1" s="1"/>
  <c r="DD83" i="1"/>
  <c r="DF83" i="1" s="1"/>
  <c r="DX83" i="1" s="1"/>
  <c r="DY83" i="1" s="1"/>
  <c r="DS86" i="1"/>
  <c r="DD86" i="1"/>
  <c r="DF86" i="1" s="1"/>
  <c r="CD86" i="1" s="1"/>
  <c r="DA89" i="1"/>
  <c r="DX89" i="1" s="1"/>
  <c r="DW89" i="1"/>
  <c r="DF98" i="1"/>
  <c r="DA105" i="1"/>
  <c r="DX105" i="1" s="1"/>
  <c r="DW105" i="1"/>
  <c r="DA119" i="1"/>
  <c r="DX119" i="1" s="1"/>
  <c r="DY119" i="1" s="1"/>
  <c r="EI126" i="1"/>
  <c r="DF130" i="1"/>
  <c r="DA138" i="1"/>
  <c r="CY138" i="1"/>
  <c r="DF139" i="1"/>
  <c r="DX160" i="1"/>
  <c r="DY160" i="1" s="1"/>
  <c r="DU167" i="1"/>
  <c r="DW167" i="1" s="1"/>
  <c r="DP167" i="1"/>
  <c r="DQ167" i="1" s="1"/>
  <c r="DC167" i="1"/>
  <c r="DF167" i="1" s="1"/>
  <c r="CD167" i="1" s="1"/>
  <c r="DB167" i="1"/>
  <c r="CX173" i="1"/>
  <c r="CZ173" i="1" s="1"/>
  <c r="DX174" i="1"/>
  <c r="DY174" i="1" s="1"/>
  <c r="CE184" i="1"/>
  <c r="DF187" i="1"/>
  <c r="CX188" i="1"/>
  <c r="CZ188" i="1"/>
  <c r="DA192" i="1"/>
  <c r="DA218" i="1"/>
  <c r="DX218" i="1" s="1"/>
  <c r="DY218" i="1" s="1"/>
  <c r="CY218" i="1"/>
  <c r="DF5" i="2"/>
  <c r="CZ7" i="2"/>
  <c r="CX7" i="2"/>
  <c r="CY40" i="2"/>
  <c r="DA40" i="2"/>
  <c r="E55" i="9"/>
  <c r="EN56" i="2"/>
  <c r="EM56" i="2"/>
  <c r="AM57" i="21" s="1"/>
  <c r="EL56" i="2"/>
  <c r="CK56" i="2"/>
  <c r="EJ56" i="2"/>
  <c r="CJ56" i="2"/>
  <c r="EH56" i="2"/>
  <c r="CH56" i="2"/>
  <c r="EG56" i="2"/>
  <c r="CG56" i="2"/>
  <c r="EO56" i="2"/>
  <c r="CI56" i="2"/>
  <c r="EQ56" i="2"/>
  <c r="EI56" i="2"/>
  <c r="DF45" i="1"/>
  <c r="CD45" i="1" s="1"/>
  <c r="DC34" i="2"/>
  <c r="DF34" i="2" s="1"/>
  <c r="CE34" i="2"/>
  <c r="DU51" i="1"/>
  <c r="DW51" i="1" s="1"/>
  <c r="DP62" i="1"/>
  <c r="DQ62" i="1" s="1"/>
  <c r="DC62" i="1"/>
  <c r="DB62" i="1"/>
  <c r="DP63" i="1"/>
  <c r="DC63" i="1"/>
  <c r="DB63" i="1"/>
  <c r="DU68" i="1"/>
  <c r="DW68" i="1" s="1"/>
  <c r="CD70" i="1"/>
  <c r="CE106" i="1"/>
  <c r="DB112" i="1"/>
  <c r="DU124" i="1"/>
  <c r="DW124" i="1" s="1"/>
  <c r="DP124" i="1"/>
  <c r="DC124" i="1"/>
  <c r="DS130" i="1"/>
  <c r="DS153" i="1"/>
  <c r="DD153" i="1"/>
  <c r="DB11" i="1"/>
  <c r="DP37" i="1"/>
  <c r="DC37" i="1"/>
  <c r="DF37" i="1" s="1"/>
  <c r="CD46" i="1"/>
  <c r="DP48" i="1"/>
  <c r="DQ48" i="1" s="1"/>
  <c r="DC48" i="1"/>
  <c r="DF48" i="1" s="1"/>
  <c r="CD48" i="1" s="1"/>
  <c r="DA52" i="1"/>
  <c r="DX52" i="1" s="1"/>
  <c r="CY52" i="1"/>
  <c r="CZ55" i="1"/>
  <c r="CE66" i="1"/>
  <c r="DC68" i="1"/>
  <c r="DF68" i="1" s="1"/>
  <c r="CD68" i="1" s="1"/>
  <c r="CZ70" i="1"/>
  <c r="DF75" i="1"/>
  <c r="CD75" i="1" s="1"/>
  <c r="CY76" i="1"/>
  <c r="DA76" i="1" s="1"/>
  <c r="DX76" i="1" s="1"/>
  <c r="DS95" i="1"/>
  <c r="DW106" i="1"/>
  <c r="DM108" i="1"/>
  <c r="DL108" i="1"/>
  <c r="DK108" i="1"/>
  <c r="DJ108" i="1"/>
  <c r="CD116" i="1"/>
  <c r="DS119" i="1"/>
  <c r="DF124" i="1"/>
  <c r="DX124" i="1" s="1"/>
  <c r="EJ126" i="1"/>
  <c r="CZ132" i="1"/>
  <c r="DF134" i="1"/>
  <c r="D134" i="9"/>
  <c r="EI135" i="1"/>
  <c r="Z136" i="21" s="1"/>
  <c r="CI135" i="1"/>
  <c r="EQ135" i="1"/>
  <c r="EK135" i="1" s="1"/>
  <c r="AF136" i="21" s="1"/>
  <c r="EO135" i="1"/>
  <c r="EN135" i="1"/>
  <c r="EM135" i="1"/>
  <c r="AL136" i="21" s="1"/>
  <c r="CK135" i="1"/>
  <c r="CH135" i="1"/>
  <c r="EL135" i="1"/>
  <c r="DX149" i="1"/>
  <c r="DS167" i="1"/>
  <c r="DT167" i="1" s="1"/>
  <c r="DD167" i="1"/>
  <c r="CX183" i="1"/>
  <c r="CZ183" i="1" s="1"/>
  <c r="CG184" i="1"/>
  <c r="CZ192" i="1"/>
  <c r="CX192" i="1"/>
  <c r="CZ216" i="1"/>
  <c r="DS12" i="2"/>
  <c r="DS16" i="2"/>
  <c r="DD16" i="2"/>
  <c r="DF16" i="2" s="1"/>
  <c r="DX16" i="2" s="1"/>
  <c r="CD90" i="2"/>
  <c r="CZ123" i="2"/>
  <c r="CX123" i="2"/>
  <c r="CD92" i="1"/>
  <c r="CD94" i="1"/>
  <c r="CD96" i="1"/>
  <c r="DD97" i="1"/>
  <c r="DF97" i="1" s="1"/>
  <c r="DC98" i="1"/>
  <c r="DP98" i="1"/>
  <c r="DQ98" i="1" s="1"/>
  <c r="DD109" i="1"/>
  <c r="DC110" i="1"/>
  <c r="DF110" i="1" s="1"/>
  <c r="DP110" i="1"/>
  <c r="DD121" i="1"/>
  <c r="DF121" i="1" s="1"/>
  <c r="DC122" i="1"/>
  <c r="DF122" i="1" s="1"/>
  <c r="DX122" i="1" s="1"/>
  <c r="DP122" i="1"/>
  <c r="CD131" i="1"/>
  <c r="DU131" i="1"/>
  <c r="DW131" i="1" s="1"/>
  <c r="DF150" i="1"/>
  <c r="CD150" i="1" s="1"/>
  <c r="CD158" i="1"/>
  <c r="DW158" i="1"/>
  <c r="CX162" i="1"/>
  <c r="CZ162" i="1" s="1"/>
  <c r="DA163" i="1"/>
  <c r="DX163" i="1" s="1"/>
  <c r="DY163" i="1" s="1"/>
  <c r="CD166" i="1"/>
  <c r="DF170" i="1"/>
  <c r="CD170" i="1" s="1"/>
  <c r="DF175" i="1"/>
  <c r="DS178" i="1"/>
  <c r="DT178" i="1" s="1"/>
  <c r="DD178" i="1"/>
  <c r="DJ190" i="1"/>
  <c r="DK190" i="1"/>
  <c r="DM193" i="1"/>
  <c r="DL193" i="1"/>
  <c r="DU202" i="1"/>
  <c r="DW202" i="1" s="1"/>
  <c r="DP202" i="1"/>
  <c r="DQ202" i="1" s="1"/>
  <c r="DC202" i="1"/>
  <c r="DB202" i="1"/>
  <c r="CZ202" i="1"/>
  <c r="CZ204" i="1"/>
  <c r="DU215" i="1"/>
  <c r="DW215" i="1" s="1"/>
  <c r="DP215" i="1"/>
  <c r="DC215" i="1"/>
  <c r="DF215" i="1" s="1"/>
  <c r="DB215" i="1"/>
  <c r="CZ215" i="1"/>
  <c r="DF219" i="1"/>
  <c r="DA3" i="2"/>
  <c r="DC8" i="2"/>
  <c r="DP14" i="2"/>
  <c r="DB14" i="2"/>
  <c r="DC14" i="2" s="1"/>
  <c r="DF14" i="2" s="1"/>
  <c r="CZ15" i="2"/>
  <c r="CX15" i="2"/>
  <c r="E17" i="9"/>
  <c r="EQ18" i="2"/>
  <c r="EO18" i="2"/>
  <c r="EM18" i="2"/>
  <c r="EI18" i="2"/>
  <c r="CI18" i="2"/>
  <c r="ER18" i="2"/>
  <c r="EP18" i="2" s="1"/>
  <c r="EN18" i="2"/>
  <c r="EL18" i="2"/>
  <c r="EK18" i="2"/>
  <c r="EJ18" i="2"/>
  <c r="CK18" i="2"/>
  <c r="DA30" i="2"/>
  <c r="CY30" i="2"/>
  <c r="CX37" i="2"/>
  <c r="CZ37" i="2" s="1"/>
  <c r="CD39" i="2"/>
  <c r="DB41" i="2"/>
  <c r="DC41" i="2" s="1"/>
  <c r="DU41" i="2"/>
  <c r="DW41" i="2" s="1"/>
  <c r="DP41" i="2"/>
  <c r="CZ45" i="2"/>
  <c r="CX45" i="2"/>
  <c r="CX53" i="2"/>
  <c r="CZ53" i="2" s="1"/>
  <c r="DS64" i="2"/>
  <c r="DD64" i="2"/>
  <c r="CX80" i="2"/>
  <c r="CZ80" i="2" s="1"/>
  <c r="CZ94" i="2"/>
  <c r="CX94" i="2"/>
  <c r="CX95" i="2"/>
  <c r="CZ95" i="2" s="1"/>
  <c r="E98" i="9"/>
  <c r="EM99" i="2"/>
  <c r="EL99" i="2"/>
  <c r="CK99" i="2"/>
  <c r="EJ99" i="2"/>
  <c r="CJ99" i="2"/>
  <c r="EI99" i="2"/>
  <c r="CI99" i="2"/>
  <c r="EH99" i="2"/>
  <c r="CH99" i="2"/>
  <c r="EG99" i="2"/>
  <c r="CG99" i="2"/>
  <c r="ER99" i="2"/>
  <c r="EP99" i="2" s="1"/>
  <c r="EQ99" i="2"/>
  <c r="EK99" i="2" s="1"/>
  <c r="EN99" i="2"/>
  <c r="EO99" i="2"/>
  <c r="CZ119" i="2"/>
  <c r="CX119" i="2"/>
  <c r="DX129" i="2"/>
  <c r="F39" i="9"/>
  <c r="ER39" i="3"/>
  <c r="EF39" i="3"/>
  <c r="EP39" i="3"/>
  <c r="ED39" i="3"/>
  <c r="EO39" i="3"/>
  <c r="EC39" i="3"/>
  <c r="EN39" i="3"/>
  <c r="EB39" i="3"/>
  <c r="EM39" i="3"/>
  <c r="EL39" i="3"/>
  <c r="EJ39" i="3"/>
  <c r="CJ39" i="3"/>
  <c r="EI39" i="3"/>
  <c r="CI39" i="3"/>
  <c r="EK39" i="3"/>
  <c r="EH39" i="3"/>
  <c r="EG39" i="3"/>
  <c r="EE39" i="3"/>
  <c r="CQ39" i="3"/>
  <c r="CK39" i="3"/>
  <c r="CH39" i="3"/>
  <c r="CG39" i="3"/>
  <c r="EQ39" i="3"/>
  <c r="DP129" i="1"/>
  <c r="DC129" i="1"/>
  <c r="DP138" i="1"/>
  <c r="DP148" i="1"/>
  <c r="DC148" i="1"/>
  <c r="DF148" i="1" s="1"/>
  <c r="DB148" i="1"/>
  <c r="DU148" i="1"/>
  <c r="DW148" i="1" s="1"/>
  <c r="CZ149" i="1"/>
  <c r="CX149" i="1"/>
  <c r="DU155" i="1"/>
  <c r="DW155" i="1" s="1"/>
  <c r="DP155" i="1"/>
  <c r="DQ155" i="1" s="1"/>
  <c r="DC155" i="1"/>
  <c r="DF155" i="1" s="1"/>
  <c r="DX155" i="1" s="1"/>
  <c r="DY155" i="1" s="1"/>
  <c r="DB155" i="1"/>
  <c r="DA157" i="1"/>
  <c r="CY157" i="1"/>
  <c r="DX162" i="1"/>
  <c r="DY162" i="1" s="1"/>
  <c r="DS189" i="1"/>
  <c r="DT189" i="1" s="1"/>
  <c r="DD189" i="1"/>
  <c r="DF189" i="1" s="1"/>
  <c r="DX189" i="1" s="1"/>
  <c r="DY189" i="1" s="1"/>
  <c r="DM190" i="1"/>
  <c r="DK193" i="1"/>
  <c r="DA195" i="1"/>
  <c r="CY195" i="1"/>
  <c r="CX199" i="1"/>
  <c r="CZ199" i="1" s="1"/>
  <c r="CY208" i="1"/>
  <c r="DA208" i="1" s="1"/>
  <c r="DA217" i="1"/>
  <c r="CX6" i="2"/>
  <c r="CZ6" i="2" s="1"/>
  <c r="EE7" i="2"/>
  <c r="CZ10" i="2"/>
  <c r="CX10" i="2"/>
  <c r="CX13" i="2"/>
  <c r="CZ13" i="2"/>
  <c r="DS17" i="2"/>
  <c r="DT17" i="2" s="1"/>
  <c r="DD17" i="2"/>
  <c r="EG18" i="2"/>
  <c r="CE25" i="2"/>
  <c r="DD26" i="2"/>
  <c r="DF26" i="2" s="1"/>
  <c r="DS26" i="2"/>
  <c r="CX31" i="2"/>
  <c r="CZ31" i="2" s="1"/>
  <c r="CZ34" i="2"/>
  <c r="DU39" i="2"/>
  <c r="DW39" i="2" s="1"/>
  <c r="DB39" i="2"/>
  <c r="DC39" i="2" s="1"/>
  <c r="DP39" i="2"/>
  <c r="DP42" i="2"/>
  <c r="DU42" i="2"/>
  <c r="DW42" i="2" s="1"/>
  <c r="DB42" i="2"/>
  <c r="DC42" i="2" s="1"/>
  <c r="DF42" i="2" s="1"/>
  <c r="CD45" i="2"/>
  <c r="CZ52" i="2"/>
  <c r="CX52" i="2"/>
  <c r="DA52" i="2"/>
  <c r="CY52" i="2"/>
  <c r="CX59" i="2"/>
  <c r="CZ59" i="2" s="1"/>
  <c r="CZ112" i="2"/>
  <c r="CX112" i="2"/>
  <c r="E122" i="9"/>
  <c r="CK123" i="2"/>
  <c r="EJ123" i="2"/>
  <c r="CJ123" i="2"/>
  <c r="EI123" i="2"/>
  <c r="ER123" i="2" s="1"/>
  <c r="CI123" i="2"/>
  <c r="EH123" i="2"/>
  <c r="CH123" i="2"/>
  <c r="EG123" i="2"/>
  <c r="CG123" i="2"/>
  <c r="EQ123" i="2"/>
  <c r="EK123" i="2" s="1"/>
  <c r="I124" i="22" s="1"/>
  <c r="EN123" i="2"/>
  <c r="EO123" i="2"/>
  <c r="CX125" i="2"/>
  <c r="CZ125" i="2" s="1"/>
  <c r="DS129" i="2"/>
  <c r="DD129" i="2"/>
  <c r="DF129" i="2" s="1"/>
  <c r="CX168" i="2"/>
  <c r="CZ168" i="2" s="1"/>
  <c r="DB74" i="1"/>
  <c r="CY77" i="1"/>
  <c r="DA77" i="1" s="1"/>
  <c r="DB86" i="1"/>
  <c r="CY89" i="1"/>
  <c r="DB102" i="1"/>
  <c r="CY105" i="1"/>
  <c r="DB114" i="1"/>
  <c r="CY117" i="1"/>
  <c r="DA117" i="1" s="1"/>
  <c r="DB126" i="1"/>
  <c r="DD136" i="1"/>
  <c r="DB138" i="1"/>
  <c r="DS139" i="1"/>
  <c r="DD139" i="1"/>
  <c r="CD144" i="1"/>
  <c r="CZ150" i="1"/>
  <c r="DS155" i="1"/>
  <c r="DT155" i="1" s="1"/>
  <c r="DD155" i="1"/>
  <c r="CE160" i="1"/>
  <c r="CX161" i="1"/>
  <c r="CZ161" i="1" s="1"/>
  <c r="DU166" i="1"/>
  <c r="DW166" i="1" s="1"/>
  <c r="DP166" i="1"/>
  <c r="DQ166" i="1" s="1"/>
  <c r="DC166" i="1"/>
  <c r="DF166" i="1" s="1"/>
  <c r="DX166" i="1" s="1"/>
  <c r="DY166" i="1" s="1"/>
  <c r="DB166" i="1"/>
  <c r="DA168" i="1"/>
  <c r="DF174" i="1"/>
  <c r="CD174" i="1" s="1"/>
  <c r="CX176" i="1"/>
  <c r="CZ176" i="1" s="1"/>
  <c r="DA179" i="1"/>
  <c r="CX180" i="1"/>
  <c r="CZ180" i="1" s="1"/>
  <c r="DX196" i="1"/>
  <c r="DY196" i="1" s="1"/>
  <c r="DJ202" i="1"/>
  <c r="DK202" i="1"/>
  <c r="DP3" i="2"/>
  <c r="DQ3" i="2" s="1"/>
  <c r="DB3" i="2"/>
  <c r="DC3" i="2" s="1"/>
  <c r="DF3" i="2" s="1"/>
  <c r="DU3" i="2"/>
  <c r="DW3" i="2" s="1"/>
  <c r="DA6" i="2"/>
  <c r="CY6" i="2"/>
  <c r="DA10" i="2"/>
  <c r="CY10" i="2"/>
  <c r="CZ32" i="2"/>
  <c r="CX32" i="2"/>
  <c r="CZ43" i="2"/>
  <c r="CY46" i="2"/>
  <c r="DA46" i="2" s="1"/>
  <c r="DX46" i="2" s="1"/>
  <c r="DY46" i="2" s="1"/>
  <c r="E51" i="9"/>
  <c r="EG52" i="2"/>
  <c r="CG52" i="2"/>
  <c r="EQ52" i="2"/>
  <c r="EK52" i="2" s="1"/>
  <c r="EO52" i="2"/>
  <c r="EM52" i="2"/>
  <c r="CK52" i="2"/>
  <c r="CH52" i="2"/>
  <c r="EN52" i="2"/>
  <c r="EJ52" i="2"/>
  <c r="EI52" i="2"/>
  <c r="ER52" i="2" s="1"/>
  <c r="EP52" i="2" s="1"/>
  <c r="EH52" i="2"/>
  <c r="EL52" i="2" s="1"/>
  <c r="CI52" i="2"/>
  <c r="CX127" i="2"/>
  <c r="CZ127" i="2"/>
  <c r="DB140" i="2"/>
  <c r="DC140" i="2" s="1"/>
  <c r="DC74" i="1"/>
  <c r="DF74" i="1" s="1"/>
  <c r="CD74" i="1" s="1"/>
  <c r="DC86" i="1"/>
  <c r="DC102" i="1"/>
  <c r="DF102" i="1" s="1"/>
  <c r="CD102" i="1" s="1"/>
  <c r="DC114" i="1"/>
  <c r="DC126" i="1"/>
  <c r="DB129" i="1"/>
  <c r="DB132" i="1"/>
  <c r="DP132" i="1"/>
  <c r="DC138" i="1"/>
  <c r="DF138" i="1" s="1"/>
  <c r="CD138" i="1" s="1"/>
  <c r="DU140" i="1"/>
  <c r="DW140" i="1" s="1"/>
  <c r="DP140" i="1"/>
  <c r="DC140" i="1"/>
  <c r="DF158" i="1"/>
  <c r="DF163" i="1"/>
  <c r="CD163" i="1" s="1"/>
  <c r="DS166" i="1"/>
  <c r="DT166" i="1" s="1"/>
  <c r="DD166" i="1"/>
  <c r="DS177" i="1"/>
  <c r="DT177" i="1" s="1"/>
  <c r="DD177" i="1"/>
  <c r="DP180" i="1"/>
  <c r="DQ180" i="1" s="1"/>
  <c r="DC180" i="1"/>
  <c r="DB180" i="1"/>
  <c r="DU180" i="1"/>
  <c r="DW180" i="1" s="1"/>
  <c r="CY183" i="1"/>
  <c r="DA183" i="1" s="1"/>
  <c r="CX187" i="1"/>
  <c r="CZ187" i="1" s="1"/>
  <c r="CZ193" i="1"/>
  <c r="CZ198" i="1"/>
  <c r="CX198" i="1"/>
  <c r="DA199" i="1"/>
  <c r="CX200" i="1"/>
  <c r="CZ200" i="1" s="1"/>
  <c r="CZ201" i="1"/>
  <c r="DL202" i="1"/>
  <c r="DP204" i="1"/>
  <c r="DQ204" i="1" s="1"/>
  <c r="DC204" i="1"/>
  <c r="DB204" i="1"/>
  <c r="DU204" i="1"/>
  <c r="DW204" i="1" s="1"/>
  <c r="DW207" i="1"/>
  <c r="CZ211" i="1"/>
  <c r="CX211" i="1"/>
  <c r="CZ212" i="1"/>
  <c r="CX212" i="1"/>
  <c r="DS214" i="1"/>
  <c r="DD214" i="1"/>
  <c r="CD216" i="1"/>
  <c r="DA216" i="1"/>
  <c r="CE5" i="2"/>
  <c r="DU15" i="2"/>
  <c r="DW15" i="2" s="1"/>
  <c r="DP15" i="2"/>
  <c r="DB15" i="2"/>
  <c r="DC15" i="2" s="1"/>
  <c r="DF15" i="2" s="1"/>
  <c r="DX15" i="2" s="1"/>
  <c r="DC18" i="2"/>
  <c r="DF18" i="2" s="1"/>
  <c r="DS29" i="2"/>
  <c r="DD29" i="2"/>
  <c r="CD32" i="2"/>
  <c r="E36" i="9"/>
  <c r="EJ37" i="2"/>
  <c r="CJ37" i="2"/>
  <c r="EI37" i="2"/>
  <c r="CI37" i="2"/>
  <c r="EH37" i="2"/>
  <c r="EM37" i="2" s="1"/>
  <c r="CH37" i="2"/>
  <c r="ER37" i="2"/>
  <c r="EP37" i="2" s="1"/>
  <c r="EN37" i="2"/>
  <c r="EL37" i="2"/>
  <c r="EG37" i="2"/>
  <c r="EO37" i="2"/>
  <c r="EQ37" i="2"/>
  <c r="EK37" i="2" s="1"/>
  <c r="CZ51" i="2"/>
  <c r="CX51" i="2"/>
  <c r="E68" i="9"/>
  <c r="EO69" i="2"/>
  <c r="EN69" i="2"/>
  <c r="EM69" i="2"/>
  <c r="EK69" i="2"/>
  <c r="CK69" i="2"/>
  <c r="EJ69" i="2"/>
  <c r="CJ69" i="2"/>
  <c r="EI69" i="2"/>
  <c r="CI69" i="2"/>
  <c r="EH69" i="2"/>
  <c r="EL69" i="2" s="1"/>
  <c r="CH69" i="2"/>
  <c r="EQ69" i="2"/>
  <c r="CG69" i="2"/>
  <c r="CZ96" i="2"/>
  <c r="CX96" i="2"/>
  <c r="CX114" i="2"/>
  <c r="CZ114" i="2" s="1"/>
  <c r="DU116" i="2"/>
  <c r="DW116" i="2" s="1"/>
  <c r="DP116" i="2"/>
  <c r="DB116" i="2"/>
  <c r="DC116" i="2" s="1"/>
  <c r="CZ121" i="2"/>
  <c r="CX121" i="2"/>
  <c r="E132" i="9"/>
  <c r="EG133" i="2"/>
  <c r="CK133" i="2"/>
  <c r="ER133" i="2"/>
  <c r="EP133" i="2" s="1"/>
  <c r="CJ133" i="2"/>
  <c r="EQ133" i="2"/>
  <c r="CI133" i="2"/>
  <c r="EO133" i="2"/>
  <c r="CH133" i="2"/>
  <c r="EN133" i="2"/>
  <c r="CG133" i="2"/>
  <c r="EK133" i="2"/>
  <c r="EH133" i="2"/>
  <c r="EM133" i="2" s="1"/>
  <c r="EJ133" i="2"/>
  <c r="EI133" i="2"/>
  <c r="CZ138" i="2"/>
  <c r="CX138" i="2"/>
  <c r="DO190" i="2"/>
  <c r="DN190" i="2"/>
  <c r="CY67" i="1"/>
  <c r="DA67" i="1" s="1"/>
  <c r="DX67" i="1" s="1"/>
  <c r="CY79" i="1"/>
  <c r="DA79" i="1" s="1"/>
  <c r="DX79" i="1" s="1"/>
  <c r="DY79" i="1" s="1"/>
  <c r="CY91" i="1"/>
  <c r="DA91" i="1" s="1"/>
  <c r="DX91" i="1" s="1"/>
  <c r="CY93" i="1"/>
  <c r="DA93" i="1" s="1"/>
  <c r="CY95" i="1"/>
  <c r="DA95" i="1" s="1"/>
  <c r="DX95" i="1" s="1"/>
  <c r="CY107" i="1"/>
  <c r="DA107" i="1" s="1"/>
  <c r="DX107" i="1" s="1"/>
  <c r="DY107" i="1" s="1"/>
  <c r="CY119" i="1"/>
  <c r="CY131" i="1"/>
  <c r="DA131" i="1" s="1"/>
  <c r="DX131" i="1" s="1"/>
  <c r="DB135" i="1"/>
  <c r="DC137" i="1"/>
  <c r="DF137" i="1" s="1"/>
  <c r="CD137" i="1" s="1"/>
  <c r="DD138" i="1"/>
  <c r="DS140" i="1"/>
  <c r="DD140" i="1"/>
  <c r="DP141" i="1"/>
  <c r="DQ141" i="1" s="1"/>
  <c r="DC141" i="1"/>
  <c r="DF141" i="1" s="1"/>
  <c r="DX141" i="1" s="1"/>
  <c r="DY141" i="1" s="1"/>
  <c r="DB141" i="1"/>
  <c r="CY143" i="1"/>
  <c r="DA143" i="1" s="1"/>
  <c r="DX143" i="1" s="1"/>
  <c r="DY143" i="1" s="1"/>
  <c r="DF145" i="1"/>
  <c r="CD147" i="1"/>
  <c r="CZ151" i="1"/>
  <c r="CX151" i="1"/>
  <c r="CX152" i="1"/>
  <c r="CZ152" i="1" s="1"/>
  <c r="CX168" i="1"/>
  <c r="CZ168" i="1" s="1"/>
  <c r="DX184" i="1"/>
  <c r="DY184" i="1" s="1"/>
  <c r="DU191" i="1"/>
  <c r="DW191" i="1" s="1"/>
  <c r="DP191" i="1"/>
  <c r="DQ191" i="1" s="1"/>
  <c r="DC191" i="1"/>
  <c r="DB191" i="1"/>
  <c r="DA193" i="1"/>
  <c r="CY193" i="1"/>
  <c r="CY194" i="1"/>
  <c r="DA194" i="1" s="1"/>
  <c r="DX194" i="1" s="1"/>
  <c r="DY194" i="1" s="1"/>
  <c r="DS201" i="1"/>
  <c r="DD201" i="1"/>
  <c r="DX201" i="1"/>
  <c r="DM202" i="1"/>
  <c r="DA203" i="1"/>
  <c r="CZ206" i="1"/>
  <c r="CD212" i="1"/>
  <c r="DP217" i="1"/>
  <c r="DQ217" i="1" s="1"/>
  <c r="DC217" i="1"/>
  <c r="DF217" i="1" s="1"/>
  <c r="CD217" i="1" s="1"/>
  <c r="DB217" i="1"/>
  <c r="DU217" i="1"/>
  <c r="DW217" i="1" s="1"/>
  <c r="CY220" i="1"/>
  <c r="DA220" i="1" s="1"/>
  <c r="DW5" i="2"/>
  <c r="CZ9" i="2"/>
  <c r="CX9" i="2"/>
  <c r="DC10" i="2"/>
  <c r="CZ12" i="2"/>
  <c r="CX12" i="2"/>
  <c r="CZ19" i="2"/>
  <c r="CX19" i="2"/>
  <c r="DD30" i="2"/>
  <c r="DF30" i="2" s="1"/>
  <c r="DS30" i="2"/>
  <c r="DW44" i="2"/>
  <c r="DF48" i="2"/>
  <c r="DX48" i="2" s="1"/>
  <c r="DY48" i="2" s="1"/>
  <c r="CX65" i="2"/>
  <c r="CZ65" i="2" s="1"/>
  <c r="DM79" i="2"/>
  <c r="DL79" i="2"/>
  <c r="DK79" i="2"/>
  <c r="DF113" i="2"/>
  <c r="DP140" i="2"/>
  <c r="DQ140" i="2" s="1"/>
  <c r="DD137" i="1"/>
  <c r="DP142" i="1"/>
  <c r="DQ142" i="1" s="1"/>
  <c r="DC142" i="1"/>
  <c r="DB142" i="1"/>
  <c r="CY144" i="1"/>
  <c r="DA144" i="1" s="1"/>
  <c r="DX144" i="1" s="1"/>
  <c r="CE147" i="1"/>
  <c r="DX148" i="1"/>
  <c r="DB149" i="1"/>
  <c r="DU149" i="1"/>
  <c r="DW149" i="1" s="1"/>
  <c r="DP149" i="1"/>
  <c r="DC149" i="1"/>
  <c r="DF149" i="1" s="1"/>
  <c r="CD149" i="1" s="1"/>
  <c r="DX150" i="1"/>
  <c r="CD151" i="1"/>
  <c r="CZ156" i="1"/>
  <c r="DP168" i="1"/>
  <c r="DQ168" i="1" s="1"/>
  <c r="DC168" i="1"/>
  <c r="DF168" i="1" s="1"/>
  <c r="CD168" i="1" s="1"/>
  <c r="DB168" i="1"/>
  <c r="DU168" i="1"/>
  <c r="DW168" i="1" s="1"/>
  <c r="DA171" i="1"/>
  <c r="CY171" i="1"/>
  <c r="CZ175" i="1"/>
  <c r="CX175" i="1"/>
  <c r="DU179" i="1"/>
  <c r="DW179" i="1" s="1"/>
  <c r="DP179" i="1"/>
  <c r="DC179" i="1"/>
  <c r="DF179" i="1" s="1"/>
  <c r="CD179" i="1" s="1"/>
  <c r="DB179" i="1"/>
  <c r="DF180" i="1"/>
  <c r="DX180" i="1" s="1"/>
  <c r="DY180" i="1" s="1"/>
  <c r="CD182" i="1"/>
  <c r="CZ182" i="1"/>
  <c r="CX182" i="1"/>
  <c r="CZ186" i="1"/>
  <c r="CX186" i="1"/>
  <c r="CD190" i="1"/>
  <c r="DS191" i="1"/>
  <c r="DT191" i="1" s="1"/>
  <c r="DD191" i="1"/>
  <c r="DF191" i="1" s="1"/>
  <c r="DX198" i="1"/>
  <c r="DY198" i="1" s="1"/>
  <c r="DF204" i="1"/>
  <c r="CD206" i="1"/>
  <c r="DA206" i="1"/>
  <c r="DX206" i="1" s="1"/>
  <c r="DY206" i="1" s="1"/>
  <c r="CY206" i="1"/>
  <c r="DA207" i="1"/>
  <c r="CY207" i="1"/>
  <c r="DX212" i="1"/>
  <c r="DF213" i="1"/>
  <c r="DX213" i="1" s="1"/>
  <c r="CX216" i="1"/>
  <c r="CZ5" i="2"/>
  <c r="CX5" i="2"/>
  <c r="DB21" i="2"/>
  <c r="DC21" i="2" s="1"/>
  <c r="DF21" i="2" s="1"/>
  <c r="DX21" i="2" s="1"/>
  <c r="DU21" i="2"/>
  <c r="DW21" i="2" s="1"/>
  <c r="DP21" i="2"/>
  <c r="DX23" i="2"/>
  <c r="DS40" i="2"/>
  <c r="DT40" i="2" s="1"/>
  <c r="DD40" i="2"/>
  <c r="CX49" i="2"/>
  <c r="CZ49" i="2" s="1"/>
  <c r="CZ50" i="2"/>
  <c r="CX50" i="2"/>
  <c r="CZ68" i="2"/>
  <c r="CX68" i="2"/>
  <c r="DJ79" i="2"/>
  <c r="CZ81" i="2"/>
  <c r="CX81" i="2"/>
  <c r="DU89" i="2"/>
  <c r="DW89" i="2" s="1"/>
  <c r="DP89" i="2"/>
  <c r="DB89" i="2"/>
  <c r="DC89" i="2" s="1"/>
  <c r="DF97" i="2"/>
  <c r="CX104" i="2"/>
  <c r="CZ104" i="2" s="1"/>
  <c r="DS126" i="2"/>
  <c r="DT126" i="2" s="1"/>
  <c r="CD126" i="2"/>
  <c r="DD126" i="2"/>
  <c r="CZ142" i="2"/>
  <c r="DB92" i="1"/>
  <c r="DB131" i="1"/>
  <c r="DP131" i="1"/>
  <c r="DS142" i="1"/>
  <c r="DD142" i="1"/>
  <c r="DF142" i="1" s="1"/>
  <c r="CD142" i="1" s="1"/>
  <c r="DA142" i="1"/>
  <c r="DU142" i="1"/>
  <c r="DW142" i="1" s="1"/>
  <c r="DF143" i="1"/>
  <c r="CD143" i="1" s="1"/>
  <c r="CD145" i="1"/>
  <c r="DU154" i="1"/>
  <c r="DW154" i="1" s="1"/>
  <c r="DP154" i="1"/>
  <c r="DQ154" i="1" s="1"/>
  <c r="DC154" i="1"/>
  <c r="DB154" i="1"/>
  <c r="DA156" i="1"/>
  <c r="CZ160" i="1"/>
  <c r="CX160" i="1"/>
  <c r="CX164" i="1"/>
  <c r="CZ164" i="1" s="1"/>
  <c r="DA167" i="1"/>
  <c r="DX172" i="1"/>
  <c r="DY172" i="1" s="1"/>
  <c r="CD175" i="1"/>
  <c r="DS179" i="1"/>
  <c r="DD179" i="1"/>
  <c r="CZ181" i="1"/>
  <c r="DA182" i="1"/>
  <c r="DX182" i="1" s="1"/>
  <c r="DY182" i="1" s="1"/>
  <c r="CY182" i="1"/>
  <c r="CE196" i="1"/>
  <c r="CZ197" i="1"/>
  <c r="CX197" i="1"/>
  <c r="CZ205" i="1"/>
  <c r="CE209" i="1"/>
  <c r="CZ210" i="1"/>
  <c r="CX210" i="1"/>
  <c r="DU216" i="1"/>
  <c r="DW216" i="1" s="1"/>
  <c r="DP216" i="1"/>
  <c r="DC216" i="1"/>
  <c r="DF216" i="1" s="1"/>
  <c r="DB216" i="1"/>
  <c r="DW219" i="1"/>
  <c r="DJ3" i="2"/>
  <c r="CZ4" i="2"/>
  <c r="DA5" i="2"/>
  <c r="DX5" i="2" s="1"/>
  <c r="DY5" i="2" s="1"/>
  <c r="CY5" i="2"/>
  <c r="E6" i="9"/>
  <c r="EO7" i="2"/>
  <c r="EC7" i="2"/>
  <c r="EN7" i="2"/>
  <c r="EB7" i="2"/>
  <c r="EM7" i="2"/>
  <c r="EL7" i="2"/>
  <c r="EK7" i="2"/>
  <c r="CK7" i="2"/>
  <c r="EJ7" i="2"/>
  <c r="CJ7" i="2"/>
  <c r="EI7" i="2"/>
  <c r="CI7" i="2"/>
  <c r="EH7" i="2"/>
  <c r="CH7" i="2"/>
  <c r="EP7" i="2"/>
  <c r="ED7" i="2"/>
  <c r="CD19" i="2"/>
  <c r="CZ25" i="2"/>
  <c r="DW27" i="2"/>
  <c r="DW33" i="2"/>
  <c r="CU55" i="2"/>
  <c r="DS75" i="2"/>
  <c r="DD75" i="2"/>
  <c r="DS98" i="2"/>
  <c r="CE108" i="2"/>
  <c r="CZ117" i="2"/>
  <c r="CX117" i="2"/>
  <c r="DA117" i="2"/>
  <c r="CZ120" i="2"/>
  <c r="CX120" i="2"/>
  <c r="CE135" i="2"/>
  <c r="DC92" i="1"/>
  <c r="DF92" i="1" s="1"/>
  <c r="DX92" i="1" s="1"/>
  <c r="DU129" i="1"/>
  <c r="DW129" i="1" s="1"/>
  <c r="DB134" i="1"/>
  <c r="CE143" i="1"/>
  <c r="DA151" i="1"/>
  <c r="DX151" i="1" s="1"/>
  <c r="DS154" i="1"/>
  <c r="DT154" i="1" s="1"/>
  <c r="DD154" i="1"/>
  <c r="D158" i="9"/>
  <c r="EP159" i="1"/>
  <c r="ED159" i="1"/>
  <c r="K160" i="21" s="1"/>
  <c r="EO159" i="1"/>
  <c r="EC159" i="1"/>
  <c r="EN159" i="1"/>
  <c r="AO160" i="21" s="1"/>
  <c r="EB159" i="1"/>
  <c r="EM159" i="1"/>
  <c r="AL160" i="21" s="1"/>
  <c r="EL159" i="1"/>
  <c r="EK159" i="1"/>
  <c r="CK159" i="1"/>
  <c r="EJ159" i="1"/>
  <c r="AC160" i="21" s="1"/>
  <c r="CJ159" i="1"/>
  <c r="EI159" i="1"/>
  <c r="Z160" i="21" s="1"/>
  <c r="CI159" i="1"/>
  <c r="EQ159" i="1"/>
  <c r="EE159" i="1"/>
  <c r="N160" i="21" s="1"/>
  <c r="CQ159" i="1"/>
  <c r="DS165" i="1"/>
  <c r="DD165" i="1"/>
  <c r="DW170" i="1"/>
  <c r="CZ174" i="1"/>
  <c r="CX174" i="1"/>
  <c r="DA175" i="1"/>
  <c r="DX175" i="1" s="1"/>
  <c r="DY175" i="1" s="1"/>
  <c r="DF176" i="1"/>
  <c r="CY181" i="1"/>
  <c r="DA181" i="1" s="1"/>
  <c r="DM184" i="1"/>
  <c r="DL184" i="1"/>
  <c r="DK184" i="1"/>
  <c r="DJ184" i="1"/>
  <c r="DF194" i="1"/>
  <c r="CD194" i="1" s="1"/>
  <c r="DF199" i="1"/>
  <c r="CD199" i="1" s="1"/>
  <c r="DU203" i="1"/>
  <c r="DW203" i="1" s="1"/>
  <c r="DP203" i="1"/>
  <c r="DQ203" i="1" s="1"/>
  <c r="DC203" i="1"/>
  <c r="DF203" i="1" s="1"/>
  <c r="CD203" i="1" s="1"/>
  <c r="DB203" i="1"/>
  <c r="DA205" i="1"/>
  <c r="CY205" i="1"/>
  <c r="DS216" i="1"/>
  <c r="DD216" i="1"/>
  <c r="CZ218" i="1"/>
  <c r="CD219" i="1"/>
  <c r="DK3" i="2"/>
  <c r="CY4" i="2"/>
  <c r="DA4" i="2" s="1"/>
  <c r="DX4" i="2" s="1"/>
  <c r="DY4" i="2" s="1"/>
  <c r="CZ8" i="2"/>
  <c r="CX8" i="2"/>
  <c r="DW20" i="2"/>
  <c r="E32" i="9"/>
  <c r="EN33" i="2"/>
  <c r="EJ33" i="2"/>
  <c r="CJ33" i="2"/>
  <c r="EK33" i="2"/>
  <c r="EI33" i="2"/>
  <c r="ER33" i="2" s="1"/>
  <c r="EP33" i="2" s="1"/>
  <c r="EH33" i="2"/>
  <c r="EM33" i="2" s="1"/>
  <c r="EG33" i="2"/>
  <c r="CK33" i="2"/>
  <c r="CI33" i="2"/>
  <c r="CH33" i="2"/>
  <c r="EO33" i="2"/>
  <c r="CX41" i="2"/>
  <c r="CZ41" i="2"/>
  <c r="DA76" i="2"/>
  <c r="CX83" i="2"/>
  <c r="CZ83" i="2" s="1"/>
  <c r="CX87" i="2"/>
  <c r="CZ87" i="2"/>
  <c r="DW93" i="2"/>
  <c r="E116" i="9"/>
  <c r="EG117" i="2"/>
  <c r="CG117" i="2"/>
  <c r="ER117" i="2"/>
  <c r="EQ117" i="2"/>
  <c r="EK117" i="2" s="1"/>
  <c r="EO117" i="2"/>
  <c r="EN117" i="2"/>
  <c r="EL117" i="2"/>
  <c r="CK117" i="2"/>
  <c r="EH117" i="2"/>
  <c r="EM117" i="2" s="1"/>
  <c r="CH117" i="2"/>
  <c r="EJ117" i="2"/>
  <c r="EI117" i="2"/>
  <c r="CI117" i="2"/>
  <c r="DW118" i="2"/>
  <c r="CX135" i="2"/>
  <c r="CZ135" i="2" s="1"/>
  <c r="CE145" i="1"/>
  <c r="CE158" i="1"/>
  <c r="DC161" i="1"/>
  <c r="DF161" i="1" s="1"/>
  <c r="DP161" i="1"/>
  <c r="DQ161" i="1" s="1"/>
  <c r="CE170" i="1"/>
  <c r="DC173" i="1"/>
  <c r="DF173" i="1" s="1"/>
  <c r="DX173" i="1" s="1"/>
  <c r="DY173" i="1" s="1"/>
  <c r="DP173" i="1"/>
  <c r="DQ173" i="1" s="1"/>
  <c r="CE182" i="1"/>
  <c r="DC185" i="1"/>
  <c r="DF185" i="1" s="1"/>
  <c r="CD185" i="1" s="1"/>
  <c r="DP185" i="1"/>
  <c r="CE194" i="1"/>
  <c r="DC197" i="1"/>
  <c r="DF197" i="1" s="1"/>
  <c r="DX197" i="1" s="1"/>
  <c r="DP197" i="1"/>
  <c r="CE207" i="1"/>
  <c r="DS207" i="1"/>
  <c r="DC210" i="1"/>
  <c r="DF210" i="1" s="1"/>
  <c r="CD210" i="1" s="1"/>
  <c r="DP210" i="1"/>
  <c r="DQ210" i="1" s="1"/>
  <c r="CE219" i="1"/>
  <c r="DS219" i="1"/>
  <c r="DS5" i="2"/>
  <c r="DP8" i="2"/>
  <c r="DB9" i="2"/>
  <c r="DC9" i="2" s="1"/>
  <c r="DF9" i="2" s="1"/>
  <c r="DP9" i="2"/>
  <c r="DA12" i="2"/>
  <c r="DX12" i="2" s="1"/>
  <c r="DS13" i="2"/>
  <c r="DC32" i="2"/>
  <c r="DF32" i="2" s="1"/>
  <c r="DW35" i="2"/>
  <c r="DX35" i="2" s="1"/>
  <c r="DP38" i="2"/>
  <c r="CU46" i="2"/>
  <c r="CU69" i="2"/>
  <c r="CX71" i="2"/>
  <c r="CZ71" i="2" s="1"/>
  <c r="CX73" i="2"/>
  <c r="CZ73" i="2" s="1"/>
  <c r="CY80" i="2"/>
  <c r="DA80" i="2" s="1"/>
  <c r="CZ90" i="2"/>
  <c r="DF98" i="2"/>
  <c r="CX99" i="2"/>
  <c r="CZ99" i="2" s="1"/>
  <c r="DS102" i="2"/>
  <c r="CD102" i="2"/>
  <c r="DD102" i="2"/>
  <c r="DA103" i="2"/>
  <c r="DA107" i="2"/>
  <c r="CY107" i="2"/>
  <c r="DW110" i="2"/>
  <c r="DX113" i="2"/>
  <c r="DU115" i="2"/>
  <c r="DW115" i="2" s="1"/>
  <c r="DP115" i="2"/>
  <c r="DB115" i="2"/>
  <c r="DC115" i="2" s="1"/>
  <c r="DF115" i="2" s="1"/>
  <c r="DX115" i="2" s="1"/>
  <c r="DA116" i="2"/>
  <c r="DS132" i="2"/>
  <c r="DD132" i="2"/>
  <c r="CZ133" i="2"/>
  <c r="CX133" i="2"/>
  <c r="CD137" i="2"/>
  <c r="DB149" i="2"/>
  <c r="DC149" i="2" s="1"/>
  <c r="DF149" i="2" s="1"/>
  <c r="DU149" i="2"/>
  <c r="DW149" i="2" s="1"/>
  <c r="CZ191" i="2"/>
  <c r="CX191" i="2"/>
  <c r="DD152" i="1"/>
  <c r="DF152" i="1" s="1"/>
  <c r="DC153" i="1"/>
  <c r="DP153" i="1"/>
  <c r="DU160" i="1"/>
  <c r="DW160" i="1" s="1"/>
  <c r="DD164" i="1"/>
  <c r="DF164" i="1" s="1"/>
  <c r="DC165" i="1"/>
  <c r="DF165" i="1" s="1"/>
  <c r="DP165" i="1"/>
  <c r="DU172" i="1"/>
  <c r="DW172" i="1" s="1"/>
  <c r="DD176" i="1"/>
  <c r="DC177" i="1"/>
  <c r="DF177" i="1" s="1"/>
  <c r="DP177" i="1"/>
  <c r="DQ177" i="1" s="1"/>
  <c r="DU184" i="1"/>
  <c r="DW184" i="1" s="1"/>
  <c r="DD188" i="1"/>
  <c r="DF188" i="1" s="1"/>
  <c r="DC189" i="1"/>
  <c r="DP189" i="1"/>
  <c r="DQ189" i="1" s="1"/>
  <c r="DU196" i="1"/>
  <c r="DW196" i="1" s="1"/>
  <c r="DD200" i="1"/>
  <c r="DF200" i="1" s="1"/>
  <c r="DC201" i="1"/>
  <c r="DF201" i="1" s="1"/>
  <c r="CD201" i="1" s="1"/>
  <c r="DP201" i="1"/>
  <c r="DU209" i="1"/>
  <c r="DW209" i="1" s="1"/>
  <c r="DD213" i="1"/>
  <c r="DC214" i="1"/>
  <c r="DF214" i="1" s="1"/>
  <c r="DU221" i="1"/>
  <c r="DW221" i="1" s="1"/>
  <c r="DX221" i="1" s="1"/>
  <c r="DU7" i="2"/>
  <c r="DW7" i="2" s="1"/>
  <c r="DX7" i="2" s="1"/>
  <c r="DS15" i="2"/>
  <c r="DS21" i="2"/>
  <c r="CD22" i="2"/>
  <c r="DS22" i="2"/>
  <c r="DW23" i="2"/>
  <c r="DB27" i="2"/>
  <c r="DC27" i="2" s="1"/>
  <c r="DP31" i="2"/>
  <c r="DQ31" i="2" s="1"/>
  <c r="DB31" i="2"/>
  <c r="DC31" i="2" s="1"/>
  <c r="DU31" i="2"/>
  <c r="DW31" i="2" s="1"/>
  <c r="DF33" i="2"/>
  <c r="DS41" i="2"/>
  <c r="DD41" i="2"/>
  <c r="DA55" i="2"/>
  <c r="DS56" i="2"/>
  <c r="DF56" i="2"/>
  <c r="DA65" i="2"/>
  <c r="DF71" i="2"/>
  <c r="CX72" i="2"/>
  <c r="CZ72" i="2" s="1"/>
  <c r="CZ77" i="2"/>
  <c r="E81" i="9"/>
  <c r="EO82" i="2"/>
  <c r="EN82" i="2"/>
  <c r="EM82" i="2"/>
  <c r="EL82" i="2"/>
  <c r="EK82" i="2"/>
  <c r="CK82" i="2"/>
  <c r="EJ82" i="2"/>
  <c r="CJ82" i="2"/>
  <c r="EI82" i="2"/>
  <c r="ER82" i="2" s="1"/>
  <c r="CI82" i="2"/>
  <c r="EH82" i="2"/>
  <c r="CH82" i="2"/>
  <c r="EG82" i="2"/>
  <c r="CG82" i="2"/>
  <c r="CD85" i="2"/>
  <c r="DX85" i="2"/>
  <c r="CE92" i="2"/>
  <c r="DU103" i="2"/>
  <c r="DW103" i="2" s="1"/>
  <c r="DP103" i="2"/>
  <c r="DB103" i="2"/>
  <c r="DC103" i="2" s="1"/>
  <c r="DA104" i="2"/>
  <c r="E108" i="9"/>
  <c r="EO109" i="2"/>
  <c r="EC109" i="2"/>
  <c r="EN109" i="2"/>
  <c r="EB109" i="2"/>
  <c r="F110" i="21" s="1"/>
  <c r="EM109" i="2"/>
  <c r="EL109" i="2"/>
  <c r="EK109" i="2"/>
  <c r="I110" i="22" s="1"/>
  <c r="CK109" i="2"/>
  <c r="EJ109" i="2"/>
  <c r="CJ109" i="2"/>
  <c r="EI109" i="2"/>
  <c r="CI109" i="2"/>
  <c r="EH109" i="2"/>
  <c r="CH109" i="2"/>
  <c r="EG109" i="2"/>
  <c r="CG109" i="2"/>
  <c r="EP109" i="2"/>
  <c r="ED109" i="2"/>
  <c r="CZ110" i="2"/>
  <c r="CX110" i="2"/>
  <c r="CX143" i="2"/>
  <c r="CZ143" i="2" s="1"/>
  <c r="CX144" i="2"/>
  <c r="CZ144" i="2"/>
  <c r="DU165" i="2"/>
  <c r="DW165" i="2" s="1"/>
  <c r="DP165" i="2"/>
  <c r="DQ165" i="2" s="1"/>
  <c r="DB165" i="2"/>
  <c r="DC165" i="2" s="1"/>
  <c r="DU161" i="1"/>
  <c r="DW161" i="1" s="1"/>
  <c r="DU173" i="1"/>
  <c r="DW173" i="1" s="1"/>
  <c r="DU185" i="1"/>
  <c r="DW185" i="1" s="1"/>
  <c r="DU197" i="1"/>
  <c r="DW197" i="1" s="1"/>
  <c r="DU210" i="1"/>
  <c r="DW210" i="1" s="1"/>
  <c r="F212" i="22"/>
  <c r="M212" i="22" s="1"/>
  <c r="F218" i="22"/>
  <c r="M218" i="22" s="1"/>
  <c r="I149" i="22"/>
  <c r="F227" i="22"/>
  <c r="F215" i="22"/>
  <c r="I211" i="22"/>
  <c r="F171" i="22"/>
  <c r="I134" i="22"/>
  <c r="F134" i="22"/>
  <c r="F109" i="22"/>
  <c r="I209" i="22"/>
  <c r="F149" i="22"/>
  <c r="AM207" i="21"/>
  <c r="AA207" i="21"/>
  <c r="O207" i="21"/>
  <c r="I212" i="22"/>
  <c r="U229" i="21"/>
  <c r="F229" i="21"/>
  <c r="AD227" i="21"/>
  <c r="AP218" i="21"/>
  <c r="AD218" i="21"/>
  <c r="R218" i="21"/>
  <c r="I218" i="22"/>
  <c r="AP227" i="21"/>
  <c r="AJ214" i="21"/>
  <c r="X214" i="21"/>
  <c r="L214" i="21"/>
  <c r="I44" i="22"/>
  <c r="AM228" i="21"/>
  <c r="X218" i="21"/>
  <c r="F218" i="21"/>
  <c r="AA214" i="21"/>
  <c r="U207" i="21"/>
  <c r="L228" i="21"/>
  <c r="AM218" i="21"/>
  <c r="F207" i="21"/>
  <c r="F207" i="22"/>
  <c r="AP229" i="21"/>
  <c r="AA227" i="21"/>
  <c r="F227" i="21"/>
  <c r="AP214" i="21"/>
  <c r="I214" i="21"/>
  <c r="AG207" i="21"/>
  <c r="O229" i="21"/>
  <c r="AM214" i="21"/>
  <c r="R213" i="21"/>
  <c r="R207" i="21"/>
  <c r="AD206" i="21"/>
  <c r="F110" i="22"/>
  <c r="I4" i="22"/>
  <c r="AG229" i="21"/>
  <c r="AA228" i="21"/>
  <c r="O218" i="21"/>
  <c r="U214" i="21"/>
  <c r="F214" i="21"/>
  <c r="O213" i="21"/>
  <c r="AD207" i="21"/>
  <c r="AP206" i="21"/>
  <c r="AD229" i="21"/>
  <c r="AM227" i="21"/>
  <c r="L218" i="21"/>
  <c r="O214" i="21"/>
  <c r="AD211" i="21"/>
  <c r="AG209" i="21"/>
  <c r="AP207" i="21"/>
  <c r="AA213" i="21"/>
  <c r="L206" i="21"/>
  <c r="F225" i="21"/>
  <c r="AJ218" i="21"/>
  <c r="L207" i="21"/>
  <c r="AJ206" i="21"/>
  <c r="AA229" i="21"/>
  <c r="X228" i="21"/>
  <c r="AJ225" i="21"/>
  <c r="L229" i="21"/>
  <c r="AP215" i="21"/>
  <c r="R211" i="21"/>
  <c r="U209" i="21"/>
  <c r="I207" i="21"/>
  <c r="F206" i="21"/>
  <c r="O227" i="21"/>
  <c r="AP211" i="21"/>
  <c r="AJ209" i="21"/>
  <c r="AJ207" i="21"/>
  <c r="I8" i="22"/>
  <c r="F215" i="21"/>
  <c r="AP213" i="21"/>
  <c r="AM206" i="21"/>
  <c r="AP149" i="21"/>
  <c r="AA149" i="21"/>
  <c r="L149" i="21"/>
  <c r="AA209" i="21"/>
  <c r="AA206" i="21"/>
  <c r="I227" i="21"/>
  <c r="AM213" i="21"/>
  <c r="AG211" i="21"/>
  <c r="AD213" i="21"/>
  <c r="O209" i="21"/>
  <c r="AJ149" i="21"/>
  <c r="AG149" i="21"/>
  <c r="X229" i="21"/>
  <c r="U215" i="21"/>
  <c r="I149" i="21"/>
  <c r="AA218" i="21"/>
  <c r="X213" i="21"/>
  <c r="I109" i="22"/>
  <c r="X206" i="21"/>
  <c r="AD149" i="21"/>
  <c r="F149" i="21"/>
  <c r="L213" i="21"/>
  <c r="O149" i="21"/>
  <c r="AM109" i="21"/>
  <c r="AG96" i="21"/>
  <c r="U96" i="21"/>
  <c r="I96" i="21"/>
  <c r="I19" i="22"/>
  <c r="X110" i="21"/>
  <c r="AM215" i="21"/>
  <c r="X207" i="21"/>
  <c r="AM149" i="21"/>
  <c r="R135" i="21"/>
  <c r="I110" i="21"/>
  <c r="I109" i="21"/>
  <c r="U227" i="21"/>
  <c r="O135" i="21"/>
  <c r="F4" i="22"/>
  <c r="M4" i="22" s="1"/>
  <c r="O206" i="21"/>
  <c r="AD135" i="21"/>
  <c r="L96" i="21"/>
  <c r="AA96" i="21"/>
  <c r="X149" i="21"/>
  <c r="U110" i="21"/>
  <c r="AP109" i="21"/>
  <c r="U109" i="21"/>
  <c r="R225" i="21"/>
  <c r="R214" i="21"/>
  <c r="U149" i="21"/>
  <c r="AP110" i="21"/>
  <c r="L209" i="21"/>
  <c r="R110" i="21"/>
  <c r="L225" i="21"/>
  <c r="AJ110" i="21"/>
  <c r="AJ109" i="21"/>
  <c r="O109" i="21"/>
  <c r="AM96" i="21"/>
  <c r="AP208" i="21"/>
  <c r="AP154" i="21"/>
  <c r="R149" i="21"/>
  <c r="I228" i="21"/>
  <c r="AJ135" i="21"/>
  <c r="AA109" i="21"/>
  <c r="AA94" i="21"/>
  <c r="U212" i="21"/>
  <c r="L109" i="21"/>
  <c r="AP100" i="21"/>
  <c r="AD96" i="21"/>
  <c r="L110" i="21"/>
  <c r="AA83" i="21"/>
  <c r="L211" i="21"/>
  <c r="R96" i="21"/>
  <c r="U70" i="21"/>
  <c r="O62" i="21"/>
  <c r="X53" i="21"/>
  <c r="AG214" i="21"/>
  <c r="O96" i="21"/>
  <c r="AA57" i="21"/>
  <c r="AJ53" i="21"/>
  <c r="AD214" i="21"/>
  <c r="U171" i="21"/>
  <c r="AG70" i="21"/>
  <c r="X62" i="21"/>
  <c r="F96" i="21"/>
  <c r="U62" i="21"/>
  <c r="X57" i="21"/>
  <c r="AG53" i="21"/>
  <c r="AG100" i="21"/>
  <c r="U57" i="21"/>
  <c r="AD34" i="21"/>
  <c r="AD26" i="21"/>
  <c r="AD100" i="21"/>
  <c r="AP83" i="21"/>
  <c r="U19" i="21"/>
  <c r="O10" i="21"/>
  <c r="F109" i="21"/>
  <c r="X96" i="21"/>
  <c r="AM83" i="21"/>
  <c r="I62" i="21"/>
  <c r="U44" i="21"/>
  <c r="AP34" i="21"/>
  <c r="AM8" i="21"/>
  <c r="I8" i="21"/>
  <c r="U53" i="21"/>
  <c r="AM26" i="21"/>
  <c r="AD10" i="21"/>
  <c r="L10" i="21"/>
  <c r="X10" i="21"/>
  <c r="AJ70" i="21"/>
  <c r="AM62" i="21"/>
  <c r="AA26" i="21"/>
  <c r="AJ19" i="21"/>
  <c r="AP10" i="21"/>
  <c r="AM34" i="21"/>
  <c r="AM11" i="21"/>
  <c r="AJ11" i="21"/>
  <c r="I10" i="21"/>
  <c r="F8" i="21"/>
  <c r="AJ4" i="21"/>
  <c r="F4" i="21"/>
  <c r="AA34" i="21"/>
  <c r="AP26" i="21"/>
  <c r="F10" i="21"/>
  <c r="L208" i="21"/>
  <c r="AM10" i="21"/>
  <c r="AD8" i="21"/>
  <c r="AG109" i="21"/>
  <c r="AP96" i="21"/>
  <c r="AP53" i="21"/>
  <c r="AJ10" i="21"/>
  <c r="AD109" i="21"/>
  <c r="X34" i="21"/>
  <c r="AG62" i="21"/>
  <c r="AM53" i="21"/>
  <c r="AG10" i="21"/>
  <c r="AA8" i="21"/>
  <c r="I215" i="21"/>
  <c r="AJ96" i="21"/>
  <c r="AA53" i="21"/>
  <c r="U26" i="21"/>
  <c r="AM19" i="21"/>
  <c r="AA10" i="21"/>
  <c r="U4" i="21"/>
  <c r="L62" i="21"/>
  <c r="AA19" i="21"/>
  <c r="X19" i="21"/>
  <c r="R10" i="21"/>
  <c r="O8" i="21"/>
  <c r="R4" i="21"/>
  <c r="X44" i="21"/>
  <c r="L4" i="21"/>
  <c r="AA118" i="21"/>
  <c r="U10" i="21"/>
  <c r="AA62" i="21"/>
  <c r="AP8" i="21"/>
  <c r="F209" i="22"/>
  <c r="M209" i="22" s="1"/>
  <c r="DU8" i="2"/>
  <c r="DW8" i="2" s="1"/>
  <c r="DB11" i="2"/>
  <c r="DC11" i="2" s="1"/>
  <c r="DF11" i="2" s="1"/>
  <c r="DP11" i="2"/>
  <c r="DU18" i="2"/>
  <c r="DW18" i="2" s="1"/>
  <c r="DC20" i="2"/>
  <c r="DF20" i="2" s="1"/>
  <c r="CX26" i="2"/>
  <c r="CZ26" i="2" s="1"/>
  <c r="CZ27" i="2"/>
  <c r="DD28" i="2"/>
  <c r="DF28" i="2" s="1"/>
  <c r="DX28" i="2" s="1"/>
  <c r="CD34" i="2"/>
  <c r="CE45" i="2"/>
  <c r="DU49" i="2"/>
  <c r="DW49" i="2" s="1"/>
  <c r="DP49" i="2"/>
  <c r="DB49" i="2"/>
  <c r="DC49" i="2" s="1"/>
  <c r="DU50" i="2"/>
  <c r="DW50" i="2" s="1"/>
  <c r="DP50" i="2"/>
  <c r="DB50" i="2"/>
  <c r="DC50" i="2" s="1"/>
  <c r="DA51" i="2"/>
  <c r="CE54" i="2"/>
  <c r="DP55" i="2"/>
  <c r="DB55" i="2"/>
  <c r="DC55" i="2" s="1"/>
  <c r="DF55" i="2" s="1"/>
  <c r="DU55" i="2"/>
  <c r="DW55" i="2" s="1"/>
  <c r="CX70" i="2"/>
  <c r="CZ70" i="2" s="1"/>
  <c r="CD72" i="2"/>
  <c r="DU76" i="2"/>
  <c r="DW76" i="2" s="1"/>
  <c r="DP76" i="2"/>
  <c r="DB76" i="2"/>
  <c r="DC76" i="2" s="1"/>
  <c r="DF76" i="2" s="1"/>
  <c r="DA77" i="2"/>
  <c r="DW79" i="2"/>
  <c r="CX91" i="2"/>
  <c r="CZ91" i="2" s="1"/>
  <c r="DA91" i="2"/>
  <c r="CY91" i="2"/>
  <c r="CH93" i="2"/>
  <c r="EH93" i="2"/>
  <c r="X94" i="21" s="1"/>
  <c r="DF101" i="2"/>
  <c r="DX101" i="2" s="1"/>
  <c r="DY101" i="2" s="1"/>
  <c r="DS103" i="2"/>
  <c r="DD103" i="2"/>
  <c r="DW106" i="2"/>
  <c r="DA110" i="2"/>
  <c r="DX110" i="2" s="1"/>
  <c r="CZ130" i="2"/>
  <c r="CX130" i="2"/>
  <c r="CE131" i="2"/>
  <c r="CK132" i="2"/>
  <c r="DP134" i="2"/>
  <c r="DU134" i="2"/>
  <c r="DW134" i="2" s="1"/>
  <c r="DB134" i="2"/>
  <c r="DC134" i="2" s="1"/>
  <c r="DF134" i="2" s="1"/>
  <c r="DX134" i="2" s="1"/>
  <c r="DA144" i="2"/>
  <c r="DX144" i="2" s="1"/>
  <c r="DY144" i="2" s="1"/>
  <c r="CY144" i="2"/>
  <c r="DD147" i="2"/>
  <c r="DF147" i="2" s="1"/>
  <c r="DX147" i="2" s="1"/>
  <c r="DS147" i="2"/>
  <c r="CX21" i="2"/>
  <c r="CZ21" i="2" s="1"/>
  <c r="DF25" i="2"/>
  <c r="DU37" i="2"/>
  <c r="DW37" i="2" s="1"/>
  <c r="DB37" i="2"/>
  <c r="DC37" i="2" s="1"/>
  <c r="CD48" i="2"/>
  <c r="DS49" i="2"/>
  <c r="DD49" i="2"/>
  <c r="DF49" i="2" s="1"/>
  <c r="DX49" i="2" s="1"/>
  <c r="DU51" i="2"/>
  <c r="DW51" i="2" s="1"/>
  <c r="DB51" i="2"/>
  <c r="DC51" i="2" s="1"/>
  <c r="DF51" i="2" s="1"/>
  <c r="DS60" i="2"/>
  <c r="DD60" i="2"/>
  <c r="DF60" i="2" s="1"/>
  <c r="DX60" i="2" s="1"/>
  <c r="CZ66" i="2"/>
  <c r="CX74" i="2"/>
  <c r="CZ74" i="2"/>
  <c r="DS76" i="2"/>
  <c r="DD76" i="2"/>
  <c r="CZ82" i="2"/>
  <c r="CX82" i="2"/>
  <c r="DS87" i="2"/>
  <c r="DD87" i="2"/>
  <c r="DA88" i="2"/>
  <c r="CI93" i="2"/>
  <c r="DC97" i="2"/>
  <c r="CZ105" i="2"/>
  <c r="CX109" i="2"/>
  <c r="CZ109" i="2" s="1"/>
  <c r="DX112" i="2"/>
  <c r="DC121" i="2"/>
  <c r="DF121" i="2" s="1"/>
  <c r="CZ128" i="2"/>
  <c r="CZ131" i="2"/>
  <c r="CX131" i="2"/>
  <c r="CY131" i="2"/>
  <c r="DA131" i="2" s="1"/>
  <c r="DC138" i="2"/>
  <c r="E152" i="9"/>
  <c r="EJ152" i="2"/>
  <c r="AD154" i="21" s="1"/>
  <c r="CJ152" i="2"/>
  <c r="EI152" i="2"/>
  <c r="CI152" i="2"/>
  <c r="EH152" i="2"/>
  <c r="X154" i="21" s="1"/>
  <c r="CH152" i="2"/>
  <c r="EG152" i="2"/>
  <c r="CG152" i="2"/>
  <c r="ER152" i="2"/>
  <c r="EP152" i="2" s="1"/>
  <c r="EO152" i="2"/>
  <c r="EN152" i="2"/>
  <c r="EK152" i="2"/>
  <c r="AG154" i="21" s="1"/>
  <c r="DA161" i="2"/>
  <c r="DX161" i="2" s="1"/>
  <c r="DY161" i="2" s="1"/>
  <c r="CY161" i="2"/>
  <c r="DU184" i="2"/>
  <c r="DW184" i="2" s="1"/>
  <c r="CD184" i="2"/>
  <c r="DP184" i="2"/>
  <c r="DQ184" i="2" s="1"/>
  <c r="CX193" i="2"/>
  <c r="CZ193" i="2" s="1"/>
  <c r="CX194" i="2"/>
  <c r="CZ194" i="2" s="1"/>
  <c r="CY147" i="1"/>
  <c r="DA147" i="1" s="1"/>
  <c r="DX147" i="1" s="1"/>
  <c r="DY147" i="1" s="1"/>
  <c r="DJ211" i="1"/>
  <c r="CE16" i="2"/>
  <c r="CE17" i="2"/>
  <c r="DP17" i="2"/>
  <c r="DQ17" i="2" s="1"/>
  <c r="DU25" i="2"/>
  <c r="DW25" i="2" s="1"/>
  <c r="DB25" i="2"/>
  <c r="DC25" i="2" s="1"/>
  <c r="DF27" i="2"/>
  <c r="DX27" i="2" s="1"/>
  <c r="CD28" i="2"/>
  <c r="CE29" i="2"/>
  <c r="DS37" i="2"/>
  <c r="DP43" i="2"/>
  <c r="DQ43" i="2" s="1"/>
  <c r="DB43" i="2"/>
  <c r="DC43" i="2" s="1"/>
  <c r="DF43" i="2" s="1"/>
  <c r="DX43" i="2" s="1"/>
  <c r="DY43" i="2" s="1"/>
  <c r="DU43" i="2"/>
  <c r="DW43" i="2" s="1"/>
  <c r="DJ43" i="2"/>
  <c r="CD46" i="2"/>
  <c r="CE47" i="2"/>
  <c r="DL48" i="2"/>
  <c r="DK48" i="2"/>
  <c r="DJ48" i="2"/>
  <c r="CX57" i="2"/>
  <c r="CZ57" i="2" s="1"/>
  <c r="DU65" i="2"/>
  <c r="DW65" i="2" s="1"/>
  <c r="DP65" i="2"/>
  <c r="DB65" i="2"/>
  <c r="DC65" i="2" s="1"/>
  <c r="DF72" i="2"/>
  <c r="DF73" i="2"/>
  <c r="DX73" i="2" s="1"/>
  <c r="CZ78" i="2"/>
  <c r="DA78" i="2"/>
  <c r="CZ93" i="2"/>
  <c r="CX93" i="2"/>
  <c r="CY93" i="2"/>
  <c r="DA93" i="2" s="1"/>
  <c r="CE94" i="2"/>
  <c r="CX100" i="2"/>
  <c r="CZ100" i="2" s="1"/>
  <c r="DU104" i="2"/>
  <c r="DW104" i="2" s="1"/>
  <c r="DP104" i="2"/>
  <c r="DB104" i="2"/>
  <c r="DC104" i="2" s="1"/>
  <c r="CD105" i="2"/>
  <c r="DA105" i="2"/>
  <c r="DS109" i="2"/>
  <c r="CX118" i="2"/>
  <c r="CZ118" i="2" s="1"/>
  <c r="CY118" i="2"/>
  <c r="DA118" i="2" s="1"/>
  <c r="DU127" i="2"/>
  <c r="DW127" i="2" s="1"/>
  <c r="DP127" i="2"/>
  <c r="DB127" i="2"/>
  <c r="DC127" i="2" s="1"/>
  <c r="DW133" i="2"/>
  <c r="DF135" i="2"/>
  <c r="DA149" i="2"/>
  <c r="DX149" i="2" s="1"/>
  <c r="CY149" i="2"/>
  <c r="CX150" i="2"/>
  <c r="CZ150" i="2" s="1"/>
  <c r="CX151" i="2"/>
  <c r="CZ151" i="2" s="1"/>
  <c r="CK152" i="2"/>
  <c r="EM152" i="2"/>
  <c r="CX163" i="2"/>
  <c r="CZ163" i="2"/>
  <c r="DX178" i="2"/>
  <c r="DX193" i="2"/>
  <c r="DY193" i="2" s="1"/>
  <c r="F62" i="9"/>
  <c r="EJ62" i="3"/>
  <c r="CJ62" i="3"/>
  <c r="EI62" i="3"/>
  <c r="CI62" i="3"/>
  <c r="EH62" i="3"/>
  <c r="Y64" i="21" s="1"/>
  <c r="CH62" i="3"/>
  <c r="EG62" i="3"/>
  <c r="CG62" i="3"/>
  <c r="ER62" i="3"/>
  <c r="EP62" i="3" s="1"/>
  <c r="EQ62" i="3"/>
  <c r="EN62" i="3"/>
  <c r="CK62" i="3"/>
  <c r="EO62" i="3"/>
  <c r="EK62" i="3"/>
  <c r="DC157" i="1"/>
  <c r="DF157" i="1" s="1"/>
  <c r="CD157" i="1" s="1"/>
  <c r="DC169" i="1"/>
  <c r="DF169" i="1" s="1"/>
  <c r="CD169" i="1" s="1"/>
  <c r="DC181" i="1"/>
  <c r="DF181" i="1" s="1"/>
  <c r="CD181" i="1" s="1"/>
  <c r="DC193" i="1"/>
  <c r="DF193" i="1" s="1"/>
  <c r="CD193" i="1" s="1"/>
  <c r="DC205" i="1"/>
  <c r="DF205" i="1" s="1"/>
  <c r="CD205" i="1" s="1"/>
  <c r="CX23" i="2"/>
  <c r="CZ23" i="2" s="1"/>
  <c r="DS25" i="2"/>
  <c r="DF29" i="2"/>
  <c r="CY32" i="2"/>
  <c r="DA32" i="2" s="1"/>
  <c r="DX32" i="2" s="1"/>
  <c r="DY32" i="2" s="1"/>
  <c r="DF40" i="2"/>
  <c r="DM45" i="2"/>
  <c r="DK45" i="2"/>
  <c r="DF47" i="2"/>
  <c r="DX47" i="2" s="1"/>
  <c r="DY47" i="2" s="1"/>
  <c r="DA54" i="2"/>
  <c r="CY54" i="2"/>
  <c r="CY57" i="2"/>
  <c r="DA57" i="2" s="1"/>
  <c r="DX57" i="2" s="1"/>
  <c r="DC59" i="2"/>
  <c r="DF61" i="2"/>
  <c r="DX61" i="2" s="1"/>
  <c r="CX62" i="2"/>
  <c r="CZ62" i="2"/>
  <c r="DX74" i="2"/>
  <c r="DU77" i="2"/>
  <c r="DW77" i="2" s="1"/>
  <c r="DP77" i="2"/>
  <c r="DB77" i="2"/>
  <c r="DC77" i="2" s="1"/>
  <c r="CX84" i="2"/>
  <c r="CZ84" i="2" s="1"/>
  <c r="DA84" i="2"/>
  <c r="DX84" i="2" s="1"/>
  <c r="E92" i="9"/>
  <c r="ER93" i="2"/>
  <c r="EP93" i="2" s="1"/>
  <c r="EQ93" i="2"/>
  <c r="EO93" i="2"/>
  <c r="EN93" i="2"/>
  <c r="EM93" i="2"/>
  <c r="EL93" i="2"/>
  <c r="AJ94" i="21" s="1"/>
  <c r="EK93" i="2"/>
  <c r="I94" i="22" s="1"/>
  <c r="CK93" i="2"/>
  <c r="EJ93" i="2"/>
  <c r="CJ93" i="2"/>
  <c r="EG93" i="2"/>
  <c r="CG93" i="2"/>
  <c r="CZ98" i="2"/>
  <c r="CX98" i="2"/>
  <c r="DM108" i="2"/>
  <c r="DL108" i="2"/>
  <c r="DK108" i="2"/>
  <c r="DJ108" i="2"/>
  <c r="DA109" i="2"/>
  <c r="DX109" i="2" s="1"/>
  <c r="DF110" i="2"/>
  <c r="CX111" i="2"/>
  <c r="CZ111" i="2" s="1"/>
  <c r="DA111" i="2"/>
  <c r="DX111" i="2" s="1"/>
  <c r="DY111" i="2" s="1"/>
  <c r="DS114" i="2"/>
  <c r="CD114" i="2"/>
  <c r="DD114" i="2"/>
  <c r="DA119" i="2"/>
  <c r="CY119" i="2"/>
  <c r="CX124" i="2"/>
  <c r="CZ124" i="2" s="1"/>
  <c r="DS127" i="2"/>
  <c r="DD127" i="2"/>
  <c r="DF127" i="2" s="1"/>
  <c r="DX127" i="2" s="1"/>
  <c r="E131" i="9"/>
  <c r="EN132" i="2"/>
  <c r="CI132" i="2"/>
  <c r="CH132" i="2"/>
  <c r="EK132" i="2"/>
  <c r="AG133" i="21" s="1"/>
  <c r="CG132" i="2"/>
  <c r="EJ132" i="2"/>
  <c r="EI132" i="2"/>
  <c r="ER132" i="2" s="1"/>
  <c r="EP132" i="2" s="1"/>
  <c r="EH132" i="2"/>
  <c r="EM132" i="2" s="1"/>
  <c r="AM133" i="21" s="1"/>
  <c r="EG132" i="2"/>
  <c r="U133" i="21" s="1"/>
  <c r="EO132" i="2"/>
  <c r="CJ132" i="2"/>
  <c r="DF138" i="2"/>
  <c r="DX138" i="2" s="1"/>
  <c r="DK144" i="2"/>
  <c r="DJ144" i="2"/>
  <c r="DS148" i="2"/>
  <c r="DD148" i="2"/>
  <c r="DF148" i="2" s="1"/>
  <c r="DX150" i="2"/>
  <c r="EQ152" i="2"/>
  <c r="CZ178" i="2"/>
  <c r="CX178" i="2"/>
  <c r="CX192" i="2"/>
  <c r="CZ192" i="2" s="1"/>
  <c r="CX212" i="2"/>
  <c r="CZ212" i="2" s="1"/>
  <c r="DB146" i="1"/>
  <c r="DB159" i="1"/>
  <c r="DB171" i="1"/>
  <c r="DB183" i="1"/>
  <c r="DB195" i="1"/>
  <c r="DB208" i="1"/>
  <c r="CY211" i="1"/>
  <c r="DA211" i="1" s="1"/>
  <c r="DX211" i="1" s="1"/>
  <c r="DY211" i="1" s="1"/>
  <c r="DL211" i="1"/>
  <c r="DB220" i="1"/>
  <c r="DB6" i="2"/>
  <c r="DC6" i="2" s="1"/>
  <c r="DF6" i="2" s="1"/>
  <c r="CY9" i="2"/>
  <c r="DA9" i="2" s="1"/>
  <c r="DX9" i="2" s="1"/>
  <c r="DB13" i="2"/>
  <c r="DC13" i="2" s="1"/>
  <c r="DF13" i="2" s="1"/>
  <c r="DX13" i="2" s="1"/>
  <c r="DP33" i="2"/>
  <c r="DX36" i="2"/>
  <c r="CZ39" i="2"/>
  <c r="CY42" i="2"/>
  <c r="DA42" i="2" s="1"/>
  <c r="DX42" i="2" s="1"/>
  <c r="DL43" i="2"/>
  <c r="DJ45" i="2"/>
  <c r="DF50" i="2"/>
  <c r="DX50" i="2" s="1"/>
  <c r="DX58" i="2"/>
  <c r="DF66" i="2"/>
  <c r="CZ67" i="2"/>
  <c r="CX67" i="2"/>
  <c r="CY67" i="2"/>
  <c r="DA67" i="2" s="1"/>
  <c r="DF74" i="2"/>
  <c r="CX86" i="2"/>
  <c r="CZ86" i="2" s="1"/>
  <c r="CZ88" i="2"/>
  <c r="CZ89" i="2"/>
  <c r="CY94" i="2"/>
  <c r="DA94" i="2" s="1"/>
  <c r="DX94" i="2" s="1"/>
  <c r="DA98" i="2"/>
  <c r="DX98" i="2" s="1"/>
  <c r="DY98" i="2" s="1"/>
  <c r="DF105" i="2"/>
  <c r="CD111" i="2"/>
  <c r="CX122" i="2"/>
  <c r="CZ122" i="2" s="1"/>
  <c r="CX136" i="2"/>
  <c r="CZ136" i="2" s="1"/>
  <c r="CX140" i="2"/>
  <c r="CZ140" i="2"/>
  <c r="DL144" i="2"/>
  <c r="DS176" i="2"/>
  <c r="DT176" i="2" s="1"/>
  <c r="DD176" i="2"/>
  <c r="F24" i="9"/>
  <c r="EH25" i="3"/>
  <c r="EL25" i="3" s="1"/>
  <c r="AK26" i="21" s="1"/>
  <c r="CH25" i="3"/>
  <c r="EQ25" i="3"/>
  <c r="ER25" i="3" s="1"/>
  <c r="EO25" i="3"/>
  <c r="EN25" i="3"/>
  <c r="EJ25" i="3"/>
  <c r="CK25" i="3"/>
  <c r="EG25" i="3"/>
  <c r="CI25" i="3"/>
  <c r="CG25" i="3"/>
  <c r="EI25" i="3"/>
  <c r="CJ25" i="3"/>
  <c r="DC146" i="1"/>
  <c r="DF146" i="1" s="1"/>
  <c r="CD146" i="1" s="1"/>
  <c r="DC159" i="1"/>
  <c r="DF159" i="1" s="1"/>
  <c r="DC171" i="1"/>
  <c r="DF171" i="1" s="1"/>
  <c r="CD171" i="1" s="1"/>
  <c r="DC183" i="1"/>
  <c r="DF183" i="1" s="1"/>
  <c r="CD183" i="1" s="1"/>
  <c r="DC195" i="1"/>
  <c r="DF195" i="1" s="1"/>
  <c r="CD195" i="1" s="1"/>
  <c r="DC208" i="1"/>
  <c r="DF208" i="1" s="1"/>
  <c r="CD208" i="1" s="1"/>
  <c r="DC220" i="1"/>
  <c r="DF220" i="1" s="1"/>
  <c r="CD220" i="1" s="1"/>
  <c r="DD10" i="2"/>
  <c r="CY14" i="2"/>
  <c r="DA14" i="2" s="1"/>
  <c r="DX14" i="2" s="1"/>
  <c r="CE15" i="2"/>
  <c r="DB17" i="2"/>
  <c r="DC17" i="2" s="1"/>
  <c r="DF17" i="2" s="1"/>
  <c r="DX17" i="2" s="1"/>
  <c r="DY17" i="2" s="1"/>
  <c r="DA18" i="2"/>
  <c r="CE21" i="2"/>
  <c r="DS27" i="2"/>
  <c r="DC36" i="2"/>
  <c r="DF36" i="2" s="1"/>
  <c r="DW36" i="2"/>
  <c r="DA38" i="2"/>
  <c r="DX38" i="2" s="1"/>
  <c r="CE41" i="2"/>
  <c r="DL45" i="2"/>
  <c r="DM46" i="2"/>
  <c r="DL46" i="2"/>
  <c r="DJ46" i="2"/>
  <c r="DW56" i="2"/>
  <c r="CD58" i="2"/>
  <c r="DS63" i="2"/>
  <c r="DD63" i="2"/>
  <c r="DA64" i="2"/>
  <c r="DA68" i="2"/>
  <c r="CY68" i="2"/>
  <c r="DF78" i="2"/>
  <c r="CX79" i="2"/>
  <c r="CZ79" i="2" s="1"/>
  <c r="CY79" i="2"/>
  <c r="DA79" i="2" s="1"/>
  <c r="CE80" i="2"/>
  <c r="DC82" i="2"/>
  <c r="DU88" i="2"/>
  <c r="DW88" i="2" s="1"/>
  <c r="DP88" i="2"/>
  <c r="DB88" i="2"/>
  <c r="DC88" i="2" s="1"/>
  <c r="DF88" i="2"/>
  <c r="DA89" i="2"/>
  <c r="CD96" i="2"/>
  <c r="DX100" i="2"/>
  <c r="CZ102" i="2"/>
  <c r="CE107" i="2"/>
  <c r="DC109" i="2"/>
  <c r="DF109" i="2" s="1"/>
  <c r="CX113" i="2"/>
  <c r="CZ113" i="2"/>
  <c r="CD120" i="2"/>
  <c r="DA122" i="2"/>
  <c r="DX122" i="2" s="1"/>
  <c r="DX124" i="2"/>
  <c r="DU128" i="2"/>
  <c r="DW128" i="2" s="1"/>
  <c r="DP128" i="2"/>
  <c r="DB128" i="2"/>
  <c r="DC128" i="2" s="1"/>
  <c r="DF128" i="2" s="1"/>
  <c r="EQ132" i="2"/>
  <c r="CD136" i="2"/>
  <c r="DM144" i="2"/>
  <c r="CZ145" i="2"/>
  <c r="DX146" i="2"/>
  <c r="DY146" i="2" s="1"/>
  <c r="CZ156" i="2"/>
  <c r="CX156" i="2"/>
  <c r="CX157" i="2"/>
  <c r="CZ157" i="2"/>
  <c r="CZ11" i="2"/>
  <c r="CY22" i="2"/>
  <c r="DA22" i="2" s="1"/>
  <c r="DX22" i="2" s="1"/>
  <c r="DA33" i="2"/>
  <c r="DA34" i="2"/>
  <c r="DX34" i="2" s="1"/>
  <c r="CY34" i="2"/>
  <c r="CD40" i="2"/>
  <c r="DF41" i="2"/>
  <c r="DX41" i="2" s="1"/>
  <c r="CY44" i="2"/>
  <c r="DA44" i="2" s="1"/>
  <c r="DX44" i="2" s="1"/>
  <c r="DY44" i="2" s="1"/>
  <c r="CD49" i="2"/>
  <c r="CE53" i="2"/>
  <c r="DW53" i="2"/>
  <c r="DD54" i="2"/>
  <c r="DS54" i="2"/>
  <c r="CX56" i="2"/>
  <c r="CZ56" i="2" s="1"/>
  <c r="CD64" i="2"/>
  <c r="CD79" i="2"/>
  <c r="DF84" i="2"/>
  <c r="DS88" i="2"/>
  <c r="DD88" i="2"/>
  <c r="CX89" i="2"/>
  <c r="DW91" i="2"/>
  <c r="DX102" i="2"/>
  <c r="CZ106" i="2"/>
  <c r="CX106" i="2"/>
  <c r="CY106" i="2"/>
  <c r="DA106" i="2" s="1"/>
  <c r="DX106" i="2" s="1"/>
  <c r="EE109" i="2"/>
  <c r="CZ115" i="2"/>
  <c r="CZ116" i="2"/>
  <c r="DX120" i="2"/>
  <c r="DY120" i="2" s="1"/>
  <c r="CZ126" i="2"/>
  <c r="DB132" i="2"/>
  <c r="DC132" i="2" s="1"/>
  <c r="DU132" i="2"/>
  <c r="DW132" i="2" s="1"/>
  <c r="CX137" i="2"/>
  <c r="CZ137" i="2" s="1"/>
  <c r="CZ141" i="2"/>
  <c r="DP149" i="2"/>
  <c r="DS68" i="2"/>
  <c r="DS80" i="2"/>
  <c r="DT80" i="2" s="1"/>
  <c r="DU92" i="2"/>
  <c r="DW92" i="2" s="1"/>
  <c r="DS94" i="2"/>
  <c r="DS107" i="2"/>
  <c r="DS119" i="2"/>
  <c r="DW136" i="2"/>
  <c r="DD139" i="2"/>
  <c r="DF139" i="2" s="1"/>
  <c r="CE143" i="2"/>
  <c r="DS145" i="2"/>
  <c r="DP146" i="2"/>
  <c r="DQ146" i="2" s="1"/>
  <c r="DB146" i="2"/>
  <c r="DC146" i="2" s="1"/>
  <c r="DF146" i="2" s="1"/>
  <c r="DU146" i="2"/>
  <c r="DW146" i="2" s="1"/>
  <c r="DF153" i="2"/>
  <c r="DX153" i="2" s="1"/>
  <c r="DY153" i="2" s="1"/>
  <c r="CX161" i="2"/>
  <c r="CZ161" i="2" s="1"/>
  <c r="CZ166" i="2"/>
  <c r="DA166" i="2"/>
  <c r="DW167" i="2"/>
  <c r="CZ172" i="2"/>
  <c r="CX172" i="2"/>
  <c r="DX174" i="2"/>
  <c r="DY174" i="2" s="1"/>
  <c r="DU176" i="2"/>
  <c r="DW176" i="2" s="1"/>
  <c r="DP176" i="2"/>
  <c r="DQ176" i="2" s="1"/>
  <c r="DB176" i="2"/>
  <c r="DC176" i="2" s="1"/>
  <c r="DF176" i="2" s="1"/>
  <c r="DX176" i="2" s="1"/>
  <c r="DY176" i="2" s="1"/>
  <c r="CE192" i="2"/>
  <c r="CE193" i="2"/>
  <c r="DF203" i="2"/>
  <c r="CZ8" i="3"/>
  <c r="CX8" i="3"/>
  <c r="CX19" i="3"/>
  <c r="CZ19" i="3" s="1"/>
  <c r="CZ25" i="3"/>
  <c r="CX25" i="3"/>
  <c r="CX40" i="3"/>
  <c r="CZ40" i="3" s="1"/>
  <c r="DD61" i="2"/>
  <c r="DB63" i="2"/>
  <c r="DC63" i="2" s="1"/>
  <c r="DF63" i="2" s="1"/>
  <c r="DX63" i="2" s="1"/>
  <c r="CY66" i="2"/>
  <c r="DA66" i="2" s="1"/>
  <c r="DX66" i="2" s="1"/>
  <c r="DY66" i="2" s="1"/>
  <c r="DU69" i="2"/>
  <c r="DW69" i="2" s="1"/>
  <c r="DB75" i="2"/>
  <c r="DC75" i="2" s="1"/>
  <c r="DF75" i="2" s="1"/>
  <c r="DX75" i="2" s="1"/>
  <c r="CY78" i="2"/>
  <c r="DU81" i="2"/>
  <c r="DW81" i="2" s="1"/>
  <c r="DB87" i="2"/>
  <c r="DC87" i="2" s="1"/>
  <c r="DF87" i="2" s="1"/>
  <c r="DX87" i="2" s="1"/>
  <c r="CY90" i="2"/>
  <c r="DA90" i="2" s="1"/>
  <c r="DU96" i="2"/>
  <c r="DW96" i="2" s="1"/>
  <c r="DB102" i="2"/>
  <c r="DC102" i="2" s="1"/>
  <c r="DF102" i="2" s="1"/>
  <c r="DU108" i="2"/>
  <c r="DW108" i="2" s="1"/>
  <c r="DB114" i="2"/>
  <c r="DC114" i="2" s="1"/>
  <c r="DF114" i="2" s="1"/>
  <c r="DX114" i="2" s="1"/>
  <c r="DU120" i="2"/>
  <c r="DW120" i="2" s="1"/>
  <c r="DB126" i="2"/>
  <c r="DC126" i="2" s="1"/>
  <c r="DF126" i="2" s="1"/>
  <c r="DX126" i="2" s="1"/>
  <c r="DY126" i="2" s="1"/>
  <c r="DF143" i="2"/>
  <c r="DX143" i="2" s="1"/>
  <c r="CY148" i="2"/>
  <c r="DA148" i="2" s="1"/>
  <c r="DX148" i="2" s="1"/>
  <c r="DU177" i="2"/>
  <c r="DW177" i="2" s="1"/>
  <c r="DP177" i="2"/>
  <c r="DQ177" i="2" s="1"/>
  <c r="DB177" i="2"/>
  <c r="DC177" i="2" s="1"/>
  <c r="DF177" i="2" s="1"/>
  <c r="CD178" i="2"/>
  <c r="CZ183" i="2"/>
  <c r="DS186" i="2"/>
  <c r="DT186" i="2" s="1"/>
  <c r="DD186" i="2"/>
  <c r="DF186" i="2" s="1"/>
  <c r="DX186" i="2" s="1"/>
  <c r="DY186" i="2" s="1"/>
  <c r="DC193" i="2"/>
  <c r="DF193" i="2" s="1"/>
  <c r="DF208" i="2"/>
  <c r="DS3" i="3"/>
  <c r="DD3" i="3"/>
  <c r="CX24" i="3"/>
  <c r="CZ24" i="3" s="1"/>
  <c r="DD59" i="2"/>
  <c r="DD62" i="2"/>
  <c r="DF62" i="2" s="1"/>
  <c r="DX62" i="2" s="1"/>
  <c r="DY62" i="2" s="1"/>
  <c r="DP63" i="2"/>
  <c r="DD74" i="2"/>
  <c r="DP75" i="2"/>
  <c r="DD86" i="2"/>
  <c r="DF86" i="2" s="1"/>
  <c r="DX86" i="2" s="1"/>
  <c r="DP87" i="2"/>
  <c r="DP102" i="2"/>
  <c r="DP114" i="2"/>
  <c r="DP126" i="2"/>
  <c r="DQ126" i="2" s="1"/>
  <c r="DA135" i="2"/>
  <c r="DA136" i="2"/>
  <c r="DD140" i="2"/>
  <c r="DF140" i="2" s="1"/>
  <c r="DX140" i="2" s="1"/>
  <c r="DY140" i="2" s="1"/>
  <c r="DS151" i="2"/>
  <c r="CE156" i="2"/>
  <c r="CZ160" i="2"/>
  <c r="CX160" i="2"/>
  <c r="CX167" i="2"/>
  <c r="CZ167" i="2" s="1"/>
  <c r="DA167" i="2"/>
  <c r="CY167" i="2"/>
  <c r="DM169" i="2"/>
  <c r="DL169" i="2"/>
  <c r="DK169" i="2"/>
  <c r="DJ169" i="2"/>
  <c r="CX170" i="2"/>
  <c r="CZ170" i="2" s="1"/>
  <c r="CZ181" i="2"/>
  <c r="DF184" i="2"/>
  <c r="DX184" i="2" s="1"/>
  <c r="DY184" i="2" s="1"/>
  <c r="CD190" i="2"/>
  <c r="CY28" i="3"/>
  <c r="DA28" i="3" s="1"/>
  <c r="DX28" i="3" s="1"/>
  <c r="CX104" i="3"/>
  <c r="CZ104" i="3" s="1"/>
  <c r="CD62" i="2"/>
  <c r="CE150" i="2"/>
  <c r="DA160" i="2"/>
  <c r="DX160" i="2" s="1"/>
  <c r="DY160" i="2" s="1"/>
  <c r="CX173" i="2"/>
  <c r="CZ173" i="2" s="1"/>
  <c r="DM184" i="2"/>
  <c r="DL184" i="2"/>
  <c r="DK184" i="2"/>
  <c r="DJ184" i="2"/>
  <c r="DU208" i="2"/>
  <c r="DW208" i="2" s="1"/>
  <c r="DP208" i="2"/>
  <c r="DQ208" i="2" s="1"/>
  <c r="DB208" i="2"/>
  <c r="DC208" i="2" s="1"/>
  <c r="CX28" i="3"/>
  <c r="CZ28" i="3" s="1"/>
  <c r="CD63" i="2"/>
  <c r="CD87" i="2"/>
  <c r="DB141" i="2"/>
  <c r="DC141" i="2" s="1"/>
  <c r="DF141" i="2" s="1"/>
  <c r="DX141" i="2" s="1"/>
  <c r="DY141" i="2" s="1"/>
  <c r="CZ155" i="2"/>
  <c r="DS157" i="2"/>
  <c r="DT157" i="2" s="1"/>
  <c r="CX190" i="2"/>
  <c r="CZ190" i="2" s="1"/>
  <c r="CX4" i="3"/>
  <c r="CZ4" i="3" s="1"/>
  <c r="CZ12" i="3"/>
  <c r="CX12" i="3"/>
  <c r="DD39" i="2"/>
  <c r="DF39" i="2" s="1"/>
  <c r="DX39" i="2" s="1"/>
  <c r="DD51" i="2"/>
  <c r="DB53" i="2"/>
  <c r="DC53" i="2" s="1"/>
  <c r="DD65" i="2"/>
  <c r="DB67" i="2"/>
  <c r="DC67" i="2" s="1"/>
  <c r="DF67" i="2" s="1"/>
  <c r="CY70" i="2"/>
  <c r="DA70" i="2" s="1"/>
  <c r="DX70" i="2" s="1"/>
  <c r="DJ72" i="2"/>
  <c r="DD77" i="2"/>
  <c r="DB79" i="2"/>
  <c r="DC79" i="2" s="1"/>
  <c r="DF79" i="2" s="1"/>
  <c r="CY82" i="2"/>
  <c r="DA82" i="2" s="1"/>
  <c r="DD89" i="2"/>
  <c r="DB91" i="2"/>
  <c r="DC91" i="2" s="1"/>
  <c r="DF91" i="2" s="1"/>
  <c r="DB93" i="2"/>
  <c r="DC93" i="2" s="1"/>
  <c r="CY97" i="2"/>
  <c r="DA97" i="2" s="1"/>
  <c r="DD104" i="2"/>
  <c r="DB106" i="2"/>
  <c r="DC106" i="2" s="1"/>
  <c r="DF106" i="2" s="1"/>
  <c r="CY109" i="2"/>
  <c r="DL109" i="2"/>
  <c r="DD116" i="2"/>
  <c r="DB118" i="2"/>
  <c r="DC118" i="2" s="1"/>
  <c r="CY121" i="2"/>
  <c r="DA121" i="2" s="1"/>
  <c r="DX121" i="2" s="1"/>
  <c r="DY121" i="2" s="1"/>
  <c r="DD128" i="2"/>
  <c r="DB131" i="2"/>
  <c r="DC131" i="2" s="1"/>
  <c r="DD135" i="2"/>
  <c r="DP136" i="2"/>
  <c r="CY139" i="2"/>
  <c r="DA139" i="2" s="1"/>
  <c r="DX139" i="2" s="1"/>
  <c r="CD144" i="2"/>
  <c r="DU152" i="2"/>
  <c r="DW152" i="2" s="1"/>
  <c r="DP152" i="2"/>
  <c r="DB152" i="2"/>
  <c r="DC152" i="2" s="1"/>
  <c r="DA154" i="2"/>
  <c r="DX154" i="2" s="1"/>
  <c r="DY154" i="2" s="1"/>
  <c r="CZ159" i="2"/>
  <c r="DS163" i="2"/>
  <c r="DT163" i="2" s="1"/>
  <c r="DD163" i="2"/>
  <c r="DF163" i="2"/>
  <c r="DX163" i="2" s="1"/>
  <c r="DY163" i="2" s="1"/>
  <c r="DF167" i="2"/>
  <c r="CY168" i="2"/>
  <c r="DA168" i="2" s="1"/>
  <c r="DX168" i="2" s="1"/>
  <c r="DY168" i="2" s="1"/>
  <c r="CZ179" i="2"/>
  <c r="CX179" i="2"/>
  <c r="CY179" i="2"/>
  <c r="DA179" i="2" s="1"/>
  <c r="CY190" i="2"/>
  <c r="DA190" i="2" s="1"/>
  <c r="DX190" i="2" s="1"/>
  <c r="DY190" i="2" s="1"/>
  <c r="CX200" i="2"/>
  <c r="CZ200" i="2"/>
  <c r="DS15" i="3"/>
  <c r="DW15" i="3"/>
  <c r="DU47" i="3"/>
  <c r="DW47" i="3" s="1"/>
  <c r="DB47" i="3"/>
  <c r="DC47" i="3" s="1"/>
  <c r="DP47" i="3"/>
  <c r="DQ47" i="3" s="1"/>
  <c r="DD52" i="2"/>
  <c r="DF52" i="2" s="1"/>
  <c r="DB54" i="2"/>
  <c r="DC54" i="2" s="1"/>
  <c r="DF54" i="2" s="1"/>
  <c r="CY56" i="2"/>
  <c r="DA56" i="2" s="1"/>
  <c r="DD66" i="2"/>
  <c r="DB68" i="2"/>
  <c r="DC68" i="2" s="1"/>
  <c r="DF68" i="2" s="1"/>
  <c r="CY71" i="2"/>
  <c r="DA71" i="2" s="1"/>
  <c r="DX71" i="2" s="1"/>
  <c r="DK72" i="2"/>
  <c r="DD78" i="2"/>
  <c r="DB80" i="2"/>
  <c r="DC80" i="2" s="1"/>
  <c r="DF80" i="2" s="1"/>
  <c r="CY83" i="2"/>
  <c r="DA83" i="2" s="1"/>
  <c r="DX83" i="2" s="1"/>
  <c r="DY83" i="2" s="1"/>
  <c r="DD90" i="2"/>
  <c r="DF90" i="2" s="1"/>
  <c r="DD92" i="2"/>
  <c r="DF92" i="2" s="1"/>
  <c r="DX92" i="2" s="1"/>
  <c r="DB94" i="2"/>
  <c r="DC94" i="2" s="1"/>
  <c r="DF94" i="2" s="1"/>
  <c r="DB95" i="2"/>
  <c r="DC95" i="2" s="1"/>
  <c r="DF95" i="2" s="1"/>
  <c r="CY98" i="2"/>
  <c r="DD105" i="2"/>
  <c r="DB107" i="2"/>
  <c r="DC107" i="2" s="1"/>
  <c r="DF107" i="2" s="1"/>
  <c r="CY110" i="2"/>
  <c r="DD117" i="2"/>
  <c r="DB119" i="2"/>
  <c r="DC119" i="2" s="1"/>
  <c r="DF119" i="2" s="1"/>
  <c r="CY122" i="2"/>
  <c r="CY130" i="2"/>
  <c r="DA130" i="2" s="1"/>
  <c r="DX130" i="2" s="1"/>
  <c r="DD131" i="2"/>
  <c r="CY133" i="2"/>
  <c r="DA133" i="2" s="1"/>
  <c r="CZ139" i="2"/>
  <c r="DD141" i="2"/>
  <c r="DU144" i="2"/>
  <c r="DW144" i="2" s="1"/>
  <c r="CZ146" i="2"/>
  <c r="DX151" i="2"/>
  <c r="DS152" i="2"/>
  <c r="DD152" i="2"/>
  <c r="DU153" i="2"/>
  <c r="DW153" i="2" s="1"/>
  <c r="DP153" i="2"/>
  <c r="DQ153" i="2" s="1"/>
  <c r="DB153" i="2"/>
  <c r="DC153" i="2" s="1"/>
  <c r="CX153" i="2"/>
  <c r="CZ153" i="2" s="1"/>
  <c r="CY155" i="2"/>
  <c r="DA155" i="2" s="1"/>
  <c r="DW156" i="2"/>
  <c r="DC157" i="2"/>
  <c r="DF157" i="2" s="1"/>
  <c r="CY157" i="2"/>
  <c r="DA157" i="2" s="1"/>
  <c r="DX157" i="2" s="1"/>
  <c r="DY157" i="2" s="1"/>
  <c r="CX162" i="2"/>
  <c r="CZ162" i="2" s="1"/>
  <c r="CX171" i="2"/>
  <c r="CZ171" i="2" s="1"/>
  <c r="DF181" i="2"/>
  <c r="DX181" i="2" s="1"/>
  <c r="DY181" i="2" s="1"/>
  <c r="DD188" i="2"/>
  <c r="DS188" i="2"/>
  <c r="CX199" i="2"/>
  <c r="CZ199" i="2"/>
  <c r="DF75" i="3"/>
  <c r="DD53" i="2"/>
  <c r="DF53" i="2" s="1"/>
  <c r="CX61" i="2"/>
  <c r="CZ61" i="2" s="1"/>
  <c r="DD67" i="2"/>
  <c r="DB69" i="2"/>
  <c r="DC69" i="2" s="1"/>
  <c r="CY72" i="2"/>
  <c r="DA72" i="2" s="1"/>
  <c r="DX72" i="2" s="1"/>
  <c r="DY72" i="2" s="1"/>
  <c r="DL72" i="2"/>
  <c r="DD79" i="2"/>
  <c r="DB81" i="2"/>
  <c r="DC81" i="2" s="1"/>
  <c r="DF81" i="2" s="1"/>
  <c r="DX81" i="2" s="1"/>
  <c r="CY84" i="2"/>
  <c r="DD91" i="2"/>
  <c r="DD93" i="2"/>
  <c r="DB96" i="2"/>
  <c r="DC96" i="2" s="1"/>
  <c r="DF96" i="2" s="1"/>
  <c r="DX96" i="2" s="1"/>
  <c r="CY99" i="2"/>
  <c r="DA99" i="2" s="1"/>
  <c r="DD106" i="2"/>
  <c r="DB108" i="2"/>
  <c r="DC108" i="2" s="1"/>
  <c r="DF108" i="2" s="1"/>
  <c r="DX108" i="2" s="1"/>
  <c r="DY108" i="2" s="1"/>
  <c r="DN109" i="2"/>
  <c r="CY111" i="2"/>
  <c r="DD118" i="2"/>
  <c r="DF118" i="2" s="1"/>
  <c r="DB120" i="2"/>
  <c r="DC120" i="2" s="1"/>
  <c r="DF120" i="2" s="1"/>
  <c r="CY123" i="2"/>
  <c r="DA123" i="2" s="1"/>
  <c r="CD129" i="2"/>
  <c r="CX129" i="2"/>
  <c r="CZ129" i="2" s="1"/>
  <c r="CE140" i="2"/>
  <c r="DS142" i="2"/>
  <c r="DD142" i="2"/>
  <c r="DF142" i="2" s="1"/>
  <c r="DX142" i="2" s="1"/>
  <c r="DY142" i="2" s="1"/>
  <c r="DA145" i="2"/>
  <c r="DX145" i="2" s="1"/>
  <c r="CZ147" i="2"/>
  <c r="DC151" i="2"/>
  <c r="DF151" i="2" s="1"/>
  <c r="CZ152" i="2"/>
  <c r="DU154" i="2"/>
  <c r="DW154" i="2" s="1"/>
  <c r="DB154" i="2"/>
  <c r="DC154" i="2" s="1"/>
  <c r="DF154" i="2" s="1"/>
  <c r="CX154" i="2"/>
  <c r="CZ154" i="2" s="1"/>
  <c r="DA165" i="2"/>
  <c r="DS175" i="2"/>
  <c r="DD175" i="2"/>
  <c r="DF175" i="2" s="1"/>
  <c r="DX175" i="2" s="1"/>
  <c r="DY175" i="2" s="1"/>
  <c r="CZ180" i="2"/>
  <c r="DS181" i="2"/>
  <c r="DT181" i="2" s="1"/>
  <c r="DD181" i="2"/>
  <c r="DW193" i="2"/>
  <c r="DD136" i="2"/>
  <c r="DF136" i="2" s="1"/>
  <c r="CZ149" i="2"/>
  <c r="CX149" i="2"/>
  <c r="CX155" i="2"/>
  <c r="DX156" i="2"/>
  <c r="DY156" i="2" s="1"/>
  <c r="DP158" i="2"/>
  <c r="DQ158" i="2" s="1"/>
  <c r="DB158" i="2"/>
  <c r="DC158" i="2" s="1"/>
  <c r="DF158" i="2" s="1"/>
  <c r="DU158" i="2"/>
  <c r="DW158" i="2" s="1"/>
  <c r="CZ158" i="2"/>
  <c r="CX158" i="2"/>
  <c r="DX162" i="2"/>
  <c r="DY162" i="2" s="1"/>
  <c r="DU164" i="2"/>
  <c r="DW164" i="2" s="1"/>
  <c r="DP164" i="2"/>
  <c r="DB164" i="2"/>
  <c r="DC164" i="2" s="1"/>
  <c r="CX174" i="2"/>
  <c r="CZ174" i="2" s="1"/>
  <c r="CX186" i="2"/>
  <c r="CZ186" i="2" s="1"/>
  <c r="CX205" i="2"/>
  <c r="CZ205" i="2" s="1"/>
  <c r="DA209" i="2"/>
  <c r="DB130" i="2"/>
  <c r="DC130" i="2" s="1"/>
  <c r="DF130" i="2" s="1"/>
  <c r="DU131" i="2"/>
  <c r="DW131" i="2" s="1"/>
  <c r="DS133" i="2"/>
  <c r="DF152" i="2"/>
  <c r="DX152" i="2" s="1"/>
  <c r="DD153" i="2"/>
  <c r="DA158" i="2"/>
  <c r="DX158" i="2" s="1"/>
  <c r="DY158" i="2" s="1"/>
  <c r="DF162" i="2"/>
  <c r="DS164" i="2"/>
  <c r="DD164" i="2"/>
  <c r="DF164" i="2" s="1"/>
  <c r="DX164" i="2" s="1"/>
  <c r="CX165" i="2"/>
  <c r="CZ165" i="2" s="1"/>
  <c r="DF168" i="2"/>
  <c r="E169" i="9"/>
  <c r="EQ169" i="2"/>
  <c r="EE169" i="2"/>
  <c r="CQ169" i="2"/>
  <c r="EP169" i="2"/>
  <c r="ED169" i="2"/>
  <c r="EO169" i="2"/>
  <c r="EC169" i="2"/>
  <c r="EN169" i="2"/>
  <c r="AP171" i="21" s="1"/>
  <c r="EB169" i="2"/>
  <c r="EM169" i="2"/>
  <c r="EL169" i="2"/>
  <c r="EK169" i="2"/>
  <c r="CK169" i="2"/>
  <c r="EJ169" i="2"/>
  <c r="CJ169" i="2"/>
  <c r="EI169" i="2"/>
  <c r="CI169" i="2"/>
  <c r="EH169" i="2"/>
  <c r="CH169" i="2"/>
  <c r="CZ177" i="2"/>
  <c r="DA177" i="2"/>
  <c r="DX182" i="2"/>
  <c r="DY182" i="2" s="1"/>
  <c r="CZ187" i="2"/>
  <c r="DP200" i="2"/>
  <c r="DB200" i="2"/>
  <c r="DC200" i="2" s="1"/>
  <c r="DU200" i="2"/>
  <c r="DW200" i="2" s="1"/>
  <c r="E202" i="9"/>
  <c r="EP202" i="2"/>
  <c r="ED202" i="2"/>
  <c r="EO202" i="2"/>
  <c r="EC202" i="2"/>
  <c r="EN202" i="2"/>
  <c r="EB202" i="2"/>
  <c r="EM202" i="2"/>
  <c r="EL202" i="2"/>
  <c r="EK202" i="2"/>
  <c r="AG204" i="21" s="1"/>
  <c r="CK202" i="2"/>
  <c r="EH202" i="2"/>
  <c r="X204" i="21" s="1"/>
  <c r="CH202" i="2"/>
  <c r="EG202" i="2"/>
  <c r="CG202" i="2"/>
  <c r="ER202" i="2"/>
  <c r="EF202" i="2"/>
  <c r="EQ202" i="2"/>
  <c r="EJ202" i="2"/>
  <c r="EI202" i="2"/>
  <c r="EE202" i="2"/>
  <c r="CQ202" i="2"/>
  <c r="CJ202" i="2"/>
  <c r="CZ209" i="2"/>
  <c r="CX209" i="2"/>
  <c r="DA39" i="3"/>
  <c r="CY39" i="3"/>
  <c r="E193" i="9"/>
  <c r="EM193" i="2"/>
  <c r="EK193" i="2"/>
  <c r="AG195" i="21" s="1"/>
  <c r="CK193" i="2"/>
  <c r="EJ193" i="2"/>
  <c r="CJ193" i="2"/>
  <c r="EQ193" i="2"/>
  <c r="EE193" i="2"/>
  <c r="O195" i="21" s="1"/>
  <c r="CQ193" i="2"/>
  <c r="EP193" i="2"/>
  <c r="ED193" i="2"/>
  <c r="L195" i="21" s="1"/>
  <c r="EO193" i="2"/>
  <c r="EC193" i="2"/>
  <c r="CI193" i="2"/>
  <c r="DF195" i="2"/>
  <c r="DF197" i="2"/>
  <c r="E199" i="9"/>
  <c r="EG199" i="2"/>
  <c r="U201" i="21" s="1"/>
  <c r="CG199" i="2"/>
  <c r="ER199" i="2"/>
  <c r="EF199" i="2"/>
  <c r="R201" i="21" s="1"/>
  <c r="EQ199" i="2"/>
  <c r="EE199" i="2"/>
  <c r="O201" i="21" s="1"/>
  <c r="CQ199" i="2"/>
  <c r="EP199" i="2"/>
  <c r="ED199" i="2"/>
  <c r="L201" i="21" s="1"/>
  <c r="EO199" i="2"/>
  <c r="EC199" i="2"/>
  <c r="I201" i="21" s="1"/>
  <c r="EN199" i="2"/>
  <c r="AP201" i="21" s="1"/>
  <c r="EB199" i="2"/>
  <c r="EK199" i="2"/>
  <c r="AG201" i="21" s="1"/>
  <c r="CK199" i="2"/>
  <c r="EJ199" i="2"/>
  <c r="CJ199" i="2"/>
  <c r="EI199" i="2"/>
  <c r="AA201" i="21" s="1"/>
  <c r="CI199" i="2"/>
  <c r="DS200" i="2"/>
  <c r="DD200" i="2"/>
  <c r="E220" i="9"/>
  <c r="EI209" i="2"/>
  <c r="CI209" i="2"/>
  <c r="EH209" i="2"/>
  <c r="EL209" i="2" s="1"/>
  <c r="AJ222" i="21" s="1"/>
  <c r="CH209" i="2"/>
  <c r="EG209" i="2"/>
  <c r="CG209" i="2"/>
  <c r="EQ209" i="2"/>
  <c r="EK209" i="2" s="1"/>
  <c r="EN209" i="2"/>
  <c r="EM209" i="2"/>
  <c r="CK209" i="2"/>
  <c r="DL3" i="3"/>
  <c r="DK3" i="3"/>
  <c r="DJ3" i="3"/>
  <c r="F9" i="9"/>
  <c r="EK10" i="3"/>
  <c r="J11" i="22" s="1"/>
  <c r="CK10" i="3"/>
  <c r="EJ10" i="3"/>
  <c r="CJ10" i="3"/>
  <c r="EI10" i="3"/>
  <c r="ER10" i="3" s="1"/>
  <c r="EP10" i="3" s="1"/>
  <c r="CI10" i="3"/>
  <c r="EH10" i="3"/>
  <c r="EL10" i="3" s="1"/>
  <c r="CH10" i="3"/>
  <c r="EG10" i="3"/>
  <c r="CG10" i="3"/>
  <c r="EO10" i="3"/>
  <c r="EN10" i="3"/>
  <c r="EM10" i="3"/>
  <c r="DU11" i="3"/>
  <c r="DW11" i="3" s="1"/>
  <c r="DP11" i="3"/>
  <c r="DB11" i="3"/>
  <c r="DC11" i="3" s="1"/>
  <c r="DF11" i="3"/>
  <c r="DX11" i="3" s="1"/>
  <c r="DU14" i="3"/>
  <c r="DW14" i="3" s="1"/>
  <c r="DP14" i="3"/>
  <c r="DB14" i="3"/>
  <c r="DC14" i="3" s="1"/>
  <c r="DF14" i="3" s="1"/>
  <c r="CZ27" i="3"/>
  <c r="CX27" i="3"/>
  <c r="CZ55" i="3"/>
  <c r="CX55" i="3"/>
  <c r="CZ70" i="3"/>
  <c r="CX70" i="3"/>
  <c r="CY90" i="3"/>
  <c r="DA90" i="3" s="1"/>
  <c r="DX90" i="3" s="1"/>
  <c r="DP151" i="2"/>
  <c r="DP163" i="2"/>
  <c r="DQ163" i="2" s="1"/>
  <c r="DU170" i="2"/>
  <c r="DW170" i="2" s="1"/>
  <c r="DP175" i="2"/>
  <c r="CE185" i="2"/>
  <c r="CE190" i="2"/>
  <c r="DF200" i="2"/>
  <c r="DX200" i="2" s="1"/>
  <c r="CZ204" i="2"/>
  <c r="CX204" i="2"/>
  <c r="CY204" i="2"/>
  <c r="DA204" i="2" s="1"/>
  <c r="DX204" i="2" s="1"/>
  <c r="DM3" i="3"/>
  <c r="DF7" i="3"/>
  <c r="DX17" i="3"/>
  <c r="DY17" i="3" s="1"/>
  <c r="F33" i="9"/>
  <c r="EL33" i="3"/>
  <c r="EJ33" i="3"/>
  <c r="CJ33" i="3"/>
  <c r="EI33" i="3"/>
  <c r="ER33" i="3" s="1"/>
  <c r="CI33" i="3"/>
  <c r="EH33" i="3"/>
  <c r="CH33" i="3"/>
  <c r="EG33" i="3"/>
  <c r="CG33" i="3"/>
  <c r="EO33" i="3"/>
  <c r="EQ33" i="3"/>
  <c r="EK33" i="3" s="1"/>
  <c r="CK33" i="3"/>
  <c r="EM33" i="3"/>
  <c r="AN35" i="21" s="1"/>
  <c r="F42" i="9"/>
  <c r="EO42" i="3"/>
  <c r="EC42" i="3"/>
  <c r="EM42" i="3"/>
  <c r="EL42" i="3"/>
  <c r="EK42" i="3"/>
  <c r="J44" i="22" s="1"/>
  <c r="CK42" i="3"/>
  <c r="EJ42" i="3"/>
  <c r="CJ42" i="3"/>
  <c r="EI42" i="3"/>
  <c r="CI42" i="3"/>
  <c r="EG42" i="3"/>
  <c r="CG42" i="3"/>
  <c r="ER42" i="3"/>
  <c r="EF42" i="3"/>
  <c r="CQ42" i="3"/>
  <c r="CH42" i="3"/>
  <c r="EQ42" i="3"/>
  <c r="EN42" i="3"/>
  <c r="EH42" i="3"/>
  <c r="EE42" i="3"/>
  <c r="P44" i="21" s="1"/>
  <c r="ED42" i="3"/>
  <c r="EB42" i="3"/>
  <c r="CZ52" i="3"/>
  <c r="CX52" i="3"/>
  <c r="CY69" i="3"/>
  <c r="DA69" i="3" s="1"/>
  <c r="DX69" i="3" s="1"/>
  <c r="DF74" i="3"/>
  <c r="DX74" i="3" s="1"/>
  <c r="DU159" i="2"/>
  <c r="DW159" i="2" s="1"/>
  <c r="DU171" i="2"/>
  <c r="DW171" i="2" s="1"/>
  <c r="DL193" i="2"/>
  <c r="DK193" i="2"/>
  <c r="EB193" i="2"/>
  <c r="DA202" i="2"/>
  <c r="CD204" i="2"/>
  <c r="DP4" i="3"/>
  <c r="DQ4" i="3" s="1"/>
  <c r="DB4" i="3"/>
  <c r="DC4" i="3" s="1"/>
  <c r="DF4" i="3" s="1"/>
  <c r="DX4" i="3" s="1"/>
  <c r="DY4" i="3" s="1"/>
  <c r="DU4" i="3"/>
  <c r="DW4" i="3" s="1"/>
  <c r="CZ5" i="3"/>
  <c r="F8" i="9"/>
  <c r="EL9" i="3"/>
  <c r="AK10" i="21" s="1"/>
  <c r="EK9" i="3"/>
  <c r="CK9" i="3"/>
  <c r="EJ9" i="3"/>
  <c r="CJ9" i="3"/>
  <c r="EI9" i="3"/>
  <c r="AB10" i="21" s="1"/>
  <c r="CI9" i="3"/>
  <c r="EH9" i="3"/>
  <c r="CH9" i="3"/>
  <c r="EG9" i="3"/>
  <c r="CG9" i="3"/>
  <c r="EQ9" i="3"/>
  <c r="EE9" i="3"/>
  <c r="CQ9" i="3"/>
  <c r="EP9" i="3"/>
  <c r="ED9" i="3"/>
  <c r="EO9" i="3"/>
  <c r="EC9" i="3"/>
  <c r="J10" i="21" s="1"/>
  <c r="EN9" i="3"/>
  <c r="EB9" i="3"/>
  <c r="CE15" i="3"/>
  <c r="CD19" i="3"/>
  <c r="DP39" i="3"/>
  <c r="DQ39" i="3" s="1"/>
  <c r="DB39" i="3"/>
  <c r="DC39" i="3" s="1"/>
  <c r="DU39" i="3"/>
  <c r="DW39" i="3" s="1"/>
  <c r="EP42" i="3"/>
  <c r="CX54" i="3"/>
  <c r="CZ54" i="3" s="1"/>
  <c r="CX56" i="3"/>
  <c r="CZ56" i="3" s="1"/>
  <c r="CZ66" i="3"/>
  <c r="CX66" i="3"/>
  <c r="DD77" i="3"/>
  <c r="DS77" i="3"/>
  <c r="DB166" i="2"/>
  <c r="DC166" i="2" s="1"/>
  <c r="DF166" i="2" s="1"/>
  <c r="CY169" i="2"/>
  <c r="DA169" i="2" s="1"/>
  <c r="DX169" i="2" s="1"/>
  <c r="DY169" i="2" s="1"/>
  <c r="DB178" i="2"/>
  <c r="DC178" i="2" s="1"/>
  <c r="DF178" i="2" s="1"/>
  <c r="CX182" i="2"/>
  <c r="CZ182" i="2" s="1"/>
  <c r="CX185" i="2"/>
  <c r="CZ185" i="2" s="1"/>
  <c r="CX187" i="2"/>
  <c r="CX189" i="2"/>
  <c r="CZ189" i="2" s="1"/>
  <c r="DJ193" i="2"/>
  <c r="EF193" i="2"/>
  <c r="DP194" i="2"/>
  <c r="DQ194" i="2" s="1"/>
  <c r="DB194" i="2"/>
  <c r="DC194" i="2" s="1"/>
  <c r="DF194" i="2" s="1"/>
  <c r="DU194" i="2"/>
  <c r="DW194" i="2" s="1"/>
  <c r="DW198" i="2"/>
  <c r="DA199" i="2"/>
  <c r="EH199" i="2"/>
  <c r="X201" i="21" s="1"/>
  <c r="CZ201" i="2"/>
  <c r="EJ209" i="2"/>
  <c r="DS212" i="2"/>
  <c r="DD212" i="2"/>
  <c r="CX15" i="3"/>
  <c r="CZ15" i="3" s="1"/>
  <c r="DA15" i="3"/>
  <c r="DX15" i="3" s="1"/>
  <c r="CY15" i="3"/>
  <c r="CZ20" i="3"/>
  <c r="F68" i="9"/>
  <c r="EO68" i="3"/>
  <c r="EN68" i="3"/>
  <c r="EM68" i="3"/>
  <c r="EK68" i="3"/>
  <c r="CK68" i="3"/>
  <c r="EJ68" i="3"/>
  <c r="CJ68" i="3"/>
  <c r="EH68" i="3"/>
  <c r="EL68" i="3" s="1"/>
  <c r="AK70" i="21" s="1"/>
  <c r="CH68" i="3"/>
  <c r="EG68" i="3"/>
  <c r="CG68" i="3"/>
  <c r="EI68" i="3"/>
  <c r="ER68" i="3" s="1"/>
  <c r="EP68" i="3" s="1"/>
  <c r="CI68" i="3"/>
  <c r="CX88" i="3"/>
  <c r="CZ88" i="3" s="1"/>
  <c r="DD165" i="2"/>
  <c r="DF165" i="2" s="1"/>
  <c r="DP166" i="2"/>
  <c r="DQ166" i="2" s="1"/>
  <c r="DD177" i="2"/>
  <c r="DP178" i="2"/>
  <c r="EG193" i="2"/>
  <c r="CX196" i="2"/>
  <c r="CZ196" i="2" s="1"/>
  <c r="DS199" i="2"/>
  <c r="DD199" i="2"/>
  <c r="DF199" i="2"/>
  <c r="EL199" i="2"/>
  <c r="AJ201" i="21" s="1"/>
  <c r="CX202" i="2"/>
  <c r="CZ202" i="2" s="1"/>
  <c r="CE205" i="2"/>
  <c r="EO209" i="2"/>
  <c r="CZ13" i="3"/>
  <c r="CX13" i="3"/>
  <c r="DW16" i="3"/>
  <c r="CX43" i="3"/>
  <c r="CZ43" i="3" s="1"/>
  <c r="CX51" i="3"/>
  <c r="CZ51" i="3" s="1"/>
  <c r="CZ53" i="3"/>
  <c r="CX53" i="3"/>
  <c r="DX185" i="2"/>
  <c r="DY185" i="2" s="1"/>
  <c r="CX188" i="2"/>
  <c r="CZ188" i="2" s="1"/>
  <c r="EH193" i="2"/>
  <c r="CX198" i="2"/>
  <c r="CZ198" i="2" s="1"/>
  <c r="EM199" i="2"/>
  <c r="AM201" i="21" s="1"/>
  <c r="DF204" i="2"/>
  <c r="CX6" i="3"/>
  <c r="CZ6" i="3" s="1"/>
  <c r="CD13" i="3"/>
  <c r="CZ49" i="3"/>
  <c r="CX49" i="3"/>
  <c r="DD155" i="2"/>
  <c r="DF155" i="2" s="1"/>
  <c r="CY160" i="2"/>
  <c r="DD167" i="2"/>
  <c r="CY172" i="2"/>
  <c r="DA172" i="2" s="1"/>
  <c r="DX172" i="2" s="1"/>
  <c r="DY172" i="2" s="1"/>
  <c r="DD179" i="2"/>
  <c r="DF179" i="2" s="1"/>
  <c r="DP182" i="2"/>
  <c r="DQ182" i="2" s="1"/>
  <c r="DF190" i="2"/>
  <c r="CY191" i="2"/>
  <c r="DA191" i="2" s="1"/>
  <c r="DX191" i="2" s="1"/>
  <c r="DY191" i="2" s="1"/>
  <c r="EI193" i="2"/>
  <c r="AA195" i="21" s="1"/>
  <c r="CY194" i="2"/>
  <c r="DA194" i="2" s="1"/>
  <c r="DX195" i="2"/>
  <c r="DY195" i="2" s="1"/>
  <c r="DA196" i="2"/>
  <c r="CE200" i="2"/>
  <c r="CX208" i="2"/>
  <c r="CZ208" i="2" s="1"/>
  <c r="DA208" i="2"/>
  <c r="CZ210" i="2"/>
  <c r="CX210" i="2"/>
  <c r="DW10" i="3"/>
  <c r="CZ10" i="3"/>
  <c r="EQ10" i="3"/>
  <c r="CZ16" i="3"/>
  <c r="CX16" i="3"/>
  <c r="DF17" i="3"/>
  <c r="CZ18" i="3"/>
  <c r="DB170" i="2"/>
  <c r="DC170" i="2" s="1"/>
  <c r="DF170" i="2" s="1"/>
  <c r="DX170" i="2" s="1"/>
  <c r="DY170" i="2" s="1"/>
  <c r="CY173" i="2"/>
  <c r="DA173" i="2" s="1"/>
  <c r="DX173" i="2" s="1"/>
  <c r="DY173" i="2" s="1"/>
  <c r="CX181" i="2"/>
  <c r="DB191" i="2"/>
  <c r="DC191" i="2" s="1"/>
  <c r="DF191" i="2" s="1"/>
  <c r="EL193" i="2"/>
  <c r="CY197" i="2"/>
  <c r="DA197" i="2" s="1"/>
  <c r="DX197" i="2" s="1"/>
  <c r="DL199" i="2"/>
  <c r="DK199" i="2"/>
  <c r="DJ199" i="2"/>
  <c r="DP201" i="2"/>
  <c r="DB201" i="2"/>
  <c r="DC201" i="2" s="1"/>
  <c r="DF201" i="2" s="1"/>
  <c r="DU201" i="2"/>
  <c r="DW201" i="2" s="1"/>
  <c r="DX201" i="2" s="1"/>
  <c r="DM202" i="2"/>
  <c r="DL202" i="2"/>
  <c r="CZ203" i="2"/>
  <c r="CX203" i="2"/>
  <c r="DF5" i="3"/>
  <c r="DX5" i="3" s="1"/>
  <c r="DY5" i="3" s="1"/>
  <c r="DS10" i="3"/>
  <c r="DD10" i="3"/>
  <c r="DF10" i="3" s="1"/>
  <c r="CD18" i="3"/>
  <c r="DW20" i="3"/>
  <c r="CZ22" i="3"/>
  <c r="CX22" i="3"/>
  <c r="DW26" i="3"/>
  <c r="DF43" i="3"/>
  <c r="DX43" i="3" s="1"/>
  <c r="DY43" i="3" s="1"/>
  <c r="DU57" i="3"/>
  <c r="DW57" i="3" s="1"/>
  <c r="DP57" i="3"/>
  <c r="CD57" i="3"/>
  <c r="DB57" i="3"/>
  <c r="DC57" i="3" s="1"/>
  <c r="CX75" i="3"/>
  <c r="CZ75" i="3" s="1"/>
  <c r="CX78" i="3"/>
  <c r="CZ78" i="3" s="1"/>
  <c r="DW148" i="3"/>
  <c r="DS148" i="3"/>
  <c r="DB159" i="2"/>
  <c r="DC159" i="2" s="1"/>
  <c r="DF159" i="2" s="1"/>
  <c r="DX159" i="2" s="1"/>
  <c r="DY159" i="2" s="1"/>
  <c r="DB171" i="2"/>
  <c r="DC171" i="2" s="1"/>
  <c r="DF171" i="2" s="1"/>
  <c r="DX171" i="2" s="1"/>
  <c r="DY171" i="2" s="1"/>
  <c r="CX184" i="2"/>
  <c r="CZ184" i="2" s="1"/>
  <c r="DD185" i="2"/>
  <c r="DP189" i="2"/>
  <c r="DQ189" i="2" s="1"/>
  <c r="DB189" i="2"/>
  <c r="DC189" i="2" s="1"/>
  <c r="DF189" i="2" s="1"/>
  <c r="DX189" i="2" s="1"/>
  <c r="DY189" i="2" s="1"/>
  <c r="DA192" i="2"/>
  <c r="DS193" i="2"/>
  <c r="DT193" i="2" s="1"/>
  <c r="EN193" i="2"/>
  <c r="DU196" i="2"/>
  <c r="DW196" i="2" s="1"/>
  <c r="DB196" i="2"/>
  <c r="DC196" i="2" s="1"/>
  <c r="DF196" i="2" s="1"/>
  <c r="DM199" i="2"/>
  <c r="DO202" i="2"/>
  <c r="DN202" i="2"/>
  <c r="DA203" i="2"/>
  <c r="DX203" i="2" s="1"/>
  <c r="DY203" i="2" s="1"/>
  <c r="CY203" i="2"/>
  <c r="DF205" i="2"/>
  <c r="DS207" i="2"/>
  <c r="DT207" i="2" s="1"/>
  <c r="DD207" i="2"/>
  <c r="CZ211" i="2"/>
  <c r="CX211" i="2"/>
  <c r="CD3" i="3"/>
  <c r="CX7" i="3"/>
  <c r="CZ7" i="3" s="1"/>
  <c r="DA7" i="3"/>
  <c r="DX7" i="3" s="1"/>
  <c r="CY7" i="3"/>
  <c r="CX9" i="3"/>
  <c r="CZ9" i="3" s="1"/>
  <c r="CX11" i="3"/>
  <c r="CZ11" i="3" s="1"/>
  <c r="DS20" i="3"/>
  <c r="DD20" i="3"/>
  <c r="CZ37" i="3"/>
  <c r="CX37" i="3"/>
  <c r="DM42" i="3"/>
  <c r="DL42" i="3"/>
  <c r="DK42" i="3"/>
  <c r="DJ42" i="3"/>
  <c r="DW51" i="3"/>
  <c r="DF72" i="3"/>
  <c r="CZ92" i="3"/>
  <c r="CX92" i="3"/>
  <c r="DA183" i="2"/>
  <c r="DX183" i="2" s="1"/>
  <c r="DF185" i="2"/>
  <c r="DP188" i="2"/>
  <c r="DU188" i="2"/>
  <c r="DW188" i="2" s="1"/>
  <c r="DB188" i="2"/>
  <c r="DC188" i="2" s="1"/>
  <c r="DF188" i="2" s="1"/>
  <c r="DX188" i="2" s="1"/>
  <c r="ER193" i="2"/>
  <c r="F195" i="22" s="1"/>
  <c r="CX197" i="2"/>
  <c r="CZ197" i="2" s="1"/>
  <c r="CH199" i="2"/>
  <c r="CZ206" i="2"/>
  <c r="CX206" i="2"/>
  <c r="CJ209" i="2"/>
  <c r="DF210" i="2"/>
  <c r="DX210" i="2" s="1"/>
  <c r="CE212" i="2"/>
  <c r="CD7" i="3"/>
  <c r="F21" i="9"/>
  <c r="CK22" i="3"/>
  <c r="EQ22" i="3"/>
  <c r="EK22" i="3" s="1"/>
  <c r="EO22" i="3"/>
  <c r="EN22" i="3"/>
  <c r="EM22" i="3"/>
  <c r="CJ22" i="3"/>
  <c r="EI22" i="3"/>
  <c r="ER22" i="3" s="1"/>
  <c r="EP22" i="3" s="1"/>
  <c r="CH22" i="3"/>
  <c r="EH22" i="3"/>
  <c r="EL22" i="3" s="1"/>
  <c r="AK23" i="21" s="1"/>
  <c r="CG22" i="3"/>
  <c r="EG22" i="3"/>
  <c r="V23" i="21" s="1"/>
  <c r="CX67" i="3"/>
  <c r="CZ67" i="3" s="1"/>
  <c r="DD192" i="2"/>
  <c r="DF192" i="2" s="1"/>
  <c r="DS202" i="2"/>
  <c r="DT202" i="2" s="1"/>
  <c r="DD204" i="2"/>
  <c r="DB206" i="2"/>
  <c r="DC206" i="2" s="1"/>
  <c r="DF206" i="2" s="1"/>
  <c r="DX206" i="2" s="1"/>
  <c r="CY209" i="2"/>
  <c r="DU212" i="2"/>
  <c r="DW212" i="2" s="1"/>
  <c r="DU3" i="3"/>
  <c r="DW3" i="3" s="1"/>
  <c r="DS5" i="3"/>
  <c r="DB9" i="3"/>
  <c r="DC9" i="3" s="1"/>
  <c r="DF9" i="3" s="1"/>
  <c r="DX9" i="3" s="1"/>
  <c r="CY12" i="3"/>
  <c r="DA12" i="3" s="1"/>
  <c r="DB19" i="3"/>
  <c r="DC19" i="3" s="1"/>
  <c r="DU19" i="3"/>
  <c r="DW19" i="3" s="1"/>
  <c r="DX19" i="3" s="1"/>
  <c r="DD19" i="3"/>
  <c r="CE31" i="3"/>
  <c r="CE32" i="3"/>
  <c r="DF46" i="3"/>
  <c r="DX46" i="3" s="1"/>
  <c r="DY46" i="3" s="1"/>
  <c r="DS47" i="3"/>
  <c r="DT47" i="3" s="1"/>
  <c r="DD47" i="3"/>
  <c r="CZ47" i="3"/>
  <c r="DS50" i="3"/>
  <c r="DF55" i="3"/>
  <c r="DX55" i="3" s="1"/>
  <c r="DW60" i="3"/>
  <c r="DU63" i="3"/>
  <c r="DW63" i="3" s="1"/>
  <c r="DP63" i="3"/>
  <c r="DF66" i="3"/>
  <c r="CE67" i="3"/>
  <c r="DX71" i="3"/>
  <c r="DY71" i="3" s="1"/>
  <c r="DP135" i="3"/>
  <c r="DB135" i="3"/>
  <c r="DC135" i="3" s="1"/>
  <c r="DF135" i="3" s="1"/>
  <c r="DU135" i="3"/>
  <c r="DW135" i="3" s="1"/>
  <c r="DB195" i="2"/>
  <c r="DC195" i="2" s="1"/>
  <c r="DD205" i="2"/>
  <c r="DP206" i="2"/>
  <c r="DB207" i="2"/>
  <c r="DC207" i="2" s="1"/>
  <c r="DF207" i="2" s="1"/>
  <c r="DX207" i="2" s="1"/>
  <c r="DY207" i="2" s="1"/>
  <c r="DF19" i="3"/>
  <c r="CE25" i="3"/>
  <c r="CY26" i="3"/>
  <c r="DA26" i="3" s="1"/>
  <c r="DX26" i="3" s="1"/>
  <c r="CE29" i="3"/>
  <c r="DX34" i="3"/>
  <c r="DU35" i="3"/>
  <c r="DW35" i="3" s="1"/>
  <c r="DB35" i="3"/>
  <c r="DC35" i="3" s="1"/>
  <c r="DF35" i="3" s="1"/>
  <c r="DX35" i="3" s="1"/>
  <c r="CY38" i="3"/>
  <c r="DA38" i="3" s="1"/>
  <c r="DS38" i="3"/>
  <c r="F45" i="9"/>
  <c r="EL45" i="3"/>
  <c r="EJ45" i="3"/>
  <c r="CJ45" i="3"/>
  <c r="EI45" i="3"/>
  <c r="CI45" i="3"/>
  <c r="EH45" i="3"/>
  <c r="CH45" i="3"/>
  <c r="EG45" i="3"/>
  <c r="CG45" i="3"/>
  <c r="ER45" i="3"/>
  <c r="G47" i="22" s="1"/>
  <c r="N47" i="22" s="1"/>
  <c r="EF45" i="3"/>
  <c r="EP45" i="3"/>
  <c r="ED45" i="3"/>
  <c r="M47" i="21" s="1"/>
  <c r="EO45" i="3"/>
  <c r="EC45" i="3"/>
  <c r="EM45" i="3"/>
  <c r="DA50" i="3"/>
  <c r="DX50" i="3" s="1"/>
  <c r="CY50" i="3"/>
  <c r="DS60" i="3"/>
  <c r="DD60" i="3"/>
  <c r="CE73" i="3"/>
  <c r="CZ74" i="3"/>
  <c r="CZ76" i="3"/>
  <c r="DN78" i="3"/>
  <c r="DO78" i="3"/>
  <c r="CX95" i="3"/>
  <c r="CZ95" i="3"/>
  <c r="DP195" i="2"/>
  <c r="DQ195" i="2" s="1"/>
  <c r="DU202" i="2"/>
  <c r="DW202" i="2" s="1"/>
  <c r="DP207" i="2"/>
  <c r="DQ207" i="2" s="1"/>
  <c r="DU5" i="3"/>
  <c r="DW5" i="3" s="1"/>
  <c r="DA20" i="3"/>
  <c r="CZ21" i="3"/>
  <c r="DP23" i="3"/>
  <c r="DS26" i="3"/>
  <c r="CE27" i="3"/>
  <c r="CZ29" i="3"/>
  <c r="CX29" i="3"/>
  <c r="CX30" i="3"/>
  <c r="CZ30" i="3" s="1"/>
  <c r="DW30" i="3"/>
  <c r="DF34" i="3"/>
  <c r="DS35" i="3"/>
  <c r="DD35" i="3"/>
  <c r="CZ35" i="3"/>
  <c r="DW38" i="3"/>
  <c r="DC41" i="3"/>
  <c r="DF41" i="3" s="1"/>
  <c r="DX41" i="3" s="1"/>
  <c r="DF42" i="3"/>
  <c r="CK45" i="3"/>
  <c r="EN45" i="3"/>
  <c r="CE55" i="3"/>
  <c r="DU62" i="3"/>
  <c r="DW62" i="3" s="1"/>
  <c r="DB62" i="3"/>
  <c r="DC62" i="3" s="1"/>
  <c r="DF62" i="3" s="1"/>
  <c r="CY65" i="3"/>
  <c r="DA65" i="3" s="1"/>
  <c r="CE68" i="3"/>
  <c r="CZ69" i="3"/>
  <c r="CX69" i="3"/>
  <c r="CX73" i="3"/>
  <c r="CZ73" i="3"/>
  <c r="DU74" i="3"/>
  <c r="DW74" i="3" s="1"/>
  <c r="DP74" i="3"/>
  <c r="DB74" i="3"/>
  <c r="DC74" i="3" s="1"/>
  <c r="CZ176" i="3"/>
  <c r="CD206" i="2"/>
  <c r="DS23" i="3"/>
  <c r="DD23" i="3"/>
  <c r="DF23" i="3" s="1"/>
  <c r="DX23" i="3" s="1"/>
  <c r="CZ31" i="3"/>
  <c r="CX31" i="3"/>
  <c r="F32" i="9"/>
  <c r="EM32" i="3"/>
  <c r="EK32" i="3"/>
  <c r="CK32" i="3"/>
  <c r="EJ32" i="3"/>
  <c r="CJ32" i="3"/>
  <c r="EI32" i="3"/>
  <c r="ER32" i="3" s="1"/>
  <c r="CI32" i="3"/>
  <c r="EH32" i="3"/>
  <c r="EL32" i="3" s="1"/>
  <c r="AK34" i="21" s="1"/>
  <c r="CH32" i="3"/>
  <c r="EG32" i="3"/>
  <c r="CG32" i="3"/>
  <c r="EQ32" i="3"/>
  <c r="EP32" i="3"/>
  <c r="EO32" i="3"/>
  <c r="DF36" i="3"/>
  <c r="CX39" i="3"/>
  <c r="CZ39" i="3" s="1"/>
  <c r="CX45" i="3"/>
  <c r="CZ45" i="3" s="1"/>
  <c r="DP51" i="3"/>
  <c r="DB51" i="3"/>
  <c r="DC51" i="3" s="1"/>
  <c r="DA52" i="3"/>
  <c r="DX52" i="3" s="1"/>
  <c r="DS62" i="3"/>
  <c r="DD62" i="3"/>
  <c r="CX68" i="3"/>
  <c r="CZ68" i="3" s="1"/>
  <c r="DD74" i="3"/>
  <c r="DA76" i="3"/>
  <c r="DX76" i="3" s="1"/>
  <c r="DW76" i="3"/>
  <c r="DS111" i="3"/>
  <c r="DD111" i="3"/>
  <c r="DD197" i="2"/>
  <c r="DD209" i="2"/>
  <c r="G214" i="22"/>
  <c r="J149" i="22"/>
  <c r="G149" i="22"/>
  <c r="J214" i="22"/>
  <c r="J168" i="22"/>
  <c r="G168" i="22"/>
  <c r="N168" i="22" s="1"/>
  <c r="J224" i="22"/>
  <c r="J47" i="22"/>
  <c r="G80" i="22"/>
  <c r="G44" i="22"/>
  <c r="G40" i="22"/>
  <c r="G228" i="22"/>
  <c r="G10" i="22"/>
  <c r="G229" i="21"/>
  <c r="AE227" i="21"/>
  <c r="AH229" i="21"/>
  <c r="P227" i="21"/>
  <c r="G135" i="22"/>
  <c r="AB227" i="21"/>
  <c r="S229" i="21"/>
  <c r="M228" i="21"/>
  <c r="AH227" i="21"/>
  <c r="AQ229" i="21"/>
  <c r="G227" i="21"/>
  <c r="AQ214" i="21"/>
  <c r="J214" i="21"/>
  <c r="P229" i="21"/>
  <c r="AK228" i="21"/>
  <c r="V218" i="21"/>
  <c r="Y214" i="21"/>
  <c r="J228" i="21"/>
  <c r="AK218" i="21"/>
  <c r="S218" i="21"/>
  <c r="V227" i="21"/>
  <c r="AK214" i="21"/>
  <c r="AB228" i="21"/>
  <c r="AB213" i="21"/>
  <c r="P220" i="21"/>
  <c r="AQ218" i="21"/>
  <c r="J186" i="21"/>
  <c r="AB229" i="21"/>
  <c r="Y228" i="21"/>
  <c r="AK227" i="21"/>
  <c r="J218" i="21"/>
  <c r="M214" i="21"/>
  <c r="Y227" i="21"/>
  <c r="AH218" i="21"/>
  <c r="G218" i="21"/>
  <c r="AH214" i="21"/>
  <c r="G214" i="21"/>
  <c r="P201" i="21"/>
  <c r="P228" i="21"/>
  <c r="AK220" i="21"/>
  <c r="AE220" i="21"/>
  <c r="Y201" i="21"/>
  <c r="AQ149" i="21"/>
  <c r="M149" i="21"/>
  <c r="M227" i="21"/>
  <c r="Y220" i="21"/>
  <c r="J227" i="21"/>
  <c r="M218" i="21"/>
  <c r="AQ168" i="21"/>
  <c r="Y168" i="21"/>
  <c r="J168" i="21"/>
  <c r="Y149" i="21"/>
  <c r="AN228" i="21"/>
  <c r="S220" i="21"/>
  <c r="M186" i="21"/>
  <c r="AE214" i="21"/>
  <c r="G186" i="21"/>
  <c r="AK168" i="21"/>
  <c r="V168" i="21"/>
  <c r="G168" i="21"/>
  <c r="V149" i="21"/>
  <c r="J64" i="22"/>
  <c r="AE229" i="21"/>
  <c r="AE168" i="21"/>
  <c r="J149" i="21"/>
  <c r="AE218" i="21"/>
  <c r="AH179" i="21"/>
  <c r="G64" i="22"/>
  <c r="N64" i="22" s="1"/>
  <c r="J229" i="21"/>
  <c r="AE149" i="21"/>
  <c r="G149" i="21"/>
  <c r="AN135" i="21"/>
  <c r="Y135" i="21"/>
  <c r="G135" i="21"/>
  <c r="AQ227" i="21"/>
  <c r="Y218" i="21"/>
  <c r="V139" i="21"/>
  <c r="AB135" i="21"/>
  <c r="M213" i="21"/>
  <c r="AN227" i="21"/>
  <c r="AB146" i="21"/>
  <c r="AQ96" i="21"/>
  <c r="AE96" i="21"/>
  <c r="S96" i="21"/>
  <c r="G96" i="21"/>
  <c r="AK149" i="21"/>
  <c r="G201" i="21"/>
  <c r="AH168" i="21"/>
  <c r="AH149" i="21"/>
  <c r="AQ135" i="21"/>
  <c r="V214" i="21"/>
  <c r="J80" i="21"/>
  <c r="S214" i="21"/>
  <c r="J96" i="21"/>
  <c r="P135" i="21"/>
  <c r="S149" i="21"/>
  <c r="AH146" i="21"/>
  <c r="M135" i="21"/>
  <c r="AK80" i="21"/>
  <c r="V96" i="21"/>
  <c r="AH127" i="21"/>
  <c r="AE135" i="21"/>
  <c r="G80" i="21"/>
  <c r="Y96" i="21"/>
  <c r="Y70" i="21"/>
  <c r="S62" i="21"/>
  <c r="AE179" i="21"/>
  <c r="AE62" i="21"/>
  <c r="S168" i="21"/>
  <c r="AK106" i="21"/>
  <c r="AH70" i="21"/>
  <c r="Y62" i="21"/>
  <c r="AH41" i="21"/>
  <c r="S41" i="21"/>
  <c r="AK127" i="21"/>
  <c r="AE106" i="21"/>
  <c r="M96" i="21"/>
  <c r="AE40" i="21"/>
  <c r="AB70" i="21"/>
  <c r="AE41" i="21"/>
  <c r="AE34" i="21"/>
  <c r="AE26" i="21"/>
  <c r="Y10" i="21"/>
  <c r="V70" i="21"/>
  <c r="AQ62" i="21"/>
  <c r="P62" i="21"/>
  <c r="P41" i="21"/>
  <c r="AQ40" i="21"/>
  <c r="M62" i="21"/>
  <c r="AQ34" i="21"/>
  <c r="AQ26" i="21"/>
  <c r="M168" i="21"/>
  <c r="AH96" i="21"/>
  <c r="AN41" i="21"/>
  <c r="AE35" i="21"/>
  <c r="G33" i="21"/>
  <c r="P47" i="21"/>
  <c r="J41" i="21"/>
  <c r="AH33" i="21"/>
  <c r="AQ11" i="21"/>
  <c r="AE10" i="21"/>
  <c r="M10" i="21"/>
  <c r="V40" i="21"/>
  <c r="Y11" i="21"/>
  <c r="AK41" i="21"/>
  <c r="G41" i="21"/>
  <c r="AN34" i="21"/>
  <c r="AN229" i="21"/>
  <c r="AN62" i="21"/>
  <c r="V33" i="21"/>
  <c r="AB26" i="21"/>
  <c r="AQ10" i="21"/>
  <c r="AB118" i="21"/>
  <c r="V80" i="21"/>
  <c r="AK11" i="21"/>
  <c r="V10" i="21"/>
  <c r="G10" i="21"/>
  <c r="G44" i="21"/>
  <c r="M41" i="21"/>
  <c r="AQ35" i="21"/>
  <c r="S47" i="21"/>
  <c r="J33" i="21"/>
  <c r="AE11" i="21"/>
  <c r="Y34" i="21"/>
  <c r="AK62" i="21"/>
  <c r="Y35" i="21"/>
  <c r="AB11" i="21"/>
  <c r="AH10" i="21"/>
  <c r="AK96" i="21"/>
  <c r="AH40" i="21"/>
  <c r="V26" i="21"/>
  <c r="V11" i="21"/>
  <c r="AB62" i="21"/>
  <c r="AQ41" i="21"/>
  <c r="Y40" i="21"/>
  <c r="AQ91" i="21"/>
  <c r="AB41" i="21"/>
  <c r="Y41" i="21"/>
  <c r="S10" i="21"/>
  <c r="V41" i="21"/>
  <c r="Y44" i="21"/>
  <c r="AN47" i="21"/>
  <c r="AN33" i="21"/>
  <c r="AE23" i="21"/>
  <c r="DD12" i="3"/>
  <c r="DF12" i="3" s="1"/>
  <c r="DA30" i="3"/>
  <c r="CY30" i="3"/>
  <c r="DA40" i="3"/>
  <c r="DX40" i="3" s="1"/>
  <c r="CQ45" i="3"/>
  <c r="DO47" i="3"/>
  <c r="DN47" i="3"/>
  <c r="CY51" i="3"/>
  <c r="DA51" i="3" s="1"/>
  <c r="DX51" i="3" s="1"/>
  <c r="CD55" i="3"/>
  <c r="DX60" i="3"/>
  <c r="DW68" i="3"/>
  <c r="DM71" i="3"/>
  <c r="DL71" i="3"/>
  <c r="DK71" i="3"/>
  <c r="DJ71" i="3"/>
  <c r="DA73" i="3"/>
  <c r="DX73" i="3" s="1"/>
  <c r="DF77" i="3"/>
  <c r="DX77" i="3" s="1"/>
  <c r="DC80" i="3"/>
  <c r="DF80" i="3" s="1"/>
  <c r="DX80" i="3" s="1"/>
  <c r="CE80" i="3"/>
  <c r="CY89" i="3"/>
  <c r="DA89" i="3"/>
  <c r="DX147" i="3"/>
  <c r="DD198" i="2"/>
  <c r="DF198" i="2" s="1"/>
  <c r="DX198" i="2" s="1"/>
  <c r="DY198" i="2" s="1"/>
  <c r="DD210" i="2"/>
  <c r="DB212" i="2"/>
  <c r="DC212" i="2" s="1"/>
  <c r="DF212" i="2" s="1"/>
  <c r="DX212" i="2" s="1"/>
  <c r="DB3" i="3"/>
  <c r="DC3" i="3" s="1"/>
  <c r="DF3" i="3" s="1"/>
  <c r="DX3" i="3" s="1"/>
  <c r="DY3" i="3" s="1"/>
  <c r="CY6" i="3"/>
  <c r="DA6" i="3" s="1"/>
  <c r="DX6" i="3" s="1"/>
  <c r="DD13" i="3"/>
  <c r="DF13" i="3" s="1"/>
  <c r="DX13" i="3" s="1"/>
  <c r="DP20" i="3"/>
  <c r="CY21" i="3"/>
  <c r="DA21" i="3" s="1"/>
  <c r="DP21" i="3"/>
  <c r="CX33" i="3"/>
  <c r="CZ33" i="3" s="1"/>
  <c r="CZ41" i="3"/>
  <c r="CX41" i="3"/>
  <c r="DX59" i="3"/>
  <c r="DS65" i="3"/>
  <c r="DT65" i="3" s="1"/>
  <c r="DD65" i="3"/>
  <c r="DA68" i="3"/>
  <c r="DF70" i="3"/>
  <c r="DX70" i="3" s="1"/>
  <c r="CZ72" i="3"/>
  <c r="CX72" i="3"/>
  <c r="DU73" i="3"/>
  <c r="DW73" i="3" s="1"/>
  <c r="DP73" i="3"/>
  <c r="DB73" i="3"/>
  <c r="DC73" i="3" s="1"/>
  <c r="DF73" i="3" s="1"/>
  <c r="F78" i="9"/>
  <c r="EM78" i="3"/>
  <c r="EJ78" i="3"/>
  <c r="AE80" i="21" s="1"/>
  <c r="CJ78" i="3"/>
  <c r="EQ78" i="3"/>
  <c r="EC78" i="3"/>
  <c r="EL78" i="3"/>
  <c r="EI78" i="3"/>
  <c r="EO78" i="3"/>
  <c r="CH78" i="3"/>
  <c r="EN78" i="3"/>
  <c r="AQ80" i="21" s="1"/>
  <c r="CG78" i="3"/>
  <c r="EK78" i="3"/>
  <c r="EH78" i="3"/>
  <c r="Y80" i="21" s="1"/>
  <c r="EG78" i="3"/>
  <c r="EF78" i="3"/>
  <c r="S80" i="21" s="1"/>
  <c r="EE78" i="3"/>
  <c r="CQ78" i="3"/>
  <c r="EB78" i="3"/>
  <c r="DD211" i="2"/>
  <c r="DF211" i="2" s="1"/>
  <c r="DX211" i="2" s="1"/>
  <c r="DA14" i="3"/>
  <c r="DX14" i="3" s="1"/>
  <c r="DD16" i="3"/>
  <c r="DF16" i="3" s="1"/>
  <c r="DX16" i="3" s="1"/>
  <c r="DB20" i="3"/>
  <c r="DC20" i="3" s="1"/>
  <c r="DF20" i="3" s="1"/>
  <c r="DU25" i="3"/>
  <c r="DW25" i="3" s="1"/>
  <c r="DP25" i="3"/>
  <c r="DB25" i="3"/>
  <c r="DC25" i="3" s="1"/>
  <c r="DF25" i="3" s="1"/>
  <c r="DP27" i="3"/>
  <c r="DB27" i="3"/>
  <c r="DC27" i="3" s="1"/>
  <c r="DF27" i="3" s="1"/>
  <c r="DU27" i="3"/>
  <c r="DW27" i="3" s="1"/>
  <c r="CD28" i="3"/>
  <c r="DX29" i="3"/>
  <c r="DX31" i="3"/>
  <c r="DY31" i="3" s="1"/>
  <c r="CZ32" i="3"/>
  <c r="CX42" i="3"/>
  <c r="CZ42" i="3" s="1"/>
  <c r="DU45" i="3"/>
  <c r="DW45" i="3" s="1"/>
  <c r="DP45" i="3"/>
  <c r="DQ45" i="3" s="1"/>
  <c r="DF51" i="3"/>
  <c r="CY54" i="3"/>
  <c r="DA54" i="3" s="1"/>
  <c r="DX54" i="3" s="1"/>
  <c r="CZ57" i="3"/>
  <c r="CX57" i="3"/>
  <c r="DU59" i="3"/>
  <c r="DW59" i="3" s="1"/>
  <c r="DP59" i="3"/>
  <c r="DB59" i="3"/>
  <c r="DC59" i="3" s="1"/>
  <c r="DF60" i="3"/>
  <c r="CY72" i="3"/>
  <c r="DA72" i="3" s="1"/>
  <c r="DX72" i="3" s="1"/>
  <c r="ED78" i="3"/>
  <c r="M80" i="21" s="1"/>
  <c r="CD81" i="3"/>
  <c r="CX82" i="3"/>
  <c r="CZ82" i="3"/>
  <c r="F89" i="9"/>
  <c r="EG89" i="3"/>
  <c r="CG89" i="3"/>
  <c r="EO89" i="3"/>
  <c r="EN89" i="3"/>
  <c r="CK89" i="3"/>
  <c r="EQ89" i="3"/>
  <c r="EK89" i="3" s="1"/>
  <c r="AH91" i="21" s="1"/>
  <c r="CH89" i="3"/>
  <c r="EH89" i="3"/>
  <c r="Y91" i="21" s="1"/>
  <c r="CJ89" i="3"/>
  <c r="CI89" i="3"/>
  <c r="EJ89" i="3"/>
  <c r="EI89" i="3"/>
  <c r="CD92" i="3"/>
  <c r="DB202" i="2"/>
  <c r="DC202" i="2" s="1"/>
  <c r="DF202" i="2" s="1"/>
  <c r="CY205" i="2"/>
  <c r="DA205" i="2" s="1"/>
  <c r="DX205" i="2" s="1"/>
  <c r="DB5" i="3"/>
  <c r="DC5" i="3" s="1"/>
  <c r="CY8" i="3"/>
  <c r="DA8" i="3" s="1"/>
  <c r="DX8" i="3" s="1"/>
  <c r="DB18" i="3"/>
  <c r="DC18" i="3" s="1"/>
  <c r="DF18" i="3" s="1"/>
  <c r="DX18" i="3" s="1"/>
  <c r="DP19" i="3"/>
  <c r="DA27" i="3"/>
  <c r="DX27" i="3" s="1"/>
  <c r="DP35" i="3"/>
  <c r="CZ36" i="3"/>
  <c r="CE37" i="3"/>
  <c r="CE38" i="3"/>
  <c r="DF39" i="3"/>
  <c r="CD47" i="3"/>
  <c r="CZ48" i="3"/>
  <c r="CE49" i="3"/>
  <c r="CE50" i="3"/>
  <c r="CZ58" i="3"/>
  <c r="DS59" i="3"/>
  <c r="DD59" i="3"/>
  <c r="DF59" i="3"/>
  <c r="CZ60" i="3"/>
  <c r="CX60" i="3"/>
  <c r="CZ63" i="3"/>
  <c r="DA66" i="3"/>
  <c r="DF69" i="3"/>
  <c r="CZ71" i="3"/>
  <c r="CX71" i="3"/>
  <c r="DX75" i="3"/>
  <c r="EP78" i="3"/>
  <c r="DF81" i="3"/>
  <c r="DX81" i="3" s="1"/>
  <c r="DB6" i="3"/>
  <c r="DC6" i="3" s="1"/>
  <c r="DF6" i="3" s="1"/>
  <c r="CD36" i="3"/>
  <c r="CD44" i="3"/>
  <c r="DA47" i="3"/>
  <c r="CD48" i="3"/>
  <c r="CD51" i="3"/>
  <c r="CE52" i="3"/>
  <c r="DX53" i="3"/>
  <c r="DS54" i="3"/>
  <c r="CD61" i="3"/>
  <c r="DP62" i="3"/>
  <c r="CD63" i="3"/>
  <c r="CX64" i="3"/>
  <c r="CZ64" i="3" s="1"/>
  <c r="CE70" i="3"/>
  <c r="CD71" i="3"/>
  <c r="ER78" i="3"/>
  <c r="CZ118" i="3"/>
  <c r="CX118" i="3"/>
  <c r="DF21" i="3"/>
  <c r="DS24" i="3"/>
  <c r="DD24" i="3"/>
  <c r="DF24" i="3" s="1"/>
  <c r="DA24" i="3"/>
  <c r="DF31" i="3"/>
  <c r="DU33" i="3"/>
  <c r="DW33" i="3" s="1"/>
  <c r="DP33" i="3"/>
  <c r="DA36" i="3"/>
  <c r="DM39" i="3"/>
  <c r="DK39" i="3"/>
  <c r="DJ39" i="3"/>
  <c r="CY42" i="3"/>
  <c r="DA42" i="3" s="1"/>
  <c r="DX42" i="3" s="1"/>
  <c r="DY42" i="3" s="1"/>
  <c r="EB45" i="3"/>
  <c r="DA48" i="3"/>
  <c r="CE51" i="3"/>
  <c r="DF58" i="3"/>
  <c r="DX58" i="3" s="1"/>
  <c r="DW65" i="3"/>
  <c r="DP66" i="3"/>
  <c r="DB66" i="3"/>
  <c r="DC66" i="3" s="1"/>
  <c r="CZ85" i="3"/>
  <c r="CE167" i="3"/>
  <c r="CU167" i="3"/>
  <c r="DD75" i="3"/>
  <c r="DW78" i="3"/>
  <c r="DF78" i="3"/>
  <c r="DC79" i="3"/>
  <c r="DF79" i="3" s="1"/>
  <c r="DU83" i="3"/>
  <c r="DW83" i="3" s="1"/>
  <c r="DB83" i="3"/>
  <c r="DC83" i="3" s="1"/>
  <c r="DF83" i="3" s="1"/>
  <c r="CZ83" i="3"/>
  <c r="DP83" i="3"/>
  <c r="DB84" i="3"/>
  <c r="DC84" i="3" s="1"/>
  <c r="DF84" i="3" s="1"/>
  <c r="DU87" i="3"/>
  <c r="DW87" i="3" s="1"/>
  <c r="DB87" i="3"/>
  <c r="DC87" i="3" s="1"/>
  <c r="DF87" i="3" s="1"/>
  <c r="CU87" i="3"/>
  <c r="CZ90" i="3"/>
  <c r="DB91" i="3"/>
  <c r="DC91" i="3" s="1"/>
  <c r="DF91" i="3" s="1"/>
  <c r="DP91" i="3"/>
  <c r="DU91" i="3"/>
  <c r="DW91" i="3" s="1"/>
  <c r="DP95" i="3"/>
  <c r="DL143" i="3"/>
  <c r="DM143" i="3"/>
  <c r="DK143" i="3"/>
  <c r="DJ143" i="3"/>
  <c r="DI151" i="3"/>
  <c r="CD151" i="3"/>
  <c r="DD21" i="3"/>
  <c r="DU29" i="3"/>
  <c r="DW29" i="3" s="1"/>
  <c r="DD33" i="3"/>
  <c r="DF33" i="3" s="1"/>
  <c r="DD45" i="3"/>
  <c r="DF45" i="3" s="1"/>
  <c r="DX45" i="3" s="1"/>
  <c r="DY45" i="3" s="1"/>
  <c r="DU53" i="3"/>
  <c r="DW53" i="3" s="1"/>
  <c r="DD57" i="3"/>
  <c r="DF57" i="3" s="1"/>
  <c r="DX57" i="3" s="1"/>
  <c r="DC92" i="3"/>
  <c r="DF92" i="3" s="1"/>
  <c r="DX92" i="3" s="1"/>
  <c r="DX96" i="3"/>
  <c r="F104" i="9"/>
  <c r="EQ104" i="3"/>
  <c r="EK104" i="3" s="1"/>
  <c r="J106" i="22" s="1"/>
  <c r="EO104" i="3"/>
  <c r="EN104" i="3"/>
  <c r="EM104" i="3"/>
  <c r="AN106" i="21" s="1"/>
  <c r="CK104" i="3"/>
  <c r="EI104" i="3"/>
  <c r="CI104" i="3"/>
  <c r="EH104" i="3"/>
  <c r="EL104" i="3" s="1"/>
  <c r="CH104" i="3"/>
  <c r="EG104" i="3"/>
  <c r="CJ104" i="3"/>
  <c r="CG104" i="3"/>
  <c r="ER104" i="3"/>
  <c r="DU111" i="3"/>
  <c r="DW111" i="3" s="1"/>
  <c r="DB111" i="3"/>
  <c r="DC111" i="3" s="1"/>
  <c r="DF111" i="3" s="1"/>
  <c r="DP111" i="3"/>
  <c r="DU112" i="3"/>
  <c r="DW112" i="3" s="1"/>
  <c r="DP112" i="3"/>
  <c r="DB112" i="3"/>
  <c r="DC112" i="3" s="1"/>
  <c r="DA115" i="3"/>
  <c r="DX115" i="3" s="1"/>
  <c r="F122" i="9"/>
  <c r="EO122" i="3"/>
  <c r="EQ122" i="3"/>
  <c r="EK122" i="3" s="1"/>
  <c r="CK122" i="3"/>
  <c r="EN122" i="3"/>
  <c r="CJ122" i="3"/>
  <c r="EM122" i="3"/>
  <c r="CI122" i="3"/>
  <c r="EL122" i="3"/>
  <c r="AK124" i="21" s="1"/>
  <c r="CH122" i="3"/>
  <c r="CG122" i="3"/>
  <c r="EJ122" i="3"/>
  <c r="AE124" i="21" s="1"/>
  <c r="EH122" i="3"/>
  <c r="Y124" i="21" s="1"/>
  <c r="EG122" i="3"/>
  <c r="ER122" i="3"/>
  <c r="EI122" i="3"/>
  <c r="DU31" i="3"/>
  <c r="DW31" i="3" s="1"/>
  <c r="DB37" i="3"/>
  <c r="DC37" i="3" s="1"/>
  <c r="DF37" i="3" s="1"/>
  <c r="DX37" i="3" s="1"/>
  <c r="CY40" i="3"/>
  <c r="DU43" i="3"/>
  <c r="DW43" i="3" s="1"/>
  <c r="DB49" i="3"/>
  <c r="DC49" i="3" s="1"/>
  <c r="DF49" i="3" s="1"/>
  <c r="DX49" i="3" s="1"/>
  <c r="CY52" i="3"/>
  <c r="DU55" i="3"/>
  <c r="DW55" i="3" s="1"/>
  <c r="DB64" i="3"/>
  <c r="DC64" i="3" s="1"/>
  <c r="DF64" i="3" s="1"/>
  <c r="DX64" i="3" s="1"/>
  <c r="CY67" i="3"/>
  <c r="DA67" i="3" s="1"/>
  <c r="DX67" i="3" s="1"/>
  <c r="DU70" i="3"/>
  <c r="DW70" i="3" s="1"/>
  <c r="CY76" i="3"/>
  <c r="DL78" i="3"/>
  <c r="CX83" i="3"/>
  <c r="DW85" i="3"/>
  <c r="CZ86" i="3"/>
  <c r="DF89" i="3"/>
  <c r="CX101" i="3"/>
  <c r="CZ101" i="3" s="1"/>
  <c r="CZ115" i="3"/>
  <c r="CX115" i="3"/>
  <c r="CX127" i="3"/>
  <c r="CZ127" i="3" s="1"/>
  <c r="CZ157" i="3"/>
  <c r="CX157" i="3"/>
  <c r="DD36" i="3"/>
  <c r="DP37" i="3"/>
  <c r="DD48" i="3"/>
  <c r="DF48" i="3" s="1"/>
  <c r="DP49" i="3"/>
  <c r="DD63" i="3"/>
  <c r="DF63" i="3" s="1"/>
  <c r="DX63" i="3" s="1"/>
  <c r="DP64" i="3"/>
  <c r="DB65" i="3"/>
  <c r="DC65" i="3" s="1"/>
  <c r="DF65" i="3" s="1"/>
  <c r="CY68" i="3"/>
  <c r="DM78" i="3"/>
  <c r="CZ84" i="3"/>
  <c r="CX84" i="3"/>
  <c r="DS85" i="3"/>
  <c r="CZ100" i="3"/>
  <c r="CX100" i="3"/>
  <c r="CZ103" i="3"/>
  <c r="CX103" i="3"/>
  <c r="CX108" i="3"/>
  <c r="CZ108" i="3" s="1"/>
  <c r="DX154" i="3"/>
  <c r="AA70" i="6"/>
  <c r="H70" i="9" s="1"/>
  <c r="DA78" i="3"/>
  <c r="DP78" i="3"/>
  <c r="DQ78" i="3" s="1"/>
  <c r="DX83" i="3"/>
  <c r="CD95" i="3"/>
  <c r="DF99" i="3"/>
  <c r="CZ107" i="3"/>
  <c r="CX107" i="3"/>
  <c r="F116" i="9"/>
  <c r="EO116" i="3"/>
  <c r="EN116" i="3"/>
  <c r="EM116" i="3"/>
  <c r="AN118" i="21" s="1"/>
  <c r="EK116" i="3"/>
  <c r="AH118" i="21" s="1"/>
  <c r="CK116" i="3"/>
  <c r="EJ116" i="3"/>
  <c r="CJ116" i="3"/>
  <c r="EH116" i="3"/>
  <c r="Y118" i="21" s="1"/>
  <c r="CH116" i="3"/>
  <c r="EG116" i="3"/>
  <c r="CG116" i="3"/>
  <c r="CI116" i="3"/>
  <c r="ER116" i="3"/>
  <c r="DX130" i="3"/>
  <c r="L182" i="6"/>
  <c r="AA182" i="6"/>
  <c r="H183" i="9" s="1"/>
  <c r="DJ45" i="3"/>
  <c r="DB82" i="3"/>
  <c r="DC82" i="3" s="1"/>
  <c r="DF82" i="3" s="1"/>
  <c r="DP82" i="3"/>
  <c r="DQ82" i="3" s="1"/>
  <c r="CD84" i="3"/>
  <c r="CE91" i="3"/>
  <c r="CX113" i="3"/>
  <c r="CZ113" i="3" s="1"/>
  <c r="DA114" i="3"/>
  <c r="CY114" i="3"/>
  <c r="DW133" i="3"/>
  <c r="F137" i="9"/>
  <c r="EN136" i="3"/>
  <c r="AQ139" i="21" s="1"/>
  <c r="EL136" i="3"/>
  <c r="EK136" i="3"/>
  <c r="J139" i="22" s="1"/>
  <c r="CK136" i="3"/>
  <c r="EI136" i="3"/>
  <c r="AB139" i="21" s="1"/>
  <c r="CI136" i="3"/>
  <c r="EG136" i="3"/>
  <c r="CG136" i="3"/>
  <c r="ER136" i="3"/>
  <c r="EP136" i="3" s="1"/>
  <c r="EQ136" i="3"/>
  <c r="EO136" i="3"/>
  <c r="EJ136" i="3"/>
  <c r="CJ136" i="3"/>
  <c r="EH136" i="3"/>
  <c r="EM136" i="3" s="1"/>
  <c r="AN139" i="21" s="1"/>
  <c r="CH136" i="3"/>
  <c r="CY32" i="3"/>
  <c r="DA32" i="3" s="1"/>
  <c r="CY56" i="3"/>
  <c r="DA56" i="3" s="1"/>
  <c r="DX56" i="3" s="1"/>
  <c r="CZ79" i="3"/>
  <c r="DB86" i="3"/>
  <c r="DC86" i="3" s="1"/>
  <c r="DF86" i="3" s="1"/>
  <c r="DP86" i="3"/>
  <c r="DA86" i="3"/>
  <c r="DU86" i="3"/>
  <c r="DW86" i="3" s="1"/>
  <c r="CZ109" i="3"/>
  <c r="CX109" i="3"/>
  <c r="CX114" i="3"/>
  <c r="CZ114" i="3" s="1"/>
  <c r="F125" i="9"/>
  <c r="EL125" i="3"/>
  <c r="EO125" i="3"/>
  <c r="EC125" i="3"/>
  <c r="J127" i="21" s="1"/>
  <c r="EQ125" i="3"/>
  <c r="EB125" i="3"/>
  <c r="G127" i="21" s="1"/>
  <c r="CG125" i="3"/>
  <c r="EP125" i="3"/>
  <c r="EN125" i="3"/>
  <c r="AQ127" i="21" s="1"/>
  <c r="EM125" i="3"/>
  <c r="AN127" i="21" s="1"/>
  <c r="EK125" i="3"/>
  <c r="CQ125" i="3"/>
  <c r="EJ125" i="3"/>
  <c r="EI125" i="3"/>
  <c r="EG125" i="3"/>
  <c r="V127" i="21" s="1"/>
  <c r="CK125" i="3"/>
  <c r="EF125" i="3"/>
  <c r="CJ125" i="3"/>
  <c r="ER125" i="3"/>
  <c r="CI125" i="3"/>
  <c r="EH125" i="3"/>
  <c r="CH125" i="3"/>
  <c r="EE125" i="3"/>
  <c r="ED125" i="3"/>
  <c r="CZ159" i="3"/>
  <c r="CX159" i="3"/>
  <c r="DA79" i="3"/>
  <c r="DS80" i="3"/>
  <c r="DD80" i="3"/>
  <c r="DP81" i="3"/>
  <c r="DW84" i="3"/>
  <c r="DS86" i="3"/>
  <c r="DD86" i="3"/>
  <c r="CX89" i="3"/>
  <c r="CZ89" i="3" s="1"/>
  <c r="CZ91" i="3"/>
  <c r="CX91" i="3"/>
  <c r="DU100" i="3"/>
  <c r="DW100" i="3" s="1"/>
  <c r="DP100" i="3"/>
  <c r="DB100" i="3"/>
  <c r="DC100" i="3" s="1"/>
  <c r="DP103" i="3"/>
  <c r="DB103" i="3"/>
  <c r="DC103" i="3" s="1"/>
  <c r="DF103" i="3" s="1"/>
  <c r="DU103" i="3"/>
  <c r="DW103" i="3" s="1"/>
  <c r="DM107" i="3"/>
  <c r="DL107" i="3"/>
  <c r="DK107" i="3"/>
  <c r="DJ107" i="3"/>
  <c r="CX163" i="3"/>
  <c r="CZ163" i="3" s="1"/>
  <c r="DA82" i="3"/>
  <c r="DP84" i="3"/>
  <c r="DS84" i="3"/>
  <c r="DF85" i="3"/>
  <c r="DX85" i="3" s="1"/>
  <c r="DA87" i="3"/>
  <c r="DX87" i="3" s="1"/>
  <c r="CZ99" i="3"/>
  <c r="CX106" i="3"/>
  <c r="CZ106" i="3" s="1"/>
  <c r="DA111" i="3"/>
  <c r="DX111" i="3" s="1"/>
  <c r="CE114" i="3"/>
  <c r="DW116" i="3"/>
  <c r="DS117" i="3"/>
  <c r="DF117" i="3"/>
  <c r="CD119" i="3"/>
  <c r="CY119" i="3"/>
  <c r="DA119" i="3" s="1"/>
  <c r="DW122" i="3"/>
  <c r="DA127" i="3"/>
  <c r="DX127" i="3" s="1"/>
  <c r="CY127" i="3"/>
  <c r="DP132" i="3"/>
  <c r="DU132" i="3"/>
  <c r="DW132" i="3" s="1"/>
  <c r="DB132" i="3"/>
  <c r="DC132" i="3" s="1"/>
  <c r="DF132" i="3" s="1"/>
  <c r="CZ147" i="3"/>
  <c r="CX147" i="3"/>
  <c r="DF155" i="3"/>
  <c r="DX155" i="3" s="1"/>
  <c r="DY155" i="3" s="1"/>
  <c r="DP94" i="3"/>
  <c r="DB94" i="3"/>
  <c r="DC94" i="3" s="1"/>
  <c r="DF94" i="3" s="1"/>
  <c r="CZ96" i="3"/>
  <c r="CY102" i="3"/>
  <c r="DA102" i="3" s="1"/>
  <c r="DX102" i="3" s="1"/>
  <c r="CD110" i="3"/>
  <c r="DS124" i="3"/>
  <c r="DT124" i="3" s="1"/>
  <c r="CY126" i="3"/>
  <c r="DA126" i="3" s="1"/>
  <c r="DS132" i="3"/>
  <c r="DD132" i="3"/>
  <c r="DX141" i="3"/>
  <c r="DY141" i="3" s="1"/>
  <c r="DF149" i="3"/>
  <c r="CZ158" i="3"/>
  <c r="CX158" i="3"/>
  <c r="DS94" i="3"/>
  <c r="CE95" i="3"/>
  <c r="DF95" i="3"/>
  <c r="CD98" i="3"/>
  <c r="CZ105" i="3"/>
  <c r="CX105" i="3"/>
  <c r="CY106" i="3"/>
  <c r="DA106" i="3" s="1"/>
  <c r="DX106" i="3" s="1"/>
  <c r="DY106" i="3" s="1"/>
  <c r="DF107" i="3"/>
  <c r="DX107" i="3" s="1"/>
  <c r="DY107" i="3" s="1"/>
  <c r="DM108" i="3"/>
  <c r="DL108" i="3"/>
  <c r="DK108" i="3"/>
  <c r="DJ108" i="3"/>
  <c r="DC115" i="3"/>
  <c r="DF115" i="3" s="1"/>
  <c r="DC116" i="3"/>
  <c r="CZ131" i="3"/>
  <c r="DX131" i="3"/>
  <c r="DX152" i="3"/>
  <c r="DY152" i="3" s="1"/>
  <c r="AA91" i="5"/>
  <c r="G91" i="9" s="1"/>
  <c r="DU94" i="3"/>
  <c r="DW94" i="3" s="1"/>
  <c r="DP96" i="3"/>
  <c r="CD101" i="3"/>
  <c r="DS102" i="3"/>
  <c r="DD102" i="3"/>
  <c r="DA104" i="3"/>
  <c r="DX104" i="3" s="1"/>
  <c r="DS106" i="3"/>
  <c r="DF106" i="3"/>
  <c r="CD108" i="3"/>
  <c r="CD113" i="3"/>
  <c r="DP114" i="3"/>
  <c r="DB114" i="3"/>
  <c r="DC114" i="3" s="1"/>
  <c r="DW117" i="3"/>
  <c r="CZ120" i="3"/>
  <c r="CX120" i="3"/>
  <c r="DA121" i="3"/>
  <c r="DX121" i="3" s="1"/>
  <c r="DS122" i="3"/>
  <c r="DX122" i="3"/>
  <c r="DF125" i="3"/>
  <c r="DX125" i="3" s="1"/>
  <c r="DY125" i="3" s="1"/>
  <c r="F144" i="9"/>
  <c r="EG143" i="3"/>
  <c r="CG143" i="3"/>
  <c r="ER143" i="3"/>
  <c r="EF143" i="3"/>
  <c r="EQ143" i="3"/>
  <c r="EE143" i="3"/>
  <c r="CQ143" i="3"/>
  <c r="EP143" i="3"/>
  <c r="ED143" i="3"/>
  <c r="M146" i="21" s="1"/>
  <c r="EO143" i="3"/>
  <c r="EC143" i="3"/>
  <c r="J146" i="21" s="1"/>
  <c r="EM143" i="3"/>
  <c r="AN146" i="21" s="1"/>
  <c r="EK143" i="3"/>
  <c r="CK143" i="3"/>
  <c r="EH143" i="3"/>
  <c r="Y146" i="21" s="1"/>
  <c r="CH143" i="3"/>
  <c r="EI143" i="3"/>
  <c r="EB143" i="3"/>
  <c r="EN143" i="3"/>
  <c r="CJ143" i="3"/>
  <c r="EJ143" i="3"/>
  <c r="CZ146" i="3"/>
  <c r="CX146" i="3"/>
  <c r="CZ170" i="3"/>
  <c r="CX170" i="3"/>
  <c r="CZ81" i="3"/>
  <c r="CX85" i="3"/>
  <c r="CD86" i="3"/>
  <c r="DS87" i="3"/>
  <c r="DA91" i="3"/>
  <c r="CE93" i="3"/>
  <c r="DW93" i="3"/>
  <c r="DX93" i="3" s="1"/>
  <c r="DF97" i="3"/>
  <c r="DX97" i="3" s="1"/>
  <c r="DY97" i="3" s="1"/>
  <c r="CZ98" i="3"/>
  <c r="DW98" i="3"/>
  <c r="DP99" i="3"/>
  <c r="CE103" i="3"/>
  <c r="DW105" i="3"/>
  <c r="DX105" i="3" s="1"/>
  <c r="CE107" i="3"/>
  <c r="DD110" i="3"/>
  <c r="DA120" i="3"/>
  <c r="DF126" i="3"/>
  <c r="CZ128" i="3"/>
  <c r="CX132" i="3"/>
  <c r="CZ132" i="3" s="1"/>
  <c r="CE134" i="3"/>
  <c r="DF136" i="3"/>
  <c r="CZ137" i="3"/>
  <c r="CX137" i="3"/>
  <c r="EL143" i="3"/>
  <c r="CZ156" i="3"/>
  <c r="DF110" i="3"/>
  <c r="DX110" i="3" s="1"/>
  <c r="DY110" i="3" s="1"/>
  <c r="CZ117" i="3"/>
  <c r="CX117" i="3"/>
  <c r="CE123" i="3"/>
  <c r="DX128" i="3"/>
  <c r="DA132" i="3"/>
  <c r="DX132" i="3" s="1"/>
  <c r="CZ134" i="3"/>
  <c r="CX134" i="3"/>
  <c r="CX145" i="3"/>
  <c r="CZ145" i="3" s="1"/>
  <c r="DA145" i="3"/>
  <c r="DX145" i="3" s="1"/>
  <c r="DY145" i="3" s="1"/>
  <c r="CY145" i="3"/>
  <c r="DF153" i="3"/>
  <c r="DU186" i="3"/>
  <c r="DW186" i="3" s="1"/>
  <c r="DB186" i="3"/>
  <c r="DC186" i="3" s="1"/>
  <c r="DF186" i="3" s="1"/>
  <c r="DX186" i="3" s="1"/>
  <c r="DY186" i="3" s="1"/>
  <c r="DP186" i="3"/>
  <c r="DQ186" i="3" s="1"/>
  <c r="AA119" i="6"/>
  <c r="H119" i="9" s="1"/>
  <c r="DF90" i="3"/>
  <c r="DW90" i="3"/>
  <c r="DX94" i="3"/>
  <c r="DU99" i="3"/>
  <c r="DW99" i="3" s="1"/>
  <c r="DA100" i="3"/>
  <c r="CD107" i="3"/>
  <c r="DX108" i="3"/>
  <c r="DX109" i="3"/>
  <c r="DA112" i="3"/>
  <c r="CX116" i="3"/>
  <c r="CZ116" i="3" s="1"/>
  <c r="CX138" i="3"/>
  <c r="CZ138" i="3"/>
  <c r="CZ144" i="3"/>
  <c r="CX144" i="3"/>
  <c r="DA160" i="3"/>
  <c r="CY160" i="3"/>
  <c r="CZ161" i="3"/>
  <c r="CX161" i="3"/>
  <c r="CE162" i="3"/>
  <c r="DS185" i="3"/>
  <c r="DD185" i="3"/>
  <c r="AA18" i="6"/>
  <c r="H18" i="9" s="1"/>
  <c r="CZ97" i="3"/>
  <c r="DA99" i="3"/>
  <c r="DA103" i="3"/>
  <c r="CY117" i="3"/>
  <c r="DA117" i="3" s="1"/>
  <c r="DX117" i="3" s="1"/>
  <c r="CZ123" i="3"/>
  <c r="CX123" i="3"/>
  <c r="CX140" i="3"/>
  <c r="CZ140" i="3" s="1"/>
  <c r="DC150" i="3"/>
  <c r="DF150" i="3" s="1"/>
  <c r="CE150" i="3"/>
  <c r="DF171" i="3"/>
  <c r="DK190" i="3"/>
  <c r="DL190" i="3"/>
  <c r="DJ190" i="3"/>
  <c r="DM190" i="3"/>
  <c r="CZ194" i="3"/>
  <c r="CX194" i="3"/>
  <c r="F199" i="9"/>
  <c r="EL196" i="3"/>
  <c r="AK201" i="21" s="1"/>
  <c r="EJ196" i="3"/>
  <c r="AE201" i="21" s="1"/>
  <c r="CJ196" i="3"/>
  <c r="EI196" i="3"/>
  <c r="AB201" i="21" s="1"/>
  <c r="CI196" i="3"/>
  <c r="EH196" i="3"/>
  <c r="CH196" i="3"/>
  <c r="EG196" i="3"/>
  <c r="CG196" i="3"/>
  <c r="EP196" i="3"/>
  <c r="ED196" i="3"/>
  <c r="M201" i="21" s="1"/>
  <c r="EO196" i="3"/>
  <c r="EC196" i="3"/>
  <c r="ER196" i="3"/>
  <c r="EQ196" i="3"/>
  <c r="EN196" i="3"/>
  <c r="EM196" i="3"/>
  <c r="AN201" i="21" s="1"/>
  <c r="EK196" i="3"/>
  <c r="EF196" i="3"/>
  <c r="CQ196" i="3"/>
  <c r="EB196" i="3"/>
  <c r="CK196" i="3"/>
  <c r="EE196" i="3"/>
  <c r="AA146" i="5"/>
  <c r="G146" i="9" s="1"/>
  <c r="CY95" i="3"/>
  <c r="DA95" i="3" s="1"/>
  <c r="DX95" i="3" s="1"/>
  <c r="DF98" i="3"/>
  <c r="DX98" i="3" s="1"/>
  <c r="DS99" i="3"/>
  <c r="DD99" i="3"/>
  <c r="DF101" i="3"/>
  <c r="DX101" i="3" s="1"/>
  <c r="DF109" i="3"/>
  <c r="CX112" i="3"/>
  <c r="CZ112" i="3" s="1"/>
  <c r="DA123" i="3"/>
  <c r="DX123" i="3" s="1"/>
  <c r="DF124" i="3"/>
  <c r="CE126" i="3"/>
  <c r="DX133" i="3"/>
  <c r="CZ135" i="3"/>
  <c r="CX135" i="3"/>
  <c r="CZ149" i="3"/>
  <c r="CX149" i="3"/>
  <c r="CE159" i="3"/>
  <c r="DA162" i="3"/>
  <c r="DX162" i="3" s="1"/>
  <c r="DY162" i="3" s="1"/>
  <c r="DP190" i="3"/>
  <c r="DQ190" i="3" s="1"/>
  <c r="DB190" i="3"/>
  <c r="DC190" i="3" s="1"/>
  <c r="DF190" i="3" s="1"/>
  <c r="DU190" i="3"/>
  <c r="DW190" i="3" s="1"/>
  <c r="AA35" i="5"/>
  <c r="G35" i="9" s="1"/>
  <c r="DU124" i="3"/>
  <c r="DW124" i="3" s="1"/>
  <c r="DA135" i="3"/>
  <c r="DX135" i="3" s="1"/>
  <c r="CE138" i="3"/>
  <c r="DU139" i="3"/>
  <c r="DW139" i="3" s="1"/>
  <c r="DP139" i="3"/>
  <c r="DQ139" i="3" s="1"/>
  <c r="DU155" i="3"/>
  <c r="DW155" i="3" s="1"/>
  <c r="DP155" i="3"/>
  <c r="DQ155" i="3" s="1"/>
  <c r="DB155" i="3"/>
  <c r="DC155" i="3" s="1"/>
  <c r="DA157" i="3"/>
  <c r="CX162" i="3"/>
  <c r="CZ162" i="3" s="1"/>
  <c r="DF165" i="3"/>
  <c r="DX165" i="3" s="1"/>
  <c r="DY165" i="3" s="1"/>
  <c r="DX167" i="3"/>
  <c r="DY167" i="3" s="1"/>
  <c r="CZ172" i="3"/>
  <c r="CX172" i="3"/>
  <c r="DD183" i="3"/>
  <c r="DF183" i="3" s="1"/>
  <c r="DS183" i="3"/>
  <c r="DT183" i="3" s="1"/>
  <c r="DS190" i="3"/>
  <c r="DT190" i="3" s="1"/>
  <c r="DD190" i="3"/>
  <c r="DO205" i="3"/>
  <c r="DN205" i="3"/>
  <c r="AA19" i="5"/>
  <c r="G19" i="9" s="1"/>
  <c r="DU119" i="3"/>
  <c r="DW119" i="3" s="1"/>
  <c r="DB125" i="3"/>
  <c r="DC125" i="3" s="1"/>
  <c r="DS131" i="3"/>
  <c r="DD131" i="3"/>
  <c r="DW137" i="3"/>
  <c r="CZ142" i="3"/>
  <c r="DF151" i="3"/>
  <c r="CE161" i="3"/>
  <c r="DA172" i="3"/>
  <c r="DX172" i="3" s="1"/>
  <c r="DY172" i="3" s="1"/>
  <c r="DU176" i="3"/>
  <c r="DW176" i="3" s="1"/>
  <c r="DP176" i="3"/>
  <c r="DQ176" i="3" s="1"/>
  <c r="DB176" i="3"/>
  <c r="DC176" i="3" s="1"/>
  <c r="CZ177" i="3"/>
  <c r="CX177" i="3"/>
  <c r="CE194" i="3"/>
  <c r="CY218" i="3"/>
  <c r="DA218" i="3" s="1"/>
  <c r="DX218" i="3" s="1"/>
  <c r="AA85" i="5"/>
  <c r="G85" i="9" s="1"/>
  <c r="DB101" i="3"/>
  <c r="DC101" i="3" s="1"/>
  <c r="CY104" i="3"/>
  <c r="DU107" i="3"/>
  <c r="DW107" i="3" s="1"/>
  <c r="DB113" i="3"/>
  <c r="DC113" i="3" s="1"/>
  <c r="DF113" i="3" s="1"/>
  <c r="DX113" i="3" s="1"/>
  <c r="CY115" i="3"/>
  <c r="DU118" i="3"/>
  <c r="DW118" i="3" s="1"/>
  <c r="CZ133" i="3"/>
  <c r="CZ136" i="3"/>
  <c r="DX139" i="3"/>
  <c r="DY139" i="3" s="1"/>
  <c r="DP146" i="3"/>
  <c r="DB146" i="3"/>
  <c r="DC146" i="3" s="1"/>
  <c r="DF146" i="3" s="1"/>
  <c r="CZ150" i="3"/>
  <c r="CX150" i="3"/>
  <c r="DP157" i="3"/>
  <c r="DQ157" i="3" s="1"/>
  <c r="DB157" i="3"/>
  <c r="DC157" i="3" s="1"/>
  <c r="CZ179" i="3"/>
  <c r="CX179" i="3"/>
  <c r="CX189" i="3"/>
  <c r="CZ189" i="3" s="1"/>
  <c r="F211" i="9"/>
  <c r="ER208" i="3"/>
  <c r="EF208" i="3"/>
  <c r="EP208" i="3"/>
  <c r="EC208" i="3"/>
  <c r="EO208" i="3"/>
  <c r="EB208" i="3"/>
  <c r="G213" i="21" s="1"/>
  <c r="CK208" i="3"/>
  <c r="EN208" i="3"/>
  <c r="AQ213" i="21" s="1"/>
  <c r="CJ208" i="3"/>
  <c r="EM208" i="3"/>
  <c r="AN213" i="21" s="1"/>
  <c r="CI208" i="3"/>
  <c r="EL208" i="3"/>
  <c r="CH208" i="3"/>
  <c r="EK208" i="3"/>
  <c r="CG208" i="3"/>
  <c r="EH208" i="3"/>
  <c r="Y213" i="21" s="1"/>
  <c r="EG208" i="3"/>
  <c r="EE208" i="3"/>
  <c r="P213" i="21" s="1"/>
  <c r="CQ208" i="3"/>
  <c r="EJ208" i="3"/>
  <c r="AE213" i="21" s="1"/>
  <c r="CU216" i="3"/>
  <c r="CE216" i="3"/>
  <c r="AA107" i="5"/>
  <c r="G107" i="9" s="1"/>
  <c r="DD100" i="3"/>
  <c r="DP101" i="3"/>
  <c r="DD112" i="3"/>
  <c r="DP113" i="3"/>
  <c r="DP123" i="3"/>
  <c r="DA124" i="3"/>
  <c r="DP127" i="3"/>
  <c r="CD128" i="3"/>
  <c r="DP128" i="3"/>
  <c r="CZ130" i="3"/>
  <c r="DU131" i="3"/>
  <c r="DW131" i="3" s="1"/>
  <c r="DD134" i="3"/>
  <c r="DS134" i="3"/>
  <c r="DT134" i="3" s="1"/>
  <c r="DB139" i="3"/>
  <c r="DC139" i="3" s="1"/>
  <c r="DF139" i="3" s="1"/>
  <c r="DS140" i="3"/>
  <c r="DD140" i="3"/>
  <c r="DF140" i="3" s="1"/>
  <c r="DU141" i="3"/>
  <c r="DW141" i="3" s="1"/>
  <c r="DP141" i="3"/>
  <c r="DD145" i="3"/>
  <c r="DS145" i="3"/>
  <c r="DT145" i="3" s="1"/>
  <c r="DU146" i="3"/>
  <c r="DW146" i="3" s="1"/>
  <c r="DU154" i="3"/>
  <c r="DW154" i="3" s="1"/>
  <c r="DP154" i="3"/>
  <c r="CZ154" i="3"/>
  <c r="CZ175" i="3"/>
  <c r="CX202" i="3"/>
  <c r="CZ202" i="3" s="1"/>
  <c r="CX203" i="3"/>
  <c r="CZ203" i="3" s="1"/>
  <c r="DU214" i="3"/>
  <c r="DW214" i="3" s="1"/>
  <c r="DX214" i="3" s="1"/>
  <c r="DP214" i="3"/>
  <c r="DB214" i="3"/>
  <c r="DC214" i="3" s="1"/>
  <c r="DF214" i="3" s="1"/>
  <c r="AA151" i="5"/>
  <c r="G151" i="9" s="1"/>
  <c r="DC102" i="3"/>
  <c r="DF102" i="3" s="1"/>
  <c r="DS120" i="3"/>
  <c r="DB128" i="3"/>
  <c r="DC128" i="3" s="1"/>
  <c r="DF128" i="3" s="1"/>
  <c r="DU130" i="3"/>
  <c r="DW130" i="3" s="1"/>
  <c r="CE132" i="3"/>
  <c r="DA134" i="3"/>
  <c r="CY134" i="3"/>
  <c r="CZ141" i="3"/>
  <c r="DU142" i="3"/>
  <c r="DW142" i="3" s="1"/>
  <c r="DX142" i="3" s="1"/>
  <c r="DB142" i="3"/>
  <c r="DC142" i="3" s="1"/>
  <c r="DA146" i="3"/>
  <c r="DX146" i="3" s="1"/>
  <c r="CY146" i="3"/>
  <c r="DW149" i="3"/>
  <c r="DS154" i="3"/>
  <c r="DD154" i="3"/>
  <c r="DB154" i="3"/>
  <c r="DC154" i="3" s="1"/>
  <c r="DF154" i="3" s="1"/>
  <c r="DF163" i="3"/>
  <c r="DP169" i="3"/>
  <c r="DQ169" i="3" s="1"/>
  <c r="DU169" i="3"/>
  <c r="DW169" i="3" s="1"/>
  <c r="DB169" i="3"/>
  <c r="DC169" i="3" s="1"/>
  <c r="DF169" i="3" s="1"/>
  <c r="DX169" i="3" s="1"/>
  <c r="DY169" i="3" s="1"/>
  <c r="DW173" i="3"/>
  <c r="CY175" i="3"/>
  <c r="DA175" i="3" s="1"/>
  <c r="CE180" i="3"/>
  <c r="DU184" i="3"/>
  <c r="DW184" i="3" s="1"/>
  <c r="DB184" i="3"/>
  <c r="DC184" i="3" s="1"/>
  <c r="DF184" i="3" s="1"/>
  <c r="DX184" i="3" s="1"/>
  <c r="DY184" i="3" s="1"/>
  <c r="DP184" i="3"/>
  <c r="DQ184" i="3" s="1"/>
  <c r="DX185" i="3"/>
  <c r="CE191" i="3"/>
  <c r="DX201" i="3"/>
  <c r="DY201" i="3" s="1"/>
  <c r="AA157" i="5"/>
  <c r="G157" i="9" s="1"/>
  <c r="CX122" i="3"/>
  <c r="CZ122" i="3" s="1"/>
  <c r="CX124" i="3"/>
  <c r="CZ124" i="3" s="1"/>
  <c r="DF137" i="3"/>
  <c r="DX140" i="3"/>
  <c r="DY140" i="3" s="1"/>
  <c r="DS143" i="3"/>
  <c r="DT143" i="3" s="1"/>
  <c r="DD143" i="3"/>
  <c r="DF143" i="3" s="1"/>
  <c r="DX143" i="3" s="1"/>
  <c r="DY143" i="3" s="1"/>
  <c r="DP144" i="3"/>
  <c r="DB144" i="3"/>
  <c r="DC144" i="3" s="1"/>
  <c r="DF145" i="3"/>
  <c r="DA150" i="3"/>
  <c r="CY150" i="3"/>
  <c r="CX152" i="3"/>
  <c r="CZ152" i="3" s="1"/>
  <c r="CX156" i="3"/>
  <c r="CY158" i="3"/>
  <c r="DA158" i="3" s="1"/>
  <c r="DM167" i="3"/>
  <c r="DL167" i="3"/>
  <c r="DK167" i="3"/>
  <c r="DB174" i="3"/>
  <c r="DC174" i="3" s="1"/>
  <c r="DF174" i="3" s="1"/>
  <c r="DX174" i="3" s="1"/>
  <c r="DY174" i="3" s="1"/>
  <c r="CZ178" i="3"/>
  <c r="CZ180" i="3"/>
  <c r="CZ188" i="3"/>
  <c r="CX188" i="3"/>
  <c r="CX190" i="3"/>
  <c r="CZ190" i="3" s="1"/>
  <c r="DF202" i="3"/>
  <c r="AA40" i="5"/>
  <c r="G40" i="9" s="1"/>
  <c r="AA148" i="5"/>
  <c r="G148" i="9" s="1"/>
  <c r="AA160" i="5"/>
  <c r="G160" i="9" s="1"/>
  <c r="AA53" i="6"/>
  <c r="H53" i="9" s="1"/>
  <c r="DD103" i="3"/>
  <c r="DD114" i="3"/>
  <c r="CZ125" i="3"/>
  <c r="DF131" i="3"/>
  <c r="CD132" i="3"/>
  <c r="DP133" i="3"/>
  <c r="DB133" i="3"/>
  <c r="DC133" i="3" s="1"/>
  <c r="DF133" i="3" s="1"/>
  <c r="CD135" i="3"/>
  <c r="DS138" i="3"/>
  <c r="DD138" i="3"/>
  <c r="DF138" i="3" s="1"/>
  <c r="DP147" i="3"/>
  <c r="DB147" i="3"/>
  <c r="DC147" i="3" s="1"/>
  <c r="DF147" i="3" s="1"/>
  <c r="DU147" i="3"/>
  <c r="DW147" i="3" s="1"/>
  <c r="DA148" i="3"/>
  <c r="CY148" i="3"/>
  <c r="CZ153" i="3"/>
  <c r="CZ160" i="3"/>
  <c r="CX160" i="3"/>
  <c r="CX164" i="3"/>
  <c r="CZ164" i="3" s="1"/>
  <c r="DO167" i="3"/>
  <c r="DN167" i="3"/>
  <c r="CE168" i="3"/>
  <c r="CX183" i="3"/>
  <c r="CZ183" i="3" s="1"/>
  <c r="CZ191" i="3"/>
  <c r="CX191" i="3"/>
  <c r="CZ196" i="3"/>
  <c r="CX196" i="3"/>
  <c r="CZ206" i="3"/>
  <c r="CX206" i="3"/>
  <c r="AA37" i="5"/>
  <c r="G37" i="9" s="1"/>
  <c r="AA7" i="6"/>
  <c r="H7" i="9" s="1"/>
  <c r="DB119" i="3"/>
  <c r="DC119" i="3" s="1"/>
  <c r="DF119" i="3" s="1"/>
  <c r="DF120" i="3"/>
  <c r="DP124" i="3"/>
  <c r="DK125" i="3"/>
  <c r="DF130" i="3"/>
  <c r="DA136" i="3"/>
  <c r="DX136" i="3" s="1"/>
  <c r="CY136" i="3"/>
  <c r="CX139" i="3"/>
  <c r="CZ139" i="3"/>
  <c r="DF141" i="3"/>
  <c r="CZ151" i="3"/>
  <c r="CX151" i="3"/>
  <c r="DS153" i="3"/>
  <c r="DT153" i="3" s="1"/>
  <c r="DD153" i="3"/>
  <c r="DX153" i="3"/>
  <c r="DY153" i="3" s="1"/>
  <c r="CZ155" i="3"/>
  <c r="DS156" i="3"/>
  <c r="DT156" i="3" s="1"/>
  <c r="DD156" i="3"/>
  <c r="DF156" i="3" s="1"/>
  <c r="DX156" i="3" s="1"/>
  <c r="DY156" i="3" s="1"/>
  <c r="DU157" i="3"/>
  <c r="DW157" i="3" s="1"/>
  <c r="CZ168" i="3"/>
  <c r="CX168" i="3"/>
  <c r="DF182" i="3"/>
  <c r="DX182" i="3" s="1"/>
  <c r="DY182" i="3" s="1"/>
  <c r="CD190" i="3"/>
  <c r="AA96" i="5"/>
  <c r="G96" i="9" s="1"/>
  <c r="AA119" i="5"/>
  <c r="G119" i="9" s="1"/>
  <c r="DL125" i="3"/>
  <c r="DS127" i="3"/>
  <c r="DF127" i="3"/>
  <c r="DS129" i="3"/>
  <c r="DD129" i="3"/>
  <c r="DF129" i="3" s="1"/>
  <c r="DX129" i="3" s="1"/>
  <c r="CD131" i="3"/>
  <c r="DF142" i="3"/>
  <c r="CX148" i="3"/>
  <c r="CZ148" i="3" s="1"/>
  <c r="DF161" i="3"/>
  <c r="DW163" i="3"/>
  <c r="DS165" i="3"/>
  <c r="DD165" i="3"/>
  <c r="DA168" i="3"/>
  <c r="F184" i="9"/>
  <c r="EO181" i="3"/>
  <c r="EC181" i="3"/>
  <c r="EM181" i="3"/>
  <c r="EL181" i="3"/>
  <c r="AK186" i="21" s="1"/>
  <c r="EK181" i="3"/>
  <c r="AH186" i="21" s="1"/>
  <c r="CK181" i="3"/>
  <c r="EJ181" i="3"/>
  <c r="AE186" i="21" s="1"/>
  <c r="CJ181" i="3"/>
  <c r="EG181" i="3"/>
  <c r="V186" i="21" s="1"/>
  <c r="CG181" i="3"/>
  <c r="EP181" i="3"/>
  <c r="EN181" i="3"/>
  <c r="AQ186" i="21" s="1"/>
  <c r="CQ181" i="3"/>
  <c r="EI181" i="3"/>
  <c r="EH181" i="3"/>
  <c r="Y186" i="21" s="1"/>
  <c r="EF181" i="3"/>
  <c r="S186" i="21" s="1"/>
  <c r="CI181" i="3"/>
  <c r="EE181" i="3"/>
  <c r="CH181" i="3"/>
  <c r="ED181" i="3"/>
  <c r="EQ181" i="3"/>
  <c r="CZ195" i="3"/>
  <c r="CY199" i="3"/>
  <c r="DA199" i="3" s="1"/>
  <c r="DS201" i="3"/>
  <c r="DD201" i="3"/>
  <c r="G153" i="8"/>
  <c r="C153" i="8"/>
  <c r="D153" i="8"/>
  <c r="B153" i="8"/>
  <c r="H153" i="8"/>
  <c r="E153" i="8"/>
  <c r="F153" i="8"/>
  <c r="AA72" i="5"/>
  <c r="G72" i="9" s="1"/>
  <c r="AA99" i="5"/>
  <c r="G99" i="9" s="1"/>
  <c r="AA182" i="5"/>
  <c r="G183" i="9" s="1"/>
  <c r="L35" i="6"/>
  <c r="AA35" i="6"/>
  <c r="H35" i="9" s="1"/>
  <c r="DA138" i="3"/>
  <c r="DU143" i="3"/>
  <c r="DW143" i="3" s="1"/>
  <c r="DS146" i="3"/>
  <c r="DA151" i="3"/>
  <c r="DX151" i="3" s="1"/>
  <c r="DU156" i="3"/>
  <c r="DW156" i="3" s="1"/>
  <c r="DS158" i="3"/>
  <c r="DT158" i="3" s="1"/>
  <c r="DA163" i="3"/>
  <c r="DA171" i="3"/>
  <c r="DS175" i="3"/>
  <c r="DD175" i="3"/>
  <c r="DA180" i="3"/>
  <c r="DX180" i="3" s="1"/>
  <c r="CY180" i="3"/>
  <c r="CY181" i="3"/>
  <c r="DA181" i="3" s="1"/>
  <c r="DX181" i="3" s="1"/>
  <c r="DY181" i="3" s="1"/>
  <c r="CX184" i="3"/>
  <c r="CZ184" i="3" s="1"/>
  <c r="DP187" i="3"/>
  <c r="DQ187" i="3" s="1"/>
  <c r="DS195" i="3"/>
  <c r="CD199" i="3"/>
  <c r="DM205" i="3"/>
  <c r="DL205" i="3"/>
  <c r="DK205" i="3"/>
  <c r="CE206" i="3"/>
  <c r="CD214" i="3"/>
  <c r="CX218" i="3"/>
  <c r="CZ218" i="3" s="1"/>
  <c r="AA196" i="5"/>
  <c r="G197" i="9" s="1"/>
  <c r="AA208" i="5"/>
  <c r="G209" i="9" s="1"/>
  <c r="AA41" i="6"/>
  <c r="H41" i="9" s="1"/>
  <c r="DP152" i="3"/>
  <c r="DQ152" i="3" s="1"/>
  <c r="DU159" i="3"/>
  <c r="DW159" i="3" s="1"/>
  <c r="DP164" i="3"/>
  <c r="DQ164" i="3" s="1"/>
  <c r="DP171" i="3"/>
  <c r="DQ171" i="3" s="1"/>
  <c r="DA173" i="3"/>
  <c r="DX173" i="3" s="1"/>
  <c r="DY173" i="3" s="1"/>
  <c r="DD174" i="3"/>
  <c r="DA190" i="3"/>
  <c r="CY193" i="3"/>
  <c r="DA193" i="3" s="1"/>
  <c r="DX193" i="3" s="1"/>
  <c r="DY193" i="3" s="1"/>
  <c r="DD198" i="3"/>
  <c r="DF204" i="3"/>
  <c r="CY206" i="3"/>
  <c r="DA206" i="3" s="1"/>
  <c r="DX206" i="3" s="1"/>
  <c r="DY206" i="3" s="1"/>
  <c r="DC207" i="3"/>
  <c r="DF207" i="3" s="1"/>
  <c r="DX207" i="3" s="1"/>
  <c r="DY207" i="3" s="1"/>
  <c r="CD212" i="3"/>
  <c r="CZ212" i="3"/>
  <c r="DP216" i="3"/>
  <c r="CD217" i="3"/>
  <c r="DF218" i="3"/>
  <c r="G144" i="8"/>
  <c r="C144" i="8"/>
  <c r="H144" i="8"/>
  <c r="F144" i="8"/>
  <c r="E144" i="8"/>
  <c r="D144" i="8"/>
  <c r="B144" i="8"/>
  <c r="AA3" i="5"/>
  <c r="G3" i="9" s="1"/>
  <c r="AA127" i="5"/>
  <c r="G127" i="9" s="1"/>
  <c r="AA143" i="5"/>
  <c r="G143" i="9" s="1"/>
  <c r="AA39" i="6"/>
  <c r="H39" i="9" s="1"/>
  <c r="AA176" i="6"/>
  <c r="H177" i="9" s="1"/>
  <c r="DF166" i="3"/>
  <c r="DX166" i="3" s="1"/>
  <c r="DY166" i="3" s="1"/>
  <c r="CD167" i="3"/>
  <c r="DB171" i="3"/>
  <c r="DC171" i="3" s="1"/>
  <c r="DS176" i="3"/>
  <c r="DT176" i="3" s="1"/>
  <c r="DD176" i="3"/>
  <c r="DP177" i="3"/>
  <c r="DQ177" i="3" s="1"/>
  <c r="DB177" i="3"/>
  <c r="DC177" i="3" s="1"/>
  <c r="DF177" i="3" s="1"/>
  <c r="DX177" i="3" s="1"/>
  <c r="DY177" i="3" s="1"/>
  <c r="DX183" i="3"/>
  <c r="DY183" i="3" s="1"/>
  <c r="CE202" i="3"/>
  <c r="CZ205" i="3"/>
  <c r="CX205" i="3"/>
  <c r="DW205" i="3"/>
  <c r="CX211" i="3"/>
  <c r="CZ211" i="3" s="1"/>
  <c r="DA212" i="3"/>
  <c r="DX212" i="3" s="1"/>
  <c r="CE215" i="3"/>
  <c r="AA46" i="5"/>
  <c r="G46" i="9" s="1"/>
  <c r="AA62" i="5"/>
  <c r="G62" i="9" s="1"/>
  <c r="AA73" i="6"/>
  <c r="H73" i="9" s="1"/>
  <c r="L73" i="6"/>
  <c r="DS171" i="3"/>
  <c r="DT171" i="3" s="1"/>
  <c r="DP178" i="3"/>
  <c r="DQ178" i="3" s="1"/>
  <c r="DB178" i="3"/>
  <c r="DC178" i="3" s="1"/>
  <c r="DF178" i="3" s="1"/>
  <c r="DP179" i="3"/>
  <c r="DQ179" i="3" s="1"/>
  <c r="DB179" i="3"/>
  <c r="DC179" i="3" s="1"/>
  <c r="DF179" i="3" s="1"/>
  <c r="CZ181" i="3"/>
  <c r="CX181" i="3"/>
  <c r="DU196" i="3"/>
  <c r="DW196" i="3" s="1"/>
  <c r="DP196" i="3"/>
  <c r="DQ196" i="3" s="1"/>
  <c r="CD205" i="3"/>
  <c r="CY205" i="3"/>
  <c r="DA205" i="3" s="1"/>
  <c r="DX205" i="3" s="1"/>
  <c r="DY205" i="3" s="1"/>
  <c r="DM208" i="3"/>
  <c r="DL208" i="3"/>
  <c r="DK208" i="3"/>
  <c r="DJ208" i="3"/>
  <c r="DS213" i="3"/>
  <c r="DT213" i="3" s="1"/>
  <c r="DD213" i="3"/>
  <c r="DF213" i="3" s="1"/>
  <c r="CZ215" i="3"/>
  <c r="CX215" i="3"/>
  <c r="AA133" i="5"/>
  <c r="G133" i="9" s="1"/>
  <c r="AA149" i="5"/>
  <c r="G149" i="9" s="1"/>
  <c r="AA206" i="5"/>
  <c r="G207" i="9" s="1"/>
  <c r="AA218" i="5"/>
  <c r="G220" i="9" s="1"/>
  <c r="AA16" i="6"/>
  <c r="H16" i="9" s="1"/>
  <c r="AA33" i="6"/>
  <c r="H33" i="9" s="1"/>
  <c r="AA149" i="6"/>
  <c r="H150" i="9" s="1"/>
  <c r="C155" i="8"/>
  <c r="G155" i="8"/>
  <c r="D155" i="8"/>
  <c r="I155" i="8" s="1"/>
  <c r="B155" i="8"/>
  <c r="H155" i="8"/>
  <c r="E155" i="8"/>
  <c r="AA3" i="7"/>
  <c r="I3" i="9" s="1"/>
  <c r="AA135" i="7"/>
  <c r="I137" i="9" s="1"/>
  <c r="DD142" i="3"/>
  <c r="DD155" i="3"/>
  <c r="DB168" i="3"/>
  <c r="DC168" i="3" s="1"/>
  <c r="DF168" i="3" s="1"/>
  <c r="DP168" i="3"/>
  <c r="DQ168" i="3" s="1"/>
  <c r="DF173" i="3"/>
  <c r="DS178" i="3"/>
  <c r="DT178" i="3" s="1"/>
  <c r="DD178" i="3"/>
  <c r="DM181" i="3"/>
  <c r="DL181" i="3"/>
  <c r="DK181" i="3"/>
  <c r="CD187" i="3"/>
  <c r="DS189" i="3"/>
  <c r="DF193" i="3"/>
  <c r="CD202" i="3"/>
  <c r="DF206" i="3"/>
  <c r="CD210" i="3"/>
  <c r="CY215" i="3"/>
  <c r="DA215" i="3"/>
  <c r="DX215" i="3" s="1"/>
  <c r="DS216" i="3"/>
  <c r="DD216" i="3"/>
  <c r="AA76" i="5"/>
  <c r="G76" i="9" s="1"/>
  <c r="AA136" i="5"/>
  <c r="G136" i="9" s="1"/>
  <c r="AA139" i="5"/>
  <c r="G139" i="9" s="1"/>
  <c r="AA212" i="5"/>
  <c r="G214" i="9" s="1"/>
  <c r="L212" i="5"/>
  <c r="AA43" i="6"/>
  <c r="H43" i="9" s="1"/>
  <c r="AA80" i="6"/>
  <c r="H80" i="9" s="1"/>
  <c r="AA86" i="6"/>
  <c r="H86" i="9" s="1"/>
  <c r="AA63" i="7"/>
  <c r="I64" i="9" s="1"/>
  <c r="AA69" i="7"/>
  <c r="I70" i="9" s="1"/>
  <c r="AA114" i="7"/>
  <c r="I115" i="9" s="1"/>
  <c r="DB134" i="3"/>
  <c r="DC134" i="3" s="1"/>
  <c r="DF134" i="3" s="1"/>
  <c r="CY137" i="3"/>
  <c r="DA137" i="3" s="1"/>
  <c r="DX137" i="3" s="1"/>
  <c r="DB145" i="3"/>
  <c r="DC145" i="3" s="1"/>
  <c r="CY149" i="3"/>
  <c r="DA149" i="3" s="1"/>
  <c r="DB158" i="3"/>
  <c r="DC158" i="3" s="1"/>
  <c r="DF158" i="3" s="1"/>
  <c r="CY161" i="3"/>
  <c r="DA161" i="3" s="1"/>
  <c r="DX161" i="3" s="1"/>
  <c r="DY161" i="3" s="1"/>
  <c r="CY170" i="3"/>
  <c r="DA170" i="3" s="1"/>
  <c r="DX170" i="3" s="1"/>
  <c r="DY170" i="3" s="1"/>
  <c r="DS173" i="3"/>
  <c r="CD175" i="3"/>
  <c r="DB175" i="3"/>
  <c r="DC175" i="3" s="1"/>
  <c r="CX176" i="3"/>
  <c r="CZ182" i="3"/>
  <c r="CX182" i="3"/>
  <c r="DP191" i="3"/>
  <c r="DQ191" i="3" s="1"/>
  <c r="DB191" i="3"/>
  <c r="DC191" i="3" s="1"/>
  <c r="DF191" i="3" s="1"/>
  <c r="DA194" i="3"/>
  <c r="CZ200" i="3"/>
  <c r="DA209" i="3"/>
  <c r="DX209" i="3" s="1"/>
  <c r="AA55" i="5"/>
  <c r="G55" i="9" s="1"/>
  <c r="AA60" i="5"/>
  <c r="G60" i="9" s="1"/>
  <c r="AA105" i="5"/>
  <c r="G105" i="9" s="1"/>
  <c r="AB61" i="6"/>
  <c r="AA211" i="6"/>
  <c r="H223" i="9" s="1"/>
  <c r="AA108" i="7"/>
  <c r="I109" i="9" s="1"/>
  <c r="DD144" i="3"/>
  <c r="DD157" i="3"/>
  <c r="DB159" i="3"/>
  <c r="DC159" i="3" s="1"/>
  <c r="DF159" i="3" s="1"/>
  <c r="DX159" i="3" s="1"/>
  <c r="DY159" i="3" s="1"/>
  <c r="CY162" i="3"/>
  <c r="DS168" i="3"/>
  <c r="DT168" i="3" s="1"/>
  <c r="DA178" i="3"/>
  <c r="DA179" i="3"/>
  <c r="DX179" i="3" s="1"/>
  <c r="DY179" i="3" s="1"/>
  <c r="DO181" i="3"/>
  <c r="CE183" i="3"/>
  <c r="DL187" i="3"/>
  <c r="DU188" i="3"/>
  <c r="DW188" i="3" s="1"/>
  <c r="DP188" i="3"/>
  <c r="DQ188" i="3" s="1"/>
  <c r="CZ192" i="3"/>
  <c r="DW201" i="3"/>
  <c r="DA202" i="3"/>
  <c r="CZ204" i="3"/>
  <c r="AA26" i="5"/>
  <c r="G26" i="9" s="1"/>
  <c r="AA29" i="5"/>
  <c r="G29" i="9" s="1"/>
  <c r="AA71" i="5"/>
  <c r="G71" i="9" s="1"/>
  <c r="AA108" i="5"/>
  <c r="G108" i="9" s="1"/>
  <c r="AA118" i="5"/>
  <c r="G118" i="9" s="1"/>
  <c r="AA178" i="5"/>
  <c r="G178" i="9" s="1"/>
  <c r="AA210" i="5"/>
  <c r="G211" i="9" s="1"/>
  <c r="AA28" i="6"/>
  <c r="H28" i="9" s="1"/>
  <c r="AA31" i="6"/>
  <c r="H31" i="9" s="1"/>
  <c r="AA49" i="6"/>
  <c r="H49" i="9" s="1"/>
  <c r="AA150" i="6"/>
  <c r="H151" i="9" s="1"/>
  <c r="AA28" i="7"/>
  <c r="I28" i="9" s="1"/>
  <c r="AA105" i="7"/>
  <c r="I106" i="9" s="1"/>
  <c r="F155" i="8"/>
  <c r="DB148" i="3"/>
  <c r="DC148" i="3" s="1"/>
  <c r="DF148" i="3" s="1"/>
  <c r="DB160" i="3"/>
  <c r="DC160" i="3" s="1"/>
  <c r="DF160" i="3" s="1"/>
  <c r="DS177" i="3"/>
  <c r="DT177" i="3" s="1"/>
  <c r="DA187" i="3"/>
  <c r="DA189" i="3"/>
  <c r="DA191" i="3"/>
  <c r="DX191" i="3" s="1"/>
  <c r="DY191" i="3" s="1"/>
  <c r="DA192" i="3"/>
  <c r="DX192" i="3" s="1"/>
  <c r="DY192" i="3" s="1"/>
  <c r="DJ199" i="3"/>
  <c r="DM199" i="3"/>
  <c r="DP202" i="3"/>
  <c r="DB202" i="3"/>
  <c r="DC202" i="3" s="1"/>
  <c r="DP203" i="3"/>
  <c r="DQ203" i="3" s="1"/>
  <c r="DB203" i="3"/>
  <c r="DC203" i="3" s="1"/>
  <c r="DF203" i="3" s="1"/>
  <c r="DU203" i="3"/>
  <c r="DW203" i="3" s="1"/>
  <c r="DA203" i="3"/>
  <c r="CZ208" i="3"/>
  <c r="CX208" i="3"/>
  <c r="DW208" i="3"/>
  <c r="DS211" i="3"/>
  <c r="DD211" i="3"/>
  <c r="DF211" i="3" s="1"/>
  <c r="DX211" i="3"/>
  <c r="CX214" i="3"/>
  <c r="CZ214" i="3" s="1"/>
  <c r="AA63" i="5"/>
  <c r="G63" i="9" s="1"/>
  <c r="AA123" i="5"/>
  <c r="G123" i="9" s="1"/>
  <c r="AA153" i="5"/>
  <c r="G153" i="9" s="1"/>
  <c r="AA37" i="6"/>
  <c r="H37" i="9" s="1"/>
  <c r="AA78" i="6"/>
  <c r="H78" i="9" s="1"/>
  <c r="AB78" i="6"/>
  <c r="AA139" i="6"/>
  <c r="H140" i="9" s="1"/>
  <c r="AA169" i="6"/>
  <c r="H170" i="9" s="1"/>
  <c r="DU177" i="3"/>
  <c r="DW177" i="3" s="1"/>
  <c r="DU178" i="3"/>
  <c r="DW178" i="3" s="1"/>
  <c r="DF185" i="3"/>
  <c r="DS187" i="3"/>
  <c r="DD187" i="3"/>
  <c r="DF187" i="3" s="1"/>
  <c r="CZ193" i="3"/>
  <c r="CX193" i="3"/>
  <c r="DF194" i="3"/>
  <c r="DX195" i="3"/>
  <c r="DY195" i="3" s="1"/>
  <c r="DB196" i="3"/>
  <c r="DC196" i="3" s="1"/>
  <c r="DF196" i="3" s="1"/>
  <c r="DX196" i="3" s="1"/>
  <c r="DY196" i="3" s="1"/>
  <c r="DU198" i="3"/>
  <c r="DW198" i="3" s="1"/>
  <c r="DB198" i="3"/>
  <c r="DC198" i="3" s="1"/>
  <c r="CZ199" i="3"/>
  <c r="DS202" i="3"/>
  <c r="DD202" i="3"/>
  <c r="CZ207" i="3"/>
  <c r="CX207" i="3"/>
  <c r="DX208" i="3"/>
  <c r="DY208" i="3" s="1"/>
  <c r="DD210" i="3"/>
  <c r="DF210" i="3" s="1"/>
  <c r="DX210" i="3" s="1"/>
  <c r="DS210" i="3"/>
  <c r="DF215" i="3"/>
  <c r="DB216" i="3"/>
  <c r="DC216" i="3" s="1"/>
  <c r="DF216" i="3" s="1"/>
  <c r="DX216" i="3" s="1"/>
  <c r="AA10" i="5"/>
  <c r="G10" i="9" s="1"/>
  <c r="AA82" i="5"/>
  <c r="G82" i="9" s="1"/>
  <c r="AA98" i="5"/>
  <c r="G98" i="9" s="1"/>
  <c r="AA126" i="5"/>
  <c r="G126" i="9" s="1"/>
  <c r="AA137" i="5"/>
  <c r="G137" i="9" s="1"/>
  <c r="AA159" i="5"/>
  <c r="G159" i="9" s="1"/>
  <c r="AA14" i="6"/>
  <c r="H14" i="9" s="1"/>
  <c r="AA175" i="6"/>
  <c r="H176" i="9" s="1"/>
  <c r="CE204" i="3"/>
  <c r="CX210" i="3"/>
  <c r="CZ210" i="3" s="1"/>
  <c r="CX213" i="3"/>
  <c r="CZ213" i="3" s="1"/>
  <c r="AA65" i="5"/>
  <c r="G65" i="9" s="1"/>
  <c r="AA101" i="5"/>
  <c r="G101" i="9" s="1"/>
  <c r="AA112" i="5"/>
  <c r="G112" i="9" s="1"/>
  <c r="AA63" i="6"/>
  <c r="H63" i="9" s="1"/>
  <c r="AA97" i="6"/>
  <c r="H97" i="9" s="1"/>
  <c r="AA52" i="7"/>
  <c r="I53" i="9" s="1"/>
  <c r="AA175" i="7"/>
  <c r="I179" i="9" s="1"/>
  <c r="CE212" i="3"/>
  <c r="DB217" i="3"/>
  <c r="DC217" i="3" s="1"/>
  <c r="DF217" i="3" s="1"/>
  <c r="DX217" i="3" s="1"/>
  <c r="DY217" i="3" s="1"/>
  <c r="DP217" i="3"/>
  <c r="DQ217" i="3" s="1"/>
  <c r="AA11" i="5"/>
  <c r="G11" i="9" s="1"/>
  <c r="AA27" i="5"/>
  <c r="G27" i="9" s="1"/>
  <c r="AA36" i="5"/>
  <c r="G36" i="9" s="1"/>
  <c r="AA38" i="5"/>
  <c r="G38" i="9" s="1"/>
  <c r="AA47" i="5"/>
  <c r="G47" i="9" s="1"/>
  <c r="AA70" i="5"/>
  <c r="G70" i="9" s="1"/>
  <c r="AA83" i="5"/>
  <c r="G83" i="9" s="1"/>
  <c r="AA106" i="5"/>
  <c r="G106" i="9" s="1"/>
  <c r="AA158" i="5"/>
  <c r="G158" i="9" s="1"/>
  <c r="AA3" i="6"/>
  <c r="H3" i="9" s="1"/>
  <c r="G145" i="8"/>
  <c r="C145" i="8"/>
  <c r="D145" i="8"/>
  <c r="I145" i="8" s="1"/>
  <c r="B145" i="8"/>
  <c r="H145" i="8"/>
  <c r="F145" i="8"/>
  <c r="E145" i="8"/>
  <c r="AA84" i="6"/>
  <c r="H84" i="9" s="1"/>
  <c r="AA18" i="7"/>
  <c r="I18" i="9" s="1"/>
  <c r="AA66" i="7"/>
  <c r="I67" i="9" s="1"/>
  <c r="AA102" i="7"/>
  <c r="I103" i="9" s="1"/>
  <c r="DF208" i="3"/>
  <c r="AA15" i="5"/>
  <c r="G15" i="9" s="1"/>
  <c r="AA51" i="5"/>
  <c r="G51" i="9" s="1"/>
  <c r="AA87" i="5"/>
  <c r="G87" i="9" s="1"/>
  <c r="AA114" i="5"/>
  <c r="G114" i="9" s="1"/>
  <c r="AA132" i="5"/>
  <c r="G132" i="9" s="1"/>
  <c r="AA174" i="5"/>
  <c r="G174" i="9" s="1"/>
  <c r="AA216" i="5"/>
  <c r="G218" i="9" s="1"/>
  <c r="B154" i="8"/>
  <c r="AA82" i="6"/>
  <c r="H82" i="9" s="1"/>
  <c r="AA93" i="6"/>
  <c r="H93" i="9" s="1"/>
  <c r="AA104" i="6"/>
  <c r="H104" i="9" s="1"/>
  <c r="AA127" i="7"/>
  <c r="I128" i="9" s="1"/>
  <c r="DB189" i="3"/>
  <c r="DC189" i="3" s="1"/>
  <c r="DF189" i="3" s="1"/>
  <c r="CY192" i="3"/>
  <c r="DD199" i="3"/>
  <c r="DF199" i="3" s="1"/>
  <c r="DP200" i="3"/>
  <c r="DQ200" i="3" s="1"/>
  <c r="DB201" i="3"/>
  <c r="DC201" i="3" s="1"/>
  <c r="DF201" i="3" s="1"/>
  <c r="CY204" i="3"/>
  <c r="DA204" i="3" s="1"/>
  <c r="DX204" i="3" s="1"/>
  <c r="AA8" i="5"/>
  <c r="G8" i="9" s="1"/>
  <c r="AA33" i="5"/>
  <c r="G33" i="9" s="1"/>
  <c r="AA44" i="5"/>
  <c r="G44" i="9" s="1"/>
  <c r="AA64" i="5"/>
  <c r="G64" i="9" s="1"/>
  <c r="AA67" i="5"/>
  <c r="G67" i="9" s="1"/>
  <c r="AA73" i="5"/>
  <c r="G73" i="9" s="1"/>
  <c r="AA80" i="5"/>
  <c r="G80" i="9" s="1"/>
  <c r="AA103" i="5"/>
  <c r="G103" i="9" s="1"/>
  <c r="AA109" i="5"/>
  <c r="G109" i="9" s="1"/>
  <c r="AA131" i="5"/>
  <c r="G131" i="9" s="1"/>
  <c r="AA141" i="5"/>
  <c r="G141" i="9" s="1"/>
  <c r="AA161" i="5"/>
  <c r="G161" i="9" s="1"/>
  <c r="AA176" i="5"/>
  <c r="G176" i="9" s="1"/>
  <c r="AA184" i="5"/>
  <c r="G185" i="9" s="1"/>
  <c r="AA194" i="5"/>
  <c r="G195" i="9" s="1"/>
  <c r="AA214" i="5"/>
  <c r="G216" i="9" s="1"/>
  <c r="AA20" i="6"/>
  <c r="H20" i="9" s="1"/>
  <c r="AB25" i="6"/>
  <c r="AA25" i="6"/>
  <c r="H25" i="9" s="1"/>
  <c r="AA47" i="6"/>
  <c r="H47" i="9" s="1"/>
  <c r="AA55" i="6"/>
  <c r="H55" i="9" s="1"/>
  <c r="AA64" i="6"/>
  <c r="H64" i="9" s="1"/>
  <c r="AA95" i="6"/>
  <c r="H95" i="9" s="1"/>
  <c r="AA124" i="6"/>
  <c r="H124" i="9" s="1"/>
  <c r="AA135" i="6"/>
  <c r="H136" i="9" s="1"/>
  <c r="AA137" i="6"/>
  <c r="H138" i="9" s="1"/>
  <c r="AA200" i="6"/>
  <c r="H201" i="9" s="1"/>
  <c r="AA205" i="6"/>
  <c r="H217" i="9" s="1"/>
  <c r="AA19" i="7"/>
  <c r="I19" i="9" s="1"/>
  <c r="AA53" i="7"/>
  <c r="I54" i="9" s="1"/>
  <c r="AA111" i="7"/>
  <c r="I112" i="9" s="1"/>
  <c r="DD188" i="3"/>
  <c r="DF188" i="3" s="1"/>
  <c r="DX188" i="3" s="1"/>
  <c r="DY188" i="3" s="1"/>
  <c r="DD200" i="3"/>
  <c r="DF200" i="3" s="1"/>
  <c r="DX200" i="3" s="1"/>
  <c r="DY200" i="3" s="1"/>
  <c r="AA21" i="6"/>
  <c r="H21" i="9" s="1"/>
  <c r="AA27" i="6"/>
  <c r="H27" i="9" s="1"/>
  <c r="AB27" i="6"/>
  <c r="AA96" i="6"/>
  <c r="H96" i="9" s="1"/>
  <c r="AA115" i="6"/>
  <c r="H115" i="9" s="1"/>
  <c r="AA133" i="6"/>
  <c r="H134" i="9" s="1"/>
  <c r="AA196" i="6"/>
  <c r="H197" i="9" s="1"/>
  <c r="AA106" i="7"/>
  <c r="I107" i="9" s="1"/>
  <c r="AA219" i="5"/>
  <c r="G221" i="9" s="1"/>
  <c r="AA6" i="6"/>
  <c r="H6" i="9" s="1"/>
  <c r="AA8" i="6"/>
  <c r="H8" i="9" s="1"/>
  <c r="AA29" i="6"/>
  <c r="H29" i="9" s="1"/>
  <c r="L29" i="6"/>
  <c r="AA172" i="6"/>
  <c r="H173" i="9" s="1"/>
  <c r="AA7" i="7"/>
  <c r="I7" i="9" s="1"/>
  <c r="AA36" i="7"/>
  <c r="I37" i="9" s="1"/>
  <c r="AA58" i="7"/>
  <c r="I59" i="9" s="1"/>
  <c r="AA65" i="7"/>
  <c r="I66" i="9" s="1"/>
  <c r="AA128" i="7"/>
  <c r="I129" i="9" s="1"/>
  <c r="DJ217" i="3"/>
  <c r="DB218" i="3"/>
  <c r="DC218" i="3" s="1"/>
  <c r="AA39" i="5"/>
  <c r="G39" i="9" s="1"/>
  <c r="AA75" i="5"/>
  <c r="G75" i="9" s="1"/>
  <c r="AA135" i="5"/>
  <c r="G135" i="9" s="1"/>
  <c r="AA145" i="5"/>
  <c r="G145" i="9" s="1"/>
  <c r="AA147" i="5"/>
  <c r="G147" i="9" s="1"/>
  <c r="AA179" i="5"/>
  <c r="G180" i="9" s="1"/>
  <c r="AA189" i="5"/>
  <c r="G190" i="9" s="1"/>
  <c r="AA211" i="5"/>
  <c r="G213" i="9" s="1"/>
  <c r="AA19" i="6"/>
  <c r="H19" i="9" s="1"/>
  <c r="L23" i="6"/>
  <c r="AA36" i="6"/>
  <c r="H36" i="9" s="1"/>
  <c r="AA56" i="6"/>
  <c r="H56" i="9" s="1"/>
  <c r="AA81" i="6"/>
  <c r="H81" i="9" s="1"/>
  <c r="AA90" i="6"/>
  <c r="H90" i="9" s="1"/>
  <c r="AA122" i="6"/>
  <c r="H122" i="9" s="1"/>
  <c r="AA142" i="6"/>
  <c r="H143" i="9" s="1"/>
  <c r="AA68" i="7"/>
  <c r="I69" i="9" s="1"/>
  <c r="AA75" i="7"/>
  <c r="I76" i="9" s="1"/>
  <c r="AA198" i="7"/>
  <c r="I202" i="9" s="1"/>
  <c r="AA199" i="5"/>
  <c r="G200" i="9" s="1"/>
  <c r="AA213" i="5"/>
  <c r="G215" i="9" s="1"/>
  <c r="AA88" i="6"/>
  <c r="H88" i="9" s="1"/>
  <c r="AA151" i="6"/>
  <c r="H152" i="9" s="1"/>
  <c r="AA5" i="7"/>
  <c r="I5" i="9" s="1"/>
  <c r="H146" i="8"/>
  <c r="F146" i="8"/>
  <c r="E146" i="8"/>
  <c r="D146" i="8"/>
  <c r="I146" i="8" s="1"/>
  <c r="B146" i="8"/>
  <c r="AB5" i="7"/>
  <c r="DA213" i="3"/>
  <c r="DM217" i="3"/>
  <c r="DD218" i="3"/>
  <c r="AA4" i="5"/>
  <c r="G4" i="9" s="1"/>
  <c r="AA18" i="5"/>
  <c r="G18" i="9" s="1"/>
  <c r="AA21" i="5"/>
  <c r="G21" i="9" s="1"/>
  <c r="AA54" i="5"/>
  <c r="G54" i="9" s="1"/>
  <c r="AA57" i="5"/>
  <c r="G57" i="9" s="1"/>
  <c r="AA66" i="5"/>
  <c r="G66" i="9" s="1"/>
  <c r="AA90" i="5"/>
  <c r="G90" i="9" s="1"/>
  <c r="AA93" i="5"/>
  <c r="G93" i="9" s="1"/>
  <c r="AA102" i="5"/>
  <c r="G102" i="9" s="1"/>
  <c r="AA134" i="5"/>
  <c r="G134" i="9" s="1"/>
  <c r="AA150" i="5"/>
  <c r="G150" i="9" s="1"/>
  <c r="AA156" i="5"/>
  <c r="G156" i="9" s="1"/>
  <c r="AA191" i="5"/>
  <c r="G192" i="9" s="1"/>
  <c r="AB21" i="6"/>
  <c r="AA30" i="6"/>
  <c r="H30" i="9" s="1"/>
  <c r="AB30" i="6"/>
  <c r="AA50" i="6"/>
  <c r="H50" i="9" s="1"/>
  <c r="AA75" i="6"/>
  <c r="H75" i="9" s="1"/>
  <c r="AA136" i="6"/>
  <c r="H137" i="9" s="1"/>
  <c r="AA194" i="6"/>
  <c r="H195" i="9" s="1"/>
  <c r="AA12" i="7"/>
  <c r="I12" i="9" s="1"/>
  <c r="AA20" i="7"/>
  <c r="I20" i="9" s="1"/>
  <c r="AA51" i="7"/>
  <c r="I52" i="9" s="1"/>
  <c r="AA134" i="7"/>
  <c r="I136" i="9" s="1"/>
  <c r="AA148" i="7"/>
  <c r="I150" i="9" s="1"/>
  <c r="AA177" i="7"/>
  <c r="I181" i="9" s="1"/>
  <c r="AA168" i="7"/>
  <c r="I171" i="9" s="1"/>
  <c r="AA209" i="7"/>
  <c r="I214" i="9" s="1"/>
  <c r="AA22" i="6"/>
  <c r="H22" i="9" s="1"/>
  <c r="AA72" i="6"/>
  <c r="H72" i="9" s="1"/>
  <c r="AA79" i="6"/>
  <c r="H79" i="9" s="1"/>
  <c r="AA99" i="6"/>
  <c r="H99" i="9" s="1"/>
  <c r="AA108" i="6"/>
  <c r="H108" i="9" s="1"/>
  <c r="AA117" i="6"/>
  <c r="H117" i="9" s="1"/>
  <c r="AA126" i="6"/>
  <c r="H126" i="9" s="1"/>
  <c r="AA153" i="6"/>
  <c r="H154" i="9" s="1"/>
  <c r="AA160" i="6"/>
  <c r="H161" i="9" s="1"/>
  <c r="AA178" i="6"/>
  <c r="H179" i="9" s="1"/>
  <c r="AA187" i="6"/>
  <c r="H188" i="9" s="1"/>
  <c r="AA22" i="7"/>
  <c r="I22" i="9" s="1"/>
  <c r="AA39" i="7"/>
  <c r="I40" i="9" s="1"/>
  <c r="AA41" i="7"/>
  <c r="I42" i="9" s="1"/>
  <c r="AA54" i="7"/>
  <c r="I55" i="9" s="1"/>
  <c r="AA56" i="7"/>
  <c r="I57" i="9" s="1"/>
  <c r="AA71" i="7"/>
  <c r="I72" i="9" s="1"/>
  <c r="AA77" i="7"/>
  <c r="I78" i="9" s="1"/>
  <c r="AA120" i="7"/>
  <c r="I121" i="9" s="1"/>
  <c r="AA126" i="7"/>
  <c r="I127" i="9" s="1"/>
  <c r="AA132" i="7"/>
  <c r="I134" i="9" s="1"/>
  <c r="AA142" i="7"/>
  <c r="I144" i="9" s="1"/>
  <c r="AA162" i="7"/>
  <c r="I164" i="9" s="1"/>
  <c r="G154" i="8"/>
  <c r="C154" i="8"/>
  <c r="H154" i="8"/>
  <c r="F154" i="8"/>
  <c r="E154" i="8"/>
  <c r="D154" i="8"/>
  <c r="AA12" i="6"/>
  <c r="H12" i="9" s="1"/>
  <c r="AA57" i="6"/>
  <c r="H57" i="9" s="1"/>
  <c r="AA69" i="6"/>
  <c r="H69" i="9" s="1"/>
  <c r="AA74" i="6"/>
  <c r="H74" i="9" s="1"/>
  <c r="AA77" i="6"/>
  <c r="H77" i="9" s="1"/>
  <c r="AA103" i="6"/>
  <c r="H103" i="9" s="1"/>
  <c r="AA121" i="6"/>
  <c r="H121" i="9" s="1"/>
  <c r="AA157" i="6"/>
  <c r="H158" i="9" s="1"/>
  <c r="AA185" i="6"/>
  <c r="H186" i="9" s="1"/>
  <c r="AA198" i="6"/>
  <c r="H199" i="9" s="1"/>
  <c r="AA2" i="7"/>
  <c r="I2" i="9" s="1"/>
  <c r="AA32" i="7"/>
  <c r="I33" i="9" s="1"/>
  <c r="AA47" i="7"/>
  <c r="I48" i="9" s="1"/>
  <c r="AA49" i="7"/>
  <c r="I50" i="9" s="1"/>
  <c r="AA62" i="7"/>
  <c r="I63" i="9" s="1"/>
  <c r="AA64" i="7"/>
  <c r="I65" i="9" s="1"/>
  <c r="AA87" i="7"/>
  <c r="I88" i="9" s="1"/>
  <c r="AA101" i="7"/>
  <c r="I102" i="9" s="1"/>
  <c r="AA103" i="7"/>
  <c r="I104" i="9" s="1"/>
  <c r="AA109" i="7"/>
  <c r="I110" i="9" s="1"/>
  <c r="AA169" i="7"/>
  <c r="I172" i="9" s="1"/>
  <c r="AA190" i="7"/>
  <c r="I194" i="9" s="1"/>
  <c r="AA210" i="7"/>
  <c r="I215" i="9" s="1"/>
  <c r="AA183" i="5"/>
  <c r="G184" i="9" s="1"/>
  <c r="AA195" i="5"/>
  <c r="G196" i="9" s="1"/>
  <c r="AA38" i="6"/>
  <c r="H38" i="9" s="1"/>
  <c r="AA45" i="6"/>
  <c r="H45" i="9" s="1"/>
  <c r="AA85" i="6"/>
  <c r="H85" i="9" s="1"/>
  <c r="AA132" i="6"/>
  <c r="H132" i="9" s="1"/>
  <c r="AA193" i="6"/>
  <c r="H194" i="9" s="1"/>
  <c r="AA15" i="7"/>
  <c r="I15" i="9" s="1"/>
  <c r="AA17" i="7"/>
  <c r="I17" i="9" s="1"/>
  <c r="AA34" i="7"/>
  <c r="I35" i="9" s="1"/>
  <c r="AA107" i="7"/>
  <c r="I108" i="9" s="1"/>
  <c r="AA113" i="7"/>
  <c r="I114" i="9" s="1"/>
  <c r="AA115" i="7"/>
  <c r="I116" i="9" s="1"/>
  <c r="AA121" i="7"/>
  <c r="I122" i="9" s="1"/>
  <c r="AA133" i="7"/>
  <c r="I135" i="9" s="1"/>
  <c r="AA163" i="7"/>
  <c r="I165" i="9" s="1"/>
  <c r="AA192" i="7"/>
  <c r="I196" i="9" s="1"/>
  <c r="AA199" i="7"/>
  <c r="I203" i="9" s="1"/>
  <c r="AA180" i="5"/>
  <c r="G181" i="9" s="1"/>
  <c r="AA192" i="5"/>
  <c r="G193" i="9" s="1"/>
  <c r="AA200" i="5"/>
  <c r="G201" i="9" s="1"/>
  <c r="AA204" i="5"/>
  <c r="G205" i="9" s="1"/>
  <c r="AA9" i="6"/>
  <c r="H9" i="9" s="1"/>
  <c r="AA42" i="6"/>
  <c r="H42" i="9" s="1"/>
  <c r="AA54" i="6"/>
  <c r="H54" i="9" s="1"/>
  <c r="AB57" i="6"/>
  <c r="AA91" i="6"/>
  <c r="H91" i="9" s="1"/>
  <c r="AA100" i="6"/>
  <c r="H100" i="9" s="1"/>
  <c r="AA116" i="6"/>
  <c r="H116" i="9" s="1"/>
  <c r="AA118" i="6"/>
  <c r="H118" i="9" s="1"/>
  <c r="AA138" i="6"/>
  <c r="H139" i="9" s="1"/>
  <c r="AA145" i="6"/>
  <c r="H146" i="9" s="1"/>
  <c r="AA154" i="6"/>
  <c r="H155" i="9" s="1"/>
  <c r="AA168" i="6"/>
  <c r="H169" i="9" s="1"/>
  <c r="AA173" i="6"/>
  <c r="H174" i="9" s="1"/>
  <c r="AA204" i="6"/>
  <c r="H215" i="9" s="1"/>
  <c r="AA209" i="6"/>
  <c r="H221" i="9" s="1"/>
  <c r="AA21" i="7"/>
  <c r="I21" i="9" s="1"/>
  <c r="AA44" i="7"/>
  <c r="I45" i="9" s="1"/>
  <c r="AA59" i="7"/>
  <c r="I60" i="9" s="1"/>
  <c r="AA72" i="7"/>
  <c r="I73" i="9" s="1"/>
  <c r="AA80" i="7"/>
  <c r="I81" i="9" s="1"/>
  <c r="AA129" i="7"/>
  <c r="I130" i="9" s="1"/>
  <c r="AA149" i="7"/>
  <c r="I151" i="9" s="1"/>
  <c r="AA153" i="7"/>
  <c r="I155" i="9" s="1"/>
  <c r="AA180" i="7"/>
  <c r="I184" i="9" s="1"/>
  <c r="AA197" i="7"/>
  <c r="I201" i="9" s="1"/>
  <c r="AA129" i="6"/>
  <c r="H129" i="9" s="1"/>
  <c r="AA163" i="6"/>
  <c r="H164" i="9" s="1"/>
  <c r="AA181" i="6"/>
  <c r="H182" i="9" s="1"/>
  <c r="AA190" i="6"/>
  <c r="H191" i="9" s="1"/>
  <c r="AA10" i="7"/>
  <c r="I10" i="9" s="1"/>
  <c r="AA27" i="7"/>
  <c r="I27" i="9" s="1"/>
  <c r="AA29" i="7"/>
  <c r="I29" i="9" s="1"/>
  <c r="AA57" i="7"/>
  <c r="I58" i="9" s="1"/>
  <c r="AA61" i="7"/>
  <c r="I62" i="9" s="1"/>
  <c r="AA82" i="7"/>
  <c r="I83" i="9" s="1"/>
  <c r="AA86" i="7"/>
  <c r="I87" i="9" s="1"/>
  <c r="AA88" i="7"/>
  <c r="I89" i="9" s="1"/>
  <c r="AA92" i="7"/>
  <c r="I93" i="9" s="1"/>
  <c r="AA94" i="7"/>
  <c r="I95" i="9" s="1"/>
  <c r="AA141" i="7"/>
  <c r="I143" i="9" s="1"/>
  <c r="AA147" i="7"/>
  <c r="I149" i="9" s="1"/>
  <c r="AA199" i="6"/>
  <c r="H200" i="9" s="1"/>
  <c r="AA208" i="6"/>
  <c r="H220" i="9" s="1"/>
  <c r="AA14" i="7"/>
  <c r="I14" i="9" s="1"/>
  <c r="AA16" i="7"/>
  <c r="I16" i="9" s="1"/>
  <c r="AA31" i="7"/>
  <c r="I32" i="9" s="1"/>
  <c r="AA46" i="7"/>
  <c r="I47" i="9" s="1"/>
  <c r="AA84" i="7"/>
  <c r="I85" i="9" s="1"/>
  <c r="AA90" i="7"/>
  <c r="I91" i="9" s="1"/>
  <c r="AA98" i="7"/>
  <c r="I99" i="9" s="1"/>
  <c r="AA100" i="7"/>
  <c r="I101" i="9" s="1"/>
  <c r="AA104" i="7"/>
  <c r="I105" i="9" s="1"/>
  <c r="AA174" i="7"/>
  <c r="I178" i="9" s="1"/>
  <c r="AA204" i="7"/>
  <c r="I208" i="9" s="1"/>
  <c r="AA202" i="7"/>
  <c r="I206" i="9" s="1"/>
  <c r="AA214" i="7"/>
  <c r="I221" i="9" s="1"/>
  <c r="T44" i="14"/>
  <c r="S44" i="14"/>
  <c r="R44" i="14"/>
  <c r="AA207" i="5"/>
  <c r="G208" i="9" s="1"/>
  <c r="AA24" i="6"/>
  <c r="H24" i="9" s="1"/>
  <c r="AA60" i="6"/>
  <c r="H60" i="9" s="1"/>
  <c r="AA87" i="6"/>
  <c r="H87" i="9" s="1"/>
  <c r="AA105" i="6"/>
  <c r="H105" i="9" s="1"/>
  <c r="AA123" i="6"/>
  <c r="H123" i="9" s="1"/>
  <c r="AA141" i="6"/>
  <c r="H142" i="9" s="1"/>
  <c r="AA159" i="6"/>
  <c r="H160" i="9" s="1"/>
  <c r="AA177" i="6"/>
  <c r="H178" i="9" s="1"/>
  <c r="AA195" i="6"/>
  <c r="H196" i="9" s="1"/>
  <c r="AA179" i="7"/>
  <c r="I183" i="9" s="1"/>
  <c r="AA203" i="7"/>
  <c r="I207" i="9" s="1"/>
  <c r="S43" i="14"/>
  <c r="R43" i="14"/>
  <c r="T43" i="14"/>
  <c r="AV47" i="14"/>
  <c r="Y47" i="14"/>
  <c r="BA47" i="14"/>
  <c r="AD47" i="14"/>
  <c r="T53" i="14"/>
  <c r="S53" i="14"/>
  <c r="R53" i="14"/>
  <c r="AA198" i="5"/>
  <c r="G199" i="9" s="1"/>
  <c r="AA15" i="6"/>
  <c r="H15" i="9" s="1"/>
  <c r="AA51" i="6"/>
  <c r="H51" i="9" s="1"/>
  <c r="AA94" i="6"/>
  <c r="H94" i="9" s="1"/>
  <c r="AA112" i="6"/>
  <c r="H112" i="9" s="1"/>
  <c r="AA130" i="6"/>
  <c r="H130" i="9" s="1"/>
  <c r="AA148" i="6"/>
  <c r="H149" i="9" s="1"/>
  <c r="AA166" i="6"/>
  <c r="H167" i="9" s="1"/>
  <c r="AA184" i="6"/>
  <c r="H185" i="9" s="1"/>
  <c r="AA202" i="6"/>
  <c r="H203" i="9" s="1"/>
  <c r="C146" i="8"/>
  <c r="M225" i="9"/>
  <c r="R7" i="14"/>
  <c r="T7" i="14"/>
  <c r="S7" i="14"/>
  <c r="T23" i="14"/>
  <c r="S23" i="14"/>
  <c r="R23" i="14"/>
  <c r="T26" i="14"/>
  <c r="S26" i="14"/>
  <c r="R26" i="14"/>
  <c r="S49" i="14"/>
  <c r="R49" i="14"/>
  <c r="T49" i="14"/>
  <c r="G146" i="8"/>
  <c r="W66" i="13"/>
  <c r="V66" i="13"/>
  <c r="V41" i="13"/>
  <c r="X36" i="13"/>
  <c r="U66" i="13"/>
  <c r="X61" i="13"/>
  <c r="U41" i="13"/>
  <c r="W36" i="13"/>
  <c r="V61" i="13"/>
  <c r="V36" i="13"/>
  <c r="U61" i="13"/>
  <c r="X56" i="13"/>
  <c r="U36" i="13"/>
  <c r="U56" i="13"/>
  <c r="W51" i="13"/>
  <c r="X71" i="13"/>
  <c r="X46" i="13"/>
  <c r="W71" i="13"/>
  <c r="W74" i="13" s="1"/>
  <c r="V46" i="13"/>
  <c r="U51" i="13"/>
  <c r="P94" i="13"/>
  <c r="X76" i="13"/>
  <c r="AG83" i="14"/>
  <c r="AL83" i="14"/>
  <c r="U76" i="13"/>
  <c r="N90" i="13"/>
  <c r="V56" i="13"/>
  <c r="R22" i="14"/>
  <c r="T22" i="14"/>
  <c r="S22" i="14"/>
  <c r="R29" i="14"/>
  <c r="T29" i="14"/>
  <c r="S29" i="14"/>
  <c r="T41" i="14"/>
  <c r="S41" i="14"/>
  <c r="R41" i="14"/>
  <c r="S37" i="14"/>
  <c r="R37" i="14"/>
  <c r="T37" i="14"/>
  <c r="T13" i="12"/>
  <c r="Y13" i="12" s="1"/>
  <c r="R13" i="12"/>
  <c r="W13" i="12" s="1"/>
  <c r="U13" i="12"/>
  <c r="Z13" i="12" s="1"/>
  <c r="S13" i="12"/>
  <c r="X13" i="12" s="1"/>
  <c r="V49" i="13"/>
  <c r="P89" i="13"/>
  <c r="X51" i="13"/>
  <c r="M216" i="9"/>
  <c r="CS215" i="1" s="1"/>
  <c r="U11" i="12"/>
  <c r="Z11" i="12" s="1"/>
  <c r="T11" i="12"/>
  <c r="Y11" i="12" s="1"/>
  <c r="S11" i="12"/>
  <c r="X11" i="12" s="1"/>
  <c r="R11" i="12"/>
  <c r="W11" i="12" s="1"/>
  <c r="X69" i="13"/>
  <c r="V74" i="13"/>
  <c r="Q15" i="14"/>
  <c r="N25" i="14"/>
  <c r="Q25" i="14" s="1"/>
  <c r="O90" i="13"/>
  <c r="W56" i="13"/>
  <c r="Q46" i="14"/>
  <c r="U75" i="13"/>
  <c r="M93" i="13"/>
  <c r="X79" i="13"/>
  <c r="R13" i="14"/>
  <c r="S13" i="14"/>
  <c r="S36" i="14"/>
  <c r="R36" i="14"/>
  <c r="T36" i="14"/>
  <c r="Q48" i="14"/>
  <c r="S52" i="14"/>
  <c r="R52" i="14"/>
  <c r="T52" i="14"/>
  <c r="S56" i="14"/>
  <c r="T56" i="14"/>
  <c r="R56" i="14"/>
  <c r="N87" i="13"/>
  <c r="O92" i="13"/>
  <c r="Q16" i="14"/>
  <c r="T76" i="14"/>
  <c r="R76" i="14"/>
  <c r="S76" i="14"/>
  <c r="W41" i="13"/>
  <c r="M88" i="13"/>
  <c r="U71" i="13"/>
  <c r="Q8" i="14"/>
  <c r="Q31" i="14"/>
  <c r="R47" i="14"/>
  <c r="S47" i="14"/>
  <c r="M227" i="9"/>
  <c r="U39" i="13"/>
  <c r="M86" i="13"/>
  <c r="W59" i="13"/>
  <c r="U78" i="13"/>
  <c r="M94" i="13"/>
  <c r="M19" i="14"/>
  <c r="Q19" i="14" s="1"/>
  <c r="Q20" i="14"/>
  <c r="S12" i="12"/>
  <c r="X12" i="12" s="1"/>
  <c r="R12" i="12"/>
  <c r="W12" i="12" s="1"/>
  <c r="T12" i="12"/>
  <c r="Y12" i="12" s="1"/>
  <c r="U42" i="13"/>
  <c r="M87" i="13"/>
  <c r="M91" i="13"/>
  <c r="N92" i="13"/>
  <c r="T14" i="14"/>
  <c r="S14" i="14"/>
  <c r="R14" i="14"/>
  <c r="Q34" i="14"/>
  <c r="T38" i="14"/>
  <c r="S38" i="14"/>
  <c r="R38" i="14"/>
  <c r="R67" i="14"/>
  <c r="S67" i="14"/>
  <c r="T67" i="14"/>
  <c r="T86" i="14"/>
  <c r="S86" i="14"/>
  <c r="R86" i="14"/>
  <c r="P88" i="13"/>
  <c r="X48" i="13"/>
  <c r="U53" i="13"/>
  <c r="M89" i="13"/>
  <c r="P93" i="13"/>
  <c r="X73" i="13"/>
  <c r="Q10" i="14"/>
  <c r="R17" i="14"/>
  <c r="S17" i="14"/>
  <c r="S32" i="14"/>
  <c r="R32" i="14"/>
  <c r="T32" i="14"/>
  <c r="Q40" i="14"/>
  <c r="T50" i="14"/>
  <c r="S50" i="14"/>
  <c r="R50" i="14"/>
  <c r="M226" i="9"/>
  <c r="U12" i="12"/>
  <c r="Z12" i="12" s="1"/>
  <c r="W37" i="13"/>
  <c r="O86" i="13"/>
  <c r="P91" i="13"/>
  <c r="X62" i="13"/>
  <c r="T13" i="14"/>
  <c r="Q28" i="14"/>
  <c r="T73" i="14"/>
  <c r="R73" i="14"/>
  <c r="S73" i="14"/>
  <c r="S149" i="14"/>
  <c r="R149" i="14"/>
  <c r="T149" i="14"/>
  <c r="P86" i="13"/>
  <c r="X37" i="13"/>
  <c r="X44" i="13"/>
  <c r="U67" i="13"/>
  <c r="M92" i="13"/>
  <c r="N94" i="13"/>
  <c r="Q9" i="14"/>
  <c r="O12" i="14"/>
  <c r="Q12" i="14" s="1"/>
  <c r="Q35" i="14"/>
  <c r="N46" i="14"/>
  <c r="AZ66" i="14"/>
  <c r="AU66" i="14"/>
  <c r="X66" i="14"/>
  <c r="AC66" i="14"/>
  <c r="AT83" i="14"/>
  <c r="AB83" i="14"/>
  <c r="AY83" i="14"/>
  <c r="Q85" i="14"/>
  <c r="X41" i="13"/>
  <c r="U46" i="13"/>
  <c r="U57" i="13"/>
  <c r="U59" i="13" s="1"/>
  <c r="X66" i="13"/>
  <c r="V71" i="13"/>
  <c r="W76" i="13"/>
  <c r="M21" i="14"/>
  <c r="Q21" i="14" s="1"/>
  <c r="M39" i="14"/>
  <c r="Q39" i="14" s="1"/>
  <c r="N42" i="14"/>
  <c r="Q61" i="14"/>
  <c r="Q65" i="14"/>
  <c r="Q80" i="14"/>
  <c r="T113" i="14"/>
  <c r="S113" i="14"/>
  <c r="R113" i="14"/>
  <c r="Q126" i="14"/>
  <c r="V51" i="13"/>
  <c r="W67" i="13"/>
  <c r="V76" i="13"/>
  <c r="N48" i="14"/>
  <c r="N75" i="14"/>
  <c r="Q99" i="14"/>
  <c r="S103" i="14"/>
  <c r="R103" i="14"/>
  <c r="T103" i="14"/>
  <c r="W64" i="13"/>
  <c r="T60" i="14"/>
  <c r="S60" i="14"/>
  <c r="R60" i="14"/>
  <c r="Q63" i="14"/>
  <c r="W61" i="13"/>
  <c r="M24" i="14"/>
  <c r="Q24" i="14" s="1"/>
  <c r="Q78" i="14"/>
  <c r="Q84" i="14"/>
  <c r="T94" i="14"/>
  <c r="S94" i="14"/>
  <c r="R94" i="14"/>
  <c r="W45" i="13"/>
  <c r="X70" i="13"/>
  <c r="O87" i="13"/>
  <c r="O89" i="13"/>
  <c r="O94" i="13"/>
  <c r="M30" i="14"/>
  <c r="Q30" i="14" s="1"/>
  <c r="N33" i="14"/>
  <c r="Q33" i="14" s="1"/>
  <c r="Q71" i="14"/>
  <c r="S127" i="14"/>
  <c r="T127" i="14"/>
  <c r="R127" i="14"/>
  <c r="Q134" i="14"/>
  <c r="Q140" i="14"/>
  <c r="P90" i="13"/>
  <c r="M18" i="14"/>
  <c r="Q18" i="14" s="1"/>
  <c r="N55" i="14"/>
  <c r="Q55" i="14" s="1"/>
  <c r="Q75" i="14"/>
  <c r="T109" i="14"/>
  <c r="S109" i="14"/>
  <c r="R109" i="14"/>
  <c r="S112" i="14"/>
  <c r="R112" i="14"/>
  <c r="T112" i="14"/>
  <c r="Q57" i="14"/>
  <c r="Q58" i="14"/>
  <c r="Q59" i="14"/>
  <c r="T62" i="14"/>
  <c r="S62" i="14"/>
  <c r="R62" i="14"/>
  <c r="T66" i="14"/>
  <c r="R66" i="14"/>
  <c r="T68" i="14"/>
  <c r="S68" i="14"/>
  <c r="R68" i="14"/>
  <c r="T89" i="14"/>
  <c r="S89" i="14"/>
  <c r="R89" i="14"/>
  <c r="S91" i="14"/>
  <c r="T91" i="14"/>
  <c r="S115" i="14"/>
  <c r="T115" i="14"/>
  <c r="S136" i="14"/>
  <c r="R136" i="14"/>
  <c r="T136" i="14"/>
  <c r="T142" i="14"/>
  <c r="S142" i="14"/>
  <c r="R142" i="14"/>
  <c r="M228" i="9"/>
  <c r="W47" i="13"/>
  <c r="X50" i="13"/>
  <c r="U55" i="13"/>
  <c r="W72" i="13"/>
  <c r="X75" i="13"/>
  <c r="U77" i="13"/>
  <c r="V80" i="13"/>
  <c r="Q81" i="14"/>
  <c r="S106" i="14"/>
  <c r="T106" i="14"/>
  <c r="R106" i="14"/>
  <c r="N131" i="14"/>
  <c r="W46" i="13"/>
  <c r="X47" i="13"/>
  <c r="U52" i="13"/>
  <c r="V55" i="13"/>
  <c r="X72" i="13"/>
  <c r="V77" i="13"/>
  <c r="N27" i="14"/>
  <c r="Q27" i="14" s="1"/>
  <c r="M42" i="14"/>
  <c r="N45" i="14"/>
  <c r="Q45" i="14" s="1"/>
  <c r="T83" i="14"/>
  <c r="S83" i="14"/>
  <c r="R97" i="14"/>
  <c r="S97" i="14"/>
  <c r="R100" i="14"/>
  <c r="T100" i="14"/>
  <c r="S100" i="14"/>
  <c r="S124" i="14"/>
  <c r="R124" i="14"/>
  <c r="T124" i="14"/>
  <c r="M51" i="14"/>
  <c r="Q51" i="14" s="1"/>
  <c r="N54" i="14"/>
  <c r="Q54" i="14" s="1"/>
  <c r="Q69" i="14"/>
  <c r="N95" i="14"/>
  <c r="Q95" i="14" s="1"/>
  <c r="T97" i="14"/>
  <c r="R115" i="14"/>
  <c r="S118" i="14"/>
  <c r="R118" i="14"/>
  <c r="Q147" i="14"/>
  <c r="Q87" i="14"/>
  <c r="Q101" i="14"/>
  <c r="Q108" i="14"/>
  <c r="Q123" i="14"/>
  <c r="Q131" i="14"/>
  <c r="O168" i="14"/>
  <c r="Q186" i="14"/>
  <c r="Q72" i="14"/>
  <c r="O82" i="14"/>
  <c r="Q82" i="14" s="1"/>
  <c r="Q116" i="14"/>
  <c r="Q132" i="14"/>
  <c r="Q139" i="14"/>
  <c r="N233" i="14"/>
  <c r="T137" i="14"/>
  <c r="S137" i="14"/>
  <c r="R137" i="14"/>
  <c r="R157" i="14"/>
  <c r="T157" i="14"/>
  <c r="S157" i="14"/>
  <c r="N74" i="14"/>
  <c r="Q74" i="14" s="1"/>
  <c r="N77" i="14"/>
  <c r="Q77" i="14" s="1"/>
  <c r="Q90" i="14"/>
  <c r="Q92" i="14"/>
  <c r="Q104" i="14"/>
  <c r="Q111" i="14"/>
  <c r="M166" i="14"/>
  <c r="Q166" i="14" s="1"/>
  <c r="T207" i="14"/>
  <c r="S207" i="14"/>
  <c r="R207" i="14"/>
  <c r="AY231" i="14"/>
  <c r="AB231" i="14"/>
  <c r="AT231" i="14"/>
  <c r="W231" i="14"/>
  <c r="Q96" i="14"/>
  <c r="N119" i="14"/>
  <c r="Q119" i="14" s="1"/>
  <c r="AZ130" i="14"/>
  <c r="AC130" i="14"/>
  <c r="AU130" i="14"/>
  <c r="X130" i="14"/>
  <c r="Q102" i="14"/>
  <c r="Q114" i="14"/>
  <c r="Q122" i="14"/>
  <c r="R130" i="14"/>
  <c r="R133" i="14"/>
  <c r="Q135" i="14"/>
  <c r="S189" i="14"/>
  <c r="R189" i="14"/>
  <c r="O64" i="14"/>
  <c r="Q64" i="14" s="1"/>
  <c r="O85" i="14"/>
  <c r="O88" i="14"/>
  <c r="Q88" i="14" s="1"/>
  <c r="Q120" i="14"/>
  <c r="T130" i="14"/>
  <c r="S133" i="14"/>
  <c r="Q156" i="14"/>
  <c r="T189" i="14"/>
  <c r="U34" i="15"/>
  <c r="T34" i="15"/>
  <c r="O70" i="14"/>
  <c r="Q70" i="14" s="1"/>
  <c r="O79" i="14"/>
  <c r="Q79" i="14" s="1"/>
  <c r="N107" i="14"/>
  <c r="Q107" i="14" s="1"/>
  <c r="Q125" i="14"/>
  <c r="Q138" i="14"/>
  <c r="Q146" i="14"/>
  <c r="Q179" i="14"/>
  <c r="T228" i="14"/>
  <c r="S228" i="14"/>
  <c r="R228" i="14"/>
  <c r="Q128" i="14"/>
  <c r="Q145" i="14"/>
  <c r="Q165" i="14"/>
  <c r="Q158" i="14"/>
  <c r="S174" i="14"/>
  <c r="T174" i="14"/>
  <c r="R174" i="14"/>
  <c r="M193" i="14"/>
  <c r="Q193" i="14" s="1"/>
  <c r="Q144" i="14"/>
  <c r="Q150" i="14"/>
  <c r="O158" i="14"/>
  <c r="T231" i="14"/>
  <c r="S231" i="14"/>
  <c r="M202" i="14"/>
  <c r="Q202" i="14" s="1"/>
  <c r="T210" i="14"/>
  <c r="S210" i="14"/>
  <c r="R210" i="14"/>
  <c r="T216" i="14"/>
  <c r="S216" i="14"/>
  <c r="R216" i="14"/>
  <c r="O233" i="14"/>
  <c r="T141" i="14"/>
  <c r="S141" i="14"/>
  <c r="R141" i="14"/>
  <c r="Q177" i="14"/>
  <c r="Q185" i="14"/>
  <c r="T195" i="14"/>
  <c r="S195" i="14"/>
  <c r="Q93" i="14"/>
  <c r="N98" i="14"/>
  <c r="Q98" i="14" s="1"/>
  <c r="Q105" i="14"/>
  <c r="N110" i="14"/>
  <c r="Q110" i="14" s="1"/>
  <c r="Q117" i="14"/>
  <c r="N122" i="14"/>
  <c r="Q129" i="14"/>
  <c r="N134" i="14"/>
  <c r="Q143" i="14"/>
  <c r="Q168" i="14"/>
  <c r="Q192" i="14"/>
  <c r="R195" i="14"/>
  <c r="N197" i="14"/>
  <c r="Q209" i="14"/>
  <c r="M211" i="14"/>
  <c r="Q211" i="14" s="1"/>
  <c r="T225" i="14"/>
  <c r="S225" i="14"/>
  <c r="R225" i="14"/>
  <c r="N143" i="14"/>
  <c r="Q159" i="14"/>
  <c r="Q176" i="14"/>
  <c r="M184" i="14"/>
  <c r="Q184" i="14" s="1"/>
  <c r="N185" i="14"/>
  <c r="O186" i="14"/>
  <c r="T204" i="14"/>
  <c r="S204" i="14"/>
  <c r="Q167" i="14"/>
  <c r="M175" i="14"/>
  <c r="Q175" i="14" s="1"/>
  <c r="S183" i="14"/>
  <c r="T183" i="14"/>
  <c r="R183" i="14"/>
  <c r="Q201" i="14"/>
  <c r="AY204" i="14"/>
  <c r="AB204" i="14"/>
  <c r="AT204" i="14"/>
  <c r="W204" i="14"/>
  <c r="N206" i="14"/>
  <c r="Q218" i="14"/>
  <c r="M220" i="14"/>
  <c r="Q220" i="14" s="1"/>
  <c r="T30" i="15"/>
  <c r="Q182" i="14"/>
  <c r="O185" i="14"/>
  <c r="T213" i="14"/>
  <c r="S213" i="14"/>
  <c r="M173" i="14"/>
  <c r="Q173" i="14" s="1"/>
  <c r="O206" i="14"/>
  <c r="AY213" i="14"/>
  <c r="AB213" i="14"/>
  <c r="AT213" i="14"/>
  <c r="W213" i="14"/>
  <c r="N215" i="14"/>
  <c r="Q227" i="14"/>
  <c r="M229" i="14"/>
  <c r="Q229" i="14" s="1"/>
  <c r="T222" i="14"/>
  <c r="S222" i="14"/>
  <c r="Q155" i="14"/>
  <c r="T198" i="14"/>
  <c r="S198" i="14"/>
  <c r="R198" i="14"/>
  <c r="O215" i="14"/>
  <c r="T219" i="14"/>
  <c r="S219" i="14"/>
  <c r="R219" i="14"/>
  <c r="R222" i="14"/>
  <c r="N224" i="14"/>
  <c r="Q224" i="14" s="1"/>
  <c r="M154" i="14"/>
  <c r="Q154" i="14" s="1"/>
  <c r="N155" i="14"/>
  <c r="M163" i="14"/>
  <c r="Q163" i="14" s="1"/>
  <c r="N164" i="14"/>
  <c r="Q164" i="14" s="1"/>
  <c r="M172" i="14"/>
  <c r="Q172" i="14" s="1"/>
  <c r="N173" i="14"/>
  <c r="M181" i="14"/>
  <c r="Q181" i="14" s="1"/>
  <c r="N182" i="14"/>
  <c r="M190" i="14"/>
  <c r="Q190" i="14" s="1"/>
  <c r="N191" i="14"/>
  <c r="Q191" i="14" s="1"/>
  <c r="N194" i="14"/>
  <c r="Q194" i="14" s="1"/>
  <c r="Q197" i="14"/>
  <c r="M199" i="14"/>
  <c r="Q199" i="14" s="1"/>
  <c r="N203" i="14"/>
  <c r="Q206" i="14"/>
  <c r="M208" i="14"/>
  <c r="Q208" i="14" s="1"/>
  <c r="N212" i="14"/>
  <c r="Q215" i="14"/>
  <c r="M217" i="14"/>
  <c r="Q217" i="14" s="1"/>
  <c r="N221" i="14"/>
  <c r="M226" i="14"/>
  <c r="Q226" i="14" s="1"/>
  <c r="N230" i="14"/>
  <c r="Q230" i="14" s="1"/>
  <c r="Q233" i="14"/>
  <c r="M153" i="14"/>
  <c r="Q153" i="14" s="1"/>
  <c r="M162" i="14"/>
  <c r="Q162" i="14" s="1"/>
  <c r="M171" i="14"/>
  <c r="Q171" i="14" s="1"/>
  <c r="M180" i="14"/>
  <c r="Q180" i="14" s="1"/>
  <c r="U51" i="15"/>
  <c r="T51" i="15"/>
  <c r="M148" i="14"/>
  <c r="Q148" i="14" s="1"/>
  <c r="V64" i="21"/>
  <c r="AH64" i="21"/>
  <c r="AE64" i="21"/>
  <c r="AQ64" i="21"/>
  <c r="AB64" i="21"/>
  <c r="M151" i="14"/>
  <c r="Q151" i="14" s="1"/>
  <c r="N152" i="14"/>
  <c r="Q152" i="14" s="1"/>
  <c r="M160" i="14"/>
  <c r="Q160" i="14" s="1"/>
  <c r="N161" i="14"/>
  <c r="Q161" i="14" s="1"/>
  <c r="M169" i="14"/>
  <c r="Q169" i="14" s="1"/>
  <c r="N170" i="14"/>
  <c r="Q170" i="14" s="1"/>
  <c r="M178" i="14"/>
  <c r="Q178" i="14" s="1"/>
  <c r="N179" i="14"/>
  <c r="M187" i="14"/>
  <c r="Q187" i="14" s="1"/>
  <c r="N188" i="14"/>
  <c r="Q188" i="14" s="1"/>
  <c r="M196" i="14"/>
  <c r="Q196" i="14" s="1"/>
  <c r="N200" i="14"/>
  <c r="Q200" i="14" s="1"/>
  <c r="Q203" i="14"/>
  <c r="M205" i="14"/>
  <c r="Q205" i="14" s="1"/>
  <c r="N209" i="14"/>
  <c r="Q212" i="14"/>
  <c r="M214" i="14"/>
  <c r="Q214" i="14" s="1"/>
  <c r="N218" i="14"/>
  <c r="Q221" i="14"/>
  <c r="M223" i="14"/>
  <c r="Q223" i="14" s="1"/>
  <c r="N227" i="14"/>
  <c r="M232" i="14"/>
  <c r="Q232" i="14" s="1"/>
  <c r="Q47" i="15"/>
  <c r="T40" i="15"/>
  <c r="Q50" i="15"/>
  <c r="Q48" i="15"/>
  <c r="Q46" i="15"/>
  <c r="Q44" i="15"/>
  <c r="Q42" i="15"/>
  <c r="Q52" i="15"/>
  <c r="Q45" i="15"/>
  <c r="Q43" i="15"/>
  <c r="Q41" i="15"/>
  <c r="Q49" i="15"/>
  <c r="T36" i="15"/>
  <c r="S36" i="16"/>
  <c r="T36" i="16"/>
  <c r="U21" i="15"/>
  <c r="T21" i="15"/>
  <c r="T17" i="15"/>
  <c r="T19" i="15"/>
  <c r="U33" i="15"/>
  <c r="T33" i="15"/>
  <c r="T37" i="15"/>
  <c r="T39" i="15"/>
  <c r="S26" i="16"/>
  <c r="T26" i="16"/>
  <c r="S56" i="16"/>
  <c r="T56" i="16"/>
  <c r="AH232" i="21"/>
  <c r="P16" i="19"/>
  <c r="T27" i="16"/>
  <c r="S27" i="16"/>
  <c r="T48" i="16"/>
  <c r="S44" i="16"/>
  <c r="T23" i="16"/>
  <c r="AO25" i="21"/>
  <c r="AC25" i="21"/>
  <c r="AF25" i="21"/>
  <c r="Z25" i="21"/>
  <c r="W25" i="21"/>
  <c r="T25" i="21"/>
  <c r="AI25" i="21"/>
  <c r="S24" i="16"/>
  <c r="T52" i="16"/>
  <c r="B50" i="17"/>
  <c r="B51" i="17" s="1"/>
  <c r="AL25" i="21"/>
  <c r="AO53" i="21"/>
  <c r="N15" i="19"/>
  <c r="AN231" i="21" s="1"/>
  <c r="AI13" i="21"/>
  <c r="W13" i="21"/>
  <c r="AF13" i="21"/>
  <c r="T13" i="21"/>
  <c r="AC13" i="21"/>
  <c r="Z13" i="21"/>
  <c r="AJ38" i="21"/>
  <c r="X38" i="21"/>
  <c r="AD38" i="21"/>
  <c r="AP38" i="21"/>
  <c r="AA38" i="21"/>
  <c r="AM38" i="21"/>
  <c r="U38" i="21"/>
  <c r="S46" i="16"/>
  <c r="P57" i="16"/>
  <c r="P53" i="16"/>
  <c r="P49" i="16"/>
  <c r="P51" i="16"/>
  <c r="AO13" i="21"/>
  <c r="AN10" i="21"/>
  <c r="AD4" i="21"/>
  <c r="O4" i="21"/>
  <c r="AP4" i="21"/>
  <c r="AA4" i="21"/>
  <c r="AM4" i="21"/>
  <c r="X4" i="21"/>
  <c r="I4" i="21"/>
  <c r="AG4" i="21"/>
  <c r="AP19" i="21"/>
  <c r="P38" i="16"/>
  <c r="AF32" i="21"/>
  <c r="T32" i="21"/>
  <c r="H32" i="21"/>
  <c r="AC32" i="21"/>
  <c r="N32" i="21"/>
  <c r="AO32" i="21"/>
  <c r="Z32" i="21"/>
  <c r="K32" i="21"/>
  <c r="Q32" i="21"/>
  <c r="AL32" i="21"/>
  <c r="AI32" i="21"/>
  <c r="E32" i="21"/>
  <c r="V91" i="21"/>
  <c r="AF91" i="21"/>
  <c r="T91" i="21"/>
  <c r="AO91" i="21"/>
  <c r="AC91" i="21"/>
  <c r="W91" i="21"/>
  <c r="AE91" i="21"/>
  <c r="AB91" i="21"/>
  <c r="Z91" i="21"/>
  <c r="S34" i="16"/>
  <c r="P45" i="16"/>
  <c r="P41" i="16"/>
  <c r="P37" i="16"/>
  <c r="P39" i="16"/>
  <c r="P58" i="16"/>
  <c r="AG231" i="21"/>
  <c r="P9" i="19"/>
  <c r="AQ23" i="21"/>
  <c r="AB23" i="21"/>
  <c r="AN23" i="21"/>
  <c r="Y23" i="21"/>
  <c r="AG38" i="21"/>
  <c r="AJ8" i="21"/>
  <c r="X8" i="21"/>
  <c r="L8" i="21"/>
  <c r="R8" i="21"/>
  <c r="AN44" i="21"/>
  <c r="AB44" i="21"/>
  <c r="AG44" i="21"/>
  <c r="AE44" i="21"/>
  <c r="R44" i="21"/>
  <c r="F44" i="21"/>
  <c r="AA44" i="21"/>
  <c r="O44" i="21"/>
  <c r="AM44" i="21"/>
  <c r="AK44" i="21"/>
  <c r="S44" i="21"/>
  <c r="AJ44" i="21"/>
  <c r="M44" i="21"/>
  <c r="L44" i="21"/>
  <c r="AD44" i="21"/>
  <c r="AP44" i="21"/>
  <c r="AJ100" i="21"/>
  <c r="AG8" i="21"/>
  <c r="AQ44" i="21"/>
  <c r="P5" i="19"/>
  <c r="P15" i="19"/>
  <c r="U8" i="21"/>
  <c r="U11" i="21"/>
  <c r="AP11" i="21"/>
  <c r="AD11" i="21"/>
  <c r="X11" i="21"/>
  <c r="AN11" i="21"/>
  <c r="I44" i="21"/>
  <c r="AE33" i="21"/>
  <c r="J44" i="21"/>
  <c r="AK47" i="21"/>
  <c r="Y47" i="21"/>
  <c r="AB47" i="21"/>
  <c r="V47" i="21"/>
  <c r="AH47" i="21"/>
  <c r="AE47" i="21"/>
  <c r="J47" i="21"/>
  <c r="G47" i="21"/>
  <c r="AQ47" i="21"/>
  <c r="AA124" i="21"/>
  <c r="AP124" i="21"/>
  <c r="G124" i="20" s="1"/>
  <c r="AG124" i="21"/>
  <c r="AB124" i="21"/>
  <c r="X124" i="21"/>
  <c r="V124" i="21"/>
  <c r="U124" i="21"/>
  <c r="AQ124" i="21"/>
  <c r="AN124" i="21"/>
  <c r="AD124" i="21"/>
  <c r="AA11" i="21"/>
  <c r="V44" i="21"/>
  <c r="AB33" i="21"/>
  <c r="AG230" i="21"/>
  <c r="U230" i="21"/>
  <c r="I230" i="21"/>
  <c r="AF230" i="21"/>
  <c r="T230" i="21"/>
  <c r="H230" i="21"/>
  <c r="AN230" i="21"/>
  <c r="Z230" i="21"/>
  <c r="L230" i="21"/>
  <c r="AM230" i="21"/>
  <c r="Y230" i="21"/>
  <c r="K230" i="21"/>
  <c r="AL230" i="21"/>
  <c r="X230" i="21"/>
  <c r="J230" i="21"/>
  <c r="AK230" i="21"/>
  <c r="W230" i="21"/>
  <c r="G230" i="21"/>
  <c r="AI230" i="21"/>
  <c r="S230" i="21"/>
  <c r="E230" i="21"/>
  <c r="AC230" i="21"/>
  <c r="AB230" i="21"/>
  <c r="AA230" i="21"/>
  <c r="V230" i="21"/>
  <c r="AQ230" i="21"/>
  <c r="Q230" i="21"/>
  <c r="AH230" i="21"/>
  <c r="AE230" i="21"/>
  <c r="AD230" i="21"/>
  <c r="R230" i="21"/>
  <c r="O230" i="21"/>
  <c r="AO230" i="21"/>
  <c r="AJ230" i="21"/>
  <c r="P230" i="21"/>
  <c r="N230" i="21"/>
  <c r="F230" i="21"/>
  <c r="AP230" i="21"/>
  <c r="M230" i="21"/>
  <c r="N33" i="21"/>
  <c r="AC33" i="21"/>
  <c r="AQ33" i="21"/>
  <c r="AL78" i="21"/>
  <c r="Z78" i="21"/>
  <c r="AC78" i="21"/>
  <c r="AO78" i="21"/>
  <c r="W78" i="21"/>
  <c r="T78" i="21"/>
  <c r="AD19" i="21"/>
  <c r="P33" i="21"/>
  <c r="AP57" i="21"/>
  <c r="AO136" i="21"/>
  <c r="AA222" i="21"/>
  <c r="AM222" i="21"/>
  <c r="U222" i="21"/>
  <c r="AP222" i="21"/>
  <c r="X222" i="21"/>
  <c r="AD222" i="21"/>
  <c r="AJ26" i="21"/>
  <c r="N26" i="20" s="1"/>
  <c r="X26" i="21"/>
  <c r="Q33" i="21"/>
  <c r="AH34" i="21"/>
  <c r="V34" i="21"/>
  <c r="AG34" i="21"/>
  <c r="AM94" i="21"/>
  <c r="AK33" i="21"/>
  <c r="Y33" i="21"/>
  <c r="M33" i="21"/>
  <c r="AF33" i="21"/>
  <c r="V35" i="21"/>
  <c r="AN40" i="21"/>
  <c r="AI118" i="21"/>
  <c r="W118" i="21"/>
  <c r="AG118" i="21"/>
  <c r="U118" i="21"/>
  <c r="AQ118" i="21"/>
  <c r="AC118" i="21"/>
  <c r="Z118" i="21"/>
  <c r="AO118" i="21"/>
  <c r="X118" i="21"/>
  <c r="AM118" i="21"/>
  <c r="V118" i="21"/>
  <c r="AL118" i="21"/>
  <c r="T118" i="21"/>
  <c r="AP118" i="21"/>
  <c r="AJ118" i="21"/>
  <c r="AF118" i="21"/>
  <c r="AE118" i="21"/>
  <c r="AD118" i="21"/>
  <c r="F118" i="20" s="1"/>
  <c r="P10" i="21"/>
  <c r="AG19" i="21"/>
  <c r="E33" i="21"/>
  <c r="S33" i="21"/>
  <c r="U34" i="21"/>
  <c r="AK35" i="21"/>
  <c r="AC90" i="21"/>
  <c r="AD57" i="21"/>
  <c r="AL90" i="21"/>
  <c r="Z90" i="21"/>
  <c r="W90" i="21"/>
  <c r="AF90" i="21"/>
  <c r="AH62" i="21"/>
  <c r="V62" i="21"/>
  <c r="J62" i="21"/>
  <c r="AP62" i="21"/>
  <c r="AD62" i="21"/>
  <c r="R62" i="21"/>
  <c r="F62" i="21"/>
  <c r="AF62" i="21"/>
  <c r="Q62" i="21"/>
  <c r="T62" i="21"/>
  <c r="AJ62" i="21"/>
  <c r="AQ70" i="21"/>
  <c r="AE70" i="21"/>
  <c r="AP70" i="21"/>
  <c r="AD70" i="21"/>
  <c r="AL70" i="21"/>
  <c r="Z70" i="21"/>
  <c r="AN70" i="21"/>
  <c r="X70" i="21"/>
  <c r="E70" i="20" s="1"/>
  <c r="AM70" i="21"/>
  <c r="W70" i="21"/>
  <c r="AI70" i="21"/>
  <c r="T70" i="21"/>
  <c r="AA70" i="21"/>
  <c r="M70" i="20" s="1"/>
  <c r="AB40" i="21"/>
  <c r="AD53" i="21"/>
  <c r="AJ57" i="21"/>
  <c r="G62" i="21"/>
  <c r="W62" i="21"/>
  <c r="AL62" i="21"/>
  <c r="AC70" i="21"/>
  <c r="AO90" i="21"/>
  <c r="AM134" i="21"/>
  <c r="AA134" i="21"/>
  <c r="AG134" i="21"/>
  <c r="AD134" i="21"/>
  <c r="U134" i="21"/>
  <c r="AP134" i="21"/>
  <c r="X134" i="21"/>
  <c r="AN80" i="21"/>
  <c r="AJ83" i="21"/>
  <c r="X83" i="21"/>
  <c r="AG83" i="21"/>
  <c r="U83" i="21"/>
  <c r="AL106" i="21"/>
  <c r="AF96" i="21"/>
  <c r="AF106" i="21"/>
  <c r="T106" i="21"/>
  <c r="AO106" i="21"/>
  <c r="AB106" i="21"/>
  <c r="Z106" i="21"/>
  <c r="W106" i="21"/>
  <c r="V106" i="21"/>
  <c r="AQ106" i="21"/>
  <c r="U94" i="21"/>
  <c r="AA100" i="21"/>
  <c r="AM100" i="21"/>
  <c r="X100" i="21"/>
  <c r="U100" i="21"/>
  <c r="Y106" i="21"/>
  <c r="AC106" i="21"/>
  <c r="AL108" i="21"/>
  <c r="K108" i="21"/>
  <c r="W108" i="21"/>
  <c r="AF108" i="21"/>
  <c r="Z108" i="21"/>
  <c r="AJ210" i="21"/>
  <c r="X210" i="21"/>
  <c r="L210" i="21"/>
  <c r="AG210" i="21"/>
  <c r="AD210" i="21"/>
  <c r="O210" i="21"/>
  <c r="AP210" i="21"/>
  <c r="AA210" i="21"/>
  <c r="U210" i="21"/>
  <c r="R210" i="21"/>
  <c r="AM210" i="21"/>
  <c r="I210" i="21"/>
  <c r="F210" i="21"/>
  <c r="AD83" i="21"/>
  <c r="AP94" i="21"/>
  <c r="AD94" i="21"/>
  <c r="AO94" i="21"/>
  <c r="AC94" i="21"/>
  <c r="AL94" i="21"/>
  <c r="Z94" i="21"/>
  <c r="W94" i="21"/>
  <c r="AL127" i="21"/>
  <c r="Z127" i="21"/>
  <c r="N127" i="21"/>
  <c r="S127" i="21"/>
  <c r="E127" i="21"/>
  <c r="P127" i="21"/>
  <c r="AF127" i="21"/>
  <c r="AE127" i="21"/>
  <c r="M127" i="21"/>
  <c r="AC127" i="21"/>
  <c r="K127" i="21"/>
  <c r="Y127" i="21"/>
  <c r="H127" i="21"/>
  <c r="AB127" i="21"/>
  <c r="AP133" i="21"/>
  <c r="AD133" i="21"/>
  <c r="AA133" i="21"/>
  <c r="X133" i="21"/>
  <c r="AN186" i="21"/>
  <c r="P96" i="21"/>
  <c r="AB96" i="21"/>
  <c r="AN96" i="21"/>
  <c r="R109" i="21"/>
  <c r="P80" i="21"/>
  <c r="AB80" i="21"/>
  <c r="H96" i="21"/>
  <c r="T96" i="21"/>
  <c r="X109" i="21"/>
  <c r="G33" i="22"/>
  <c r="H33" i="22"/>
  <c r="J33" i="22"/>
  <c r="E33" i="22"/>
  <c r="L33" i="22" s="1"/>
  <c r="X208" i="21"/>
  <c r="U208" i="21"/>
  <c r="AJ208" i="21"/>
  <c r="F208" i="21"/>
  <c r="AG208" i="21"/>
  <c r="AA208" i="21"/>
  <c r="R208" i="21"/>
  <c r="O208" i="21"/>
  <c r="AM208" i="21"/>
  <c r="AD208" i="21"/>
  <c r="I208" i="21"/>
  <c r="AH135" i="21"/>
  <c r="V135" i="21"/>
  <c r="J135" i="21"/>
  <c r="AG135" i="21"/>
  <c r="U135" i="21"/>
  <c r="I135" i="21"/>
  <c r="S135" i="21"/>
  <c r="AK135" i="21"/>
  <c r="AE139" i="21"/>
  <c r="AN149" i="21"/>
  <c r="AJ171" i="21"/>
  <c r="X171" i="21"/>
  <c r="L171" i="21"/>
  <c r="AG171" i="21"/>
  <c r="R171" i="21"/>
  <c r="AD171" i="21"/>
  <c r="O171" i="21"/>
  <c r="AA171" i="21"/>
  <c r="F135" i="21"/>
  <c r="X135" i="21"/>
  <c r="AM135" i="21"/>
  <c r="F171" i="21"/>
  <c r="AM212" i="21"/>
  <c r="AA212" i="21"/>
  <c r="O212" i="21"/>
  <c r="AD212" i="21"/>
  <c r="L212" i="21"/>
  <c r="X212" i="21"/>
  <c r="AP212" i="21"/>
  <c r="R212" i="21"/>
  <c r="I212" i="21"/>
  <c r="F212" i="21"/>
  <c r="AJ212" i="21"/>
  <c r="AG212" i="21"/>
  <c r="AK139" i="21"/>
  <c r="Y139" i="21"/>
  <c r="AH139" i="21"/>
  <c r="AP204" i="21"/>
  <c r="AD204" i="21"/>
  <c r="R204" i="21"/>
  <c r="F204" i="21"/>
  <c r="O204" i="21"/>
  <c r="AA204" i="21"/>
  <c r="AM204" i="21"/>
  <c r="U204" i="21"/>
  <c r="AJ204" i="21"/>
  <c r="L204" i="21"/>
  <c r="I38" i="22"/>
  <c r="F38" i="22"/>
  <c r="M38" i="22" s="1"/>
  <c r="AM171" i="21"/>
  <c r="AK179" i="21"/>
  <c r="AM110" i="21"/>
  <c r="AA110" i="21"/>
  <c r="O110" i="21"/>
  <c r="AD110" i="21"/>
  <c r="L135" i="21"/>
  <c r="AA135" i="21"/>
  <c r="AP135" i="21"/>
  <c r="AQ146" i="21"/>
  <c r="AE146" i="21"/>
  <c r="S146" i="21"/>
  <c r="G146" i="21"/>
  <c r="AK146" i="21"/>
  <c r="V146" i="21"/>
  <c r="P146" i="21"/>
  <c r="I171" i="21"/>
  <c r="I204" i="21"/>
  <c r="AO214" i="21"/>
  <c r="AP225" i="21"/>
  <c r="AM154" i="21"/>
  <c r="AA154" i="21"/>
  <c r="AI174" i="21"/>
  <c r="W174" i="21"/>
  <c r="K174" i="21"/>
  <c r="S179" i="21"/>
  <c r="Z224" i="21"/>
  <c r="AQ224" i="21"/>
  <c r="AC224" i="21"/>
  <c r="M224" i="21"/>
  <c r="AB224" i="21"/>
  <c r="AN224" i="21"/>
  <c r="J224" i="21"/>
  <c r="V224" i="21"/>
  <c r="T224" i="21"/>
  <c r="AO224" i="21"/>
  <c r="S224" i="21"/>
  <c r="AK224" i="21"/>
  <c r="AH224" i="21"/>
  <c r="P224" i="21"/>
  <c r="G224" i="21"/>
  <c r="H225" i="22"/>
  <c r="F225" i="22"/>
  <c r="M225" i="22" s="1"/>
  <c r="E225" i="22"/>
  <c r="I225" i="22"/>
  <c r="P179" i="21"/>
  <c r="AB179" i="21"/>
  <c r="AN179" i="21"/>
  <c r="M179" i="21"/>
  <c r="J179" i="21"/>
  <c r="AQ179" i="21"/>
  <c r="AO181" i="21"/>
  <c r="AC181" i="21"/>
  <c r="Q181" i="21"/>
  <c r="E181" i="21"/>
  <c r="N181" i="21"/>
  <c r="Z181" i="21"/>
  <c r="AL181" i="21"/>
  <c r="I133" i="22"/>
  <c r="F133" i="22"/>
  <c r="M133" i="22" s="1"/>
  <c r="Z129" i="21"/>
  <c r="AL129" i="21"/>
  <c r="U154" i="21"/>
  <c r="E160" i="21"/>
  <c r="T160" i="21"/>
  <c r="AI160" i="21"/>
  <c r="H174" i="21"/>
  <c r="V179" i="21"/>
  <c r="AF181" i="21"/>
  <c r="AP195" i="21"/>
  <c r="AD195" i="21"/>
  <c r="R195" i="21"/>
  <c r="F195" i="21"/>
  <c r="AM195" i="21"/>
  <c r="X195" i="21"/>
  <c r="I195" i="21"/>
  <c r="AJ195" i="21"/>
  <c r="U195" i="21"/>
  <c r="Y224" i="21"/>
  <c r="F8" i="22"/>
  <c r="M8" i="22" s="1"/>
  <c r="AC136" i="21"/>
  <c r="H160" i="21"/>
  <c r="W160" i="21"/>
  <c r="AC174" i="21"/>
  <c r="G179" i="21"/>
  <c r="Y179" i="21"/>
  <c r="H181" i="21"/>
  <c r="AE224" i="21"/>
  <c r="G11" i="22"/>
  <c r="P168" i="21"/>
  <c r="AB168" i="21"/>
  <c r="AN168" i="21"/>
  <c r="F53" i="22"/>
  <c r="I53" i="22"/>
  <c r="H53" i="22"/>
  <c r="P149" i="21"/>
  <c r="AB149" i="21"/>
  <c r="AJ213" i="21"/>
  <c r="AJ215" i="21"/>
  <c r="X215" i="21"/>
  <c r="L215" i="21"/>
  <c r="R215" i="21"/>
  <c r="AG215" i="21"/>
  <c r="AD215" i="21"/>
  <c r="O215" i="21"/>
  <c r="AA215" i="21"/>
  <c r="AP209" i="21"/>
  <c r="AD209" i="21"/>
  <c r="R209" i="21"/>
  <c r="F209" i="21"/>
  <c r="AH220" i="21"/>
  <c r="V220" i="21"/>
  <c r="J220" i="21"/>
  <c r="AN220" i="21"/>
  <c r="AG228" i="21"/>
  <c r="H25" i="22"/>
  <c r="J62" i="22"/>
  <c r="G62" i="22"/>
  <c r="N62" i="22" s="1"/>
  <c r="H62" i="22"/>
  <c r="F62" i="22"/>
  <c r="I62" i="22"/>
  <c r="AM211" i="21"/>
  <c r="AA211" i="21"/>
  <c r="O211" i="21"/>
  <c r="U211" i="21"/>
  <c r="AJ211" i="21"/>
  <c r="G220" i="21"/>
  <c r="AQ220" i="21"/>
  <c r="AH201" i="21"/>
  <c r="V201" i="21"/>
  <c r="J201" i="21"/>
  <c r="AD201" i="21"/>
  <c r="AQ201" i="21"/>
  <c r="I209" i="21"/>
  <c r="AM209" i="21"/>
  <c r="S213" i="21"/>
  <c r="AG218" i="21"/>
  <c r="AO221" i="21"/>
  <c r="AC221" i="21"/>
  <c r="Q221" i="21"/>
  <c r="E221" i="21"/>
  <c r="J41" i="22"/>
  <c r="G41" i="22"/>
  <c r="AG206" i="21"/>
  <c r="U206" i="21"/>
  <c r="I206" i="21"/>
  <c r="R206" i="21"/>
  <c r="X209" i="21"/>
  <c r="F211" i="21"/>
  <c r="AH213" i="21"/>
  <c r="V213" i="21"/>
  <c r="J213" i="21"/>
  <c r="AG213" i="21"/>
  <c r="U213" i="21"/>
  <c r="I213" i="21"/>
  <c r="AK213" i="21"/>
  <c r="AB220" i="21"/>
  <c r="AO226" i="21"/>
  <c r="E13" i="22"/>
  <c r="L13" i="22" s="1"/>
  <c r="F34" i="22"/>
  <c r="G34" i="22"/>
  <c r="J34" i="22"/>
  <c r="I34" i="22"/>
  <c r="P186" i="21"/>
  <c r="AB186" i="21"/>
  <c r="F201" i="21"/>
  <c r="S201" i="21"/>
  <c r="I211" i="21"/>
  <c r="X211" i="21"/>
  <c r="F213" i="21"/>
  <c r="M220" i="21"/>
  <c r="H221" i="21"/>
  <c r="AG225" i="21"/>
  <c r="U225" i="21"/>
  <c r="I225" i="21"/>
  <c r="AD225" i="21"/>
  <c r="AC225" i="21"/>
  <c r="O225" i="21"/>
  <c r="AO225" i="21"/>
  <c r="AA225" i="21"/>
  <c r="AM225" i="21"/>
  <c r="K225" i="21"/>
  <c r="X225" i="21"/>
  <c r="G23" i="22"/>
  <c r="G139" i="22"/>
  <c r="N139" i="22" s="1"/>
  <c r="H163" i="22"/>
  <c r="E163" i="22"/>
  <c r="P218" i="21"/>
  <c r="AB218" i="21"/>
  <c r="AN218" i="21"/>
  <c r="O228" i="21"/>
  <c r="AC228" i="21"/>
  <c r="AL229" i="21"/>
  <c r="Z229" i="21"/>
  <c r="N229" i="21"/>
  <c r="AK229" i="21"/>
  <c r="Y229" i="21"/>
  <c r="M229" i="21"/>
  <c r="R229" i="21"/>
  <c r="AF229" i="21"/>
  <c r="F83" i="22"/>
  <c r="Q228" i="21"/>
  <c r="F10" i="22"/>
  <c r="H136" i="22"/>
  <c r="E174" i="22"/>
  <c r="H174" i="22"/>
  <c r="AQ228" i="21"/>
  <c r="AE228" i="21"/>
  <c r="S228" i="21"/>
  <c r="G228" i="21"/>
  <c r="AP228" i="21"/>
  <c r="AD228" i="21"/>
  <c r="R228" i="21"/>
  <c r="F228" i="21"/>
  <c r="T228" i="21"/>
  <c r="AH228" i="21"/>
  <c r="H90" i="22"/>
  <c r="H108" i="22"/>
  <c r="P214" i="21"/>
  <c r="AB214" i="21"/>
  <c r="AN214" i="21"/>
  <c r="AJ227" i="21"/>
  <c r="X227" i="21"/>
  <c r="L227" i="21"/>
  <c r="AI227" i="21"/>
  <c r="W227" i="21"/>
  <c r="K227" i="21"/>
  <c r="R227" i="21"/>
  <c r="AF227" i="21"/>
  <c r="E228" i="21"/>
  <c r="U228" i="21"/>
  <c r="AI228" i="21"/>
  <c r="H229" i="21"/>
  <c r="V229" i="21"/>
  <c r="AJ229" i="21"/>
  <c r="I10" i="22"/>
  <c r="E90" i="22"/>
  <c r="E108" i="22"/>
  <c r="I118" i="22"/>
  <c r="G118" i="22"/>
  <c r="F118" i="22"/>
  <c r="M118" i="22" s="1"/>
  <c r="J127" i="22"/>
  <c r="G127" i="22"/>
  <c r="H127" i="22"/>
  <c r="E127" i="22"/>
  <c r="L127" i="22" s="1"/>
  <c r="E214" i="21"/>
  <c r="Q214" i="21"/>
  <c r="AC214" i="21"/>
  <c r="I218" i="21"/>
  <c r="U218" i="21"/>
  <c r="E227" i="21"/>
  <c r="S227" i="21"/>
  <c r="AG227" i="21"/>
  <c r="H228" i="21"/>
  <c r="V228" i="21"/>
  <c r="AJ228" i="21"/>
  <c r="I229" i="21"/>
  <c r="W229" i="21"/>
  <c r="AM229" i="21"/>
  <c r="J10" i="22"/>
  <c r="F19" i="22"/>
  <c r="M19" i="22" s="1"/>
  <c r="H96" i="22"/>
  <c r="G96" i="22"/>
  <c r="N96" i="22" s="1"/>
  <c r="F96" i="22"/>
  <c r="M96" i="22" s="1"/>
  <c r="E96" i="22"/>
  <c r="J96" i="22"/>
  <c r="I96" i="22"/>
  <c r="I100" i="22"/>
  <c r="F100" i="22"/>
  <c r="M100" i="22" s="1"/>
  <c r="E118" i="22"/>
  <c r="L118" i="22" s="1"/>
  <c r="F44" i="22"/>
  <c r="M44" i="22" s="1"/>
  <c r="E70" i="22"/>
  <c r="I70" i="22"/>
  <c r="H70" i="22"/>
  <c r="G70" i="22"/>
  <c r="F70" i="22"/>
  <c r="I135" i="22"/>
  <c r="J135" i="22"/>
  <c r="F135" i="22"/>
  <c r="M135" i="22" s="1"/>
  <c r="J70" i="22"/>
  <c r="E78" i="22"/>
  <c r="G213" i="22"/>
  <c r="F213" i="22"/>
  <c r="M213" i="22" s="1"/>
  <c r="J213" i="22"/>
  <c r="I213" i="22"/>
  <c r="J227" i="22"/>
  <c r="F94" i="22"/>
  <c r="M94" i="22" s="1"/>
  <c r="I204" i="22"/>
  <c r="F204" i="22"/>
  <c r="M204" i="22" s="1"/>
  <c r="E226" i="21"/>
  <c r="Q226" i="21"/>
  <c r="AC226" i="21"/>
  <c r="E32" i="22"/>
  <c r="L32" i="22" s="1"/>
  <c r="J40" i="22"/>
  <c r="J146" i="22"/>
  <c r="G146" i="22"/>
  <c r="N146" i="22" s="1"/>
  <c r="H160" i="22"/>
  <c r="E160" i="22"/>
  <c r="F201" i="22"/>
  <c r="M201" i="22" s="1"/>
  <c r="J201" i="22"/>
  <c r="I201" i="22"/>
  <c r="G201" i="22"/>
  <c r="I206" i="22"/>
  <c r="H181" i="22"/>
  <c r="F206" i="22"/>
  <c r="I210" i="22"/>
  <c r="F210" i="22"/>
  <c r="M210" i="22" s="1"/>
  <c r="J91" i="22"/>
  <c r="J220" i="22"/>
  <c r="G220" i="22"/>
  <c r="E91" i="22"/>
  <c r="L91" i="22" s="1"/>
  <c r="F211" i="22"/>
  <c r="M211" i="22" s="1"/>
  <c r="G124" i="22"/>
  <c r="I208" i="22"/>
  <c r="J229" i="22"/>
  <c r="I229" i="22"/>
  <c r="G229" i="22"/>
  <c r="F229" i="22"/>
  <c r="M229" i="22" s="1"/>
  <c r="H229" i="22"/>
  <c r="F208" i="22"/>
  <c r="M208" i="22" s="1"/>
  <c r="E229" i="22"/>
  <c r="L229" i="22" s="1"/>
  <c r="E94" i="22"/>
  <c r="E119" i="22"/>
  <c r="E186" i="22"/>
  <c r="F124" i="22"/>
  <c r="M124" i="22" s="1"/>
  <c r="J179" i="22"/>
  <c r="G179" i="22"/>
  <c r="G186" i="22"/>
  <c r="H186" i="22"/>
  <c r="J218" i="22"/>
  <c r="G218" i="22"/>
  <c r="J230" i="22"/>
  <c r="I230" i="22"/>
  <c r="H230" i="22"/>
  <c r="G230" i="22"/>
  <c r="N230" i="22" s="1"/>
  <c r="I171" i="22"/>
  <c r="I195" i="22"/>
  <c r="I214" i="22"/>
  <c r="G224" i="22"/>
  <c r="N224" i="22" s="1"/>
  <c r="E230" i="22"/>
  <c r="L230" i="22" s="1"/>
  <c r="I154" i="22"/>
  <c r="J186" i="22"/>
  <c r="I207" i="22"/>
  <c r="J228" i="22"/>
  <c r="I228" i="22"/>
  <c r="H228" i="22"/>
  <c r="F228" i="22"/>
  <c r="E228" i="22"/>
  <c r="F230" i="22"/>
  <c r="M230" i="22" s="1"/>
  <c r="E227" i="22"/>
  <c r="F154" i="22"/>
  <c r="M154" i="22" s="1"/>
  <c r="F214" i="22"/>
  <c r="G227" i="22"/>
  <c r="N227" i="22" s="1"/>
  <c r="H227" i="22"/>
  <c r="H214" i="22"/>
  <c r="I215" i="22"/>
  <c r="H226" i="22"/>
  <c r="I227" i="22"/>
  <c r="T224" i="14" l="1"/>
  <c r="S224" i="14"/>
  <c r="R224" i="14"/>
  <c r="DH213" i="3"/>
  <c r="DH208" i="2"/>
  <c r="DH218" i="1"/>
  <c r="DI218" i="1" s="1"/>
  <c r="T230" i="14"/>
  <c r="S230" i="14"/>
  <c r="R230" i="14"/>
  <c r="T194" i="14"/>
  <c r="S194" i="14"/>
  <c r="R194" i="14"/>
  <c r="DH186" i="3"/>
  <c r="DH189" i="2"/>
  <c r="DH189" i="1"/>
  <c r="DI189" i="1" s="1"/>
  <c r="AY207" i="14"/>
  <c r="AB207" i="14"/>
  <c r="AT207" i="14"/>
  <c r="W207" i="14"/>
  <c r="T45" i="14"/>
  <c r="S45" i="14"/>
  <c r="R45" i="14"/>
  <c r="DH40" i="3"/>
  <c r="DH41" i="2"/>
  <c r="DH41" i="1"/>
  <c r="DI41" i="1" s="1"/>
  <c r="CX167" i="3"/>
  <c r="CZ167" i="3" s="1"/>
  <c r="T233" i="14"/>
  <c r="S233" i="14"/>
  <c r="R233" i="14"/>
  <c r="T197" i="14"/>
  <c r="S197" i="14"/>
  <c r="R197" i="14"/>
  <c r="DH189" i="3"/>
  <c r="DH192" i="2"/>
  <c r="DH192" i="1"/>
  <c r="DI192" i="1" s="1"/>
  <c r="R229" i="14"/>
  <c r="T229" i="14"/>
  <c r="S229" i="14"/>
  <c r="DH218" i="3"/>
  <c r="DH212" i="2"/>
  <c r="S182" i="14"/>
  <c r="R182" i="14"/>
  <c r="T182" i="14"/>
  <c r="DH177" i="2"/>
  <c r="DH178" i="1"/>
  <c r="DI178" i="1" s="1"/>
  <c r="T117" i="14"/>
  <c r="S117" i="14"/>
  <c r="R117" i="14"/>
  <c r="DH112" i="3"/>
  <c r="DH113" i="2"/>
  <c r="DH113" i="1"/>
  <c r="DI113" i="1" s="1"/>
  <c r="T144" i="14"/>
  <c r="S144" i="14"/>
  <c r="R144" i="14"/>
  <c r="DH138" i="3"/>
  <c r="DH139" i="2"/>
  <c r="DH140" i="1"/>
  <c r="DI140" i="1" s="1"/>
  <c r="S179" i="14"/>
  <c r="R179" i="14"/>
  <c r="T179" i="14"/>
  <c r="DH172" i="3"/>
  <c r="DH174" i="2"/>
  <c r="DH175" i="1"/>
  <c r="DI175" i="1" s="1"/>
  <c r="T102" i="14"/>
  <c r="S102" i="14"/>
  <c r="R102" i="14"/>
  <c r="DH97" i="3"/>
  <c r="DH98" i="2"/>
  <c r="DH98" i="1"/>
  <c r="DI98" i="1" s="1"/>
  <c r="T51" i="14"/>
  <c r="S51" i="14"/>
  <c r="R51" i="14"/>
  <c r="DH46" i="3"/>
  <c r="DH47" i="2"/>
  <c r="DH47" i="1"/>
  <c r="DI47" i="1" s="1"/>
  <c r="AZ113" i="14"/>
  <c r="AC113" i="14"/>
  <c r="AU113" i="14"/>
  <c r="X113" i="14"/>
  <c r="U88" i="13"/>
  <c r="G3" i="19" s="1"/>
  <c r="Q231" i="21" s="1"/>
  <c r="U49" i="13"/>
  <c r="T12" i="14"/>
  <c r="S12" i="14"/>
  <c r="R12" i="14"/>
  <c r="DH8" i="3"/>
  <c r="DH8" i="2"/>
  <c r="DH8" i="1"/>
  <c r="DI8" i="1" s="1"/>
  <c r="AH12" i="12"/>
  <c r="AR12" i="12" s="1"/>
  <c r="R15" i="14"/>
  <c r="S15" i="14"/>
  <c r="T15" i="14"/>
  <c r="DH11" i="3"/>
  <c r="DH11" i="2"/>
  <c r="DH11" i="1"/>
  <c r="DI11" i="1" s="1"/>
  <c r="AE13" i="12"/>
  <c r="AO13" i="12" s="1"/>
  <c r="F190" i="9"/>
  <c r="EI187" i="3"/>
  <c r="AB192" i="21" s="1"/>
  <c r="CI187" i="3"/>
  <c r="EG187" i="3"/>
  <c r="V192" i="21" s="1"/>
  <c r="CG187" i="3"/>
  <c r="ER187" i="3"/>
  <c r="G192" i="22" s="1"/>
  <c r="EF187" i="3"/>
  <c r="S192" i="21" s="1"/>
  <c r="EQ187" i="3"/>
  <c r="EE187" i="3"/>
  <c r="P192" i="21" s="1"/>
  <c r="CQ187" i="3"/>
  <c r="EP187" i="3"/>
  <c r="ED187" i="3"/>
  <c r="M192" i="21" s="1"/>
  <c r="EM187" i="3"/>
  <c r="AN192" i="21" s="1"/>
  <c r="EJ187" i="3"/>
  <c r="AE192" i="21" s="1"/>
  <c r="EH187" i="3"/>
  <c r="Y192" i="21" s="1"/>
  <c r="EC187" i="3"/>
  <c r="J192" i="21" s="1"/>
  <c r="EB187" i="3"/>
  <c r="G192" i="21" s="1"/>
  <c r="CK187" i="3"/>
  <c r="CJ187" i="3"/>
  <c r="EO187" i="3"/>
  <c r="EK187" i="3"/>
  <c r="EN187" i="3"/>
  <c r="AQ192" i="21" s="1"/>
  <c r="EL187" i="3"/>
  <c r="AK192" i="21" s="1"/>
  <c r="CH187" i="3"/>
  <c r="F86" i="9"/>
  <c r="ER86" i="3"/>
  <c r="G88" i="22" s="1"/>
  <c r="EQ86" i="3"/>
  <c r="EK86" i="3" s="1"/>
  <c r="EN86" i="3"/>
  <c r="AQ88" i="21" s="1"/>
  <c r="EJ86" i="3"/>
  <c r="AE88" i="21" s="1"/>
  <c r="EH86" i="3"/>
  <c r="Y88" i="21" s="1"/>
  <c r="CJ86" i="3"/>
  <c r="EG86" i="3"/>
  <c r="V88" i="21" s="1"/>
  <c r="CI86" i="3"/>
  <c r="EO86" i="3"/>
  <c r="EM86" i="3"/>
  <c r="AN88" i="21" s="1"/>
  <c r="EL86" i="3"/>
  <c r="AK88" i="21" s="1"/>
  <c r="CK86" i="3"/>
  <c r="CG86" i="3"/>
  <c r="EI86" i="3"/>
  <c r="AB88" i="21" s="1"/>
  <c r="CH86" i="3"/>
  <c r="DX84" i="3"/>
  <c r="M62" i="22"/>
  <c r="F38" i="20"/>
  <c r="T203" i="14"/>
  <c r="S203" i="14"/>
  <c r="R203" i="14"/>
  <c r="DH195" i="3"/>
  <c r="DH198" i="2"/>
  <c r="DH198" i="1"/>
  <c r="DI198" i="1" s="1"/>
  <c r="S152" i="14"/>
  <c r="R152" i="14"/>
  <c r="T152" i="14"/>
  <c r="DH146" i="3"/>
  <c r="DI146" i="3" s="1"/>
  <c r="DH147" i="2"/>
  <c r="DI147" i="2" s="1"/>
  <c r="DH148" i="1"/>
  <c r="DI148" i="1" s="1"/>
  <c r="T227" i="14"/>
  <c r="S227" i="14"/>
  <c r="R227" i="14"/>
  <c r="DH216" i="3"/>
  <c r="DI216" i="3" s="1"/>
  <c r="DH211" i="2"/>
  <c r="DH221" i="1"/>
  <c r="DI221" i="1" s="1"/>
  <c r="R175" i="14"/>
  <c r="T175" i="14"/>
  <c r="S175" i="14"/>
  <c r="DH168" i="3"/>
  <c r="DH170" i="2"/>
  <c r="DH171" i="1"/>
  <c r="DI171" i="1" s="1"/>
  <c r="T110" i="14"/>
  <c r="S110" i="14"/>
  <c r="R110" i="14"/>
  <c r="DH105" i="3"/>
  <c r="DH106" i="2"/>
  <c r="DH106" i="1"/>
  <c r="DI106" i="1" s="1"/>
  <c r="AY216" i="14"/>
  <c r="AB216" i="14"/>
  <c r="AT216" i="14"/>
  <c r="W216" i="14"/>
  <c r="T120" i="14"/>
  <c r="S120" i="14"/>
  <c r="R120" i="14"/>
  <c r="DH115" i="3"/>
  <c r="DH116" i="2"/>
  <c r="DH116" i="1"/>
  <c r="DI116" i="1" s="1"/>
  <c r="T108" i="14"/>
  <c r="S108" i="14"/>
  <c r="R108" i="14"/>
  <c r="DH103" i="3"/>
  <c r="DH104" i="2"/>
  <c r="DH104" i="1"/>
  <c r="DI104" i="1" s="1"/>
  <c r="T27" i="14"/>
  <c r="S27" i="14"/>
  <c r="R27" i="14"/>
  <c r="DH23" i="3"/>
  <c r="DH23" i="2"/>
  <c r="DH23" i="1"/>
  <c r="DI23" i="1" s="1"/>
  <c r="BA113" i="14"/>
  <c r="AD113" i="14"/>
  <c r="AV113" i="14"/>
  <c r="Y113" i="14"/>
  <c r="AB203" i="6"/>
  <c r="AB185" i="6"/>
  <c r="AB167" i="6"/>
  <c r="AB149" i="6"/>
  <c r="AB131" i="6"/>
  <c r="AB113" i="6"/>
  <c r="AB95" i="6"/>
  <c r="AB77" i="6"/>
  <c r="AB41" i="6"/>
  <c r="AB5" i="6"/>
  <c r="AB201" i="6"/>
  <c r="AB183" i="6"/>
  <c r="AB165" i="6"/>
  <c r="AB147" i="6"/>
  <c r="AB129" i="6"/>
  <c r="AB111" i="6"/>
  <c r="AB93" i="6"/>
  <c r="AB50" i="6"/>
  <c r="AB14" i="6"/>
  <c r="AB202" i="6"/>
  <c r="AB209" i="6"/>
  <c r="AB200" i="6"/>
  <c r="AB184" i="6"/>
  <c r="AB173" i="6"/>
  <c r="AB164" i="6"/>
  <c r="AB141" i="6"/>
  <c r="AB132" i="6"/>
  <c r="AB198" i="6"/>
  <c r="AB191" i="6"/>
  <c r="AB182" i="6"/>
  <c r="AB148" i="6"/>
  <c r="AB123" i="6"/>
  <c r="AB112" i="6"/>
  <c r="AB105" i="6"/>
  <c r="AB94" i="6"/>
  <c r="AB83" i="6"/>
  <c r="AB38" i="6"/>
  <c r="AB17" i="6"/>
  <c r="AB212" i="6"/>
  <c r="AB153" i="6"/>
  <c r="AB126" i="6"/>
  <c r="AB117" i="6"/>
  <c r="AB108" i="6"/>
  <c r="AB99" i="6"/>
  <c r="AB46" i="6"/>
  <c r="AB15" i="6"/>
  <c r="AB194" i="6"/>
  <c r="AB176" i="6"/>
  <c r="AB135" i="6"/>
  <c r="AB65" i="6"/>
  <c r="AB60" i="6"/>
  <c r="AB20" i="6"/>
  <c r="AB206" i="6"/>
  <c r="AB197" i="6"/>
  <c r="AB181" i="6"/>
  <c r="AB170" i="6"/>
  <c r="AB163" i="6"/>
  <c r="AB156" i="6"/>
  <c r="AB120" i="6"/>
  <c r="AB102" i="6"/>
  <c r="AB68" i="6"/>
  <c r="AB37" i="6"/>
  <c r="AB210" i="6"/>
  <c r="AB174" i="6"/>
  <c r="AB161" i="6"/>
  <c r="AB107" i="6"/>
  <c r="AB96" i="6"/>
  <c r="AB62" i="6"/>
  <c r="AB23" i="6"/>
  <c r="AB205" i="6"/>
  <c r="AB159" i="6"/>
  <c r="AB124" i="6"/>
  <c r="AB98" i="6"/>
  <c r="AB66" i="6"/>
  <c r="AB64" i="6"/>
  <c r="AB10" i="6"/>
  <c r="AB8" i="6"/>
  <c r="AB207" i="6"/>
  <c r="AB189" i="6"/>
  <c r="AB128" i="6"/>
  <c r="AB119" i="6"/>
  <c r="AB74" i="6"/>
  <c r="AB47" i="6"/>
  <c r="AB29" i="6"/>
  <c r="AB180" i="6"/>
  <c r="AB150" i="6"/>
  <c r="AB137" i="6"/>
  <c r="AB130" i="6"/>
  <c r="AB80" i="6"/>
  <c r="AB76" i="6"/>
  <c r="AB51" i="6"/>
  <c r="AB45" i="6"/>
  <c r="AB43" i="6"/>
  <c r="AB171" i="6"/>
  <c r="AB152" i="6"/>
  <c r="AB121" i="6"/>
  <c r="AB91" i="6"/>
  <c r="AB89" i="6"/>
  <c r="AB87" i="6"/>
  <c r="AB53" i="6"/>
  <c r="AB35" i="6"/>
  <c r="AB145" i="6"/>
  <c r="AB143" i="6"/>
  <c r="AB110" i="6"/>
  <c r="AB104" i="6"/>
  <c r="AB199" i="6"/>
  <c r="AB168" i="6"/>
  <c r="AB101" i="6"/>
  <c r="AB86" i="6"/>
  <c r="AB73" i="6"/>
  <c r="AB71" i="6"/>
  <c r="AB69" i="6"/>
  <c r="AB67" i="6"/>
  <c r="AB44" i="6"/>
  <c r="AB32" i="6"/>
  <c r="AB13" i="6"/>
  <c r="AB11" i="6"/>
  <c r="AB179" i="6"/>
  <c r="AB166" i="6"/>
  <c r="AB138" i="6"/>
  <c r="AB75" i="6"/>
  <c r="AB42" i="6"/>
  <c r="AB192" i="6"/>
  <c r="AB177" i="6"/>
  <c r="AB155" i="6"/>
  <c r="AB140" i="6"/>
  <c r="AB103" i="6"/>
  <c r="AB92" i="6"/>
  <c r="AB90" i="6"/>
  <c r="AB81" i="6"/>
  <c r="AB54" i="6"/>
  <c r="AB40" i="6"/>
  <c r="AB186" i="6"/>
  <c r="AB144" i="6"/>
  <c r="AB58" i="6"/>
  <c r="AB158" i="6"/>
  <c r="AB188" i="6"/>
  <c r="AB2" i="6"/>
  <c r="AB204" i="6"/>
  <c r="AB146" i="6"/>
  <c r="AB19" i="6"/>
  <c r="AB162" i="6"/>
  <c r="AB134" i="6"/>
  <c r="AB114" i="6"/>
  <c r="AB24" i="6"/>
  <c r="AB116" i="6"/>
  <c r="AB106" i="6"/>
  <c r="AB28" i="6"/>
  <c r="AB127" i="6"/>
  <c r="AB26" i="6"/>
  <c r="AB84" i="6"/>
  <c r="AB59" i="6"/>
  <c r="AB195" i="6"/>
  <c r="AB56" i="6"/>
  <c r="AB9" i="6"/>
  <c r="AB125" i="6"/>
  <c r="AB122" i="6"/>
  <c r="AB49" i="6"/>
  <c r="AB97" i="6"/>
  <c r="AB72" i="6"/>
  <c r="AB12" i="6"/>
  <c r="AB118" i="6"/>
  <c r="AB211" i="6"/>
  <c r="AB175" i="6"/>
  <c r="AB115" i="6"/>
  <c r="AB34" i="6"/>
  <c r="AB142" i="6"/>
  <c r="AB178" i="6"/>
  <c r="AB16" i="6"/>
  <c r="AB3" i="6"/>
  <c r="AB109" i="6"/>
  <c r="AB187" i="6"/>
  <c r="AB190" i="6"/>
  <c r="AB36" i="6"/>
  <c r="AB4" i="6"/>
  <c r="AB133" i="6"/>
  <c r="AB193" i="6"/>
  <c r="AB55" i="6"/>
  <c r="AB136" i="6"/>
  <c r="AB157" i="6"/>
  <c r="AB70" i="6"/>
  <c r="AB196" i="6"/>
  <c r="AB79" i="6"/>
  <c r="AB31" i="6"/>
  <c r="AB63" i="6"/>
  <c r="AB6" i="6"/>
  <c r="AB100" i="6"/>
  <c r="AB169" i="6"/>
  <c r="AB151" i="6"/>
  <c r="AB18" i="6"/>
  <c r="AB48" i="6"/>
  <c r="AB82" i="6"/>
  <c r="AB160" i="6"/>
  <c r="DX199" i="3"/>
  <c r="DY199" i="3" s="1"/>
  <c r="DX158" i="3"/>
  <c r="DY158" i="3" s="1"/>
  <c r="D137" i="9"/>
  <c r="EJ138" i="1"/>
  <c r="AC139" i="21" s="1"/>
  <c r="EG138" i="1"/>
  <c r="T139" i="21" s="1"/>
  <c r="CG138" i="1"/>
  <c r="EQ138" i="1"/>
  <c r="EO138" i="1"/>
  <c r="EN138" i="1"/>
  <c r="AO139" i="21" s="1"/>
  <c r="EL138" i="1"/>
  <c r="AI139" i="21" s="1"/>
  <c r="EK138" i="1"/>
  <c r="CK138" i="1"/>
  <c r="EI138" i="1"/>
  <c r="Z139" i="21" s="1"/>
  <c r="CJ138" i="1"/>
  <c r="CH138" i="1"/>
  <c r="CI138" i="1"/>
  <c r="EH138" i="1"/>
  <c r="W139" i="21" s="1"/>
  <c r="DX136" i="1"/>
  <c r="DY136" i="1" s="1"/>
  <c r="CD136" i="1"/>
  <c r="N34" i="22"/>
  <c r="N179" i="22"/>
  <c r="N213" i="22"/>
  <c r="M10" i="22"/>
  <c r="M34" i="22"/>
  <c r="U47" i="15"/>
  <c r="T47" i="15"/>
  <c r="T200" i="14"/>
  <c r="S200" i="14"/>
  <c r="R200" i="14"/>
  <c r="DH192" i="3"/>
  <c r="DH195" i="2"/>
  <c r="DH195" i="1"/>
  <c r="DI195" i="1" s="1"/>
  <c r="R151" i="14"/>
  <c r="T151" i="14"/>
  <c r="S151" i="14"/>
  <c r="DH145" i="3"/>
  <c r="DH146" i="2"/>
  <c r="DH147" i="1"/>
  <c r="DI147" i="1" s="1"/>
  <c r="AY174" i="14"/>
  <c r="AT174" i="14"/>
  <c r="AB174" i="14"/>
  <c r="W174" i="14"/>
  <c r="T138" i="14"/>
  <c r="S138" i="14"/>
  <c r="R138" i="14"/>
  <c r="DH134" i="1"/>
  <c r="DI134" i="1" s="1"/>
  <c r="T101" i="14"/>
  <c r="S101" i="14"/>
  <c r="R101" i="14"/>
  <c r="DH96" i="3"/>
  <c r="DH97" i="2"/>
  <c r="DH97" i="1"/>
  <c r="DI97" i="1" s="1"/>
  <c r="T80" i="14"/>
  <c r="S80" i="14"/>
  <c r="R80" i="14"/>
  <c r="DH75" i="3"/>
  <c r="DH76" i="2"/>
  <c r="DH76" i="1"/>
  <c r="DI76" i="1" s="1"/>
  <c r="R85" i="14"/>
  <c r="T85" i="14"/>
  <c r="S85" i="14"/>
  <c r="DH80" i="3"/>
  <c r="DH81" i="2"/>
  <c r="DH81" i="1"/>
  <c r="DI81" i="1" s="1"/>
  <c r="AB208" i="6"/>
  <c r="AB154" i="6"/>
  <c r="AB52" i="6"/>
  <c r="DF114" i="3"/>
  <c r="DX114" i="3" s="1"/>
  <c r="EP116" i="3"/>
  <c r="F51" i="9"/>
  <c r="EO51" i="3"/>
  <c r="EN51" i="3"/>
  <c r="AQ53" i="21" s="1"/>
  <c r="EM51" i="3"/>
  <c r="AN53" i="21" s="1"/>
  <c r="EL51" i="3"/>
  <c r="AK53" i="21" s="1"/>
  <c r="EJ51" i="3"/>
  <c r="AE53" i="21" s="1"/>
  <c r="CJ51" i="3"/>
  <c r="EI51" i="3"/>
  <c r="AB53" i="21" s="1"/>
  <c r="M53" i="20" s="1"/>
  <c r="CI51" i="3"/>
  <c r="CG51" i="3"/>
  <c r="EQ51" i="3"/>
  <c r="EK51" i="3" s="1"/>
  <c r="EH51" i="3"/>
  <c r="Y53" i="21" s="1"/>
  <c r="EG51" i="3"/>
  <c r="V53" i="21" s="1"/>
  <c r="CK51" i="3"/>
  <c r="CH51" i="3"/>
  <c r="DX89" i="3"/>
  <c r="DX38" i="3"/>
  <c r="DX179" i="2"/>
  <c r="DY179" i="2" s="1"/>
  <c r="L227" i="22"/>
  <c r="N11" i="22"/>
  <c r="L70" i="22"/>
  <c r="T51" i="16"/>
  <c r="S51" i="16"/>
  <c r="R190" i="14"/>
  <c r="S190" i="14"/>
  <c r="T190" i="14"/>
  <c r="DH182" i="3"/>
  <c r="DH185" i="2"/>
  <c r="DH185" i="1"/>
  <c r="DI185" i="1" s="1"/>
  <c r="AL213" i="14"/>
  <c r="AG213" i="14"/>
  <c r="T218" i="14"/>
  <c r="S218" i="14"/>
  <c r="R218" i="14"/>
  <c r="DH209" i="3"/>
  <c r="DH212" i="1"/>
  <c r="DI212" i="1" s="1"/>
  <c r="AZ204" i="14"/>
  <c r="AC204" i="14"/>
  <c r="AU204" i="14"/>
  <c r="X204" i="14"/>
  <c r="T209" i="14"/>
  <c r="S209" i="14"/>
  <c r="R209" i="14"/>
  <c r="DH201" i="3"/>
  <c r="DH204" i="1"/>
  <c r="DI204" i="1" s="1"/>
  <c r="T98" i="14"/>
  <c r="S98" i="14"/>
  <c r="R98" i="14"/>
  <c r="DH93" i="3"/>
  <c r="DH94" i="2"/>
  <c r="DH94" i="1"/>
  <c r="DI94" i="1" s="1"/>
  <c r="BA216" i="14"/>
  <c r="AD216" i="14"/>
  <c r="AV216" i="14"/>
  <c r="Y216" i="14"/>
  <c r="T87" i="14"/>
  <c r="S87" i="14"/>
  <c r="R87" i="14"/>
  <c r="DH82" i="3"/>
  <c r="DH83" i="2"/>
  <c r="DH83" i="1"/>
  <c r="DI83" i="1" s="1"/>
  <c r="AN47" i="14"/>
  <c r="AI47" i="14"/>
  <c r="DX126" i="3"/>
  <c r="F27" i="9"/>
  <c r="EQ28" i="3"/>
  <c r="EO28" i="3"/>
  <c r="EN28" i="3"/>
  <c r="AQ29" i="21" s="1"/>
  <c r="EM28" i="3"/>
  <c r="AN29" i="21" s="1"/>
  <c r="EL28" i="3"/>
  <c r="AK29" i="21" s="1"/>
  <c r="EK28" i="3"/>
  <c r="CK28" i="3"/>
  <c r="EI28" i="3"/>
  <c r="AB29" i="21" s="1"/>
  <c r="CI28" i="3"/>
  <c r="EJ28" i="3"/>
  <c r="AE29" i="21" s="1"/>
  <c r="EH28" i="3"/>
  <c r="Y29" i="21" s="1"/>
  <c r="EG28" i="3"/>
  <c r="V29" i="21" s="1"/>
  <c r="CJ28" i="3"/>
  <c r="CH28" i="3"/>
  <c r="CG28" i="3"/>
  <c r="ER28" i="3"/>
  <c r="G29" i="22" s="1"/>
  <c r="EP28" i="3"/>
  <c r="EP33" i="3"/>
  <c r="G35" i="22"/>
  <c r="DX79" i="2"/>
  <c r="DY79" i="2" s="1"/>
  <c r="DX67" i="2"/>
  <c r="F223" i="9"/>
  <c r="EJ217" i="3"/>
  <c r="AE225" i="21" s="1"/>
  <c r="CJ217" i="3"/>
  <c r="EN217" i="3"/>
  <c r="AQ225" i="21" s="1"/>
  <c r="CI217" i="3"/>
  <c r="EM217" i="3"/>
  <c r="AN225" i="21" s="1"/>
  <c r="CH217" i="3"/>
  <c r="EL217" i="3"/>
  <c r="AK225" i="21" s="1"/>
  <c r="CG217" i="3"/>
  <c r="EK217" i="3"/>
  <c r="EI217" i="3"/>
  <c r="AB225" i="21" s="1"/>
  <c r="EH217" i="3"/>
  <c r="Y225" i="21" s="1"/>
  <c r="CQ217" i="3"/>
  <c r="ER217" i="3"/>
  <c r="G225" i="22" s="1"/>
  <c r="EE217" i="3"/>
  <c r="P225" i="21" s="1"/>
  <c r="EQ217" i="3"/>
  <c r="ED217" i="3"/>
  <c r="M225" i="21" s="1"/>
  <c r="EP217" i="3"/>
  <c r="EC217" i="3"/>
  <c r="J225" i="21" s="1"/>
  <c r="EO217" i="3"/>
  <c r="EG217" i="3"/>
  <c r="V225" i="21" s="1"/>
  <c r="EF217" i="3"/>
  <c r="S225" i="21" s="1"/>
  <c r="EB217" i="3"/>
  <c r="G225" i="21" s="1"/>
  <c r="CK217" i="3"/>
  <c r="M214" i="22"/>
  <c r="L228" i="22"/>
  <c r="N229" i="22"/>
  <c r="J118" i="22"/>
  <c r="N118" i="22" s="1"/>
  <c r="C118" i="22" s="1"/>
  <c r="N33" i="22"/>
  <c r="T49" i="16"/>
  <c r="S49" i="16"/>
  <c r="U41" i="15"/>
  <c r="T41" i="15"/>
  <c r="T107" i="14"/>
  <c r="S107" i="14"/>
  <c r="R107" i="14"/>
  <c r="DH102" i="3"/>
  <c r="DH103" i="2"/>
  <c r="DH103" i="1"/>
  <c r="DI103" i="1" s="1"/>
  <c r="T64" i="14"/>
  <c r="R64" i="14"/>
  <c r="S64" i="14"/>
  <c r="DH59" i="3"/>
  <c r="DH60" i="2"/>
  <c r="DH60" i="1"/>
  <c r="DI60" i="1" s="1"/>
  <c r="T71" i="14"/>
  <c r="R71" i="14"/>
  <c r="S71" i="14"/>
  <c r="DH66" i="3"/>
  <c r="DH67" i="2"/>
  <c r="DH67" i="1"/>
  <c r="DI67" i="1" s="1"/>
  <c r="T78" i="14"/>
  <c r="S78" i="14"/>
  <c r="R78" i="14"/>
  <c r="DH73" i="3"/>
  <c r="DH74" i="2"/>
  <c r="DH74" i="1"/>
  <c r="DI74" i="1" s="1"/>
  <c r="AB22" i="6"/>
  <c r="F113" i="9"/>
  <c r="EH113" i="3"/>
  <c r="Y115" i="21" s="1"/>
  <c r="CH113" i="3"/>
  <c r="EG113" i="3"/>
  <c r="V115" i="21" s="1"/>
  <c r="CG113" i="3"/>
  <c r="ER113" i="3"/>
  <c r="G115" i="22" s="1"/>
  <c r="EQ113" i="3"/>
  <c r="EO113" i="3"/>
  <c r="EN113" i="3"/>
  <c r="AQ115" i="21" s="1"/>
  <c r="EL113" i="3"/>
  <c r="AK115" i="21" s="1"/>
  <c r="EK113" i="3"/>
  <c r="CK113" i="3"/>
  <c r="EM113" i="3"/>
  <c r="AN115" i="21" s="1"/>
  <c r="EJ113" i="3"/>
  <c r="AE115" i="21" s="1"/>
  <c r="EI113" i="3"/>
  <c r="AB115" i="21" s="1"/>
  <c r="CJ113" i="3"/>
  <c r="CI113" i="3"/>
  <c r="DX32" i="3"/>
  <c r="DX10" i="3"/>
  <c r="BA228" i="14"/>
  <c r="AD228" i="14"/>
  <c r="AV228" i="14"/>
  <c r="Y228" i="14"/>
  <c r="AB12" i="12"/>
  <c r="AL12" i="12" s="1"/>
  <c r="F101" i="9"/>
  <c r="EH101" i="3"/>
  <c r="Y103" i="21" s="1"/>
  <c r="CH101" i="3"/>
  <c r="EG101" i="3"/>
  <c r="V103" i="21" s="1"/>
  <c r="CG101" i="3"/>
  <c r="EQ101" i="3"/>
  <c r="EK101" i="3" s="1"/>
  <c r="EO101" i="3"/>
  <c r="EN101" i="3"/>
  <c r="AQ103" i="21" s="1"/>
  <c r="EL101" i="3"/>
  <c r="AK103" i="21" s="1"/>
  <c r="CK101" i="3"/>
  <c r="EM101" i="3"/>
  <c r="AN103" i="21" s="1"/>
  <c r="EJ101" i="3"/>
  <c r="AE103" i="21" s="1"/>
  <c r="EI101" i="3"/>
  <c r="AB103" i="21" s="1"/>
  <c r="CJ101" i="3"/>
  <c r="CI101" i="3"/>
  <c r="M228" i="22"/>
  <c r="N218" i="22"/>
  <c r="M206" i="22"/>
  <c r="N201" i="22"/>
  <c r="L108" i="22"/>
  <c r="N23" i="22"/>
  <c r="N41" i="22"/>
  <c r="T119" i="14"/>
  <c r="S119" i="14"/>
  <c r="R119" i="14"/>
  <c r="DH114" i="3"/>
  <c r="DH115" i="2"/>
  <c r="DH115" i="1"/>
  <c r="DI115" i="1" s="1"/>
  <c r="AY66" i="14"/>
  <c r="AB66" i="14"/>
  <c r="W66" i="14"/>
  <c r="AT66" i="14"/>
  <c r="R33" i="14"/>
  <c r="T33" i="14"/>
  <c r="S33" i="14"/>
  <c r="DH29" i="3"/>
  <c r="DH29" i="2"/>
  <c r="DH29" i="1"/>
  <c r="DI29" i="1" s="1"/>
  <c r="T24" i="14"/>
  <c r="S24" i="14"/>
  <c r="R24" i="14"/>
  <c r="DH20" i="3"/>
  <c r="DH20" i="2"/>
  <c r="DH20" i="1"/>
  <c r="DI20" i="1" s="1"/>
  <c r="AB88" i="6"/>
  <c r="AB172" i="6"/>
  <c r="F98" i="9"/>
  <c r="CK98" i="3"/>
  <c r="EJ98" i="3"/>
  <c r="AE100" i="21" s="1"/>
  <c r="CJ98" i="3"/>
  <c r="EG98" i="3"/>
  <c r="V100" i="21" s="1"/>
  <c r="CG98" i="3"/>
  <c r="EQ98" i="3"/>
  <c r="EK98" i="3" s="1"/>
  <c r="EO98" i="3"/>
  <c r="EN98" i="3"/>
  <c r="AQ100" i="21" s="1"/>
  <c r="EI98" i="3"/>
  <c r="AB100" i="21" s="1"/>
  <c r="CI98" i="3"/>
  <c r="CH98" i="3"/>
  <c r="EH98" i="3"/>
  <c r="Y100" i="21" s="1"/>
  <c r="DX33" i="3"/>
  <c r="ER89" i="3"/>
  <c r="DX21" i="3"/>
  <c r="D208" i="9"/>
  <c r="EP208" i="1"/>
  <c r="ED208" i="1"/>
  <c r="K210" i="21" s="1"/>
  <c r="EO208" i="1"/>
  <c r="EC208" i="1"/>
  <c r="H210" i="21" s="1"/>
  <c r="EN208" i="1"/>
  <c r="AO210" i="21" s="1"/>
  <c r="EB208" i="1"/>
  <c r="E210" i="21" s="1"/>
  <c r="EM208" i="1"/>
  <c r="AL210" i="21" s="1"/>
  <c r="EL208" i="1"/>
  <c r="AI210" i="21" s="1"/>
  <c r="EK208" i="1"/>
  <c r="CK208" i="1"/>
  <c r="EJ208" i="1"/>
  <c r="AC210" i="21" s="1"/>
  <c r="CJ208" i="1"/>
  <c r="EI208" i="1"/>
  <c r="Z210" i="21" s="1"/>
  <c r="CI208" i="1"/>
  <c r="EQ208" i="1"/>
  <c r="EE208" i="1"/>
  <c r="N210" i="21" s="1"/>
  <c r="CQ208" i="1"/>
  <c r="ER208" i="1"/>
  <c r="E210" i="22" s="1"/>
  <c r="EH208" i="1"/>
  <c r="W210" i="21" s="1"/>
  <c r="EG208" i="1"/>
  <c r="T210" i="21" s="1"/>
  <c r="EF208" i="1"/>
  <c r="Q210" i="21" s="1"/>
  <c r="CH208" i="1"/>
  <c r="CG208" i="1"/>
  <c r="DX118" i="2"/>
  <c r="D29" i="9"/>
  <c r="CK30" i="1"/>
  <c r="EN30" i="1"/>
  <c r="AO31" i="21" s="1"/>
  <c r="CI30" i="1"/>
  <c r="EL30" i="1"/>
  <c r="AI31" i="21" s="1"/>
  <c r="CG30" i="1"/>
  <c r="EM30" i="1"/>
  <c r="AL31" i="21" s="1"/>
  <c r="CH30" i="1"/>
  <c r="EJ30" i="1"/>
  <c r="AC31" i="21" s="1"/>
  <c r="EI30" i="1"/>
  <c r="Z31" i="21" s="1"/>
  <c r="EH30" i="1"/>
  <c r="W31" i="21" s="1"/>
  <c r="EG30" i="1"/>
  <c r="T31" i="21" s="1"/>
  <c r="EO30" i="1"/>
  <c r="CJ30" i="1"/>
  <c r="EQ30" i="1"/>
  <c r="EK30" i="1" s="1"/>
  <c r="L186" i="22"/>
  <c r="L96" i="22"/>
  <c r="L90" i="22"/>
  <c r="L163" i="22"/>
  <c r="F133" i="20"/>
  <c r="F53" i="20"/>
  <c r="T39" i="16"/>
  <c r="S39" i="16"/>
  <c r="S57" i="16"/>
  <c r="T57" i="16"/>
  <c r="T116" i="14"/>
  <c r="S116" i="14"/>
  <c r="R116" i="14"/>
  <c r="DH111" i="3"/>
  <c r="DH112" i="2"/>
  <c r="DH112" i="1"/>
  <c r="DI112" i="1" s="1"/>
  <c r="X59" i="13"/>
  <c r="X90" i="13" s="1"/>
  <c r="AB39" i="6"/>
  <c r="DF116" i="3"/>
  <c r="F84" i="9"/>
  <c r="EH84" i="3"/>
  <c r="Y86" i="21" s="1"/>
  <c r="CH84" i="3"/>
  <c r="EG84" i="3"/>
  <c r="V86" i="21" s="1"/>
  <c r="CG84" i="3"/>
  <c r="EP84" i="3"/>
  <c r="ED84" i="3"/>
  <c r="M86" i="21" s="1"/>
  <c r="EE84" i="3"/>
  <c r="P86" i="21" s="1"/>
  <c r="CJ84" i="3"/>
  <c r="ER84" i="3"/>
  <c r="G86" i="22" s="1"/>
  <c r="EB84" i="3"/>
  <c r="G86" i="21" s="1"/>
  <c r="EQ84" i="3"/>
  <c r="EM84" i="3"/>
  <c r="AN86" i="21" s="1"/>
  <c r="CQ84" i="3"/>
  <c r="EK84" i="3"/>
  <c r="EO84" i="3"/>
  <c r="EN84" i="3"/>
  <c r="AQ86" i="21" s="1"/>
  <c r="EL84" i="3"/>
  <c r="AK86" i="21" s="1"/>
  <c r="EJ84" i="3"/>
  <c r="AE86" i="21" s="1"/>
  <c r="EI84" i="3"/>
  <c r="AB86" i="21" s="1"/>
  <c r="EF84" i="3"/>
  <c r="S86" i="21" s="1"/>
  <c r="EC84" i="3"/>
  <c r="J86" i="21" s="1"/>
  <c r="CK84" i="3"/>
  <c r="CI84" i="3"/>
  <c r="AH106" i="21"/>
  <c r="J23" i="22"/>
  <c r="AH23" i="21"/>
  <c r="DX155" i="2"/>
  <c r="DX133" i="2"/>
  <c r="E94" i="20"/>
  <c r="D218" i="9"/>
  <c r="EG217" i="1"/>
  <c r="T220" i="21" s="1"/>
  <c r="CG217" i="1"/>
  <c r="ER217" i="1"/>
  <c r="E220" i="22" s="1"/>
  <c r="EF217" i="1"/>
  <c r="Q220" i="21" s="1"/>
  <c r="EQ217" i="1"/>
  <c r="EE217" i="1"/>
  <c r="N220" i="21" s="1"/>
  <c r="CQ217" i="1"/>
  <c r="EP217" i="1"/>
  <c r="ED217" i="1"/>
  <c r="K220" i="21" s="1"/>
  <c r="EO217" i="1"/>
  <c r="EC217" i="1"/>
  <c r="H220" i="21" s="1"/>
  <c r="EN217" i="1"/>
  <c r="AO220" i="21" s="1"/>
  <c r="EB217" i="1"/>
  <c r="E220" i="21" s="1"/>
  <c r="EM217" i="1"/>
  <c r="AL220" i="21" s="1"/>
  <c r="EL217" i="1"/>
  <c r="AI220" i="21" s="1"/>
  <c r="EH217" i="1"/>
  <c r="W220" i="21" s="1"/>
  <c r="CH217" i="1"/>
  <c r="EK217" i="1"/>
  <c r="EJ217" i="1"/>
  <c r="AC220" i="21" s="1"/>
  <c r="EI217" i="1"/>
  <c r="Z220" i="21" s="1"/>
  <c r="CJ217" i="1"/>
  <c r="CK217" i="1"/>
  <c r="CI217" i="1"/>
  <c r="CD111" i="1"/>
  <c r="DX111" i="1"/>
  <c r="DY111" i="1" s="1"/>
  <c r="S150" i="14"/>
  <c r="T150" i="14"/>
  <c r="R150" i="14"/>
  <c r="DH144" i="3"/>
  <c r="DH145" i="2"/>
  <c r="DH146" i="1"/>
  <c r="DI146" i="1" s="1"/>
  <c r="R25" i="14"/>
  <c r="T25" i="14"/>
  <c r="S25" i="14"/>
  <c r="DH21" i="3"/>
  <c r="DH21" i="2"/>
  <c r="DH21" i="1"/>
  <c r="DI21" i="1" s="1"/>
  <c r="DX123" i="2"/>
  <c r="T77" i="14"/>
  <c r="S77" i="14"/>
  <c r="R77" i="14"/>
  <c r="DH72" i="3"/>
  <c r="DH73" i="2"/>
  <c r="DH73" i="1"/>
  <c r="DI73" i="1" s="1"/>
  <c r="T82" i="14"/>
  <c r="S82" i="14"/>
  <c r="R82" i="14"/>
  <c r="DH77" i="3"/>
  <c r="DH78" i="2"/>
  <c r="DH78" i="1"/>
  <c r="DI78" i="1" s="1"/>
  <c r="T75" i="14"/>
  <c r="S75" i="14"/>
  <c r="R75" i="14"/>
  <c r="DH70" i="3"/>
  <c r="DH71" i="2"/>
  <c r="DH71" i="1"/>
  <c r="DI71" i="1" s="1"/>
  <c r="AU76" i="14"/>
  <c r="X76" i="14"/>
  <c r="AC76" i="14"/>
  <c r="AZ76" i="14"/>
  <c r="S46" i="14"/>
  <c r="R46" i="14"/>
  <c r="T46" i="14"/>
  <c r="DH41" i="3"/>
  <c r="DH42" i="2"/>
  <c r="DH42" i="1"/>
  <c r="DI42" i="1" s="1"/>
  <c r="U64" i="13"/>
  <c r="U91" i="13" s="1"/>
  <c r="G4" i="19" s="1"/>
  <c r="Q232" i="21" s="1"/>
  <c r="AC7" i="14"/>
  <c r="AZ7" i="14"/>
  <c r="X7" i="14"/>
  <c r="AU7" i="14"/>
  <c r="F193" i="9"/>
  <c r="ER190" i="3"/>
  <c r="G195" i="22" s="1"/>
  <c r="EF190" i="3"/>
  <c r="S195" i="21" s="1"/>
  <c r="EP190" i="3"/>
  <c r="ED190" i="3"/>
  <c r="M195" i="21" s="1"/>
  <c r="EO190" i="3"/>
  <c r="EC190" i="3"/>
  <c r="J195" i="21" s="1"/>
  <c r="EN190" i="3"/>
  <c r="AQ195" i="21" s="1"/>
  <c r="EB190" i="3"/>
  <c r="G195" i="21" s="1"/>
  <c r="EM190" i="3"/>
  <c r="AN195" i="21" s="1"/>
  <c r="EJ190" i="3"/>
  <c r="AE195" i="21" s="1"/>
  <c r="CJ190" i="3"/>
  <c r="EI190" i="3"/>
  <c r="AB195" i="21" s="1"/>
  <c r="CK190" i="3"/>
  <c r="EH190" i="3"/>
  <c r="Y195" i="21" s="1"/>
  <c r="CI190" i="3"/>
  <c r="EG190" i="3"/>
  <c r="V195" i="21" s="1"/>
  <c r="CH190" i="3"/>
  <c r="EE190" i="3"/>
  <c r="P195" i="21" s="1"/>
  <c r="CG190" i="3"/>
  <c r="EK190" i="3"/>
  <c r="EQ190" i="3"/>
  <c r="CQ190" i="3"/>
  <c r="EL190" i="3"/>
  <c r="AK195" i="21" s="1"/>
  <c r="EP104" i="3"/>
  <c r="G106" i="22"/>
  <c r="N106" i="22" s="1"/>
  <c r="DX65" i="3"/>
  <c r="DY65" i="3" s="1"/>
  <c r="I222" i="22"/>
  <c r="AG222" i="21"/>
  <c r="D199" i="9"/>
  <c r="EL199" i="1"/>
  <c r="AI201" i="21" s="1"/>
  <c r="EK199" i="1"/>
  <c r="CK199" i="1"/>
  <c r="EJ199" i="1"/>
  <c r="AC201" i="21" s="1"/>
  <c r="CJ199" i="1"/>
  <c r="EI199" i="1"/>
  <c r="Z201" i="21" s="1"/>
  <c r="CI199" i="1"/>
  <c r="EH199" i="1"/>
  <c r="W201" i="21" s="1"/>
  <c r="CH199" i="1"/>
  <c r="EG199" i="1"/>
  <c r="T201" i="21" s="1"/>
  <c r="CG199" i="1"/>
  <c r="ER199" i="1"/>
  <c r="E201" i="22" s="1"/>
  <c r="EF199" i="1"/>
  <c r="Q201" i="21" s="1"/>
  <c r="EQ199" i="1"/>
  <c r="EE199" i="1"/>
  <c r="N201" i="21" s="1"/>
  <c r="CQ199" i="1"/>
  <c r="EM199" i="1"/>
  <c r="AL201" i="21" s="1"/>
  <c r="EP199" i="1"/>
  <c r="EN199" i="1"/>
  <c r="AO201" i="21" s="1"/>
  <c r="EO199" i="1"/>
  <c r="ED199" i="1"/>
  <c r="K201" i="21" s="1"/>
  <c r="EC199" i="1"/>
  <c r="H201" i="21" s="1"/>
  <c r="EB199" i="1"/>
  <c r="E201" i="21" s="1"/>
  <c r="L225" i="22"/>
  <c r="S38" i="16"/>
  <c r="T38" i="16"/>
  <c r="S164" i="14"/>
  <c r="R164" i="14"/>
  <c r="T164" i="14"/>
  <c r="DH158" i="3"/>
  <c r="DH159" i="2"/>
  <c r="DH160" i="1"/>
  <c r="DI160" i="1" s="1"/>
  <c r="T74" i="14"/>
  <c r="S74" i="14"/>
  <c r="R74" i="14"/>
  <c r="DH69" i="3"/>
  <c r="DH70" i="2"/>
  <c r="DH70" i="1"/>
  <c r="DI70" i="1" s="1"/>
  <c r="S55" i="14"/>
  <c r="R55" i="14"/>
  <c r="T55" i="14"/>
  <c r="DH50" i="3"/>
  <c r="DH51" i="2"/>
  <c r="DH51" i="1"/>
  <c r="DI51" i="1" s="1"/>
  <c r="DX149" i="3"/>
  <c r="DX62" i="3"/>
  <c r="J35" i="22"/>
  <c r="AH35" i="21"/>
  <c r="D170" i="9"/>
  <c r="EP171" i="1"/>
  <c r="ED171" i="1"/>
  <c r="K172" i="21" s="1"/>
  <c r="EO171" i="1"/>
  <c r="EC171" i="1"/>
  <c r="H172" i="21" s="1"/>
  <c r="EN171" i="1"/>
  <c r="AO172" i="21" s="1"/>
  <c r="EB171" i="1"/>
  <c r="E172" i="21" s="1"/>
  <c r="EM171" i="1"/>
  <c r="AL172" i="21" s="1"/>
  <c r="EL171" i="1"/>
  <c r="AI172" i="21" s="1"/>
  <c r="EK171" i="1"/>
  <c r="CK171" i="1"/>
  <c r="EJ171" i="1"/>
  <c r="AC172" i="21" s="1"/>
  <c r="CJ171" i="1"/>
  <c r="EI171" i="1"/>
  <c r="Z172" i="21" s="1"/>
  <c r="CI171" i="1"/>
  <c r="EQ171" i="1"/>
  <c r="EE171" i="1"/>
  <c r="N172" i="21" s="1"/>
  <c r="CQ171" i="1"/>
  <c r="EG171" i="1"/>
  <c r="T172" i="21" s="1"/>
  <c r="EF171" i="1"/>
  <c r="Q172" i="21" s="1"/>
  <c r="CH171" i="1"/>
  <c r="CG171" i="1"/>
  <c r="EH171" i="1"/>
  <c r="W172" i="21" s="1"/>
  <c r="ER171" i="1"/>
  <c r="E172" i="22" s="1"/>
  <c r="G26" i="22"/>
  <c r="D181" i="9"/>
  <c r="ER181" i="1"/>
  <c r="E183" i="22" s="1"/>
  <c r="EF181" i="1"/>
  <c r="Q183" i="21" s="1"/>
  <c r="EQ181" i="1"/>
  <c r="EE181" i="1"/>
  <c r="N183" i="21" s="1"/>
  <c r="CQ181" i="1"/>
  <c r="EP181" i="1"/>
  <c r="ED181" i="1"/>
  <c r="K183" i="21" s="1"/>
  <c r="EO181" i="1"/>
  <c r="EC181" i="1"/>
  <c r="H183" i="21" s="1"/>
  <c r="EN181" i="1"/>
  <c r="AO183" i="21" s="1"/>
  <c r="EB181" i="1"/>
  <c r="E183" i="21" s="1"/>
  <c r="EM181" i="1"/>
  <c r="AL183" i="21" s="1"/>
  <c r="EL181" i="1"/>
  <c r="AI183" i="21" s="1"/>
  <c r="EK181" i="1"/>
  <c r="CK181" i="1"/>
  <c r="EG181" i="1"/>
  <c r="T183" i="21" s="1"/>
  <c r="CG181" i="1"/>
  <c r="CJ181" i="1"/>
  <c r="CI181" i="1"/>
  <c r="CH181" i="1"/>
  <c r="EJ181" i="1"/>
  <c r="AC183" i="21" s="1"/>
  <c r="EI181" i="1"/>
  <c r="Z183" i="21" s="1"/>
  <c r="EH181" i="1"/>
  <c r="W183" i="21" s="1"/>
  <c r="T35" i="14"/>
  <c r="S35" i="14"/>
  <c r="R35" i="14"/>
  <c r="DH31" i="3"/>
  <c r="DH31" i="2"/>
  <c r="DH31" i="1"/>
  <c r="DI31" i="1" s="1"/>
  <c r="L160" i="22"/>
  <c r="M70" i="22"/>
  <c r="S170" i="14"/>
  <c r="R170" i="14"/>
  <c r="T170" i="14"/>
  <c r="DH164" i="3"/>
  <c r="DH165" i="2"/>
  <c r="DH166" i="1"/>
  <c r="DI166" i="1" s="1"/>
  <c r="AY130" i="14"/>
  <c r="AB130" i="14"/>
  <c r="AT130" i="14"/>
  <c r="W130" i="14"/>
  <c r="S186" i="14"/>
  <c r="T186" i="14"/>
  <c r="R186" i="14"/>
  <c r="DH178" i="3"/>
  <c r="DH181" i="2"/>
  <c r="DH181" i="1"/>
  <c r="DI181" i="1" s="1"/>
  <c r="T95" i="14"/>
  <c r="S95" i="14"/>
  <c r="R95" i="14"/>
  <c r="DH90" i="3"/>
  <c r="DH91" i="2"/>
  <c r="DH91" i="1"/>
  <c r="DI91" i="1" s="1"/>
  <c r="AB149" i="14"/>
  <c r="AY149" i="14"/>
  <c r="W149" i="14"/>
  <c r="AT149" i="14"/>
  <c r="V91" i="13"/>
  <c r="G10" i="19" s="1"/>
  <c r="R232" i="21" s="1"/>
  <c r="V64" i="13"/>
  <c r="AT49" i="14"/>
  <c r="W49" i="14"/>
  <c r="AB49" i="14"/>
  <c r="AY49" i="14"/>
  <c r="DX138" i="3"/>
  <c r="AB7" i="6"/>
  <c r="AH124" i="21"/>
  <c r="J124" i="22"/>
  <c r="N124" i="22" s="1"/>
  <c r="EP122" i="3"/>
  <c r="J80" i="22"/>
  <c r="AH80" i="21"/>
  <c r="D73" i="9"/>
  <c r="EG74" i="1"/>
  <c r="T75" i="21" s="1"/>
  <c r="CG74" i="1"/>
  <c r="EO74" i="1"/>
  <c r="EN74" i="1"/>
  <c r="AO75" i="21" s="1"/>
  <c r="CK74" i="1"/>
  <c r="EJ74" i="1"/>
  <c r="AC75" i="21" s="1"/>
  <c r="EI74" i="1"/>
  <c r="Z75" i="21" s="1"/>
  <c r="EH74" i="1"/>
  <c r="W75" i="21" s="1"/>
  <c r="EL74" i="1"/>
  <c r="AI75" i="21" s="1"/>
  <c r="CH74" i="1"/>
  <c r="CJ74" i="1"/>
  <c r="CI74" i="1"/>
  <c r="EQ74" i="1"/>
  <c r="EK74" i="1" s="1"/>
  <c r="T54" i="14"/>
  <c r="S54" i="14"/>
  <c r="R54" i="14"/>
  <c r="DH49" i="3"/>
  <c r="DH50" i="2"/>
  <c r="DH50" i="1"/>
  <c r="DI50" i="1" s="1"/>
  <c r="N186" i="22"/>
  <c r="N220" i="22"/>
  <c r="N70" i="22"/>
  <c r="N127" i="22"/>
  <c r="L174" i="22"/>
  <c r="M53" i="22"/>
  <c r="S156" i="14"/>
  <c r="T156" i="14"/>
  <c r="R156" i="14"/>
  <c r="DH150" i="3"/>
  <c r="DH151" i="2"/>
  <c r="DH152" i="1"/>
  <c r="DI152" i="1" s="1"/>
  <c r="T122" i="14"/>
  <c r="S122" i="14"/>
  <c r="R122" i="14"/>
  <c r="DH117" i="3"/>
  <c r="DH118" i="2"/>
  <c r="DH118" i="1"/>
  <c r="DI118" i="1" s="1"/>
  <c r="BA83" i="14"/>
  <c r="AD83" i="14"/>
  <c r="AV83" i="14"/>
  <c r="Y83" i="14"/>
  <c r="AC149" i="14"/>
  <c r="AZ149" i="14"/>
  <c r="X149" i="14"/>
  <c r="AU149" i="14"/>
  <c r="AB85" i="6"/>
  <c r="AB206" i="7"/>
  <c r="AB194" i="7"/>
  <c r="AB182" i="7"/>
  <c r="AB170" i="7"/>
  <c r="AB158" i="7"/>
  <c r="AB146" i="7"/>
  <c r="AB134" i="7"/>
  <c r="AB122" i="7"/>
  <c r="AB110" i="7"/>
  <c r="AB98" i="7"/>
  <c r="AB86" i="7"/>
  <c r="AB74" i="7"/>
  <c r="AB62" i="7"/>
  <c r="AB50" i="7"/>
  <c r="AB38" i="7"/>
  <c r="AB26" i="7"/>
  <c r="AB14" i="7"/>
  <c r="AB4" i="7"/>
  <c r="AB211" i="7"/>
  <c r="AB199" i="7"/>
  <c r="AB187" i="7"/>
  <c r="AB175" i="7"/>
  <c r="AB216" i="7"/>
  <c r="AB209" i="7"/>
  <c r="AB197" i="7"/>
  <c r="AB185" i="7"/>
  <c r="AB173" i="7"/>
  <c r="AB161" i="7"/>
  <c r="AB149" i="7"/>
  <c r="AB137" i="7"/>
  <c r="AB125" i="7"/>
  <c r="AB113" i="7"/>
  <c r="AB101" i="7"/>
  <c r="AB89" i="7"/>
  <c r="AB77" i="7"/>
  <c r="AB65" i="7"/>
  <c r="AB53" i="7"/>
  <c r="AB41" i="7"/>
  <c r="AB29" i="7"/>
  <c r="AB17" i="7"/>
  <c r="AB214" i="7"/>
  <c r="AB212" i="7"/>
  <c r="AB200" i="7"/>
  <c r="AB188" i="7"/>
  <c r="AB176" i="7"/>
  <c r="AB164" i="7"/>
  <c r="AB152" i="7"/>
  <c r="AB210" i="7"/>
  <c r="AB198" i="7"/>
  <c r="AB215" i="7"/>
  <c r="AB203" i="7"/>
  <c r="AB191" i="7"/>
  <c r="AB179" i="7"/>
  <c r="AB167" i="7"/>
  <c r="AB155" i="7"/>
  <c r="AB143" i="7"/>
  <c r="AB131" i="7"/>
  <c r="AB119" i="7"/>
  <c r="AB107" i="7"/>
  <c r="AB95" i="7"/>
  <c r="AB83" i="7"/>
  <c r="AB71" i="7"/>
  <c r="AB184" i="7"/>
  <c r="AB159" i="7"/>
  <c r="AB157" i="7"/>
  <c r="AB153" i="7"/>
  <c r="AB135" i="7"/>
  <c r="AB129" i="7"/>
  <c r="AB127" i="7"/>
  <c r="AB123" i="7"/>
  <c r="AB117" i="7"/>
  <c r="AB72" i="7"/>
  <c r="AB68" i="7"/>
  <c r="AB40" i="7"/>
  <c r="AB21" i="7"/>
  <c r="AB19" i="7"/>
  <c r="AB186" i="7"/>
  <c r="AB165" i="7"/>
  <c r="AB163" i="7"/>
  <c r="AB133" i="7"/>
  <c r="AB121" i="7"/>
  <c r="AB115" i="7"/>
  <c r="AB111" i="7"/>
  <c r="AB105" i="7"/>
  <c r="AB66" i="7"/>
  <c r="AB51" i="7"/>
  <c r="AB36" i="7"/>
  <c r="AB34" i="7"/>
  <c r="AB213" i="7"/>
  <c r="AB201" i="7"/>
  <c r="AB192" i="7"/>
  <c r="AB190" i="7"/>
  <c r="AB171" i="7"/>
  <c r="AB169" i="7"/>
  <c r="AB109" i="7"/>
  <c r="AB103" i="7"/>
  <c r="AB99" i="7"/>
  <c r="AB64" i="7"/>
  <c r="AB49" i="7"/>
  <c r="AB47" i="7"/>
  <c r="AB32" i="7"/>
  <c r="AB15" i="7"/>
  <c r="AB196" i="7"/>
  <c r="AB207" i="7"/>
  <c r="AB205" i="7"/>
  <c r="AB177" i="7"/>
  <c r="AB150" i="7"/>
  <c r="AB144" i="7"/>
  <c r="AB142" i="7"/>
  <c r="AB140" i="7"/>
  <c r="AB75" i="7"/>
  <c r="AB56" i="7"/>
  <c r="AB24" i="7"/>
  <c r="AB22" i="7"/>
  <c r="AB7" i="7"/>
  <c r="AB183" i="7"/>
  <c r="AB181" i="7"/>
  <c r="AB160" i="7"/>
  <c r="AB156" i="7"/>
  <c r="AB154" i="7"/>
  <c r="AB138" i="7"/>
  <c r="AB136" i="7"/>
  <c r="AB130" i="7"/>
  <c r="AB128" i="7"/>
  <c r="AB124" i="7"/>
  <c r="AB118" i="7"/>
  <c r="AB73" i="7"/>
  <c r="AB69" i="7"/>
  <c r="AB67" i="7"/>
  <c r="AB54" i="7"/>
  <c r="AB39" i="7"/>
  <c r="AB20" i="7"/>
  <c r="AB204" i="7"/>
  <c r="AB195" i="7"/>
  <c r="AB193" i="7"/>
  <c r="AB102" i="7"/>
  <c r="AB96" i="7"/>
  <c r="AB94" i="7"/>
  <c r="AB92" i="7"/>
  <c r="AB88" i="7"/>
  <c r="AB82" i="7"/>
  <c r="AB61" i="7"/>
  <c r="AB12" i="7"/>
  <c r="AB10" i="7"/>
  <c r="AB174" i="7"/>
  <c r="AB145" i="7"/>
  <c r="AB120" i="7"/>
  <c r="AB106" i="7"/>
  <c r="AB91" i="7"/>
  <c r="AB84" i="7"/>
  <c r="AB70" i="7"/>
  <c r="AB48" i="7"/>
  <c r="AB168" i="7"/>
  <c r="AB147" i="7"/>
  <c r="AB9" i="7"/>
  <c r="AB93" i="7"/>
  <c r="AB81" i="7"/>
  <c r="AB79" i="7"/>
  <c r="AB45" i="7"/>
  <c r="AB43" i="7"/>
  <c r="AB33" i="7"/>
  <c r="AB11" i="7"/>
  <c r="AB55" i="7"/>
  <c r="AB28" i="7"/>
  <c r="AB16" i="7"/>
  <c r="AB162" i="7"/>
  <c r="AB114" i="7"/>
  <c r="AB100" i="7"/>
  <c r="AB30" i="7"/>
  <c r="AB208" i="7"/>
  <c r="AB189" i="7"/>
  <c r="AB178" i="7"/>
  <c r="AB108" i="7"/>
  <c r="AB59" i="7"/>
  <c r="AB57" i="7"/>
  <c r="AB35" i="7"/>
  <c r="AB13" i="7"/>
  <c r="AB6" i="7"/>
  <c r="AB148" i="7"/>
  <c r="AB87" i="7"/>
  <c r="AB80" i="7"/>
  <c r="AB78" i="7"/>
  <c r="AB44" i="7"/>
  <c r="AB42" i="7"/>
  <c r="AB27" i="7"/>
  <c r="AB25" i="7"/>
  <c r="AB180" i="7"/>
  <c r="AB139" i="7"/>
  <c r="AB126" i="7"/>
  <c r="AB63" i="7"/>
  <c r="AB46" i="7"/>
  <c r="AB37" i="7"/>
  <c r="AB166" i="7"/>
  <c r="AB141" i="7"/>
  <c r="AB104" i="7"/>
  <c r="AB58" i="7"/>
  <c r="AB90" i="7"/>
  <c r="AB3" i="7"/>
  <c r="AB132" i="7"/>
  <c r="AB60" i="7"/>
  <c r="AB18" i="7"/>
  <c r="AB172" i="7"/>
  <c r="AB116" i="7"/>
  <c r="AB76" i="7"/>
  <c r="AB52" i="7"/>
  <c r="AB31" i="7"/>
  <c r="AB202" i="7"/>
  <c r="AB217" i="7"/>
  <c r="AB23" i="7"/>
  <c r="AB112" i="7"/>
  <c r="AB151" i="7"/>
  <c r="AB97" i="7"/>
  <c r="AB8" i="7"/>
  <c r="AB85" i="7"/>
  <c r="AB2" i="7"/>
  <c r="AB139" i="6"/>
  <c r="AB33" i="6"/>
  <c r="DX119" i="3"/>
  <c r="DY119" i="3" s="1"/>
  <c r="DX12" i="3"/>
  <c r="CD191" i="1"/>
  <c r="DX191" i="1"/>
  <c r="DY191" i="1" s="1"/>
  <c r="U44" i="15"/>
  <c r="T44" i="15"/>
  <c r="R214" i="14"/>
  <c r="T214" i="14"/>
  <c r="S214" i="14"/>
  <c r="DH206" i="3"/>
  <c r="DH209" i="1"/>
  <c r="DI209" i="1" s="1"/>
  <c r="S180" i="14"/>
  <c r="T180" i="14"/>
  <c r="R180" i="14"/>
  <c r="DH173" i="3"/>
  <c r="DH175" i="2"/>
  <c r="DH176" i="1"/>
  <c r="DI176" i="1" s="1"/>
  <c r="R208" i="14"/>
  <c r="T208" i="14"/>
  <c r="S208" i="14"/>
  <c r="DH200" i="3"/>
  <c r="DH203" i="2"/>
  <c r="DH203" i="1"/>
  <c r="DI203" i="1" s="1"/>
  <c r="BA198" i="14"/>
  <c r="AD198" i="14"/>
  <c r="AV198" i="14"/>
  <c r="Y198" i="14"/>
  <c r="S173" i="14"/>
  <c r="R173" i="14"/>
  <c r="T173" i="14"/>
  <c r="DH166" i="3"/>
  <c r="DH168" i="2"/>
  <c r="DH169" i="1"/>
  <c r="DI169" i="1" s="1"/>
  <c r="S176" i="14"/>
  <c r="R176" i="14"/>
  <c r="T176" i="14"/>
  <c r="DH169" i="3"/>
  <c r="DH171" i="2"/>
  <c r="DH172" i="1"/>
  <c r="DI172" i="1" s="1"/>
  <c r="T143" i="14"/>
  <c r="S143" i="14"/>
  <c r="R143" i="14"/>
  <c r="DH137" i="3"/>
  <c r="DH138" i="2"/>
  <c r="DH139" i="1"/>
  <c r="DI139" i="1" s="1"/>
  <c r="S177" i="14"/>
  <c r="T177" i="14"/>
  <c r="R177" i="14"/>
  <c r="DH170" i="3"/>
  <c r="DH172" i="2"/>
  <c r="DH173" i="1"/>
  <c r="DI173" i="1" s="1"/>
  <c r="T145" i="14"/>
  <c r="S145" i="14"/>
  <c r="R145" i="14"/>
  <c r="DH139" i="3"/>
  <c r="DH140" i="2"/>
  <c r="DH141" i="1"/>
  <c r="DI141" i="1" s="1"/>
  <c r="AB189" i="14"/>
  <c r="W189" i="14"/>
  <c r="AY189" i="14"/>
  <c r="AT189" i="14"/>
  <c r="T111" i="14"/>
  <c r="S111" i="14"/>
  <c r="R111" i="14"/>
  <c r="DH106" i="3"/>
  <c r="DH107" i="2"/>
  <c r="DH107" i="1"/>
  <c r="DI107" i="1" s="1"/>
  <c r="R57" i="14"/>
  <c r="T57" i="14"/>
  <c r="S57" i="14"/>
  <c r="DH52" i="3"/>
  <c r="DH53" i="2"/>
  <c r="DH53" i="1"/>
  <c r="DI53" i="1" s="1"/>
  <c r="T134" i="14"/>
  <c r="S134" i="14"/>
  <c r="R134" i="14"/>
  <c r="DH129" i="3"/>
  <c r="DH130" i="2"/>
  <c r="DH130" i="1"/>
  <c r="DI130" i="1" s="1"/>
  <c r="T63" i="14"/>
  <c r="R63" i="14"/>
  <c r="S63" i="14"/>
  <c r="DH58" i="3"/>
  <c r="DH59" i="2"/>
  <c r="DH59" i="1"/>
  <c r="DI59" i="1" s="1"/>
  <c r="T21" i="14"/>
  <c r="S21" i="14"/>
  <c r="R21" i="14"/>
  <c r="DH17" i="3"/>
  <c r="DH17" i="2"/>
  <c r="DH17" i="1"/>
  <c r="DI17" i="1" s="1"/>
  <c r="AM66" i="14"/>
  <c r="AH66" i="14"/>
  <c r="R19" i="14"/>
  <c r="T19" i="14"/>
  <c r="S19" i="14"/>
  <c r="DH15" i="3"/>
  <c r="DH15" i="2"/>
  <c r="DH15" i="1"/>
  <c r="DI15" i="1" s="1"/>
  <c r="T8" i="14"/>
  <c r="S8" i="14"/>
  <c r="R8" i="14"/>
  <c r="DH4" i="3"/>
  <c r="DH4" i="2"/>
  <c r="DH4" i="1"/>
  <c r="DI4" i="1" s="1"/>
  <c r="AD11" i="12"/>
  <c r="AN11" i="12" s="1"/>
  <c r="V59" i="13"/>
  <c r="V90" i="13" s="1"/>
  <c r="F10" i="19" s="1"/>
  <c r="O232" i="21" s="1"/>
  <c r="K232" i="20" s="1"/>
  <c r="X74" i="13"/>
  <c r="X93" i="13" s="1"/>
  <c r="X39" i="13"/>
  <c r="X86" i="13" s="1"/>
  <c r="AB44" i="14"/>
  <c r="W44" i="14"/>
  <c r="AY44" i="14"/>
  <c r="AT44" i="14"/>
  <c r="DX213" i="3"/>
  <c r="DY213" i="3" s="1"/>
  <c r="DF198" i="3"/>
  <c r="DX198" i="3" s="1"/>
  <c r="F220" i="9"/>
  <c r="EL214" i="3"/>
  <c r="AK222" i="21" s="1"/>
  <c r="EO214" i="3"/>
  <c r="CJ214" i="3"/>
  <c r="EN214" i="3"/>
  <c r="AQ222" i="21" s="1"/>
  <c r="CI214" i="3"/>
  <c r="EM214" i="3"/>
  <c r="AN222" i="21" s="1"/>
  <c r="CH214" i="3"/>
  <c r="EK214" i="3"/>
  <c r="CG214" i="3"/>
  <c r="EJ214" i="3"/>
  <c r="AE222" i="21" s="1"/>
  <c r="EI214" i="3"/>
  <c r="AB222" i="21" s="1"/>
  <c r="EQ214" i="3"/>
  <c r="CK214" i="3"/>
  <c r="EH214" i="3"/>
  <c r="Y222" i="21" s="1"/>
  <c r="EG214" i="3"/>
  <c r="V222" i="21" s="1"/>
  <c r="DX150" i="3"/>
  <c r="DX134" i="3"/>
  <c r="DY134" i="3" s="1"/>
  <c r="F128" i="9"/>
  <c r="EI128" i="3"/>
  <c r="AB130" i="21" s="1"/>
  <c r="CI128" i="3"/>
  <c r="EQ128" i="3"/>
  <c r="EL128" i="3"/>
  <c r="AK130" i="21" s="1"/>
  <c r="EK128" i="3"/>
  <c r="EJ128" i="3"/>
  <c r="AE130" i="21" s="1"/>
  <c r="EH128" i="3"/>
  <c r="Y130" i="21" s="1"/>
  <c r="EG128" i="3"/>
  <c r="V130" i="21" s="1"/>
  <c r="CK128" i="3"/>
  <c r="CJ128" i="3"/>
  <c r="CH128" i="3"/>
  <c r="EO128" i="3"/>
  <c r="EM128" i="3"/>
  <c r="AN130" i="21" s="1"/>
  <c r="EN128" i="3"/>
  <c r="AQ130" i="21" s="1"/>
  <c r="CG128" i="3"/>
  <c r="CZ216" i="3"/>
  <c r="CX216" i="3"/>
  <c r="DF176" i="3"/>
  <c r="DX176" i="3" s="1"/>
  <c r="DY176" i="3" s="1"/>
  <c r="F107" i="9"/>
  <c r="EN107" i="3"/>
  <c r="AQ109" i="21" s="1"/>
  <c r="EB107" i="3"/>
  <c r="G109" i="21" s="1"/>
  <c r="EM107" i="3"/>
  <c r="AN109" i="21" s="1"/>
  <c r="EL107" i="3"/>
  <c r="AK109" i="21" s="1"/>
  <c r="EK107" i="3"/>
  <c r="CK107" i="3"/>
  <c r="EJ107" i="3"/>
  <c r="AE109" i="21" s="1"/>
  <c r="CJ107" i="3"/>
  <c r="EI107" i="3"/>
  <c r="AB109" i="21" s="1"/>
  <c r="CI107" i="3"/>
  <c r="EH107" i="3"/>
  <c r="Y109" i="21" s="1"/>
  <c r="CH107" i="3"/>
  <c r="ER107" i="3"/>
  <c r="G109" i="22" s="1"/>
  <c r="EF107" i="3"/>
  <c r="S109" i="21" s="1"/>
  <c r="EQ107" i="3"/>
  <c r="EE107" i="3"/>
  <c r="P109" i="21" s="1"/>
  <c r="CQ107" i="3"/>
  <c r="EC107" i="3"/>
  <c r="J109" i="21" s="1"/>
  <c r="CG107" i="3"/>
  <c r="EP107" i="3"/>
  <c r="EO107" i="3"/>
  <c r="EG107" i="3"/>
  <c r="V109" i="21" s="1"/>
  <c r="ED107" i="3"/>
  <c r="M109" i="21" s="1"/>
  <c r="F152" i="9"/>
  <c r="EL151" i="3"/>
  <c r="AK154" i="21" s="1"/>
  <c r="CK151" i="3"/>
  <c r="EJ151" i="3"/>
  <c r="AE154" i="21" s="1"/>
  <c r="CJ151" i="3"/>
  <c r="EI151" i="3"/>
  <c r="AB154" i="21" s="1"/>
  <c r="CI151" i="3"/>
  <c r="EH151" i="3"/>
  <c r="Y154" i="21" s="1"/>
  <c r="CH151" i="3"/>
  <c r="EM151" i="3"/>
  <c r="AN154" i="21" s="1"/>
  <c r="EQ151" i="3"/>
  <c r="ER151" i="3" s="1"/>
  <c r="CG151" i="3"/>
  <c r="EO151" i="3"/>
  <c r="EG151" i="3"/>
  <c r="V154" i="21" s="1"/>
  <c r="EN151" i="3"/>
  <c r="AQ154" i="21" s="1"/>
  <c r="DX68" i="3"/>
  <c r="AB35" i="21"/>
  <c r="N135" i="22"/>
  <c r="N149" i="22"/>
  <c r="DX192" i="2"/>
  <c r="DX25" i="3"/>
  <c r="E128" i="9"/>
  <c r="EQ129" i="2"/>
  <c r="CK129" i="2"/>
  <c r="EL129" i="2"/>
  <c r="AJ130" i="21" s="1"/>
  <c r="N130" i="20" s="1"/>
  <c r="CJ129" i="2"/>
  <c r="EK129" i="2"/>
  <c r="CI129" i="2"/>
  <c r="EJ129" i="2"/>
  <c r="AD130" i="21" s="1"/>
  <c r="CH129" i="2"/>
  <c r="EI129" i="2"/>
  <c r="AA130" i="21" s="1"/>
  <c r="M130" i="20" s="1"/>
  <c r="CG129" i="2"/>
  <c r="EH129" i="2"/>
  <c r="X130" i="21" s="1"/>
  <c r="E130" i="20" s="1"/>
  <c r="EG129" i="2"/>
  <c r="U130" i="21" s="1"/>
  <c r="ER129" i="2"/>
  <c r="F130" i="22" s="1"/>
  <c r="EN129" i="2"/>
  <c r="AP130" i="21" s="1"/>
  <c r="G130" i="20" s="1"/>
  <c r="EO129" i="2"/>
  <c r="E48" i="9"/>
  <c r="EJ49" i="2"/>
  <c r="AD50" i="21" s="1"/>
  <c r="CJ49" i="2"/>
  <c r="EI49" i="2"/>
  <c r="AA50" i="21" s="1"/>
  <c r="CI49" i="2"/>
  <c r="EH49" i="2"/>
  <c r="X50" i="21" s="1"/>
  <c r="CH49" i="2"/>
  <c r="EG49" i="2"/>
  <c r="U50" i="21" s="1"/>
  <c r="CG49" i="2"/>
  <c r="EO49" i="2"/>
  <c r="EN49" i="2"/>
  <c r="AP50" i="21" s="1"/>
  <c r="EQ49" i="2"/>
  <c r="EK49" i="2" s="1"/>
  <c r="EM49" i="2"/>
  <c r="AM50" i="21" s="1"/>
  <c r="CK49" i="2"/>
  <c r="DX18" i="2"/>
  <c r="DX54" i="2"/>
  <c r="EL62" i="3"/>
  <c r="AK64" i="21" s="1"/>
  <c r="DX25" i="2"/>
  <c r="M19" i="20"/>
  <c r="DX200" i="1"/>
  <c r="CD200" i="1"/>
  <c r="DX164" i="1"/>
  <c r="DY164" i="1" s="1"/>
  <c r="CD164" i="1"/>
  <c r="D141" i="9"/>
  <c r="EG142" i="1"/>
  <c r="T143" i="21" s="1"/>
  <c r="CG142" i="1"/>
  <c r="ER142" i="1"/>
  <c r="E143" i="22" s="1"/>
  <c r="EF142" i="1"/>
  <c r="Q143" i="21" s="1"/>
  <c r="EP142" i="1"/>
  <c r="ED142" i="1"/>
  <c r="K143" i="21" s="1"/>
  <c r="EO142" i="1"/>
  <c r="EC142" i="1"/>
  <c r="H143" i="21" s="1"/>
  <c r="EN142" i="1"/>
  <c r="AO143" i="21" s="1"/>
  <c r="EB142" i="1"/>
  <c r="E143" i="21" s="1"/>
  <c r="EM142" i="1"/>
  <c r="AL143" i="21" s="1"/>
  <c r="EQ142" i="1"/>
  <c r="EL142" i="1"/>
  <c r="AI143" i="21" s="1"/>
  <c r="CQ142" i="1"/>
  <c r="EK142" i="1"/>
  <c r="EJ142" i="1"/>
  <c r="AC143" i="21" s="1"/>
  <c r="CK142" i="1"/>
  <c r="EI142" i="1"/>
  <c r="Z143" i="21" s="1"/>
  <c r="CJ142" i="1"/>
  <c r="EH142" i="1"/>
  <c r="W143" i="21" s="1"/>
  <c r="CI142" i="1"/>
  <c r="EE142" i="1"/>
  <c r="N143" i="21" s="1"/>
  <c r="CH142" i="1"/>
  <c r="D169" i="9"/>
  <c r="EQ170" i="1"/>
  <c r="EE170" i="1"/>
  <c r="N171" i="21" s="1"/>
  <c r="CQ170" i="1"/>
  <c r="EP170" i="1"/>
  <c r="ED170" i="1"/>
  <c r="K171" i="21" s="1"/>
  <c r="EO170" i="1"/>
  <c r="EC170" i="1"/>
  <c r="H171" i="21" s="1"/>
  <c r="EN170" i="1"/>
  <c r="AO171" i="21" s="1"/>
  <c r="EB170" i="1"/>
  <c r="E171" i="21" s="1"/>
  <c r="EM170" i="1"/>
  <c r="AL171" i="21" s="1"/>
  <c r="EL170" i="1"/>
  <c r="AI171" i="21" s="1"/>
  <c r="EK170" i="1"/>
  <c r="CK170" i="1"/>
  <c r="EJ170" i="1"/>
  <c r="AC171" i="21" s="1"/>
  <c r="CJ170" i="1"/>
  <c r="ER170" i="1"/>
  <c r="E171" i="22" s="1"/>
  <c r="EF170" i="1"/>
  <c r="Q171" i="21" s="1"/>
  <c r="CI170" i="1"/>
  <c r="CH170" i="1"/>
  <c r="CG170" i="1"/>
  <c r="EH170" i="1"/>
  <c r="W171" i="21" s="1"/>
  <c r="EI170" i="1"/>
  <c r="Z171" i="21" s="1"/>
  <c r="EG170" i="1"/>
  <c r="T171" i="21" s="1"/>
  <c r="CD134" i="1"/>
  <c r="DX134" i="1"/>
  <c r="DX37" i="1"/>
  <c r="CD37" i="1"/>
  <c r="DX139" i="1"/>
  <c r="CD139" i="1"/>
  <c r="D42" i="9"/>
  <c r="EJ43" i="1"/>
  <c r="AC44" i="21" s="1"/>
  <c r="CJ43" i="1"/>
  <c r="EI43" i="1"/>
  <c r="Z44" i="21" s="1"/>
  <c r="CI43" i="1"/>
  <c r="EK43" i="1"/>
  <c r="CQ43" i="1"/>
  <c r="EP43" i="1"/>
  <c r="EB43" i="1"/>
  <c r="E44" i="21" s="1"/>
  <c r="CH43" i="1"/>
  <c r="EH43" i="1"/>
  <c r="W44" i="21" s="1"/>
  <c r="EE43" i="1"/>
  <c r="N44" i="21" s="1"/>
  <c r="EG43" i="1"/>
  <c r="T44" i="21" s="1"/>
  <c r="EF43" i="1"/>
  <c r="Q44" i="21" s="1"/>
  <c r="ER43" i="1"/>
  <c r="E44" i="22" s="1"/>
  <c r="ED43" i="1"/>
  <c r="K44" i="21" s="1"/>
  <c r="EQ43" i="1"/>
  <c r="EC43" i="1"/>
  <c r="H44" i="21" s="1"/>
  <c r="CK43" i="1"/>
  <c r="EL43" i="1"/>
  <c r="AI44" i="21" s="1"/>
  <c r="EM43" i="1"/>
  <c r="AL44" i="21" s="1"/>
  <c r="CG43" i="1"/>
  <c r="EO43" i="1"/>
  <c r="EN43" i="1"/>
  <c r="AO44" i="21" s="1"/>
  <c r="D118" i="9"/>
  <c r="EN119" i="1"/>
  <c r="AO120" i="21" s="1"/>
  <c r="EB119" i="1"/>
  <c r="E120" i="21" s="1"/>
  <c r="EM119" i="1"/>
  <c r="AL120" i="21" s="1"/>
  <c r="EL119" i="1"/>
  <c r="AI120" i="21" s="1"/>
  <c r="EK119" i="1"/>
  <c r="CK119" i="1"/>
  <c r="EJ119" i="1"/>
  <c r="AC120" i="21" s="1"/>
  <c r="CJ119" i="1"/>
  <c r="EI119" i="1"/>
  <c r="Z120" i="21" s="1"/>
  <c r="CI119" i="1"/>
  <c r="EH119" i="1"/>
  <c r="W120" i="21" s="1"/>
  <c r="CH119" i="1"/>
  <c r="ER119" i="1"/>
  <c r="E120" i="22" s="1"/>
  <c r="EF119" i="1"/>
  <c r="Q120" i="21" s="1"/>
  <c r="CQ119" i="1"/>
  <c r="EQ119" i="1"/>
  <c r="EO119" i="1"/>
  <c r="EG119" i="1"/>
  <c r="T120" i="21" s="1"/>
  <c r="EP119" i="1"/>
  <c r="CG119" i="1"/>
  <c r="EC119" i="1"/>
  <c r="H120" i="21" s="1"/>
  <c r="EE119" i="1"/>
  <c r="N120" i="21" s="1"/>
  <c r="ED119" i="1"/>
  <c r="K120" i="21" s="1"/>
  <c r="DX112" i="1"/>
  <c r="CD112" i="1"/>
  <c r="D131" i="9"/>
  <c r="EL132" i="1"/>
  <c r="AI133" i="21" s="1"/>
  <c r="EH132" i="1"/>
  <c r="W133" i="21" s="1"/>
  <c r="EG132" i="1"/>
  <c r="T133" i="21" s="1"/>
  <c r="ER132" i="1"/>
  <c r="E133" i="22" s="1"/>
  <c r="EQ132" i="1"/>
  <c r="CK132" i="1"/>
  <c r="EO132" i="1"/>
  <c r="CJ132" i="1"/>
  <c r="CH132" i="1"/>
  <c r="EJ132" i="1"/>
  <c r="AC133" i="21" s="1"/>
  <c r="CI132" i="1"/>
  <c r="CG132" i="1"/>
  <c r="EN132" i="1"/>
  <c r="AO133" i="21" s="1"/>
  <c r="EK132" i="1"/>
  <c r="EI132" i="1"/>
  <c r="Z133" i="21" s="1"/>
  <c r="H78" i="22"/>
  <c r="L78" i="22" s="1"/>
  <c r="AF78" i="21"/>
  <c r="EP221" i="1"/>
  <c r="E224" i="22"/>
  <c r="CD34" i="1"/>
  <c r="DX34" i="1"/>
  <c r="DO48" i="1"/>
  <c r="DN48" i="1"/>
  <c r="E124" i="20"/>
  <c r="U46" i="15"/>
  <c r="T46" i="15"/>
  <c r="T212" i="14"/>
  <c r="S212" i="14"/>
  <c r="R212" i="14"/>
  <c r="DH204" i="3"/>
  <c r="DH207" i="1"/>
  <c r="DI207" i="1" s="1"/>
  <c r="R169" i="14"/>
  <c r="T169" i="14"/>
  <c r="S169" i="14"/>
  <c r="DH163" i="3"/>
  <c r="DH164" i="2"/>
  <c r="DH165" i="1"/>
  <c r="DI165" i="1" s="1"/>
  <c r="S171" i="14"/>
  <c r="T171" i="14"/>
  <c r="R171" i="14"/>
  <c r="DH166" i="2"/>
  <c r="DH167" i="1"/>
  <c r="DI167" i="1" s="1"/>
  <c r="T206" i="14"/>
  <c r="S206" i="14"/>
  <c r="R206" i="14"/>
  <c r="DH198" i="3"/>
  <c r="DH201" i="2"/>
  <c r="DH201" i="1"/>
  <c r="DI201" i="1" s="1"/>
  <c r="R163" i="14"/>
  <c r="T163" i="14"/>
  <c r="S163" i="14"/>
  <c r="DH157" i="3"/>
  <c r="DH158" i="2"/>
  <c r="DH159" i="1"/>
  <c r="DI159" i="1" s="1"/>
  <c r="S155" i="14"/>
  <c r="R155" i="14"/>
  <c r="T155" i="14"/>
  <c r="DH149" i="3"/>
  <c r="DH150" i="2"/>
  <c r="DH151" i="1"/>
  <c r="DI151" i="1" s="1"/>
  <c r="AZ213" i="14"/>
  <c r="AC213" i="14"/>
  <c r="AU213" i="14"/>
  <c r="X213" i="14"/>
  <c r="T201" i="14"/>
  <c r="S201" i="14"/>
  <c r="R201" i="14"/>
  <c r="DH193" i="3"/>
  <c r="DH196" i="2"/>
  <c r="DH196" i="1"/>
  <c r="DI196" i="1" s="1"/>
  <c r="S159" i="14"/>
  <c r="T159" i="14"/>
  <c r="R159" i="14"/>
  <c r="DH153" i="3"/>
  <c r="DH154" i="2"/>
  <c r="DH155" i="1"/>
  <c r="DI155" i="1" s="1"/>
  <c r="AZ231" i="14"/>
  <c r="AC231" i="14"/>
  <c r="AU231" i="14"/>
  <c r="X231" i="14"/>
  <c r="T128" i="14"/>
  <c r="S128" i="14"/>
  <c r="R128" i="14"/>
  <c r="DH123" i="3"/>
  <c r="DH124" i="2"/>
  <c r="DH124" i="1"/>
  <c r="DI124" i="1" s="1"/>
  <c r="AU189" i="14"/>
  <c r="X189" i="14"/>
  <c r="AC189" i="14"/>
  <c r="AZ189" i="14"/>
  <c r="T104" i="14"/>
  <c r="S104" i="14"/>
  <c r="R104" i="14"/>
  <c r="DH99" i="3"/>
  <c r="DH100" i="2"/>
  <c r="DH100" i="1"/>
  <c r="DI100" i="1" s="1"/>
  <c r="BA112" i="14"/>
  <c r="AD112" i="14"/>
  <c r="AV112" i="14"/>
  <c r="Y112" i="14"/>
  <c r="V54" i="13"/>
  <c r="V89" i="13" s="1"/>
  <c r="E10" i="19" s="1"/>
  <c r="L232" i="21" s="1"/>
  <c r="J232" i="20" s="1"/>
  <c r="U74" i="13"/>
  <c r="U93" i="13"/>
  <c r="F5" i="19" s="1"/>
  <c r="N233" i="21" s="1"/>
  <c r="W54" i="13"/>
  <c r="W89" i="13" s="1"/>
  <c r="E16" i="19" s="1"/>
  <c r="M232" i="21" s="1"/>
  <c r="V87" i="13"/>
  <c r="F9" i="19" s="1"/>
  <c r="O231" i="21" s="1"/>
  <c r="K231" i="20" s="1"/>
  <c r="V44" i="13"/>
  <c r="AU44" i="14"/>
  <c r="X44" i="14"/>
  <c r="AC44" i="14"/>
  <c r="AZ44" i="14"/>
  <c r="F205" i="9"/>
  <c r="EQ202" i="3"/>
  <c r="EO202" i="3"/>
  <c r="EN202" i="3"/>
  <c r="AQ207" i="21" s="1"/>
  <c r="EM202" i="3"/>
  <c r="AN207" i="21" s="1"/>
  <c r="EJ202" i="3"/>
  <c r="AE207" i="21" s="1"/>
  <c r="CJ202" i="3"/>
  <c r="EI202" i="3"/>
  <c r="AB207" i="21" s="1"/>
  <c r="CI202" i="3"/>
  <c r="CK202" i="3"/>
  <c r="CH202" i="3"/>
  <c r="EK202" i="3"/>
  <c r="EH202" i="3"/>
  <c r="Y207" i="21" s="1"/>
  <c r="EG202" i="3"/>
  <c r="V207" i="21" s="1"/>
  <c r="EL202" i="3"/>
  <c r="AK207" i="21" s="1"/>
  <c r="CG202" i="3"/>
  <c r="F131" i="9"/>
  <c r="EG131" i="3"/>
  <c r="V133" i="21" s="1"/>
  <c r="CG131" i="3"/>
  <c r="ER131" i="3"/>
  <c r="G133" i="22" s="1"/>
  <c r="EQ131" i="3"/>
  <c r="EP131" i="3"/>
  <c r="EN131" i="3"/>
  <c r="AQ133" i="21" s="1"/>
  <c r="G133" i="20" s="1"/>
  <c r="EI131" i="3"/>
  <c r="AB133" i="21" s="1"/>
  <c r="CI131" i="3"/>
  <c r="CK131" i="3"/>
  <c r="CJ131" i="3"/>
  <c r="CH131" i="3"/>
  <c r="EO131" i="3"/>
  <c r="EK131" i="3"/>
  <c r="EJ131" i="3"/>
  <c r="AE133" i="21" s="1"/>
  <c r="EL131" i="3"/>
  <c r="AK133" i="21" s="1"/>
  <c r="EH131" i="3"/>
  <c r="Y133" i="21" s="1"/>
  <c r="E133" i="20" s="1"/>
  <c r="F132" i="9"/>
  <c r="EQ132" i="3"/>
  <c r="EO132" i="3"/>
  <c r="EH132" i="3"/>
  <c r="Y134" i="21" s="1"/>
  <c r="E134" i="20" s="1"/>
  <c r="CH132" i="3"/>
  <c r="EI132" i="3"/>
  <c r="AB134" i="21" s="1"/>
  <c r="EG132" i="3"/>
  <c r="V134" i="21" s="1"/>
  <c r="CK132" i="3"/>
  <c r="CJ132" i="3"/>
  <c r="CI132" i="3"/>
  <c r="CG132" i="3"/>
  <c r="EN132" i="3"/>
  <c r="AQ134" i="21" s="1"/>
  <c r="EK132" i="3"/>
  <c r="EJ132" i="3"/>
  <c r="AE134" i="21" s="1"/>
  <c r="F134" i="20" s="1"/>
  <c r="DO190" i="3"/>
  <c r="DN190" i="3"/>
  <c r="DX78" i="3"/>
  <c r="DY78" i="3" s="1"/>
  <c r="CX87" i="3"/>
  <c r="CZ87" i="3"/>
  <c r="DX24" i="3"/>
  <c r="EL89" i="3"/>
  <c r="AK91" i="21" s="1"/>
  <c r="DN71" i="3"/>
  <c r="DO71" i="3"/>
  <c r="N228" i="22"/>
  <c r="F18" i="9"/>
  <c r="EN19" i="3"/>
  <c r="AQ20" i="21" s="1"/>
  <c r="EH19" i="3"/>
  <c r="Y20" i="21" s="1"/>
  <c r="CH19" i="3"/>
  <c r="EJ19" i="3"/>
  <c r="AE20" i="21" s="1"/>
  <c r="CK19" i="3"/>
  <c r="EI19" i="3"/>
  <c r="AB20" i="21" s="1"/>
  <c r="CJ19" i="3"/>
  <c r="EG19" i="3"/>
  <c r="V20" i="21" s="1"/>
  <c r="CI19" i="3"/>
  <c r="CG19" i="3"/>
  <c r="EO19" i="3"/>
  <c r="EL19" i="3"/>
  <c r="AK20" i="21" s="1"/>
  <c r="EQ19" i="3"/>
  <c r="EK19" i="3" s="1"/>
  <c r="E86" i="9"/>
  <c r="EJ87" i="2"/>
  <c r="AD88" i="21" s="1"/>
  <c r="F88" i="20" s="1"/>
  <c r="CJ87" i="2"/>
  <c r="EI87" i="2"/>
  <c r="AA88" i="21" s="1"/>
  <c r="M88" i="20" s="1"/>
  <c r="CI87" i="2"/>
  <c r="EH87" i="2"/>
  <c r="X88" i="21" s="1"/>
  <c r="E88" i="20" s="1"/>
  <c r="CH87" i="2"/>
  <c r="EG87" i="2"/>
  <c r="U88" i="21" s="1"/>
  <c r="CG87" i="2"/>
  <c r="EQ87" i="2"/>
  <c r="EO87" i="2"/>
  <c r="EN87" i="2"/>
  <c r="AP88" i="21" s="1"/>
  <c r="G88" i="20" s="1"/>
  <c r="EK87" i="2"/>
  <c r="CK87" i="2"/>
  <c r="D145" i="9"/>
  <c r="EO146" i="1"/>
  <c r="EN146" i="1"/>
  <c r="AO147" i="21" s="1"/>
  <c r="EL146" i="1"/>
  <c r="AI147" i="21" s="1"/>
  <c r="CK146" i="1"/>
  <c r="EJ146" i="1"/>
  <c r="AC147" i="21" s="1"/>
  <c r="CJ146" i="1"/>
  <c r="EI146" i="1"/>
  <c r="Z147" i="21" s="1"/>
  <c r="CI146" i="1"/>
  <c r="EQ146" i="1"/>
  <c r="EK146" i="1" s="1"/>
  <c r="CH146" i="1"/>
  <c r="CG146" i="1"/>
  <c r="EM146" i="1"/>
  <c r="AL147" i="21" s="1"/>
  <c r="EH146" i="1"/>
  <c r="W147" i="21" s="1"/>
  <c r="EG146" i="1"/>
  <c r="T147" i="21" s="1"/>
  <c r="E184" i="9"/>
  <c r="EL184" i="2"/>
  <c r="AJ186" i="21" s="1"/>
  <c r="EO184" i="2"/>
  <c r="EB184" i="2"/>
  <c r="F186" i="21" s="1"/>
  <c r="CJ184" i="2"/>
  <c r="EN184" i="2"/>
  <c r="AP186" i="21" s="1"/>
  <c r="CI184" i="2"/>
  <c r="EM184" i="2"/>
  <c r="AM186" i="21" s="1"/>
  <c r="CH184" i="2"/>
  <c r="EK184" i="2"/>
  <c r="CG184" i="2"/>
  <c r="EJ184" i="2"/>
  <c r="AD186" i="21" s="1"/>
  <c r="EI184" i="2"/>
  <c r="AA186" i="21" s="1"/>
  <c r="EH184" i="2"/>
  <c r="X186" i="21" s="1"/>
  <c r="CQ184" i="2"/>
  <c r="EG184" i="2"/>
  <c r="U186" i="21" s="1"/>
  <c r="EF184" i="2"/>
  <c r="R186" i="21" s="1"/>
  <c r="ER184" i="2"/>
  <c r="F186" i="22" s="1"/>
  <c r="EE184" i="2"/>
  <c r="O186" i="21" s="1"/>
  <c r="CK184" i="2"/>
  <c r="EQ184" i="2"/>
  <c r="EC184" i="2"/>
  <c r="I186" i="21" s="1"/>
  <c r="EP184" i="2"/>
  <c r="ED184" i="2"/>
  <c r="L186" i="21" s="1"/>
  <c r="E101" i="9"/>
  <c r="EJ102" i="2"/>
  <c r="AD103" i="21" s="1"/>
  <c r="F103" i="20" s="1"/>
  <c r="CJ102" i="2"/>
  <c r="EI102" i="2"/>
  <c r="AA103" i="21" s="1"/>
  <c r="M103" i="20" s="1"/>
  <c r="CI102" i="2"/>
  <c r="EH102" i="2"/>
  <c r="X103" i="21" s="1"/>
  <c r="E103" i="20" s="1"/>
  <c r="CH102" i="2"/>
  <c r="EG102" i="2"/>
  <c r="U103" i="21" s="1"/>
  <c r="CG102" i="2"/>
  <c r="EQ102" i="2"/>
  <c r="EO102" i="2"/>
  <c r="EN102" i="2"/>
  <c r="AP103" i="21" s="1"/>
  <c r="G103" i="20" s="1"/>
  <c r="EK102" i="2"/>
  <c r="CK102" i="2"/>
  <c r="CD161" i="1"/>
  <c r="DX161" i="1"/>
  <c r="DY161" i="1" s="1"/>
  <c r="D136" i="9"/>
  <c r="EH137" i="1"/>
  <c r="W138" i="21" s="1"/>
  <c r="EG137" i="1"/>
  <c r="T138" i="21" s="1"/>
  <c r="CG137" i="1"/>
  <c r="EK137" i="1"/>
  <c r="EJ137" i="1"/>
  <c r="AC138" i="21" s="1"/>
  <c r="EI137" i="1"/>
  <c r="Z138" i="21" s="1"/>
  <c r="CK137" i="1"/>
  <c r="CJ137" i="1"/>
  <c r="EQ137" i="1"/>
  <c r="CH137" i="1"/>
  <c r="EO137" i="1"/>
  <c r="EN137" i="1"/>
  <c r="AO138" i="21" s="1"/>
  <c r="CI137" i="1"/>
  <c r="D217" i="9"/>
  <c r="EH216" i="1"/>
  <c r="W219" i="21" s="1"/>
  <c r="CH216" i="1"/>
  <c r="EG216" i="1"/>
  <c r="T219" i="21" s="1"/>
  <c r="CG216" i="1"/>
  <c r="EQ216" i="1"/>
  <c r="EK216" i="1" s="1"/>
  <c r="EO216" i="1"/>
  <c r="EN216" i="1"/>
  <c r="AO219" i="21" s="1"/>
  <c r="EI216" i="1"/>
  <c r="Z219" i="21" s="1"/>
  <c r="CI216" i="1"/>
  <c r="CK216" i="1"/>
  <c r="CJ216" i="1"/>
  <c r="EJ216" i="1"/>
  <c r="AC219" i="21" s="1"/>
  <c r="DX77" i="1"/>
  <c r="EM123" i="2"/>
  <c r="AM124" i="21" s="1"/>
  <c r="EL123" i="2"/>
  <c r="AJ124" i="21" s="1"/>
  <c r="N124" i="20" s="1"/>
  <c r="D165" i="9"/>
  <c r="EI166" i="1"/>
  <c r="Z167" i="21" s="1"/>
  <c r="CI166" i="1"/>
  <c r="EH166" i="1"/>
  <c r="W167" i="21" s="1"/>
  <c r="CH166" i="1"/>
  <c r="EG166" i="1"/>
  <c r="T167" i="21" s="1"/>
  <c r="CG166" i="1"/>
  <c r="ER166" i="1"/>
  <c r="E167" i="22" s="1"/>
  <c r="EF166" i="1"/>
  <c r="Q167" i="21" s="1"/>
  <c r="EQ166" i="1"/>
  <c r="EE166" i="1"/>
  <c r="N167" i="21" s="1"/>
  <c r="CQ166" i="1"/>
  <c r="EP166" i="1"/>
  <c r="ED166" i="1"/>
  <c r="K167" i="21" s="1"/>
  <c r="EO166" i="1"/>
  <c r="EC166" i="1"/>
  <c r="H167" i="21" s="1"/>
  <c r="EN166" i="1"/>
  <c r="AO167" i="21" s="1"/>
  <c r="EB166" i="1"/>
  <c r="E167" i="21" s="1"/>
  <c r="EJ166" i="1"/>
  <c r="AC167" i="21" s="1"/>
  <c r="CJ166" i="1"/>
  <c r="EM166" i="1"/>
  <c r="AL167" i="21" s="1"/>
  <c r="EL166" i="1"/>
  <c r="AI167" i="21" s="1"/>
  <c r="EK166" i="1"/>
  <c r="CK166" i="1"/>
  <c r="CD110" i="1"/>
  <c r="DX110" i="1"/>
  <c r="D74" i="9"/>
  <c r="EQ75" i="1"/>
  <c r="EK75" i="1" s="1"/>
  <c r="EO75" i="1"/>
  <c r="EN75" i="1"/>
  <c r="AO76" i="21" s="1"/>
  <c r="EJ75" i="1"/>
  <c r="AC76" i="21" s="1"/>
  <c r="CJ75" i="1"/>
  <c r="CI75" i="1"/>
  <c r="CK75" i="1"/>
  <c r="EG75" i="1"/>
  <c r="T76" i="21" s="1"/>
  <c r="CH75" i="1"/>
  <c r="EI75" i="1"/>
  <c r="Z76" i="21" s="1"/>
  <c r="CG75" i="1"/>
  <c r="EH75" i="1"/>
  <c r="W76" i="21" s="1"/>
  <c r="ER56" i="2"/>
  <c r="EK56" i="2"/>
  <c r="D113" i="9"/>
  <c r="EG114" i="1"/>
  <c r="T115" i="21" s="1"/>
  <c r="CG114" i="1"/>
  <c r="EQ114" i="1"/>
  <c r="EK114" i="1" s="1"/>
  <c r="EO114" i="1"/>
  <c r="EN114" i="1"/>
  <c r="AO115" i="21" s="1"/>
  <c r="EM114" i="1"/>
  <c r="AL115" i="21" s="1"/>
  <c r="CK114" i="1"/>
  <c r="CI114" i="1"/>
  <c r="EI114" i="1"/>
  <c r="Z115" i="21" s="1"/>
  <c r="CH114" i="1"/>
  <c r="EL114" i="1"/>
  <c r="AI115" i="21" s="1"/>
  <c r="EJ114" i="1"/>
  <c r="AC115" i="21" s="1"/>
  <c r="EH114" i="1"/>
  <c r="W115" i="21" s="1"/>
  <c r="CJ114" i="1"/>
  <c r="DX74" i="1"/>
  <c r="DX90" i="1"/>
  <c r="DX60" i="1"/>
  <c r="CD60" i="1"/>
  <c r="DX137" i="1"/>
  <c r="D20" i="9"/>
  <c r="EQ21" i="1"/>
  <c r="EK21" i="1" s="1"/>
  <c r="EO21" i="1"/>
  <c r="EM21" i="1"/>
  <c r="AL22" i="21" s="1"/>
  <c r="EJ21" i="1"/>
  <c r="AC22" i="21" s="1"/>
  <c r="CJ21" i="1"/>
  <c r="EN21" i="1"/>
  <c r="AO22" i="21" s="1"/>
  <c r="CK21" i="1"/>
  <c r="ER21" i="1"/>
  <c r="E22" i="22" s="1"/>
  <c r="EI21" i="1"/>
  <c r="Z22" i="21" s="1"/>
  <c r="CG21" i="1"/>
  <c r="EH21" i="1"/>
  <c r="W22" i="21" s="1"/>
  <c r="EG21" i="1"/>
  <c r="T22" i="21" s="1"/>
  <c r="CH21" i="1"/>
  <c r="CI21" i="1"/>
  <c r="G134" i="20"/>
  <c r="U48" i="15"/>
  <c r="T48" i="15"/>
  <c r="S161" i="14"/>
  <c r="R161" i="14"/>
  <c r="T161" i="14"/>
  <c r="DH155" i="3"/>
  <c r="DH157" i="1"/>
  <c r="DI157" i="1" s="1"/>
  <c r="DH156" i="2"/>
  <c r="S162" i="14"/>
  <c r="T162" i="14"/>
  <c r="R162" i="14"/>
  <c r="DH156" i="3"/>
  <c r="DH157" i="2"/>
  <c r="DH158" i="1"/>
  <c r="DI158" i="1" s="1"/>
  <c r="BA213" i="14"/>
  <c r="AD213" i="14"/>
  <c r="AV213" i="14"/>
  <c r="Y213" i="14"/>
  <c r="T129" i="14"/>
  <c r="S129" i="14"/>
  <c r="R129" i="14"/>
  <c r="DH124" i="3"/>
  <c r="DH125" i="2"/>
  <c r="DH125" i="1"/>
  <c r="DI125" i="1" s="1"/>
  <c r="BA231" i="14"/>
  <c r="AD231" i="14"/>
  <c r="AV231" i="14"/>
  <c r="Y231" i="14"/>
  <c r="AY228" i="14"/>
  <c r="AB228" i="14"/>
  <c r="AT228" i="14"/>
  <c r="W228" i="14"/>
  <c r="BA189" i="14"/>
  <c r="AD189" i="14"/>
  <c r="AV189" i="14"/>
  <c r="Y189" i="14"/>
  <c r="T135" i="14"/>
  <c r="S135" i="14"/>
  <c r="R135" i="14"/>
  <c r="DH130" i="3"/>
  <c r="DH131" i="2"/>
  <c r="DH131" i="1"/>
  <c r="DI131" i="1" s="1"/>
  <c r="T96" i="14"/>
  <c r="S96" i="14"/>
  <c r="R96" i="14"/>
  <c r="DH91" i="3"/>
  <c r="DH92" i="2"/>
  <c r="DH92" i="1"/>
  <c r="DI92" i="1" s="1"/>
  <c r="T92" i="14"/>
  <c r="S92" i="14"/>
  <c r="R92" i="14"/>
  <c r="DH87" i="3"/>
  <c r="DH88" i="2"/>
  <c r="DH88" i="1"/>
  <c r="DI88" i="1" s="1"/>
  <c r="T139" i="14"/>
  <c r="S139" i="14"/>
  <c r="R139" i="14"/>
  <c r="DH133" i="3"/>
  <c r="DH134" i="2"/>
  <c r="DH135" i="1"/>
  <c r="DI135" i="1" s="1"/>
  <c r="T69" i="14"/>
  <c r="S69" i="14"/>
  <c r="R69" i="14"/>
  <c r="DH64" i="3"/>
  <c r="DH65" i="2"/>
  <c r="DH65" i="1"/>
  <c r="DI65" i="1" s="1"/>
  <c r="AY112" i="14"/>
  <c r="AB112" i="14"/>
  <c r="AT112" i="14"/>
  <c r="W112" i="14"/>
  <c r="T126" i="14"/>
  <c r="S126" i="14"/>
  <c r="R126" i="14"/>
  <c r="DH121" i="3"/>
  <c r="DH122" i="2"/>
  <c r="DH122" i="1"/>
  <c r="DI122" i="1" s="1"/>
  <c r="V93" i="13"/>
  <c r="F11" i="19" s="1"/>
  <c r="O233" i="21" s="1"/>
  <c r="S34" i="14"/>
  <c r="R34" i="14"/>
  <c r="T34" i="14"/>
  <c r="DH30" i="3"/>
  <c r="DH30" i="2"/>
  <c r="DH30" i="1"/>
  <c r="DI30" i="1" s="1"/>
  <c r="U79" i="13"/>
  <c r="U94" i="13" s="1"/>
  <c r="G5" i="19" s="1"/>
  <c r="Q233" i="21" s="1"/>
  <c r="U90" i="13"/>
  <c r="F4" i="19" s="1"/>
  <c r="N232" i="21" s="1"/>
  <c r="V69" i="13"/>
  <c r="V92" i="13" s="1"/>
  <c r="E11" i="19" s="1"/>
  <c r="L233" i="21" s="1"/>
  <c r="J233" i="20" s="1"/>
  <c r="AV44" i="14"/>
  <c r="Y44" i="14"/>
  <c r="AD44" i="14"/>
  <c r="BA44" i="14"/>
  <c r="DX178" i="3"/>
  <c r="DY178" i="3" s="1"/>
  <c r="DF175" i="3"/>
  <c r="DX175" i="3" s="1"/>
  <c r="F208" i="9"/>
  <c r="EO205" i="3"/>
  <c r="EC205" i="3"/>
  <c r="J210" i="21" s="1"/>
  <c r="EN205" i="3"/>
  <c r="AQ210" i="21" s="1"/>
  <c r="EB205" i="3"/>
  <c r="G210" i="21" s="1"/>
  <c r="EM205" i="3"/>
  <c r="AN210" i="21" s="1"/>
  <c r="EL205" i="3"/>
  <c r="AK210" i="21" s="1"/>
  <c r="EK205" i="3"/>
  <c r="CK205" i="3"/>
  <c r="EJ205" i="3"/>
  <c r="AE210" i="21" s="1"/>
  <c r="CJ205" i="3"/>
  <c r="EG205" i="3"/>
  <c r="V210" i="21" s="1"/>
  <c r="CG205" i="3"/>
  <c r="ER205" i="3"/>
  <c r="G210" i="22" s="1"/>
  <c r="EF205" i="3"/>
  <c r="S210" i="21" s="1"/>
  <c r="EQ205" i="3"/>
  <c r="EE205" i="3"/>
  <c r="P210" i="21" s="1"/>
  <c r="CQ205" i="3"/>
  <c r="EP205" i="3"/>
  <c r="EI205" i="3"/>
  <c r="AB210" i="21" s="1"/>
  <c r="EH205" i="3"/>
  <c r="Y210" i="21" s="1"/>
  <c r="ED205" i="3"/>
  <c r="M210" i="21" s="1"/>
  <c r="CH205" i="3"/>
  <c r="CI205" i="3"/>
  <c r="DF144" i="3"/>
  <c r="DX144" i="3" s="1"/>
  <c r="DX124" i="3"/>
  <c r="DY124" i="3" s="1"/>
  <c r="DN143" i="3"/>
  <c r="DO143" i="3"/>
  <c r="DO39" i="3"/>
  <c r="DN39" i="3"/>
  <c r="EM89" i="3"/>
  <c r="AN91" i="21" s="1"/>
  <c r="AH11" i="21"/>
  <c r="F17" i="9"/>
  <c r="EO18" i="3"/>
  <c r="EI18" i="3"/>
  <c r="AB19" i="21" s="1"/>
  <c r="CI18" i="3"/>
  <c r="EG18" i="3"/>
  <c r="V19" i="21" s="1"/>
  <c r="CG18" i="3"/>
  <c r="EH18" i="3"/>
  <c r="Y19" i="21" s="1"/>
  <c r="E19" i="20" s="1"/>
  <c r="ER18" i="3"/>
  <c r="G19" i="22" s="1"/>
  <c r="CK18" i="3"/>
  <c r="EQ18" i="3"/>
  <c r="CJ18" i="3"/>
  <c r="EN18" i="3"/>
  <c r="AQ19" i="21" s="1"/>
  <c r="G19" i="20" s="1"/>
  <c r="EK18" i="3"/>
  <c r="EJ18" i="3"/>
  <c r="AE19" i="21" s="1"/>
  <c r="F19" i="20" s="1"/>
  <c r="CH18" i="3"/>
  <c r="EP18" i="3"/>
  <c r="F12" i="9"/>
  <c r="EN13" i="3"/>
  <c r="AQ14" i="21" s="1"/>
  <c r="EJ13" i="3"/>
  <c r="AE14" i="21" s="1"/>
  <c r="CH13" i="3"/>
  <c r="EI13" i="3"/>
  <c r="AB14" i="21" s="1"/>
  <c r="CG13" i="3"/>
  <c r="EH13" i="3"/>
  <c r="Y14" i="21" s="1"/>
  <c r="EG13" i="3"/>
  <c r="V14" i="21" s="1"/>
  <c r="EO13" i="3"/>
  <c r="CK13" i="3"/>
  <c r="CJ13" i="3"/>
  <c r="EQ13" i="3"/>
  <c r="EK13" i="3" s="1"/>
  <c r="CI13" i="3"/>
  <c r="DO193" i="2"/>
  <c r="DN193" i="2"/>
  <c r="DF131" i="2"/>
  <c r="DX131" i="2" s="1"/>
  <c r="DX97" i="2"/>
  <c r="DO169" i="2"/>
  <c r="DN169" i="2"/>
  <c r="E136" i="9"/>
  <c r="EM136" i="2"/>
  <c r="AM138" i="21" s="1"/>
  <c r="EJ136" i="2"/>
  <c r="AD138" i="21" s="1"/>
  <c r="CJ136" i="2"/>
  <c r="EH136" i="2"/>
  <c r="X138" i="21" s="1"/>
  <c r="EG136" i="2"/>
  <c r="U138" i="21" s="1"/>
  <c r="CK136" i="2"/>
  <c r="CI136" i="2"/>
  <c r="EQ136" i="2"/>
  <c r="ER136" i="2" s="1"/>
  <c r="CH136" i="2"/>
  <c r="CG136" i="2"/>
  <c r="EO136" i="2"/>
  <c r="EN136" i="2"/>
  <c r="AP138" i="21" s="1"/>
  <c r="EI136" i="2"/>
  <c r="AA138" i="21" s="1"/>
  <c r="EK136" i="2"/>
  <c r="E113" i="9"/>
  <c r="EJ114" i="2"/>
  <c r="AD115" i="21" s="1"/>
  <c r="CJ114" i="2"/>
  <c r="EI114" i="2"/>
  <c r="AA115" i="21" s="1"/>
  <c r="M115" i="20" s="1"/>
  <c r="CI114" i="2"/>
  <c r="EH114" i="2"/>
  <c r="X115" i="21" s="1"/>
  <c r="E115" i="20" s="1"/>
  <c r="CH114" i="2"/>
  <c r="EG114" i="2"/>
  <c r="U115" i="21" s="1"/>
  <c r="CG114" i="2"/>
  <c r="ER114" i="2"/>
  <c r="F115" i="22" s="1"/>
  <c r="EQ114" i="2"/>
  <c r="EO114" i="2"/>
  <c r="EN114" i="2"/>
  <c r="AP115" i="21" s="1"/>
  <c r="G115" i="20" s="1"/>
  <c r="EK114" i="2"/>
  <c r="CK114" i="2"/>
  <c r="EM114" i="2"/>
  <c r="AM115" i="21" s="1"/>
  <c r="DX51" i="2"/>
  <c r="E33" i="9"/>
  <c r="EM34" i="2"/>
  <c r="AM35" i="21" s="1"/>
  <c r="EL34" i="2"/>
  <c r="AJ35" i="21" s="1"/>
  <c r="EK34" i="2"/>
  <c r="CK34" i="2"/>
  <c r="EI34" i="2"/>
  <c r="AA35" i="21" s="1"/>
  <c r="CI34" i="2"/>
  <c r="EQ34" i="2"/>
  <c r="ER34" i="2"/>
  <c r="F35" i="22" s="1"/>
  <c r="CJ34" i="2"/>
  <c r="EO34" i="2"/>
  <c r="CH34" i="2"/>
  <c r="EG34" i="2"/>
  <c r="U35" i="21" s="1"/>
  <c r="EJ34" i="2"/>
  <c r="AD35" i="21" s="1"/>
  <c r="EH34" i="2"/>
  <c r="X35" i="21" s="1"/>
  <c r="CG34" i="2"/>
  <c r="EN34" i="2"/>
  <c r="AP35" i="21" s="1"/>
  <c r="I83" i="22"/>
  <c r="M83" i="22" s="1"/>
  <c r="EP82" i="2"/>
  <c r="DX76" i="2"/>
  <c r="DX181" i="1"/>
  <c r="DY181" i="1" s="1"/>
  <c r="DX171" i="1"/>
  <c r="DY171" i="1" s="1"/>
  <c r="DX6" i="2"/>
  <c r="D86" i="9"/>
  <c r="EQ87" i="1"/>
  <c r="EK87" i="1" s="1"/>
  <c r="EO87" i="1"/>
  <c r="EN87" i="1"/>
  <c r="AO88" i="21" s="1"/>
  <c r="EJ87" i="1"/>
  <c r="AC88" i="21" s="1"/>
  <c r="CJ87" i="1"/>
  <c r="EI87" i="1"/>
  <c r="Z88" i="21" s="1"/>
  <c r="EH87" i="1"/>
  <c r="W88" i="21" s="1"/>
  <c r="EG87" i="1"/>
  <c r="T88" i="21" s="1"/>
  <c r="CI87" i="1"/>
  <c r="CK87" i="1"/>
  <c r="CH87" i="1"/>
  <c r="CG87" i="1"/>
  <c r="D84" i="9"/>
  <c r="EH85" i="1"/>
  <c r="W86" i="21" s="1"/>
  <c r="CH85" i="1"/>
  <c r="EG85" i="1"/>
  <c r="T86" i="21" s="1"/>
  <c r="CG85" i="1"/>
  <c r="ER85" i="1"/>
  <c r="E86" i="22" s="1"/>
  <c r="EQ85" i="1"/>
  <c r="EO85" i="1"/>
  <c r="EN85" i="1"/>
  <c r="AO86" i="21" s="1"/>
  <c r="EL85" i="1"/>
  <c r="AI86" i="21" s="1"/>
  <c r="CK85" i="1"/>
  <c r="EM85" i="1"/>
  <c r="AL86" i="21" s="1"/>
  <c r="CJ85" i="1"/>
  <c r="EI85" i="1"/>
  <c r="Z86" i="21" s="1"/>
  <c r="EK85" i="1"/>
  <c r="EJ85" i="1"/>
  <c r="AC86" i="21" s="1"/>
  <c r="CI85" i="1"/>
  <c r="DX53" i="2"/>
  <c r="D103" i="9"/>
  <c r="EQ104" i="1"/>
  <c r="EO104" i="1"/>
  <c r="EN104" i="1"/>
  <c r="AO105" i="21" s="1"/>
  <c r="EK104" i="1"/>
  <c r="CK104" i="1"/>
  <c r="EI104" i="1"/>
  <c r="Z105" i="21" s="1"/>
  <c r="CI104" i="1"/>
  <c r="ER104" i="1"/>
  <c r="E105" i="22" s="1"/>
  <c r="CJ104" i="1"/>
  <c r="EG104" i="1"/>
  <c r="T105" i="21" s="1"/>
  <c r="EJ104" i="1"/>
  <c r="AC105" i="21" s="1"/>
  <c r="EH104" i="1"/>
  <c r="W105" i="21" s="1"/>
  <c r="CH104" i="1"/>
  <c r="CG104" i="1"/>
  <c r="CD133" i="1"/>
  <c r="DX133" i="1"/>
  <c r="D18" i="9"/>
  <c r="CG19" i="1"/>
  <c r="EQ19" i="1"/>
  <c r="EK19" i="1" s="1"/>
  <c r="EO19" i="1"/>
  <c r="EN19" i="1"/>
  <c r="AO20" i="21" s="1"/>
  <c r="EM19" i="1"/>
  <c r="AL20" i="21" s="1"/>
  <c r="EH19" i="1"/>
  <c r="W20" i="21" s="1"/>
  <c r="CH19" i="1"/>
  <c r="EG19" i="1"/>
  <c r="T20" i="21" s="1"/>
  <c r="EJ19" i="1"/>
  <c r="AC20" i="21" s="1"/>
  <c r="CK19" i="1"/>
  <c r="CI19" i="1"/>
  <c r="EI19" i="1"/>
  <c r="Z20" i="21" s="1"/>
  <c r="CJ19" i="1"/>
  <c r="H94" i="22"/>
  <c r="L94" i="22" s="1"/>
  <c r="AF94" i="21"/>
  <c r="D8" i="9"/>
  <c r="EE9" i="1"/>
  <c r="N10" i="21" s="1"/>
  <c r="EM9" i="1"/>
  <c r="AL10" i="21" s="1"/>
  <c r="ED9" i="1"/>
  <c r="K10" i="21" s="1"/>
  <c r="EJ9" i="1"/>
  <c r="AC10" i="21" s="1"/>
  <c r="CJ9" i="1"/>
  <c r="EN9" i="1"/>
  <c r="AO10" i="21" s="1"/>
  <c r="EB9" i="1"/>
  <c r="E10" i="21" s="1"/>
  <c r="EL9" i="1"/>
  <c r="AI10" i="21" s="1"/>
  <c r="EK9" i="1"/>
  <c r="CK9" i="1"/>
  <c r="ER9" i="1"/>
  <c r="E10" i="22" s="1"/>
  <c r="EF9" i="1"/>
  <c r="Q10" i="21" s="1"/>
  <c r="EQ9" i="1"/>
  <c r="CQ9" i="1"/>
  <c r="EP9" i="1"/>
  <c r="EO9" i="1"/>
  <c r="EC9" i="1"/>
  <c r="H10" i="21" s="1"/>
  <c r="EG9" i="1"/>
  <c r="T10" i="21" s="1"/>
  <c r="EI9" i="1"/>
  <c r="Z10" i="21" s="1"/>
  <c r="CI9" i="1"/>
  <c r="CH9" i="1"/>
  <c r="CG9" i="1"/>
  <c r="EH9" i="1"/>
  <c r="W10" i="21" s="1"/>
  <c r="D9" i="9"/>
  <c r="EO10" i="1"/>
  <c r="EI10" i="1"/>
  <c r="Z11" i="21" s="1"/>
  <c r="CI10" i="1"/>
  <c r="EK10" i="1"/>
  <c r="CK10" i="1"/>
  <c r="EJ10" i="1"/>
  <c r="AC11" i="21" s="1"/>
  <c r="CJ10" i="1"/>
  <c r="EQ10" i="1"/>
  <c r="EN10" i="1"/>
  <c r="AO11" i="21" s="1"/>
  <c r="ER10" i="1"/>
  <c r="E11" i="22" s="1"/>
  <c r="EH10" i="1"/>
  <c r="W11" i="21" s="1"/>
  <c r="CH10" i="1"/>
  <c r="CG10" i="1"/>
  <c r="EG10" i="1"/>
  <c r="T11" i="21" s="1"/>
  <c r="D24" i="9"/>
  <c r="EM25" i="1"/>
  <c r="AL26" i="21" s="1"/>
  <c r="EL25" i="1"/>
  <c r="AI26" i="21" s="1"/>
  <c r="EI25" i="1"/>
  <c r="Z26" i="21" s="1"/>
  <c r="CI25" i="1"/>
  <c r="EJ25" i="1"/>
  <c r="AC26" i="21" s="1"/>
  <c r="CJ25" i="1"/>
  <c r="EH25" i="1"/>
  <c r="W26" i="21" s="1"/>
  <c r="CH25" i="1"/>
  <c r="CG25" i="1"/>
  <c r="EG25" i="1"/>
  <c r="T26" i="21" s="1"/>
  <c r="EN25" i="1"/>
  <c r="AO26" i="21" s="1"/>
  <c r="CK25" i="1"/>
  <c r="EO25" i="1"/>
  <c r="EQ25" i="1"/>
  <c r="EK25" i="1" s="1"/>
  <c r="U50" i="15"/>
  <c r="T50" i="15"/>
  <c r="R205" i="14"/>
  <c r="T205" i="14"/>
  <c r="S205" i="14"/>
  <c r="DH197" i="3"/>
  <c r="DH200" i="2"/>
  <c r="DH200" i="1"/>
  <c r="DI200" i="1" s="1"/>
  <c r="R160" i="14"/>
  <c r="T160" i="14"/>
  <c r="S160" i="14"/>
  <c r="DH154" i="3"/>
  <c r="DH155" i="2"/>
  <c r="DH156" i="1"/>
  <c r="DI156" i="1" s="1"/>
  <c r="S153" i="14"/>
  <c r="T153" i="14"/>
  <c r="R153" i="14"/>
  <c r="DH147" i="3"/>
  <c r="DH148" i="2"/>
  <c r="DH149" i="1"/>
  <c r="DI149" i="1" s="1"/>
  <c r="R199" i="14"/>
  <c r="T199" i="14"/>
  <c r="S199" i="14"/>
  <c r="DH191" i="3"/>
  <c r="DH194" i="2"/>
  <c r="DH194" i="1"/>
  <c r="DI194" i="1" s="1"/>
  <c r="R154" i="14"/>
  <c r="T154" i="14"/>
  <c r="S154" i="14"/>
  <c r="DH148" i="3"/>
  <c r="DH149" i="2"/>
  <c r="DH150" i="1"/>
  <c r="DI150" i="1" s="1"/>
  <c r="AZ228" i="14"/>
  <c r="AC228" i="14"/>
  <c r="AU228" i="14"/>
  <c r="X228" i="14"/>
  <c r="AL231" i="14"/>
  <c r="AG231" i="14"/>
  <c r="T90" i="14"/>
  <c r="S90" i="14"/>
  <c r="R90" i="14"/>
  <c r="DH85" i="3"/>
  <c r="DH86" i="2"/>
  <c r="DH86" i="1"/>
  <c r="DI86" i="1" s="1"/>
  <c r="T132" i="14"/>
  <c r="S132" i="14"/>
  <c r="R132" i="14"/>
  <c r="DH127" i="3"/>
  <c r="DH128" i="2"/>
  <c r="DH128" i="1"/>
  <c r="DI128" i="1" s="1"/>
  <c r="AZ83" i="14"/>
  <c r="AC83" i="14"/>
  <c r="AU83" i="14"/>
  <c r="X83" i="14"/>
  <c r="AZ112" i="14"/>
  <c r="AC112" i="14"/>
  <c r="AU112" i="14"/>
  <c r="X112" i="14"/>
  <c r="T84" i="14"/>
  <c r="S84" i="14"/>
  <c r="R84" i="14"/>
  <c r="DH79" i="3"/>
  <c r="DH80" i="1"/>
  <c r="DI80" i="1" s="1"/>
  <c r="DH80" i="2"/>
  <c r="W113" i="14"/>
  <c r="AB113" i="14"/>
  <c r="AY113" i="14"/>
  <c r="AT113" i="14"/>
  <c r="X92" i="13"/>
  <c r="AD149" i="14"/>
  <c r="BA149" i="14"/>
  <c r="Y149" i="14"/>
  <c r="AV149" i="14"/>
  <c r="W87" i="13"/>
  <c r="F15" i="19" s="1"/>
  <c r="P231" i="21" s="1"/>
  <c r="W44" i="13"/>
  <c r="X54" i="13"/>
  <c r="X89" i="13" s="1"/>
  <c r="U86" i="13"/>
  <c r="E3" i="19" s="1"/>
  <c r="K231" i="21" s="1"/>
  <c r="W92" i="13"/>
  <c r="E17" i="19" s="1"/>
  <c r="M233" i="21" s="1"/>
  <c r="W69" i="13"/>
  <c r="I154" i="8"/>
  <c r="DO217" i="3"/>
  <c r="DN217" i="3"/>
  <c r="DX202" i="3"/>
  <c r="F178" i="9"/>
  <c r="EI175" i="3"/>
  <c r="AB180" i="21" s="1"/>
  <c r="CI175" i="3"/>
  <c r="EG175" i="3"/>
  <c r="V180" i="21" s="1"/>
  <c r="EQ175" i="3"/>
  <c r="EK175" i="3" s="1"/>
  <c r="EO175" i="3"/>
  <c r="EN175" i="3"/>
  <c r="AQ180" i="21" s="1"/>
  <c r="CK175" i="3"/>
  <c r="CJ175" i="3"/>
  <c r="CH175" i="3"/>
  <c r="EJ175" i="3"/>
  <c r="AE180" i="21" s="1"/>
  <c r="CG175" i="3"/>
  <c r="EH175" i="3"/>
  <c r="Y180" i="21" s="1"/>
  <c r="DX91" i="3"/>
  <c r="F110" i="9"/>
  <c r="EK110" i="3"/>
  <c r="CK110" i="3"/>
  <c r="EJ110" i="3"/>
  <c r="AE112" i="21" s="1"/>
  <c r="CJ110" i="3"/>
  <c r="EI110" i="3"/>
  <c r="AB112" i="21" s="1"/>
  <c r="CI110" i="3"/>
  <c r="EH110" i="3"/>
  <c r="Y112" i="21" s="1"/>
  <c r="CH110" i="3"/>
  <c r="EG110" i="3"/>
  <c r="V112" i="21" s="1"/>
  <c r="CG110" i="3"/>
  <c r="ER110" i="3"/>
  <c r="G112" i="22" s="1"/>
  <c r="EF110" i="3"/>
  <c r="S112" i="21" s="1"/>
  <c r="EQ110" i="3"/>
  <c r="EE110" i="3"/>
  <c r="P112" i="21" s="1"/>
  <c r="CQ110" i="3"/>
  <c r="EO110" i="3"/>
  <c r="EC110" i="3"/>
  <c r="J112" i="21" s="1"/>
  <c r="EN110" i="3"/>
  <c r="AQ112" i="21" s="1"/>
  <c r="EB110" i="3"/>
  <c r="G112" i="21" s="1"/>
  <c r="EP110" i="3"/>
  <c r="EM110" i="3"/>
  <c r="AN112" i="21" s="1"/>
  <c r="EL110" i="3"/>
  <c r="AK112" i="21" s="1"/>
  <c r="ED110" i="3"/>
  <c r="M112" i="21" s="1"/>
  <c r="F119" i="9"/>
  <c r="EG119" i="3"/>
  <c r="V121" i="21" s="1"/>
  <c r="CG119" i="3"/>
  <c r="EQ119" i="3"/>
  <c r="ED119" i="3"/>
  <c r="M121" i="21" s="1"/>
  <c r="EP119" i="3"/>
  <c r="EC119" i="3"/>
  <c r="J121" i="21" s="1"/>
  <c r="EO119" i="3"/>
  <c r="EB119" i="3"/>
  <c r="G121" i="21" s="1"/>
  <c r="EN119" i="3"/>
  <c r="AQ121" i="21" s="1"/>
  <c r="CK119" i="3"/>
  <c r="EM119" i="3"/>
  <c r="AN121" i="21" s="1"/>
  <c r="CJ119" i="3"/>
  <c r="EL119" i="3"/>
  <c r="AK121" i="21" s="1"/>
  <c r="CI119" i="3"/>
  <c r="EK119" i="3"/>
  <c r="CH119" i="3"/>
  <c r="EI119" i="3"/>
  <c r="AB121" i="21" s="1"/>
  <c r="EH119" i="3"/>
  <c r="Y121" i="21" s="1"/>
  <c r="CQ119" i="3"/>
  <c r="ER119" i="3"/>
  <c r="G121" i="22" s="1"/>
  <c r="EJ119" i="3"/>
  <c r="AE121" i="21" s="1"/>
  <c r="EF119" i="3"/>
  <c r="S121" i="21" s="1"/>
  <c r="EE119" i="3"/>
  <c r="P121" i="21" s="1"/>
  <c r="F71" i="9"/>
  <c r="EL71" i="3"/>
  <c r="AK73" i="21" s="1"/>
  <c r="EO71" i="3"/>
  <c r="EB71" i="3"/>
  <c r="G73" i="21" s="1"/>
  <c r="EN71" i="3"/>
  <c r="AQ73" i="21" s="1"/>
  <c r="EM71" i="3"/>
  <c r="AN73" i="21" s="1"/>
  <c r="CK71" i="3"/>
  <c r="EK71" i="3"/>
  <c r="CJ71" i="3"/>
  <c r="EJ71" i="3"/>
  <c r="AE73" i="21" s="1"/>
  <c r="CI71" i="3"/>
  <c r="EI71" i="3"/>
  <c r="AB73" i="21" s="1"/>
  <c r="CH71" i="3"/>
  <c r="EH71" i="3"/>
  <c r="Y73" i="21" s="1"/>
  <c r="CG71" i="3"/>
  <c r="EF71" i="3"/>
  <c r="S73" i="21" s="1"/>
  <c r="CQ71" i="3"/>
  <c r="ER71" i="3"/>
  <c r="G73" i="22" s="1"/>
  <c r="EE71" i="3"/>
  <c r="P73" i="21" s="1"/>
  <c r="EP71" i="3"/>
  <c r="EG71" i="3"/>
  <c r="V73" i="21" s="1"/>
  <c r="ED71" i="3"/>
  <c r="M73" i="21" s="1"/>
  <c r="EC71" i="3"/>
  <c r="J73" i="21" s="1"/>
  <c r="EQ71" i="3"/>
  <c r="F92" i="9"/>
  <c r="EO92" i="3"/>
  <c r="EL92" i="3"/>
  <c r="AK94" i="21" s="1"/>
  <c r="N94" i="20" s="1"/>
  <c r="CK92" i="3"/>
  <c r="EH92" i="3"/>
  <c r="Y94" i="21" s="1"/>
  <c r="CH92" i="3"/>
  <c r="CJ92" i="3"/>
  <c r="CI92" i="3"/>
  <c r="EM92" i="3"/>
  <c r="AN94" i="21" s="1"/>
  <c r="EI92" i="3"/>
  <c r="AB94" i="21" s="1"/>
  <c r="M94" i="20" s="1"/>
  <c r="EQ92" i="3"/>
  <c r="EK92" i="3" s="1"/>
  <c r="CG92" i="3"/>
  <c r="EN92" i="3"/>
  <c r="AQ94" i="21" s="1"/>
  <c r="G94" i="20" s="1"/>
  <c r="EJ92" i="3"/>
  <c r="AE94" i="21" s="1"/>
  <c r="EG92" i="3"/>
  <c r="V94" i="21" s="1"/>
  <c r="DX196" i="2"/>
  <c r="DY196" i="2" s="1"/>
  <c r="DO3" i="3"/>
  <c r="DN3" i="3"/>
  <c r="DF47" i="3"/>
  <c r="DX47" i="3" s="1"/>
  <c r="DY47" i="3" s="1"/>
  <c r="E62" i="9"/>
  <c r="EJ63" i="2"/>
  <c r="AD64" i="21" s="1"/>
  <c r="F64" i="20" s="1"/>
  <c r="CJ63" i="2"/>
  <c r="EI63" i="2"/>
  <c r="AA64" i="21" s="1"/>
  <c r="M64" i="20" s="1"/>
  <c r="CI63" i="2"/>
  <c r="EH63" i="2"/>
  <c r="X64" i="21" s="1"/>
  <c r="E64" i="20" s="1"/>
  <c r="CH63" i="2"/>
  <c r="EG63" i="2"/>
  <c r="U64" i="21" s="1"/>
  <c r="CG63" i="2"/>
  <c r="ER63" i="2"/>
  <c r="F64" i="22" s="1"/>
  <c r="EQ63" i="2"/>
  <c r="EK63" i="2" s="1"/>
  <c r="EO63" i="2"/>
  <c r="EN63" i="2"/>
  <c r="AP64" i="21" s="1"/>
  <c r="G64" i="20" s="1"/>
  <c r="CK63" i="2"/>
  <c r="E63" i="9"/>
  <c r="EI64" i="2"/>
  <c r="AA65" i="21" s="1"/>
  <c r="M65" i="20" s="1"/>
  <c r="CI64" i="2"/>
  <c r="EH64" i="2"/>
  <c r="X65" i="21" s="1"/>
  <c r="E65" i="20" s="1"/>
  <c r="CH64" i="2"/>
  <c r="EG64" i="2"/>
  <c r="U65" i="21" s="1"/>
  <c r="CG64" i="2"/>
  <c r="EQ64" i="2"/>
  <c r="EO64" i="2"/>
  <c r="EN64" i="2"/>
  <c r="AP65" i="21" s="1"/>
  <c r="EJ64" i="2"/>
  <c r="AD65" i="21" s="1"/>
  <c r="CJ64" i="2"/>
  <c r="CK64" i="2"/>
  <c r="EK64" i="2"/>
  <c r="EM62" i="3"/>
  <c r="AN64" i="21" s="1"/>
  <c r="EP123" i="2"/>
  <c r="DX187" i="1"/>
  <c r="DY187" i="1" s="1"/>
  <c r="CD187" i="1"/>
  <c r="CD130" i="1"/>
  <c r="DX130" i="1"/>
  <c r="D35" i="9"/>
  <c r="EQ36" i="1"/>
  <c r="EK36" i="1" s="1"/>
  <c r="EJ36" i="1"/>
  <c r="AC37" i="21" s="1"/>
  <c r="EH36" i="1"/>
  <c r="W37" i="21" s="1"/>
  <c r="EO36" i="1"/>
  <c r="EI36" i="1"/>
  <c r="Z37" i="21" s="1"/>
  <c r="EG36" i="1"/>
  <c r="T37" i="21" s="1"/>
  <c r="CK36" i="1"/>
  <c r="CJ36" i="1"/>
  <c r="CI36" i="1"/>
  <c r="EM36" i="1"/>
  <c r="AL37" i="21" s="1"/>
  <c r="CH36" i="1"/>
  <c r="CG36" i="1"/>
  <c r="EN36" i="1"/>
  <c r="AO37" i="21" s="1"/>
  <c r="CD83" i="1"/>
  <c r="EP38" i="3"/>
  <c r="DX135" i="1"/>
  <c r="D63" i="9"/>
  <c r="EQ64" i="1"/>
  <c r="EP64" i="1"/>
  <c r="EN64" i="1"/>
  <c r="AO65" i="21" s="1"/>
  <c r="EM64" i="1"/>
  <c r="AL65" i="21" s="1"/>
  <c r="EL64" i="1"/>
  <c r="AI65" i="21" s="1"/>
  <c r="EK64" i="1"/>
  <c r="CK64" i="1"/>
  <c r="EO64" i="1"/>
  <c r="EG64" i="1"/>
  <c r="T65" i="21" s="1"/>
  <c r="EJ64" i="1"/>
  <c r="AC65" i="21" s="1"/>
  <c r="EI64" i="1"/>
  <c r="Z65" i="21" s="1"/>
  <c r="EH64" i="1"/>
  <c r="W65" i="21" s="1"/>
  <c r="CJ64" i="1"/>
  <c r="CI64" i="1"/>
  <c r="CG64" i="1"/>
  <c r="ER64" i="1"/>
  <c r="E65" i="22" s="1"/>
  <c r="CH64" i="1"/>
  <c r="CD189" i="1"/>
  <c r="D40" i="9"/>
  <c r="EL41" i="1"/>
  <c r="AI42" i="21" s="1"/>
  <c r="CK41" i="1"/>
  <c r="CI41" i="1"/>
  <c r="ER41" i="1"/>
  <c r="E42" i="22" s="1"/>
  <c r="CH41" i="1"/>
  <c r="EO41" i="1"/>
  <c r="EQ41" i="1"/>
  <c r="EK41" i="1" s="1"/>
  <c r="CG41" i="1"/>
  <c r="EN41" i="1"/>
  <c r="AO42" i="21" s="1"/>
  <c r="EM41" i="1"/>
  <c r="AL42" i="21" s="1"/>
  <c r="EJ41" i="1"/>
  <c r="AC42" i="21" s="1"/>
  <c r="CJ41" i="1"/>
  <c r="EI41" i="1"/>
  <c r="Z42" i="21" s="1"/>
  <c r="EH41" i="1"/>
  <c r="W42" i="21" s="1"/>
  <c r="EG41" i="1"/>
  <c r="T42" i="21" s="1"/>
  <c r="D46" i="9"/>
  <c r="ER47" i="1"/>
  <c r="E48" i="22" s="1"/>
  <c r="EF47" i="1"/>
  <c r="Q48" i="21" s="1"/>
  <c r="EQ47" i="1"/>
  <c r="EE47" i="1"/>
  <c r="N48" i="21" s="1"/>
  <c r="CQ47" i="1"/>
  <c r="EP47" i="1"/>
  <c r="ED47" i="1"/>
  <c r="K48" i="21" s="1"/>
  <c r="EI47" i="1"/>
  <c r="Z48" i="21" s="1"/>
  <c r="CK47" i="1"/>
  <c r="EH47" i="1"/>
  <c r="W48" i="21" s="1"/>
  <c r="CJ47" i="1"/>
  <c r="EG47" i="1"/>
  <c r="T48" i="21" s="1"/>
  <c r="CI47" i="1"/>
  <c r="EN47" i="1"/>
  <c r="AO48" i="21" s="1"/>
  <c r="EC47" i="1"/>
  <c r="H48" i="21" s="1"/>
  <c r="CH47" i="1"/>
  <c r="EB47" i="1"/>
  <c r="E48" i="21" s="1"/>
  <c r="CG47" i="1"/>
  <c r="EO47" i="1"/>
  <c r="EJ47" i="1"/>
  <c r="AC48" i="21" s="1"/>
  <c r="EM47" i="1"/>
  <c r="AL48" i="21" s="1"/>
  <c r="EL47" i="1"/>
  <c r="AI48" i="21" s="1"/>
  <c r="EK47" i="1"/>
  <c r="D3" i="9"/>
  <c r="EI4" i="1"/>
  <c r="Z5" i="21" s="1"/>
  <c r="CI4" i="1"/>
  <c r="ER4" i="1"/>
  <c r="E5" i="22" s="1"/>
  <c r="EO4" i="1"/>
  <c r="EF4" i="1"/>
  <c r="Q5" i="21" s="1"/>
  <c r="EG4" i="1"/>
  <c r="T5" i="21" s="1"/>
  <c r="CG4" i="1"/>
  <c r="EQ4" i="1"/>
  <c r="EE4" i="1"/>
  <c r="N5" i="21" s="1"/>
  <c r="CQ4" i="1"/>
  <c r="EP4" i="1"/>
  <c r="ED4" i="1"/>
  <c r="K5" i="21" s="1"/>
  <c r="EK4" i="1"/>
  <c r="CK4" i="1"/>
  <c r="EJ4" i="1"/>
  <c r="AC5" i="21" s="1"/>
  <c r="CJ4" i="1"/>
  <c r="EH4" i="1"/>
  <c r="W5" i="21" s="1"/>
  <c r="CH4" i="1"/>
  <c r="EC4" i="1"/>
  <c r="H5" i="21" s="1"/>
  <c r="EM4" i="1"/>
  <c r="AL5" i="21" s="1"/>
  <c r="EL4" i="1"/>
  <c r="AI5" i="21" s="1"/>
  <c r="EB4" i="1"/>
  <c r="E5" i="21" s="1"/>
  <c r="EN4" i="1"/>
  <c r="AO5" i="21" s="1"/>
  <c r="DX30" i="1"/>
  <c r="D22" i="9"/>
  <c r="EN23" i="1"/>
  <c r="AO24" i="21" s="1"/>
  <c r="CK23" i="1"/>
  <c r="EK23" i="1"/>
  <c r="EH23" i="1"/>
  <c r="W24" i="21" s="1"/>
  <c r="CH23" i="1"/>
  <c r="EJ23" i="1"/>
  <c r="AC24" i="21" s="1"/>
  <c r="CJ23" i="1"/>
  <c r="EI23" i="1"/>
  <c r="Z24" i="21" s="1"/>
  <c r="CI23" i="1"/>
  <c r="EO23" i="1"/>
  <c r="EM23" i="1"/>
  <c r="AL24" i="21" s="1"/>
  <c r="CG23" i="1"/>
  <c r="EQ23" i="1"/>
  <c r="ER23" i="1" s="1"/>
  <c r="EG23" i="1"/>
  <c r="T24" i="21" s="1"/>
  <c r="N80" i="22"/>
  <c r="F2" i="9"/>
  <c r="ER3" i="3"/>
  <c r="G4" i="22" s="1"/>
  <c r="EF3" i="3"/>
  <c r="S4" i="21" s="1"/>
  <c r="EQ3" i="3"/>
  <c r="EE3" i="3"/>
  <c r="P4" i="21" s="1"/>
  <c r="CQ3" i="3"/>
  <c r="L2" i="9" s="1"/>
  <c r="EP3" i="3"/>
  <c r="ED3" i="3"/>
  <c r="M4" i="21" s="1"/>
  <c r="EO3" i="3"/>
  <c r="EC3" i="3"/>
  <c r="J4" i="21" s="1"/>
  <c r="EN3" i="3"/>
  <c r="AQ4" i="21" s="1"/>
  <c r="EB3" i="3"/>
  <c r="G4" i="21" s="1"/>
  <c r="EM3" i="3"/>
  <c r="AN4" i="21" s="1"/>
  <c r="EK3" i="3"/>
  <c r="CK3" i="3"/>
  <c r="EJ3" i="3"/>
  <c r="AE4" i="21" s="1"/>
  <c r="CJ3" i="3"/>
  <c r="EI3" i="3"/>
  <c r="AB4" i="21" s="1"/>
  <c r="CI3" i="3"/>
  <c r="EH3" i="3"/>
  <c r="Y4" i="21" s="1"/>
  <c r="CH3" i="3"/>
  <c r="EL3" i="3"/>
  <c r="AK4" i="21" s="1"/>
  <c r="EG3" i="3"/>
  <c r="V4" i="21" s="1"/>
  <c r="CG3" i="3"/>
  <c r="F57" i="9"/>
  <c r="EJ57" i="3"/>
  <c r="AE59" i="21" s="1"/>
  <c r="CJ57" i="3"/>
  <c r="EI57" i="3"/>
  <c r="AB59" i="21" s="1"/>
  <c r="CI57" i="3"/>
  <c r="EH57" i="3"/>
  <c r="Y59" i="21" s="1"/>
  <c r="CH57" i="3"/>
  <c r="EG57" i="3"/>
  <c r="V59" i="21" s="1"/>
  <c r="CG57" i="3"/>
  <c r="EO57" i="3"/>
  <c r="CK57" i="3"/>
  <c r="EQ57" i="3"/>
  <c r="EK57" i="3" s="1"/>
  <c r="EN57" i="3"/>
  <c r="AQ59" i="21" s="1"/>
  <c r="EM57" i="3"/>
  <c r="AN59" i="21" s="1"/>
  <c r="DX209" i="2"/>
  <c r="DN184" i="2"/>
  <c r="DO184" i="2"/>
  <c r="E39" i="9"/>
  <c r="EG40" i="2"/>
  <c r="U41" i="21" s="1"/>
  <c r="CG40" i="2"/>
  <c r="ER40" i="2"/>
  <c r="F41" i="22" s="1"/>
  <c r="EF40" i="2"/>
  <c r="R41" i="21" s="1"/>
  <c r="EQ40" i="2"/>
  <c r="EE40" i="2"/>
  <c r="O41" i="21" s="1"/>
  <c r="CQ40" i="2"/>
  <c r="EO40" i="2"/>
  <c r="EC40" i="2"/>
  <c r="I41" i="21" s="1"/>
  <c r="EK40" i="2"/>
  <c r="CK40" i="2"/>
  <c r="CJ40" i="2"/>
  <c r="EP40" i="2"/>
  <c r="CI40" i="2"/>
  <c r="EN40" i="2"/>
  <c r="AP41" i="21" s="1"/>
  <c r="CH40" i="2"/>
  <c r="EM40" i="2"/>
  <c r="AM41" i="21" s="1"/>
  <c r="EL40" i="2"/>
  <c r="AJ41" i="21" s="1"/>
  <c r="EJ40" i="2"/>
  <c r="AD41" i="21" s="1"/>
  <c r="EI40" i="2"/>
  <c r="AA41" i="21" s="1"/>
  <c r="EH40" i="2"/>
  <c r="X41" i="21" s="1"/>
  <c r="ED40" i="2"/>
  <c r="L41" i="21" s="1"/>
  <c r="EB40" i="2"/>
  <c r="F41" i="21" s="1"/>
  <c r="E57" i="9"/>
  <c r="CK58" i="2"/>
  <c r="EJ58" i="2"/>
  <c r="AD59" i="21" s="1"/>
  <c r="F59" i="20" s="1"/>
  <c r="CJ58" i="2"/>
  <c r="EI58" i="2"/>
  <c r="AA59" i="21" s="1"/>
  <c r="M59" i="20" s="1"/>
  <c r="CI58" i="2"/>
  <c r="EH58" i="2"/>
  <c r="X59" i="21" s="1"/>
  <c r="CH58" i="2"/>
  <c r="EQ58" i="2"/>
  <c r="EK58" i="2" s="1"/>
  <c r="EG58" i="2"/>
  <c r="U59" i="21" s="1"/>
  <c r="EN58" i="2"/>
  <c r="AP59" i="21" s="1"/>
  <c r="G59" i="20" s="1"/>
  <c r="CG58" i="2"/>
  <c r="EO58" i="2"/>
  <c r="E84" i="9"/>
  <c r="EL85" i="2"/>
  <c r="AJ86" i="21" s="1"/>
  <c r="EK85" i="2"/>
  <c r="CK85" i="2"/>
  <c r="EJ85" i="2"/>
  <c r="AD86" i="21" s="1"/>
  <c r="CJ85" i="2"/>
  <c r="EI85" i="2"/>
  <c r="AA86" i="21" s="1"/>
  <c r="CI85" i="2"/>
  <c r="EH85" i="2"/>
  <c r="X86" i="21" s="1"/>
  <c r="CH85" i="2"/>
  <c r="EG85" i="2"/>
  <c r="U86" i="21" s="1"/>
  <c r="CG85" i="2"/>
  <c r="ER85" i="2"/>
  <c r="F86" i="22" s="1"/>
  <c r="EF85" i="2"/>
  <c r="R86" i="21" s="1"/>
  <c r="EQ85" i="2"/>
  <c r="EE85" i="2"/>
  <c r="O86" i="21" s="1"/>
  <c r="CQ85" i="2"/>
  <c r="EP85" i="2"/>
  <c r="ED85" i="2"/>
  <c r="L86" i="21" s="1"/>
  <c r="EM85" i="2"/>
  <c r="AM86" i="21" s="1"/>
  <c r="EO85" i="2"/>
  <c r="EN85" i="2"/>
  <c r="AP86" i="21" s="1"/>
  <c r="EC85" i="2"/>
  <c r="I86" i="21" s="1"/>
  <c r="EB85" i="2"/>
  <c r="F86" i="21" s="1"/>
  <c r="CD188" i="1"/>
  <c r="DX188" i="1"/>
  <c r="CD152" i="1"/>
  <c r="DX152" i="1"/>
  <c r="DX176" i="1"/>
  <c r="DY176" i="1" s="1"/>
  <c r="CD176" i="1"/>
  <c r="DX220" i="1"/>
  <c r="DX208" i="1"/>
  <c r="DY208" i="1" s="1"/>
  <c r="DX157" i="1"/>
  <c r="DY157" i="1" s="1"/>
  <c r="D67" i="9"/>
  <c r="EM68" i="1"/>
  <c r="AL69" i="21" s="1"/>
  <c r="EJ68" i="1"/>
  <c r="AC69" i="21" s="1"/>
  <c r="CJ68" i="1"/>
  <c r="EI68" i="1"/>
  <c r="Z69" i="21" s="1"/>
  <c r="CI68" i="1"/>
  <c r="EH68" i="1"/>
  <c r="W69" i="21" s="1"/>
  <c r="CH68" i="1"/>
  <c r="EG68" i="1"/>
  <c r="T69" i="21" s="1"/>
  <c r="CG68" i="1"/>
  <c r="EQ68" i="1"/>
  <c r="EK68" i="1"/>
  <c r="EO68" i="1"/>
  <c r="EN68" i="1"/>
  <c r="AO69" i="21" s="1"/>
  <c r="CK68" i="1"/>
  <c r="CD84" i="1"/>
  <c r="DX84" i="1"/>
  <c r="DX8" i="2"/>
  <c r="D99" i="9"/>
  <c r="EI100" i="1"/>
  <c r="Z101" i="21" s="1"/>
  <c r="CI100" i="1"/>
  <c r="EH100" i="1"/>
  <c r="W101" i="21" s="1"/>
  <c r="CH100" i="1"/>
  <c r="EG100" i="1"/>
  <c r="T101" i="21" s="1"/>
  <c r="CG100" i="1"/>
  <c r="EQ100" i="1"/>
  <c r="EK100" i="1" s="1"/>
  <c r="EO100" i="1"/>
  <c r="EN100" i="1"/>
  <c r="AO101" i="21" s="1"/>
  <c r="CK100" i="1"/>
  <c r="EJ100" i="1"/>
  <c r="AC101" i="21" s="1"/>
  <c r="CJ100" i="1"/>
  <c r="D192" i="9"/>
  <c r="EG192" i="1"/>
  <c r="T194" i="21" s="1"/>
  <c r="CG192" i="1"/>
  <c r="ER192" i="1"/>
  <c r="E194" i="22" s="1"/>
  <c r="EF192" i="1"/>
  <c r="Q194" i="21" s="1"/>
  <c r="EQ192" i="1"/>
  <c r="EE192" i="1"/>
  <c r="N194" i="21" s="1"/>
  <c r="CQ192" i="1"/>
  <c r="EP192" i="1"/>
  <c r="ED192" i="1"/>
  <c r="K194" i="21" s="1"/>
  <c r="EO192" i="1"/>
  <c r="EC192" i="1"/>
  <c r="H194" i="21" s="1"/>
  <c r="EN192" i="1"/>
  <c r="AO194" i="21" s="1"/>
  <c r="EB192" i="1"/>
  <c r="E194" i="21" s="1"/>
  <c r="EM192" i="1"/>
  <c r="AL194" i="21" s="1"/>
  <c r="EL192" i="1"/>
  <c r="AI194" i="21" s="1"/>
  <c r="EH192" i="1"/>
  <c r="W194" i="21" s="1"/>
  <c r="CH192" i="1"/>
  <c r="CJ192" i="1"/>
  <c r="CI192" i="1"/>
  <c r="EK192" i="1"/>
  <c r="EI192" i="1"/>
  <c r="Z194" i="21" s="1"/>
  <c r="CK192" i="1"/>
  <c r="EJ192" i="1"/>
  <c r="AC194" i="21" s="1"/>
  <c r="D34" i="9"/>
  <c r="EQ35" i="1"/>
  <c r="EN35" i="1"/>
  <c r="AO36" i="21" s="1"/>
  <c r="CH35" i="1"/>
  <c r="CG35" i="1"/>
  <c r="EJ35" i="1"/>
  <c r="AC36" i="21" s="1"/>
  <c r="EK35" i="1"/>
  <c r="EG35" i="1"/>
  <c r="T36" i="21" s="1"/>
  <c r="EI35" i="1"/>
  <c r="Z36" i="21" s="1"/>
  <c r="EH35" i="1"/>
  <c r="W36" i="21" s="1"/>
  <c r="EO35" i="1"/>
  <c r="CI35" i="1"/>
  <c r="CK35" i="1"/>
  <c r="CJ35" i="1"/>
  <c r="D155" i="9"/>
  <c r="EG156" i="1"/>
  <c r="T157" i="21" s="1"/>
  <c r="CG156" i="1"/>
  <c r="EQ156" i="1"/>
  <c r="EO156" i="1"/>
  <c r="EN156" i="1"/>
  <c r="AO157" i="21" s="1"/>
  <c r="EM156" i="1"/>
  <c r="AL157" i="21" s="1"/>
  <c r="EL156" i="1"/>
  <c r="AI157" i="21" s="1"/>
  <c r="EH156" i="1"/>
  <c r="W157" i="21" s="1"/>
  <c r="CH156" i="1"/>
  <c r="CK156" i="1"/>
  <c r="CJ156" i="1"/>
  <c r="CI156" i="1"/>
  <c r="EK156" i="1"/>
  <c r="EJ156" i="1"/>
  <c r="AC157" i="21" s="1"/>
  <c r="EI156" i="1"/>
  <c r="Z157" i="21" s="1"/>
  <c r="D78" i="9"/>
  <c r="EN79" i="1"/>
  <c r="AO80" i="21" s="1"/>
  <c r="EB79" i="1"/>
  <c r="E80" i="21" s="1"/>
  <c r="EM79" i="1"/>
  <c r="AL80" i="21" s="1"/>
  <c r="EK79" i="1"/>
  <c r="CK79" i="1"/>
  <c r="EJ79" i="1"/>
  <c r="AC80" i="21" s="1"/>
  <c r="CJ79" i="1"/>
  <c r="EI79" i="1"/>
  <c r="Z80" i="21" s="1"/>
  <c r="CI79" i="1"/>
  <c r="EH79" i="1"/>
  <c r="W80" i="21" s="1"/>
  <c r="CH79" i="1"/>
  <c r="ER79" i="1"/>
  <c r="E80" i="22" s="1"/>
  <c r="EF79" i="1"/>
  <c r="Q80" i="21" s="1"/>
  <c r="EQ79" i="1"/>
  <c r="EP79" i="1"/>
  <c r="EG79" i="1"/>
  <c r="T80" i="21" s="1"/>
  <c r="EO79" i="1"/>
  <c r="CQ79" i="1"/>
  <c r="EC79" i="1"/>
  <c r="H80" i="21" s="1"/>
  <c r="EL79" i="1"/>
  <c r="AI80" i="21" s="1"/>
  <c r="EE79" i="1"/>
  <c r="N80" i="21" s="1"/>
  <c r="ED79" i="1"/>
  <c r="K80" i="21" s="1"/>
  <c r="CG79" i="1"/>
  <c r="CD122" i="1"/>
  <c r="DX51" i="1"/>
  <c r="DX20" i="1"/>
  <c r="N10" i="22"/>
  <c r="DX208" i="2"/>
  <c r="DY208" i="2" s="1"/>
  <c r="DX194" i="2"/>
  <c r="DY194" i="2" s="1"/>
  <c r="DF132" i="2"/>
  <c r="DF10" i="2"/>
  <c r="DF93" i="2"/>
  <c r="D205" i="9"/>
  <c r="EG205" i="1"/>
  <c r="T207" i="21" s="1"/>
  <c r="EQ205" i="1"/>
  <c r="ER205" i="1" s="1"/>
  <c r="EO205" i="1"/>
  <c r="EN205" i="1"/>
  <c r="AO207" i="21" s="1"/>
  <c r="CK205" i="1"/>
  <c r="EH205" i="1"/>
  <c r="W207" i="21" s="1"/>
  <c r="CG205" i="1"/>
  <c r="CJ205" i="1"/>
  <c r="CI205" i="1"/>
  <c r="CH205" i="1"/>
  <c r="EK205" i="1"/>
  <c r="EJ205" i="1"/>
  <c r="AC207" i="21" s="1"/>
  <c r="EI205" i="1"/>
  <c r="Z207" i="21" s="1"/>
  <c r="DO48" i="2"/>
  <c r="DN48" i="2"/>
  <c r="DN211" i="1"/>
  <c r="DO211" i="1"/>
  <c r="EL152" i="2"/>
  <c r="AJ154" i="21" s="1"/>
  <c r="G53" i="20"/>
  <c r="AG94" i="21"/>
  <c r="D203" i="9"/>
  <c r="EH203" i="1"/>
  <c r="W205" i="21" s="1"/>
  <c r="CH203" i="1"/>
  <c r="EG203" i="1"/>
  <c r="T205" i="21" s="1"/>
  <c r="CG203" i="1"/>
  <c r="ER203" i="1"/>
  <c r="E205" i="22" s="1"/>
  <c r="EF203" i="1"/>
  <c r="Q205" i="21" s="1"/>
  <c r="EQ203" i="1"/>
  <c r="EE203" i="1"/>
  <c r="N205" i="21" s="1"/>
  <c r="CQ203" i="1"/>
  <c r="EP203" i="1"/>
  <c r="ED203" i="1"/>
  <c r="K205" i="21" s="1"/>
  <c r="EO203" i="1"/>
  <c r="EC203" i="1"/>
  <c r="H205" i="21" s="1"/>
  <c r="EN203" i="1"/>
  <c r="AO205" i="21" s="1"/>
  <c r="EB203" i="1"/>
  <c r="E205" i="21" s="1"/>
  <c r="EM203" i="1"/>
  <c r="AL205" i="21" s="1"/>
  <c r="EI203" i="1"/>
  <c r="Z205" i="21" s="1"/>
  <c r="CI203" i="1"/>
  <c r="EJ203" i="1"/>
  <c r="AC205" i="21" s="1"/>
  <c r="CK203" i="1"/>
  <c r="CJ203" i="1"/>
  <c r="EL203" i="1"/>
  <c r="AI205" i="21" s="1"/>
  <c r="EK203" i="1"/>
  <c r="D167" i="9"/>
  <c r="EG168" i="1"/>
  <c r="T169" i="21" s="1"/>
  <c r="CG168" i="1"/>
  <c r="ER168" i="1"/>
  <c r="E169" i="22" s="1"/>
  <c r="EF168" i="1"/>
  <c r="Q169" i="21" s="1"/>
  <c r="EQ168" i="1"/>
  <c r="EE168" i="1"/>
  <c r="N169" i="21" s="1"/>
  <c r="CQ168" i="1"/>
  <c r="EP168" i="1"/>
  <c r="ED168" i="1"/>
  <c r="K169" i="21" s="1"/>
  <c r="EO168" i="1"/>
  <c r="EC168" i="1"/>
  <c r="H169" i="21" s="1"/>
  <c r="EN168" i="1"/>
  <c r="AO169" i="21" s="1"/>
  <c r="EB168" i="1"/>
  <c r="E169" i="21" s="1"/>
  <c r="EM168" i="1"/>
  <c r="AL169" i="21" s="1"/>
  <c r="EL168" i="1"/>
  <c r="AI169" i="21" s="1"/>
  <c r="EH168" i="1"/>
  <c r="W169" i="21" s="1"/>
  <c r="CH168" i="1"/>
  <c r="EK168" i="1"/>
  <c r="EJ168" i="1"/>
  <c r="AC169" i="21" s="1"/>
  <c r="EI168" i="1"/>
  <c r="Z169" i="21" s="1"/>
  <c r="CK168" i="1"/>
  <c r="CI168" i="1"/>
  <c r="CJ168" i="1"/>
  <c r="DX97" i="1"/>
  <c r="CD97" i="1"/>
  <c r="D48" i="9"/>
  <c r="EO49" i="1"/>
  <c r="EN49" i="1"/>
  <c r="AO50" i="21" s="1"/>
  <c r="EH49" i="1"/>
  <c r="W50" i="21" s="1"/>
  <c r="CK49" i="1"/>
  <c r="EJ49" i="1"/>
  <c r="AC50" i="21" s="1"/>
  <c r="CJ49" i="1"/>
  <c r="EI49" i="1"/>
  <c r="Z50" i="21" s="1"/>
  <c r="CI49" i="1"/>
  <c r="CH49" i="1"/>
  <c r="EG49" i="1"/>
  <c r="T50" i="21" s="1"/>
  <c r="CG49" i="1"/>
  <c r="EM49" i="1"/>
  <c r="AL50" i="21" s="1"/>
  <c r="EQ49" i="1"/>
  <c r="EK49" i="1" s="1"/>
  <c r="D56" i="9"/>
  <c r="CK57" i="1"/>
  <c r="EH57" i="1"/>
  <c r="W58" i="21" s="1"/>
  <c r="CH57" i="1"/>
  <c r="EG57" i="1"/>
  <c r="T58" i="21" s="1"/>
  <c r="CG57" i="1"/>
  <c r="EO57" i="1"/>
  <c r="EQ57" i="1"/>
  <c r="EK57" i="1" s="1"/>
  <c r="EJ57" i="1"/>
  <c r="AC58" i="21" s="1"/>
  <c r="EN57" i="1"/>
  <c r="AO58" i="21" s="1"/>
  <c r="EL57" i="1"/>
  <c r="AI58" i="21" s="1"/>
  <c r="CI57" i="1"/>
  <c r="EM57" i="1"/>
  <c r="AL58" i="21" s="1"/>
  <c r="CJ57" i="1"/>
  <c r="EI57" i="1"/>
  <c r="Z58" i="21" s="1"/>
  <c r="ER25" i="2"/>
  <c r="EK25" i="2"/>
  <c r="DX159" i="1"/>
  <c r="DY159" i="1" s="1"/>
  <c r="L214" i="22"/>
  <c r="ER10" i="2"/>
  <c r="EK10" i="2"/>
  <c r="DX47" i="1"/>
  <c r="DY47" i="1" s="1"/>
  <c r="M133" i="20"/>
  <c r="F94" i="20"/>
  <c r="M124" i="20"/>
  <c r="P70" i="16"/>
  <c r="S58" i="16"/>
  <c r="P69" i="16"/>
  <c r="P65" i="16"/>
  <c r="P61" i="16"/>
  <c r="P63" i="16"/>
  <c r="P67" i="16"/>
  <c r="P62" i="16"/>
  <c r="P66" i="16"/>
  <c r="P60" i="16"/>
  <c r="P68" i="16"/>
  <c r="P59" i="16"/>
  <c r="T58" i="16"/>
  <c r="P64" i="16"/>
  <c r="S53" i="16"/>
  <c r="T53" i="16"/>
  <c r="U49" i="15"/>
  <c r="T49" i="15"/>
  <c r="R232" i="14"/>
  <c r="T232" i="14"/>
  <c r="S232" i="14"/>
  <c r="R196" i="14"/>
  <c r="T196" i="14"/>
  <c r="S196" i="14"/>
  <c r="DH188" i="3"/>
  <c r="DH191" i="2"/>
  <c r="DH191" i="1"/>
  <c r="DI191" i="1" s="1"/>
  <c r="R226" i="14"/>
  <c r="T226" i="14"/>
  <c r="S226" i="14"/>
  <c r="DH215" i="3"/>
  <c r="DH210" i="2"/>
  <c r="DH220" i="1"/>
  <c r="DI220" i="1" s="1"/>
  <c r="T191" i="14"/>
  <c r="S191" i="14"/>
  <c r="R191" i="14"/>
  <c r="DH183" i="3"/>
  <c r="DH186" i="2"/>
  <c r="DH186" i="1"/>
  <c r="DI186" i="1" s="1"/>
  <c r="R220" i="14"/>
  <c r="T220" i="14"/>
  <c r="S220" i="14"/>
  <c r="DH211" i="3"/>
  <c r="DH205" i="2"/>
  <c r="DH214" i="1"/>
  <c r="DI214" i="1" s="1"/>
  <c r="S167" i="14"/>
  <c r="R167" i="14"/>
  <c r="T167" i="14"/>
  <c r="DH161" i="3"/>
  <c r="DH162" i="2"/>
  <c r="DH163" i="1"/>
  <c r="DI163" i="1" s="1"/>
  <c r="R211" i="14"/>
  <c r="T211" i="14"/>
  <c r="S211" i="14"/>
  <c r="DH203" i="3"/>
  <c r="DH206" i="1"/>
  <c r="DI206" i="1" s="1"/>
  <c r="T105" i="14"/>
  <c r="S105" i="14"/>
  <c r="R105" i="14"/>
  <c r="DH100" i="3"/>
  <c r="DH101" i="2"/>
  <c r="DH101" i="1"/>
  <c r="DI101" i="1" s="1"/>
  <c r="AZ216" i="14"/>
  <c r="AC216" i="14"/>
  <c r="AU216" i="14"/>
  <c r="X216" i="14"/>
  <c r="R193" i="14"/>
  <c r="T193" i="14"/>
  <c r="S193" i="14"/>
  <c r="DH185" i="3"/>
  <c r="DH188" i="2"/>
  <c r="DH188" i="1"/>
  <c r="DI188" i="1" s="1"/>
  <c r="T146" i="14"/>
  <c r="S146" i="14"/>
  <c r="R146" i="14"/>
  <c r="DH140" i="3"/>
  <c r="DH141" i="2"/>
  <c r="DH142" i="1"/>
  <c r="DI142" i="1" s="1"/>
  <c r="BA130" i="14"/>
  <c r="AD130" i="14"/>
  <c r="AV130" i="14"/>
  <c r="Y130" i="14"/>
  <c r="T114" i="14"/>
  <c r="S114" i="14"/>
  <c r="R114" i="14"/>
  <c r="DH109" i="3"/>
  <c r="DH110" i="2"/>
  <c r="DH110" i="1"/>
  <c r="DI110" i="1" s="1"/>
  <c r="T72" i="14"/>
  <c r="S72" i="14"/>
  <c r="R72" i="14"/>
  <c r="DH67" i="3"/>
  <c r="DH68" i="2"/>
  <c r="DH68" i="1"/>
  <c r="DI68" i="1" s="1"/>
  <c r="W79" i="13"/>
  <c r="W94" i="13" s="1"/>
  <c r="G17" i="19" s="1"/>
  <c r="S233" i="21" s="1"/>
  <c r="Q42" i="14"/>
  <c r="W49" i="13"/>
  <c r="W88" i="13" s="1"/>
  <c r="G15" i="19" s="1"/>
  <c r="S231" i="21" s="1"/>
  <c r="AD66" i="14"/>
  <c r="BA66" i="14"/>
  <c r="AV66" i="14"/>
  <c r="Y66" i="14"/>
  <c r="T30" i="14"/>
  <c r="S30" i="14"/>
  <c r="R30" i="14"/>
  <c r="DH26" i="3"/>
  <c r="DH26" i="2"/>
  <c r="DH26" i="1"/>
  <c r="DI26" i="1" s="1"/>
  <c r="W91" i="13"/>
  <c r="G16" i="19" s="1"/>
  <c r="S232" i="21" s="1"/>
  <c r="X87" i="13"/>
  <c r="T9" i="14"/>
  <c r="S9" i="14"/>
  <c r="R9" i="14"/>
  <c r="DH5" i="3"/>
  <c r="DH5" i="2"/>
  <c r="DH5" i="1"/>
  <c r="DI5" i="1" s="1"/>
  <c r="X94" i="13"/>
  <c r="V86" i="13"/>
  <c r="E9" i="19" s="1"/>
  <c r="L231" i="21" s="1"/>
  <c r="J231" i="20" s="1"/>
  <c r="V39" i="13"/>
  <c r="Y49" i="14"/>
  <c r="BA49" i="14"/>
  <c r="AV49" i="14"/>
  <c r="AD49" i="14"/>
  <c r="DN199" i="3"/>
  <c r="DO199" i="3"/>
  <c r="DX168" i="3"/>
  <c r="DY168" i="3" s="1"/>
  <c r="DF157" i="3"/>
  <c r="DX157" i="3" s="1"/>
  <c r="DY157" i="3" s="1"/>
  <c r="DX82" i="3"/>
  <c r="DY82" i="3" s="1"/>
  <c r="DF100" i="3"/>
  <c r="DX100" i="3" s="1"/>
  <c r="DY100" i="3" s="1"/>
  <c r="EL116" i="3"/>
  <c r="AK118" i="21" s="1"/>
  <c r="N118" i="20" s="1"/>
  <c r="F95" i="9"/>
  <c r="EN95" i="3"/>
  <c r="AQ97" i="21" s="1"/>
  <c r="EJ95" i="3"/>
  <c r="AE97" i="21" s="1"/>
  <c r="CJ95" i="3"/>
  <c r="EI95" i="3"/>
  <c r="AB97" i="21" s="1"/>
  <c r="CI95" i="3"/>
  <c r="EQ95" i="3"/>
  <c r="ER95" i="3" s="1"/>
  <c r="EO95" i="3"/>
  <c r="EG95" i="3"/>
  <c r="V97" i="21" s="1"/>
  <c r="CH95" i="3"/>
  <c r="CG95" i="3"/>
  <c r="EH95" i="3"/>
  <c r="Y97" i="21" s="1"/>
  <c r="CK95" i="3"/>
  <c r="DX36" i="3"/>
  <c r="F63" i="9"/>
  <c r="EI63" i="3"/>
  <c r="AB65" i="21" s="1"/>
  <c r="CI63" i="3"/>
  <c r="EH63" i="3"/>
  <c r="Y65" i="21" s="1"/>
  <c r="CH63" i="3"/>
  <c r="EG63" i="3"/>
  <c r="V65" i="21" s="1"/>
  <c r="CG63" i="3"/>
  <c r="EQ63" i="3"/>
  <c r="EK63" i="3" s="1"/>
  <c r="EO63" i="3"/>
  <c r="EM63" i="3"/>
  <c r="AN65" i="21" s="1"/>
  <c r="EL63" i="3"/>
  <c r="AK65" i="21" s="1"/>
  <c r="CK63" i="3"/>
  <c r="CJ63" i="3"/>
  <c r="EJ63" i="3"/>
  <c r="AE65" i="21" s="1"/>
  <c r="EN63" i="3"/>
  <c r="AQ65" i="21" s="1"/>
  <c r="F48" i="9"/>
  <c r="EI48" i="3"/>
  <c r="AB50" i="21" s="1"/>
  <c r="CI48" i="3"/>
  <c r="EG48" i="3"/>
  <c r="V50" i="21" s="1"/>
  <c r="CG48" i="3"/>
  <c r="ER48" i="3"/>
  <c r="G50" i="22" s="1"/>
  <c r="EQ48" i="3"/>
  <c r="EO48" i="3"/>
  <c r="EL48" i="3"/>
  <c r="AK50" i="21" s="1"/>
  <c r="CK48" i="3"/>
  <c r="EN48" i="3"/>
  <c r="AQ50" i="21" s="1"/>
  <c r="CJ48" i="3"/>
  <c r="EK48" i="3"/>
  <c r="CH48" i="3"/>
  <c r="EJ48" i="3"/>
  <c r="AE50" i="21" s="1"/>
  <c r="EH48" i="3"/>
  <c r="Y50" i="21" s="1"/>
  <c r="F81" i="9"/>
  <c r="EK81" i="3"/>
  <c r="EJ81" i="3"/>
  <c r="AE83" i="21" s="1"/>
  <c r="F83" i="20" s="1"/>
  <c r="CJ81" i="3"/>
  <c r="EG81" i="3"/>
  <c r="V83" i="21" s="1"/>
  <c r="CG81" i="3"/>
  <c r="EH81" i="3"/>
  <c r="Y83" i="21" s="1"/>
  <c r="E83" i="20" s="1"/>
  <c r="CK81" i="3"/>
  <c r="CH81" i="3"/>
  <c r="EN81" i="3"/>
  <c r="AQ83" i="21" s="1"/>
  <c r="EI81" i="3"/>
  <c r="AB83" i="21" s="1"/>
  <c r="CI81" i="3"/>
  <c r="EQ81" i="3"/>
  <c r="EO81" i="3"/>
  <c r="AB34" i="21"/>
  <c r="N40" i="22"/>
  <c r="N214" i="22"/>
  <c r="E217" i="9"/>
  <c r="EL206" i="2"/>
  <c r="AJ219" i="21" s="1"/>
  <c r="CK206" i="2"/>
  <c r="EJ206" i="2"/>
  <c r="AD219" i="21" s="1"/>
  <c r="CJ206" i="2"/>
  <c r="EI206" i="2"/>
  <c r="AA219" i="21" s="1"/>
  <c r="CI206" i="2"/>
  <c r="EH206" i="2"/>
  <c r="X219" i="21" s="1"/>
  <c r="CH206" i="2"/>
  <c r="EG206" i="2"/>
  <c r="U219" i="21" s="1"/>
  <c r="CG206" i="2"/>
  <c r="EQ206" i="2"/>
  <c r="EK206" i="2" s="1"/>
  <c r="EO206" i="2"/>
  <c r="EN206" i="2"/>
  <c r="AP219" i="21" s="1"/>
  <c r="DN42" i="3"/>
  <c r="DO42" i="3"/>
  <c r="DF209" i="2"/>
  <c r="DX136" i="2"/>
  <c r="DX90" i="2"/>
  <c r="DX128" i="2"/>
  <c r="D221" i="9"/>
  <c r="EO220" i="1"/>
  <c r="EN220" i="1"/>
  <c r="AO223" i="21" s="1"/>
  <c r="EM220" i="1"/>
  <c r="AL223" i="21" s="1"/>
  <c r="EL220" i="1"/>
  <c r="AI223" i="21" s="1"/>
  <c r="EK220" i="1"/>
  <c r="CK220" i="1"/>
  <c r="EJ220" i="1"/>
  <c r="AC223" i="21" s="1"/>
  <c r="CJ220" i="1"/>
  <c r="EI220" i="1"/>
  <c r="Z223" i="21" s="1"/>
  <c r="CI220" i="1"/>
  <c r="EQ220" i="1"/>
  <c r="EH220" i="1"/>
  <c r="W223" i="21" s="1"/>
  <c r="EG220" i="1"/>
  <c r="T223" i="21" s="1"/>
  <c r="CH220" i="1"/>
  <c r="CG220" i="1"/>
  <c r="EL132" i="2"/>
  <c r="AJ133" i="21" s="1"/>
  <c r="DF59" i="2"/>
  <c r="DX59" i="2" s="1"/>
  <c r="D193" i="9"/>
  <c r="ER193" i="1"/>
  <c r="E195" i="22" s="1"/>
  <c r="EF193" i="1"/>
  <c r="Q195" i="21" s="1"/>
  <c r="EQ193" i="1"/>
  <c r="EE193" i="1"/>
  <c r="N195" i="21" s="1"/>
  <c r="CQ193" i="1"/>
  <c r="EP193" i="1"/>
  <c r="ED193" i="1"/>
  <c r="K195" i="21" s="1"/>
  <c r="EO193" i="1"/>
  <c r="EC193" i="1"/>
  <c r="H195" i="21" s="1"/>
  <c r="EN193" i="1"/>
  <c r="AO195" i="21" s="1"/>
  <c r="EB193" i="1"/>
  <c r="E195" i="21" s="1"/>
  <c r="EM193" i="1"/>
  <c r="AL195" i="21" s="1"/>
  <c r="EL193" i="1"/>
  <c r="AI195" i="21" s="1"/>
  <c r="EK193" i="1"/>
  <c r="CK193" i="1"/>
  <c r="EG193" i="1"/>
  <c r="T195" i="21" s="1"/>
  <c r="CG193" i="1"/>
  <c r="CJ193" i="1"/>
  <c r="CI193" i="1"/>
  <c r="CH193" i="1"/>
  <c r="EI193" i="1"/>
  <c r="Z195" i="21" s="1"/>
  <c r="EJ193" i="1"/>
  <c r="AC195" i="21" s="1"/>
  <c r="EH193" i="1"/>
  <c r="W195" i="21" s="1"/>
  <c r="DX88" i="2"/>
  <c r="E47" i="9"/>
  <c r="EK48" i="2"/>
  <c r="CK48" i="2"/>
  <c r="EJ48" i="2"/>
  <c r="AD49" i="21" s="1"/>
  <c r="CJ48" i="2"/>
  <c r="EI48" i="2"/>
  <c r="AA49" i="21" s="1"/>
  <c r="CI48" i="2"/>
  <c r="EG48" i="2"/>
  <c r="U49" i="21" s="1"/>
  <c r="CG48" i="2"/>
  <c r="EQ48" i="2"/>
  <c r="EE48" i="2"/>
  <c r="O49" i="21" s="1"/>
  <c r="CQ48" i="2"/>
  <c r="EP48" i="2"/>
  <c r="ED48" i="2"/>
  <c r="L49" i="21" s="1"/>
  <c r="EO48" i="2"/>
  <c r="EC48" i="2"/>
  <c r="I49" i="21" s="1"/>
  <c r="ER48" i="2"/>
  <c r="F49" i="22" s="1"/>
  <c r="EN48" i="2"/>
  <c r="AP49" i="21" s="1"/>
  <c r="EM48" i="2"/>
  <c r="AM49" i="21" s="1"/>
  <c r="EL48" i="2"/>
  <c r="AJ49" i="21" s="1"/>
  <c r="EH48" i="2"/>
  <c r="X49" i="21" s="1"/>
  <c r="EF48" i="2"/>
  <c r="R49" i="21" s="1"/>
  <c r="EB48" i="2"/>
  <c r="F49" i="21" s="1"/>
  <c r="CH48" i="2"/>
  <c r="E34" i="20"/>
  <c r="DX80" i="2"/>
  <c r="DY80" i="2" s="1"/>
  <c r="EP117" i="2"/>
  <c r="DX215" i="1"/>
  <c r="D149" i="9"/>
  <c r="EM150" i="1"/>
  <c r="AL151" i="21" s="1"/>
  <c r="CK150" i="1"/>
  <c r="EI150" i="1"/>
  <c r="Z151" i="21" s="1"/>
  <c r="CI150" i="1"/>
  <c r="EH150" i="1"/>
  <c r="W151" i="21" s="1"/>
  <c r="CH150" i="1"/>
  <c r="EG150" i="1"/>
  <c r="T151" i="21" s="1"/>
  <c r="CG150" i="1"/>
  <c r="EN150" i="1"/>
  <c r="AO151" i="21" s="1"/>
  <c r="EQ150" i="1"/>
  <c r="EK150" i="1" s="1"/>
  <c r="CJ150" i="1"/>
  <c r="EJ150" i="1"/>
  <c r="AC151" i="21" s="1"/>
  <c r="EO150" i="1"/>
  <c r="DX24" i="1"/>
  <c r="DX11" i="2"/>
  <c r="D50" i="9"/>
  <c r="EN51" i="1"/>
  <c r="AO52" i="21" s="1"/>
  <c r="EQ51" i="1"/>
  <c r="ER51" i="1" s="1"/>
  <c r="EJ51" i="1"/>
  <c r="AC52" i="21" s="1"/>
  <c r="CK51" i="1"/>
  <c r="EO51" i="1"/>
  <c r="EI51" i="1"/>
  <c r="Z52" i="21" s="1"/>
  <c r="CJ51" i="1"/>
  <c r="EH51" i="1"/>
  <c r="W52" i="21" s="1"/>
  <c r="CI51" i="1"/>
  <c r="EG51" i="1"/>
  <c r="T52" i="21" s="1"/>
  <c r="CH51" i="1"/>
  <c r="CG51" i="1"/>
  <c r="D114" i="9"/>
  <c r="ER115" i="1"/>
  <c r="E116" i="22" s="1"/>
  <c r="EQ115" i="1"/>
  <c r="EO115" i="1"/>
  <c r="EN115" i="1"/>
  <c r="AO116" i="21" s="1"/>
  <c r="EJ115" i="1"/>
  <c r="AC116" i="21" s="1"/>
  <c r="CJ115" i="1"/>
  <c r="CI115" i="1"/>
  <c r="CH115" i="1"/>
  <c r="EI115" i="1"/>
  <c r="Z116" i="21" s="1"/>
  <c r="CG115" i="1"/>
  <c r="EK115" i="1"/>
  <c r="EH115" i="1"/>
  <c r="W116" i="21" s="1"/>
  <c r="EG115" i="1"/>
  <c r="T116" i="21" s="1"/>
  <c r="CK115" i="1"/>
  <c r="CD153" i="1"/>
  <c r="DX153" i="1"/>
  <c r="DX17" i="1"/>
  <c r="DY17" i="1" s="1"/>
  <c r="CD17" i="1"/>
  <c r="W30" i="21"/>
  <c r="EM29" i="1"/>
  <c r="AL30" i="21" s="1"/>
  <c r="EL29" i="1"/>
  <c r="AI30" i="21" s="1"/>
  <c r="H129" i="22"/>
  <c r="D26" i="9"/>
  <c r="EN27" i="1"/>
  <c r="AO28" i="21" s="1"/>
  <c r="EO27" i="1"/>
  <c r="CK27" i="1"/>
  <c r="CJ27" i="1"/>
  <c r="CG27" i="1"/>
  <c r="EL27" i="1"/>
  <c r="AI28" i="21" s="1"/>
  <c r="EK27" i="1"/>
  <c r="CH27" i="1"/>
  <c r="EG27" i="1"/>
  <c r="T28" i="21" s="1"/>
  <c r="EI27" i="1"/>
  <c r="Z28" i="21" s="1"/>
  <c r="EH27" i="1"/>
  <c r="W28" i="21" s="1"/>
  <c r="CI27" i="1"/>
  <c r="EJ27" i="1"/>
  <c r="AC28" i="21" s="1"/>
  <c r="EQ27" i="1"/>
  <c r="D79" i="9"/>
  <c r="EM80" i="1"/>
  <c r="AL81" i="21" s="1"/>
  <c r="EL80" i="1"/>
  <c r="AI81" i="21" s="1"/>
  <c r="EJ80" i="1"/>
  <c r="AC81" i="21" s="1"/>
  <c r="CJ80" i="1"/>
  <c r="EI80" i="1"/>
  <c r="Z81" i="21" s="1"/>
  <c r="CI80" i="1"/>
  <c r="EH80" i="1"/>
  <c r="W81" i="21" s="1"/>
  <c r="CH80" i="1"/>
  <c r="EG80" i="1"/>
  <c r="T81" i="21" s="1"/>
  <c r="CG80" i="1"/>
  <c r="EQ80" i="1"/>
  <c r="EE80" i="1"/>
  <c r="N81" i="21" s="1"/>
  <c r="CQ80" i="1"/>
  <c r="EN80" i="1"/>
  <c r="AO81" i="21" s="1"/>
  <c r="EC80" i="1"/>
  <c r="H81" i="21" s="1"/>
  <c r="EK80" i="1"/>
  <c r="EF80" i="1"/>
  <c r="Q81" i="21" s="1"/>
  <c r="ED80" i="1"/>
  <c r="K81" i="21" s="1"/>
  <c r="CK80" i="1"/>
  <c r="EB80" i="1"/>
  <c r="E81" i="21" s="1"/>
  <c r="EO80" i="1"/>
  <c r="ER80" i="1"/>
  <c r="E81" i="22" s="1"/>
  <c r="EP80" i="1"/>
  <c r="D64" i="9"/>
  <c r="EO65" i="1"/>
  <c r="EM65" i="1"/>
  <c r="AL66" i="21" s="1"/>
  <c r="EL65" i="1"/>
  <c r="AI66" i="21" s="1"/>
  <c r="EK65" i="1"/>
  <c r="CK65" i="1"/>
  <c r="EJ65" i="1"/>
  <c r="AC66" i="21" s="1"/>
  <c r="CJ65" i="1"/>
  <c r="EI65" i="1"/>
  <c r="Z66" i="21" s="1"/>
  <c r="EQ65" i="1"/>
  <c r="EN65" i="1"/>
  <c r="AO66" i="21" s="1"/>
  <c r="EH65" i="1"/>
  <c r="W66" i="21" s="1"/>
  <c r="EG65" i="1"/>
  <c r="T66" i="21" s="1"/>
  <c r="CI65" i="1"/>
  <c r="CH65" i="1"/>
  <c r="CG65" i="1"/>
  <c r="E190" i="9"/>
  <c r="EN190" i="2"/>
  <c r="AP192" i="21" s="1"/>
  <c r="EB190" i="2"/>
  <c r="F192" i="21" s="1"/>
  <c r="EM190" i="2"/>
  <c r="AM192" i="21" s="1"/>
  <c r="EG190" i="2"/>
  <c r="U192" i="21" s="1"/>
  <c r="ER190" i="2"/>
  <c r="F192" i="22" s="1"/>
  <c r="EF190" i="2"/>
  <c r="R192" i="21" s="1"/>
  <c r="CQ190" i="2"/>
  <c r="EQ190" i="2"/>
  <c r="EP190" i="2"/>
  <c r="EO190" i="2"/>
  <c r="EL190" i="2"/>
  <c r="AJ192" i="21" s="1"/>
  <c r="CK190" i="2"/>
  <c r="EK190" i="2"/>
  <c r="CJ190" i="2"/>
  <c r="EJ190" i="2"/>
  <c r="AD192" i="21" s="1"/>
  <c r="CI190" i="2"/>
  <c r="EI190" i="2"/>
  <c r="AA192" i="21" s="1"/>
  <c r="CH190" i="2"/>
  <c r="EH190" i="2"/>
  <c r="X192" i="21" s="1"/>
  <c r="CG190" i="2"/>
  <c r="EE190" i="2"/>
  <c r="O192" i="21" s="1"/>
  <c r="EC190" i="2"/>
  <c r="I192" i="21" s="1"/>
  <c r="ED190" i="2"/>
  <c r="L192" i="21" s="1"/>
  <c r="DX167" i="2"/>
  <c r="DY167" i="2" s="1"/>
  <c r="DX135" i="2"/>
  <c r="DY135" i="2" s="1"/>
  <c r="DX68" i="2"/>
  <c r="E27" i="9"/>
  <c r="EG28" i="2"/>
  <c r="U29" i="21" s="1"/>
  <c r="CG28" i="2"/>
  <c r="ER28" i="2"/>
  <c r="F29" i="22" s="1"/>
  <c r="EQ28" i="2"/>
  <c r="EK28" i="2" s="1"/>
  <c r="EO28" i="2"/>
  <c r="CK28" i="2"/>
  <c r="CJ28" i="2"/>
  <c r="EN28" i="2"/>
  <c r="AP29" i="21" s="1"/>
  <c r="G29" i="20" s="1"/>
  <c r="CI28" i="2"/>
  <c r="CH28" i="2"/>
  <c r="EH28" i="2"/>
  <c r="X29" i="21" s="1"/>
  <c r="E29" i="20" s="1"/>
  <c r="EJ28" i="2"/>
  <c r="AD29" i="21" s="1"/>
  <c r="F29" i="20" s="1"/>
  <c r="EI28" i="2"/>
  <c r="AA29" i="21" s="1"/>
  <c r="M29" i="20" s="1"/>
  <c r="N70" i="20"/>
  <c r="G83" i="20"/>
  <c r="F26" i="20"/>
  <c r="AG110" i="21"/>
  <c r="N53" i="20"/>
  <c r="DX214" i="1"/>
  <c r="CD214" i="1"/>
  <c r="CD177" i="1"/>
  <c r="DX177" i="1"/>
  <c r="DY177" i="1" s="1"/>
  <c r="D185" i="9"/>
  <c r="EN185" i="1"/>
  <c r="AO187" i="21" s="1"/>
  <c r="EB185" i="1"/>
  <c r="E187" i="21" s="1"/>
  <c r="EM185" i="1"/>
  <c r="AL187" i="21" s="1"/>
  <c r="EL185" i="1"/>
  <c r="AI187" i="21" s="1"/>
  <c r="EK185" i="1"/>
  <c r="CK185" i="1"/>
  <c r="EJ185" i="1"/>
  <c r="AC187" i="21" s="1"/>
  <c r="CJ185" i="1"/>
  <c r="EI185" i="1"/>
  <c r="Z187" i="21" s="1"/>
  <c r="CI185" i="1"/>
  <c r="EH185" i="1"/>
  <c r="W187" i="21" s="1"/>
  <c r="CH185" i="1"/>
  <c r="EG185" i="1"/>
  <c r="T187" i="21" s="1"/>
  <c r="CG185" i="1"/>
  <c r="EO185" i="1"/>
  <c r="EC185" i="1"/>
  <c r="H187" i="21" s="1"/>
  <c r="ER185" i="1"/>
  <c r="E187" i="22" s="1"/>
  <c r="EQ185" i="1"/>
  <c r="EP185" i="1"/>
  <c r="EE185" i="1"/>
  <c r="N187" i="21" s="1"/>
  <c r="ED185" i="1"/>
  <c r="K187" i="21" s="1"/>
  <c r="CQ185" i="1"/>
  <c r="EF185" i="1"/>
  <c r="Q187" i="21" s="1"/>
  <c r="DX93" i="1"/>
  <c r="D162" i="9"/>
  <c r="EL163" i="1"/>
  <c r="AI164" i="21" s="1"/>
  <c r="EK163" i="1"/>
  <c r="CK163" i="1"/>
  <c r="EJ163" i="1"/>
  <c r="AC164" i="21" s="1"/>
  <c r="CJ163" i="1"/>
  <c r="EI163" i="1"/>
  <c r="Z164" i="21" s="1"/>
  <c r="CI163" i="1"/>
  <c r="EH163" i="1"/>
  <c r="W164" i="21" s="1"/>
  <c r="CH163" i="1"/>
  <c r="EG163" i="1"/>
  <c r="T164" i="21" s="1"/>
  <c r="CG163" i="1"/>
  <c r="ER163" i="1"/>
  <c r="E164" i="22" s="1"/>
  <c r="EF163" i="1"/>
  <c r="Q164" i="21" s="1"/>
  <c r="EQ163" i="1"/>
  <c r="EE163" i="1"/>
  <c r="N164" i="21" s="1"/>
  <c r="CQ163" i="1"/>
  <c r="EM163" i="1"/>
  <c r="AL164" i="21" s="1"/>
  <c r="EP163" i="1"/>
  <c r="EO163" i="1"/>
  <c r="EN163" i="1"/>
  <c r="AO164" i="21" s="1"/>
  <c r="ED163" i="1"/>
  <c r="K164" i="21" s="1"/>
  <c r="EB163" i="1"/>
  <c r="E164" i="21" s="1"/>
  <c r="EC163" i="1"/>
  <c r="H164" i="21" s="1"/>
  <c r="D101" i="9"/>
  <c r="EG102" i="1"/>
  <c r="T103" i="21" s="1"/>
  <c r="CG102" i="1"/>
  <c r="EQ102" i="1"/>
  <c r="EK102" i="1" s="1"/>
  <c r="EO102" i="1"/>
  <c r="EN102" i="1"/>
  <c r="AO103" i="21" s="1"/>
  <c r="EM102" i="1"/>
  <c r="AL103" i="21" s="1"/>
  <c r="CK102" i="1"/>
  <c r="EI102" i="1"/>
  <c r="Z103" i="21" s="1"/>
  <c r="EH102" i="1"/>
  <c r="W103" i="21" s="1"/>
  <c r="CI102" i="1"/>
  <c r="CJ102" i="1"/>
  <c r="EJ102" i="1"/>
  <c r="AC103" i="21" s="1"/>
  <c r="EL102" i="1"/>
  <c r="AI103" i="21" s="1"/>
  <c r="CH102" i="1"/>
  <c r="DX117" i="1"/>
  <c r="D62" i="9"/>
  <c r="EQ63" i="1"/>
  <c r="EO63" i="1"/>
  <c r="EN63" i="1"/>
  <c r="AO64" i="21" s="1"/>
  <c r="EM63" i="1"/>
  <c r="AL64" i="21" s="1"/>
  <c r="EJ63" i="1"/>
  <c r="AC64" i="21" s="1"/>
  <c r="EI63" i="1"/>
  <c r="Z64" i="21" s="1"/>
  <c r="EH63" i="1"/>
  <c r="W64" i="21" s="1"/>
  <c r="CJ63" i="1"/>
  <c r="EG63" i="1"/>
  <c r="T64" i="21" s="1"/>
  <c r="CK63" i="1"/>
  <c r="CI63" i="1"/>
  <c r="EK63" i="1"/>
  <c r="CH63" i="1"/>
  <c r="EL63" i="1"/>
  <c r="AI64" i="21" s="1"/>
  <c r="CG63" i="1"/>
  <c r="CD5" i="1"/>
  <c r="E30" i="22"/>
  <c r="L30" i="22" s="1"/>
  <c r="EP29" i="1"/>
  <c r="D39" i="9"/>
  <c r="EM40" i="1"/>
  <c r="AL41" i="21" s="1"/>
  <c r="EL40" i="1"/>
  <c r="AI41" i="21" s="1"/>
  <c r="EH40" i="1"/>
  <c r="W41" i="21" s="1"/>
  <c r="EG40" i="1"/>
  <c r="T41" i="21" s="1"/>
  <c r="EF40" i="1"/>
  <c r="Q41" i="21" s="1"/>
  <c r="CK40" i="1"/>
  <c r="EE40" i="1"/>
  <c r="N41" i="21" s="1"/>
  <c r="CJ40" i="1"/>
  <c r="ER40" i="1"/>
  <c r="E41" i="22" s="1"/>
  <c r="ED40" i="1"/>
  <c r="K41" i="21" s="1"/>
  <c r="CI40" i="1"/>
  <c r="EO40" i="1"/>
  <c r="EQ40" i="1"/>
  <c r="EC40" i="1"/>
  <c r="H41" i="21" s="1"/>
  <c r="CH40" i="1"/>
  <c r="EP40" i="1"/>
  <c r="EB40" i="1"/>
  <c r="E41" i="21" s="1"/>
  <c r="CG40" i="1"/>
  <c r="EI40" i="1"/>
  <c r="Z41" i="21" s="1"/>
  <c r="EN40" i="1"/>
  <c r="AO41" i="21" s="1"/>
  <c r="CQ40" i="1"/>
  <c r="EK40" i="1"/>
  <c r="EJ40" i="1"/>
  <c r="AC41" i="21" s="1"/>
  <c r="EP12" i="1"/>
  <c r="F70" i="20"/>
  <c r="S37" i="16"/>
  <c r="T37" i="16"/>
  <c r="U43" i="15"/>
  <c r="T43" i="15"/>
  <c r="S188" i="14"/>
  <c r="R188" i="14"/>
  <c r="T188" i="14"/>
  <c r="DH180" i="3"/>
  <c r="DH183" i="2"/>
  <c r="DH183" i="1"/>
  <c r="DI183" i="1" s="1"/>
  <c r="T148" i="14"/>
  <c r="S148" i="14"/>
  <c r="R148" i="14"/>
  <c r="DH142" i="3"/>
  <c r="DH143" i="2"/>
  <c r="DH144" i="1"/>
  <c r="DI144" i="1" s="1"/>
  <c r="BA204" i="14"/>
  <c r="AD204" i="14"/>
  <c r="AV204" i="14"/>
  <c r="Y204" i="14"/>
  <c r="T93" i="14"/>
  <c r="S93" i="14"/>
  <c r="R93" i="14"/>
  <c r="DH88" i="3"/>
  <c r="DH89" i="2"/>
  <c r="DH89" i="1"/>
  <c r="DI89" i="1" s="1"/>
  <c r="BA174" i="14"/>
  <c r="AD174" i="14"/>
  <c r="AV174" i="14"/>
  <c r="Y174" i="14"/>
  <c r="T125" i="14"/>
  <c r="S125" i="14"/>
  <c r="R125" i="14"/>
  <c r="DH120" i="3"/>
  <c r="DH121" i="2"/>
  <c r="DH121" i="1"/>
  <c r="DI121" i="1" s="1"/>
  <c r="AZ207" i="14"/>
  <c r="AC207" i="14"/>
  <c r="AU207" i="14"/>
  <c r="X207" i="14"/>
  <c r="S147" i="14"/>
  <c r="T147" i="14"/>
  <c r="R147" i="14"/>
  <c r="DH141" i="3"/>
  <c r="DH142" i="2"/>
  <c r="DH143" i="1"/>
  <c r="DI143" i="1" s="1"/>
  <c r="T99" i="14"/>
  <c r="S99" i="14"/>
  <c r="R99" i="14"/>
  <c r="DH94" i="3"/>
  <c r="DI94" i="3" s="1"/>
  <c r="DH95" i="2"/>
  <c r="DI95" i="2" s="1"/>
  <c r="DH95" i="1"/>
  <c r="DI95" i="1" s="1"/>
  <c r="T65" i="14"/>
  <c r="S65" i="14"/>
  <c r="R65" i="14"/>
  <c r="DH60" i="3"/>
  <c r="DI60" i="3" s="1"/>
  <c r="DH61" i="2"/>
  <c r="DI61" i="2" s="1"/>
  <c r="DH61" i="1"/>
  <c r="DI61" i="1" s="1"/>
  <c r="AT50" i="14"/>
  <c r="W50" i="14"/>
  <c r="AY50" i="14"/>
  <c r="AB50" i="14"/>
  <c r="AY76" i="14"/>
  <c r="AB76" i="14"/>
  <c r="AT76" i="14"/>
  <c r="W76" i="14"/>
  <c r="AD52" i="14"/>
  <c r="Y52" i="14"/>
  <c r="BA52" i="14"/>
  <c r="AV52" i="14"/>
  <c r="U54" i="13"/>
  <c r="U89" i="13" s="1"/>
  <c r="E4" i="19" s="1"/>
  <c r="K232" i="21" s="1"/>
  <c r="W86" i="13"/>
  <c r="E15" i="19" s="1"/>
  <c r="M231" i="21" s="1"/>
  <c r="W39" i="13"/>
  <c r="X49" i="14"/>
  <c r="AZ49" i="14"/>
  <c r="AU49" i="14"/>
  <c r="AC49" i="14"/>
  <c r="AD7" i="14"/>
  <c r="BA7" i="14"/>
  <c r="Y7" i="14"/>
  <c r="AV7" i="14"/>
  <c r="DX194" i="3"/>
  <c r="DO208" i="3"/>
  <c r="DN208" i="3"/>
  <c r="F202" i="9"/>
  <c r="EI199" i="3"/>
  <c r="AB204" i="21" s="1"/>
  <c r="CI199" i="3"/>
  <c r="EG199" i="3"/>
  <c r="V204" i="21" s="1"/>
  <c r="CG199" i="3"/>
  <c r="ER199" i="3"/>
  <c r="G204" i="22" s="1"/>
  <c r="EF199" i="3"/>
  <c r="S204" i="21" s="1"/>
  <c r="EQ199" i="3"/>
  <c r="EE199" i="3"/>
  <c r="P204" i="21" s="1"/>
  <c r="CQ199" i="3"/>
  <c r="EP199" i="3"/>
  <c r="ED199" i="3"/>
  <c r="M204" i="21" s="1"/>
  <c r="EM199" i="3"/>
  <c r="AN204" i="21" s="1"/>
  <c r="EL199" i="3"/>
  <c r="AK204" i="21" s="1"/>
  <c r="EH199" i="3"/>
  <c r="Y204" i="21" s="1"/>
  <c r="CK199" i="3"/>
  <c r="EC199" i="3"/>
  <c r="J204" i="21" s="1"/>
  <c r="CJ199" i="3"/>
  <c r="EB199" i="3"/>
  <c r="G204" i="21" s="1"/>
  <c r="CH199" i="3"/>
  <c r="EO199" i="3"/>
  <c r="EJ199" i="3"/>
  <c r="AE204" i="21" s="1"/>
  <c r="EN199" i="3"/>
  <c r="AQ204" i="21" s="1"/>
  <c r="EK199" i="3"/>
  <c r="DX120" i="3"/>
  <c r="DY120" i="3" s="1"/>
  <c r="DN108" i="3"/>
  <c r="DO108" i="3"/>
  <c r="DX79" i="3"/>
  <c r="DY79" i="3" s="1"/>
  <c r="DF112" i="3"/>
  <c r="DX112" i="3" s="1"/>
  <c r="F61" i="9"/>
  <c r="EK61" i="3"/>
  <c r="CK61" i="3"/>
  <c r="EJ61" i="3"/>
  <c r="AE63" i="21" s="1"/>
  <c r="CJ61" i="3"/>
  <c r="EI61" i="3"/>
  <c r="AB63" i="21" s="1"/>
  <c r="CI61" i="3"/>
  <c r="EH61" i="3"/>
  <c r="Y63" i="21" s="1"/>
  <c r="CH61" i="3"/>
  <c r="EG61" i="3"/>
  <c r="V63" i="21" s="1"/>
  <c r="CG61" i="3"/>
  <c r="ER61" i="3"/>
  <c r="G63" i="22" s="1"/>
  <c r="EF61" i="3"/>
  <c r="S63" i="21" s="1"/>
  <c r="EQ61" i="3"/>
  <c r="EE61" i="3"/>
  <c r="P63" i="21" s="1"/>
  <c r="CQ61" i="3"/>
  <c r="EO61" i="3"/>
  <c r="EC61" i="3"/>
  <c r="J63" i="21" s="1"/>
  <c r="EN61" i="3"/>
  <c r="AQ63" i="21" s="1"/>
  <c r="EB61" i="3"/>
  <c r="G63" i="21" s="1"/>
  <c r="EP61" i="3"/>
  <c r="EM61" i="3"/>
  <c r="AN63" i="21" s="1"/>
  <c r="EL61" i="3"/>
  <c r="AK63" i="21" s="1"/>
  <c r="ED61" i="3"/>
  <c r="M63" i="21" s="1"/>
  <c r="F44" i="9"/>
  <c r="EM44" i="3"/>
  <c r="AN46" i="21" s="1"/>
  <c r="EK44" i="3"/>
  <c r="CK44" i="3"/>
  <c r="EJ44" i="3"/>
  <c r="AE46" i="21" s="1"/>
  <c r="CJ44" i="3"/>
  <c r="EI44" i="3"/>
  <c r="AB46" i="21" s="1"/>
  <c r="CI44" i="3"/>
  <c r="EH44" i="3"/>
  <c r="Y46" i="21" s="1"/>
  <c r="CH44" i="3"/>
  <c r="EG44" i="3"/>
  <c r="V46" i="21" s="1"/>
  <c r="CG44" i="3"/>
  <c r="EQ44" i="3"/>
  <c r="EE44" i="3"/>
  <c r="P46" i="21" s="1"/>
  <c r="CQ44" i="3"/>
  <c r="EP44" i="3"/>
  <c r="ED44" i="3"/>
  <c r="M46" i="21" s="1"/>
  <c r="EL44" i="3"/>
  <c r="AK46" i="21" s="1"/>
  <c r="EF44" i="3"/>
  <c r="S46" i="21" s="1"/>
  <c r="EC44" i="3"/>
  <c r="J46" i="21" s="1"/>
  <c r="EB44" i="3"/>
  <c r="G46" i="21" s="1"/>
  <c r="ER44" i="3"/>
  <c r="G46" i="22" s="1"/>
  <c r="EO44" i="3"/>
  <c r="EN44" i="3"/>
  <c r="AQ46" i="21" s="1"/>
  <c r="F47" i="9"/>
  <c r="EJ47" i="3"/>
  <c r="AE49" i="21" s="1"/>
  <c r="CJ47" i="3"/>
  <c r="EH47" i="3"/>
  <c r="Y49" i="21" s="1"/>
  <c r="CH47" i="3"/>
  <c r="EG47" i="3"/>
  <c r="V49" i="21" s="1"/>
  <c r="CG47" i="3"/>
  <c r="ER47" i="3"/>
  <c r="G49" i="22" s="1"/>
  <c r="EF47" i="3"/>
  <c r="S49" i="21" s="1"/>
  <c r="EQ47" i="3"/>
  <c r="EE47" i="3"/>
  <c r="P49" i="21" s="1"/>
  <c r="CQ47" i="3"/>
  <c r="EP47" i="3"/>
  <c r="ED47" i="3"/>
  <c r="M49" i="21" s="1"/>
  <c r="EN47" i="3"/>
  <c r="AQ49" i="21" s="1"/>
  <c r="EB47" i="3"/>
  <c r="G49" i="21" s="1"/>
  <c r="EM47" i="3"/>
  <c r="AN49" i="21" s="1"/>
  <c r="EO47" i="3"/>
  <c r="CK47" i="3"/>
  <c r="EL47" i="3"/>
  <c r="AK49" i="21" s="1"/>
  <c r="CI47" i="3"/>
  <c r="EI47" i="3"/>
  <c r="AB49" i="21" s="1"/>
  <c r="EC47" i="3"/>
  <c r="J49" i="21" s="1"/>
  <c r="EK47" i="3"/>
  <c r="Y26" i="21"/>
  <c r="E26" i="20" s="1"/>
  <c r="N44" i="22"/>
  <c r="M195" i="22"/>
  <c r="DX199" i="2"/>
  <c r="DY199" i="2" s="1"/>
  <c r="DF69" i="2"/>
  <c r="DX33" i="2"/>
  <c r="DO45" i="2"/>
  <c r="DN45" i="2"/>
  <c r="DX119" i="2"/>
  <c r="DY119" i="2" s="1"/>
  <c r="D168" i="9"/>
  <c r="ER169" i="1"/>
  <c r="E170" i="22" s="1"/>
  <c r="EF169" i="1"/>
  <c r="Q170" i="21" s="1"/>
  <c r="EQ169" i="1"/>
  <c r="EE169" i="1"/>
  <c r="N170" i="21" s="1"/>
  <c r="CQ169" i="1"/>
  <c r="EP169" i="1"/>
  <c r="ED169" i="1"/>
  <c r="K170" i="21" s="1"/>
  <c r="EO169" i="1"/>
  <c r="EC169" i="1"/>
  <c r="H170" i="21" s="1"/>
  <c r="EN169" i="1"/>
  <c r="AO170" i="21" s="1"/>
  <c r="EB169" i="1"/>
  <c r="E170" i="21" s="1"/>
  <c r="EM169" i="1"/>
  <c r="AL170" i="21" s="1"/>
  <c r="EL169" i="1"/>
  <c r="AI170" i="21" s="1"/>
  <c r="EK169" i="1"/>
  <c r="CK169" i="1"/>
  <c r="EG169" i="1"/>
  <c r="T170" i="21" s="1"/>
  <c r="CG169" i="1"/>
  <c r="CI169" i="1"/>
  <c r="CH169" i="1"/>
  <c r="EJ169" i="1"/>
  <c r="AC170" i="21" s="1"/>
  <c r="EI169" i="1"/>
  <c r="Z170" i="21" s="1"/>
  <c r="EH169" i="1"/>
  <c r="W170" i="21" s="1"/>
  <c r="CJ169" i="1"/>
  <c r="DX105" i="2"/>
  <c r="DF37" i="2"/>
  <c r="DX91" i="2"/>
  <c r="M118" i="20"/>
  <c r="G26" i="20"/>
  <c r="M26" i="20"/>
  <c r="G34" i="20"/>
  <c r="M83" i="20"/>
  <c r="DX204" i="1"/>
  <c r="DY204" i="1" s="1"/>
  <c r="CD204" i="1"/>
  <c r="D178" i="9"/>
  <c r="EH179" i="1"/>
  <c r="W180" i="21" s="1"/>
  <c r="CH179" i="1"/>
  <c r="EG179" i="1"/>
  <c r="T180" i="21" s="1"/>
  <c r="CG179" i="1"/>
  <c r="EQ179" i="1"/>
  <c r="EO179" i="1"/>
  <c r="EN179" i="1"/>
  <c r="AO180" i="21" s="1"/>
  <c r="EM179" i="1"/>
  <c r="AL180" i="21" s="1"/>
  <c r="EI179" i="1"/>
  <c r="Z180" i="21" s="1"/>
  <c r="CI179" i="1"/>
  <c r="EJ179" i="1"/>
  <c r="AC180" i="21" s="1"/>
  <c r="CJ179" i="1"/>
  <c r="CK179" i="1"/>
  <c r="EK179" i="1"/>
  <c r="DX185" i="1"/>
  <c r="DY185" i="1" s="1"/>
  <c r="D130" i="9"/>
  <c r="EM131" i="1"/>
  <c r="AL132" i="21" s="1"/>
  <c r="EQ131" i="1"/>
  <c r="ED131" i="1"/>
  <c r="K132" i="21" s="1"/>
  <c r="EP131" i="1"/>
  <c r="EC131" i="1"/>
  <c r="H132" i="21" s="1"/>
  <c r="EO131" i="1"/>
  <c r="EB131" i="1"/>
  <c r="E132" i="21" s="1"/>
  <c r="CK131" i="1"/>
  <c r="EN131" i="1"/>
  <c r="AO132" i="21" s="1"/>
  <c r="CJ131" i="1"/>
  <c r="EL131" i="1"/>
  <c r="AI132" i="21" s="1"/>
  <c r="CI131" i="1"/>
  <c r="EK131" i="1"/>
  <c r="CH131" i="1"/>
  <c r="EJ131" i="1"/>
  <c r="AC132" i="21" s="1"/>
  <c r="CG131" i="1"/>
  <c r="EH131" i="1"/>
  <c r="W132" i="21" s="1"/>
  <c r="ER131" i="1"/>
  <c r="E132" i="22" s="1"/>
  <c r="EI131" i="1"/>
  <c r="Z132" i="21" s="1"/>
  <c r="EG131" i="1"/>
  <c r="T132" i="21" s="1"/>
  <c r="EF131" i="1"/>
  <c r="Q132" i="21" s="1"/>
  <c r="CQ131" i="1"/>
  <c r="EE131" i="1"/>
  <c r="N132" i="21" s="1"/>
  <c r="D91" i="9"/>
  <c r="EO92" i="1"/>
  <c r="EC92" i="1"/>
  <c r="H93" i="21" s="1"/>
  <c r="EN92" i="1"/>
  <c r="AO93" i="21" s="1"/>
  <c r="EB92" i="1"/>
  <c r="E93" i="21" s="1"/>
  <c r="EM92" i="1"/>
  <c r="AL93" i="21" s="1"/>
  <c r="CK92" i="1"/>
  <c r="EL92" i="1"/>
  <c r="AI93" i="21" s="1"/>
  <c r="CJ92" i="1"/>
  <c r="EK92" i="1"/>
  <c r="CI92" i="1"/>
  <c r="EJ92" i="1"/>
  <c r="AC93" i="21" s="1"/>
  <c r="CH92" i="1"/>
  <c r="EI92" i="1"/>
  <c r="Z93" i="21" s="1"/>
  <c r="CG92" i="1"/>
  <c r="EG92" i="1"/>
  <c r="T93" i="21" s="1"/>
  <c r="CQ92" i="1"/>
  <c r="ER92" i="1"/>
  <c r="E93" i="22" s="1"/>
  <c r="EQ92" i="1"/>
  <c r="EP92" i="1"/>
  <c r="EH92" i="1"/>
  <c r="W93" i="21" s="1"/>
  <c r="EF92" i="1"/>
  <c r="Q93" i="21" s="1"/>
  <c r="EE92" i="1"/>
  <c r="N93" i="21" s="1"/>
  <c r="ED92" i="1"/>
  <c r="K93" i="21" s="1"/>
  <c r="D166" i="9"/>
  <c r="EH167" i="1"/>
  <c r="W168" i="21" s="1"/>
  <c r="CH167" i="1"/>
  <c r="EG167" i="1"/>
  <c r="T168" i="21" s="1"/>
  <c r="CG167" i="1"/>
  <c r="ER167" i="1"/>
  <c r="E168" i="22" s="1"/>
  <c r="EF167" i="1"/>
  <c r="Q168" i="21" s="1"/>
  <c r="EQ167" i="1"/>
  <c r="EE167" i="1"/>
  <c r="N168" i="21" s="1"/>
  <c r="CQ167" i="1"/>
  <c r="EP167" i="1"/>
  <c r="ED167" i="1"/>
  <c r="K168" i="21" s="1"/>
  <c r="EO167" i="1"/>
  <c r="EC167" i="1"/>
  <c r="H168" i="21" s="1"/>
  <c r="EN167" i="1"/>
  <c r="AO168" i="21" s="1"/>
  <c r="EB167" i="1"/>
  <c r="E168" i="21" s="1"/>
  <c r="EM167" i="1"/>
  <c r="AL168" i="21" s="1"/>
  <c r="EI167" i="1"/>
  <c r="Z168" i="21" s="1"/>
  <c r="CI167" i="1"/>
  <c r="CK167" i="1"/>
  <c r="CJ167" i="1"/>
  <c r="EL167" i="1"/>
  <c r="AI168" i="21" s="1"/>
  <c r="EK167" i="1"/>
  <c r="EJ167" i="1"/>
  <c r="AC168" i="21" s="1"/>
  <c r="DX98" i="1"/>
  <c r="DY98" i="1" s="1"/>
  <c r="CD98" i="1"/>
  <c r="DX169" i="1"/>
  <c r="DY169" i="1" s="1"/>
  <c r="DX118" i="1"/>
  <c r="D90" i="9"/>
  <c r="EN91" i="1"/>
  <c r="AO92" i="21" s="1"/>
  <c r="EM91" i="1"/>
  <c r="AL92" i="21" s="1"/>
  <c r="EL91" i="1"/>
  <c r="AI92" i="21" s="1"/>
  <c r="CK91" i="1"/>
  <c r="EJ91" i="1"/>
  <c r="AC92" i="21" s="1"/>
  <c r="CJ91" i="1"/>
  <c r="EI91" i="1"/>
  <c r="Z92" i="21" s="1"/>
  <c r="CI91" i="1"/>
  <c r="EH91" i="1"/>
  <c r="W92" i="21" s="1"/>
  <c r="CH91" i="1"/>
  <c r="EQ91" i="1"/>
  <c r="EK91" i="1" s="1"/>
  <c r="CG91" i="1"/>
  <c r="EO91" i="1"/>
  <c r="EG91" i="1"/>
  <c r="T92" i="21" s="1"/>
  <c r="D19" i="9"/>
  <c r="EQ20" i="1"/>
  <c r="EK20" i="1" s="1"/>
  <c r="EN20" i="1"/>
  <c r="AO21" i="21" s="1"/>
  <c r="EO20" i="1"/>
  <c r="CK20" i="1"/>
  <c r="EL20" i="1"/>
  <c r="AI21" i="21" s="1"/>
  <c r="EG20" i="1"/>
  <c r="T21" i="21" s="1"/>
  <c r="CG20" i="1"/>
  <c r="ER20" i="1"/>
  <c r="E21" i="22" s="1"/>
  <c r="EH20" i="1"/>
  <c r="W21" i="21" s="1"/>
  <c r="CI20" i="1"/>
  <c r="CH20" i="1"/>
  <c r="EJ20" i="1"/>
  <c r="AC21" i="21" s="1"/>
  <c r="EI20" i="1"/>
  <c r="Z21" i="21" s="1"/>
  <c r="CJ20" i="1"/>
  <c r="D102" i="9"/>
  <c r="ER103" i="1"/>
  <c r="E104" i="22" s="1"/>
  <c r="EQ103" i="1"/>
  <c r="EO103" i="1"/>
  <c r="EN103" i="1"/>
  <c r="AO104" i="21" s="1"/>
  <c r="EM103" i="1"/>
  <c r="AL104" i="21" s="1"/>
  <c r="EL103" i="1"/>
  <c r="AI104" i="21" s="1"/>
  <c r="EJ103" i="1"/>
  <c r="AC104" i="21" s="1"/>
  <c r="CJ103" i="1"/>
  <c r="EI103" i="1"/>
  <c r="Z104" i="21" s="1"/>
  <c r="EH103" i="1"/>
  <c r="W104" i="21" s="1"/>
  <c r="EG103" i="1"/>
  <c r="T104" i="21" s="1"/>
  <c r="CK103" i="1"/>
  <c r="CI103" i="1"/>
  <c r="EK103" i="1"/>
  <c r="CH103" i="1"/>
  <c r="CG103" i="1"/>
  <c r="AF224" i="21"/>
  <c r="H224" i="22"/>
  <c r="E106" i="22"/>
  <c r="L106" i="22" s="1"/>
  <c r="EP105" i="1"/>
  <c r="D14" i="9"/>
  <c r="EK15" i="1"/>
  <c r="CK15" i="1"/>
  <c r="CJ15" i="1"/>
  <c r="EI15" i="1"/>
  <c r="Z16" i="21" s="1"/>
  <c r="CI15" i="1"/>
  <c r="EJ15" i="1"/>
  <c r="AC16" i="21" s="1"/>
  <c r="EG15" i="1"/>
  <c r="T16" i="21" s="1"/>
  <c r="EH15" i="1"/>
  <c r="W16" i="21" s="1"/>
  <c r="CH15" i="1"/>
  <c r="CG15" i="1"/>
  <c r="EP15" i="1"/>
  <c r="ER15" i="1"/>
  <c r="E16" i="22" s="1"/>
  <c r="EF15" i="1"/>
  <c r="Q16" i="21" s="1"/>
  <c r="EQ15" i="1"/>
  <c r="CQ15" i="1"/>
  <c r="ED15" i="1"/>
  <c r="K16" i="21" s="1"/>
  <c r="EE15" i="1"/>
  <c r="N16" i="21" s="1"/>
  <c r="EL15" i="1"/>
  <c r="AI16" i="21" s="1"/>
  <c r="EO15" i="1"/>
  <c r="EM15" i="1"/>
  <c r="AL16" i="21" s="1"/>
  <c r="EC15" i="1"/>
  <c r="H16" i="21" s="1"/>
  <c r="EB15" i="1"/>
  <c r="E16" i="21" s="1"/>
  <c r="EN15" i="1"/>
  <c r="AO16" i="21" s="1"/>
  <c r="DN40" i="1"/>
  <c r="DO40" i="1"/>
  <c r="M134" i="20"/>
  <c r="G70" i="20"/>
  <c r="AH44" i="21"/>
  <c r="S41" i="16"/>
  <c r="T41" i="16"/>
  <c r="U45" i="15"/>
  <c r="T45" i="15"/>
  <c r="R223" i="14"/>
  <c r="T223" i="14"/>
  <c r="S223" i="14"/>
  <c r="DH207" i="2"/>
  <c r="DH217" i="1"/>
  <c r="DI217" i="1" s="1"/>
  <c r="R187" i="14"/>
  <c r="T187" i="14"/>
  <c r="S187" i="14"/>
  <c r="DH179" i="3"/>
  <c r="DH182" i="2"/>
  <c r="DH182" i="1"/>
  <c r="DI182" i="1" s="1"/>
  <c r="R217" i="14"/>
  <c r="T217" i="14"/>
  <c r="S217" i="14"/>
  <c r="R181" i="14"/>
  <c r="T181" i="14"/>
  <c r="S181" i="14"/>
  <c r="DH174" i="3"/>
  <c r="DH176" i="2"/>
  <c r="DH177" i="1"/>
  <c r="DI177" i="1" s="1"/>
  <c r="AL204" i="14"/>
  <c r="AG204" i="14"/>
  <c r="AY195" i="14"/>
  <c r="AB195" i="14"/>
  <c r="AT195" i="14"/>
  <c r="W195" i="14"/>
  <c r="AZ195" i="14"/>
  <c r="AC195" i="14"/>
  <c r="AU195" i="14"/>
  <c r="X195" i="14"/>
  <c r="AU174" i="14"/>
  <c r="X174" i="14"/>
  <c r="AZ174" i="14"/>
  <c r="AC174" i="14"/>
  <c r="R88" i="14"/>
  <c r="S88" i="14"/>
  <c r="T88" i="14"/>
  <c r="DH83" i="3"/>
  <c r="DH84" i="2"/>
  <c r="DH84" i="1"/>
  <c r="DI84" i="1" s="1"/>
  <c r="AH130" i="14"/>
  <c r="AM130" i="14"/>
  <c r="BA207" i="14"/>
  <c r="AD207" i="14"/>
  <c r="AV207" i="14"/>
  <c r="Y207" i="14"/>
  <c r="T131" i="14"/>
  <c r="S131" i="14"/>
  <c r="R131" i="14"/>
  <c r="DH126" i="3"/>
  <c r="DH127" i="2"/>
  <c r="DH127" i="1"/>
  <c r="DI127" i="1" s="1"/>
  <c r="T18" i="14"/>
  <c r="S18" i="14"/>
  <c r="R18" i="14"/>
  <c r="DH14" i="3"/>
  <c r="DH14" i="2"/>
  <c r="DH14" i="1"/>
  <c r="DI14" i="1" s="1"/>
  <c r="R61" i="14"/>
  <c r="T61" i="14"/>
  <c r="S61" i="14"/>
  <c r="DH56" i="3"/>
  <c r="DH57" i="2"/>
  <c r="DH57" i="1"/>
  <c r="DI57" i="1" s="1"/>
  <c r="S28" i="14"/>
  <c r="R28" i="14"/>
  <c r="T28" i="14"/>
  <c r="DH24" i="3"/>
  <c r="DH24" i="2"/>
  <c r="DH24" i="1"/>
  <c r="DI24" i="1" s="1"/>
  <c r="AZ50" i="14"/>
  <c r="AC50" i="14"/>
  <c r="AU50" i="14"/>
  <c r="X50" i="14"/>
  <c r="AZ47" i="14"/>
  <c r="AC47" i="14"/>
  <c r="AU47" i="14"/>
  <c r="X47" i="14"/>
  <c r="AV76" i="14"/>
  <c r="Y76" i="14"/>
  <c r="AD76" i="14"/>
  <c r="BA76" i="14"/>
  <c r="AT52" i="14"/>
  <c r="W52" i="14"/>
  <c r="AB52" i="14"/>
  <c r="AY52" i="14"/>
  <c r="V88" i="13"/>
  <c r="G9" i="19" s="1"/>
  <c r="R231" i="21" s="1"/>
  <c r="U44" i="13"/>
  <c r="U87" i="13" s="1"/>
  <c r="F3" i="19" s="1"/>
  <c r="N231" i="21" s="1"/>
  <c r="AB7" i="14"/>
  <c r="AY7" i="14"/>
  <c r="W7" i="14"/>
  <c r="AT7" i="14"/>
  <c r="DX189" i="3"/>
  <c r="F214" i="9"/>
  <c r="CG210" i="3"/>
  <c r="EJ210" i="3"/>
  <c r="AE216" i="21" s="1"/>
  <c r="EI210" i="3"/>
  <c r="AB216" i="21" s="1"/>
  <c r="EH210" i="3"/>
  <c r="Y216" i="21" s="1"/>
  <c r="EG210" i="3"/>
  <c r="V216" i="21" s="1"/>
  <c r="EO210" i="3"/>
  <c r="CK210" i="3"/>
  <c r="EN210" i="3"/>
  <c r="AQ216" i="21" s="1"/>
  <c r="CJ210" i="3"/>
  <c r="EM210" i="3"/>
  <c r="AN216" i="21" s="1"/>
  <c r="CI210" i="3"/>
  <c r="EQ210" i="3"/>
  <c r="EK210" i="3" s="1"/>
  <c r="EL210" i="3"/>
  <c r="AK216" i="21" s="1"/>
  <c r="CH210" i="3"/>
  <c r="DX190" i="3"/>
  <c r="DY190" i="3" s="1"/>
  <c r="DX171" i="3"/>
  <c r="DY171" i="3" s="1"/>
  <c r="I153" i="8"/>
  <c r="DX103" i="3"/>
  <c r="DX160" i="3"/>
  <c r="DY160" i="3" s="1"/>
  <c r="F108" i="9"/>
  <c r="EM108" i="3"/>
  <c r="AN110" i="21" s="1"/>
  <c r="EL108" i="3"/>
  <c r="AK110" i="21" s="1"/>
  <c r="EK108" i="3"/>
  <c r="CK108" i="3"/>
  <c r="EJ108" i="3"/>
  <c r="AE110" i="21" s="1"/>
  <c r="CJ108" i="3"/>
  <c r="EI108" i="3"/>
  <c r="AB110" i="21" s="1"/>
  <c r="CI108" i="3"/>
  <c r="EH108" i="3"/>
  <c r="Y110" i="21" s="1"/>
  <c r="CH108" i="3"/>
  <c r="EG108" i="3"/>
  <c r="V110" i="21" s="1"/>
  <c r="CG108" i="3"/>
  <c r="EQ108" i="3"/>
  <c r="EE108" i="3"/>
  <c r="P110" i="21" s="1"/>
  <c r="CQ108" i="3"/>
  <c r="EP108" i="3"/>
  <c r="ED108" i="3"/>
  <c r="M110" i="21" s="1"/>
  <c r="EC108" i="3"/>
  <c r="J110" i="21" s="1"/>
  <c r="EB108" i="3"/>
  <c r="G110" i="21" s="1"/>
  <c r="ER108" i="3"/>
  <c r="G110" i="22" s="1"/>
  <c r="EO108" i="3"/>
  <c r="EN108" i="3"/>
  <c r="AQ110" i="21" s="1"/>
  <c r="EF108" i="3"/>
  <c r="S110" i="21" s="1"/>
  <c r="DO45" i="3"/>
  <c r="DN45" i="3"/>
  <c r="DX66" i="3"/>
  <c r="DX20" i="3"/>
  <c r="F6" i="9"/>
  <c r="EN7" i="3"/>
  <c r="AQ8" i="21" s="1"/>
  <c r="EB7" i="3"/>
  <c r="G8" i="21" s="1"/>
  <c r="EM7" i="3"/>
  <c r="AN8" i="21" s="1"/>
  <c r="EL7" i="3"/>
  <c r="AK8" i="21" s="1"/>
  <c r="EK7" i="3"/>
  <c r="CK7" i="3"/>
  <c r="EJ7" i="3"/>
  <c r="AE8" i="21" s="1"/>
  <c r="CJ7" i="3"/>
  <c r="EI7" i="3"/>
  <c r="AB8" i="21" s="1"/>
  <c r="CI7" i="3"/>
  <c r="EG7" i="3"/>
  <c r="V8" i="21" s="1"/>
  <c r="CG7" i="3"/>
  <c r="ER7" i="3"/>
  <c r="G8" i="22" s="1"/>
  <c r="EF7" i="3"/>
  <c r="S8" i="21" s="1"/>
  <c r="EQ7" i="3"/>
  <c r="EE7" i="3"/>
  <c r="P8" i="21" s="1"/>
  <c r="CQ7" i="3"/>
  <c r="EP7" i="3"/>
  <c r="ED7" i="3"/>
  <c r="M8" i="21" s="1"/>
  <c r="EC7" i="3"/>
  <c r="J8" i="21" s="1"/>
  <c r="CH7" i="3"/>
  <c r="EO7" i="3"/>
  <c r="EH7" i="3"/>
  <c r="Y8" i="21" s="1"/>
  <c r="ER209" i="2"/>
  <c r="E178" i="9"/>
  <c r="EH178" i="2"/>
  <c r="X180" i="21" s="1"/>
  <c r="CH178" i="2"/>
  <c r="EG178" i="2"/>
  <c r="U180" i="21" s="1"/>
  <c r="CG178" i="2"/>
  <c r="EQ178" i="2"/>
  <c r="EO178" i="2"/>
  <c r="EN178" i="2"/>
  <c r="AP180" i="21" s="1"/>
  <c r="EM178" i="2"/>
  <c r="AM180" i="21" s="1"/>
  <c r="EL178" i="2"/>
  <c r="AJ180" i="21" s="1"/>
  <c r="EK178" i="2"/>
  <c r="CK178" i="2"/>
  <c r="EJ178" i="2"/>
  <c r="AD180" i="21" s="1"/>
  <c r="F180" i="20" s="1"/>
  <c r="EI178" i="2"/>
  <c r="AA180" i="21" s="1"/>
  <c r="M180" i="20" s="1"/>
  <c r="CI178" i="2"/>
  <c r="CJ178" i="2"/>
  <c r="DF82" i="2"/>
  <c r="D195" i="9"/>
  <c r="EP195" i="1"/>
  <c r="ED195" i="1"/>
  <c r="K197" i="21" s="1"/>
  <c r="EO195" i="1"/>
  <c r="EC195" i="1"/>
  <c r="H197" i="21" s="1"/>
  <c r="EN195" i="1"/>
  <c r="AO197" i="21" s="1"/>
  <c r="EB195" i="1"/>
  <c r="E197" i="21" s="1"/>
  <c r="EM195" i="1"/>
  <c r="AL197" i="21" s="1"/>
  <c r="EL195" i="1"/>
  <c r="AI197" i="21" s="1"/>
  <c r="EK195" i="1"/>
  <c r="CK195" i="1"/>
  <c r="EJ195" i="1"/>
  <c r="AC197" i="21" s="1"/>
  <c r="CJ195" i="1"/>
  <c r="EI195" i="1"/>
  <c r="Z197" i="21" s="1"/>
  <c r="CI195" i="1"/>
  <c r="EQ195" i="1"/>
  <c r="EE195" i="1"/>
  <c r="N197" i="21" s="1"/>
  <c r="CQ195" i="1"/>
  <c r="ER195" i="1"/>
  <c r="E197" i="22" s="1"/>
  <c r="EH195" i="1"/>
  <c r="W197" i="21" s="1"/>
  <c r="EG195" i="1"/>
  <c r="T197" i="21" s="1"/>
  <c r="EF195" i="1"/>
  <c r="Q197" i="21" s="1"/>
  <c r="CH195" i="1"/>
  <c r="CG195" i="1"/>
  <c r="EK25" i="3"/>
  <c r="EP25" i="3" s="1"/>
  <c r="E110" i="9"/>
  <c r="EM111" i="2"/>
  <c r="AM112" i="21" s="1"/>
  <c r="EL111" i="2"/>
  <c r="AJ112" i="21" s="1"/>
  <c r="EK111" i="2"/>
  <c r="CK111" i="2"/>
  <c r="EJ111" i="2"/>
  <c r="AD112" i="21" s="1"/>
  <c r="CJ111" i="2"/>
  <c r="EI111" i="2"/>
  <c r="AA112" i="21" s="1"/>
  <c r="CI111" i="2"/>
  <c r="EH111" i="2"/>
  <c r="X112" i="21" s="1"/>
  <c r="CH111" i="2"/>
  <c r="EG111" i="2"/>
  <c r="U112" i="21" s="1"/>
  <c r="CG111" i="2"/>
  <c r="ER111" i="2"/>
  <c r="F112" i="22" s="1"/>
  <c r="EF111" i="2"/>
  <c r="R112" i="21" s="1"/>
  <c r="EQ111" i="2"/>
  <c r="EE111" i="2"/>
  <c r="O112" i="21" s="1"/>
  <c r="CQ111" i="2"/>
  <c r="EN111" i="2"/>
  <c r="AP112" i="21" s="1"/>
  <c r="EB111" i="2"/>
  <c r="F112" i="21" s="1"/>
  <c r="ED111" i="2"/>
  <c r="L112" i="21" s="1"/>
  <c r="EC111" i="2"/>
  <c r="I112" i="21" s="1"/>
  <c r="EO111" i="2"/>
  <c r="EP111" i="2"/>
  <c r="DO108" i="2"/>
  <c r="DN108" i="2"/>
  <c r="DF77" i="2"/>
  <c r="DX77" i="2" s="1"/>
  <c r="D156" i="9"/>
  <c r="ER157" i="1"/>
  <c r="E158" i="22" s="1"/>
  <c r="EF157" i="1"/>
  <c r="Q158" i="21" s="1"/>
  <c r="EQ157" i="1"/>
  <c r="EE157" i="1"/>
  <c r="N158" i="21" s="1"/>
  <c r="CQ157" i="1"/>
  <c r="EP157" i="1"/>
  <c r="ED157" i="1"/>
  <c r="K158" i="21" s="1"/>
  <c r="EO157" i="1"/>
  <c r="EC157" i="1"/>
  <c r="H158" i="21" s="1"/>
  <c r="EN157" i="1"/>
  <c r="AO158" i="21" s="1"/>
  <c r="EB157" i="1"/>
  <c r="E158" i="21" s="1"/>
  <c r="EM157" i="1"/>
  <c r="AL158" i="21" s="1"/>
  <c r="EL157" i="1"/>
  <c r="AI158" i="21" s="1"/>
  <c r="EK157" i="1"/>
  <c r="CK157" i="1"/>
  <c r="EG157" i="1"/>
  <c r="T158" i="21" s="1"/>
  <c r="CG157" i="1"/>
  <c r="EI157" i="1"/>
  <c r="Z158" i="21" s="1"/>
  <c r="EH157" i="1"/>
  <c r="W158" i="21" s="1"/>
  <c r="CI157" i="1"/>
  <c r="CH157" i="1"/>
  <c r="EJ157" i="1"/>
  <c r="AC158" i="21" s="1"/>
  <c r="CJ157" i="1"/>
  <c r="E104" i="9"/>
  <c r="EG105" i="2"/>
  <c r="U106" i="21" s="1"/>
  <c r="CG105" i="2"/>
  <c r="EQ105" i="2"/>
  <c r="EK105" i="2" s="1"/>
  <c r="EO105" i="2"/>
  <c r="EN105" i="2"/>
  <c r="AP106" i="21" s="1"/>
  <c r="G106" i="20" s="1"/>
  <c r="EM105" i="2"/>
  <c r="AM106" i="21" s="1"/>
  <c r="EL105" i="2"/>
  <c r="AJ106" i="21" s="1"/>
  <c r="N106" i="20" s="1"/>
  <c r="CK105" i="2"/>
  <c r="EH105" i="2"/>
  <c r="X106" i="21" s="1"/>
  <c r="E106" i="20" s="1"/>
  <c r="CH105" i="2"/>
  <c r="EJ105" i="2"/>
  <c r="AD106" i="21" s="1"/>
  <c r="F106" i="20" s="1"/>
  <c r="EI105" i="2"/>
  <c r="AA106" i="21" s="1"/>
  <c r="M106" i="20" s="1"/>
  <c r="CJ105" i="2"/>
  <c r="CI105" i="2"/>
  <c r="DF65" i="2"/>
  <c r="E45" i="9"/>
  <c r="EM46" i="2"/>
  <c r="AM47" i="21" s="1"/>
  <c r="EL46" i="2"/>
  <c r="AJ47" i="21" s="1"/>
  <c r="EK46" i="2"/>
  <c r="CK46" i="2"/>
  <c r="EI46" i="2"/>
  <c r="AA47" i="21" s="1"/>
  <c r="CI46" i="2"/>
  <c r="EG46" i="2"/>
  <c r="U47" i="21" s="1"/>
  <c r="EQ46" i="2"/>
  <c r="EE46" i="2"/>
  <c r="O47" i="21" s="1"/>
  <c r="CQ46" i="2"/>
  <c r="ED46" i="2"/>
  <c r="L47" i="21" s="1"/>
  <c r="EC46" i="2"/>
  <c r="I47" i="21" s="1"/>
  <c r="EB46" i="2"/>
  <c r="F47" i="21" s="1"/>
  <c r="CJ46" i="2"/>
  <c r="ER46" i="2"/>
  <c r="F47" i="22" s="1"/>
  <c r="CH46" i="2"/>
  <c r="EP46" i="2"/>
  <c r="CG46" i="2"/>
  <c r="EO46" i="2"/>
  <c r="EF46" i="2"/>
  <c r="R47" i="21" s="1"/>
  <c r="EH46" i="2"/>
  <c r="X47" i="21" s="1"/>
  <c r="EJ46" i="2"/>
  <c r="AD47" i="21" s="1"/>
  <c r="EN46" i="2"/>
  <c r="AP47" i="21" s="1"/>
  <c r="DF117" i="2"/>
  <c r="D194" i="9"/>
  <c r="EQ194" i="1"/>
  <c r="EE194" i="1"/>
  <c r="N196" i="21" s="1"/>
  <c r="CQ194" i="1"/>
  <c r="EP194" i="1"/>
  <c r="ED194" i="1"/>
  <c r="K196" i="21" s="1"/>
  <c r="EO194" i="1"/>
  <c r="EC194" i="1"/>
  <c r="H196" i="21" s="1"/>
  <c r="EN194" i="1"/>
  <c r="AO196" i="21" s="1"/>
  <c r="EB194" i="1"/>
  <c r="E196" i="21" s="1"/>
  <c r="EM194" i="1"/>
  <c r="AL196" i="21" s="1"/>
  <c r="EL194" i="1"/>
  <c r="AI196" i="21" s="1"/>
  <c r="EK194" i="1"/>
  <c r="CK194" i="1"/>
  <c r="EJ194" i="1"/>
  <c r="AC196" i="21" s="1"/>
  <c r="CJ194" i="1"/>
  <c r="ER194" i="1"/>
  <c r="E196" i="22" s="1"/>
  <c r="EF194" i="1"/>
  <c r="Q196" i="21" s="1"/>
  <c r="EH194" i="1"/>
  <c r="W196" i="21" s="1"/>
  <c r="EG194" i="1"/>
  <c r="T196" i="21" s="1"/>
  <c r="CI194" i="1"/>
  <c r="CH194" i="1"/>
  <c r="EI194" i="1"/>
  <c r="Z196" i="21" s="1"/>
  <c r="CG194" i="1"/>
  <c r="D142" i="9"/>
  <c r="EG143" i="1"/>
  <c r="T144" i="21" s="1"/>
  <c r="ER143" i="1"/>
  <c r="E144" i="22" s="1"/>
  <c r="EF143" i="1"/>
  <c r="Q144" i="21" s="1"/>
  <c r="EQ143" i="1"/>
  <c r="EE143" i="1"/>
  <c r="N144" i="21" s="1"/>
  <c r="CQ143" i="1"/>
  <c r="EO143" i="1"/>
  <c r="EC143" i="1"/>
  <c r="H144" i="21" s="1"/>
  <c r="EN143" i="1"/>
  <c r="AO144" i="21" s="1"/>
  <c r="EB143" i="1"/>
  <c r="E144" i="21" s="1"/>
  <c r="EM143" i="1"/>
  <c r="AL144" i="21" s="1"/>
  <c r="EL143" i="1"/>
  <c r="AI144" i="21" s="1"/>
  <c r="EH143" i="1"/>
  <c r="W144" i="21" s="1"/>
  <c r="CH143" i="1"/>
  <c r="ED143" i="1"/>
  <c r="K144" i="21" s="1"/>
  <c r="CG143" i="1"/>
  <c r="EP143" i="1"/>
  <c r="EK143" i="1"/>
  <c r="CI143" i="1"/>
  <c r="EJ143" i="1"/>
  <c r="AC144" i="21" s="1"/>
  <c r="EI143" i="1"/>
  <c r="Z144" i="21" s="1"/>
  <c r="CK143" i="1"/>
  <c r="CJ143" i="1"/>
  <c r="DX183" i="1"/>
  <c r="D47" i="9"/>
  <c r="EQ48" i="1"/>
  <c r="EE48" i="1"/>
  <c r="N49" i="21" s="1"/>
  <c r="CQ48" i="1"/>
  <c r="EP48" i="1"/>
  <c r="ED48" i="1"/>
  <c r="K49" i="21" s="1"/>
  <c r="EO48" i="1"/>
  <c r="EC48" i="1"/>
  <c r="H49" i="21" s="1"/>
  <c r="EJ48" i="1"/>
  <c r="AC49" i="21" s="1"/>
  <c r="EF48" i="1"/>
  <c r="Q49" i="21" s="1"/>
  <c r="EI48" i="1"/>
  <c r="Z49" i="21" s="1"/>
  <c r="CK48" i="1"/>
  <c r="EH48" i="1"/>
  <c r="W49" i="21" s="1"/>
  <c r="CJ48" i="1"/>
  <c r="ER48" i="1"/>
  <c r="E49" i="22" s="1"/>
  <c r="EG48" i="1"/>
  <c r="T49" i="21" s="1"/>
  <c r="CI48" i="1"/>
  <c r="CH48" i="1"/>
  <c r="EB48" i="1"/>
  <c r="E49" i="21" s="1"/>
  <c r="CG48" i="1"/>
  <c r="EK48" i="1"/>
  <c r="EN48" i="1"/>
  <c r="AO49" i="21" s="1"/>
  <c r="EM48" i="1"/>
  <c r="AL49" i="21" s="1"/>
  <c r="EL48" i="1"/>
  <c r="AI49" i="21" s="1"/>
  <c r="D128" i="9"/>
  <c r="EO129" i="1"/>
  <c r="EI129" i="1"/>
  <c r="Z130" i="21" s="1"/>
  <c r="EH129" i="1"/>
  <c r="W130" i="21" s="1"/>
  <c r="EG129" i="1"/>
  <c r="T130" i="21" s="1"/>
  <c r="ER129" i="1"/>
  <c r="E130" i="22" s="1"/>
  <c r="EQ129" i="1"/>
  <c r="EK129" i="1" s="1"/>
  <c r="CK129" i="1"/>
  <c r="CI129" i="1"/>
  <c r="EJ129" i="1"/>
  <c r="AC130" i="21" s="1"/>
  <c r="CH129" i="1"/>
  <c r="CJ129" i="1"/>
  <c r="EN129" i="1"/>
  <c r="AO130" i="21" s="1"/>
  <c r="CG129" i="1"/>
  <c r="D207" i="9"/>
  <c r="EQ207" i="1"/>
  <c r="EO207" i="1"/>
  <c r="EN207" i="1"/>
  <c r="AO209" i="21" s="1"/>
  <c r="EK207" i="1"/>
  <c r="CK207" i="1"/>
  <c r="EJ207" i="1"/>
  <c r="AC209" i="21" s="1"/>
  <c r="CJ207" i="1"/>
  <c r="EH207" i="1"/>
  <c r="W209" i="21" s="1"/>
  <c r="EG207" i="1"/>
  <c r="T209" i="21" s="1"/>
  <c r="CI207" i="1"/>
  <c r="CH207" i="1"/>
  <c r="CG207" i="1"/>
  <c r="EI207" i="1"/>
  <c r="Z209" i="21" s="1"/>
  <c r="DX12" i="1"/>
  <c r="D41" i="9"/>
  <c r="EK42" i="1"/>
  <c r="CK42" i="1"/>
  <c r="EJ42" i="1"/>
  <c r="AC43" i="21" s="1"/>
  <c r="CJ42" i="1"/>
  <c r="EP42" i="1"/>
  <c r="EG42" i="1"/>
  <c r="T43" i="21" s="1"/>
  <c r="EO42" i="1"/>
  <c r="EN42" i="1"/>
  <c r="AO43" i="21" s="1"/>
  <c r="EM42" i="1"/>
  <c r="AL43" i="21" s="1"/>
  <c r="EL42" i="1"/>
  <c r="AI43" i="21" s="1"/>
  <c r="EI42" i="1"/>
  <c r="Z43" i="21" s="1"/>
  <c r="EH42" i="1"/>
  <c r="W43" i="21" s="1"/>
  <c r="EQ42" i="1"/>
  <c r="CG42" i="1"/>
  <c r="CI42" i="1"/>
  <c r="CH42" i="1"/>
  <c r="ER42" i="1"/>
  <c r="E43" i="22" s="1"/>
  <c r="EP69" i="2"/>
  <c r="DX106" i="1"/>
  <c r="D6" i="9"/>
  <c r="ER7" i="1"/>
  <c r="E8" i="22" s="1"/>
  <c r="EQ7" i="1"/>
  <c r="EL7" i="1"/>
  <c r="AI8" i="21" s="1"/>
  <c r="EF7" i="1"/>
  <c r="Q8" i="21" s="1"/>
  <c r="EE7" i="1"/>
  <c r="N8" i="21" s="1"/>
  <c r="EO7" i="1"/>
  <c r="EP7" i="1"/>
  <c r="ED7" i="1"/>
  <c r="K8" i="21" s="1"/>
  <c r="EC7" i="1"/>
  <c r="H8" i="21" s="1"/>
  <c r="EN7" i="1"/>
  <c r="AO8" i="21" s="1"/>
  <c r="EB7" i="1"/>
  <c r="E8" i="21" s="1"/>
  <c r="EM7" i="1"/>
  <c r="AL8" i="21" s="1"/>
  <c r="EH7" i="1"/>
  <c r="W8" i="21" s="1"/>
  <c r="CH7" i="1"/>
  <c r="EG7" i="1"/>
  <c r="T8" i="21" s="1"/>
  <c r="CG7" i="1"/>
  <c r="CQ7" i="1"/>
  <c r="CK7" i="1"/>
  <c r="CJ7" i="1"/>
  <c r="CI7" i="1"/>
  <c r="EK7" i="1"/>
  <c r="EJ7" i="1"/>
  <c r="AC8" i="21" s="1"/>
  <c r="EI7" i="1"/>
  <c r="Z8" i="21" s="1"/>
  <c r="D25" i="9"/>
  <c r="EK26" i="1"/>
  <c r="CK26" i="1"/>
  <c r="CH26" i="1"/>
  <c r="EJ26" i="1"/>
  <c r="AC27" i="21" s="1"/>
  <c r="EI26" i="1"/>
  <c r="Z27" i="21" s="1"/>
  <c r="CI26" i="1"/>
  <c r="EH26" i="1"/>
  <c r="W27" i="21" s="1"/>
  <c r="EQ26" i="1"/>
  <c r="EG26" i="1"/>
  <c r="T27" i="21" s="1"/>
  <c r="CG26" i="1"/>
  <c r="ER26" i="1"/>
  <c r="E27" i="22" s="1"/>
  <c r="EL26" i="1"/>
  <c r="AI27" i="21" s="1"/>
  <c r="CJ26" i="1"/>
  <c r="EO26" i="1"/>
  <c r="EN26" i="1"/>
  <c r="AO27" i="21" s="1"/>
  <c r="DX13" i="1"/>
  <c r="EP24" i="1"/>
  <c r="E25" i="22"/>
  <c r="L25" i="22" s="1"/>
  <c r="T45" i="16"/>
  <c r="S45" i="16"/>
  <c r="B52" i="17"/>
  <c r="B53" i="17" s="1"/>
  <c r="B54" i="17" s="1"/>
  <c r="B55" i="17" s="1"/>
  <c r="C7" i="12"/>
  <c r="AJ12" i="12" s="1"/>
  <c r="AT12" i="12" s="1"/>
  <c r="Q63" i="15"/>
  <c r="Q54" i="15"/>
  <c r="U52" i="15"/>
  <c r="Q57" i="15"/>
  <c r="Q61" i="15"/>
  <c r="T52" i="15"/>
  <c r="Q60" i="15"/>
  <c r="Q62" i="15"/>
  <c r="Q59" i="15"/>
  <c r="Q56" i="15"/>
  <c r="Q64" i="15"/>
  <c r="Q55" i="15"/>
  <c r="Q53" i="15"/>
  <c r="Q58" i="15"/>
  <c r="T221" i="14"/>
  <c r="S221" i="14"/>
  <c r="R221" i="14"/>
  <c r="DH215" i="1"/>
  <c r="DI215" i="1" s="1"/>
  <c r="T215" i="14"/>
  <c r="S215" i="14"/>
  <c r="R215" i="14"/>
  <c r="DH207" i="3"/>
  <c r="DH210" i="1"/>
  <c r="DI210" i="1" s="1"/>
  <c r="AY198" i="14"/>
  <c r="AB198" i="14"/>
  <c r="AT198" i="14"/>
  <c r="W198" i="14"/>
  <c r="T192" i="14"/>
  <c r="S192" i="14"/>
  <c r="R192" i="14"/>
  <c r="DH184" i="3"/>
  <c r="DH187" i="2"/>
  <c r="DH187" i="1"/>
  <c r="DI187" i="1" s="1"/>
  <c r="BA195" i="14"/>
  <c r="AD195" i="14"/>
  <c r="AV195" i="14"/>
  <c r="Y195" i="14"/>
  <c r="S158" i="14"/>
  <c r="R158" i="14"/>
  <c r="T158" i="14"/>
  <c r="DH152" i="3"/>
  <c r="DH153" i="2"/>
  <c r="DH154" i="1"/>
  <c r="DI154" i="1" s="1"/>
  <c r="R79" i="14"/>
  <c r="T79" i="14"/>
  <c r="S79" i="14"/>
  <c r="DH74" i="3"/>
  <c r="DH75" i="2"/>
  <c r="DH75" i="1"/>
  <c r="DI75" i="1" s="1"/>
  <c r="R166" i="14"/>
  <c r="T166" i="14"/>
  <c r="S166" i="14"/>
  <c r="DH160" i="3"/>
  <c r="DH161" i="2"/>
  <c r="DH162" i="1"/>
  <c r="DI162" i="1" s="1"/>
  <c r="T123" i="14"/>
  <c r="S123" i="14"/>
  <c r="R123" i="14"/>
  <c r="DH118" i="3"/>
  <c r="DH119" i="2"/>
  <c r="DH119" i="1"/>
  <c r="DI119" i="1" s="1"/>
  <c r="T81" i="14"/>
  <c r="S81" i="14"/>
  <c r="R81" i="14"/>
  <c r="DH76" i="3"/>
  <c r="DH77" i="2"/>
  <c r="DH77" i="1"/>
  <c r="DI77" i="1" s="1"/>
  <c r="R59" i="14"/>
  <c r="T59" i="14"/>
  <c r="S59" i="14"/>
  <c r="DH54" i="3"/>
  <c r="DH55" i="2"/>
  <c r="DH55" i="1"/>
  <c r="DI55" i="1" s="1"/>
  <c r="AV50" i="14"/>
  <c r="Y50" i="14"/>
  <c r="BA50" i="14"/>
  <c r="AD50" i="14"/>
  <c r="R10" i="14"/>
  <c r="T10" i="14"/>
  <c r="S10" i="14"/>
  <c r="DH6" i="3"/>
  <c r="DH6" i="2"/>
  <c r="DH6" i="1"/>
  <c r="DI6" i="1" s="1"/>
  <c r="AT47" i="14"/>
  <c r="W47" i="14"/>
  <c r="AY47" i="14"/>
  <c r="AB47" i="14"/>
  <c r="R16" i="14"/>
  <c r="T16" i="14"/>
  <c r="S16" i="14"/>
  <c r="DH12" i="3"/>
  <c r="DH12" i="2"/>
  <c r="DH12" i="1"/>
  <c r="DI12" i="1" s="1"/>
  <c r="AC52" i="14"/>
  <c r="X52" i="14"/>
  <c r="AZ52" i="14"/>
  <c r="AU52" i="14"/>
  <c r="W90" i="13"/>
  <c r="F16" i="19" s="1"/>
  <c r="P232" i="21" s="1"/>
  <c r="AG11" i="12"/>
  <c r="AQ11" i="12" s="1"/>
  <c r="AB11" i="12"/>
  <c r="AL11" i="12" s="1"/>
  <c r="W93" i="13"/>
  <c r="F17" i="19" s="1"/>
  <c r="P233" i="21" s="1"/>
  <c r="X91" i="13"/>
  <c r="X64" i="13"/>
  <c r="DX203" i="3"/>
  <c r="DY203" i="3" s="1"/>
  <c r="DX187" i="3"/>
  <c r="DY187" i="3" s="1"/>
  <c r="F169" i="9"/>
  <c r="EQ167" i="3"/>
  <c r="EE167" i="3"/>
  <c r="P171" i="21" s="1"/>
  <c r="CQ167" i="3"/>
  <c r="ER167" i="3"/>
  <c r="G171" i="22" s="1"/>
  <c r="ED167" i="3"/>
  <c r="M171" i="21" s="1"/>
  <c r="EP167" i="3"/>
  <c r="EC167" i="3"/>
  <c r="J171" i="21" s="1"/>
  <c r="EO167" i="3"/>
  <c r="EB167" i="3"/>
  <c r="G171" i="21" s="1"/>
  <c r="EN167" i="3"/>
  <c r="AQ171" i="21" s="1"/>
  <c r="EM167" i="3"/>
  <c r="AN171" i="21" s="1"/>
  <c r="CK167" i="3"/>
  <c r="EL167" i="3"/>
  <c r="AK171" i="21" s="1"/>
  <c r="CJ167" i="3"/>
  <c r="EK167" i="3"/>
  <c r="CI167" i="3"/>
  <c r="EI167" i="3"/>
  <c r="AB171" i="21" s="1"/>
  <c r="CG167" i="3"/>
  <c r="EF167" i="3"/>
  <c r="S171" i="21" s="1"/>
  <c r="CH167" i="3"/>
  <c r="EJ167" i="3"/>
  <c r="AE171" i="21" s="1"/>
  <c r="EH167" i="3"/>
  <c r="Y171" i="21" s="1"/>
  <c r="EG167" i="3"/>
  <c r="V171" i="21" s="1"/>
  <c r="DX163" i="3"/>
  <c r="F136" i="9"/>
  <c r="EO135" i="3"/>
  <c r="EN135" i="3"/>
  <c r="AQ138" i="21" s="1"/>
  <c r="EJ135" i="3"/>
  <c r="AE138" i="21" s="1"/>
  <c r="CJ135" i="3"/>
  <c r="EQ135" i="3"/>
  <c r="EH135" i="3"/>
  <c r="Y138" i="21" s="1"/>
  <c r="EG135" i="3"/>
  <c r="V138" i="21" s="1"/>
  <c r="CK135" i="3"/>
  <c r="CI135" i="3"/>
  <c r="CH135" i="3"/>
  <c r="CG135" i="3"/>
  <c r="EK135" i="3"/>
  <c r="EI135" i="3"/>
  <c r="AB138" i="21" s="1"/>
  <c r="DX99" i="3"/>
  <c r="DX48" i="3"/>
  <c r="F36" i="9"/>
  <c r="EI36" i="3"/>
  <c r="AB38" i="21" s="1"/>
  <c r="M38" i="20" s="1"/>
  <c r="CI36" i="3"/>
  <c r="EG36" i="3"/>
  <c r="V38" i="21" s="1"/>
  <c r="CG36" i="3"/>
  <c r="EQ36" i="3"/>
  <c r="ER36" i="3" s="1"/>
  <c r="EO36" i="3"/>
  <c r="CK36" i="3"/>
  <c r="EN36" i="3"/>
  <c r="AQ38" i="21" s="1"/>
  <c r="G38" i="20" s="1"/>
  <c r="CJ36" i="3"/>
  <c r="EK36" i="3"/>
  <c r="CH36" i="3"/>
  <c r="EJ36" i="3"/>
  <c r="AE38" i="21" s="1"/>
  <c r="EH36" i="3"/>
  <c r="Y38" i="21" s="1"/>
  <c r="E38" i="20" s="1"/>
  <c r="F55" i="9"/>
  <c r="EN55" i="3"/>
  <c r="AQ57" i="21" s="1"/>
  <c r="EL55" i="3"/>
  <c r="AK57" i="21" s="1"/>
  <c r="EK55" i="3"/>
  <c r="CK55" i="3"/>
  <c r="EJ55" i="3"/>
  <c r="AE57" i="21" s="1"/>
  <c r="CJ55" i="3"/>
  <c r="EI55" i="3"/>
  <c r="AB57" i="21" s="1"/>
  <c r="CI55" i="3"/>
  <c r="EH55" i="3"/>
  <c r="Y57" i="21" s="1"/>
  <c r="CH55" i="3"/>
  <c r="EQ55" i="3"/>
  <c r="EO55" i="3"/>
  <c r="CG55" i="3"/>
  <c r="EM55" i="3"/>
  <c r="AN57" i="21" s="1"/>
  <c r="EG55" i="3"/>
  <c r="V57" i="21" s="1"/>
  <c r="DX30" i="3"/>
  <c r="DO199" i="2"/>
  <c r="DN199" i="2"/>
  <c r="E214" i="9"/>
  <c r="EN204" i="2"/>
  <c r="AP216" i="21" s="1"/>
  <c r="G216" i="20" s="1"/>
  <c r="CK204" i="2"/>
  <c r="EJ204" i="2"/>
  <c r="AD216" i="21" s="1"/>
  <c r="F216" i="20" s="1"/>
  <c r="CJ204" i="2"/>
  <c r="EI204" i="2"/>
  <c r="AA216" i="21" s="1"/>
  <c r="M216" i="20" s="1"/>
  <c r="CI204" i="2"/>
  <c r="EG204" i="2"/>
  <c r="U216" i="21" s="1"/>
  <c r="CG204" i="2"/>
  <c r="EQ204" i="2"/>
  <c r="EK204" i="2" s="1"/>
  <c r="EO204" i="2"/>
  <c r="EH204" i="2"/>
  <c r="X216" i="21" s="1"/>
  <c r="E216" i="20" s="1"/>
  <c r="CH204" i="2"/>
  <c r="DX165" i="2"/>
  <c r="DY165" i="2" s="1"/>
  <c r="E144" i="9"/>
  <c r="EQ144" i="2"/>
  <c r="EE144" i="2"/>
  <c r="O146" i="21" s="1"/>
  <c r="CQ144" i="2"/>
  <c r="EP144" i="2"/>
  <c r="ED144" i="2"/>
  <c r="L146" i="21" s="1"/>
  <c r="EN144" i="2"/>
  <c r="AP146" i="21" s="1"/>
  <c r="EB144" i="2"/>
  <c r="F146" i="21" s="1"/>
  <c r="EJ144" i="2"/>
  <c r="AD146" i="21" s="1"/>
  <c r="CJ144" i="2"/>
  <c r="ER144" i="2"/>
  <c r="F146" i="22" s="1"/>
  <c r="EO144" i="2"/>
  <c r="EM144" i="2"/>
  <c r="AM146" i="21" s="1"/>
  <c r="CK144" i="2"/>
  <c r="EL144" i="2"/>
  <c r="AJ146" i="21" s="1"/>
  <c r="CI144" i="2"/>
  <c r="EK144" i="2"/>
  <c r="CH144" i="2"/>
  <c r="EI144" i="2"/>
  <c r="AA146" i="21" s="1"/>
  <c r="CG144" i="2"/>
  <c r="EH144" i="2"/>
  <c r="X146" i="21" s="1"/>
  <c r="EG144" i="2"/>
  <c r="U146" i="21" s="1"/>
  <c r="EF144" i="2"/>
  <c r="R146" i="21" s="1"/>
  <c r="EC144" i="2"/>
  <c r="I146" i="21" s="1"/>
  <c r="DN72" i="2"/>
  <c r="DO72" i="2"/>
  <c r="DX166" i="2"/>
  <c r="DY166" i="2" s="1"/>
  <c r="E95" i="9"/>
  <c r="EO96" i="2"/>
  <c r="EN96" i="2"/>
  <c r="AP97" i="21" s="1"/>
  <c r="G97" i="20" s="1"/>
  <c r="CK96" i="2"/>
  <c r="EJ96" i="2"/>
  <c r="AD97" i="21" s="1"/>
  <c r="F97" i="20" s="1"/>
  <c r="CJ96" i="2"/>
  <c r="EI96" i="2"/>
  <c r="AA97" i="21" s="1"/>
  <c r="M97" i="20" s="1"/>
  <c r="CI96" i="2"/>
  <c r="EH96" i="2"/>
  <c r="X97" i="21" s="1"/>
  <c r="E97" i="20" s="1"/>
  <c r="CH96" i="2"/>
  <c r="EQ96" i="2"/>
  <c r="EK96" i="2" s="1"/>
  <c r="EG96" i="2"/>
  <c r="U97" i="21" s="1"/>
  <c r="CG96" i="2"/>
  <c r="DN46" i="2"/>
  <c r="DO46" i="2"/>
  <c r="D183" i="9"/>
  <c r="EO183" i="1"/>
  <c r="EN183" i="1"/>
  <c r="AO185" i="21" s="1"/>
  <c r="EL183" i="1"/>
  <c r="AI185" i="21" s="1"/>
  <c r="CK183" i="1"/>
  <c r="EJ183" i="1"/>
  <c r="AC185" i="21" s="1"/>
  <c r="CJ183" i="1"/>
  <c r="EI183" i="1"/>
  <c r="Z185" i="21" s="1"/>
  <c r="CI183" i="1"/>
  <c r="EQ183" i="1"/>
  <c r="EK183" i="1" s="1"/>
  <c r="EH183" i="1"/>
  <c r="W185" i="21" s="1"/>
  <c r="EG183" i="1"/>
  <c r="T185" i="21" s="1"/>
  <c r="CG183" i="1"/>
  <c r="CH183" i="1"/>
  <c r="EM25" i="3"/>
  <c r="AN26" i="21" s="1"/>
  <c r="DF104" i="2"/>
  <c r="DO43" i="2"/>
  <c r="DN43" i="2"/>
  <c r="E71" i="9"/>
  <c r="EM72" i="2"/>
  <c r="AM73" i="21" s="1"/>
  <c r="EL72" i="2"/>
  <c r="AJ73" i="21" s="1"/>
  <c r="EK72" i="2"/>
  <c r="CK72" i="2"/>
  <c r="EJ72" i="2"/>
  <c r="AD73" i="21" s="1"/>
  <c r="CJ72" i="2"/>
  <c r="EI72" i="2"/>
  <c r="AA73" i="21" s="1"/>
  <c r="CI72" i="2"/>
  <c r="EH72" i="2"/>
  <c r="X73" i="21" s="1"/>
  <c r="CH72" i="2"/>
  <c r="EG72" i="2"/>
  <c r="U73" i="21" s="1"/>
  <c r="CG72" i="2"/>
  <c r="ER72" i="2"/>
  <c r="F73" i="22" s="1"/>
  <c r="EF72" i="2"/>
  <c r="R73" i="21" s="1"/>
  <c r="EQ72" i="2"/>
  <c r="EE72" i="2"/>
  <c r="O73" i="21" s="1"/>
  <c r="CQ72" i="2"/>
  <c r="EN72" i="2"/>
  <c r="AP73" i="21" s="1"/>
  <c r="EB72" i="2"/>
  <c r="F73" i="21" s="1"/>
  <c r="EP72" i="2"/>
  <c r="EO72" i="2"/>
  <c r="ED72" i="2"/>
  <c r="L73" i="21" s="1"/>
  <c r="EC72" i="2"/>
  <c r="I73" i="21" s="1"/>
  <c r="M34" i="20"/>
  <c r="F34" i="20"/>
  <c r="DF103" i="2"/>
  <c r="E137" i="9"/>
  <c r="EI137" i="2"/>
  <c r="AA139" i="21" s="1"/>
  <c r="M139" i="20" s="1"/>
  <c r="CI137" i="2"/>
  <c r="EQ137" i="2"/>
  <c r="CJ137" i="2"/>
  <c r="CH137" i="2"/>
  <c r="EO137" i="2"/>
  <c r="CG137" i="2"/>
  <c r="EN137" i="2"/>
  <c r="AP139" i="21" s="1"/>
  <c r="G139" i="20" s="1"/>
  <c r="EK137" i="2"/>
  <c r="EJ137" i="2"/>
  <c r="AD139" i="21" s="1"/>
  <c r="F139" i="20" s="1"/>
  <c r="EH137" i="2"/>
  <c r="X139" i="21" s="1"/>
  <c r="E139" i="20" s="1"/>
  <c r="EG137" i="2"/>
  <c r="U139" i="21" s="1"/>
  <c r="ER137" i="2"/>
  <c r="F139" i="22" s="1"/>
  <c r="CK137" i="2"/>
  <c r="D148" i="9"/>
  <c r="EN149" i="1"/>
  <c r="AO150" i="21" s="1"/>
  <c r="EM149" i="1"/>
  <c r="AL150" i="21" s="1"/>
  <c r="EJ149" i="1"/>
  <c r="AC150" i="21" s="1"/>
  <c r="CJ149" i="1"/>
  <c r="EI149" i="1"/>
  <c r="Z150" i="21" s="1"/>
  <c r="CI149" i="1"/>
  <c r="EH149" i="1"/>
  <c r="W150" i="21" s="1"/>
  <c r="CH149" i="1"/>
  <c r="EG149" i="1"/>
  <c r="T150" i="21" s="1"/>
  <c r="CG149" i="1"/>
  <c r="EO149" i="1"/>
  <c r="CK149" i="1"/>
  <c r="EQ149" i="1"/>
  <c r="EK149" i="1" s="1"/>
  <c r="DF116" i="2"/>
  <c r="D70" i="9"/>
  <c r="EJ71" i="1"/>
  <c r="AC72" i="21" s="1"/>
  <c r="CJ71" i="1"/>
  <c r="EI71" i="1"/>
  <c r="Z72" i="21" s="1"/>
  <c r="CI71" i="1"/>
  <c r="EG71" i="1"/>
  <c r="T72" i="21" s="1"/>
  <c r="CG71" i="1"/>
  <c r="EQ71" i="1"/>
  <c r="EN71" i="1"/>
  <c r="AO72" i="21" s="1"/>
  <c r="EK71" i="1"/>
  <c r="CK71" i="1"/>
  <c r="EH71" i="1"/>
  <c r="W72" i="21" s="1"/>
  <c r="CH71" i="1"/>
  <c r="EO71" i="1"/>
  <c r="D38" i="9"/>
  <c r="EN39" i="1"/>
  <c r="AO40" i="21" s="1"/>
  <c r="EM39" i="1"/>
  <c r="AL40" i="21" s="1"/>
  <c r="EL39" i="1"/>
  <c r="AI40" i="21" s="1"/>
  <c r="CJ39" i="1"/>
  <c r="EH39" i="1"/>
  <c r="W40" i="21" s="1"/>
  <c r="EJ39" i="1"/>
  <c r="AC40" i="21" s="1"/>
  <c r="EI39" i="1"/>
  <c r="Z40" i="21" s="1"/>
  <c r="EG39" i="1"/>
  <c r="T40" i="21" s="1"/>
  <c r="CK39" i="1"/>
  <c r="EO39" i="1"/>
  <c r="CG39" i="1"/>
  <c r="EQ39" i="1"/>
  <c r="EK39" i="1" s="1"/>
  <c r="CI39" i="1"/>
  <c r="CH39" i="1"/>
  <c r="CD155" i="1"/>
  <c r="DX99" i="1"/>
  <c r="CD99" i="1"/>
  <c r="EM90" i="1"/>
  <c r="AL91" i="21" s="1"/>
  <c r="EL90" i="1"/>
  <c r="AI91" i="21" s="1"/>
  <c r="EM221" i="1"/>
  <c r="AL224" i="21" s="1"/>
  <c r="EL221" i="1"/>
  <c r="AI224" i="21" s="1"/>
  <c r="W224" i="21"/>
  <c r="DX72" i="1"/>
  <c r="DY72" i="1" s="1"/>
  <c r="CD72" i="1"/>
  <c r="D12" i="9"/>
  <c r="ER13" i="1"/>
  <c r="E14" i="22" s="1"/>
  <c r="EJ13" i="1"/>
  <c r="AC14" i="21" s="1"/>
  <c r="CJ13" i="1"/>
  <c r="EI13" i="1"/>
  <c r="Z14" i="21" s="1"/>
  <c r="CI13" i="1"/>
  <c r="EH13" i="1"/>
  <c r="W14" i="21" s="1"/>
  <c r="CH13" i="1"/>
  <c r="EG13" i="1"/>
  <c r="T14" i="21" s="1"/>
  <c r="CG13" i="1"/>
  <c r="EN13" i="1"/>
  <c r="AO14" i="21" s="1"/>
  <c r="CK13" i="1"/>
  <c r="EQ13" i="1"/>
  <c r="EK13" i="1" s="1"/>
  <c r="EO13" i="1"/>
  <c r="G118" i="20"/>
  <c r="E118" i="20"/>
  <c r="F124" i="20"/>
  <c r="U42" i="15"/>
  <c r="T42" i="15"/>
  <c r="R178" i="14"/>
  <c r="T178" i="14"/>
  <c r="S178" i="14"/>
  <c r="DH171" i="3"/>
  <c r="DH173" i="2"/>
  <c r="DH174" i="1"/>
  <c r="DI174" i="1" s="1"/>
  <c r="R172" i="14"/>
  <c r="T172" i="14"/>
  <c r="S172" i="14"/>
  <c r="DH165" i="3"/>
  <c r="DH167" i="2"/>
  <c r="DH168" i="1"/>
  <c r="DI168" i="1" s="1"/>
  <c r="AZ198" i="14"/>
  <c r="AC198" i="14"/>
  <c r="AU198" i="14"/>
  <c r="X198" i="14"/>
  <c r="R184" i="14"/>
  <c r="T184" i="14"/>
  <c r="S184" i="14"/>
  <c r="DH176" i="3"/>
  <c r="DH179" i="2"/>
  <c r="S168" i="14"/>
  <c r="T168" i="14"/>
  <c r="R168" i="14"/>
  <c r="DH162" i="3"/>
  <c r="DH163" i="2"/>
  <c r="DH164" i="1"/>
  <c r="DI164" i="1" s="1"/>
  <c r="S185" i="14"/>
  <c r="R185" i="14"/>
  <c r="T185" i="14"/>
  <c r="DH177" i="3"/>
  <c r="DH180" i="2"/>
  <c r="DH180" i="1"/>
  <c r="DI180" i="1" s="1"/>
  <c r="R202" i="14"/>
  <c r="T202" i="14"/>
  <c r="S202" i="14"/>
  <c r="DH194" i="3"/>
  <c r="DH197" i="2"/>
  <c r="DH197" i="1"/>
  <c r="DI197" i="1" s="1"/>
  <c r="S165" i="14"/>
  <c r="T165" i="14"/>
  <c r="R165" i="14"/>
  <c r="DH159" i="3"/>
  <c r="DH160" i="2"/>
  <c r="DH161" i="1"/>
  <c r="DI161" i="1" s="1"/>
  <c r="S70" i="14"/>
  <c r="T70" i="14"/>
  <c r="R70" i="14"/>
  <c r="DH65" i="3"/>
  <c r="DH66" i="2"/>
  <c r="DH66" i="1"/>
  <c r="DI66" i="1" s="1"/>
  <c r="T58" i="14"/>
  <c r="S58" i="14"/>
  <c r="R58" i="14"/>
  <c r="DH53" i="3"/>
  <c r="DH54" i="2"/>
  <c r="DH54" i="1"/>
  <c r="DI54" i="1" s="1"/>
  <c r="T140" i="14"/>
  <c r="S140" i="14"/>
  <c r="R140" i="14"/>
  <c r="DH134" i="3"/>
  <c r="DH135" i="2"/>
  <c r="DH136" i="1"/>
  <c r="DI136" i="1" s="1"/>
  <c r="V79" i="13"/>
  <c r="V94" i="13" s="1"/>
  <c r="G11" i="19" s="1"/>
  <c r="R233" i="21" s="1"/>
  <c r="L233" i="20" s="1"/>
  <c r="T39" i="14"/>
  <c r="S39" i="14"/>
  <c r="R39" i="14"/>
  <c r="DH34" i="3"/>
  <c r="DH35" i="2"/>
  <c r="DH35" i="1"/>
  <c r="DI35" i="1" s="1"/>
  <c r="S40" i="14"/>
  <c r="R40" i="14"/>
  <c r="T40" i="14"/>
  <c r="DH35" i="3"/>
  <c r="DH36" i="2"/>
  <c r="DH36" i="1"/>
  <c r="DI36" i="1" s="1"/>
  <c r="T20" i="14"/>
  <c r="S20" i="14"/>
  <c r="R20" i="14"/>
  <c r="DH16" i="3"/>
  <c r="DH16" i="2"/>
  <c r="DH16" i="1"/>
  <c r="DI16" i="1" s="1"/>
  <c r="S31" i="14"/>
  <c r="R31" i="14"/>
  <c r="T31" i="14"/>
  <c r="DH27" i="3"/>
  <c r="DH27" i="2"/>
  <c r="DH27" i="1"/>
  <c r="DI27" i="1" s="1"/>
  <c r="T48" i="14"/>
  <c r="S48" i="14"/>
  <c r="R48" i="14"/>
  <c r="DH43" i="3"/>
  <c r="DH44" i="2"/>
  <c r="DH44" i="1"/>
  <c r="DI44" i="1" s="1"/>
  <c r="AH11" i="12"/>
  <c r="AR11" i="12" s="1"/>
  <c r="AC11" i="12"/>
  <c r="AM11" i="12" s="1"/>
  <c r="X49" i="13"/>
  <c r="X88" i="13" s="1"/>
  <c r="U92" i="13"/>
  <c r="E5" i="19" s="1"/>
  <c r="K233" i="21" s="1"/>
  <c r="U69" i="13"/>
  <c r="I144" i="8"/>
  <c r="F217" i="9"/>
  <c r="EN212" i="3"/>
  <c r="AQ219" i="21" s="1"/>
  <c r="EG212" i="3"/>
  <c r="V219" i="21" s="1"/>
  <c r="EQ212" i="3"/>
  <c r="CK212" i="3"/>
  <c r="EO212" i="3"/>
  <c r="CJ212" i="3"/>
  <c r="EK212" i="3"/>
  <c r="CG212" i="3"/>
  <c r="EJ212" i="3"/>
  <c r="AE219" i="21" s="1"/>
  <c r="EI212" i="3"/>
  <c r="AB219" i="21" s="1"/>
  <c r="EH212" i="3"/>
  <c r="Y219" i="21" s="1"/>
  <c r="CH212" i="3"/>
  <c r="CI212" i="3"/>
  <c r="DX148" i="3"/>
  <c r="DO107" i="3"/>
  <c r="DN107" i="3"/>
  <c r="DX86" i="3"/>
  <c r="DX202" i="2"/>
  <c r="DY202" i="2" s="1"/>
  <c r="DX39" i="3"/>
  <c r="DY39" i="3" s="1"/>
  <c r="DX177" i="2"/>
  <c r="DY177" i="2" s="1"/>
  <c r="DX99" i="2"/>
  <c r="DX56" i="2"/>
  <c r="E61" i="9"/>
  <c r="EK62" i="2"/>
  <c r="CK62" i="2"/>
  <c r="EJ62" i="2"/>
  <c r="AD63" i="21" s="1"/>
  <c r="CJ62" i="2"/>
  <c r="EI62" i="2"/>
  <c r="AA63" i="21" s="1"/>
  <c r="CI62" i="2"/>
  <c r="EH62" i="2"/>
  <c r="X63" i="21" s="1"/>
  <c r="CH62" i="2"/>
  <c r="EG62" i="2"/>
  <c r="U63" i="21" s="1"/>
  <c r="CG62" i="2"/>
  <c r="ER62" i="2"/>
  <c r="F63" i="22" s="1"/>
  <c r="EF62" i="2"/>
  <c r="R63" i="21" s="1"/>
  <c r="EQ62" i="2"/>
  <c r="EE62" i="2"/>
  <c r="O63" i="21" s="1"/>
  <c r="CQ62" i="2"/>
  <c r="EP62" i="2"/>
  <c r="ED62" i="2"/>
  <c r="L63" i="21" s="1"/>
  <c r="EO62" i="2"/>
  <c r="EC62" i="2"/>
  <c r="I63" i="21" s="1"/>
  <c r="EL62" i="2"/>
  <c r="AJ63" i="21" s="1"/>
  <c r="EN62" i="2"/>
  <c r="AP63" i="21" s="1"/>
  <c r="EM62" i="2"/>
  <c r="AM63" i="21" s="1"/>
  <c r="EB62" i="2"/>
  <c r="F63" i="21" s="1"/>
  <c r="E78" i="9"/>
  <c r="ER79" i="2"/>
  <c r="F80" i="22" s="1"/>
  <c r="EF79" i="2"/>
  <c r="R80" i="21" s="1"/>
  <c r="EQ79" i="2"/>
  <c r="EE79" i="2"/>
  <c r="O80" i="21" s="1"/>
  <c r="CQ79" i="2"/>
  <c r="EP79" i="2"/>
  <c r="ED79" i="2"/>
  <c r="L80" i="21" s="1"/>
  <c r="EO79" i="2"/>
  <c r="EC79" i="2"/>
  <c r="I80" i="21" s="1"/>
  <c r="EN79" i="2"/>
  <c r="AP80" i="21" s="1"/>
  <c r="EB79" i="2"/>
  <c r="F80" i="21" s="1"/>
  <c r="EM79" i="2"/>
  <c r="AM80" i="21" s="1"/>
  <c r="EL79" i="2"/>
  <c r="AJ80" i="21" s="1"/>
  <c r="EK79" i="2"/>
  <c r="CK79" i="2"/>
  <c r="EJ79" i="2"/>
  <c r="AD80" i="21" s="1"/>
  <c r="CJ79" i="2"/>
  <c r="EG79" i="2"/>
  <c r="U80" i="21" s="1"/>
  <c r="CG79" i="2"/>
  <c r="EI79" i="2"/>
  <c r="AA80" i="21" s="1"/>
  <c r="CI79" i="2"/>
  <c r="EH79" i="2"/>
  <c r="X80" i="21" s="1"/>
  <c r="CH79" i="2"/>
  <c r="E119" i="9"/>
  <c r="EP120" i="2"/>
  <c r="ED120" i="2"/>
  <c r="L121" i="21" s="1"/>
  <c r="EO120" i="2"/>
  <c r="EC120" i="2"/>
  <c r="I121" i="21" s="1"/>
  <c r="EN120" i="2"/>
  <c r="AP121" i="21" s="1"/>
  <c r="EB120" i="2"/>
  <c r="F121" i="21" s="1"/>
  <c r="EM120" i="2"/>
  <c r="AM121" i="21" s="1"/>
  <c r="EL120" i="2"/>
  <c r="AJ121" i="21" s="1"/>
  <c r="EK120" i="2"/>
  <c r="CK120" i="2"/>
  <c r="EJ120" i="2"/>
  <c r="AD121" i="21" s="1"/>
  <c r="CJ120" i="2"/>
  <c r="EI120" i="2"/>
  <c r="AA121" i="21" s="1"/>
  <c r="CI120" i="2"/>
  <c r="EH120" i="2"/>
  <c r="X121" i="21" s="1"/>
  <c r="CH120" i="2"/>
  <c r="EQ120" i="2"/>
  <c r="EE120" i="2"/>
  <c r="O121" i="21" s="1"/>
  <c r="CQ120" i="2"/>
  <c r="EG120" i="2"/>
  <c r="U121" i="21" s="1"/>
  <c r="EF120" i="2"/>
  <c r="R121" i="21" s="1"/>
  <c r="CG120" i="2"/>
  <c r="ER120" i="2"/>
  <c r="F121" i="22" s="1"/>
  <c r="DO144" i="2"/>
  <c r="DN144" i="2"/>
  <c r="DX78" i="2"/>
  <c r="E53" i="20"/>
  <c r="D201" i="9"/>
  <c r="EJ201" i="1"/>
  <c r="AC203" i="21" s="1"/>
  <c r="CJ201" i="1"/>
  <c r="EI201" i="1"/>
  <c r="Z203" i="21" s="1"/>
  <c r="CI201" i="1"/>
  <c r="EH201" i="1"/>
  <c r="W203" i="21" s="1"/>
  <c r="CH201" i="1"/>
  <c r="EG201" i="1"/>
  <c r="T203" i="21" s="1"/>
  <c r="CG201" i="1"/>
  <c r="EQ201" i="1"/>
  <c r="EO201" i="1"/>
  <c r="EK201" i="1"/>
  <c r="CK201" i="1"/>
  <c r="EN201" i="1"/>
  <c r="AO203" i="21" s="1"/>
  <c r="CD165" i="1"/>
  <c r="DX165" i="1"/>
  <c r="CX46" i="2"/>
  <c r="CZ46" i="2" s="1"/>
  <c r="DX203" i="1"/>
  <c r="DY203" i="1" s="1"/>
  <c r="CD121" i="1"/>
  <c r="DX121" i="1"/>
  <c r="DY121" i="1" s="1"/>
  <c r="D45" i="9"/>
  <c r="EG46" i="1"/>
  <c r="T47" i="21" s="1"/>
  <c r="CG46" i="1"/>
  <c r="ER46" i="1"/>
  <c r="E47" i="22" s="1"/>
  <c r="EF46" i="1"/>
  <c r="Q47" i="21" s="1"/>
  <c r="EQ46" i="1"/>
  <c r="EE46" i="1"/>
  <c r="N47" i="21" s="1"/>
  <c r="CQ46" i="1"/>
  <c r="EH46" i="1"/>
  <c r="W47" i="21" s="1"/>
  <c r="CK46" i="1"/>
  <c r="EM46" i="1"/>
  <c r="AL47" i="21" s="1"/>
  <c r="ED46" i="1"/>
  <c r="K47" i="21" s="1"/>
  <c r="CJ46" i="1"/>
  <c r="EC46" i="1"/>
  <c r="H47" i="21" s="1"/>
  <c r="CI46" i="1"/>
  <c r="EB46" i="1"/>
  <c r="E47" i="21" s="1"/>
  <c r="CH46" i="1"/>
  <c r="EP46" i="1"/>
  <c r="EO46" i="1"/>
  <c r="EN46" i="1"/>
  <c r="AO47" i="21" s="1"/>
  <c r="EI46" i="1"/>
  <c r="Z47" i="21" s="1"/>
  <c r="EL46" i="1"/>
  <c r="AI47" i="21" s="1"/>
  <c r="EK46" i="1"/>
  <c r="EJ46" i="1"/>
  <c r="AC47" i="21" s="1"/>
  <c r="D44" i="9"/>
  <c r="EH45" i="1"/>
  <c r="W46" i="21" s="1"/>
  <c r="CH45" i="1"/>
  <c r="EG45" i="1"/>
  <c r="T46" i="21" s="1"/>
  <c r="CG45" i="1"/>
  <c r="ER45" i="1"/>
  <c r="E46" i="22" s="1"/>
  <c r="EF45" i="1"/>
  <c r="Q46" i="21" s="1"/>
  <c r="EE45" i="1"/>
  <c r="N46" i="21" s="1"/>
  <c r="CJ45" i="1"/>
  <c r="EM45" i="1"/>
  <c r="AL46" i="21" s="1"/>
  <c r="ED45" i="1"/>
  <c r="K46" i="21" s="1"/>
  <c r="CI45" i="1"/>
  <c r="EC45" i="1"/>
  <c r="H46" i="21" s="1"/>
  <c r="EQ45" i="1"/>
  <c r="EB45" i="1"/>
  <c r="E46" i="21" s="1"/>
  <c r="EP45" i="1"/>
  <c r="EO45" i="1"/>
  <c r="CQ45" i="1"/>
  <c r="EN45" i="1"/>
  <c r="AO46" i="21" s="1"/>
  <c r="EI45" i="1"/>
  <c r="Z46" i="21" s="1"/>
  <c r="CK45" i="1"/>
  <c r="EK45" i="1"/>
  <c r="EJ45" i="1"/>
  <c r="AC46" i="21" s="1"/>
  <c r="EL45" i="1"/>
  <c r="AI46" i="21" s="1"/>
  <c r="D85" i="9"/>
  <c r="EG86" i="1"/>
  <c r="T87" i="21" s="1"/>
  <c r="CG86" i="1"/>
  <c r="EQ86" i="1"/>
  <c r="EK86" i="1" s="1"/>
  <c r="EO86" i="1"/>
  <c r="EN86" i="1"/>
  <c r="AO87" i="21" s="1"/>
  <c r="CK86" i="1"/>
  <c r="EI86" i="1"/>
  <c r="Z87" i="21" s="1"/>
  <c r="EH86" i="1"/>
  <c r="W87" i="21" s="1"/>
  <c r="CI86" i="1"/>
  <c r="CJ86" i="1"/>
  <c r="CH86" i="1"/>
  <c r="EJ86" i="1"/>
  <c r="AC87" i="21" s="1"/>
  <c r="CD59" i="1"/>
  <c r="DX59" i="1"/>
  <c r="D66" i="9"/>
  <c r="EN67" i="1"/>
  <c r="AO68" i="21" s="1"/>
  <c r="EM67" i="1"/>
  <c r="AL68" i="21" s="1"/>
  <c r="EK67" i="1"/>
  <c r="CK67" i="1"/>
  <c r="EJ67" i="1"/>
  <c r="AC68" i="21" s="1"/>
  <c r="CJ67" i="1"/>
  <c r="EI67" i="1"/>
  <c r="Z68" i="21" s="1"/>
  <c r="CI67" i="1"/>
  <c r="EH67" i="1"/>
  <c r="W68" i="21" s="1"/>
  <c r="CH67" i="1"/>
  <c r="EO67" i="1"/>
  <c r="EL67" i="1"/>
  <c r="AI68" i="21" s="1"/>
  <c r="EG67" i="1"/>
  <c r="T68" i="21" s="1"/>
  <c r="CG67" i="1"/>
  <c r="EQ67" i="1"/>
  <c r="D124" i="9"/>
  <c r="EH125" i="1"/>
  <c r="W126" i="21" s="1"/>
  <c r="CH125" i="1"/>
  <c r="EG125" i="1"/>
  <c r="T126" i="21" s="1"/>
  <c r="CG125" i="1"/>
  <c r="ER125" i="1"/>
  <c r="E126" i="22" s="1"/>
  <c r="EF125" i="1"/>
  <c r="Q126" i="21" s="1"/>
  <c r="EQ125" i="1"/>
  <c r="EE125" i="1"/>
  <c r="N126" i="21" s="1"/>
  <c r="CQ125" i="1"/>
  <c r="EP125" i="1"/>
  <c r="ED125" i="1"/>
  <c r="K126" i="21" s="1"/>
  <c r="EO125" i="1"/>
  <c r="EC125" i="1"/>
  <c r="H126" i="21" s="1"/>
  <c r="EN125" i="1"/>
  <c r="AO126" i="21" s="1"/>
  <c r="EB125" i="1"/>
  <c r="E126" i="21" s="1"/>
  <c r="EL125" i="1"/>
  <c r="AI126" i="21" s="1"/>
  <c r="EJ125" i="1"/>
  <c r="AC126" i="21" s="1"/>
  <c r="EI125" i="1"/>
  <c r="Z126" i="21" s="1"/>
  <c r="CK125" i="1"/>
  <c r="CJ125" i="1"/>
  <c r="EK125" i="1"/>
  <c r="CI125" i="1"/>
  <c r="EM125" i="1"/>
  <c r="AL126" i="21" s="1"/>
  <c r="D7" i="9"/>
  <c r="CK8" i="1"/>
  <c r="EO8" i="1"/>
  <c r="EN8" i="1"/>
  <c r="AO9" i="21" s="1"/>
  <c r="EL8" i="1"/>
  <c r="AI9" i="21" s="1"/>
  <c r="EG8" i="1"/>
  <c r="T9" i="21" s="1"/>
  <c r="CG8" i="1"/>
  <c r="ER8" i="1"/>
  <c r="E9" i="22" s="1"/>
  <c r="EQ8" i="1"/>
  <c r="EK8" i="1" s="1"/>
  <c r="EJ8" i="1"/>
  <c r="AC9" i="21" s="1"/>
  <c r="EI8" i="1"/>
  <c r="Z9" i="21" s="1"/>
  <c r="EH8" i="1"/>
  <c r="W9" i="21" s="1"/>
  <c r="CJ8" i="1"/>
  <c r="CH8" i="1"/>
  <c r="CI8" i="1"/>
  <c r="CD209" i="1"/>
  <c r="DX209" i="1"/>
  <c r="DY209" i="1" s="1"/>
  <c r="DX140" i="1"/>
  <c r="CD140" i="1"/>
  <c r="DX39" i="1"/>
  <c r="L129" i="22"/>
  <c r="M215" i="22"/>
  <c r="D144" i="9"/>
  <c r="EQ145" i="1"/>
  <c r="EE145" i="1"/>
  <c r="N146" i="21" s="1"/>
  <c r="CQ145" i="1"/>
  <c r="EP145" i="1"/>
  <c r="ED145" i="1"/>
  <c r="K146" i="21" s="1"/>
  <c r="EO145" i="1"/>
  <c r="EC145" i="1"/>
  <c r="H146" i="21" s="1"/>
  <c r="EM145" i="1"/>
  <c r="AL146" i="21" s="1"/>
  <c r="EL145" i="1"/>
  <c r="AI146" i="21" s="1"/>
  <c r="EK145" i="1"/>
  <c r="CK145" i="1"/>
  <c r="EJ145" i="1"/>
  <c r="AC146" i="21" s="1"/>
  <c r="CJ145" i="1"/>
  <c r="ER145" i="1"/>
  <c r="E146" i="22" s="1"/>
  <c r="EF145" i="1"/>
  <c r="Q146" i="21" s="1"/>
  <c r="CI145" i="1"/>
  <c r="CH145" i="1"/>
  <c r="EN145" i="1"/>
  <c r="AO146" i="21" s="1"/>
  <c r="CG145" i="1"/>
  <c r="EI145" i="1"/>
  <c r="Z146" i="21" s="1"/>
  <c r="EH145" i="1"/>
  <c r="W146" i="21" s="1"/>
  <c r="EB145" i="1"/>
  <c r="E146" i="21" s="1"/>
  <c r="EG145" i="1"/>
  <c r="T146" i="21" s="1"/>
  <c r="E31" i="9"/>
  <c r="EO32" i="2"/>
  <c r="EC32" i="2"/>
  <c r="I33" i="21" s="1"/>
  <c r="EN32" i="2"/>
  <c r="AP33" i="21" s="1"/>
  <c r="EB32" i="2"/>
  <c r="F33" i="21" s="1"/>
  <c r="EM32" i="2"/>
  <c r="AM33" i="21" s="1"/>
  <c r="EK32" i="2"/>
  <c r="CK32" i="2"/>
  <c r="EG32" i="2"/>
  <c r="U33" i="21" s="1"/>
  <c r="CG32" i="2"/>
  <c r="EL32" i="2"/>
  <c r="AJ33" i="21" s="1"/>
  <c r="EJ32" i="2"/>
  <c r="AD33" i="21" s="1"/>
  <c r="EI32" i="2"/>
  <c r="AA33" i="21" s="1"/>
  <c r="EH32" i="2"/>
  <c r="X33" i="21" s="1"/>
  <c r="EF32" i="2"/>
  <c r="R33" i="21" s="1"/>
  <c r="EE32" i="2"/>
  <c r="O33" i="21" s="1"/>
  <c r="CQ32" i="2"/>
  <c r="ED32" i="2"/>
  <c r="L33" i="21" s="1"/>
  <c r="EP32" i="2"/>
  <c r="ER32" i="2"/>
  <c r="F33" i="22" s="1"/>
  <c r="EQ32" i="2"/>
  <c r="CJ32" i="2"/>
  <c r="CI32" i="2"/>
  <c r="CH32" i="2"/>
  <c r="DO202" i="1"/>
  <c r="DN202" i="1"/>
  <c r="D143" i="9"/>
  <c r="ER144" i="1"/>
  <c r="E145" i="22" s="1"/>
  <c r="EQ144" i="1"/>
  <c r="EN144" i="1"/>
  <c r="AO145" i="21" s="1"/>
  <c r="EK144" i="1"/>
  <c r="CK144" i="1"/>
  <c r="EG144" i="1"/>
  <c r="T145" i="21" s="1"/>
  <c r="EO144" i="1"/>
  <c r="EJ144" i="1"/>
  <c r="AC145" i="21" s="1"/>
  <c r="CJ144" i="1"/>
  <c r="EI144" i="1"/>
  <c r="Z145" i="21" s="1"/>
  <c r="CI144" i="1"/>
  <c r="CG144" i="1"/>
  <c r="CH144" i="1"/>
  <c r="EH144" i="1"/>
  <c r="W145" i="21" s="1"/>
  <c r="D93" i="9"/>
  <c r="EK94" i="1"/>
  <c r="CK94" i="1"/>
  <c r="EJ94" i="1"/>
  <c r="AC95" i="21" s="1"/>
  <c r="CJ94" i="1"/>
  <c r="EI94" i="1"/>
  <c r="Z95" i="21" s="1"/>
  <c r="CI94" i="1"/>
  <c r="EH94" i="1"/>
  <c r="W95" i="21" s="1"/>
  <c r="CH94" i="1"/>
  <c r="EG94" i="1"/>
  <c r="T95" i="21" s="1"/>
  <c r="CG94" i="1"/>
  <c r="EQ94" i="1"/>
  <c r="ER94" i="1"/>
  <c r="E95" i="22" s="1"/>
  <c r="EO94" i="1"/>
  <c r="EN94" i="1"/>
  <c r="AO95" i="21" s="1"/>
  <c r="DN108" i="1"/>
  <c r="DO108" i="1"/>
  <c r="DX49" i="1"/>
  <c r="M2" i="9"/>
  <c r="DX100" i="1"/>
  <c r="DO45" i="1"/>
  <c r="DN45" i="1"/>
  <c r="CD58" i="1"/>
  <c r="EP128" i="1"/>
  <c r="D55" i="9"/>
  <c r="EI56" i="1"/>
  <c r="Z57" i="21" s="1"/>
  <c r="CI56" i="1"/>
  <c r="EH56" i="1"/>
  <c r="W57" i="21" s="1"/>
  <c r="CH56" i="1"/>
  <c r="EG56" i="1"/>
  <c r="T57" i="21" s="1"/>
  <c r="CG56" i="1"/>
  <c r="EN56" i="1"/>
  <c r="AO57" i="21" s="1"/>
  <c r="CK56" i="1"/>
  <c r="EJ56" i="1"/>
  <c r="AC57" i="21" s="1"/>
  <c r="CJ56" i="1"/>
  <c r="EO56" i="1"/>
  <c r="EQ56" i="1"/>
  <c r="EK56" i="1" s="1"/>
  <c r="DF18" i="1"/>
  <c r="M171" i="22"/>
  <c r="DX65" i="2"/>
  <c r="DF89" i="2"/>
  <c r="DX89" i="2" s="1"/>
  <c r="D182" i="9"/>
  <c r="EQ182" i="1"/>
  <c r="EE182" i="1"/>
  <c r="N184" i="21" s="1"/>
  <c r="CQ182" i="1"/>
  <c r="EP182" i="1"/>
  <c r="ED182" i="1"/>
  <c r="K184" i="21" s="1"/>
  <c r="EO182" i="1"/>
  <c r="EC182" i="1"/>
  <c r="H184" i="21" s="1"/>
  <c r="EN182" i="1"/>
  <c r="AO184" i="21" s="1"/>
  <c r="EB182" i="1"/>
  <c r="E184" i="21" s="1"/>
  <c r="EM182" i="1"/>
  <c r="AL184" i="21" s="1"/>
  <c r="EL182" i="1"/>
  <c r="AI184" i="21" s="1"/>
  <c r="EK182" i="1"/>
  <c r="CK182" i="1"/>
  <c r="EJ182" i="1"/>
  <c r="AC184" i="21" s="1"/>
  <c r="CJ182" i="1"/>
  <c r="ER182" i="1"/>
  <c r="E184" i="22" s="1"/>
  <c r="EF182" i="1"/>
  <c r="Q184" i="21" s="1"/>
  <c r="CI182" i="1"/>
  <c r="CH182" i="1"/>
  <c r="CG182" i="1"/>
  <c r="EI182" i="1"/>
  <c r="Z184" i="21" s="1"/>
  <c r="EH182" i="1"/>
  <c r="W184" i="21" s="1"/>
  <c r="EG182" i="1"/>
  <c r="T184" i="21" s="1"/>
  <c r="D146" i="9"/>
  <c r="EO147" i="1"/>
  <c r="EC147" i="1"/>
  <c r="H148" i="21" s="1"/>
  <c r="EN147" i="1"/>
  <c r="AO148" i="21" s="1"/>
  <c r="EB147" i="1"/>
  <c r="E148" i="21" s="1"/>
  <c r="EM147" i="1"/>
  <c r="AL148" i="21" s="1"/>
  <c r="EK147" i="1"/>
  <c r="CK147" i="1"/>
  <c r="EJ147" i="1"/>
  <c r="AC148" i="21" s="1"/>
  <c r="CJ147" i="1"/>
  <c r="EI147" i="1"/>
  <c r="Z148" i="21" s="1"/>
  <c r="CI147" i="1"/>
  <c r="EH147" i="1"/>
  <c r="W148" i="21" s="1"/>
  <c r="CH147" i="1"/>
  <c r="EP147" i="1"/>
  <c r="ED147" i="1"/>
  <c r="K148" i="21" s="1"/>
  <c r="ER147" i="1"/>
  <c r="E148" i="22" s="1"/>
  <c r="EQ147" i="1"/>
  <c r="CG147" i="1"/>
  <c r="EL147" i="1"/>
  <c r="AI148" i="21" s="1"/>
  <c r="EG147" i="1"/>
  <c r="T148" i="21" s="1"/>
  <c r="EF147" i="1"/>
  <c r="Q148" i="21" s="1"/>
  <c r="EE147" i="1"/>
  <c r="N148" i="21" s="1"/>
  <c r="CQ147" i="1"/>
  <c r="E38" i="9"/>
  <c r="EH39" i="2"/>
  <c r="X40" i="21" s="1"/>
  <c r="E40" i="20" s="1"/>
  <c r="CH39" i="2"/>
  <c r="EG39" i="2"/>
  <c r="U40" i="21" s="1"/>
  <c r="CG39" i="2"/>
  <c r="ER39" i="2"/>
  <c r="F40" i="22" s="1"/>
  <c r="EP39" i="2"/>
  <c r="CK39" i="2"/>
  <c r="CJ39" i="2"/>
  <c r="EQ39" i="2"/>
  <c r="CI39" i="2"/>
  <c r="EO39" i="2"/>
  <c r="EN39" i="2"/>
  <c r="AP40" i="21" s="1"/>
  <c r="G40" i="20" s="1"/>
  <c r="EM39" i="2"/>
  <c r="AM40" i="21" s="1"/>
  <c r="EK39" i="2"/>
  <c r="EJ39" i="2"/>
  <c r="AD40" i="21" s="1"/>
  <c r="F40" i="20" s="1"/>
  <c r="EI39" i="2"/>
  <c r="AA40" i="21" s="1"/>
  <c r="M40" i="20" s="1"/>
  <c r="D72" i="9"/>
  <c r="EH73" i="1"/>
  <c r="W74" i="21" s="1"/>
  <c r="CH73" i="1"/>
  <c r="EG73" i="1"/>
  <c r="T74" i="21" s="1"/>
  <c r="CG73" i="1"/>
  <c r="EQ73" i="1"/>
  <c r="EO73" i="1"/>
  <c r="EN73" i="1"/>
  <c r="AO74" i="21" s="1"/>
  <c r="EL73" i="1"/>
  <c r="AI74" i="21" s="1"/>
  <c r="ER73" i="1"/>
  <c r="E74" i="22" s="1"/>
  <c r="EM73" i="1"/>
  <c r="AL74" i="21" s="1"/>
  <c r="CK73" i="1"/>
  <c r="EI73" i="1"/>
  <c r="Z74" i="21" s="1"/>
  <c r="EK73" i="1"/>
  <c r="CJ73" i="1"/>
  <c r="EJ73" i="1"/>
  <c r="AC74" i="21" s="1"/>
  <c r="CI73" i="1"/>
  <c r="D49" i="9"/>
  <c r="EO50" i="1"/>
  <c r="EN50" i="1"/>
  <c r="AO51" i="21" s="1"/>
  <c r="EK50" i="1"/>
  <c r="EJ50" i="1"/>
  <c r="AC51" i="21" s="1"/>
  <c r="CK50" i="1"/>
  <c r="EI50" i="1"/>
  <c r="Z51" i="21" s="1"/>
  <c r="CJ50" i="1"/>
  <c r="EH50" i="1"/>
  <c r="W51" i="21" s="1"/>
  <c r="CI50" i="1"/>
  <c r="EG50" i="1"/>
  <c r="T51" i="21" s="1"/>
  <c r="CH50" i="1"/>
  <c r="CG50" i="1"/>
  <c r="EQ50" i="1"/>
  <c r="ER50" i="1"/>
  <c r="E51" i="22" s="1"/>
  <c r="DX19" i="2"/>
  <c r="EL38" i="3"/>
  <c r="AK40" i="21" s="1"/>
  <c r="D10" i="9"/>
  <c r="EO11" i="1"/>
  <c r="EN11" i="1"/>
  <c r="AO12" i="21" s="1"/>
  <c r="EM11" i="1"/>
  <c r="AL12" i="21" s="1"/>
  <c r="EL11" i="1"/>
  <c r="AI12" i="21" s="1"/>
  <c r="CK11" i="1"/>
  <c r="EJ11" i="1"/>
  <c r="AC12" i="21" s="1"/>
  <c r="CJ11" i="1"/>
  <c r="EI11" i="1"/>
  <c r="Z12" i="21" s="1"/>
  <c r="EH11" i="1"/>
  <c r="W12" i="21" s="1"/>
  <c r="CH11" i="1"/>
  <c r="CI11" i="1"/>
  <c r="EQ11" i="1"/>
  <c r="ER11" i="1" s="1"/>
  <c r="EG11" i="1"/>
  <c r="T12" i="21" s="1"/>
  <c r="CG11" i="1"/>
  <c r="CX128" i="1"/>
  <c r="CZ128" i="1" s="1"/>
  <c r="L181" i="22"/>
  <c r="D2" i="9"/>
  <c r="CK3" i="1"/>
  <c r="EJ3" i="1"/>
  <c r="AC4" i="21" s="1"/>
  <c r="EI3" i="1"/>
  <c r="Z4" i="21" s="1"/>
  <c r="EG3" i="1"/>
  <c r="T4" i="21" s="1"/>
  <c r="EP3" i="1"/>
  <c r="EH3" i="1"/>
  <c r="W4" i="21" s="1"/>
  <c r="CH3" i="1"/>
  <c r="ED3" i="1"/>
  <c r="K4" i="21" s="1"/>
  <c r="ER3" i="1"/>
  <c r="E4" i="22" s="1"/>
  <c r="EF3" i="1"/>
  <c r="Q4" i="21" s="1"/>
  <c r="EQ3" i="1"/>
  <c r="CQ3" i="1"/>
  <c r="J2" i="9" s="1"/>
  <c r="C7" i="14" s="1"/>
  <c r="EE3" i="1"/>
  <c r="N4" i="21" s="1"/>
  <c r="EL3" i="1"/>
  <c r="AI4" i="21" s="1"/>
  <c r="EK3" i="1"/>
  <c r="CJ3" i="1"/>
  <c r="CI3" i="1"/>
  <c r="CG3" i="1"/>
  <c r="EO3" i="1"/>
  <c r="EC3" i="1"/>
  <c r="H4" i="21" s="1"/>
  <c r="EB3" i="1"/>
  <c r="E4" i="21" s="1"/>
  <c r="EN3" i="1"/>
  <c r="AO4" i="21" s="1"/>
  <c r="EM3" i="1"/>
  <c r="AL4" i="21" s="1"/>
  <c r="DN43" i="1"/>
  <c r="DO43" i="1"/>
  <c r="DX4" i="1"/>
  <c r="DY4" i="1" s="1"/>
  <c r="M227" i="22"/>
  <c r="DX142" i="1"/>
  <c r="DY142" i="1" s="1"/>
  <c r="DX216" i="1"/>
  <c r="DX217" i="1"/>
  <c r="DY217" i="1" s="1"/>
  <c r="DO190" i="1"/>
  <c r="DN190" i="1"/>
  <c r="DX138" i="1"/>
  <c r="DX29" i="2"/>
  <c r="DX132" i="1"/>
  <c r="D81" i="9"/>
  <c r="EK82" i="1"/>
  <c r="CK82" i="1"/>
  <c r="EJ82" i="1"/>
  <c r="AC83" i="21" s="1"/>
  <c r="CJ82" i="1"/>
  <c r="EH82" i="1"/>
  <c r="W83" i="21" s="1"/>
  <c r="CH82" i="1"/>
  <c r="EG82" i="1"/>
  <c r="T83" i="21" s="1"/>
  <c r="CG82" i="1"/>
  <c r="ER82" i="1"/>
  <c r="E83" i="22" s="1"/>
  <c r="EQ82" i="1"/>
  <c r="EO82" i="1"/>
  <c r="EI82" i="1"/>
  <c r="Z83" i="21" s="1"/>
  <c r="CI82" i="1"/>
  <c r="EP82" i="1"/>
  <c r="EL82" i="1"/>
  <c r="AI83" i="21" s="1"/>
  <c r="EN82" i="1"/>
  <c r="AO83" i="21" s="1"/>
  <c r="EM82" i="1"/>
  <c r="AL83" i="21" s="1"/>
  <c r="DX7" i="1"/>
  <c r="DX43" i="1"/>
  <c r="DY43" i="1" s="1"/>
  <c r="D108" i="9"/>
  <c r="EL109" i="1"/>
  <c r="AI110" i="21" s="1"/>
  <c r="EK109" i="1"/>
  <c r="CK109" i="1"/>
  <c r="EJ109" i="1"/>
  <c r="AC110" i="21" s="1"/>
  <c r="CJ109" i="1"/>
  <c r="EI109" i="1"/>
  <c r="Z110" i="21" s="1"/>
  <c r="CI109" i="1"/>
  <c r="EH109" i="1"/>
  <c r="W110" i="21" s="1"/>
  <c r="CH109" i="1"/>
  <c r="EG109" i="1"/>
  <c r="T110" i="21" s="1"/>
  <c r="CG109" i="1"/>
  <c r="EF109" i="1"/>
  <c r="Q110" i="21" s="1"/>
  <c r="EQ109" i="1"/>
  <c r="EO109" i="1"/>
  <c r="EM109" i="1"/>
  <c r="AL110" i="21" s="1"/>
  <c r="EN109" i="1"/>
  <c r="AO110" i="21" s="1"/>
  <c r="EC109" i="1"/>
  <c r="H110" i="21" s="1"/>
  <c r="EB109" i="1"/>
  <c r="E110" i="21" s="1"/>
  <c r="L62" i="22"/>
  <c r="DN72" i="1"/>
  <c r="DO72" i="1"/>
  <c r="D52" i="9"/>
  <c r="EO53" i="1"/>
  <c r="EL53" i="1"/>
  <c r="AI54" i="21" s="1"/>
  <c r="CK53" i="1"/>
  <c r="EJ53" i="1"/>
  <c r="AC54" i="21" s="1"/>
  <c r="CJ53" i="1"/>
  <c r="CI53" i="1"/>
  <c r="EN53" i="1"/>
  <c r="AO54" i="21" s="1"/>
  <c r="CH53" i="1"/>
  <c r="EM53" i="1"/>
  <c r="AL54" i="21" s="1"/>
  <c r="CG53" i="1"/>
  <c r="EI53" i="1"/>
  <c r="Z54" i="21" s="1"/>
  <c r="EG53" i="1"/>
  <c r="T54" i="21" s="1"/>
  <c r="EQ53" i="1"/>
  <c r="EK53" i="1" s="1"/>
  <c r="EH53" i="1"/>
  <c r="W54" i="21" s="1"/>
  <c r="D27" i="9"/>
  <c r="EM28" i="1"/>
  <c r="AL29" i="21" s="1"/>
  <c r="EQ28" i="1"/>
  <c r="EN28" i="1"/>
  <c r="AO29" i="21" s="1"/>
  <c r="EO28" i="1"/>
  <c r="CK28" i="1"/>
  <c r="CJ28" i="1"/>
  <c r="EJ28" i="1"/>
  <c r="AC29" i="21" s="1"/>
  <c r="CG28" i="1"/>
  <c r="EL28" i="1"/>
  <c r="AI29" i="21" s="1"/>
  <c r="CI28" i="1"/>
  <c r="EK28" i="1"/>
  <c r="CH28" i="1"/>
  <c r="EH28" i="1"/>
  <c r="W29" i="21" s="1"/>
  <c r="EG28" i="1"/>
  <c r="T29" i="21" s="1"/>
  <c r="EI28" i="1"/>
  <c r="Z29" i="21" s="1"/>
  <c r="L226" i="22"/>
  <c r="D65" i="9"/>
  <c r="EO66" i="1"/>
  <c r="EC66" i="1"/>
  <c r="H67" i="21" s="1"/>
  <c r="EN66" i="1"/>
  <c r="AO67" i="21" s="1"/>
  <c r="EB66" i="1"/>
  <c r="E67" i="21" s="1"/>
  <c r="EL66" i="1"/>
  <c r="AI67" i="21" s="1"/>
  <c r="EK66" i="1"/>
  <c r="CK66" i="1"/>
  <c r="EJ66" i="1"/>
  <c r="AC67" i="21" s="1"/>
  <c r="CJ66" i="1"/>
  <c r="EI66" i="1"/>
  <c r="Z67" i="21" s="1"/>
  <c r="CI66" i="1"/>
  <c r="EG66" i="1"/>
  <c r="T67" i="21" s="1"/>
  <c r="ED66" i="1"/>
  <c r="K67" i="21" s="1"/>
  <c r="EP66" i="1"/>
  <c r="CQ66" i="1"/>
  <c r="ER66" i="1"/>
  <c r="E67" i="22" s="1"/>
  <c r="EM66" i="1"/>
  <c r="AL67" i="21" s="1"/>
  <c r="EQ66" i="1"/>
  <c r="EE66" i="1"/>
  <c r="N67" i="21" s="1"/>
  <c r="CG66" i="1"/>
  <c r="EH66" i="1"/>
  <c r="W67" i="21" s="1"/>
  <c r="EF66" i="1"/>
  <c r="Q67" i="21" s="1"/>
  <c r="CH66" i="1"/>
  <c r="DX8" i="1"/>
  <c r="D77" i="9"/>
  <c r="EO78" i="1"/>
  <c r="EN78" i="1"/>
  <c r="AO79" i="21" s="1"/>
  <c r="EL78" i="1"/>
  <c r="AI79" i="21" s="1"/>
  <c r="EK78" i="1"/>
  <c r="CK78" i="1"/>
  <c r="EJ78" i="1"/>
  <c r="AC79" i="21" s="1"/>
  <c r="CJ78" i="1"/>
  <c r="EI78" i="1"/>
  <c r="Z79" i="21" s="1"/>
  <c r="CI78" i="1"/>
  <c r="EG78" i="1"/>
  <c r="T79" i="21" s="1"/>
  <c r="CG78" i="1"/>
  <c r="EQ78" i="1"/>
  <c r="EM78" i="1"/>
  <c r="AL79" i="21" s="1"/>
  <c r="EH78" i="1"/>
  <c r="W79" i="21" s="1"/>
  <c r="CH78" i="1"/>
  <c r="DX36" i="1"/>
  <c r="D220" i="9"/>
  <c r="EQ219" i="1"/>
  <c r="EK219" i="1" s="1"/>
  <c r="EO219" i="1"/>
  <c r="EN219" i="1"/>
  <c r="AO222" i="21" s="1"/>
  <c r="EL219" i="1"/>
  <c r="AI222" i="21" s="1"/>
  <c r="CK219" i="1"/>
  <c r="EJ219" i="1"/>
  <c r="AC222" i="21" s="1"/>
  <c r="CJ219" i="1"/>
  <c r="CI219" i="1"/>
  <c r="CH219" i="1"/>
  <c r="CG219" i="1"/>
  <c r="EI219" i="1"/>
  <c r="Z222" i="21" s="1"/>
  <c r="EH219" i="1"/>
  <c r="W222" i="21" s="1"/>
  <c r="EG219" i="1"/>
  <c r="T222" i="21" s="1"/>
  <c r="DX156" i="1"/>
  <c r="DX179" i="1"/>
  <c r="CD213" i="1"/>
  <c r="E89" i="9"/>
  <c r="EG90" i="2"/>
  <c r="U91" i="21" s="1"/>
  <c r="CG90" i="2"/>
  <c r="EQ90" i="2"/>
  <c r="EO90" i="2"/>
  <c r="EN90" i="2"/>
  <c r="AP91" i="21" s="1"/>
  <c r="G91" i="20" s="1"/>
  <c r="EM90" i="2"/>
  <c r="AM91" i="21" s="1"/>
  <c r="EL90" i="2"/>
  <c r="AJ91" i="21" s="1"/>
  <c r="N91" i="20" s="1"/>
  <c r="EK90" i="2"/>
  <c r="CK90" i="2"/>
  <c r="EH90" i="2"/>
  <c r="X91" i="21" s="1"/>
  <c r="E91" i="20" s="1"/>
  <c r="CH90" i="2"/>
  <c r="CJ90" i="2"/>
  <c r="CI90" i="2"/>
  <c r="EI90" i="2"/>
  <c r="AA91" i="21" s="1"/>
  <c r="M91" i="20" s="1"/>
  <c r="EJ90" i="2"/>
  <c r="AD91" i="21" s="1"/>
  <c r="F91" i="20" s="1"/>
  <c r="D69" i="9"/>
  <c r="EK70" i="1"/>
  <c r="CK70" i="1"/>
  <c r="EJ70" i="1"/>
  <c r="AC71" i="21" s="1"/>
  <c r="CJ70" i="1"/>
  <c r="EH70" i="1"/>
  <c r="W71" i="21" s="1"/>
  <c r="CH70" i="1"/>
  <c r="EG70" i="1"/>
  <c r="T71" i="21" s="1"/>
  <c r="CG70" i="1"/>
  <c r="ER70" i="1"/>
  <c r="E71" i="22" s="1"/>
  <c r="EQ70" i="1"/>
  <c r="EO70" i="1"/>
  <c r="EM70" i="1"/>
  <c r="AL71" i="21" s="1"/>
  <c r="EN70" i="1"/>
  <c r="AO71" i="21" s="1"/>
  <c r="EL70" i="1"/>
  <c r="AI71" i="21" s="1"/>
  <c r="CI70" i="1"/>
  <c r="EI70" i="1"/>
  <c r="Z71" i="21" s="1"/>
  <c r="DX129" i="1"/>
  <c r="DO62" i="1"/>
  <c r="DN62" i="1"/>
  <c r="CD186" i="1"/>
  <c r="CD123" i="1"/>
  <c r="L161" i="22"/>
  <c r="D53" i="9"/>
  <c r="EN54" i="1"/>
  <c r="AO55" i="21" s="1"/>
  <c r="EB54" i="1"/>
  <c r="E55" i="21" s="1"/>
  <c r="EK54" i="1"/>
  <c r="CK54" i="1"/>
  <c r="EJ54" i="1"/>
  <c r="AC55" i="21" s="1"/>
  <c r="CJ54" i="1"/>
  <c r="EI54" i="1"/>
  <c r="Z55" i="21" s="1"/>
  <c r="CI54" i="1"/>
  <c r="ED54" i="1"/>
  <c r="K55" i="21" s="1"/>
  <c r="EC54" i="1"/>
  <c r="H55" i="21" s="1"/>
  <c r="ER54" i="1"/>
  <c r="E55" i="22" s="1"/>
  <c r="CQ54" i="1"/>
  <c r="EQ54" i="1"/>
  <c r="CG54" i="1"/>
  <c r="EO54" i="1"/>
  <c r="CH54" i="1"/>
  <c r="EM54" i="1"/>
  <c r="AL55" i="21" s="1"/>
  <c r="EE54" i="1"/>
  <c r="N55" i="21" s="1"/>
  <c r="EP54" i="1"/>
  <c r="EL54" i="1"/>
  <c r="AI55" i="21" s="1"/>
  <c r="EH54" i="1"/>
  <c r="W55" i="21" s="1"/>
  <c r="EF54" i="1"/>
  <c r="Q55" i="21" s="1"/>
  <c r="EG54" i="1"/>
  <c r="T55" i="21" s="1"/>
  <c r="ER52" i="1"/>
  <c r="CD16" i="1"/>
  <c r="DX107" i="2"/>
  <c r="DY107" i="2" s="1"/>
  <c r="E18" i="9"/>
  <c r="EN19" i="2"/>
  <c r="AP20" i="21" s="1"/>
  <c r="G20" i="20" s="1"/>
  <c r="EH19" i="2"/>
  <c r="X20" i="21" s="1"/>
  <c r="E20" i="20" s="1"/>
  <c r="CH19" i="2"/>
  <c r="CG19" i="2"/>
  <c r="EJ19" i="2"/>
  <c r="AD20" i="21" s="1"/>
  <c r="F20" i="20" s="1"/>
  <c r="EI19" i="2"/>
  <c r="AA20" i="21" s="1"/>
  <c r="M20" i="20" s="1"/>
  <c r="EG19" i="2"/>
  <c r="U20" i="21" s="1"/>
  <c r="CI19" i="2"/>
  <c r="EQ19" i="2"/>
  <c r="EK19" i="2" s="1"/>
  <c r="EO19" i="2"/>
  <c r="CK19" i="2"/>
  <c r="CJ19" i="2"/>
  <c r="D190" i="9"/>
  <c r="EI190" i="1"/>
  <c r="Z192" i="21" s="1"/>
  <c r="CI190" i="1"/>
  <c r="EH190" i="1"/>
  <c r="W192" i="21" s="1"/>
  <c r="CH190" i="1"/>
  <c r="EG190" i="1"/>
  <c r="T192" i="21" s="1"/>
  <c r="CG190" i="1"/>
  <c r="ER190" i="1"/>
  <c r="E192" i="22" s="1"/>
  <c r="EF190" i="1"/>
  <c r="Q192" i="21" s="1"/>
  <c r="EQ190" i="1"/>
  <c r="EE190" i="1"/>
  <c r="N192" i="21" s="1"/>
  <c r="CQ190" i="1"/>
  <c r="EP190" i="1"/>
  <c r="ED190" i="1"/>
  <c r="K192" i="21" s="1"/>
  <c r="EO190" i="1"/>
  <c r="EC190" i="1"/>
  <c r="H192" i="21" s="1"/>
  <c r="EN190" i="1"/>
  <c r="AO192" i="21" s="1"/>
  <c r="EB190" i="1"/>
  <c r="E192" i="21" s="1"/>
  <c r="EJ190" i="1"/>
  <c r="AC192" i="21" s="1"/>
  <c r="CJ190" i="1"/>
  <c r="CK190" i="1"/>
  <c r="EM190" i="1"/>
  <c r="AL192" i="21" s="1"/>
  <c r="EL190" i="1"/>
  <c r="AI192" i="21" s="1"/>
  <c r="EK190" i="1"/>
  <c r="DX52" i="2"/>
  <c r="CD141" i="1"/>
  <c r="DX30" i="2"/>
  <c r="DX75" i="1"/>
  <c r="D80" i="9"/>
  <c r="EK81" i="1"/>
  <c r="CK81" i="1"/>
  <c r="EI81" i="1"/>
  <c r="Z82" i="21" s="1"/>
  <c r="CI81" i="1"/>
  <c r="EH81" i="1"/>
  <c r="W82" i="21" s="1"/>
  <c r="CH81" i="1"/>
  <c r="EG81" i="1"/>
  <c r="T82" i="21" s="1"/>
  <c r="CG81" i="1"/>
  <c r="ER81" i="1"/>
  <c r="E82" i="22" s="1"/>
  <c r="EP81" i="1"/>
  <c r="EO81" i="1"/>
  <c r="EQ81" i="1"/>
  <c r="EN81" i="1"/>
  <c r="AO82" i="21" s="1"/>
  <c r="EJ81" i="1"/>
  <c r="AC82" i="21" s="1"/>
  <c r="CJ81" i="1"/>
  <c r="D198" i="9"/>
  <c r="EM198" i="1"/>
  <c r="AL200" i="21" s="1"/>
  <c r="EL198" i="1"/>
  <c r="AI200" i="21" s="1"/>
  <c r="EK198" i="1"/>
  <c r="CK198" i="1"/>
  <c r="EJ198" i="1"/>
  <c r="AC200" i="21" s="1"/>
  <c r="CJ198" i="1"/>
  <c r="EI198" i="1"/>
  <c r="Z200" i="21" s="1"/>
  <c r="CI198" i="1"/>
  <c r="EH198" i="1"/>
  <c r="W200" i="21" s="1"/>
  <c r="CH198" i="1"/>
  <c r="EG198" i="1"/>
  <c r="T200" i="21" s="1"/>
  <c r="CG198" i="1"/>
  <c r="ER198" i="1"/>
  <c r="E200" i="22" s="1"/>
  <c r="EF198" i="1"/>
  <c r="Q200" i="21" s="1"/>
  <c r="EN198" i="1"/>
  <c r="AO200" i="21" s="1"/>
  <c r="EB198" i="1"/>
  <c r="E200" i="21" s="1"/>
  <c r="ED198" i="1"/>
  <c r="K200" i="21" s="1"/>
  <c r="EC198" i="1"/>
  <c r="H200" i="21" s="1"/>
  <c r="CQ198" i="1"/>
  <c r="EQ198" i="1"/>
  <c r="EO198" i="1"/>
  <c r="EE198" i="1"/>
  <c r="N200" i="21" s="1"/>
  <c r="EP198" i="1"/>
  <c r="D61" i="9"/>
  <c r="EG62" i="1"/>
  <c r="T63" i="21" s="1"/>
  <c r="CG62" i="1"/>
  <c r="ER62" i="1"/>
  <c r="E63" i="22" s="1"/>
  <c r="EF62" i="1"/>
  <c r="Q63" i="21" s="1"/>
  <c r="EP62" i="1"/>
  <c r="ED62" i="1"/>
  <c r="K63" i="21" s="1"/>
  <c r="EO62" i="1"/>
  <c r="EC62" i="1"/>
  <c r="H63" i="21" s="1"/>
  <c r="EN62" i="1"/>
  <c r="AO63" i="21" s="1"/>
  <c r="EB62" i="1"/>
  <c r="E63" i="21" s="1"/>
  <c r="EL62" i="1"/>
  <c r="AI63" i="21" s="1"/>
  <c r="CI62" i="1"/>
  <c r="EK62" i="1"/>
  <c r="EJ62" i="1"/>
  <c r="AC63" i="21" s="1"/>
  <c r="EH62" i="1"/>
  <c r="W63" i="21" s="1"/>
  <c r="CJ62" i="1"/>
  <c r="EI62" i="1"/>
  <c r="Z63" i="21" s="1"/>
  <c r="CQ62" i="1"/>
  <c r="EE62" i="1"/>
  <c r="N63" i="21" s="1"/>
  <c r="CK62" i="1"/>
  <c r="EM62" i="1"/>
  <c r="AL63" i="21" s="1"/>
  <c r="CH62" i="1"/>
  <c r="EQ62" i="1"/>
  <c r="DO126" i="1"/>
  <c r="DN126" i="1"/>
  <c r="E12" i="9"/>
  <c r="EJ13" i="2"/>
  <c r="AD14" i="21" s="1"/>
  <c r="F14" i="20" s="1"/>
  <c r="CJ13" i="2"/>
  <c r="EN13" i="2"/>
  <c r="AP14" i="21" s="1"/>
  <c r="G14" i="20" s="1"/>
  <c r="EG13" i="2"/>
  <c r="U14" i="21" s="1"/>
  <c r="EQ13" i="2"/>
  <c r="EK13" i="2" s="1"/>
  <c r="CK13" i="2"/>
  <c r="CI13" i="2"/>
  <c r="EO13" i="2"/>
  <c r="CH13" i="2"/>
  <c r="CG13" i="2"/>
  <c r="EH13" i="2"/>
  <c r="X14" i="21" s="1"/>
  <c r="E14" i="20" s="1"/>
  <c r="EI13" i="2"/>
  <c r="AA14" i="21" s="1"/>
  <c r="M14" i="20" s="1"/>
  <c r="D107" i="9"/>
  <c r="EM108" i="1"/>
  <c r="AL109" i="21" s="1"/>
  <c r="EL108" i="1"/>
  <c r="AI109" i="21" s="1"/>
  <c r="EK108" i="1"/>
  <c r="CK108" i="1"/>
  <c r="EJ108" i="1"/>
  <c r="AC109" i="21" s="1"/>
  <c r="CJ108" i="1"/>
  <c r="EI108" i="1"/>
  <c r="Z109" i="21" s="1"/>
  <c r="CI108" i="1"/>
  <c r="EH108" i="1"/>
  <c r="W109" i="21" s="1"/>
  <c r="CH108" i="1"/>
  <c r="EG108" i="1"/>
  <c r="T109" i="21" s="1"/>
  <c r="CG108" i="1"/>
  <c r="EQ108" i="1"/>
  <c r="EE108" i="1"/>
  <c r="N109" i="21" s="1"/>
  <c r="CQ108" i="1"/>
  <c r="EN108" i="1"/>
  <c r="AO109" i="21" s="1"/>
  <c r="EB108" i="1"/>
  <c r="E109" i="21" s="1"/>
  <c r="EF108" i="1"/>
  <c r="Q109" i="21" s="1"/>
  <c r="ED108" i="1"/>
  <c r="K109" i="21" s="1"/>
  <c r="EC108" i="1"/>
  <c r="H109" i="21" s="1"/>
  <c r="EO108" i="1"/>
  <c r="ER108" i="1"/>
  <c r="E109" i="22" s="1"/>
  <c r="EP108" i="1"/>
  <c r="D37" i="9"/>
  <c r="EO38" i="1"/>
  <c r="EN38" i="1"/>
  <c r="AO39" i="21" s="1"/>
  <c r="CH38" i="1"/>
  <c r="EQ38" i="1"/>
  <c r="EK38" i="1" s="1"/>
  <c r="CG38" i="1"/>
  <c r="EI38" i="1"/>
  <c r="Z39" i="21" s="1"/>
  <c r="EJ38" i="1"/>
  <c r="AC39" i="21" s="1"/>
  <c r="CI38" i="1"/>
  <c r="EH38" i="1"/>
  <c r="W39" i="21" s="1"/>
  <c r="EG38" i="1"/>
  <c r="T39" i="21" s="1"/>
  <c r="CK38" i="1"/>
  <c r="CJ38" i="1"/>
  <c r="D196" i="9"/>
  <c r="EO196" i="1"/>
  <c r="EC196" i="1"/>
  <c r="H198" i="21" s="1"/>
  <c r="EN196" i="1"/>
  <c r="AO198" i="21" s="1"/>
  <c r="EB196" i="1"/>
  <c r="E198" i="21" s="1"/>
  <c r="EM196" i="1"/>
  <c r="AL198" i="21" s="1"/>
  <c r="EL196" i="1"/>
  <c r="AI198" i="21" s="1"/>
  <c r="EK196" i="1"/>
  <c r="CK196" i="1"/>
  <c r="EJ196" i="1"/>
  <c r="AC198" i="21" s="1"/>
  <c r="CJ196" i="1"/>
  <c r="EI196" i="1"/>
  <c r="Z198" i="21" s="1"/>
  <c r="CI196" i="1"/>
  <c r="EH196" i="1"/>
  <c r="W198" i="21" s="1"/>
  <c r="CH196" i="1"/>
  <c r="EP196" i="1"/>
  <c r="ED196" i="1"/>
  <c r="K198" i="21" s="1"/>
  <c r="CG196" i="1"/>
  <c r="ER196" i="1"/>
  <c r="E198" i="22" s="1"/>
  <c r="EQ196" i="1"/>
  <c r="EG196" i="1"/>
  <c r="T198" i="21" s="1"/>
  <c r="EF196" i="1"/>
  <c r="Q198" i="21" s="1"/>
  <c r="EE196" i="1"/>
  <c r="N198" i="21" s="1"/>
  <c r="CQ196" i="1"/>
  <c r="DN3" i="1"/>
  <c r="DO3" i="1"/>
  <c r="H119" i="22"/>
  <c r="L119" i="22" s="1"/>
  <c r="D43" i="9"/>
  <c r="EI44" i="1"/>
  <c r="Z45" i="21" s="1"/>
  <c r="CI44" i="1"/>
  <c r="EH44" i="1"/>
  <c r="W45" i="21" s="1"/>
  <c r="CH44" i="1"/>
  <c r="EG44" i="1"/>
  <c r="T45" i="21" s="1"/>
  <c r="EE44" i="1"/>
  <c r="N45" i="21" s="1"/>
  <c r="EM44" i="1"/>
  <c r="AL45" i="21" s="1"/>
  <c r="CQ44" i="1"/>
  <c r="ED44" i="1"/>
  <c r="K45" i="21" s="1"/>
  <c r="CK44" i="1"/>
  <c r="ER44" i="1"/>
  <c r="E45" i="22" s="1"/>
  <c r="EC44" i="1"/>
  <c r="H45" i="21" s="1"/>
  <c r="CJ44" i="1"/>
  <c r="EQ44" i="1"/>
  <c r="EB44" i="1"/>
  <c r="E45" i="21" s="1"/>
  <c r="CG44" i="1"/>
  <c r="EP44" i="1"/>
  <c r="EO44" i="1"/>
  <c r="EN44" i="1"/>
  <c r="AO45" i="21" s="1"/>
  <c r="EF44" i="1"/>
  <c r="Q45" i="21" s="1"/>
  <c r="EL44" i="1"/>
  <c r="AI45" i="21" s="1"/>
  <c r="EK44" i="1"/>
  <c r="EJ44" i="1"/>
  <c r="AC45" i="21" s="1"/>
  <c r="M110" i="22"/>
  <c r="M149" i="22"/>
  <c r="D210" i="9"/>
  <c r="EN210" i="1"/>
  <c r="AO212" i="21" s="1"/>
  <c r="EB210" i="1"/>
  <c r="E212" i="21" s="1"/>
  <c r="EM210" i="1"/>
  <c r="AL212" i="21" s="1"/>
  <c r="EL210" i="1"/>
  <c r="AI212" i="21" s="1"/>
  <c r="EK210" i="1"/>
  <c r="CK210" i="1"/>
  <c r="EJ210" i="1"/>
  <c r="AC212" i="21" s="1"/>
  <c r="CJ210" i="1"/>
  <c r="EI210" i="1"/>
  <c r="Z212" i="21" s="1"/>
  <c r="CI210" i="1"/>
  <c r="EH210" i="1"/>
  <c r="W212" i="21" s="1"/>
  <c r="CH210" i="1"/>
  <c r="EG210" i="1"/>
  <c r="T212" i="21" s="1"/>
  <c r="CG210" i="1"/>
  <c r="EO210" i="1"/>
  <c r="EC210" i="1"/>
  <c r="H212" i="21" s="1"/>
  <c r="CQ210" i="1"/>
  <c r="ER210" i="1"/>
  <c r="E212" i="22" s="1"/>
  <c r="EP210" i="1"/>
  <c r="EQ210" i="1"/>
  <c r="EF210" i="1"/>
  <c r="Q212" i="21" s="1"/>
  <c r="EE210" i="1"/>
  <c r="N212" i="21" s="1"/>
  <c r="ED210" i="1"/>
  <c r="K212" i="21" s="1"/>
  <c r="DO184" i="1"/>
  <c r="DN184" i="1"/>
  <c r="D174" i="9"/>
  <c r="EL175" i="1"/>
  <c r="AI176" i="21" s="1"/>
  <c r="EK175" i="1"/>
  <c r="CK175" i="1"/>
  <c r="EJ175" i="1"/>
  <c r="AC176" i="21" s="1"/>
  <c r="CJ175" i="1"/>
  <c r="EI175" i="1"/>
  <c r="Z176" i="21" s="1"/>
  <c r="CI175" i="1"/>
  <c r="EH175" i="1"/>
  <c r="W176" i="21" s="1"/>
  <c r="CH175" i="1"/>
  <c r="EG175" i="1"/>
  <c r="T176" i="21" s="1"/>
  <c r="CG175" i="1"/>
  <c r="ER175" i="1"/>
  <c r="E176" i="22" s="1"/>
  <c r="EF175" i="1"/>
  <c r="Q176" i="21" s="1"/>
  <c r="EQ175" i="1"/>
  <c r="EE175" i="1"/>
  <c r="N176" i="21" s="1"/>
  <c r="CQ175" i="1"/>
  <c r="EM175" i="1"/>
  <c r="AL176" i="21" s="1"/>
  <c r="EB175" i="1"/>
  <c r="E176" i="21" s="1"/>
  <c r="EO175" i="1"/>
  <c r="EP175" i="1"/>
  <c r="EN175" i="1"/>
  <c r="AO176" i="21" s="1"/>
  <c r="ED175" i="1"/>
  <c r="K176" i="21" s="1"/>
  <c r="EC175" i="1"/>
  <c r="H176" i="21" s="1"/>
  <c r="E125" i="9"/>
  <c r="EJ126" i="2"/>
  <c r="AD127" i="21" s="1"/>
  <c r="CJ126" i="2"/>
  <c r="EI126" i="2"/>
  <c r="AA127" i="21" s="1"/>
  <c r="CI126" i="2"/>
  <c r="EH126" i="2"/>
  <c r="X127" i="21" s="1"/>
  <c r="CH126" i="2"/>
  <c r="EG126" i="2"/>
  <c r="U127" i="21" s="1"/>
  <c r="CG126" i="2"/>
  <c r="ER126" i="2"/>
  <c r="F127" i="22" s="1"/>
  <c r="EF126" i="2"/>
  <c r="R127" i="21" s="1"/>
  <c r="EQ126" i="2"/>
  <c r="EE126" i="2"/>
  <c r="O127" i="21" s="1"/>
  <c r="CQ126" i="2"/>
  <c r="EP126" i="2"/>
  <c r="ED126" i="2"/>
  <c r="L127" i="21" s="1"/>
  <c r="EO126" i="2"/>
  <c r="EC126" i="2"/>
  <c r="I127" i="21" s="1"/>
  <c r="EN126" i="2"/>
  <c r="AP127" i="21" s="1"/>
  <c r="EB126" i="2"/>
  <c r="F127" i="21" s="1"/>
  <c r="EK126" i="2"/>
  <c r="CK126" i="2"/>
  <c r="EL126" i="2"/>
  <c r="AJ127" i="21" s="1"/>
  <c r="EM126" i="2"/>
  <c r="AM127" i="21" s="1"/>
  <c r="DO79" i="2"/>
  <c r="DN79" i="2"/>
  <c r="EL133" i="2"/>
  <c r="AJ134" i="21" s="1"/>
  <c r="DX3" i="2"/>
  <c r="DY3" i="2" s="1"/>
  <c r="D157" i="9"/>
  <c r="EQ158" i="1"/>
  <c r="EE158" i="1"/>
  <c r="N159" i="21" s="1"/>
  <c r="CQ158" i="1"/>
  <c r="EP158" i="1"/>
  <c r="ED158" i="1"/>
  <c r="K159" i="21" s="1"/>
  <c r="EO158" i="1"/>
  <c r="EC158" i="1"/>
  <c r="H159" i="21" s="1"/>
  <c r="EN158" i="1"/>
  <c r="AO159" i="21" s="1"/>
  <c r="EB158" i="1"/>
  <c r="E159" i="21" s="1"/>
  <c r="EM158" i="1"/>
  <c r="AL159" i="21" s="1"/>
  <c r="EL158" i="1"/>
  <c r="AI159" i="21" s="1"/>
  <c r="EK158" i="1"/>
  <c r="CK158" i="1"/>
  <c r="EJ158" i="1"/>
  <c r="AC159" i="21" s="1"/>
  <c r="CJ158" i="1"/>
  <c r="ER158" i="1"/>
  <c r="E159" i="22" s="1"/>
  <c r="EF158" i="1"/>
  <c r="Q159" i="21" s="1"/>
  <c r="EI158" i="1"/>
  <c r="Z159" i="21" s="1"/>
  <c r="EH158" i="1"/>
  <c r="W159" i="21" s="1"/>
  <c r="EG158" i="1"/>
  <c r="T159" i="21" s="1"/>
  <c r="CH158" i="1"/>
  <c r="CG158" i="1"/>
  <c r="CI158" i="1"/>
  <c r="ER135" i="1"/>
  <c r="DX109" i="1"/>
  <c r="DY109" i="1" s="1"/>
  <c r="DX63" i="1"/>
  <c r="CD197" i="1"/>
  <c r="DF178" i="1"/>
  <c r="DX23" i="1"/>
  <c r="CD33" i="1"/>
  <c r="DX57" i="1"/>
  <c r="CD113" i="1"/>
  <c r="D21" i="9"/>
  <c r="EO22" i="1"/>
  <c r="EN22" i="1"/>
  <c r="AO23" i="21" s="1"/>
  <c r="EM22" i="1"/>
  <c r="AL23" i="21" s="1"/>
  <c r="EI22" i="1"/>
  <c r="Z23" i="21" s="1"/>
  <c r="CI22" i="1"/>
  <c r="CK22" i="1"/>
  <c r="EJ22" i="1"/>
  <c r="AC23" i="21" s="1"/>
  <c r="CJ22" i="1"/>
  <c r="EQ22" i="1"/>
  <c r="EK22" i="1" s="1"/>
  <c r="CH22" i="1"/>
  <c r="CG22" i="1"/>
  <c r="EH22" i="1"/>
  <c r="W23" i="21" s="1"/>
  <c r="EG22" i="1"/>
  <c r="T23" i="21" s="1"/>
  <c r="DX62" i="1"/>
  <c r="DY62" i="1" s="1"/>
  <c r="M207" i="22"/>
  <c r="M134" i="22"/>
  <c r="DX55" i="2"/>
  <c r="DX116" i="2"/>
  <c r="DO3" i="2"/>
  <c r="DN3" i="2"/>
  <c r="DF154" i="1"/>
  <c r="DX207" i="1"/>
  <c r="D213" i="9"/>
  <c r="CK212" i="1"/>
  <c r="EJ212" i="1"/>
  <c r="AC215" i="21" s="1"/>
  <c r="CJ212" i="1"/>
  <c r="EI212" i="1"/>
  <c r="Z215" i="21" s="1"/>
  <c r="CI212" i="1"/>
  <c r="EH212" i="1"/>
  <c r="W215" i="21" s="1"/>
  <c r="CH212" i="1"/>
  <c r="EG212" i="1"/>
  <c r="T215" i="21" s="1"/>
  <c r="CG212" i="1"/>
  <c r="ER212" i="1"/>
  <c r="E215" i="22" s="1"/>
  <c r="EQ212" i="1"/>
  <c r="EK212" i="1" s="1"/>
  <c r="EM212" i="1"/>
  <c r="AL215" i="21" s="1"/>
  <c r="EN212" i="1"/>
  <c r="AO215" i="21" s="1"/>
  <c r="EO212" i="1"/>
  <c r="DF202" i="1"/>
  <c r="DX40" i="2"/>
  <c r="DY40" i="2" s="1"/>
  <c r="DX158" i="1"/>
  <c r="DY158" i="1" s="1"/>
  <c r="D126" i="9"/>
  <c r="EQ127" i="1"/>
  <c r="EO127" i="1"/>
  <c r="EN127" i="1"/>
  <c r="AO128" i="21" s="1"/>
  <c r="EJ127" i="1"/>
  <c r="AC128" i="21" s="1"/>
  <c r="CJ127" i="1"/>
  <c r="EK127" i="1"/>
  <c r="EI127" i="1"/>
  <c r="Z128" i="21" s="1"/>
  <c r="EH127" i="1"/>
  <c r="W128" i="21" s="1"/>
  <c r="CK127" i="1"/>
  <c r="EG127" i="1"/>
  <c r="T128" i="21" s="1"/>
  <c r="CG127" i="1"/>
  <c r="CI127" i="1"/>
  <c r="CH127" i="1"/>
  <c r="DN145" i="1"/>
  <c r="DO145" i="1"/>
  <c r="D87" i="9"/>
  <c r="EQ88" i="1"/>
  <c r="EK88" i="1" s="1"/>
  <c r="EO88" i="1"/>
  <c r="EN88" i="1"/>
  <c r="AO89" i="21" s="1"/>
  <c r="EM88" i="1"/>
  <c r="AL89" i="21" s="1"/>
  <c r="CK88" i="1"/>
  <c r="EI88" i="1"/>
  <c r="Z89" i="21" s="1"/>
  <c r="CI88" i="1"/>
  <c r="CJ88" i="1"/>
  <c r="EG88" i="1"/>
  <c r="T89" i="21" s="1"/>
  <c r="EJ88" i="1"/>
  <c r="AC89" i="21" s="1"/>
  <c r="EH88" i="1"/>
  <c r="W89" i="21" s="1"/>
  <c r="CH88" i="1"/>
  <c r="CG88" i="1"/>
  <c r="DO208" i="1"/>
  <c r="DN208" i="1"/>
  <c r="EL77" i="1"/>
  <c r="AI78" i="21" s="1"/>
  <c r="D13" i="9"/>
  <c r="EK14" i="1"/>
  <c r="CK14" i="1"/>
  <c r="EJ14" i="1"/>
  <c r="AC15" i="21" s="1"/>
  <c r="CJ14" i="1"/>
  <c r="EI14" i="1"/>
  <c r="Z15" i="21" s="1"/>
  <c r="CI14" i="1"/>
  <c r="CH14" i="1"/>
  <c r="EH14" i="1"/>
  <c r="W15" i="21" s="1"/>
  <c r="EQ14" i="1"/>
  <c r="EG14" i="1"/>
  <c r="T15" i="21" s="1"/>
  <c r="CG14" i="1"/>
  <c r="ER14" i="1"/>
  <c r="E15" i="22" s="1"/>
  <c r="EP14" i="1"/>
  <c r="EN14" i="1"/>
  <c r="AO15" i="21" s="1"/>
  <c r="EO14" i="1"/>
  <c r="DX21" i="1"/>
  <c r="DO79" i="1"/>
  <c r="DN79" i="1"/>
  <c r="E21" i="9"/>
  <c r="EM22" i="2"/>
  <c r="AM23" i="21" s="1"/>
  <c r="EK22" i="2"/>
  <c r="CK22" i="2"/>
  <c r="EI22" i="2"/>
  <c r="AA23" i="21" s="1"/>
  <c r="M23" i="20" s="1"/>
  <c r="CI22" i="2"/>
  <c r="EQ22" i="2"/>
  <c r="ER22" i="2"/>
  <c r="F23" i="22" s="1"/>
  <c r="EO22" i="2"/>
  <c r="EN22" i="2"/>
  <c r="AP23" i="21" s="1"/>
  <c r="G23" i="20" s="1"/>
  <c r="EL22" i="2"/>
  <c r="AJ23" i="21" s="1"/>
  <c r="N23" i="20" s="1"/>
  <c r="EJ22" i="2"/>
  <c r="AD23" i="21" s="1"/>
  <c r="F23" i="20" s="1"/>
  <c r="EH22" i="2"/>
  <c r="X23" i="21" s="1"/>
  <c r="E23" i="20" s="1"/>
  <c r="CJ22" i="2"/>
  <c r="CH22" i="2"/>
  <c r="CG22" i="2"/>
  <c r="EG22" i="2"/>
  <c r="U23" i="21" s="1"/>
  <c r="DX199" i="1"/>
  <c r="DY199" i="1" s="1"/>
  <c r="D173" i="9"/>
  <c r="EM174" i="1"/>
  <c r="AL175" i="21" s="1"/>
  <c r="EL174" i="1"/>
  <c r="AI175" i="21" s="1"/>
  <c r="EK174" i="1"/>
  <c r="CK174" i="1"/>
  <c r="EJ174" i="1"/>
  <c r="AC175" i="21" s="1"/>
  <c r="CJ174" i="1"/>
  <c r="EI174" i="1"/>
  <c r="Z175" i="21" s="1"/>
  <c r="CI174" i="1"/>
  <c r="EH174" i="1"/>
  <c r="W175" i="21" s="1"/>
  <c r="CH174" i="1"/>
  <c r="EG174" i="1"/>
  <c r="T175" i="21" s="1"/>
  <c r="CG174" i="1"/>
  <c r="ER174" i="1"/>
  <c r="E175" i="22" s="1"/>
  <c r="EF174" i="1"/>
  <c r="Q175" i="21" s="1"/>
  <c r="EN174" i="1"/>
  <c r="AO175" i="21" s="1"/>
  <c r="EB174" i="1"/>
  <c r="E175" i="21" s="1"/>
  <c r="EQ174" i="1"/>
  <c r="EP174" i="1"/>
  <c r="EO174" i="1"/>
  <c r="ED174" i="1"/>
  <c r="K175" i="21" s="1"/>
  <c r="EC174" i="1"/>
  <c r="H175" i="21" s="1"/>
  <c r="CQ174" i="1"/>
  <c r="EE174" i="1"/>
  <c r="N175" i="21" s="1"/>
  <c r="E44" i="9"/>
  <c r="EN45" i="2"/>
  <c r="AP46" i="21" s="1"/>
  <c r="EB45" i="2"/>
  <c r="F46" i="21" s="1"/>
  <c r="EM45" i="2"/>
  <c r="AM46" i="21" s="1"/>
  <c r="EL45" i="2"/>
  <c r="AJ46" i="21" s="1"/>
  <c r="EJ45" i="2"/>
  <c r="AD46" i="21" s="1"/>
  <c r="CJ45" i="2"/>
  <c r="ER45" i="2"/>
  <c r="F46" i="22" s="1"/>
  <c r="EF45" i="2"/>
  <c r="R46" i="21" s="1"/>
  <c r="EH45" i="2"/>
  <c r="X46" i="21" s="1"/>
  <c r="CQ45" i="2"/>
  <c r="EG45" i="2"/>
  <c r="U46" i="21" s="1"/>
  <c r="EE45" i="2"/>
  <c r="O46" i="21" s="1"/>
  <c r="ED45" i="2"/>
  <c r="L46" i="21" s="1"/>
  <c r="CK45" i="2"/>
  <c r="EC45" i="2"/>
  <c r="I46" i="21" s="1"/>
  <c r="CI45" i="2"/>
  <c r="CH45" i="2"/>
  <c r="CG45" i="2"/>
  <c r="EQ45" i="2"/>
  <c r="EI45" i="2"/>
  <c r="AA46" i="21" s="1"/>
  <c r="EP45" i="2"/>
  <c r="EO45" i="2"/>
  <c r="EK45" i="2"/>
  <c r="D115" i="9"/>
  <c r="EQ116" i="1"/>
  <c r="EO116" i="1"/>
  <c r="EN116" i="1"/>
  <c r="AO117" i="21" s="1"/>
  <c r="EK116" i="1"/>
  <c r="CK116" i="1"/>
  <c r="EI116" i="1"/>
  <c r="Z117" i="21" s="1"/>
  <c r="CI116" i="1"/>
  <c r="ER116" i="1"/>
  <c r="E117" i="22" s="1"/>
  <c r="CJ116" i="1"/>
  <c r="EJ116" i="1"/>
  <c r="AC117" i="21" s="1"/>
  <c r="CH116" i="1"/>
  <c r="EH116" i="1"/>
  <c r="W117" i="21" s="1"/>
  <c r="CG116" i="1"/>
  <c r="EG116" i="1"/>
  <c r="T117" i="21" s="1"/>
  <c r="DX210" i="1"/>
  <c r="DY210" i="1" s="1"/>
  <c r="D119" i="9"/>
  <c r="EM120" i="1"/>
  <c r="AL121" i="21" s="1"/>
  <c r="EL120" i="1"/>
  <c r="AI121" i="21" s="1"/>
  <c r="EK120" i="1"/>
  <c r="CK120" i="1"/>
  <c r="EJ120" i="1"/>
  <c r="AC121" i="21" s="1"/>
  <c r="CJ120" i="1"/>
  <c r="EI120" i="1"/>
  <c r="Z121" i="21" s="1"/>
  <c r="CI120" i="1"/>
  <c r="EH120" i="1"/>
  <c r="W121" i="21" s="1"/>
  <c r="CH120" i="1"/>
  <c r="EG120" i="1"/>
  <c r="T121" i="21" s="1"/>
  <c r="CG120" i="1"/>
  <c r="EQ120" i="1"/>
  <c r="EE120" i="1"/>
  <c r="N121" i="21" s="1"/>
  <c r="CQ120" i="1"/>
  <c r="ER120" i="1"/>
  <c r="E121" i="22" s="1"/>
  <c r="EP120" i="1"/>
  <c r="EN120" i="1"/>
  <c r="AO121" i="21" s="1"/>
  <c r="EC120" i="1"/>
  <c r="H121" i="21" s="1"/>
  <c r="EB120" i="1"/>
  <c r="E121" i="21" s="1"/>
  <c r="EO120" i="1"/>
  <c r="EF120" i="1"/>
  <c r="Q121" i="21" s="1"/>
  <c r="ED120" i="1"/>
  <c r="K121" i="21" s="1"/>
  <c r="CD180" i="1"/>
  <c r="DX19" i="1"/>
  <c r="DF6" i="1"/>
  <c r="EL52" i="1"/>
  <c r="AI53" i="21" s="1"/>
  <c r="EL89" i="1"/>
  <c r="AI90" i="21" s="1"/>
  <c r="EM12" i="1"/>
  <c r="AL13" i="21" s="1"/>
  <c r="M109" i="22"/>
  <c r="DX104" i="2"/>
  <c r="DX103" i="2"/>
  <c r="CZ69" i="2"/>
  <c r="CX69" i="2"/>
  <c r="EL33" i="2"/>
  <c r="AJ34" i="21" s="1"/>
  <c r="N34" i="20" s="1"/>
  <c r="DX205" i="1"/>
  <c r="DX167" i="1"/>
  <c r="DY167" i="1" s="1"/>
  <c r="D150" i="9"/>
  <c r="EK151" i="1"/>
  <c r="CK151" i="1"/>
  <c r="EJ151" i="1"/>
  <c r="AC152" i="21" s="1"/>
  <c r="CJ151" i="1"/>
  <c r="EH151" i="1"/>
  <c r="W152" i="21" s="1"/>
  <c r="CH151" i="1"/>
  <c r="EG151" i="1"/>
  <c r="T152" i="21" s="1"/>
  <c r="CG151" i="1"/>
  <c r="ER151" i="1"/>
  <c r="E152" i="22" s="1"/>
  <c r="EQ151" i="1"/>
  <c r="EM151" i="1"/>
  <c r="AL152" i="21" s="1"/>
  <c r="CI151" i="1"/>
  <c r="EO151" i="1"/>
  <c r="EI151" i="1"/>
  <c r="Z152" i="21" s="1"/>
  <c r="EN151" i="1"/>
  <c r="AO152" i="21" s="1"/>
  <c r="DX168" i="1"/>
  <c r="DY168" i="1" s="1"/>
  <c r="DX192" i="1"/>
  <c r="CD124" i="1"/>
  <c r="D211" i="9"/>
  <c r="EM211" i="1"/>
  <c r="AL213" i="21" s="1"/>
  <c r="EL211" i="1"/>
  <c r="AI213" i="21" s="1"/>
  <c r="EK211" i="1"/>
  <c r="CK211" i="1"/>
  <c r="EJ211" i="1"/>
  <c r="AC213" i="21" s="1"/>
  <c r="CJ211" i="1"/>
  <c r="EI211" i="1"/>
  <c r="Z213" i="21" s="1"/>
  <c r="CI211" i="1"/>
  <c r="EH211" i="1"/>
  <c r="W213" i="21" s="1"/>
  <c r="CH211" i="1"/>
  <c r="EG211" i="1"/>
  <c r="T213" i="21" s="1"/>
  <c r="CG211" i="1"/>
  <c r="ER211" i="1"/>
  <c r="E213" i="22" s="1"/>
  <c r="EF211" i="1"/>
  <c r="Q213" i="21" s="1"/>
  <c r="EN211" i="1"/>
  <c r="AO213" i="21" s="1"/>
  <c r="EB211" i="1"/>
  <c r="E213" i="21" s="1"/>
  <c r="CQ211" i="1"/>
  <c r="EQ211" i="1"/>
  <c r="EO211" i="1"/>
  <c r="EP211" i="1"/>
  <c r="EC211" i="1"/>
  <c r="H213" i="21" s="1"/>
  <c r="EE211" i="1"/>
  <c r="N213" i="21" s="1"/>
  <c r="ED211" i="1"/>
  <c r="K213" i="21" s="1"/>
  <c r="DX102" i="1"/>
  <c r="DO46" i="1"/>
  <c r="DN46" i="1"/>
  <c r="DX26" i="1"/>
  <c r="DX11" i="1"/>
  <c r="DX45" i="1"/>
  <c r="DY45" i="1" s="1"/>
  <c r="DX146" i="1"/>
  <c r="DX20" i="2"/>
  <c r="EM52" i="1"/>
  <c r="AL53" i="21" s="1"/>
  <c r="CD215" i="1"/>
  <c r="DX117" i="2"/>
  <c r="CZ55" i="2"/>
  <c r="CX55" i="2"/>
  <c r="D206" i="9"/>
  <c r="ER206" i="1"/>
  <c r="E208" i="22" s="1"/>
  <c r="EF206" i="1"/>
  <c r="Q208" i="21" s="1"/>
  <c r="EQ206" i="1"/>
  <c r="EE206" i="1"/>
  <c r="N208" i="21" s="1"/>
  <c r="CQ206" i="1"/>
  <c r="EP206" i="1"/>
  <c r="ED206" i="1"/>
  <c r="K208" i="21" s="1"/>
  <c r="EO206" i="1"/>
  <c r="EC206" i="1"/>
  <c r="H208" i="21" s="1"/>
  <c r="EN206" i="1"/>
  <c r="AO208" i="21" s="1"/>
  <c r="EB206" i="1"/>
  <c r="E208" i="21" s="1"/>
  <c r="EM206" i="1"/>
  <c r="AL208" i="21" s="1"/>
  <c r="EL206" i="1"/>
  <c r="AI208" i="21" s="1"/>
  <c r="EK206" i="1"/>
  <c r="CK206" i="1"/>
  <c r="EG206" i="1"/>
  <c r="T208" i="21" s="1"/>
  <c r="CG206" i="1"/>
  <c r="CJ206" i="1"/>
  <c r="CI206" i="1"/>
  <c r="CH206" i="1"/>
  <c r="EJ206" i="1"/>
  <c r="AC208" i="21" s="1"/>
  <c r="EH206" i="1"/>
  <c r="W208" i="21" s="1"/>
  <c r="EI206" i="1"/>
  <c r="Z208" i="21" s="1"/>
  <c r="DX193" i="1"/>
  <c r="DY193" i="1" s="1"/>
  <c r="DX10" i="2"/>
  <c r="DX195" i="1"/>
  <c r="DY195" i="1" s="1"/>
  <c r="D95" i="9"/>
  <c r="EL96" i="1"/>
  <c r="AI97" i="21" s="1"/>
  <c r="EK96" i="1"/>
  <c r="CK96" i="1"/>
  <c r="EJ96" i="1"/>
  <c r="AC97" i="21" s="1"/>
  <c r="CJ96" i="1"/>
  <c r="EI96" i="1"/>
  <c r="Z97" i="21" s="1"/>
  <c r="CI96" i="1"/>
  <c r="EH96" i="1"/>
  <c r="W97" i="21" s="1"/>
  <c r="CH96" i="1"/>
  <c r="EG96" i="1"/>
  <c r="T97" i="21" s="1"/>
  <c r="CG96" i="1"/>
  <c r="EQ96" i="1"/>
  <c r="ER96" i="1"/>
  <c r="E97" i="22" s="1"/>
  <c r="EO96" i="1"/>
  <c r="EN96" i="1"/>
  <c r="AO97" i="21" s="1"/>
  <c r="D54" i="9"/>
  <c r="EM55" i="1"/>
  <c r="AL56" i="21" s="1"/>
  <c r="EJ55" i="1"/>
  <c r="AC56" i="21" s="1"/>
  <c r="CJ55" i="1"/>
  <c r="EI55" i="1"/>
  <c r="Z56" i="21" s="1"/>
  <c r="CI55" i="1"/>
  <c r="EH55" i="1"/>
  <c r="W56" i="21" s="1"/>
  <c r="CH55" i="1"/>
  <c r="EG55" i="1"/>
  <c r="T56" i="21" s="1"/>
  <c r="CG55" i="1"/>
  <c r="EO55" i="1"/>
  <c r="EQ55" i="1"/>
  <c r="EK55" i="1" s="1"/>
  <c r="CK55" i="1"/>
  <c r="EN55" i="1"/>
  <c r="AO56" i="21" s="1"/>
  <c r="EL55" i="1"/>
  <c r="AI56" i="21" s="1"/>
  <c r="D75" i="9"/>
  <c r="EQ76" i="1"/>
  <c r="EK76" i="1" s="1"/>
  <c r="EN76" i="1"/>
  <c r="AO77" i="21" s="1"/>
  <c r="EM76" i="1"/>
  <c r="AL77" i="21" s="1"/>
  <c r="CK76" i="1"/>
  <c r="EI76" i="1"/>
  <c r="Z77" i="21" s="1"/>
  <c r="CI76" i="1"/>
  <c r="EO76" i="1"/>
  <c r="EG76" i="1"/>
  <c r="T77" i="21" s="1"/>
  <c r="CJ76" i="1"/>
  <c r="EJ76" i="1"/>
  <c r="AC77" i="21" s="1"/>
  <c r="EH76" i="1"/>
  <c r="W77" i="21" s="1"/>
  <c r="CH76" i="1"/>
  <c r="CG76" i="1"/>
  <c r="DX95" i="2"/>
  <c r="DO170" i="1"/>
  <c r="DN170" i="1"/>
  <c r="D100" i="9"/>
  <c r="EH101" i="1"/>
  <c r="W102" i="21" s="1"/>
  <c r="CH101" i="1"/>
  <c r="EG101" i="1"/>
  <c r="T102" i="21" s="1"/>
  <c r="CG101" i="1"/>
  <c r="ER101" i="1"/>
  <c r="E102" i="22" s="1"/>
  <c r="EF101" i="1"/>
  <c r="Q102" i="21" s="1"/>
  <c r="EQ101" i="1"/>
  <c r="EE101" i="1"/>
  <c r="N102" i="21" s="1"/>
  <c r="CQ101" i="1"/>
  <c r="EP101" i="1"/>
  <c r="ED101" i="1"/>
  <c r="K102" i="21" s="1"/>
  <c r="EO101" i="1"/>
  <c r="EC101" i="1"/>
  <c r="H102" i="21" s="1"/>
  <c r="EN101" i="1"/>
  <c r="AO102" i="21" s="1"/>
  <c r="EB101" i="1"/>
  <c r="E102" i="21" s="1"/>
  <c r="EL101" i="1"/>
  <c r="AI102" i="21" s="1"/>
  <c r="EI101" i="1"/>
  <c r="Z102" i="21" s="1"/>
  <c r="CI101" i="1"/>
  <c r="CJ101" i="1"/>
  <c r="CK101" i="1"/>
  <c r="EJ101" i="1"/>
  <c r="AC102" i="21" s="1"/>
  <c r="EM101" i="1"/>
  <c r="AL102" i="21" s="1"/>
  <c r="EK101" i="1"/>
  <c r="DF64" i="2"/>
  <c r="DX26" i="2"/>
  <c r="DX145" i="1"/>
  <c r="DY145" i="1" s="1"/>
  <c r="DX71" i="1"/>
  <c r="D105" i="9"/>
  <c r="EO106" i="1"/>
  <c r="EN106" i="1"/>
  <c r="AO107" i="21" s="1"/>
  <c r="EK106" i="1"/>
  <c r="CK106" i="1"/>
  <c r="EJ106" i="1"/>
  <c r="AC107" i="21" s="1"/>
  <c r="CJ106" i="1"/>
  <c r="EI106" i="1"/>
  <c r="Z107" i="21" s="1"/>
  <c r="CI106" i="1"/>
  <c r="EG106" i="1"/>
  <c r="T107" i="21" s="1"/>
  <c r="CG106" i="1"/>
  <c r="EQ106" i="1"/>
  <c r="CH106" i="1"/>
  <c r="EH106" i="1"/>
  <c r="W107" i="21" s="1"/>
  <c r="AF39" i="21" l="1"/>
  <c r="H39" i="22"/>
  <c r="I106" i="22"/>
  <c r="AG106" i="21"/>
  <c r="H150" i="22"/>
  <c r="AF150" i="21"/>
  <c r="AH216" i="21"/>
  <c r="J216" i="22"/>
  <c r="G154" i="22"/>
  <c r="EP151" i="3"/>
  <c r="AF56" i="21"/>
  <c r="H56" i="22"/>
  <c r="H89" i="22"/>
  <c r="AF89" i="21"/>
  <c r="H215" i="22"/>
  <c r="AF215" i="21"/>
  <c r="AF40" i="21"/>
  <c r="H40" i="22"/>
  <c r="AH65" i="21"/>
  <c r="J65" i="22"/>
  <c r="AF58" i="21"/>
  <c r="H58" i="22"/>
  <c r="E24" i="22"/>
  <c r="EP23" i="1"/>
  <c r="AF219" i="21"/>
  <c r="H219" i="22"/>
  <c r="AF23" i="21"/>
  <c r="H23" i="22"/>
  <c r="P8" i="13"/>
  <c r="X8" i="13" s="1"/>
  <c r="N20" i="11"/>
  <c r="AH94" i="21"/>
  <c r="J94" i="22"/>
  <c r="H26" i="22"/>
  <c r="AF26" i="21"/>
  <c r="J14" i="22"/>
  <c r="AH14" i="21"/>
  <c r="AH53" i="21"/>
  <c r="J53" i="22"/>
  <c r="AF92" i="21"/>
  <c r="H92" i="22"/>
  <c r="H151" i="22"/>
  <c r="AF151" i="21"/>
  <c r="AG50" i="21"/>
  <c r="I50" i="22"/>
  <c r="AF57" i="21"/>
  <c r="H57" i="22"/>
  <c r="G38" i="22"/>
  <c r="EP36" i="3"/>
  <c r="H101" i="22"/>
  <c r="AF101" i="21"/>
  <c r="H37" i="22"/>
  <c r="AF37" i="21"/>
  <c r="AF115" i="21"/>
  <c r="H115" i="22"/>
  <c r="H147" i="22"/>
  <c r="AF147" i="21"/>
  <c r="AH20" i="21"/>
  <c r="J20" i="22"/>
  <c r="AG14" i="21"/>
  <c r="I14" i="22"/>
  <c r="G97" i="22"/>
  <c r="AG216" i="21"/>
  <c r="I216" i="22"/>
  <c r="H222" i="22"/>
  <c r="AF222" i="21"/>
  <c r="H77" i="22"/>
  <c r="AF77" i="21"/>
  <c r="H130" i="22"/>
  <c r="AF130" i="21"/>
  <c r="I29" i="22"/>
  <c r="AG29" i="21"/>
  <c r="E52" i="22"/>
  <c r="E207" i="22"/>
  <c r="EP205" i="1"/>
  <c r="AG64" i="21"/>
  <c r="I64" i="22"/>
  <c r="H31" i="22"/>
  <c r="AF31" i="21"/>
  <c r="J103" i="22"/>
  <c r="AH103" i="21"/>
  <c r="H54" i="22"/>
  <c r="AF54" i="21"/>
  <c r="E12" i="22"/>
  <c r="H103" i="22"/>
  <c r="AF103" i="21"/>
  <c r="AH100" i="21"/>
  <c r="J100" i="22"/>
  <c r="H185" i="22"/>
  <c r="AF185" i="21"/>
  <c r="AG219" i="21"/>
  <c r="I219" i="22"/>
  <c r="AF50" i="21"/>
  <c r="H50" i="22"/>
  <c r="AG59" i="21"/>
  <c r="I59" i="22"/>
  <c r="H20" i="22"/>
  <c r="AF20" i="21"/>
  <c r="AF21" i="21"/>
  <c r="H21" i="22"/>
  <c r="AH180" i="21"/>
  <c r="J180" i="22"/>
  <c r="H88" i="22"/>
  <c r="AF88" i="21"/>
  <c r="F138" i="22"/>
  <c r="EP136" i="2"/>
  <c r="H75" i="22"/>
  <c r="AF75" i="21"/>
  <c r="I20" i="22"/>
  <c r="AG20" i="21"/>
  <c r="H9" i="22"/>
  <c r="L9" i="22" s="1"/>
  <c r="AF9" i="21"/>
  <c r="AF87" i="21"/>
  <c r="H87" i="22"/>
  <c r="AG97" i="21"/>
  <c r="I97" i="22"/>
  <c r="AH59" i="21"/>
  <c r="J59" i="22"/>
  <c r="AF76" i="21"/>
  <c r="H76" i="22"/>
  <c r="J88" i="22"/>
  <c r="AH88" i="21"/>
  <c r="EP86" i="3"/>
  <c r="H14" i="22"/>
  <c r="AF14" i="21"/>
  <c r="H42" i="22"/>
  <c r="AF42" i="21"/>
  <c r="H22" i="22"/>
  <c r="AF22" i="21"/>
  <c r="EP21" i="1"/>
  <c r="H68" i="22"/>
  <c r="AF68" i="21"/>
  <c r="AF117" i="21"/>
  <c r="H117" i="22"/>
  <c r="EP135" i="1"/>
  <c r="E136" i="22"/>
  <c r="L136" i="22" s="1"/>
  <c r="ER219" i="1"/>
  <c r="AF83" i="21"/>
  <c r="H83" i="22"/>
  <c r="H74" i="22"/>
  <c r="AF74" i="21"/>
  <c r="ER55" i="1"/>
  <c r="AF208" i="21"/>
  <c r="H208" i="22"/>
  <c r="L208" i="22" s="1"/>
  <c r="ER76" i="1"/>
  <c r="EP96" i="1"/>
  <c r="EP151" i="1"/>
  <c r="EM116" i="1"/>
  <c r="AL117" i="21" s="1"/>
  <c r="EP22" i="2"/>
  <c r="EL22" i="1"/>
  <c r="AI23" i="21" s="1"/>
  <c r="I127" i="22"/>
  <c r="AG127" i="21"/>
  <c r="EP52" i="1"/>
  <c r="E53" i="22"/>
  <c r="L53" i="22" s="1"/>
  <c r="D186" i="9"/>
  <c r="EM186" i="1"/>
  <c r="AL188" i="21" s="1"/>
  <c r="EL186" i="1"/>
  <c r="AI188" i="21" s="1"/>
  <c r="EK186" i="1"/>
  <c r="CK186" i="1"/>
  <c r="EJ186" i="1"/>
  <c r="AC188" i="21" s="1"/>
  <c r="CJ186" i="1"/>
  <c r="EI186" i="1"/>
  <c r="Z188" i="21" s="1"/>
  <c r="CI186" i="1"/>
  <c r="EH186" i="1"/>
  <c r="W188" i="21" s="1"/>
  <c r="CH186" i="1"/>
  <c r="EG186" i="1"/>
  <c r="T188" i="21" s="1"/>
  <c r="CG186" i="1"/>
  <c r="ER186" i="1"/>
  <c r="E188" i="22" s="1"/>
  <c r="EF186" i="1"/>
  <c r="Q188" i="21" s="1"/>
  <c r="EN186" i="1"/>
  <c r="AO188" i="21" s="1"/>
  <c r="EB186" i="1"/>
  <c r="E188" i="21" s="1"/>
  <c r="CQ186" i="1"/>
  <c r="EQ186" i="1"/>
  <c r="EO186" i="1"/>
  <c r="EE186" i="1"/>
  <c r="N188" i="21" s="1"/>
  <c r="EP186" i="1"/>
  <c r="ED186" i="1"/>
  <c r="K188" i="21" s="1"/>
  <c r="EC186" i="1"/>
  <c r="H188" i="21" s="1"/>
  <c r="H79" i="22"/>
  <c r="AF79" i="21"/>
  <c r="EK11" i="1"/>
  <c r="AF184" i="21"/>
  <c r="H184" i="22"/>
  <c r="AG33" i="21"/>
  <c r="I33" i="22"/>
  <c r="AF203" i="21"/>
  <c r="H203" i="22"/>
  <c r="AH219" i="21"/>
  <c r="J219" i="22"/>
  <c r="DI34" i="3"/>
  <c r="CD34" i="3"/>
  <c r="BA165" i="14"/>
  <c r="AD165" i="14"/>
  <c r="AV165" i="14"/>
  <c r="Y165" i="14"/>
  <c r="AB185" i="14"/>
  <c r="W185" i="14"/>
  <c r="AY185" i="14"/>
  <c r="AT185" i="14"/>
  <c r="W184" i="14"/>
  <c r="AY184" i="14"/>
  <c r="AT184" i="14"/>
  <c r="AB184" i="14"/>
  <c r="DI173" i="2"/>
  <c r="CD173" i="2"/>
  <c r="D71" i="9"/>
  <c r="EI72" i="1"/>
  <c r="Z73" i="21" s="1"/>
  <c r="CI72" i="1"/>
  <c r="EH72" i="1"/>
  <c r="W73" i="21" s="1"/>
  <c r="CH72" i="1"/>
  <c r="ER72" i="1"/>
  <c r="E73" i="22" s="1"/>
  <c r="EF72" i="1"/>
  <c r="Q73" i="21" s="1"/>
  <c r="EQ72" i="1"/>
  <c r="EE72" i="1"/>
  <c r="N73" i="21" s="1"/>
  <c r="CQ72" i="1"/>
  <c r="EP72" i="1"/>
  <c r="ED72" i="1"/>
  <c r="K73" i="21" s="1"/>
  <c r="EO72" i="1"/>
  <c r="EC72" i="1"/>
  <c r="H73" i="21" s="1"/>
  <c r="EM72" i="1"/>
  <c r="AL73" i="21" s="1"/>
  <c r="EN72" i="1"/>
  <c r="AO73" i="21" s="1"/>
  <c r="EL72" i="1"/>
  <c r="AI73" i="21" s="1"/>
  <c r="CK72" i="1"/>
  <c r="EK72" i="1"/>
  <c r="EJ72" i="1"/>
  <c r="AC73" i="21" s="1"/>
  <c r="EG72" i="1"/>
  <c r="T73" i="21" s="1"/>
  <c r="CJ72" i="1"/>
  <c r="CG72" i="1"/>
  <c r="EB72" i="1"/>
  <c r="E73" i="21" s="1"/>
  <c r="EL71" i="1"/>
  <c r="AI72" i="21" s="1"/>
  <c r="I73" i="22"/>
  <c r="M73" i="22" s="1"/>
  <c r="AG73" i="21"/>
  <c r="AM52" i="14"/>
  <c r="AH52" i="14"/>
  <c r="AN50" i="14"/>
  <c r="AI50" i="14"/>
  <c r="DI118" i="3"/>
  <c r="CD118" i="3"/>
  <c r="BA166" i="14"/>
  <c r="AD166" i="14"/>
  <c r="AV166" i="14"/>
  <c r="Y166" i="14"/>
  <c r="AB158" i="14"/>
  <c r="W158" i="14"/>
  <c r="AY158" i="14"/>
  <c r="AT158" i="14"/>
  <c r="DI184" i="3"/>
  <c r="CD184" i="3"/>
  <c r="AV215" i="14"/>
  <c r="AD215" i="14"/>
  <c r="Y215" i="14"/>
  <c r="BA215" i="14"/>
  <c r="U60" i="15"/>
  <c r="T60" i="15"/>
  <c r="DI84" i="2"/>
  <c r="CD84" i="2"/>
  <c r="DI176" i="2"/>
  <c r="CD176" i="2"/>
  <c r="BA187" i="14"/>
  <c r="AD187" i="14"/>
  <c r="AV187" i="14"/>
  <c r="Y187" i="14"/>
  <c r="EP20" i="1"/>
  <c r="ER179" i="1"/>
  <c r="DX69" i="2"/>
  <c r="AM207" i="14"/>
  <c r="AH207" i="14"/>
  <c r="AN204" i="14"/>
  <c r="AI204" i="14"/>
  <c r="H164" i="22"/>
  <c r="AF164" i="21"/>
  <c r="EK51" i="1"/>
  <c r="AH50" i="21"/>
  <c r="J50" i="22"/>
  <c r="ER63" i="3"/>
  <c r="DI67" i="3"/>
  <c r="CD67" i="3"/>
  <c r="DI100" i="3"/>
  <c r="CD100" i="3"/>
  <c r="Y167" i="14"/>
  <c r="BA167" i="14"/>
  <c r="AV167" i="14"/>
  <c r="AD167" i="14"/>
  <c r="S65" i="16"/>
  <c r="T65" i="16"/>
  <c r="ER49" i="1"/>
  <c r="D96" i="9"/>
  <c r="EL97" i="1"/>
  <c r="AI98" i="21" s="1"/>
  <c r="EK97" i="1"/>
  <c r="CK97" i="1"/>
  <c r="EJ97" i="1"/>
  <c r="AC98" i="21" s="1"/>
  <c r="CJ97" i="1"/>
  <c r="EI97" i="1"/>
  <c r="Z98" i="21" s="1"/>
  <c r="CI97" i="1"/>
  <c r="EH97" i="1"/>
  <c r="W98" i="21" s="1"/>
  <c r="CH97" i="1"/>
  <c r="EG97" i="1"/>
  <c r="T98" i="21" s="1"/>
  <c r="CG97" i="1"/>
  <c r="ER97" i="1"/>
  <c r="E98" i="22" s="1"/>
  <c r="EF97" i="1"/>
  <c r="Q98" i="21" s="1"/>
  <c r="EP97" i="1"/>
  <c r="ED97" i="1"/>
  <c r="K98" i="21" s="1"/>
  <c r="EQ97" i="1"/>
  <c r="EO97" i="1"/>
  <c r="EN97" i="1"/>
  <c r="AO98" i="21" s="1"/>
  <c r="EM97" i="1"/>
  <c r="AL98" i="21" s="1"/>
  <c r="CQ97" i="1"/>
  <c r="EC97" i="1"/>
  <c r="H98" i="21" s="1"/>
  <c r="EB97" i="1"/>
  <c r="E98" i="21" s="1"/>
  <c r="EE97" i="1"/>
  <c r="N98" i="21" s="1"/>
  <c r="ER156" i="1"/>
  <c r="EM100" i="1"/>
  <c r="AL101" i="21" s="1"/>
  <c r="ER58" i="2"/>
  <c r="I41" i="22"/>
  <c r="M41" i="22" s="1"/>
  <c r="AG41" i="21"/>
  <c r="L65" i="22"/>
  <c r="AF65" i="21"/>
  <c r="H65" i="22"/>
  <c r="ER36" i="1"/>
  <c r="G65" i="20"/>
  <c r="AH121" i="21"/>
  <c r="J121" i="22"/>
  <c r="N121" i="22" s="1"/>
  <c r="EM175" i="3"/>
  <c r="AN180" i="21" s="1"/>
  <c r="AI12" i="12"/>
  <c r="AS12" i="12" s="1"/>
  <c r="DI79" i="3"/>
  <c r="CD79" i="3"/>
  <c r="CD127" i="3"/>
  <c r="DI127" i="3"/>
  <c r="ER25" i="1"/>
  <c r="EL114" i="2"/>
  <c r="AJ115" i="21" s="1"/>
  <c r="N115" i="20" s="1"/>
  <c r="E138" i="20"/>
  <c r="ER13" i="3"/>
  <c r="DI157" i="2"/>
  <c r="CD157" i="2"/>
  <c r="ER114" i="1"/>
  <c r="ER87" i="2"/>
  <c r="ER202" i="3"/>
  <c r="DI100" i="2"/>
  <c r="CD100" i="2"/>
  <c r="DI154" i="2"/>
  <c r="CD154" i="2"/>
  <c r="AU163" i="14"/>
  <c r="AC163" i="14"/>
  <c r="X163" i="14"/>
  <c r="AZ163" i="14"/>
  <c r="BA171" i="14"/>
  <c r="AD171" i="14"/>
  <c r="AV171" i="14"/>
  <c r="Y171" i="14"/>
  <c r="EM132" i="1"/>
  <c r="AL133" i="21" s="1"/>
  <c r="EL49" i="2"/>
  <c r="AJ50" i="21" s="1"/>
  <c r="N50" i="20" s="1"/>
  <c r="AU8" i="14"/>
  <c r="X8" i="14"/>
  <c r="AZ8" i="14"/>
  <c r="AC8" i="14"/>
  <c r="DI106" i="3"/>
  <c r="CD106" i="3"/>
  <c r="AZ145" i="14"/>
  <c r="AC145" i="14"/>
  <c r="AU145" i="14"/>
  <c r="X145" i="14"/>
  <c r="AY173" i="14"/>
  <c r="AT173" i="14"/>
  <c r="AB173" i="14"/>
  <c r="W173" i="14"/>
  <c r="AE56" i="7"/>
  <c r="EM74" i="1"/>
  <c r="AL75" i="21" s="1"/>
  <c r="AE12" i="12"/>
  <c r="AO12" i="12" s="1"/>
  <c r="DM181" i="1"/>
  <c r="DL181" i="1"/>
  <c r="DK181" i="1"/>
  <c r="DJ181" i="1"/>
  <c r="DI164" i="3"/>
  <c r="CD164" i="3"/>
  <c r="AU35" i="14"/>
  <c r="X35" i="14"/>
  <c r="AZ35" i="14"/>
  <c r="AC35" i="14"/>
  <c r="AF183" i="21"/>
  <c r="H183" i="22"/>
  <c r="DI70" i="2"/>
  <c r="CD70" i="2"/>
  <c r="H201" i="22"/>
  <c r="L201" i="22" s="1"/>
  <c r="AF201" i="21"/>
  <c r="D110" i="9"/>
  <c r="EJ111" i="1"/>
  <c r="AC112" i="21" s="1"/>
  <c r="CJ111" i="1"/>
  <c r="EI111" i="1"/>
  <c r="Z112" i="21" s="1"/>
  <c r="CI111" i="1"/>
  <c r="EH111" i="1"/>
  <c r="W112" i="21" s="1"/>
  <c r="CH111" i="1"/>
  <c r="EG111" i="1"/>
  <c r="T112" i="21" s="1"/>
  <c r="CG111" i="1"/>
  <c r="ER111" i="1"/>
  <c r="E112" i="22" s="1"/>
  <c r="EF111" i="1"/>
  <c r="Q112" i="21" s="1"/>
  <c r="EQ111" i="1"/>
  <c r="EE111" i="1"/>
  <c r="N112" i="21" s="1"/>
  <c r="CQ111" i="1"/>
  <c r="EP111" i="1"/>
  <c r="ED111" i="1"/>
  <c r="K112" i="21" s="1"/>
  <c r="EN111" i="1"/>
  <c r="AO112" i="21" s="1"/>
  <c r="EB111" i="1"/>
  <c r="E112" i="21" s="1"/>
  <c r="EK111" i="1"/>
  <c r="EO111" i="1"/>
  <c r="EM111" i="1"/>
  <c r="AL112" i="21" s="1"/>
  <c r="EL111" i="1"/>
  <c r="AI112" i="21" s="1"/>
  <c r="CK111" i="1"/>
  <c r="EC111" i="1"/>
  <c r="H112" i="21" s="1"/>
  <c r="DI59" i="3"/>
  <c r="CD59" i="3"/>
  <c r="DI94" i="2"/>
  <c r="CD94" i="2"/>
  <c r="DI75" i="3"/>
  <c r="CD75" i="3"/>
  <c r="DM195" i="1"/>
  <c r="DL195" i="1"/>
  <c r="DK195" i="1"/>
  <c r="DJ195" i="1"/>
  <c r="AE91" i="6"/>
  <c r="AE98" i="6"/>
  <c r="Y203" i="14"/>
  <c r="BA203" i="14"/>
  <c r="AV203" i="14"/>
  <c r="AD203" i="14"/>
  <c r="AJ13" i="12"/>
  <c r="AT13" i="12" s="1"/>
  <c r="AC12" i="12"/>
  <c r="AM12" i="12" s="1"/>
  <c r="DL98" i="1"/>
  <c r="DK98" i="1"/>
  <c r="DJ98" i="1"/>
  <c r="DM98" i="1"/>
  <c r="AU182" i="14"/>
  <c r="X182" i="14"/>
  <c r="AZ182" i="14"/>
  <c r="AC182" i="14"/>
  <c r="AT233" i="14"/>
  <c r="W233" i="14"/>
  <c r="AB233" i="14"/>
  <c r="AY233" i="14"/>
  <c r="AG207" i="14"/>
  <c r="AL207" i="14"/>
  <c r="AU230" i="14"/>
  <c r="X230" i="14"/>
  <c r="AC230" i="14"/>
  <c r="AZ230" i="14"/>
  <c r="AM198" i="14"/>
  <c r="AH198" i="14"/>
  <c r="AB187" i="14"/>
  <c r="W187" i="14"/>
  <c r="AY187" i="14"/>
  <c r="AT187" i="14"/>
  <c r="AI52" i="14"/>
  <c r="AN52" i="14"/>
  <c r="DM186" i="1"/>
  <c r="DL186" i="1"/>
  <c r="DK186" i="1"/>
  <c r="DJ186" i="1"/>
  <c r="AN189" i="14"/>
  <c r="AI189" i="14"/>
  <c r="I88" i="22"/>
  <c r="AG88" i="21"/>
  <c r="DI99" i="3"/>
  <c r="CD99" i="3"/>
  <c r="DI153" i="3"/>
  <c r="CD153" i="3"/>
  <c r="BA163" i="14"/>
  <c r="AD163" i="14"/>
  <c r="AV163" i="14"/>
  <c r="Y163" i="14"/>
  <c r="AU171" i="14"/>
  <c r="X171" i="14"/>
  <c r="AC171" i="14"/>
  <c r="AZ171" i="14"/>
  <c r="H120" i="22"/>
  <c r="AF120" i="21"/>
  <c r="H44" i="22"/>
  <c r="AF44" i="21"/>
  <c r="D200" i="9"/>
  <c r="CK200" i="1"/>
  <c r="EJ200" i="1"/>
  <c r="AC202" i="21" s="1"/>
  <c r="CJ200" i="1"/>
  <c r="EI200" i="1"/>
  <c r="Z202" i="21" s="1"/>
  <c r="CI200" i="1"/>
  <c r="EH200" i="1"/>
  <c r="W202" i="21" s="1"/>
  <c r="CH200" i="1"/>
  <c r="EG200" i="1"/>
  <c r="T202" i="21" s="1"/>
  <c r="CG200" i="1"/>
  <c r="ER200" i="1"/>
  <c r="E202" i="22" s="1"/>
  <c r="EQ200" i="1"/>
  <c r="EK200" i="1" s="1"/>
  <c r="EM200" i="1"/>
  <c r="AL202" i="21" s="1"/>
  <c r="EO200" i="1"/>
  <c r="EN200" i="1"/>
  <c r="AO202" i="21" s="1"/>
  <c r="I130" i="22"/>
  <c r="AG130" i="21"/>
  <c r="AH130" i="21"/>
  <c r="J130" i="22"/>
  <c r="AV8" i="14"/>
  <c r="AD8" i="14"/>
  <c r="Y8" i="14"/>
  <c r="BA8" i="14"/>
  <c r="DI53" i="2"/>
  <c r="CD53" i="2"/>
  <c r="AY111" i="14"/>
  <c r="AB111" i="14"/>
  <c r="AT111" i="14"/>
  <c r="W111" i="14"/>
  <c r="BA145" i="14"/>
  <c r="AD145" i="14"/>
  <c r="AV145" i="14"/>
  <c r="Y145" i="14"/>
  <c r="AU173" i="14"/>
  <c r="X173" i="14"/>
  <c r="AZ173" i="14"/>
  <c r="AC173" i="14"/>
  <c r="DI175" i="2"/>
  <c r="CD175" i="2"/>
  <c r="AE202" i="7"/>
  <c r="AE36" i="7"/>
  <c r="AE184" i="7"/>
  <c r="AN83" i="14"/>
  <c r="AI83" i="14"/>
  <c r="DI181" i="2"/>
  <c r="CD181" i="2"/>
  <c r="AD170" i="14"/>
  <c r="Y170" i="14"/>
  <c r="BA170" i="14"/>
  <c r="AV170" i="14"/>
  <c r="AV35" i="14"/>
  <c r="Y35" i="14"/>
  <c r="BA35" i="14"/>
  <c r="AD35" i="14"/>
  <c r="L183" i="22"/>
  <c r="DI69" i="3"/>
  <c r="CD69" i="3"/>
  <c r="DI42" i="2"/>
  <c r="CD42" i="2"/>
  <c r="AH86" i="21"/>
  <c r="J86" i="22"/>
  <c r="DJ112" i="1"/>
  <c r="DM112" i="1"/>
  <c r="DL112" i="1"/>
  <c r="DK112" i="1"/>
  <c r="AL66" i="14"/>
  <c r="AG66" i="14"/>
  <c r="J225" i="22"/>
  <c r="AH225" i="21"/>
  <c r="DK83" i="1"/>
  <c r="DJ83" i="1"/>
  <c r="DL83" i="1"/>
  <c r="DM83" i="1"/>
  <c r="DI93" i="3"/>
  <c r="CD93" i="3"/>
  <c r="DI195" i="2"/>
  <c r="CD195" i="2"/>
  <c r="ER138" i="1"/>
  <c r="AE125" i="6"/>
  <c r="AE183" i="6"/>
  <c r="K184" i="9" s="1"/>
  <c r="J192" i="22"/>
  <c r="AH192" i="21"/>
  <c r="N21" i="11"/>
  <c r="P9" i="13"/>
  <c r="X9" i="13" s="1"/>
  <c r="L20" i="11"/>
  <c r="N8" i="13"/>
  <c r="V8" i="13" s="1"/>
  <c r="D10" i="19" s="1"/>
  <c r="I232" i="21" s="1"/>
  <c r="DI98" i="2"/>
  <c r="CD98" i="2"/>
  <c r="DI139" i="2"/>
  <c r="CD139" i="2"/>
  <c r="DI212" i="2"/>
  <c r="CD212" i="2"/>
  <c r="AZ233" i="14"/>
  <c r="X233" i="14"/>
  <c r="AU233" i="14"/>
  <c r="AC233" i="14"/>
  <c r="Y230" i="14"/>
  <c r="BA230" i="14"/>
  <c r="AD230" i="14"/>
  <c r="AV230" i="14"/>
  <c r="D32" i="9"/>
  <c r="EH33" i="1"/>
  <c r="W34" i="21" s="1"/>
  <c r="CH33" i="1"/>
  <c r="CG33" i="1"/>
  <c r="EI33" i="1"/>
  <c r="Z34" i="21" s="1"/>
  <c r="EJ33" i="1"/>
  <c r="AC34" i="21" s="1"/>
  <c r="EG33" i="1"/>
  <c r="T34" i="21" s="1"/>
  <c r="ER33" i="1"/>
  <c r="E34" i="22" s="1"/>
  <c r="EQ33" i="1"/>
  <c r="EK33" i="1" s="1"/>
  <c r="CI33" i="1"/>
  <c r="CJ33" i="1"/>
  <c r="EO33" i="1"/>
  <c r="EN33" i="1"/>
  <c r="AO34" i="21" s="1"/>
  <c r="EM33" i="1"/>
  <c r="AL34" i="21" s="1"/>
  <c r="CK33" i="1"/>
  <c r="DI83" i="3"/>
  <c r="CD83" i="3"/>
  <c r="AF168" i="21"/>
  <c r="H168" i="22"/>
  <c r="L168" i="22" s="1"/>
  <c r="DJ191" i="1"/>
  <c r="DK191" i="1"/>
  <c r="DL191" i="1"/>
  <c r="DM191" i="1"/>
  <c r="S69" i="16"/>
  <c r="T69" i="16"/>
  <c r="DI149" i="2"/>
  <c r="CD149" i="2"/>
  <c r="AF97" i="21"/>
  <c r="H97" i="22"/>
  <c r="L97" i="22" s="1"/>
  <c r="D216" i="9"/>
  <c r="EI215" i="1"/>
  <c r="Z218" i="21" s="1"/>
  <c r="CI215" i="1"/>
  <c r="EH215" i="1"/>
  <c r="W218" i="21" s="1"/>
  <c r="CH215" i="1"/>
  <c r="EG215" i="1"/>
  <c r="T218" i="21" s="1"/>
  <c r="CG215" i="1"/>
  <c r="EQ215" i="1"/>
  <c r="EO215" i="1"/>
  <c r="EN215" i="1"/>
  <c r="AO218" i="21" s="1"/>
  <c r="EJ215" i="1"/>
  <c r="AC218" i="21" s="1"/>
  <c r="CJ215" i="1"/>
  <c r="CK215" i="1"/>
  <c r="EL215" i="1"/>
  <c r="AI218" i="21" s="1"/>
  <c r="EM215" i="1"/>
  <c r="AL218" i="21" s="1"/>
  <c r="EK215" i="1"/>
  <c r="H152" i="22"/>
  <c r="AF152" i="21"/>
  <c r="DX6" i="1"/>
  <c r="CD6" i="1"/>
  <c r="DX202" i="1"/>
  <c r="DY202" i="1" s="1"/>
  <c r="CD202" i="1"/>
  <c r="AF198" i="21"/>
  <c r="H198" i="22"/>
  <c r="EM81" i="1"/>
  <c r="AL82" i="21" s="1"/>
  <c r="H110" i="22"/>
  <c r="AF110" i="21"/>
  <c r="L83" i="22"/>
  <c r="L74" i="22"/>
  <c r="AG40" i="21"/>
  <c r="I40" i="22"/>
  <c r="DX18" i="1"/>
  <c r="CD18" i="1"/>
  <c r="I121" i="22"/>
  <c r="M121" i="22" s="1"/>
  <c r="AG121" i="21"/>
  <c r="AG63" i="21"/>
  <c r="I63" i="22"/>
  <c r="M63" i="22" s="1"/>
  <c r="DI27" i="3"/>
  <c r="CD27" i="3"/>
  <c r="DI53" i="3"/>
  <c r="CD53" i="3"/>
  <c r="DM66" i="1"/>
  <c r="DL66" i="1"/>
  <c r="DK66" i="1"/>
  <c r="DJ66" i="1"/>
  <c r="DL164" i="1"/>
  <c r="DK164" i="1"/>
  <c r="DJ164" i="1"/>
  <c r="DM164" i="1"/>
  <c r="AC178" i="14"/>
  <c r="X178" i="14"/>
  <c r="AZ178" i="14"/>
  <c r="AU178" i="14"/>
  <c r="EP137" i="2"/>
  <c r="AU123" i="14"/>
  <c r="X123" i="14"/>
  <c r="AZ123" i="14"/>
  <c r="AC123" i="14"/>
  <c r="AZ192" i="14"/>
  <c r="AC192" i="14"/>
  <c r="AU192" i="14"/>
  <c r="X192" i="14"/>
  <c r="U61" i="15"/>
  <c r="T61" i="15"/>
  <c r="L130" i="22"/>
  <c r="DI24" i="3"/>
  <c r="CD24" i="3"/>
  <c r="DI14" i="2"/>
  <c r="CD14" i="2"/>
  <c r="AU181" i="14"/>
  <c r="AC181" i="14"/>
  <c r="AZ181" i="14"/>
  <c r="X181" i="14"/>
  <c r="DM217" i="1"/>
  <c r="DJ217" i="1"/>
  <c r="DL217" i="1"/>
  <c r="DK217" i="1"/>
  <c r="L104" i="22"/>
  <c r="AF93" i="21"/>
  <c r="H93" i="22"/>
  <c r="DM143" i="1"/>
  <c r="DJ143" i="1"/>
  <c r="DK143" i="1"/>
  <c r="DL143" i="1"/>
  <c r="L164" i="22"/>
  <c r="AF187" i="21"/>
  <c r="H187" i="22"/>
  <c r="L187" i="22" s="1"/>
  <c r="H66" i="22"/>
  <c r="AF66" i="21"/>
  <c r="N133" i="20"/>
  <c r="N50" i="22"/>
  <c r="AN130" i="14"/>
  <c r="AI130" i="14"/>
  <c r="DI185" i="3"/>
  <c r="CD185" i="3"/>
  <c r="AU167" i="14"/>
  <c r="X167" i="14"/>
  <c r="AC167" i="14"/>
  <c r="AZ167" i="14"/>
  <c r="DI186" i="2"/>
  <c r="CD186" i="2"/>
  <c r="DI191" i="2"/>
  <c r="CD191" i="2"/>
  <c r="T64" i="16"/>
  <c r="S64" i="16"/>
  <c r="ER35" i="1"/>
  <c r="E59" i="20"/>
  <c r="AH73" i="21"/>
  <c r="J73" i="22"/>
  <c r="N73" i="22" s="1"/>
  <c r="AH112" i="21"/>
  <c r="J112" i="22"/>
  <c r="AU84" i="14"/>
  <c r="X84" i="14"/>
  <c r="AC84" i="14"/>
  <c r="AZ84" i="14"/>
  <c r="DI148" i="3"/>
  <c r="CD148" i="3"/>
  <c r="DI147" i="3"/>
  <c r="CD147" i="3"/>
  <c r="DI197" i="3"/>
  <c r="CD197" i="3"/>
  <c r="L11" i="22"/>
  <c r="EL10" i="1"/>
  <c r="AI11" i="21" s="1"/>
  <c r="EP104" i="1"/>
  <c r="EP34" i="2"/>
  <c r="AG35" i="21"/>
  <c r="I35" i="22"/>
  <c r="M115" i="22"/>
  <c r="F138" i="20"/>
  <c r="AG112" i="14"/>
  <c r="AL112" i="14"/>
  <c r="DI134" i="2"/>
  <c r="CD134" i="2"/>
  <c r="DI92" i="2"/>
  <c r="CD92" i="2"/>
  <c r="AB162" i="14"/>
  <c r="W162" i="14"/>
  <c r="AY162" i="14"/>
  <c r="AT162" i="14"/>
  <c r="I186" i="22"/>
  <c r="AG186" i="21"/>
  <c r="AH134" i="21"/>
  <c r="J134" i="22"/>
  <c r="EM132" i="3"/>
  <c r="AN134" i="21" s="1"/>
  <c r="AB159" i="14"/>
  <c r="W159" i="14"/>
  <c r="AY159" i="14"/>
  <c r="AT159" i="14"/>
  <c r="AT163" i="14"/>
  <c r="AB163" i="14"/>
  <c r="W163" i="14"/>
  <c r="AY163" i="14"/>
  <c r="E50" i="20"/>
  <c r="AI11" i="12"/>
  <c r="AS11" i="12" s="1"/>
  <c r="DJ17" i="1"/>
  <c r="DK17" i="1"/>
  <c r="DM17" i="1"/>
  <c r="DL17" i="1"/>
  <c r="DI52" i="3"/>
  <c r="CD52" i="3"/>
  <c r="AU111" i="14"/>
  <c r="X111" i="14"/>
  <c r="AZ111" i="14"/>
  <c r="AC111" i="14"/>
  <c r="DM173" i="1"/>
  <c r="DL173" i="1"/>
  <c r="DK173" i="1"/>
  <c r="DJ173" i="1"/>
  <c r="DM172" i="1"/>
  <c r="DL172" i="1"/>
  <c r="DK172" i="1"/>
  <c r="DJ172" i="1"/>
  <c r="AN198" i="14"/>
  <c r="AI198" i="14"/>
  <c r="DI173" i="3"/>
  <c r="CD173" i="3"/>
  <c r="AE33" i="6"/>
  <c r="AE31" i="7"/>
  <c r="AE64" i="7"/>
  <c r="AE40" i="7"/>
  <c r="AL149" i="14"/>
  <c r="AG149" i="14"/>
  <c r="DI178" i="3"/>
  <c r="CD178" i="3"/>
  <c r="AB170" i="14"/>
  <c r="W170" i="14"/>
  <c r="AY170" i="14"/>
  <c r="AT170" i="14"/>
  <c r="DI41" i="3"/>
  <c r="CD41" i="3"/>
  <c r="DI112" i="2"/>
  <c r="CD112" i="2"/>
  <c r="ER30" i="1"/>
  <c r="AH29" i="21"/>
  <c r="J29" i="22"/>
  <c r="N29" i="22" s="1"/>
  <c r="DI83" i="2"/>
  <c r="CD83" i="2"/>
  <c r="DI185" i="2"/>
  <c r="CD185" i="2"/>
  <c r="AL174" i="14"/>
  <c r="AG174" i="14"/>
  <c r="DI192" i="3"/>
  <c r="CD192" i="3"/>
  <c r="AE168" i="6"/>
  <c r="K169" i="9" s="1"/>
  <c r="AE47" i="6"/>
  <c r="K47" i="9" s="1"/>
  <c r="AG216" i="14"/>
  <c r="AL216" i="14"/>
  <c r="AM113" i="14"/>
  <c r="AH113" i="14"/>
  <c r="DI97" i="3"/>
  <c r="CD97" i="3"/>
  <c r="DI138" i="3"/>
  <c r="CD138" i="3"/>
  <c r="DI218" i="3"/>
  <c r="CD218" i="3"/>
  <c r="BA233" i="14"/>
  <c r="Y233" i="14"/>
  <c r="AV233" i="14"/>
  <c r="AD233" i="14"/>
  <c r="DM218" i="1"/>
  <c r="DL218" i="1"/>
  <c r="DK218" i="1"/>
  <c r="DJ218" i="1"/>
  <c r="DI54" i="2"/>
  <c r="CD54" i="2"/>
  <c r="AU165" i="14"/>
  <c r="X165" i="14"/>
  <c r="AZ165" i="14"/>
  <c r="AC165" i="14"/>
  <c r="AY123" i="14"/>
  <c r="AB123" i="14"/>
  <c r="AT123" i="14"/>
  <c r="W123" i="14"/>
  <c r="AY192" i="14"/>
  <c r="AB192" i="14"/>
  <c r="AT192" i="14"/>
  <c r="W192" i="14"/>
  <c r="AF27" i="21"/>
  <c r="H27" i="22"/>
  <c r="L27" i="22" s="1"/>
  <c r="AM195" i="14"/>
  <c r="AH195" i="14"/>
  <c r="N46" i="22"/>
  <c r="DI188" i="2"/>
  <c r="CD188" i="2"/>
  <c r="L42" i="22"/>
  <c r="AF107" i="21"/>
  <c r="H107" i="22"/>
  <c r="AB188" i="5"/>
  <c r="AB197" i="5"/>
  <c r="AE197" i="5" s="1"/>
  <c r="J198" i="9" s="1"/>
  <c r="C203" i="14" s="1"/>
  <c r="AB193" i="5"/>
  <c r="AB220" i="5"/>
  <c r="AB184" i="5"/>
  <c r="AB187" i="5"/>
  <c r="AB167" i="5"/>
  <c r="AB162" i="5"/>
  <c r="AB111" i="5"/>
  <c r="AB77" i="5"/>
  <c r="AB41" i="5"/>
  <c r="AB30" i="5"/>
  <c r="AE30" i="5" s="1"/>
  <c r="J30" i="9" s="1"/>
  <c r="C35" i="14" s="1"/>
  <c r="AB5" i="5"/>
  <c r="AB147" i="5"/>
  <c r="AE147" i="5" s="1"/>
  <c r="J147" i="9" s="1"/>
  <c r="C152" i="14" s="1"/>
  <c r="AB145" i="5"/>
  <c r="AB135" i="5"/>
  <c r="AB100" i="5"/>
  <c r="AB75" i="5"/>
  <c r="AB64" i="5"/>
  <c r="AB39" i="5"/>
  <c r="AB194" i="5"/>
  <c r="AB125" i="5"/>
  <c r="AB28" i="5"/>
  <c r="AB204" i="5"/>
  <c r="AE204" i="5" s="1"/>
  <c r="AB202" i="5"/>
  <c r="AB200" i="5"/>
  <c r="AE200" i="5" s="1"/>
  <c r="AB198" i="5"/>
  <c r="AB192" i="5"/>
  <c r="AB155" i="5"/>
  <c r="AB116" i="5"/>
  <c r="AB105" i="5"/>
  <c r="AB96" i="5"/>
  <c r="AB89" i="5"/>
  <c r="AB69" i="5"/>
  <c r="AB60" i="5"/>
  <c r="AB53" i="5"/>
  <c r="AB24" i="5"/>
  <c r="AB17" i="5"/>
  <c r="AE17" i="5" s="1"/>
  <c r="AB218" i="5"/>
  <c r="AE218" i="5" s="1"/>
  <c r="AB212" i="5"/>
  <c r="AB206" i="5"/>
  <c r="AB190" i="5"/>
  <c r="AB180" i="5"/>
  <c r="AB178" i="5"/>
  <c r="AB114" i="5"/>
  <c r="AB182" i="5"/>
  <c r="AB168" i="5"/>
  <c r="AB78" i="5"/>
  <c r="AE78" i="5" s="1"/>
  <c r="J78" i="9" s="1"/>
  <c r="C83" i="14" s="1"/>
  <c r="AB42" i="5"/>
  <c r="AB6" i="5"/>
  <c r="AE6" i="5" s="1"/>
  <c r="J6" i="9" s="1"/>
  <c r="C11" i="14" s="1"/>
  <c r="AB140" i="5"/>
  <c r="AB134" i="5"/>
  <c r="AB4" i="5"/>
  <c r="AB209" i="5"/>
  <c r="AB203" i="5"/>
  <c r="AB195" i="5"/>
  <c r="AB191" i="5"/>
  <c r="AB177" i="5"/>
  <c r="AB152" i="5"/>
  <c r="AB150" i="5"/>
  <c r="AE150" i="5" s="1"/>
  <c r="AB124" i="5"/>
  <c r="AB97" i="5"/>
  <c r="AE97" i="5" s="1"/>
  <c r="AB61" i="5"/>
  <c r="AB34" i="5"/>
  <c r="AB2" i="5"/>
  <c r="AB215" i="5"/>
  <c r="AB211" i="5"/>
  <c r="AB207" i="5"/>
  <c r="AB189" i="5"/>
  <c r="AB181" i="5"/>
  <c r="AB175" i="5"/>
  <c r="AB171" i="5"/>
  <c r="AE171" i="5" s="1"/>
  <c r="J171" i="9" s="1"/>
  <c r="C176" i="14" s="1"/>
  <c r="AB122" i="5"/>
  <c r="AB95" i="5"/>
  <c r="AE95" i="5" s="1"/>
  <c r="AB88" i="5"/>
  <c r="AB59" i="5"/>
  <c r="AB52" i="5"/>
  <c r="AB25" i="5"/>
  <c r="AB23" i="5"/>
  <c r="AB16" i="5"/>
  <c r="AB120" i="5"/>
  <c r="AB86" i="5"/>
  <c r="AB102" i="5"/>
  <c r="AB14" i="5"/>
  <c r="AE14" i="5" s="1"/>
  <c r="J14" i="9" s="1"/>
  <c r="C19" i="14" s="1"/>
  <c r="AB110" i="5"/>
  <c r="AB130" i="5"/>
  <c r="AB94" i="5"/>
  <c r="AB22" i="5"/>
  <c r="AB160" i="5"/>
  <c r="AB138" i="5"/>
  <c r="AB99" i="5"/>
  <c r="AB148" i="5"/>
  <c r="AB132" i="5"/>
  <c r="AB119" i="5"/>
  <c r="AB72" i="5"/>
  <c r="AB50" i="5"/>
  <c r="AE50" i="5" s="1"/>
  <c r="AB66" i="5"/>
  <c r="AB144" i="5"/>
  <c r="AB108" i="5"/>
  <c r="AB63" i="5"/>
  <c r="AB173" i="5"/>
  <c r="AB142" i="5"/>
  <c r="AB113" i="5"/>
  <c r="AB74" i="5"/>
  <c r="AB166" i="5"/>
  <c r="AB58" i="5"/>
  <c r="AB185" i="5"/>
  <c r="AB208" i="5"/>
  <c r="AB127" i="5"/>
  <c r="AB29" i="5"/>
  <c r="AE29" i="5" s="1"/>
  <c r="AB10" i="5"/>
  <c r="AB112" i="5"/>
  <c r="AB201" i="5"/>
  <c r="AB141" i="5"/>
  <c r="AB93" i="5"/>
  <c r="AB164" i="5"/>
  <c r="AB19" i="5"/>
  <c r="AB62" i="5"/>
  <c r="AB133" i="5"/>
  <c r="AB128" i="5"/>
  <c r="AE128" i="5" s="1"/>
  <c r="AB205" i="5"/>
  <c r="AB174" i="5"/>
  <c r="AE174" i="5" s="1"/>
  <c r="J174" i="9" s="1"/>
  <c r="C179" i="14" s="1"/>
  <c r="AB9" i="5"/>
  <c r="AB90" i="5"/>
  <c r="AB183" i="5"/>
  <c r="AB107" i="5"/>
  <c r="AB11" i="5"/>
  <c r="AB214" i="5"/>
  <c r="AB3" i="5"/>
  <c r="AB143" i="5"/>
  <c r="AB92" i="5"/>
  <c r="AB136" i="5"/>
  <c r="AB44" i="5"/>
  <c r="AB56" i="5"/>
  <c r="AE56" i="5" s="1"/>
  <c r="AB213" i="5"/>
  <c r="AB91" i="5"/>
  <c r="AB38" i="5"/>
  <c r="AB70" i="5"/>
  <c r="AB47" i="5"/>
  <c r="AB82" i="5"/>
  <c r="AB159" i="5"/>
  <c r="AB87" i="5"/>
  <c r="AB45" i="5"/>
  <c r="AB18" i="5"/>
  <c r="AE18" i="5" s="1"/>
  <c r="AB13" i="5"/>
  <c r="AB37" i="5"/>
  <c r="AE37" i="5" s="1"/>
  <c r="AB139" i="5"/>
  <c r="AB210" i="5"/>
  <c r="AB176" i="5"/>
  <c r="AB67" i="5"/>
  <c r="AB15" i="5"/>
  <c r="AB7" i="5"/>
  <c r="AB217" i="5"/>
  <c r="AB73" i="5"/>
  <c r="AB179" i="5"/>
  <c r="AB81" i="5"/>
  <c r="AB40" i="5"/>
  <c r="AB27" i="5"/>
  <c r="AE27" i="5" s="1"/>
  <c r="AB80" i="5"/>
  <c r="AB20" i="5"/>
  <c r="AB12" i="5"/>
  <c r="AB84" i="5"/>
  <c r="AB123" i="5"/>
  <c r="AB65" i="5"/>
  <c r="AB103" i="5"/>
  <c r="AB131" i="5"/>
  <c r="AB43" i="5"/>
  <c r="AB54" i="5"/>
  <c r="AB49" i="5"/>
  <c r="AB121" i="5"/>
  <c r="AE121" i="5" s="1"/>
  <c r="AB83" i="5"/>
  <c r="AB33" i="5"/>
  <c r="AB36" i="5"/>
  <c r="AB153" i="5"/>
  <c r="AB126" i="5"/>
  <c r="AB51" i="5"/>
  <c r="AB57" i="5"/>
  <c r="AB104" i="5"/>
  <c r="AB156" i="5"/>
  <c r="AB46" i="5"/>
  <c r="AB55" i="5"/>
  <c r="AB101" i="5"/>
  <c r="AE101" i="5" s="1"/>
  <c r="AB154" i="5"/>
  <c r="AB186" i="5"/>
  <c r="AB109" i="5"/>
  <c r="AB199" i="5"/>
  <c r="AB35" i="5"/>
  <c r="AB157" i="5"/>
  <c r="AB196" i="5"/>
  <c r="AB76" i="5"/>
  <c r="AB26" i="5"/>
  <c r="AB118" i="5"/>
  <c r="AB137" i="5"/>
  <c r="AB79" i="5"/>
  <c r="AE79" i="5" s="1"/>
  <c r="J79" i="9" s="1"/>
  <c r="C84" i="14" s="1"/>
  <c r="AB115" i="5"/>
  <c r="AB85" i="5"/>
  <c r="AB170" i="5"/>
  <c r="AB161" i="5"/>
  <c r="AB163" i="5"/>
  <c r="AB146" i="5"/>
  <c r="AB172" i="5"/>
  <c r="AB149" i="5"/>
  <c r="AB21" i="5"/>
  <c r="AB158" i="5"/>
  <c r="AE158" i="5" s="1"/>
  <c r="J158" i="9" s="1"/>
  <c r="C163" i="14" s="1"/>
  <c r="AB31" i="5"/>
  <c r="AB165" i="5"/>
  <c r="AB98" i="5"/>
  <c r="AE98" i="5" s="1"/>
  <c r="AB68" i="5"/>
  <c r="AB117" i="5"/>
  <c r="AB106" i="5"/>
  <c r="AB32" i="5"/>
  <c r="AB216" i="5"/>
  <c r="AB169" i="5"/>
  <c r="AB151" i="5"/>
  <c r="AB129" i="5"/>
  <c r="AB8" i="5"/>
  <c r="AE8" i="5" s="1"/>
  <c r="J8" i="9" s="1"/>
  <c r="C13" i="14" s="1"/>
  <c r="AB48" i="5"/>
  <c r="AB219" i="5"/>
  <c r="AE219" i="5" s="1"/>
  <c r="AB71" i="5"/>
  <c r="H49" i="22"/>
  <c r="AF49" i="21"/>
  <c r="BA181" i="14"/>
  <c r="AD181" i="14"/>
  <c r="AV181" i="14"/>
  <c r="Y181" i="14"/>
  <c r="DI142" i="2"/>
  <c r="CD142" i="2"/>
  <c r="H64" i="22"/>
  <c r="AF64" i="21"/>
  <c r="D121" i="9"/>
  <c r="CK122" i="1"/>
  <c r="EJ122" i="1"/>
  <c r="AC123" i="21" s="1"/>
  <c r="CJ122" i="1"/>
  <c r="EI122" i="1"/>
  <c r="Z123" i="21" s="1"/>
  <c r="CI122" i="1"/>
  <c r="EH122" i="1"/>
  <c r="W123" i="21" s="1"/>
  <c r="CH122" i="1"/>
  <c r="EG122" i="1"/>
  <c r="T123" i="21" s="1"/>
  <c r="CG122" i="1"/>
  <c r="EQ122" i="1"/>
  <c r="EK122" i="1" s="1"/>
  <c r="EO122" i="1"/>
  <c r="EN122" i="1"/>
  <c r="AO123" i="21" s="1"/>
  <c r="DI164" i="2"/>
  <c r="CD164" i="2"/>
  <c r="DI172" i="2"/>
  <c r="CD172" i="2"/>
  <c r="AE53" i="7"/>
  <c r="AH7" i="14"/>
  <c r="AM7" i="14"/>
  <c r="DI29" i="2"/>
  <c r="CD29" i="2"/>
  <c r="DI74" i="2"/>
  <c r="CD74" i="2"/>
  <c r="DI82" i="3"/>
  <c r="CD82" i="3"/>
  <c r="DI182" i="3"/>
  <c r="CD182" i="3"/>
  <c r="ER51" i="3"/>
  <c r="AT200" i="14"/>
  <c r="W200" i="14"/>
  <c r="AY200" i="14"/>
  <c r="AB200" i="14"/>
  <c r="AF139" i="21"/>
  <c r="H139" i="22"/>
  <c r="AE81" i="6"/>
  <c r="DI104" i="2"/>
  <c r="CD104" i="2"/>
  <c r="DI11" i="2"/>
  <c r="CD11" i="2"/>
  <c r="AY102" i="14"/>
  <c r="AB102" i="14"/>
  <c r="AT102" i="14"/>
  <c r="W102" i="14"/>
  <c r="DI208" i="2"/>
  <c r="CD208" i="2"/>
  <c r="DI133" i="3"/>
  <c r="CD133" i="3"/>
  <c r="AN213" i="14"/>
  <c r="AI213" i="14"/>
  <c r="AM231" i="14"/>
  <c r="AH231" i="14"/>
  <c r="BA159" i="14"/>
  <c r="AD159" i="14"/>
  <c r="AV159" i="14"/>
  <c r="Y159" i="14"/>
  <c r="D133" i="9"/>
  <c r="EJ134" i="1"/>
  <c r="AC135" i="21" s="1"/>
  <c r="CJ134" i="1"/>
  <c r="EQ134" i="1"/>
  <c r="EK134" i="1" s="1"/>
  <c r="EO134" i="1"/>
  <c r="CK134" i="1"/>
  <c r="EN134" i="1"/>
  <c r="AO135" i="21" s="1"/>
  <c r="CI134" i="1"/>
  <c r="EM134" i="1"/>
  <c r="AL135" i="21" s="1"/>
  <c r="CH134" i="1"/>
  <c r="EL134" i="1"/>
  <c r="AI135" i="21" s="1"/>
  <c r="CG134" i="1"/>
  <c r="EH134" i="1"/>
  <c r="W135" i="21" s="1"/>
  <c r="EI134" i="1"/>
  <c r="Z135" i="21" s="1"/>
  <c r="EG134" i="1"/>
  <c r="T135" i="21" s="1"/>
  <c r="DI171" i="2"/>
  <c r="CD171" i="2"/>
  <c r="AE138" i="7"/>
  <c r="DI111" i="3"/>
  <c r="CD111" i="3"/>
  <c r="K19" i="11"/>
  <c r="M7" i="13"/>
  <c r="U7" i="13" s="1"/>
  <c r="C4" i="19" s="1"/>
  <c r="E232" i="21" s="1"/>
  <c r="ER106" i="1"/>
  <c r="EL106" i="1"/>
  <c r="AI107" i="21" s="1"/>
  <c r="AF128" i="21"/>
  <c r="H128" i="22"/>
  <c r="ER38" i="1"/>
  <c r="EM219" i="1"/>
  <c r="AL222" i="21" s="1"/>
  <c r="ER109" i="1"/>
  <c r="L95" i="22"/>
  <c r="EL144" i="1"/>
  <c r="AI145" i="21" s="1"/>
  <c r="ER86" i="1"/>
  <c r="L17" i="11"/>
  <c r="N5" i="13"/>
  <c r="V5" i="13" s="1"/>
  <c r="C9" i="19" s="1"/>
  <c r="F231" i="21" s="1"/>
  <c r="DI65" i="3"/>
  <c r="CD65" i="3"/>
  <c r="DI194" i="3"/>
  <c r="CD194" i="3"/>
  <c r="DI162" i="3"/>
  <c r="CD162" i="3"/>
  <c r="AB178" i="14"/>
  <c r="W178" i="14"/>
  <c r="AY178" i="14"/>
  <c r="AT178" i="14"/>
  <c r="DI12" i="3"/>
  <c r="CD12" i="3"/>
  <c r="DI74" i="3"/>
  <c r="CD74" i="3"/>
  <c r="AG198" i="14"/>
  <c r="AL198" i="14"/>
  <c r="AF196" i="21"/>
  <c r="H196" i="22"/>
  <c r="L196" i="22" s="1"/>
  <c r="AL52" i="14"/>
  <c r="AG52" i="14"/>
  <c r="AT181" i="14"/>
  <c r="AB181" i="14"/>
  <c r="AY181" i="14"/>
  <c r="W181" i="14"/>
  <c r="AZ223" i="14"/>
  <c r="AC223" i="14"/>
  <c r="AU223" i="14"/>
  <c r="X223" i="14"/>
  <c r="DX37" i="2"/>
  <c r="AI7" i="14"/>
  <c r="AN7" i="14"/>
  <c r="DI141" i="3"/>
  <c r="CD141" i="3"/>
  <c r="DM121" i="1"/>
  <c r="DL121" i="1"/>
  <c r="DK121" i="1"/>
  <c r="DJ121" i="1"/>
  <c r="DI180" i="3"/>
  <c r="CD180" i="3"/>
  <c r="EM206" i="2"/>
  <c r="AM219" i="21" s="1"/>
  <c r="DI5" i="2"/>
  <c r="CD5" i="2"/>
  <c r="DI26" i="2"/>
  <c r="CD26" i="2"/>
  <c r="DM206" i="1"/>
  <c r="DL206" i="1"/>
  <c r="DK206" i="1"/>
  <c r="DJ206" i="1"/>
  <c r="DI205" i="2"/>
  <c r="CD205" i="2"/>
  <c r="AT191" i="14"/>
  <c r="W191" i="14"/>
  <c r="AY191" i="14"/>
  <c r="AB191" i="14"/>
  <c r="AZ196" i="14"/>
  <c r="AC196" i="14"/>
  <c r="AU196" i="14"/>
  <c r="X196" i="14"/>
  <c r="T59" i="16"/>
  <c r="S59" i="16"/>
  <c r="ER57" i="1"/>
  <c r="EL49" i="1"/>
  <c r="AI50" i="21" s="1"/>
  <c r="ER68" i="1"/>
  <c r="D175" i="9"/>
  <c r="EK176" i="1"/>
  <c r="CK176" i="1"/>
  <c r="EJ176" i="1"/>
  <c r="AC177" i="21" s="1"/>
  <c r="CJ176" i="1"/>
  <c r="EI176" i="1"/>
  <c r="Z177" i="21" s="1"/>
  <c r="CI176" i="1"/>
  <c r="EH176" i="1"/>
  <c r="W177" i="21" s="1"/>
  <c r="CH176" i="1"/>
  <c r="EG176" i="1"/>
  <c r="T177" i="21" s="1"/>
  <c r="CG176" i="1"/>
  <c r="ER176" i="1"/>
  <c r="E177" i="22" s="1"/>
  <c r="EF176" i="1"/>
  <c r="Q177" i="21" s="1"/>
  <c r="EQ176" i="1"/>
  <c r="EE176" i="1"/>
  <c r="N177" i="21" s="1"/>
  <c r="CQ176" i="1"/>
  <c r="EP176" i="1"/>
  <c r="ED176" i="1"/>
  <c r="K177" i="21" s="1"/>
  <c r="EL176" i="1"/>
  <c r="AI177" i="21" s="1"/>
  <c r="EN176" i="1"/>
  <c r="AO177" i="21" s="1"/>
  <c r="EM176" i="1"/>
  <c r="AL177" i="21" s="1"/>
  <c r="EC176" i="1"/>
  <c r="H177" i="21" s="1"/>
  <c r="EB176" i="1"/>
  <c r="E177" i="21" s="1"/>
  <c r="EO176" i="1"/>
  <c r="AF5" i="21"/>
  <c r="H5" i="22"/>
  <c r="L5" i="22" s="1"/>
  <c r="ER92" i="3"/>
  <c r="N112" i="22"/>
  <c r="AM228" i="14"/>
  <c r="AH228" i="14"/>
  <c r="AU162" i="14"/>
  <c r="X162" i="14"/>
  <c r="AC162" i="14"/>
  <c r="AZ162" i="14"/>
  <c r="AH44" i="14"/>
  <c r="AM44" i="14"/>
  <c r="AU159" i="14"/>
  <c r="X159" i="14"/>
  <c r="AC159" i="14"/>
  <c r="AZ159" i="14"/>
  <c r="DI150" i="2"/>
  <c r="CD150" i="2"/>
  <c r="DI201" i="2"/>
  <c r="CD201" i="2"/>
  <c r="DI163" i="3"/>
  <c r="CD163" i="3"/>
  <c r="L44" i="22"/>
  <c r="H171" i="22"/>
  <c r="L171" i="22" s="1"/>
  <c r="AF171" i="21"/>
  <c r="G50" i="20"/>
  <c r="M50" i="20"/>
  <c r="M130" i="22"/>
  <c r="AH222" i="21"/>
  <c r="J222" i="22"/>
  <c r="DI15" i="3"/>
  <c r="CD15" i="3"/>
  <c r="DI17" i="3"/>
  <c r="CD17" i="3"/>
  <c r="DI170" i="3"/>
  <c r="CD170" i="3"/>
  <c r="DI169" i="3"/>
  <c r="CD169" i="3"/>
  <c r="AE10" i="7"/>
  <c r="AE154" i="7"/>
  <c r="AE144" i="7"/>
  <c r="DI151" i="2"/>
  <c r="CD151" i="2"/>
  <c r="BA186" i="14"/>
  <c r="AD186" i="14"/>
  <c r="AV186" i="14"/>
  <c r="Y186" i="14"/>
  <c r="J195" i="22"/>
  <c r="AH195" i="21"/>
  <c r="DI73" i="2"/>
  <c r="CD73" i="2"/>
  <c r="AB116" i="14"/>
  <c r="W116" i="14"/>
  <c r="AT116" i="14"/>
  <c r="AY116" i="14"/>
  <c r="DI29" i="3"/>
  <c r="CD29" i="3"/>
  <c r="AG12" i="12"/>
  <c r="AQ12" i="12" s="1"/>
  <c r="AH115" i="21"/>
  <c r="J115" i="22"/>
  <c r="N115" i="22" s="1"/>
  <c r="DI73" i="3"/>
  <c r="CD73" i="3"/>
  <c r="AY87" i="14"/>
  <c r="AB87" i="14"/>
  <c r="W87" i="14"/>
  <c r="AT87" i="14"/>
  <c r="AU200" i="14"/>
  <c r="X200" i="14"/>
  <c r="AZ200" i="14"/>
  <c r="AC200" i="14"/>
  <c r="D135" i="9"/>
  <c r="EH136" i="1"/>
  <c r="W137" i="21" s="1"/>
  <c r="CH136" i="1"/>
  <c r="EG136" i="1"/>
  <c r="T137" i="21" s="1"/>
  <c r="CG136" i="1"/>
  <c r="EO136" i="1"/>
  <c r="EN136" i="1"/>
  <c r="AO137" i="21" s="1"/>
  <c r="EM136" i="1"/>
  <c r="AL137" i="21" s="1"/>
  <c r="EL136" i="1"/>
  <c r="AI137" i="21" s="1"/>
  <c r="CQ136" i="1"/>
  <c r="EK136" i="1"/>
  <c r="EJ136" i="1"/>
  <c r="AC137" i="21" s="1"/>
  <c r="EI136" i="1"/>
  <c r="Z137" i="21" s="1"/>
  <c r="EE136" i="1"/>
  <c r="N137" i="21" s="1"/>
  <c r="ER136" i="1"/>
  <c r="E137" i="22" s="1"/>
  <c r="CI136" i="1"/>
  <c r="ED136" i="1"/>
  <c r="K137" i="21" s="1"/>
  <c r="EQ136" i="1"/>
  <c r="EP136" i="1"/>
  <c r="EF136" i="1"/>
  <c r="Q137" i="21" s="1"/>
  <c r="EC136" i="1"/>
  <c r="H137" i="21" s="1"/>
  <c r="EB136" i="1"/>
  <c r="E137" i="21" s="1"/>
  <c r="CJ136" i="1"/>
  <c r="CK136" i="1"/>
  <c r="AE115" i="6"/>
  <c r="AE163" i="6"/>
  <c r="AE209" i="6"/>
  <c r="DI103" i="3"/>
  <c r="CD103" i="3"/>
  <c r="DM171" i="1"/>
  <c r="DL171" i="1"/>
  <c r="DK171" i="1"/>
  <c r="DJ171" i="1"/>
  <c r="DI211" i="2"/>
  <c r="CD211" i="2"/>
  <c r="N88" i="22"/>
  <c r="N192" i="22"/>
  <c r="DI11" i="3"/>
  <c r="CD11" i="3"/>
  <c r="AU102" i="14"/>
  <c r="X102" i="14"/>
  <c r="AZ102" i="14"/>
  <c r="AC102" i="14"/>
  <c r="DI213" i="3"/>
  <c r="CD213" i="3"/>
  <c r="D154" i="9"/>
  <c r="EH155" i="1"/>
  <c r="W156" i="21" s="1"/>
  <c r="CH155" i="1"/>
  <c r="EG155" i="1"/>
  <c r="T156" i="21" s="1"/>
  <c r="CG155" i="1"/>
  <c r="ER155" i="1"/>
  <c r="E156" i="22" s="1"/>
  <c r="EF155" i="1"/>
  <c r="Q156" i="21" s="1"/>
  <c r="EQ155" i="1"/>
  <c r="EE155" i="1"/>
  <c r="N156" i="21" s="1"/>
  <c r="CQ155" i="1"/>
  <c r="EP155" i="1"/>
  <c r="ED155" i="1"/>
  <c r="K156" i="21" s="1"/>
  <c r="EO155" i="1"/>
  <c r="EC155" i="1"/>
  <c r="H156" i="21" s="1"/>
  <c r="EN155" i="1"/>
  <c r="AO156" i="21" s="1"/>
  <c r="EB155" i="1"/>
  <c r="E156" i="21" s="1"/>
  <c r="EM155" i="1"/>
  <c r="AL156" i="21" s="1"/>
  <c r="EI155" i="1"/>
  <c r="Z156" i="21" s="1"/>
  <c r="CI155" i="1"/>
  <c r="CJ155" i="1"/>
  <c r="EL155" i="1"/>
  <c r="AI156" i="21" s="1"/>
  <c r="EK155" i="1"/>
  <c r="EJ155" i="1"/>
  <c r="AC156" i="21" s="1"/>
  <c r="CK155" i="1"/>
  <c r="DI174" i="3"/>
  <c r="CD174" i="3"/>
  <c r="AB167" i="14"/>
  <c r="W167" i="14"/>
  <c r="AY167" i="14"/>
  <c r="AT167" i="14"/>
  <c r="AF207" i="21"/>
  <c r="H207" i="22"/>
  <c r="AY84" i="14"/>
  <c r="AB84" i="14"/>
  <c r="W84" i="14"/>
  <c r="AT84" i="14"/>
  <c r="L102" i="22"/>
  <c r="L198" i="22"/>
  <c r="DI66" i="2"/>
  <c r="CD66" i="2"/>
  <c r="DK5" i="1"/>
  <c r="DJ5" i="1"/>
  <c r="DM5" i="1"/>
  <c r="DL5" i="1"/>
  <c r="H36" i="22"/>
  <c r="AF36" i="21"/>
  <c r="AG115" i="21"/>
  <c r="I115" i="22"/>
  <c r="M17" i="11"/>
  <c r="O5" i="13"/>
  <c r="W5" i="13" s="1"/>
  <c r="C15" i="19" s="1"/>
  <c r="G231" i="21" s="1"/>
  <c r="DI15" i="2"/>
  <c r="CD15" i="2"/>
  <c r="DI17" i="2"/>
  <c r="CD17" i="2"/>
  <c r="AV111" i="14"/>
  <c r="Y111" i="14"/>
  <c r="AD111" i="14"/>
  <c r="BA111" i="14"/>
  <c r="AB186" i="14"/>
  <c r="W186" i="14"/>
  <c r="AY186" i="14"/>
  <c r="AT186" i="14"/>
  <c r="AU170" i="14"/>
  <c r="X170" i="14"/>
  <c r="AC170" i="14"/>
  <c r="AZ170" i="14"/>
  <c r="DI209" i="3"/>
  <c r="CD209" i="3"/>
  <c r="EM96" i="1"/>
  <c r="AL97" i="21" s="1"/>
  <c r="I46" i="22"/>
  <c r="AG46" i="21"/>
  <c r="EM106" i="1"/>
  <c r="AL107" i="21" s="1"/>
  <c r="EL76" i="1"/>
  <c r="AI77" i="21" s="1"/>
  <c r="D180" i="9"/>
  <c r="EG180" i="1"/>
  <c r="T182" i="21" s="1"/>
  <c r="CG180" i="1"/>
  <c r="ER180" i="1"/>
  <c r="E182" i="22" s="1"/>
  <c r="EF180" i="1"/>
  <c r="Q182" i="21" s="1"/>
  <c r="EQ180" i="1"/>
  <c r="EE180" i="1"/>
  <c r="N182" i="21" s="1"/>
  <c r="CQ180" i="1"/>
  <c r="EP180" i="1"/>
  <c r="ED180" i="1"/>
  <c r="K182" i="21" s="1"/>
  <c r="EO180" i="1"/>
  <c r="EC180" i="1"/>
  <c r="H182" i="21" s="1"/>
  <c r="EN180" i="1"/>
  <c r="AO182" i="21" s="1"/>
  <c r="EB180" i="1"/>
  <c r="E182" i="21" s="1"/>
  <c r="EM180" i="1"/>
  <c r="AL182" i="21" s="1"/>
  <c r="EL180" i="1"/>
  <c r="AI182" i="21" s="1"/>
  <c r="EH180" i="1"/>
  <c r="W182" i="21" s="1"/>
  <c r="CH180" i="1"/>
  <c r="EK180" i="1"/>
  <c r="EJ180" i="1"/>
  <c r="AC182" i="21" s="1"/>
  <c r="EI180" i="1"/>
  <c r="Z182" i="21" s="1"/>
  <c r="CK180" i="1"/>
  <c r="CI180" i="1"/>
  <c r="CJ180" i="1"/>
  <c r="EL14" i="1"/>
  <c r="AI15" i="21" s="1"/>
  <c r="EL88" i="1"/>
  <c r="AI89" i="21" s="1"/>
  <c r="EL212" i="1"/>
  <c r="AI215" i="21" s="1"/>
  <c r="H45" i="22"/>
  <c r="L45" i="22" s="1"/>
  <c r="AF45" i="21"/>
  <c r="EL13" i="2"/>
  <c r="AJ14" i="21" s="1"/>
  <c r="N14" i="20" s="1"/>
  <c r="ER13" i="2"/>
  <c r="D140" i="9"/>
  <c r="EG141" i="1"/>
  <c r="T142" i="21" s="1"/>
  <c r="CG141" i="1"/>
  <c r="EQ141" i="1"/>
  <c r="EE141" i="1"/>
  <c r="N142" i="21" s="1"/>
  <c r="CQ141" i="1"/>
  <c r="EP141" i="1"/>
  <c r="ED141" i="1"/>
  <c r="K142" i="21" s="1"/>
  <c r="EO141" i="1"/>
  <c r="EC141" i="1"/>
  <c r="H142" i="21" s="1"/>
  <c r="EN141" i="1"/>
  <c r="AO142" i="21" s="1"/>
  <c r="EB141" i="1"/>
  <c r="E142" i="21" s="1"/>
  <c r="EJ141" i="1"/>
  <c r="AC142" i="21" s="1"/>
  <c r="EI141" i="1"/>
  <c r="Z142" i="21" s="1"/>
  <c r="EH141" i="1"/>
  <c r="W142" i="21" s="1"/>
  <c r="EF141" i="1"/>
  <c r="Q142" i="21" s="1"/>
  <c r="CK141" i="1"/>
  <c r="CJ141" i="1"/>
  <c r="ER141" i="1"/>
  <c r="E142" i="22" s="1"/>
  <c r="CH141" i="1"/>
  <c r="EK141" i="1"/>
  <c r="EL141" i="1"/>
  <c r="AI142" i="21" s="1"/>
  <c r="EM141" i="1"/>
  <c r="AL142" i="21" s="1"/>
  <c r="CI141" i="1"/>
  <c r="ER19" i="2"/>
  <c r="EP70" i="1"/>
  <c r="H67" i="22"/>
  <c r="AF67" i="21"/>
  <c r="EL50" i="1"/>
  <c r="AI51" i="21" s="1"/>
  <c r="ER56" i="1"/>
  <c r="EL56" i="1"/>
  <c r="AI57" i="21" s="1"/>
  <c r="CS3" i="3"/>
  <c r="CS3" i="2"/>
  <c r="CS3" i="1"/>
  <c r="EP94" i="1"/>
  <c r="EM144" i="1"/>
  <c r="AL145" i="21" s="1"/>
  <c r="EM8" i="1"/>
  <c r="AL9" i="21" s="1"/>
  <c r="ER67" i="1"/>
  <c r="EM86" i="1"/>
  <c r="AL87" i="21" s="1"/>
  <c r="L18" i="11"/>
  <c r="N6" i="13"/>
  <c r="V6" i="13" s="1"/>
  <c r="D9" i="19" s="1"/>
  <c r="I231" i="21" s="1"/>
  <c r="DI36" i="2"/>
  <c r="CD36" i="2"/>
  <c r="AY70" i="14"/>
  <c r="AB70" i="14"/>
  <c r="AT70" i="14"/>
  <c r="W70" i="14"/>
  <c r="AB168" i="14"/>
  <c r="W168" i="14"/>
  <c r="AY168" i="14"/>
  <c r="AT168" i="14"/>
  <c r="DM168" i="1"/>
  <c r="DL168" i="1"/>
  <c r="DK168" i="1"/>
  <c r="DJ168" i="1"/>
  <c r="EP13" i="1"/>
  <c r="EL149" i="1"/>
  <c r="AI150" i="21" s="1"/>
  <c r="DX64" i="2"/>
  <c r="EL204" i="2"/>
  <c r="AJ216" i="21" s="1"/>
  <c r="N216" i="20" s="1"/>
  <c r="ER55" i="3"/>
  <c r="EL36" i="3"/>
  <c r="AK38" i="21" s="1"/>
  <c r="N38" i="20" s="1"/>
  <c r="ER135" i="3"/>
  <c r="DI6" i="2"/>
  <c r="CD6" i="2"/>
  <c r="U58" i="15"/>
  <c r="T58" i="15"/>
  <c r="U54" i="15"/>
  <c r="T54" i="15"/>
  <c r="ER207" i="1"/>
  <c r="EL129" i="1"/>
  <c r="AI130" i="21" s="1"/>
  <c r="J26" i="22"/>
  <c r="AH26" i="21"/>
  <c r="ER210" i="3"/>
  <c r="L231" i="20"/>
  <c r="AN207" i="14"/>
  <c r="AI207" i="14"/>
  <c r="AL195" i="14"/>
  <c r="AG195" i="14"/>
  <c r="AZ217" i="14"/>
  <c r="AC217" i="14"/>
  <c r="AU217" i="14"/>
  <c r="X217" i="14"/>
  <c r="BA223" i="14"/>
  <c r="AD223" i="14"/>
  <c r="AV223" i="14"/>
  <c r="Y223" i="14"/>
  <c r="AB147" i="14"/>
  <c r="W147" i="14"/>
  <c r="AY147" i="14"/>
  <c r="AT147" i="14"/>
  <c r="DI121" i="2"/>
  <c r="CD121" i="2"/>
  <c r="AF41" i="21"/>
  <c r="H41" i="22"/>
  <c r="EM27" i="1"/>
  <c r="AL28" i="21" s="1"/>
  <c r="D16" i="9"/>
  <c r="CI17" i="1"/>
  <c r="EH17" i="1"/>
  <c r="W18" i="21" s="1"/>
  <c r="CH17" i="1"/>
  <c r="EQ17" i="1"/>
  <c r="CQ17" i="1"/>
  <c r="EG17" i="1"/>
  <c r="T18" i="21" s="1"/>
  <c r="CG17" i="1"/>
  <c r="EE17" i="1"/>
  <c r="N18" i="21" s="1"/>
  <c r="EN17" i="1"/>
  <c r="AO18" i="21" s="1"/>
  <c r="ER17" i="1"/>
  <c r="E18" i="22" s="1"/>
  <c r="EF17" i="1"/>
  <c r="Q18" i="21" s="1"/>
  <c r="EB17" i="1"/>
  <c r="E18" i="21" s="1"/>
  <c r="EP17" i="1"/>
  <c r="ED17" i="1"/>
  <c r="K18" i="21" s="1"/>
  <c r="EO17" i="1"/>
  <c r="EC17" i="1"/>
  <c r="H18" i="21" s="1"/>
  <c r="EJ17" i="1"/>
  <c r="AC18" i="21" s="1"/>
  <c r="CJ17" i="1"/>
  <c r="EI17" i="1"/>
  <c r="Z18" i="21" s="1"/>
  <c r="CK17" i="1"/>
  <c r="EL17" i="1"/>
  <c r="AI18" i="21" s="1"/>
  <c r="EM17" i="1"/>
  <c r="AL18" i="21" s="1"/>
  <c r="EK17" i="1"/>
  <c r="EP115" i="1"/>
  <c r="EL150" i="1"/>
  <c r="AI151" i="21" s="1"/>
  <c r="AG49" i="21"/>
  <c r="I49" i="22"/>
  <c r="M49" i="22" s="1"/>
  <c r="H223" i="22"/>
  <c r="AF223" i="21"/>
  <c r="ER206" i="2"/>
  <c r="EL81" i="3"/>
  <c r="AK83" i="21" s="1"/>
  <c r="N83" i="20" s="1"/>
  <c r="EM48" i="3"/>
  <c r="AN50" i="21" s="1"/>
  <c r="DI5" i="3"/>
  <c r="CD5" i="3"/>
  <c r="DI26" i="3"/>
  <c r="CD26" i="3"/>
  <c r="DI203" i="3"/>
  <c r="CD203" i="3"/>
  <c r="DI211" i="3"/>
  <c r="CD211" i="3"/>
  <c r="AU191" i="14"/>
  <c r="X191" i="14"/>
  <c r="AZ191" i="14"/>
  <c r="AC191" i="14"/>
  <c r="BA196" i="14"/>
  <c r="AD196" i="14"/>
  <c r="AV196" i="14"/>
  <c r="Y196" i="14"/>
  <c r="T68" i="16"/>
  <c r="S68" i="16"/>
  <c r="EL35" i="1"/>
  <c r="AI36" i="21" s="1"/>
  <c r="EL68" i="1"/>
  <c r="AI69" i="21" s="1"/>
  <c r="EM58" i="2"/>
  <c r="AM59" i="21" s="1"/>
  <c r="EL36" i="1"/>
  <c r="AI37" i="21" s="1"/>
  <c r="EL64" i="2"/>
  <c r="AJ65" i="21" s="1"/>
  <c r="N65" i="20" s="1"/>
  <c r="EP63" i="2"/>
  <c r="AL113" i="14"/>
  <c r="AG113" i="14"/>
  <c r="DI86" i="2"/>
  <c r="CD86" i="2"/>
  <c r="D132" i="9"/>
  <c r="CK133" i="1"/>
  <c r="EM133" i="1"/>
  <c r="AL134" i="21" s="1"/>
  <c r="CH133" i="1"/>
  <c r="CG133" i="1"/>
  <c r="EJ133" i="1"/>
  <c r="AC134" i="21" s="1"/>
  <c r="EI133" i="1"/>
  <c r="Z134" i="21" s="1"/>
  <c r="EH133" i="1"/>
  <c r="W134" i="21" s="1"/>
  <c r="EG133" i="1"/>
  <c r="T134" i="21" s="1"/>
  <c r="EQ133" i="1"/>
  <c r="EK133" i="1" s="1"/>
  <c r="EO133" i="1"/>
  <c r="EN133" i="1"/>
  <c r="AO134" i="21" s="1"/>
  <c r="CJ133" i="1"/>
  <c r="CI133" i="1"/>
  <c r="EL13" i="3"/>
  <c r="AK14" i="21" s="1"/>
  <c r="AL228" i="14"/>
  <c r="AG228" i="14"/>
  <c r="DM125" i="1"/>
  <c r="DJ125" i="1"/>
  <c r="DL125" i="1"/>
  <c r="DK125" i="1"/>
  <c r="DI156" i="2"/>
  <c r="CD156" i="2"/>
  <c r="I57" i="22"/>
  <c r="AG57" i="21"/>
  <c r="ER75" i="1"/>
  <c r="D160" i="9"/>
  <c r="EN161" i="1"/>
  <c r="AO162" i="21" s="1"/>
  <c r="EB161" i="1"/>
  <c r="E162" i="21" s="1"/>
  <c r="EM161" i="1"/>
  <c r="AL162" i="21" s="1"/>
  <c r="EL161" i="1"/>
  <c r="AI162" i="21" s="1"/>
  <c r="EK161" i="1"/>
  <c r="CK161" i="1"/>
  <c r="EJ161" i="1"/>
  <c r="AC162" i="21" s="1"/>
  <c r="CJ161" i="1"/>
  <c r="EI161" i="1"/>
  <c r="Z162" i="21" s="1"/>
  <c r="CI161" i="1"/>
  <c r="EH161" i="1"/>
  <c r="W162" i="21" s="1"/>
  <c r="CH161" i="1"/>
  <c r="EG161" i="1"/>
  <c r="T162" i="21" s="1"/>
  <c r="CG161" i="1"/>
  <c r="EO161" i="1"/>
  <c r="EC161" i="1"/>
  <c r="H162" i="21" s="1"/>
  <c r="EP161" i="1"/>
  <c r="EF161" i="1"/>
  <c r="Q162" i="21" s="1"/>
  <c r="EE161" i="1"/>
  <c r="N162" i="21" s="1"/>
  <c r="ED161" i="1"/>
  <c r="K162" i="21" s="1"/>
  <c r="CQ161" i="1"/>
  <c r="ER161" i="1"/>
  <c r="E162" i="22" s="1"/>
  <c r="EQ161" i="1"/>
  <c r="EM19" i="3"/>
  <c r="AN20" i="21" s="1"/>
  <c r="AH133" i="21"/>
  <c r="J133" i="22"/>
  <c r="AI112" i="14"/>
  <c r="AN112" i="14"/>
  <c r="DM196" i="1"/>
  <c r="DL196" i="1"/>
  <c r="DK196" i="1"/>
  <c r="DJ196" i="1"/>
  <c r="DI149" i="3"/>
  <c r="CD149" i="3"/>
  <c r="DI198" i="3"/>
  <c r="CD198" i="3"/>
  <c r="D111" i="9"/>
  <c r="EI112" i="1"/>
  <c r="Z113" i="21" s="1"/>
  <c r="CI112" i="1"/>
  <c r="EH112" i="1"/>
  <c r="W113" i="21" s="1"/>
  <c r="CH112" i="1"/>
  <c r="EG112" i="1"/>
  <c r="T113" i="21" s="1"/>
  <c r="CG112" i="1"/>
  <c r="ER112" i="1"/>
  <c r="E113" i="22" s="1"/>
  <c r="EF112" i="1"/>
  <c r="Q113" i="21" s="1"/>
  <c r="EQ112" i="1"/>
  <c r="EE112" i="1"/>
  <c r="N113" i="21" s="1"/>
  <c r="CQ112" i="1"/>
  <c r="EP112" i="1"/>
  <c r="ED112" i="1"/>
  <c r="K113" i="21" s="1"/>
  <c r="EO112" i="1"/>
  <c r="EC112" i="1"/>
  <c r="H113" i="21" s="1"/>
  <c r="EM112" i="1"/>
  <c r="AL113" i="21" s="1"/>
  <c r="EN112" i="1"/>
  <c r="AO113" i="21" s="1"/>
  <c r="CK112" i="1"/>
  <c r="EB112" i="1"/>
  <c r="E113" i="21" s="1"/>
  <c r="EL112" i="1"/>
  <c r="AI113" i="21" s="1"/>
  <c r="CJ112" i="1"/>
  <c r="EK112" i="1"/>
  <c r="EJ112" i="1"/>
  <c r="AC113" i="21" s="1"/>
  <c r="L120" i="22"/>
  <c r="H143" i="22"/>
  <c r="L143" i="22" s="1"/>
  <c r="AF143" i="21"/>
  <c r="EM129" i="2"/>
  <c r="AM130" i="21" s="1"/>
  <c r="AT21" i="14"/>
  <c r="AB21" i="14"/>
  <c r="W21" i="14"/>
  <c r="AY21" i="14"/>
  <c r="AB177" i="14"/>
  <c r="W177" i="14"/>
  <c r="AY177" i="14"/>
  <c r="AT177" i="14"/>
  <c r="Y176" i="14"/>
  <c r="BA176" i="14"/>
  <c r="AV176" i="14"/>
  <c r="AD176" i="14"/>
  <c r="AE148" i="7"/>
  <c r="AE9" i="7"/>
  <c r="AE12" i="7"/>
  <c r="AE77" i="7"/>
  <c r="L78" i="9" s="1"/>
  <c r="AE86" i="7"/>
  <c r="DI150" i="3"/>
  <c r="CD150" i="3"/>
  <c r="AU186" i="14"/>
  <c r="X186" i="14"/>
  <c r="AC186" i="14"/>
  <c r="AZ186" i="14"/>
  <c r="N26" i="22"/>
  <c r="DM160" i="1"/>
  <c r="DL160" i="1"/>
  <c r="DK160" i="1"/>
  <c r="DJ160" i="1"/>
  <c r="DI72" i="3"/>
  <c r="CD72" i="3"/>
  <c r="AZ116" i="14"/>
  <c r="AC116" i="14"/>
  <c r="X116" i="14"/>
  <c r="AU116" i="14"/>
  <c r="H210" i="22"/>
  <c r="AF210" i="21"/>
  <c r="ER101" i="3"/>
  <c r="AN228" i="14"/>
  <c r="AI228" i="14"/>
  <c r="AE22" i="6"/>
  <c r="DI103" i="2"/>
  <c r="CD103" i="2"/>
  <c r="DX93" i="2"/>
  <c r="AU87" i="14"/>
  <c r="X87" i="14"/>
  <c r="AC87" i="14"/>
  <c r="AZ87" i="14"/>
  <c r="DM204" i="1"/>
  <c r="DK204" i="1"/>
  <c r="DJ204" i="1"/>
  <c r="DL204" i="1"/>
  <c r="DI81" i="2"/>
  <c r="CD81" i="2"/>
  <c r="DI97" i="2"/>
  <c r="CD97" i="2"/>
  <c r="BA200" i="14"/>
  <c r="AV200" i="14"/>
  <c r="AD200" i="14"/>
  <c r="Y200" i="14"/>
  <c r="EM138" i="1"/>
  <c r="AL139" i="21" s="1"/>
  <c r="AE133" i="6"/>
  <c r="AE59" i="6"/>
  <c r="AE146" i="6"/>
  <c r="K147" i="9" s="1"/>
  <c r="AE123" i="6"/>
  <c r="DI23" i="2"/>
  <c r="CD23" i="2"/>
  <c r="DI170" i="2"/>
  <c r="CD170" i="2"/>
  <c r="AV102" i="14"/>
  <c r="Y102" i="14"/>
  <c r="AD102" i="14"/>
  <c r="BA102" i="14"/>
  <c r="DK189" i="1"/>
  <c r="DJ189" i="1"/>
  <c r="DL189" i="1"/>
  <c r="DM189" i="1"/>
  <c r="AT224" i="14"/>
  <c r="W224" i="14"/>
  <c r="AY224" i="14"/>
  <c r="AB224" i="14"/>
  <c r="DI171" i="3"/>
  <c r="CD171" i="3"/>
  <c r="J38" i="22"/>
  <c r="AH38" i="21"/>
  <c r="AU158" i="14"/>
  <c r="X158" i="14"/>
  <c r="AC158" i="14"/>
  <c r="AZ158" i="14"/>
  <c r="AI49" i="14"/>
  <c r="AN49" i="14"/>
  <c r="DI148" i="2"/>
  <c r="CD148" i="2"/>
  <c r="AF11" i="21"/>
  <c r="H11" i="22"/>
  <c r="H192" i="22"/>
  <c r="L192" i="22" s="1"/>
  <c r="AF192" i="21"/>
  <c r="AF145" i="21"/>
  <c r="H145" i="22"/>
  <c r="L145" i="22" s="1"/>
  <c r="D209" i="9"/>
  <c r="EO209" i="1"/>
  <c r="EC209" i="1"/>
  <c r="H211" i="21" s="1"/>
  <c r="EN209" i="1"/>
  <c r="AO211" i="21" s="1"/>
  <c r="EB209" i="1"/>
  <c r="E211" i="21" s="1"/>
  <c r="EM209" i="1"/>
  <c r="AL211" i="21" s="1"/>
  <c r="EL209" i="1"/>
  <c r="AI211" i="21" s="1"/>
  <c r="EK209" i="1"/>
  <c r="CK209" i="1"/>
  <c r="EJ209" i="1"/>
  <c r="AC211" i="21" s="1"/>
  <c r="CJ209" i="1"/>
  <c r="EI209" i="1"/>
  <c r="Z211" i="21" s="1"/>
  <c r="CI209" i="1"/>
  <c r="EH209" i="1"/>
  <c r="W211" i="21" s="1"/>
  <c r="CH209" i="1"/>
  <c r="EP209" i="1"/>
  <c r="ED209" i="1"/>
  <c r="K211" i="21" s="1"/>
  <c r="CG209" i="1"/>
  <c r="ER209" i="1"/>
  <c r="E211" i="22" s="1"/>
  <c r="EQ209" i="1"/>
  <c r="EG209" i="1"/>
  <c r="T211" i="21" s="1"/>
  <c r="EF209" i="1"/>
  <c r="Q211" i="21" s="1"/>
  <c r="EE209" i="1"/>
  <c r="N211" i="21" s="1"/>
  <c r="CQ209" i="1"/>
  <c r="AV123" i="14"/>
  <c r="Y123" i="14"/>
  <c r="AD123" i="14"/>
  <c r="BA123" i="14"/>
  <c r="AL76" i="14"/>
  <c r="AG76" i="14"/>
  <c r="EM28" i="2"/>
  <c r="AM29" i="21" s="1"/>
  <c r="DI188" i="3"/>
  <c r="CD188" i="3"/>
  <c r="P76" i="16"/>
  <c r="P73" i="16"/>
  <c r="P75" i="16"/>
  <c r="P72" i="16"/>
  <c r="P71" i="16"/>
  <c r="P78" i="16"/>
  <c r="P74" i="16"/>
  <c r="T70" i="16"/>
  <c r="P77" i="16"/>
  <c r="P81" i="16"/>
  <c r="P80" i="16"/>
  <c r="P79" i="16"/>
  <c r="S70" i="16"/>
  <c r="P82" i="16"/>
  <c r="L80" i="22"/>
  <c r="L152" i="22"/>
  <c r="EM14" i="1"/>
  <c r="AL15" i="21" s="1"/>
  <c r="D112" i="9"/>
  <c r="EH113" i="1"/>
  <c r="W114" i="21" s="1"/>
  <c r="CH113" i="1"/>
  <c r="EG113" i="1"/>
  <c r="T114" i="21" s="1"/>
  <c r="CG113" i="1"/>
  <c r="ER113" i="1"/>
  <c r="E114" i="22" s="1"/>
  <c r="EF113" i="1"/>
  <c r="Q114" i="21" s="1"/>
  <c r="EQ113" i="1"/>
  <c r="EE113" i="1"/>
  <c r="N114" i="21" s="1"/>
  <c r="CQ113" i="1"/>
  <c r="EP113" i="1"/>
  <c r="ED113" i="1"/>
  <c r="K114" i="21" s="1"/>
  <c r="EO113" i="1"/>
  <c r="EC113" i="1"/>
  <c r="H114" i="21" s="1"/>
  <c r="EN113" i="1"/>
  <c r="AO114" i="21" s="1"/>
  <c r="EB113" i="1"/>
  <c r="E114" i="21" s="1"/>
  <c r="EL113" i="1"/>
  <c r="AI114" i="21" s="1"/>
  <c r="CI113" i="1"/>
  <c r="EI113" i="1"/>
  <c r="Z114" i="21" s="1"/>
  <c r="EM113" i="1"/>
  <c r="AL114" i="21" s="1"/>
  <c r="EK113" i="1"/>
  <c r="EJ113" i="1"/>
  <c r="AC114" i="21" s="1"/>
  <c r="CJ113" i="1"/>
  <c r="CK113" i="1"/>
  <c r="CD178" i="1"/>
  <c r="DX178" i="1"/>
  <c r="DY178" i="1" s="1"/>
  <c r="N134" i="20"/>
  <c r="H176" i="22"/>
  <c r="AF176" i="21"/>
  <c r="AF109" i="21"/>
  <c r="H109" i="22"/>
  <c r="H200" i="22"/>
  <c r="L200" i="22" s="1"/>
  <c r="AF200" i="21"/>
  <c r="ER53" i="1"/>
  <c r="H148" i="22"/>
  <c r="AF148" i="21"/>
  <c r="D164" i="9"/>
  <c r="EJ165" i="1"/>
  <c r="AC166" i="21" s="1"/>
  <c r="CJ165" i="1"/>
  <c r="EI165" i="1"/>
  <c r="Z166" i="21" s="1"/>
  <c r="CI165" i="1"/>
  <c r="EH165" i="1"/>
  <c r="W166" i="21" s="1"/>
  <c r="CH165" i="1"/>
  <c r="EG165" i="1"/>
  <c r="T166" i="21" s="1"/>
  <c r="CG165" i="1"/>
  <c r="EQ165" i="1"/>
  <c r="EO165" i="1"/>
  <c r="EK165" i="1"/>
  <c r="CK165" i="1"/>
  <c r="EN165" i="1"/>
  <c r="AO166" i="21" s="1"/>
  <c r="DJ44" i="1"/>
  <c r="DM44" i="1"/>
  <c r="DL44" i="1"/>
  <c r="DK44" i="1"/>
  <c r="DI35" i="3"/>
  <c r="CD35" i="3"/>
  <c r="DL136" i="1"/>
  <c r="DK136" i="1"/>
  <c r="DJ136" i="1"/>
  <c r="DM136" i="1"/>
  <c r="AV70" i="14"/>
  <c r="Y70" i="14"/>
  <c r="AD70" i="14"/>
  <c r="BA70" i="14"/>
  <c r="BA168" i="14"/>
  <c r="AD168" i="14"/>
  <c r="AV168" i="14"/>
  <c r="Y168" i="14"/>
  <c r="DI167" i="2"/>
  <c r="CD167" i="2"/>
  <c r="EM71" i="1"/>
  <c r="AL72" i="21" s="1"/>
  <c r="ER96" i="2"/>
  <c r="EM204" i="2"/>
  <c r="AM216" i="21" s="1"/>
  <c r="EM36" i="3"/>
  <c r="AN38" i="21" s="1"/>
  <c r="DI6" i="3"/>
  <c r="CD6" i="3"/>
  <c r="AN195" i="14"/>
  <c r="AI195" i="14"/>
  <c r="U53" i="15"/>
  <c r="T53" i="15"/>
  <c r="U63" i="15"/>
  <c r="T63" i="15"/>
  <c r="AF43" i="21"/>
  <c r="H43" i="22"/>
  <c r="AG180" i="21"/>
  <c r="I180" i="22"/>
  <c r="F222" i="22"/>
  <c r="M222" i="22" s="1"/>
  <c r="EP209" i="2"/>
  <c r="BA217" i="14"/>
  <c r="AD217" i="14"/>
  <c r="AV217" i="14"/>
  <c r="Y217" i="14"/>
  <c r="AY223" i="14"/>
  <c r="AB223" i="14"/>
  <c r="AT223" i="14"/>
  <c r="W223" i="14"/>
  <c r="AF104" i="21"/>
  <c r="H104" i="22"/>
  <c r="L93" i="22"/>
  <c r="AF180" i="21"/>
  <c r="H180" i="22"/>
  <c r="D204" i="9"/>
  <c r="EG204" i="1"/>
  <c r="T206" i="21" s="1"/>
  <c r="CG204" i="1"/>
  <c r="ER204" i="1"/>
  <c r="E206" i="22" s="1"/>
  <c r="EF204" i="1"/>
  <c r="Q206" i="21" s="1"/>
  <c r="EQ204" i="1"/>
  <c r="EE204" i="1"/>
  <c r="N206" i="21" s="1"/>
  <c r="CQ204" i="1"/>
  <c r="EP204" i="1"/>
  <c r="ED204" i="1"/>
  <c r="K206" i="21" s="1"/>
  <c r="EO204" i="1"/>
  <c r="EC204" i="1"/>
  <c r="H206" i="21" s="1"/>
  <c r="EN204" i="1"/>
  <c r="AO206" i="21" s="1"/>
  <c r="EB204" i="1"/>
  <c r="E206" i="21" s="1"/>
  <c r="EM204" i="1"/>
  <c r="AL206" i="21" s="1"/>
  <c r="EL204" i="1"/>
  <c r="AI206" i="21" s="1"/>
  <c r="EH204" i="1"/>
  <c r="W206" i="21" s="1"/>
  <c r="CH204" i="1"/>
  <c r="EK204" i="1"/>
  <c r="EJ204" i="1"/>
  <c r="AC206" i="21" s="1"/>
  <c r="EI204" i="1"/>
  <c r="Z206" i="21" s="1"/>
  <c r="CK204" i="1"/>
  <c r="CJ204" i="1"/>
  <c r="CI204" i="1"/>
  <c r="AF170" i="21"/>
  <c r="H170" i="22"/>
  <c r="AV147" i="14"/>
  <c r="Y147" i="14"/>
  <c r="AD147" i="14"/>
  <c r="BA147" i="14"/>
  <c r="DI120" i="3"/>
  <c r="CD120" i="3"/>
  <c r="L41" i="22"/>
  <c r="M29" i="22"/>
  <c r="AF81" i="21"/>
  <c r="H81" i="22"/>
  <c r="L81" i="22" s="1"/>
  <c r="EM81" i="3"/>
  <c r="AN83" i="21" s="1"/>
  <c r="J83" i="22"/>
  <c r="AH83" i="21"/>
  <c r="AB9" i="14"/>
  <c r="AY9" i="14"/>
  <c r="W9" i="14"/>
  <c r="AT9" i="14"/>
  <c r="DM142" i="1"/>
  <c r="DL142" i="1"/>
  <c r="DK142" i="1"/>
  <c r="DJ142" i="1"/>
  <c r="AM216" i="14"/>
  <c r="AH216" i="14"/>
  <c r="AZ211" i="14"/>
  <c r="AC211" i="14"/>
  <c r="X211" i="14"/>
  <c r="AU211" i="14"/>
  <c r="Y191" i="14"/>
  <c r="BA191" i="14"/>
  <c r="AV191" i="14"/>
  <c r="AD191" i="14"/>
  <c r="AY196" i="14"/>
  <c r="AB196" i="14"/>
  <c r="AT196" i="14"/>
  <c r="W196" i="14"/>
  <c r="S60" i="16"/>
  <c r="T60" i="16"/>
  <c r="AF157" i="21"/>
  <c r="H157" i="22"/>
  <c r="H48" i="22"/>
  <c r="L48" i="22" s="1"/>
  <c r="AF48" i="21"/>
  <c r="EP41" i="1"/>
  <c r="D129" i="9"/>
  <c r="EN130" i="1"/>
  <c r="AO131" i="21" s="1"/>
  <c r="EM130" i="1"/>
  <c r="AL131" i="21" s="1"/>
  <c r="CI130" i="1"/>
  <c r="EL130" i="1"/>
  <c r="AI131" i="21" s="1"/>
  <c r="CH130" i="1"/>
  <c r="EK130" i="1"/>
  <c r="CG130" i="1"/>
  <c r="EJ130" i="1"/>
  <c r="AC131" i="21" s="1"/>
  <c r="EI130" i="1"/>
  <c r="Z131" i="21" s="1"/>
  <c r="EH130" i="1"/>
  <c r="W131" i="21" s="1"/>
  <c r="EG130" i="1"/>
  <c r="T131" i="21" s="1"/>
  <c r="EQ130" i="1"/>
  <c r="EO130" i="1"/>
  <c r="CJ130" i="1"/>
  <c r="CK130" i="1"/>
  <c r="AG65" i="21"/>
  <c r="I65" i="22"/>
  <c r="AM83" i="14"/>
  <c r="AH83" i="14"/>
  <c r="DI85" i="3"/>
  <c r="CD85" i="3"/>
  <c r="DM194" i="1"/>
  <c r="DL194" i="1"/>
  <c r="DK194" i="1"/>
  <c r="DJ194" i="1"/>
  <c r="EP10" i="1"/>
  <c r="H105" i="22"/>
  <c r="L105" i="22" s="1"/>
  <c r="AF105" i="21"/>
  <c r="I138" i="22"/>
  <c r="AG138" i="21"/>
  <c r="AH19" i="21"/>
  <c r="J19" i="22"/>
  <c r="N19" i="22" s="1"/>
  <c r="DI125" i="2"/>
  <c r="CD125" i="2"/>
  <c r="DM157" i="1"/>
  <c r="DL157" i="1"/>
  <c r="DJ157" i="1"/>
  <c r="DK157" i="1"/>
  <c r="L22" i="22"/>
  <c r="EP56" i="2"/>
  <c r="F57" i="22"/>
  <c r="M57" i="22" s="1"/>
  <c r="EL216" i="1"/>
  <c r="AI219" i="21" s="1"/>
  <c r="AF138" i="21"/>
  <c r="H138" i="22"/>
  <c r="M186" i="22"/>
  <c r="EM131" i="3"/>
  <c r="AN133" i="21" s="1"/>
  <c r="J207" i="22"/>
  <c r="AH207" i="21"/>
  <c r="DI196" i="2"/>
  <c r="CD196" i="2"/>
  <c r="AF133" i="21"/>
  <c r="H133" i="22"/>
  <c r="EP132" i="1"/>
  <c r="F50" i="20"/>
  <c r="AG44" i="14"/>
  <c r="AL44" i="14"/>
  <c r="AC21" i="14"/>
  <c r="AZ21" i="14"/>
  <c r="AU21" i="14"/>
  <c r="X21" i="14"/>
  <c r="AL189" i="14"/>
  <c r="AG189" i="14"/>
  <c r="BA177" i="14"/>
  <c r="AD177" i="14"/>
  <c r="AV177" i="14"/>
  <c r="Y177" i="14"/>
  <c r="AB176" i="14"/>
  <c r="W176" i="14"/>
  <c r="AY176" i="14"/>
  <c r="AT176" i="14"/>
  <c r="DJ203" i="1"/>
  <c r="DL203" i="1"/>
  <c r="DK203" i="1"/>
  <c r="DM203" i="1"/>
  <c r="DM209" i="1"/>
  <c r="DL209" i="1"/>
  <c r="DK209" i="1"/>
  <c r="DJ209" i="1"/>
  <c r="AE85" i="7"/>
  <c r="AE63" i="7"/>
  <c r="AE164" i="7"/>
  <c r="AE89" i="7"/>
  <c r="AL49" i="14"/>
  <c r="AG49" i="14"/>
  <c r="AG130" i="14"/>
  <c r="AL130" i="14"/>
  <c r="C70" i="22"/>
  <c r="DI51" i="2"/>
  <c r="CD51" i="2"/>
  <c r="DI159" i="2"/>
  <c r="CD159" i="2"/>
  <c r="DI145" i="2"/>
  <c r="CD145" i="2"/>
  <c r="AF220" i="21"/>
  <c r="H220" i="22"/>
  <c r="N86" i="22"/>
  <c r="DX116" i="3"/>
  <c r="BA116" i="14"/>
  <c r="AD116" i="14"/>
  <c r="Y116" i="14"/>
  <c r="AV116" i="14"/>
  <c r="ER98" i="3"/>
  <c r="DI115" i="2"/>
  <c r="CD115" i="2"/>
  <c r="DI102" i="3"/>
  <c r="CD102" i="3"/>
  <c r="AV87" i="14"/>
  <c r="Y87" i="14"/>
  <c r="AD87" i="14"/>
  <c r="BA87" i="14"/>
  <c r="DI201" i="3"/>
  <c r="CD201" i="3"/>
  <c r="DI80" i="3"/>
  <c r="CD80" i="3"/>
  <c r="DI96" i="3"/>
  <c r="CD96" i="3"/>
  <c r="DL147" i="1"/>
  <c r="DK147" i="1"/>
  <c r="DJ147" i="1"/>
  <c r="DM147" i="1"/>
  <c r="AE84" i="6"/>
  <c r="K84" i="9" s="1"/>
  <c r="AE95" i="6"/>
  <c r="DI23" i="3"/>
  <c r="CD23" i="3"/>
  <c r="DI168" i="3"/>
  <c r="CD168" i="3"/>
  <c r="DJ47" i="1"/>
  <c r="DM47" i="1"/>
  <c r="DL47" i="1"/>
  <c r="DK47" i="1"/>
  <c r="DM175" i="1"/>
  <c r="DL175" i="1"/>
  <c r="DK175" i="1"/>
  <c r="DJ175" i="1"/>
  <c r="DI189" i="2"/>
  <c r="CD189" i="2"/>
  <c r="AU224" i="14"/>
  <c r="X224" i="14"/>
  <c r="AZ224" i="14"/>
  <c r="AC224" i="14"/>
  <c r="AU185" i="14"/>
  <c r="X185" i="14"/>
  <c r="AC185" i="14"/>
  <c r="AZ185" i="14"/>
  <c r="J57" i="22"/>
  <c r="AH57" i="21"/>
  <c r="J171" i="22"/>
  <c r="N171" i="22" s="1"/>
  <c r="AH171" i="21"/>
  <c r="DI24" i="2"/>
  <c r="CD24" i="2"/>
  <c r="I192" i="22"/>
  <c r="AG192" i="21"/>
  <c r="AN66" i="14"/>
  <c r="AI66" i="14"/>
  <c r="DI200" i="2"/>
  <c r="CD200" i="2"/>
  <c r="DI156" i="3"/>
  <c r="CD156" i="3"/>
  <c r="EL151" i="1"/>
  <c r="AI152" i="21" s="1"/>
  <c r="DI197" i="2"/>
  <c r="CD197" i="2"/>
  <c r="BA178" i="14"/>
  <c r="AD178" i="14"/>
  <c r="AV178" i="14"/>
  <c r="Y178" i="14"/>
  <c r="J138" i="22"/>
  <c r="AH138" i="21"/>
  <c r="DI75" i="2"/>
  <c r="CD75" i="2"/>
  <c r="BA192" i="14"/>
  <c r="AD192" i="14"/>
  <c r="AV192" i="14"/>
  <c r="Y192" i="14"/>
  <c r="DI183" i="3"/>
  <c r="CD183" i="3"/>
  <c r="M35" i="22"/>
  <c r="DI91" i="3"/>
  <c r="CD91" i="3"/>
  <c r="BA162" i="14"/>
  <c r="AD162" i="14"/>
  <c r="AV162" i="14"/>
  <c r="Y162" i="14"/>
  <c r="EL132" i="3"/>
  <c r="AK134" i="21" s="1"/>
  <c r="EK151" i="3"/>
  <c r="L117" i="22"/>
  <c r="EP116" i="1"/>
  <c r="L215" i="22"/>
  <c r="AF213" i="21"/>
  <c r="H213" i="22"/>
  <c r="L213" i="22" s="1"/>
  <c r="EL127" i="1"/>
  <c r="AI128" i="21" s="1"/>
  <c r="ER127" i="1"/>
  <c r="ER22" i="1"/>
  <c r="K125" i="9"/>
  <c r="M125" i="9" s="1"/>
  <c r="AF212" i="21"/>
  <c r="H212" i="22"/>
  <c r="L212" i="22" s="1"/>
  <c r="AF82" i="21"/>
  <c r="H82" i="22"/>
  <c r="D122" i="9"/>
  <c r="EJ123" i="1"/>
  <c r="AC124" i="21" s="1"/>
  <c r="CJ123" i="1"/>
  <c r="EI123" i="1"/>
  <c r="Z124" i="21" s="1"/>
  <c r="CI123" i="1"/>
  <c r="EH123" i="1"/>
  <c r="W124" i="21" s="1"/>
  <c r="CH123" i="1"/>
  <c r="EG123" i="1"/>
  <c r="T124" i="21" s="1"/>
  <c r="CG123" i="1"/>
  <c r="EQ123" i="1"/>
  <c r="EK123" i="1" s="1"/>
  <c r="EN123" i="1"/>
  <c r="AO124" i="21" s="1"/>
  <c r="EL123" i="1"/>
  <c r="AI124" i="21" s="1"/>
  <c r="CK123" i="1"/>
  <c r="EM123" i="1"/>
  <c r="AL124" i="21" s="1"/>
  <c r="EO123" i="1"/>
  <c r="D214" i="9"/>
  <c r="CK213" i="1"/>
  <c r="EJ213" i="1"/>
  <c r="AC216" i="21" s="1"/>
  <c r="CJ213" i="1"/>
  <c r="EI213" i="1"/>
  <c r="Z216" i="21" s="1"/>
  <c r="CI213" i="1"/>
  <c r="EH213" i="1"/>
  <c r="W216" i="21" s="1"/>
  <c r="CH213" i="1"/>
  <c r="EG213" i="1"/>
  <c r="T216" i="21" s="1"/>
  <c r="CG213" i="1"/>
  <c r="ER213" i="1"/>
  <c r="E216" i="22" s="1"/>
  <c r="EQ213" i="1"/>
  <c r="EK213" i="1" s="1"/>
  <c r="EN213" i="1"/>
  <c r="AO216" i="21" s="1"/>
  <c r="EM213" i="1"/>
  <c r="AL216" i="21" s="1"/>
  <c r="EO213" i="1"/>
  <c r="ER78" i="1"/>
  <c r="L67" i="22"/>
  <c r="AF4" i="21"/>
  <c r="H4" i="22"/>
  <c r="L4" i="22" s="1"/>
  <c r="EP50" i="1"/>
  <c r="D58" i="9"/>
  <c r="EI59" i="1"/>
  <c r="Z60" i="21" s="1"/>
  <c r="CI59" i="1"/>
  <c r="EQ59" i="1"/>
  <c r="CG59" i="1"/>
  <c r="EO59" i="1"/>
  <c r="EN59" i="1"/>
  <c r="AO60" i="21" s="1"/>
  <c r="EM59" i="1"/>
  <c r="AL60" i="21" s="1"/>
  <c r="EG59" i="1"/>
  <c r="T60" i="21" s="1"/>
  <c r="EK59" i="1"/>
  <c r="CK59" i="1"/>
  <c r="EJ59" i="1"/>
  <c r="AC60" i="21" s="1"/>
  <c r="CJ59" i="1"/>
  <c r="EH59" i="1"/>
  <c r="W60" i="21" s="1"/>
  <c r="CH59" i="1"/>
  <c r="EL59" i="1"/>
  <c r="AI60" i="21" s="1"/>
  <c r="EL212" i="3"/>
  <c r="AK219" i="21" s="1"/>
  <c r="DI44" i="2"/>
  <c r="CD44" i="2"/>
  <c r="DI16" i="2"/>
  <c r="CD16" i="2"/>
  <c r="DI135" i="2"/>
  <c r="CD135" i="2"/>
  <c r="AU70" i="14"/>
  <c r="X70" i="14"/>
  <c r="AZ70" i="14"/>
  <c r="AC70" i="14"/>
  <c r="AU168" i="14"/>
  <c r="X168" i="14"/>
  <c r="AC168" i="14"/>
  <c r="AZ168" i="14"/>
  <c r="DI165" i="3"/>
  <c r="CD165" i="3"/>
  <c r="ER39" i="1"/>
  <c r="AG139" i="21"/>
  <c r="I139" i="22"/>
  <c r="M139" i="22" s="1"/>
  <c r="C139" i="22" s="1"/>
  <c r="EM183" i="1"/>
  <c r="AL185" i="21" s="1"/>
  <c r="EL135" i="3"/>
  <c r="AK138" i="21" s="1"/>
  <c r="K17" i="11"/>
  <c r="M5" i="13"/>
  <c r="U5" i="13" s="1"/>
  <c r="C3" i="19" s="1"/>
  <c r="E231" i="21" s="1"/>
  <c r="DI55" i="2"/>
  <c r="CD55" i="2"/>
  <c r="U55" i="15"/>
  <c r="T55" i="15"/>
  <c r="EP26" i="1"/>
  <c r="AF8" i="21"/>
  <c r="H8" i="22"/>
  <c r="L8" i="22" s="1"/>
  <c r="EM129" i="1"/>
  <c r="AL130" i="21" s="1"/>
  <c r="M47" i="22"/>
  <c r="AG47" i="21"/>
  <c r="I47" i="22"/>
  <c r="ER178" i="2"/>
  <c r="DI57" i="2"/>
  <c r="CD57" i="2"/>
  <c r="AM174" i="14"/>
  <c r="AH174" i="14"/>
  <c r="AY217" i="14"/>
  <c r="AB217" i="14"/>
  <c r="AT217" i="14"/>
  <c r="W217" i="14"/>
  <c r="AF16" i="21"/>
  <c r="H16" i="22"/>
  <c r="EM20" i="1"/>
  <c r="AL21" i="21" s="1"/>
  <c r="L170" i="22"/>
  <c r="AH204" i="21"/>
  <c r="J204" i="22"/>
  <c r="N204" i="22" s="1"/>
  <c r="AB13" i="12"/>
  <c r="AL13" i="12" s="1"/>
  <c r="AU147" i="14"/>
  <c r="X147" i="14"/>
  <c r="AC147" i="14"/>
  <c r="AZ147" i="14"/>
  <c r="W125" i="14"/>
  <c r="AY125" i="14"/>
  <c r="AT125" i="14"/>
  <c r="AB125" i="14"/>
  <c r="DI89" i="2"/>
  <c r="CD89" i="2"/>
  <c r="EP28" i="2"/>
  <c r="EL51" i="1"/>
  <c r="AI52" i="21" s="1"/>
  <c r="AF195" i="21"/>
  <c r="H195" i="22"/>
  <c r="AC9" i="14"/>
  <c r="AZ9" i="14"/>
  <c r="X9" i="14"/>
  <c r="AU9" i="14"/>
  <c r="DI141" i="2"/>
  <c r="CD141" i="2"/>
  <c r="BA211" i="14"/>
  <c r="AD211" i="14"/>
  <c r="AV211" i="14"/>
  <c r="Y211" i="14"/>
  <c r="AZ232" i="14"/>
  <c r="AC232" i="14"/>
  <c r="AU232" i="14"/>
  <c r="X232" i="14"/>
  <c r="S66" i="16"/>
  <c r="T66" i="16"/>
  <c r="AF169" i="21"/>
  <c r="H169" i="22"/>
  <c r="EM35" i="1"/>
  <c r="AL36" i="21" s="1"/>
  <c r="AF194" i="21"/>
  <c r="H194" i="22"/>
  <c r="L194" i="22" s="1"/>
  <c r="EL100" i="1"/>
  <c r="AI101" i="21" s="1"/>
  <c r="D83" i="9"/>
  <c r="EI84" i="1"/>
  <c r="Z85" i="21" s="1"/>
  <c r="CI84" i="1"/>
  <c r="EH84" i="1"/>
  <c r="W85" i="21" s="1"/>
  <c r="CH84" i="1"/>
  <c r="ER84" i="1"/>
  <c r="E85" i="22" s="1"/>
  <c r="EQ84" i="1"/>
  <c r="EO84" i="1"/>
  <c r="EK84" i="1"/>
  <c r="EJ84" i="1"/>
  <c r="AC85" i="21" s="1"/>
  <c r="EG84" i="1"/>
  <c r="T85" i="21" s="1"/>
  <c r="CK84" i="1"/>
  <c r="CG84" i="1"/>
  <c r="CJ84" i="1"/>
  <c r="EN84" i="1"/>
  <c r="AO85" i="21" s="1"/>
  <c r="D187" i="9"/>
  <c r="EL187" i="1"/>
  <c r="AI189" i="21" s="1"/>
  <c r="EK187" i="1"/>
  <c r="CK187" i="1"/>
  <c r="EJ187" i="1"/>
  <c r="AC189" i="21" s="1"/>
  <c r="CJ187" i="1"/>
  <c r="EI187" i="1"/>
  <c r="Z189" i="21" s="1"/>
  <c r="CI187" i="1"/>
  <c r="EH187" i="1"/>
  <c r="W189" i="21" s="1"/>
  <c r="CH187" i="1"/>
  <c r="EG187" i="1"/>
  <c r="T189" i="21" s="1"/>
  <c r="CG187" i="1"/>
  <c r="ER187" i="1"/>
  <c r="E189" i="22" s="1"/>
  <c r="EF187" i="1"/>
  <c r="Q189" i="21" s="1"/>
  <c r="EQ187" i="1"/>
  <c r="EE187" i="1"/>
  <c r="N189" i="21" s="1"/>
  <c r="CQ187" i="1"/>
  <c r="EM187" i="1"/>
  <c r="AL189" i="21" s="1"/>
  <c r="ED187" i="1"/>
  <c r="K189" i="21" s="1"/>
  <c r="EC187" i="1"/>
  <c r="H189" i="21" s="1"/>
  <c r="EB187" i="1"/>
  <c r="E189" i="21" s="1"/>
  <c r="EP187" i="1"/>
  <c r="EO187" i="1"/>
  <c r="EN187" i="1"/>
  <c r="AO189" i="21" s="1"/>
  <c r="DI194" i="2"/>
  <c r="CD194" i="2"/>
  <c r="DI155" i="2"/>
  <c r="CD155" i="2"/>
  <c r="EL104" i="1"/>
  <c r="AI105" i="21" s="1"/>
  <c r="EL87" i="1"/>
  <c r="AI88" i="21" s="1"/>
  <c r="ER87" i="1"/>
  <c r="EL136" i="2"/>
  <c r="AJ138" i="21" s="1"/>
  <c r="EM13" i="3"/>
  <c r="AN14" i="21" s="1"/>
  <c r="EL18" i="3"/>
  <c r="AK19" i="21" s="1"/>
  <c r="N19" i="20" s="1"/>
  <c r="K233" i="20"/>
  <c r="DI65" i="2"/>
  <c r="CD65" i="2"/>
  <c r="DI124" i="3"/>
  <c r="CD124" i="3"/>
  <c r="DI155" i="3"/>
  <c r="CD155" i="3"/>
  <c r="EL75" i="1"/>
  <c r="AI76" i="21" s="1"/>
  <c r="EL137" i="1"/>
  <c r="AI138" i="21" s="1"/>
  <c r="EL102" i="2"/>
  <c r="AJ103" i="21" s="1"/>
  <c r="N103" i="20" s="1"/>
  <c r="AM189" i="14"/>
  <c r="AH189" i="14"/>
  <c r="DI193" i="3"/>
  <c r="CD193" i="3"/>
  <c r="BA21" i="14"/>
  <c r="AD21" i="14"/>
  <c r="Y21" i="14"/>
  <c r="AV21" i="14"/>
  <c r="DI130" i="2"/>
  <c r="CD130" i="2"/>
  <c r="AU177" i="14"/>
  <c r="X177" i="14"/>
  <c r="AC177" i="14"/>
  <c r="AZ177" i="14"/>
  <c r="AU176" i="14"/>
  <c r="X176" i="14"/>
  <c r="AC176" i="14"/>
  <c r="AZ176" i="14"/>
  <c r="DI203" i="2"/>
  <c r="CD203" i="2"/>
  <c r="DI206" i="3"/>
  <c r="CD206" i="3"/>
  <c r="AE16" i="7"/>
  <c r="AE67" i="7"/>
  <c r="AE171" i="7"/>
  <c r="AE187" i="7"/>
  <c r="DI50" i="2"/>
  <c r="CD50" i="2"/>
  <c r="DI91" i="2"/>
  <c r="CD91" i="2"/>
  <c r="DI50" i="3"/>
  <c r="CD50" i="3"/>
  <c r="DI158" i="3"/>
  <c r="CD158" i="3"/>
  <c r="DI144" i="3"/>
  <c r="CD144" i="3"/>
  <c r="EL98" i="3"/>
  <c r="AK100" i="21" s="1"/>
  <c r="DI114" i="3"/>
  <c r="CD114" i="3"/>
  <c r="AN216" i="14"/>
  <c r="AI216" i="14"/>
  <c r="AT209" i="14"/>
  <c r="W209" i="14"/>
  <c r="AY209" i="14"/>
  <c r="AB209" i="14"/>
  <c r="DI146" i="2"/>
  <c r="CD146" i="2"/>
  <c r="AE6" i="6"/>
  <c r="K6" i="9" s="1"/>
  <c r="AE44" i="6"/>
  <c r="K44" i="9" s="1"/>
  <c r="AE76" i="6"/>
  <c r="AE207" i="6"/>
  <c r="DI106" i="2"/>
  <c r="CD106" i="2"/>
  <c r="X175" i="14"/>
  <c r="AZ175" i="14"/>
  <c r="AU175" i="14"/>
  <c r="AC175" i="14"/>
  <c r="DM198" i="1"/>
  <c r="DL198" i="1"/>
  <c r="DK198" i="1"/>
  <c r="DJ198" i="1"/>
  <c r="DI8" i="2"/>
  <c r="CD8" i="2"/>
  <c r="DI47" i="2"/>
  <c r="CD47" i="2"/>
  <c r="DI174" i="2"/>
  <c r="CD174" i="2"/>
  <c r="DI113" i="2"/>
  <c r="CD113" i="2"/>
  <c r="DI192" i="2"/>
  <c r="CD192" i="2"/>
  <c r="DI41" i="2"/>
  <c r="CD41" i="2"/>
  <c r="DI186" i="3"/>
  <c r="CD186" i="3"/>
  <c r="AV224" i="14"/>
  <c r="AD224" i="14"/>
  <c r="Y224" i="14"/>
  <c r="BA224" i="14"/>
  <c r="DI163" i="2"/>
  <c r="CD163" i="2"/>
  <c r="DI12" i="2"/>
  <c r="CD12" i="2"/>
  <c r="U57" i="15"/>
  <c r="T57" i="15"/>
  <c r="DI14" i="3"/>
  <c r="CD14" i="3"/>
  <c r="L21" i="22"/>
  <c r="ER91" i="1"/>
  <c r="AL50" i="14"/>
  <c r="AG50" i="14"/>
  <c r="H116" i="22"/>
  <c r="AF116" i="21"/>
  <c r="H69" i="22"/>
  <c r="AF69" i="21"/>
  <c r="D82" i="9"/>
  <c r="EJ83" i="1"/>
  <c r="AC84" i="21" s="1"/>
  <c r="CJ83" i="1"/>
  <c r="EI83" i="1"/>
  <c r="Z84" i="21" s="1"/>
  <c r="CI83" i="1"/>
  <c r="EG83" i="1"/>
  <c r="T84" i="21" s="1"/>
  <c r="CG83" i="1"/>
  <c r="ER83" i="1"/>
  <c r="E84" i="22" s="1"/>
  <c r="EF83" i="1"/>
  <c r="Q84" i="21" s="1"/>
  <c r="EQ83" i="1"/>
  <c r="EE83" i="1"/>
  <c r="N84" i="21" s="1"/>
  <c r="CQ83" i="1"/>
  <c r="EP83" i="1"/>
  <c r="ED83" i="1"/>
  <c r="K84" i="21" s="1"/>
  <c r="EN83" i="1"/>
  <c r="AO84" i="21" s="1"/>
  <c r="EB83" i="1"/>
  <c r="E84" i="21" s="1"/>
  <c r="EK83" i="1"/>
  <c r="EO83" i="1"/>
  <c r="CK83" i="1"/>
  <c r="EM83" i="1"/>
  <c r="AL84" i="21" s="1"/>
  <c r="EL83" i="1"/>
  <c r="AI84" i="21" s="1"/>
  <c r="EH83" i="1"/>
  <c r="W84" i="21" s="1"/>
  <c r="CH83" i="1"/>
  <c r="EC83" i="1"/>
  <c r="H84" i="21" s="1"/>
  <c r="AV84" i="14"/>
  <c r="Y84" i="14"/>
  <c r="AD84" i="14"/>
  <c r="BA84" i="14"/>
  <c r="EM10" i="1"/>
  <c r="AL11" i="21" s="1"/>
  <c r="M46" i="22"/>
  <c r="EM127" i="1"/>
  <c r="AL128" i="21" s="1"/>
  <c r="EP212" i="1"/>
  <c r="CD154" i="1"/>
  <c r="DX154" i="1"/>
  <c r="DY154" i="1" s="1"/>
  <c r="L176" i="22"/>
  <c r="EL38" i="1"/>
  <c r="AI39" i="21" s="1"/>
  <c r="EM13" i="2"/>
  <c r="AM14" i="21" s="1"/>
  <c r="AF63" i="21"/>
  <c r="H63" i="22"/>
  <c r="L63" i="22" s="1"/>
  <c r="EL81" i="1"/>
  <c r="AI82" i="21" s="1"/>
  <c r="I91" i="22"/>
  <c r="AG91" i="21"/>
  <c r="EM50" i="1"/>
  <c r="AL51" i="21" s="1"/>
  <c r="L148" i="22"/>
  <c r="L184" i="22"/>
  <c r="H126" i="22"/>
  <c r="L126" i="22" s="1"/>
  <c r="AF126" i="21"/>
  <c r="EL86" i="1"/>
  <c r="AI87" i="21" s="1"/>
  <c r="EL201" i="1"/>
  <c r="AI203" i="21" s="1"/>
  <c r="EM212" i="3"/>
  <c r="AN219" i="21" s="1"/>
  <c r="DI43" i="3"/>
  <c r="CD43" i="3"/>
  <c r="DI16" i="3"/>
  <c r="CD16" i="3"/>
  <c r="DI134" i="3"/>
  <c r="CD134" i="3"/>
  <c r="DM161" i="1"/>
  <c r="DL161" i="1"/>
  <c r="DK161" i="1"/>
  <c r="DJ161" i="1"/>
  <c r="DM180" i="1"/>
  <c r="DK180" i="1"/>
  <c r="DJ180" i="1"/>
  <c r="DL180" i="1"/>
  <c r="DI179" i="2"/>
  <c r="CD179" i="2"/>
  <c r="AU172" i="14"/>
  <c r="AC172" i="14"/>
  <c r="X172" i="14"/>
  <c r="AZ172" i="14"/>
  <c r="EL13" i="1"/>
  <c r="AI14" i="21" s="1"/>
  <c r="EM137" i="2"/>
  <c r="AM139" i="21" s="1"/>
  <c r="EL137" i="2"/>
  <c r="AJ139" i="21" s="1"/>
  <c r="N139" i="20" s="1"/>
  <c r="ER183" i="1"/>
  <c r="AG146" i="21"/>
  <c r="I146" i="22"/>
  <c r="M146" i="22" s="1"/>
  <c r="ER204" i="2"/>
  <c r="EM135" i="3"/>
  <c r="AN138" i="21" s="1"/>
  <c r="K18" i="11"/>
  <c r="M6" i="13"/>
  <c r="U6" i="13" s="1"/>
  <c r="D3" i="19" s="1"/>
  <c r="H231" i="21" s="1"/>
  <c r="DI54" i="3"/>
  <c r="CD54" i="3"/>
  <c r="DM162" i="1"/>
  <c r="DL162" i="1"/>
  <c r="DK162" i="1"/>
  <c r="DJ162" i="1"/>
  <c r="DJ154" i="1"/>
  <c r="DK154" i="1"/>
  <c r="DM154" i="1"/>
  <c r="DL154" i="1"/>
  <c r="DM210" i="1"/>
  <c r="DL210" i="1"/>
  <c r="DK210" i="1"/>
  <c r="DJ210" i="1"/>
  <c r="Q75" i="15"/>
  <c r="Q66" i="15"/>
  <c r="U64" i="15"/>
  <c r="Q69" i="15"/>
  <c r="Q70" i="15"/>
  <c r="Q71" i="15"/>
  <c r="Q76" i="15"/>
  <c r="Q68" i="15"/>
  <c r="Q65" i="15"/>
  <c r="Q73" i="15"/>
  <c r="Q67" i="15"/>
  <c r="T64" i="15"/>
  <c r="Q72" i="15"/>
  <c r="Q74" i="15"/>
  <c r="H144" i="22"/>
  <c r="L144" i="22" s="1"/>
  <c r="AF144" i="21"/>
  <c r="ER105" i="2"/>
  <c r="H197" i="22"/>
  <c r="AF197" i="21"/>
  <c r="AL7" i="14"/>
  <c r="AG7" i="14"/>
  <c r="AN76" i="14"/>
  <c r="AI76" i="14"/>
  <c r="AM50" i="14"/>
  <c r="AH50" i="14"/>
  <c r="DI56" i="3"/>
  <c r="CD56" i="3"/>
  <c r="DI127" i="2"/>
  <c r="CD127" i="2"/>
  <c r="DM182" i="1"/>
  <c r="DL182" i="1"/>
  <c r="DK182" i="1"/>
  <c r="DJ182" i="1"/>
  <c r="L16" i="22"/>
  <c r="EL179" i="1"/>
  <c r="AI180" i="21" s="1"/>
  <c r="AH46" i="21"/>
  <c r="J46" i="22"/>
  <c r="AG13" i="12"/>
  <c r="AQ13" i="12" s="1"/>
  <c r="AZ125" i="14"/>
  <c r="AC125" i="14"/>
  <c r="AU125" i="14"/>
  <c r="X125" i="14"/>
  <c r="DI88" i="3"/>
  <c r="CD88" i="3"/>
  <c r="D4" i="9"/>
  <c r="EH5" i="1"/>
  <c r="W6" i="21" s="1"/>
  <c r="EE5" i="1"/>
  <c r="N6" i="21" s="1"/>
  <c r="EN5" i="1"/>
  <c r="AO6" i="21" s="1"/>
  <c r="CG5" i="1"/>
  <c r="CQ5" i="1"/>
  <c r="EG5" i="1"/>
  <c r="T6" i="21" s="1"/>
  <c r="ER5" i="1"/>
  <c r="E6" i="22" s="1"/>
  <c r="EF5" i="1"/>
  <c r="Q6" i="21" s="1"/>
  <c r="EP5" i="1"/>
  <c r="ED5" i="1"/>
  <c r="K6" i="21" s="1"/>
  <c r="EO5" i="1"/>
  <c r="EC5" i="1"/>
  <c r="H6" i="21" s="1"/>
  <c r="EJ5" i="1"/>
  <c r="AC6" i="21" s="1"/>
  <c r="CJ5" i="1"/>
  <c r="EI5" i="1"/>
  <c r="Z6" i="21" s="1"/>
  <c r="CI5" i="1"/>
  <c r="CH5" i="1"/>
  <c r="EQ5" i="1"/>
  <c r="EB5" i="1"/>
  <c r="E6" i="21" s="1"/>
  <c r="EM5" i="1"/>
  <c r="AL6" i="21" s="1"/>
  <c r="EL5" i="1"/>
  <c r="AI6" i="21" s="1"/>
  <c r="EK5" i="1"/>
  <c r="CK5" i="1"/>
  <c r="EM51" i="1"/>
  <c r="AL52" i="21" s="1"/>
  <c r="ER150" i="1"/>
  <c r="L195" i="22"/>
  <c r="EK95" i="3"/>
  <c r="EP95" i="3" s="1"/>
  <c r="EM95" i="3"/>
  <c r="AN97" i="21" s="1"/>
  <c r="BA9" i="14"/>
  <c r="AD9" i="14"/>
  <c r="Y9" i="14"/>
  <c r="AV9" i="14"/>
  <c r="T42" i="14"/>
  <c r="S42" i="14"/>
  <c r="R42" i="14"/>
  <c r="DH37" i="3"/>
  <c r="DH38" i="2"/>
  <c r="DH38" i="1"/>
  <c r="DI38" i="1" s="1"/>
  <c r="DI140" i="3"/>
  <c r="CD140" i="3"/>
  <c r="AY211" i="14"/>
  <c r="AB211" i="14"/>
  <c r="W211" i="14"/>
  <c r="AT211" i="14"/>
  <c r="DI210" i="2"/>
  <c r="CD210" i="2"/>
  <c r="BA232" i="14"/>
  <c r="AD232" i="14"/>
  <c r="AV232" i="14"/>
  <c r="Y232" i="14"/>
  <c r="S62" i="16"/>
  <c r="T62" i="16"/>
  <c r="EL205" i="1"/>
  <c r="AI207" i="21" s="1"/>
  <c r="DX132" i="2"/>
  <c r="EL63" i="2"/>
  <c r="AJ64" i="21" s="1"/>
  <c r="N64" i="20" s="1"/>
  <c r="AH112" i="14"/>
  <c r="AM112" i="14"/>
  <c r="DI191" i="3"/>
  <c r="CD191" i="3"/>
  <c r="DI154" i="3"/>
  <c r="CD154" i="3"/>
  <c r="EL19" i="1"/>
  <c r="AI20" i="21" s="1"/>
  <c r="EM104" i="1"/>
  <c r="AL105" i="21" s="1"/>
  <c r="EM87" i="1"/>
  <c r="AL88" i="21" s="1"/>
  <c r="M138" i="20"/>
  <c r="EM18" i="3"/>
  <c r="AN19" i="21" s="1"/>
  <c r="J210" i="22"/>
  <c r="N210" i="22" s="1"/>
  <c r="AH210" i="21"/>
  <c r="DI64" i="3"/>
  <c r="CD64" i="3"/>
  <c r="DI88" i="2"/>
  <c r="CD88" i="2"/>
  <c r="DI131" i="2"/>
  <c r="CD131" i="2"/>
  <c r="AY129" i="14"/>
  <c r="AB129" i="14"/>
  <c r="AT129" i="14"/>
  <c r="W129" i="14"/>
  <c r="AD161" i="14"/>
  <c r="Y161" i="14"/>
  <c r="BA161" i="14"/>
  <c r="AV161" i="14"/>
  <c r="EM75" i="1"/>
  <c r="AL76" i="21" s="1"/>
  <c r="EM137" i="1"/>
  <c r="AL138" i="21" s="1"/>
  <c r="EM102" i="2"/>
  <c r="AM103" i="21" s="1"/>
  <c r="ER19" i="3"/>
  <c r="AY201" i="14"/>
  <c r="AB201" i="14"/>
  <c r="AT201" i="14"/>
  <c r="W201" i="14"/>
  <c r="DJ4" i="1"/>
  <c r="DL4" i="1"/>
  <c r="DK4" i="1"/>
  <c r="DM4" i="1"/>
  <c r="DI129" i="3"/>
  <c r="CD129" i="3"/>
  <c r="DM141" i="1"/>
  <c r="DL141" i="1"/>
  <c r="DK141" i="1"/>
  <c r="DJ141" i="1"/>
  <c r="DM169" i="1"/>
  <c r="DL169" i="1"/>
  <c r="DK169" i="1"/>
  <c r="DJ169" i="1"/>
  <c r="DI200" i="3"/>
  <c r="CD200" i="3"/>
  <c r="AZ214" i="14"/>
  <c r="AC214" i="14"/>
  <c r="AU214" i="14"/>
  <c r="X214" i="14"/>
  <c r="AE97" i="7"/>
  <c r="AE60" i="7"/>
  <c r="L61" i="9" s="1"/>
  <c r="AE35" i="7"/>
  <c r="AE183" i="7"/>
  <c r="AE207" i="7"/>
  <c r="L211" i="9" s="1"/>
  <c r="M211" i="9" s="1"/>
  <c r="AE133" i="7"/>
  <c r="AE129" i="7"/>
  <c r="AE113" i="7"/>
  <c r="DI49" i="3"/>
  <c r="CD49" i="3"/>
  <c r="ER74" i="1"/>
  <c r="DI90" i="3"/>
  <c r="CD90" i="3"/>
  <c r="DK31" i="1"/>
  <c r="DM31" i="1"/>
  <c r="DL31" i="1"/>
  <c r="DJ31" i="1"/>
  <c r="H172" i="22"/>
  <c r="L172" i="22" s="1"/>
  <c r="AF172" i="21"/>
  <c r="AV164" i="14"/>
  <c r="AD164" i="14"/>
  <c r="Y164" i="14"/>
  <c r="BA164" i="14"/>
  <c r="AH76" i="14"/>
  <c r="AM76" i="14"/>
  <c r="DI71" i="2"/>
  <c r="CD71" i="2"/>
  <c r="DI21" i="2"/>
  <c r="CD21" i="2"/>
  <c r="L210" i="22"/>
  <c r="G91" i="22"/>
  <c r="N91" i="22" s="1"/>
  <c r="EP89" i="3"/>
  <c r="EM98" i="3"/>
  <c r="AN100" i="21" s="1"/>
  <c r="N35" i="22"/>
  <c r="AU209" i="14"/>
  <c r="X209" i="14"/>
  <c r="AZ209" i="14"/>
  <c r="AC209" i="14"/>
  <c r="DI145" i="3"/>
  <c r="CD145" i="3"/>
  <c r="AE63" i="6"/>
  <c r="AE190" i="6"/>
  <c r="AE161" i="6"/>
  <c r="AE126" i="6"/>
  <c r="AE191" i="6"/>
  <c r="AN113" i="14"/>
  <c r="AI113" i="14"/>
  <c r="DI105" i="3"/>
  <c r="CD105" i="3"/>
  <c r="BA175" i="14"/>
  <c r="AD175" i="14"/>
  <c r="AV175" i="14"/>
  <c r="Y175" i="14"/>
  <c r="DI198" i="2"/>
  <c r="CD198" i="2"/>
  <c r="DI8" i="3"/>
  <c r="CD8" i="3"/>
  <c r="DI46" i="3"/>
  <c r="CD46" i="3"/>
  <c r="DI172" i="3"/>
  <c r="CD172" i="3"/>
  <c r="DI112" i="3"/>
  <c r="CD112" i="3"/>
  <c r="DJ178" i="1"/>
  <c r="DK178" i="1"/>
  <c r="DM178" i="1"/>
  <c r="DL178" i="1"/>
  <c r="DI189" i="3"/>
  <c r="CD189" i="3"/>
  <c r="DI40" i="3"/>
  <c r="CD40" i="3"/>
  <c r="AT194" i="14"/>
  <c r="W194" i="14"/>
  <c r="AB194" i="14"/>
  <c r="AY194" i="14"/>
  <c r="W166" i="14"/>
  <c r="AY166" i="14"/>
  <c r="AT166" i="14"/>
  <c r="AB166" i="14"/>
  <c r="AG112" i="21"/>
  <c r="I112" i="22"/>
  <c r="M112" i="22" s="1"/>
  <c r="AF28" i="21"/>
  <c r="H28" i="22"/>
  <c r="H121" i="22"/>
  <c r="L121" i="22" s="1"/>
  <c r="AF121" i="21"/>
  <c r="L51" i="22"/>
  <c r="AF51" i="21"/>
  <c r="H51" i="22"/>
  <c r="M40" i="22"/>
  <c r="DI207" i="2"/>
  <c r="CD207" i="2"/>
  <c r="DI183" i="2"/>
  <c r="CD183" i="2"/>
  <c r="ER220" i="1"/>
  <c r="H205" i="22"/>
  <c r="L205" i="22" s="1"/>
  <c r="AF205" i="21"/>
  <c r="AF102" i="21"/>
  <c r="H102" i="22"/>
  <c r="AG23" i="21"/>
  <c r="I23" i="22"/>
  <c r="M23" i="22" s="1"/>
  <c r="C23" i="22" s="1"/>
  <c r="L15" i="22"/>
  <c r="AF15" i="21"/>
  <c r="H15" i="22"/>
  <c r="EM38" i="1"/>
  <c r="AL39" i="21" s="1"/>
  <c r="D15" i="9"/>
  <c r="EJ16" i="1"/>
  <c r="AC17" i="21" s="1"/>
  <c r="EI16" i="1"/>
  <c r="Z17" i="21" s="1"/>
  <c r="CI16" i="1"/>
  <c r="CH16" i="1"/>
  <c r="EH16" i="1"/>
  <c r="W17" i="21" s="1"/>
  <c r="EG16" i="1"/>
  <c r="T17" i="21" s="1"/>
  <c r="CG16" i="1"/>
  <c r="EO16" i="1"/>
  <c r="EQ16" i="1"/>
  <c r="EK16" i="1"/>
  <c r="CK16" i="1"/>
  <c r="CJ16" i="1"/>
  <c r="EN16" i="1"/>
  <c r="AO17" i="21" s="1"/>
  <c r="H55" i="22"/>
  <c r="L55" i="22" s="1"/>
  <c r="AF55" i="21"/>
  <c r="AF71" i="21"/>
  <c r="H71" i="22"/>
  <c r="L71" i="22" s="1"/>
  <c r="ER90" i="2"/>
  <c r="AF29" i="21"/>
  <c r="H29" i="22"/>
  <c r="EP73" i="1"/>
  <c r="EM56" i="1"/>
  <c r="AL57" i="21" s="1"/>
  <c r="D57" i="9"/>
  <c r="EJ58" i="1"/>
  <c r="AC59" i="21" s="1"/>
  <c r="CJ58" i="1"/>
  <c r="EG58" i="1"/>
  <c r="T59" i="21" s="1"/>
  <c r="CG58" i="1"/>
  <c r="ER58" i="1"/>
  <c r="E59" i="22" s="1"/>
  <c r="EQ58" i="1"/>
  <c r="EK58" i="1" s="1"/>
  <c r="CK58" i="1"/>
  <c r="CI58" i="1"/>
  <c r="EI58" i="1"/>
  <c r="Z59" i="21" s="1"/>
  <c r="CH58" i="1"/>
  <c r="EH58" i="1"/>
  <c r="W59" i="21" s="1"/>
  <c r="EM58" i="1"/>
  <c r="AL59" i="21" s="1"/>
  <c r="EO58" i="1"/>
  <c r="EN58" i="1"/>
  <c r="AO59" i="21" s="1"/>
  <c r="H95" i="22"/>
  <c r="AF95" i="21"/>
  <c r="EP144" i="1"/>
  <c r="H47" i="22"/>
  <c r="L47" i="22" s="1"/>
  <c r="AF47" i="21"/>
  <c r="D120" i="9"/>
  <c r="EL121" i="1"/>
  <c r="AI122" i="21" s="1"/>
  <c r="EK121" i="1"/>
  <c r="CK121" i="1"/>
  <c r="EJ121" i="1"/>
  <c r="AC122" i="21" s="1"/>
  <c r="CJ121" i="1"/>
  <c r="EI121" i="1"/>
  <c r="Z122" i="21" s="1"/>
  <c r="CI121" i="1"/>
  <c r="EH121" i="1"/>
  <c r="W122" i="21" s="1"/>
  <c r="CH121" i="1"/>
  <c r="EG121" i="1"/>
  <c r="T122" i="21" s="1"/>
  <c r="CG121" i="1"/>
  <c r="ER121" i="1"/>
  <c r="E122" i="22" s="1"/>
  <c r="EF121" i="1"/>
  <c r="Q122" i="21" s="1"/>
  <c r="EP121" i="1"/>
  <c r="ED121" i="1"/>
  <c r="K122" i="21" s="1"/>
  <c r="EQ121" i="1"/>
  <c r="EM121" i="1"/>
  <c r="AL122" i="21" s="1"/>
  <c r="EO121" i="1"/>
  <c r="EN121" i="1"/>
  <c r="AO122" i="21" s="1"/>
  <c r="EE121" i="1"/>
  <c r="N122" i="21" s="1"/>
  <c r="EB121" i="1"/>
  <c r="E122" i="21" s="1"/>
  <c r="EC121" i="1"/>
  <c r="H122" i="21" s="1"/>
  <c r="CQ121" i="1"/>
  <c r="EM201" i="1"/>
  <c r="AL203" i="21" s="1"/>
  <c r="ER201" i="1"/>
  <c r="ER212" i="3"/>
  <c r="W48" i="14"/>
  <c r="AY48" i="14"/>
  <c r="AT48" i="14"/>
  <c r="AB48" i="14"/>
  <c r="AT140" i="14"/>
  <c r="AB140" i="14"/>
  <c r="AY140" i="14"/>
  <c r="W140" i="14"/>
  <c r="DI160" i="2"/>
  <c r="CD160" i="2"/>
  <c r="DI180" i="2"/>
  <c r="CD180" i="2"/>
  <c r="DI176" i="3"/>
  <c r="CD176" i="3"/>
  <c r="BA172" i="14"/>
  <c r="AD172" i="14"/>
  <c r="AV172" i="14"/>
  <c r="Y172" i="14"/>
  <c r="L14" i="22"/>
  <c r="ER71" i="1"/>
  <c r="EL96" i="2"/>
  <c r="AJ97" i="21" s="1"/>
  <c r="N97" i="20" s="1"/>
  <c r="DI77" i="2"/>
  <c r="CD77" i="2"/>
  <c r="DI161" i="2"/>
  <c r="CD161" i="2"/>
  <c r="DI153" i="2"/>
  <c r="CD153" i="2"/>
  <c r="DI207" i="3"/>
  <c r="CD207" i="3"/>
  <c r="T56" i="15"/>
  <c r="U56" i="15"/>
  <c r="H209" i="22"/>
  <c r="AF209" i="21"/>
  <c r="L49" i="22"/>
  <c r="H158" i="22"/>
  <c r="L158" i="22" s="1"/>
  <c r="AF158" i="21"/>
  <c r="J110" i="22"/>
  <c r="N110" i="22" s="1"/>
  <c r="AH110" i="21"/>
  <c r="CD126" i="3"/>
  <c r="DI126" i="3"/>
  <c r="DI182" i="2"/>
  <c r="CD182" i="2"/>
  <c r="EP103" i="1"/>
  <c r="AH63" i="21"/>
  <c r="J63" i="22"/>
  <c r="BA125" i="14"/>
  <c r="AD125" i="14"/>
  <c r="AV125" i="14"/>
  <c r="Y125" i="14"/>
  <c r="DI143" i="2"/>
  <c r="CD143" i="2"/>
  <c r="ER63" i="1"/>
  <c r="M192" i="22"/>
  <c r="EP48" i="3"/>
  <c r="EL95" i="3"/>
  <c r="AK97" i="21" s="1"/>
  <c r="AH13" i="12"/>
  <c r="AR13" i="12" s="1"/>
  <c r="DI110" i="2"/>
  <c r="CD110" i="2"/>
  <c r="AT146" i="14"/>
  <c r="W146" i="14"/>
  <c r="AY146" i="14"/>
  <c r="AB146" i="14"/>
  <c r="DM163" i="1"/>
  <c r="DL163" i="1"/>
  <c r="DK163" i="1"/>
  <c r="DJ163" i="1"/>
  <c r="DI215" i="3"/>
  <c r="CD215" i="3"/>
  <c r="AY232" i="14"/>
  <c r="AB232" i="14"/>
  <c r="AT232" i="14"/>
  <c r="W232" i="14"/>
  <c r="T67" i="16"/>
  <c r="S67" i="16"/>
  <c r="EM205" i="1"/>
  <c r="AL207" i="21" s="1"/>
  <c r="ER100" i="1"/>
  <c r="D151" i="9"/>
  <c r="EK152" i="1"/>
  <c r="CK152" i="1"/>
  <c r="EJ152" i="1"/>
  <c r="AC153" i="21" s="1"/>
  <c r="CJ152" i="1"/>
  <c r="EI152" i="1"/>
  <c r="Z153" i="21" s="1"/>
  <c r="CI152" i="1"/>
  <c r="EG152" i="1"/>
  <c r="T153" i="21" s="1"/>
  <c r="CG152" i="1"/>
  <c r="ER152" i="1"/>
  <c r="E153" i="22" s="1"/>
  <c r="EF152" i="1"/>
  <c r="Q153" i="21" s="1"/>
  <c r="EQ152" i="1"/>
  <c r="EE152" i="1"/>
  <c r="N153" i="21" s="1"/>
  <c r="CQ152" i="1"/>
  <c r="EP152" i="1"/>
  <c r="ED152" i="1"/>
  <c r="K153" i="21" s="1"/>
  <c r="EL152" i="1"/>
  <c r="AI153" i="21" s="1"/>
  <c r="CH152" i="1"/>
  <c r="EO152" i="1"/>
  <c r="EM152" i="1"/>
  <c r="AL153" i="21" s="1"/>
  <c r="EH152" i="1"/>
  <c r="W153" i="21" s="1"/>
  <c r="EC152" i="1"/>
  <c r="H153" i="21" s="1"/>
  <c r="EB152" i="1"/>
  <c r="E153" i="21" s="1"/>
  <c r="EN152" i="1"/>
  <c r="AO153" i="21" s="1"/>
  <c r="EL58" i="2"/>
  <c r="AJ59" i="21" s="1"/>
  <c r="EL57" i="3"/>
  <c r="AK59" i="21" s="1"/>
  <c r="J4" i="22"/>
  <c r="N4" i="22" s="1"/>
  <c r="AH4" i="21"/>
  <c r="F65" i="20"/>
  <c r="ER64" i="2"/>
  <c r="EM63" i="2"/>
  <c r="AM64" i="21" s="1"/>
  <c r="ER175" i="3"/>
  <c r="AC207" i="7"/>
  <c r="AC215" i="7"/>
  <c r="AE215" i="7" s="1"/>
  <c r="L222" i="9" s="1"/>
  <c r="AC203" i="7"/>
  <c r="AE203" i="7" s="1"/>
  <c r="AC208" i="7"/>
  <c r="AE208" i="7" s="1"/>
  <c r="AC196" i="7"/>
  <c r="AC184" i="7"/>
  <c r="AC172" i="7"/>
  <c r="AE172" i="7" s="1"/>
  <c r="AC182" i="7"/>
  <c r="AE182" i="7" s="1"/>
  <c r="AC161" i="7"/>
  <c r="AE161" i="7" s="1"/>
  <c r="AC155" i="7"/>
  <c r="AC131" i="7"/>
  <c r="AE131" i="7" s="1"/>
  <c r="AC119" i="7"/>
  <c r="AE119" i="7" s="1"/>
  <c r="AC38" i="7"/>
  <c r="AE38" i="7" s="1"/>
  <c r="L39" i="9" s="1"/>
  <c r="AC4" i="7"/>
  <c r="AC213" i="7"/>
  <c r="AC201" i="7"/>
  <c r="AC171" i="7"/>
  <c r="AC167" i="7"/>
  <c r="AE167" i="7" s="1"/>
  <c r="AC109" i="7"/>
  <c r="AE109" i="7" s="1"/>
  <c r="L110" i="9" s="1"/>
  <c r="AC107" i="7"/>
  <c r="AE107" i="7" s="1"/>
  <c r="L108" i="9" s="1"/>
  <c r="AC99" i="7"/>
  <c r="AE99" i="7" s="1"/>
  <c r="AC47" i="7"/>
  <c r="AE47" i="7" s="1"/>
  <c r="AC188" i="7"/>
  <c r="AE188" i="7" s="1"/>
  <c r="AC173" i="7"/>
  <c r="AE173" i="7" s="1"/>
  <c r="AC62" i="7"/>
  <c r="AE62" i="7" s="1"/>
  <c r="AC11" i="7"/>
  <c r="AC194" i="7"/>
  <c r="AE194" i="7" s="1"/>
  <c r="AC183" i="7"/>
  <c r="AC179" i="7"/>
  <c r="AC156" i="7"/>
  <c r="AE156" i="7" s="1"/>
  <c r="AC152" i="7"/>
  <c r="AE152" i="7" s="1"/>
  <c r="AC128" i="7"/>
  <c r="AE128" i="7" s="1"/>
  <c r="AC71" i="7"/>
  <c r="AE71" i="7" s="1"/>
  <c r="AC212" i="7"/>
  <c r="AC185" i="7"/>
  <c r="AE185" i="7" s="1"/>
  <c r="AC162" i="7"/>
  <c r="AE162" i="7" s="1"/>
  <c r="AC158" i="7"/>
  <c r="AC134" i="7"/>
  <c r="AC122" i="7"/>
  <c r="AE122" i="7" s="1"/>
  <c r="AC116" i="7"/>
  <c r="AE116" i="7" s="1"/>
  <c r="AC35" i="7"/>
  <c r="AC90" i="7"/>
  <c r="AE90" i="7" s="1"/>
  <c r="AC86" i="7"/>
  <c r="AC84" i="7"/>
  <c r="AE84" i="7" s="1"/>
  <c r="AC80" i="7"/>
  <c r="AE80" i="7" s="1"/>
  <c r="AC59" i="7"/>
  <c r="AC44" i="7"/>
  <c r="AE44" i="7" s="1"/>
  <c r="L45" i="9" s="1"/>
  <c r="AC29" i="7"/>
  <c r="AE29" i="7" s="1"/>
  <c r="AC27" i="7"/>
  <c r="AC206" i="7"/>
  <c r="AE206" i="7" s="1"/>
  <c r="AC197" i="7"/>
  <c r="AE197" i="7" s="1"/>
  <c r="AC195" i="7"/>
  <c r="AE195" i="7" s="1"/>
  <c r="L199" i="9" s="1"/>
  <c r="AC9" i="7"/>
  <c r="AC117" i="7"/>
  <c r="AE117" i="7" s="1"/>
  <c r="AC33" i="7"/>
  <c r="AC24" i="7"/>
  <c r="AC14" i="7"/>
  <c r="AE14" i="7" s="1"/>
  <c r="AC176" i="7"/>
  <c r="AE176" i="7" s="1"/>
  <c r="AC98" i="7"/>
  <c r="AE98" i="7" s="1"/>
  <c r="AC50" i="7"/>
  <c r="AE50" i="7" s="1"/>
  <c r="AC26" i="7"/>
  <c r="AE26" i="7" s="1"/>
  <c r="AC200" i="7"/>
  <c r="AC149" i="7"/>
  <c r="AC140" i="7"/>
  <c r="AE140" i="7" s="1"/>
  <c r="AC72" i="7"/>
  <c r="AE72" i="7" s="1"/>
  <c r="AC170" i="7"/>
  <c r="AE170" i="7" s="1"/>
  <c r="AC95" i="7"/>
  <c r="AE95" i="7" s="1"/>
  <c r="AC83" i="7"/>
  <c r="AE83" i="7" s="1"/>
  <c r="L84" i="9" s="1"/>
  <c r="AC57" i="7"/>
  <c r="AE57" i="7" s="1"/>
  <c r="AC21" i="7"/>
  <c r="AE21" i="7" s="1"/>
  <c r="AC159" i="7"/>
  <c r="AE159" i="7" s="1"/>
  <c r="AC74" i="7"/>
  <c r="AE74" i="7" s="1"/>
  <c r="AC23" i="7"/>
  <c r="AC153" i="7"/>
  <c r="AC141" i="7"/>
  <c r="AE141" i="7" s="1"/>
  <c r="AC104" i="7"/>
  <c r="AE104" i="7" s="1"/>
  <c r="AC89" i="7"/>
  <c r="AC56" i="7"/>
  <c r="AC12" i="7"/>
  <c r="AC150" i="7"/>
  <c r="AE150" i="7" s="1"/>
  <c r="AC102" i="7"/>
  <c r="AE102" i="7" s="1"/>
  <c r="AC96" i="7"/>
  <c r="AC78" i="7"/>
  <c r="AE78" i="7" s="1"/>
  <c r="AC40" i="7"/>
  <c r="AC164" i="7"/>
  <c r="AC129" i="7"/>
  <c r="AC48" i="7"/>
  <c r="AE48" i="7" s="1"/>
  <c r="AC191" i="7"/>
  <c r="AE191" i="7" s="1"/>
  <c r="AC146" i="7"/>
  <c r="AC92" i="7"/>
  <c r="AE92" i="7" s="1"/>
  <c r="AC42" i="7"/>
  <c r="AE42" i="7" s="1"/>
  <c r="AC110" i="7"/>
  <c r="AE110" i="7" s="1"/>
  <c r="AC143" i="7"/>
  <c r="AE143" i="7" s="1"/>
  <c r="AC65" i="7"/>
  <c r="AE65" i="7" s="1"/>
  <c r="AC8" i="7"/>
  <c r="AE8" i="7" s="1"/>
  <c r="L8" i="9" s="1"/>
  <c r="AC85" i="7"/>
  <c r="AC25" i="7"/>
  <c r="AC61" i="7"/>
  <c r="AE61" i="7" s="1"/>
  <c r="AC145" i="7"/>
  <c r="AE145" i="7" s="1"/>
  <c r="L147" i="9" s="1"/>
  <c r="AC97" i="7"/>
  <c r="AC111" i="7"/>
  <c r="AE111" i="7" s="1"/>
  <c r="AC198" i="7"/>
  <c r="AE198" i="7" s="1"/>
  <c r="L202" i="9" s="1"/>
  <c r="AC17" i="7"/>
  <c r="AE17" i="7" s="1"/>
  <c r="AC166" i="7"/>
  <c r="AE166" i="7" s="1"/>
  <c r="L169" i="9" s="1"/>
  <c r="AC130" i="7"/>
  <c r="AE130" i="7" s="1"/>
  <c r="AC193" i="7"/>
  <c r="AE193" i="7" s="1"/>
  <c r="AC216" i="7"/>
  <c r="AE216" i="7" s="1"/>
  <c r="L223" i="9" s="1"/>
  <c r="AC7" i="7"/>
  <c r="AE7" i="7" s="1"/>
  <c r="AC144" i="7"/>
  <c r="AC125" i="7"/>
  <c r="AC36" i="7"/>
  <c r="AC120" i="7"/>
  <c r="AE120" i="7" s="1"/>
  <c r="AC210" i="7"/>
  <c r="AE210" i="7" s="1"/>
  <c r="AC45" i="7"/>
  <c r="AE45" i="7" s="1"/>
  <c r="AC139" i="7"/>
  <c r="AE139" i="7" s="1"/>
  <c r="AC82" i="7"/>
  <c r="AE82" i="7" s="1"/>
  <c r="AC100" i="7"/>
  <c r="AE100" i="7" s="1"/>
  <c r="AC16" i="7"/>
  <c r="AC113" i="7"/>
  <c r="AC133" i="7"/>
  <c r="AC37" i="7"/>
  <c r="AE37" i="7" s="1"/>
  <c r="AC168" i="7"/>
  <c r="AE168" i="7" s="1"/>
  <c r="AC136" i="7"/>
  <c r="AE136" i="7" s="1"/>
  <c r="AC126" i="7"/>
  <c r="AE126" i="7" s="1"/>
  <c r="AC157" i="7"/>
  <c r="AC55" i="7"/>
  <c r="AE55" i="7" s="1"/>
  <c r="AC204" i="7"/>
  <c r="AE204" i="7" s="1"/>
  <c r="L208" i="9" s="1"/>
  <c r="M208" i="9" s="1"/>
  <c r="AC3" i="7"/>
  <c r="AE3" i="7" s="1"/>
  <c r="AC108" i="7"/>
  <c r="AE108" i="7" s="1"/>
  <c r="AC28" i="7"/>
  <c r="AE28" i="7" s="1"/>
  <c r="AC121" i="7"/>
  <c r="AE121" i="7" s="1"/>
  <c r="AC175" i="7"/>
  <c r="AE175" i="7" s="1"/>
  <c r="AC147" i="7"/>
  <c r="AE147" i="7" s="1"/>
  <c r="AC46" i="7"/>
  <c r="AE46" i="7" s="1"/>
  <c r="L47" i="9" s="1"/>
  <c r="AC187" i="7"/>
  <c r="AC132" i="7"/>
  <c r="AC199" i="7"/>
  <c r="AE199" i="7" s="1"/>
  <c r="AC151" i="7"/>
  <c r="AC88" i="7"/>
  <c r="AE88" i="7" s="1"/>
  <c r="AC127" i="7"/>
  <c r="AE127" i="7" s="1"/>
  <c r="AC137" i="7"/>
  <c r="AE137" i="7" s="1"/>
  <c r="AC51" i="7"/>
  <c r="AE51" i="7" s="1"/>
  <c r="AC217" i="7"/>
  <c r="AE217" i="7" s="1"/>
  <c r="AC67" i="7"/>
  <c r="AC160" i="7"/>
  <c r="AE160" i="7" s="1"/>
  <c r="AC138" i="7"/>
  <c r="AC70" i="7"/>
  <c r="AC178" i="7"/>
  <c r="AE178" i="7" s="1"/>
  <c r="AC15" i="7"/>
  <c r="AC94" i="7"/>
  <c r="AE94" i="7" s="1"/>
  <c r="AC105" i="7"/>
  <c r="AE105" i="7" s="1"/>
  <c r="AC49" i="7"/>
  <c r="AE49" i="7" s="1"/>
  <c r="AC43" i="7"/>
  <c r="AE43" i="7" s="1"/>
  <c r="L44" i="9" s="1"/>
  <c r="AC19" i="7"/>
  <c r="AE19" i="7" s="1"/>
  <c r="AC73" i="7"/>
  <c r="AC118" i="7"/>
  <c r="AE118" i="7" s="1"/>
  <c r="L119" i="9" s="1"/>
  <c r="AC209" i="7"/>
  <c r="AE209" i="7" s="1"/>
  <c r="AC190" i="7"/>
  <c r="AE190" i="7" s="1"/>
  <c r="AC10" i="7"/>
  <c r="AC148" i="7"/>
  <c r="AC69" i="7"/>
  <c r="AE69" i="7" s="1"/>
  <c r="AC52" i="7"/>
  <c r="AE52" i="7" s="1"/>
  <c r="AC205" i="7"/>
  <c r="AE205" i="7" s="1"/>
  <c r="AC41" i="7"/>
  <c r="AE41" i="7" s="1"/>
  <c r="L42" i="9" s="1"/>
  <c r="AC101" i="7"/>
  <c r="AE101" i="7" s="1"/>
  <c r="AC174" i="7"/>
  <c r="AE174" i="7" s="1"/>
  <c r="AC91" i="7"/>
  <c r="AC39" i="7"/>
  <c r="AE39" i="7" s="1"/>
  <c r="AC81" i="7"/>
  <c r="AE81" i="7" s="1"/>
  <c r="AC211" i="7"/>
  <c r="AC165" i="7"/>
  <c r="AC79" i="7"/>
  <c r="AE79" i="7" s="1"/>
  <c r="AC53" i="7"/>
  <c r="AC2" i="7"/>
  <c r="AE2" i="7" s="1"/>
  <c r="AC112" i="7"/>
  <c r="AC115" i="7"/>
  <c r="AE115" i="7" s="1"/>
  <c r="AC5" i="7"/>
  <c r="AE5" i="7" s="1"/>
  <c r="AC124" i="7"/>
  <c r="AC54" i="7"/>
  <c r="AE54" i="7" s="1"/>
  <c r="AC192" i="7"/>
  <c r="AC87" i="7"/>
  <c r="AE87" i="7" s="1"/>
  <c r="AC68" i="7"/>
  <c r="AE68" i="7" s="1"/>
  <c r="AC114" i="7"/>
  <c r="AE114" i="7" s="1"/>
  <c r="AC66" i="7"/>
  <c r="AE66" i="7" s="1"/>
  <c r="AC77" i="7"/>
  <c r="AC177" i="7"/>
  <c r="AE177" i="7" s="1"/>
  <c r="AC103" i="7"/>
  <c r="AE103" i="7" s="1"/>
  <c r="AC163" i="7"/>
  <c r="AE163" i="7" s="1"/>
  <c r="AC30" i="7"/>
  <c r="AE30" i="7" s="1"/>
  <c r="AC93" i="7"/>
  <c r="AE93" i="7" s="1"/>
  <c r="L94" i="9" s="1"/>
  <c r="AC186" i="7"/>
  <c r="AC180" i="7"/>
  <c r="AE180" i="7" s="1"/>
  <c r="L184" i="9" s="1"/>
  <c r="AC20" i="7"/>
  <c r="AE20" i="7" s="1"/>
  <c r="AC34" i="7"/>
  <c r="AE34" i="7" s="1"/>
  <c r="AC64" i="7"/>
  <c r="AC13" i="7"/>
  <c r="AE13" i="7" s="1"/>
  <c r="AC142" i="7"/>
  <c r="AE142" i="7" s="1"/>
  <c r="L144" i="9" s="1"/>
  <c r="AC123" i="7"/>
  <c r="AE123" i="7" s="1"/>
  <c r="AC32" i="7"/>
  <c r="AC6" i="7"/>
  <c r="AE6" i="7" s="1"/>
  <c r="L6" i="9" s="1"/>
  <c r="AC22" i="7"/>
  <c r="AE22" i="7" s="1"/>
  <c r="AC106" i="7"/>
  <c r="AE106" i="7" s="1"/>
  <c r="L107" i="9" s="1"/>
  <c r="AC60" i="7"/>
  <c r="AC202" i="7"/>
  <c r="AC18" i="7"/>
  <c r="AE18" i="7" s="1"/>
  <c r="AC189" i="7"/>
  <c r="AE189" i="7" s="1"/>
  <c r="L193" i="9" s="1"/>
  <c r="AC31" i="7"/>
  <c r="AC58" i="7"/>
  <c r="AE58" i="7" s="1"/>
  <c r="AC154" i="7"/>
  <c r="AC76" i="7"/>
  <c r="AE76" i="7" s="1"/>
  <c r="AC135" i="7"/>
  <c r="AC75" i="7"/>
  <c r="AE75" i="7" s="1"/>
  <c r="AC169" i="7"/>
  <c r="AE169" i="7" s="1"/>
  <c r="AC63" i="7"/>
  <c r="AC214" i="7"/>
  <c r="AC181" i="7"/>
  <c r="AE181" i="7" s="1"/>
  <c r="AZ199" i="14"/>
  <c r="AC199" i="14"/>
  <c r="AU199" i="14"/>
  <c r="X199" i="14"/>
  <c r="ER19" i="1"/>
  <c r="EP85" i="1"/>
  <c r="EP114" i="2"/>
  <c r="G138" i="20"/>
  <c r="AI44" i="14"/>
  <c r="AN44" i="14"/>
  <c r="DI122" i="2"/>
  <c r="CD122" i="2"/>
  <c r="DI87" i="3"/>
  <c r="CD87" i="3"/>
  <c r="DI130" i="3"/>
  <c r="CD130" i="3"/>
  <c r="AN231" i="14"/>
  <c r="AI231" i="14"/>
  <c r="AU129" i="14"/>
  <c r="X129" i="14"/>
  <c r="AZ129" i="14"/>
  <c r="AC129" i="14"/>
  <c r="AB161" i="14"/>
  <c r="W161" i="14"/>
  <c r="AY161" i="14"/>
  <c r="AT161" i="14"/>
  <c r="EL21" i="1"/>
  <c r="AI22" i="21" s="1"/>
  <c r="D109" i="9"/>
  <c r="CK110" i="1"/>
  <c r="EJ110" i="1"/>
  <c r="AC111" i="21" s="1"/>
  <c r="CJ110" i="1"/>
  <c r="EI110" i="1"/>
  <c r="Z111" i="21" s="1"/>
  <c r="CI110" i="1"/>
  <c r="EH110" i="1"/>
  <c r="W111" i="21" s="1"/>
  <c r="CH110" i="1"/>
  <c r="EG110" i="1"/>
  <c r="T111" i="21" s="1"/>
  <c r="CG110" i="1"/>
  <c r="ER110" i="1"/>
  <c r="E111" i="22" s="1"/>
  <c r="EQ110" i="1"/>
  <c r="EK110" i="1" s="1"/>
  <c r="EO110" i="1"/>
  <c r="EN110" i="1"/>
  <c r="AO111" i="21" s="1"/>
  <c r="EL110" i="1"/>
  <c r="AI111" i="21" s="1"/>
  <c r="ER216" i="1"/>
  <c r="ER102" i="2"/>
  <c r="N133" i="22"/>
  <c r="AZ201" i="14"/>
  <c r="AC201" i="14"/>
  <c r="AU201" i="14"/>
  <c r="X201" i="14"/>
  <c r="DM159" i="1"/>
  <c r="DL159" i="1"/>
  <c r="DK159" i="1"/>
  <c r="DJ159" i="1"/>
  <c r="DJ167" i="1"/>
  <c r="DM167" i="1"/>
  <c r="DL167" i="1"/>
  <c r="DK167" i="1"/>
  <c r="DI204" i="3"/>
  <c r="CD204" i="3"/>
  <c r="D138" i="9"/>
  <c r="EI139" i="1"/>
  <c r="Z140" i="21" s="1"/>
  <c r="CI139" i="1"/>
  <c r="EG139" i="1"/>
  <c r="T140" i="21" s="1"/>
  <c r="CG139" i="1"/>
  <c r="EQ139" i="1"/>
  <c r="EK139" i="1" s="1"/>
  <c r="CH139" i="1"/>
  <c r="EJ139" i="1"/>
  <c r="AC140" i="21" s="1"/>
  <c r="EH139" i="1"/>
  <c r="W140" i="21" s="1"/>
  <c r="EN139" i="1"/>
  <c r="AO140" i="21" s="1"/>
  <c r="EO139" i="1"/>
  <c r="CK139" i="1"/>
  <c r="CJ139" i="1"/>
  <c r="J109" i="22"/>
  <c r="N109" i="22" s="1"/>
  <c r="AH109" i="21"/>
  <c r="DI4" i="2"/>
  <c r="CD4" i="2"/>
  <c r="DI59" i="2"/>
  <c r="CD59" i="2"/>
  <c r="DI140" i="2"/>
  <c r="CD140" i="2"/>
  <c r="DI138" i="2"/>
  <c r="CD138" i="2"/>
  <c r="DI168" i="2"/>
  <c r="CD168" i="2"/>
  <c r="AZ208" i="14"/>
  <c r="AC208" i="14"/>
  <c r="AU208" i="14"/>
  <c r="X208" i="14"/>
  <c r="BA214" i="14"/>
  <c r="AD214" i="14"/>
  <c r="AV214" i="14"/>
  <c r="Y214" i="14"/>
  <c r="AE151" i="7"/>
  <c r="AE132" i="7"/>
  <c r="AE70" i="7"/>
  <c r="L71" i="9" s="1"/>
  <c r="AE73" i="7"/>
  <c r="AE196" i="7"/>
  <c r="AE192" i="7"/>
  <c r="AE135" i="7"/>
  <c r="AE155" i="7"/>
  <c r="AE200" i="7"/>
  <c r="AE125" i="7"/>
  <c r="AE211" i="7"/>
  <c r="AE134" i="7"/>
  <c r="L232" i="20"/>
  <c r="DI31" i="2"/>
  <c r="CD31" i="2"/>
  <c r="DX82" i="2"/>
  <c r="AY164" i="14"/>
  <c r="AT164" i="14"/>
  <c r="AB164" i="14"/>
  <c r="W164" i="14"/>
  <c r="DI70" i="3"/>
  <c r="CD70" i="3"/>
  <c r="DI21" i="3"/>
  <c r="CD21" i="3"/>
  <c r="L220" i="22"/>
  <c r="DI20" i="2"/>
  <c r="CD20" i="2"/>
  <c r="DI67" i="2"/>
  <c r="CD67" i="2"/>
  <c r="N225" i="22"/>
  <c r="BA209" i="14"/>
  <c r="AV209" i="14"/>
  <c r="AD209" i="14"/>
  <c r="Y209" i="14"/>
  <c r="AC151" i="14"/>
  <c r="X151" i="14"/>
  <c r="AZ151" i="14"/>
  <c r="AU151" i="14"/>
  <c r="AE158" i="6"/>
  <c r="AE177" i="6"/>
  <c r="AE69" i="6"/>
  <c r="AE198" i="6"/>
  <c r="K199" i="9" s="1"/>
  <c r="AE111" i="6"/>
  <c r="DI116" i="2"/>
  <c r="CD116" i="2"/>
  <c r="W175" i="14"/>
  <c r="AY175" i="14"/>
  <c r="AT175" i="14"/>
  <c r="AB175" i="14"/>
  <c r="DI195" i="3"/>
  <c r="CD195" i="3"/>
  <c r="W51" i="14"/>
  <c r="AY51" i="14"/>
  <c r="AT51" i="14"/>
  <c r="AB51" i="14"/>
  <c r="AD179" i="14"/>
  <c r="Y179" i="14"/>
  <c r="BA179" i="14"/>
  <c r="AV179" i="14"/>
  <c r="DI177" i="2"/>
  <c r="CD177" i="2"/>
  <c r="AU194" i="14"/>
  <c r="X194" i="14"/>
  <c r="AC194" i="14"/>
  <c r="AZ194" i="14"/>
  <c r="H175" i="22"/>
  <c r="L175" i="22" s="1"/>
  <c r="AF175" i="21"/>
  <c r="DI27" i="2"/>
  <c r="CD27" i="2"/>
  <c r="EL94" i="1"/>
  <c r="AI95" i="21" s="1"/>
  <c r="D139" i="9"/>
  <c r="EH140" i="1"/>
  <c r="W141" i="21" s="1"/>
  <c r="CH140" i="1"/>
  <c r="ER140" i="1"/>
  <c r="E141" i="22" s="1"/>
  <c r="EQ140" i="1"/>
  <c r="EO140" i="1"/>
  <c r="EK140" i="1"/>
  <c r="EJ140" i="1"/>
  <c r="AC141" i="21" s="1"/>
  <c r="EI140" i="1"/>
  <c r="Z141" i="21" s="1"/>
  <c r="EG140" i="1"/>
  <c r="T141" i="21" s="1"/>
  <c r="CJ140" i="1"/>
  <c r="CK140" i="1"/>
  <c r="CI140" i="1"/>
  <c r="CG140" i="1"/>
  <c r="EM140" i="1"/>
  <c r="AL141" i="21" s="1"/>
  <c r="EN140" i="1"/>
  <c r="AO141" i="21" s="1"/>
  <c r="AF46" i="21"/>
  <c r="H46" i="22"/>
  <c r="L46" i="22" s="1"/>
  <c r="I80" i="22"/>
  <c r="AG80" i="21"/>
  <c r="AZ48" i="14"/>
  <c r="AC48" i="14"/>
  <c r="AU48" i="14"/>
  <c r="X48" i="14"/>
  <c r="AZ140" i="14"/>
  <c r="AC140" i="14"/>
  <c r="X140" i="14"/>
  <c r="AU140" i="14"/>
  <c r="DI159" i="3"/>
  <c r="CD159" i="3"/>
  <c r="DI177" i="3"/>
  <c r="CD177" i="3"/>
  <c r="X184" i="14"/>
  <c r="AZ184" i="14"/>
  <c r="AU184" i="14"/>
  <c r="AC184" i="14"/>
  <c r="AT172" i="14"/>
  <c r="AB172" i="14"/>
  <c r="AY172" i="14"/>
  <c r="W172" i="14"/>
  <c r="EM13" i="1"/>
  <c r="AL14" i="21" s="1"/>
  <c r="D98" i="9"/>
  <c r="EJ99" i="1"/>
  <c r="AC100" i="21" s="1"/>
  <c r="CJ99" i="1"/>
  <c r="EI99" i="1"/>
  <c r="Z100" i="21" s="1"/>
  <c r="CI99" i="1"/>
  <c r="EH99" i="1"/>
  <c r="W100" i="21" s="1"/>
  <c r="CH99" i="1"/>
  <c r="EG99" i="1"/>
  <c r="T100" i="21" s="1"/>
  <c r="CG99" i="1"/>
  <c r="EQ99" i="1"/>
  <c r="EN99" i="1"/>
  <c r="AO100" i="21" s="1"/>
  <c r="EK99" i="1"/>
  <c r="CK99" i="1"/>
  <c r="EO99" i="1"/>
  <c r="ER149" i="1"/>
  <c r="K71" i="9"/>
  <c r="M71" i="9" s="1"/>
  <c r="EM96" i="2"/>
  <c r="AM97" i="21" s="1"/>
  <c r="AL47" i="14"/>
  <c r="AG47" i="14"/>
  <c r="CD76" i="3"/>
  <c r="DI76" i="3"/>
  <c r="DM119" i="1"/>
  <c r="DL119" i="1"/>
  <c r="DK119" i="1"/>
  <c r="DJ119" i="1"/>
  <c r="DI160" i="3"/>
  <c r="CD160" i="3"/>
  <c r="DI152" i="3"/>
  <c r="CD152" i="3"/>
  <c r="DM187" i="1"/>
  <c r="DL187" i="1"/>
  <c r="DK187" i="1"/>
  <c r="DJ187" i="1"/>
  <c r="AT215" i="14"/>
  <c r="W215" i="14"/>
  <c r="AY215" i="14"/>
  <c r="AB215" i="14"/>
  <c r="T59" i="15"/>
  <c r="U59" i="15"/>
  <c r="L43" i="22"/>
  <c r="EL207" i="1"/>
  <c r="AI209" i="21" s="1"/>
  <c r="EP129" i="1"/>
  <c r="G180" i="20"/>
  <c r="AH8" i="21"/>
  <c r="J8" i="22"/>
  <c r="N8" i="22" s="1"/>
  <c r="AC148" i="6"/>
  <c r="AE148" i="6" s="1"/>
  <c r="AC74" i="6"/>
  <c r="AE74" i="6" s="1"/>
  <c r="AC65" i="6"/>
  <c r="AC196" i="5"/>
  <c r="AC210" i="6"/>
  <c r="AC174" i="6"/>
  <c r="AE174" i="6" s="1"/>
  <c r="AC27" i="6"/>
  <c r="AE27" i="6" s="1"/>
  <c r="AC13" i="6"/>
  <c r="AE13" i="6" s="1"/>
  <c r="AC201" i="5"/>
  <c r="AC204" i="6"/>
  <c r="AE204" i="6" s="1"/>
  <c r="AC190" i="6"/>
  <c r="AC188" i="6"/>
  <c r="AE188" i="6" s="1"/>
  <c r="AC179" i="6"/>
  <c r="AE179" i="6" s="1"/>
  <c r="AC168" i="6"/>
  <c r="AC161" i="6"/>
  <c r="AC138" i="6"/>
  <c r="AE138" i="6" s="1"/>
  <c r="AC82" i="6"/>
  <c r="AE82" i="6" s="1"/>
  <c r="AC73" i="6"/>
  <c r="AC54" i="6"/>
  <c r="AE54" i="6" s="1"/>
  <c r="AC23" i="6"/>
  <c r="AE23" i="6" s="1"/>
  <c r="AC2" i="6"/>
  <c r="AE2" i="6" s="1"/>
  <c r="AC209" i="5"/>
  <c r="AC175" i="5"/>
  <c r="AC157" i="5"/>
  <c r="AC142" i="5"/>
  <c r="AC137" i="5"/>
  <c r="AC127" i="5"/>
  <c r="AC98" i="6"/>
  <c r="AC163" i="5"/>
  <c r="AC100" i="5"/>
  <c r="AC64" i="5"/>
  <c r="AC189" i="6"/>
  <c r="AE189" i="6" s="1"/>
  <c r="K190" i="9" s="1"/>
  <c r="M190" i="9" s="1"/>
  <c r="AC187" i="6"/>
  <c r="AE187" i="6" s="1"/>
  <c r="AC128" i="6"/>
  <c r="AE128" i="6" s="1"/>
  <c r="AC68" i="6"/>
  <c r="AE68" i="6" s="1"/>
  <c r="AC29" i="6"/>
  <c r="AE29" i="6" s="1"/>
  <c r="AC25" i="6"/>
  <c r="AE25" i="6" s="1"/>
  <c r="AC161" i="5"/>
  <c r="AC149" i="5"/>
  <c r="AC139" i="5"/>
  <c r="AC131" i="5"/>
  <c r="AC125" i="5"/>
  <c r="AC109" i="5"/>
  <c r="AC98" i="5"/>
  <c r="AC91" i="5"/>
  <c r="AC73" i="5"/>
  <c r="AC62" i="5"/>
  <c r="AC55" i="5"/>
  <c r="AC28" i="5"/>
  <c r="AC19" i="5"/>
  <c r="AC212" i="6"/>
  <c r="AC167" i="6"/>
  <c r="AE167" i="6" s="1"/>
  <c r="AC100" i="6"/>
  <c r="AE100" i="6" s="1"/>
  <c r="AC78" i="6"/>
  <c r="AE78" i="6" s="1"/>
  <c r="K78" i="9" s="1"/>
  <c r="M78" i="9" s="1"/>
  <c r="AC76" i="6"/>
  <c r="AC31" i="6"/>
  <c r="AE31" i="6" s="1"/>
  <c r="K31" i="9" s="1"/>
  <c r="M31" i="9" s="1"/>
  <c r="AC12" i="6"/>
  <c r="AE12" i="6" s="1"/>
  <c r="AC155" i="5"/>
  <c r="AC116" i="5"/>
  <c r="AC89" i="5"/>
  <c r="AC53" i="5"/>
  <c r="AC17" i="5"/>
  <c r="AC152" i="6"/>
  <c r="AE152" i="6" s="1"/>
  <c r="AC102" i="6"/>
  <c r="AE102" i="6" s="1"/>
  <c r="AC89" i="6"/>
  <c r="AC49" i="6"/>
  <c r="AC35" i="6"/>
  <c r="AE35" i="6" s="1"/>
  <c r="AC18" i="6"/>
  <c r="AE18" i="6" s="1"/>
  <c r="AC214" i="5"/>
  <c r="AC212" i="5"/>
  <c r="AC210" i="5"/>
  <c r="AC190" i="5"/>
  <c r="AC80" i="5"/>
  <c r="AC44" i="5"/>
  <c r="AC8" i="5"/>
  <c r="AC154" i="6"/>
  <c r="AC143" i="6"/>
  <c r="AE143" i="6" s="1"/>
  <c r="K144" i="9" s="1"/>
  <c r="M144" i="9" s="1"/>
  <c r="AC188" i="5"/>
  <c r="AC103" i="5"/>
  <c r="AC67" i="5"/>
  <c r="AC197" i="6"/>
  <c r="AE197" i="6" s="1"/>
  <c r="AC195" i="6"/>
  <c r="AE195" i="6" s="1"/>
  <c r="AC156" i="6"/>
  <c r="AE156" i="6" s="1"/>
  <c r="AC114" i="6"/>
  <c r="AE114" i="6" s="1"/>
  <c r="AC112" i="6"/>
  <c r="AE112" i="6" s="1"/>
  <c r="AC84" i="6"/>
  <c r="AC59" i="6"/>
  <c r="AC57" i="6"/>
  <c r="AE57" i="6" s="1"/>
  <c r="AC220" i="5"/>
  <c r="AC31" i="5"/>
  <c r="AC175" i="6"/>
  <c r="AE175" i="6" s="1"/>
  <c r="AC166" i="6"/>
  <c r="AE166" i="6" s="1"/>
  <c r="AC136" i="6"/>
  <c r="AE136" i="6" s="1"/>
  <c r="AC118" i="6"/>
  <c r="AE118" i="6" s="1"/>
  <c r="AC48" i="6"/>
  <c r="AE48" i="6" s="1"/>
  <c r="AC46" i="6"/>
  <c r="AE46" i="6" s="1"/>
  <c r="AC203" i="5"/>
  <c r="AC197" i="5"/>
  <c r="AC195" i="5"/>
  <c r="AC193" i="5"/>
  <c r="AC154" i="5"/>
  <c r="AC192" i="6"/>
  <c r="AC177" i="6"/>
  <c r="AC170" i="6"/>
  <c r="AE170" i="6" s="1"/>
  <c r="AC120" i="6"/>
  <c r="AE120" i="6" s="1"/>
  <c r="AC79" i="6"/>
  <c r="AE79" i="6" s="1"/>
  <c r="AC50" i="6"/>
  <c r="AE50" i="6" s="1"/>
  <c r="AC40" i="6"/>
  <c r="AE40" i="6" s="1"/>
  <c r="AC38" i="6"/>
  <c r="AE38" i="6" s="1"/>
  <c r="AC199" i="5"/>
  <c r="AC122" i="5"/>
  <c r="AC88" i="5"/>
  <c r="AC52" i="5"/>
  <c r="AC16" i="5"/>
  <c r="AC208" i="6"/>
  <c r="AC153" i="6"/>
  <c r="AE153" i="6" s="1"/>
  <c r="AC122" i="6"/>
  <c r="AE122" i="6" s="1"/>
  <c r="AC56" i="6"/>
  <c r="AE56" i="6" s="1"/>
  <c r="AC36" i="6"/>
  <c r="AE36" i="6" s="1"/>
  <c r="AC217" i="5"/>
  <c r="AC187" i="5"/>
  <c r="AC185" i="5"/>
  <c r="AC179" i="5"/>
  <c r="AC173" i="5"/>
  <c r="AC113" i="5"/>
  <c r="AC86" i="5"/>
  <c r="AC50" i="5"/>
  <c r="AC14" i="5"/>
  <c r="AC63" i="6"/>
  <c r="AC41" i="5"/>
  <c r="AC4" i="5"/>
  <c r="AC202" i="6"/>
  <c r="AE202" i="6" s="1"/>
  <c r="AC199" i="6"/>
  <c r="AE199" i="6" s="1"/>
  <c r="AC96" i="6"/>
  <c r="AE96" i="6" s="1"/>
  <c r="AC71" i="6"/>
  <c r="AC136" i="5"/>
  <c r="AC92" i="5"/>
  <c r="AC76" i="5"/>
  <c r="AC65" i="5"/>
  <c r="AC20" i="5"/>
  <c r="AC183" i="6"/>
  <c r="AC107" i="6"/>
  <c r="AE107" i="6" s="1"/>
  <c r="K107" i="9" s="1"/>
  <c r="M107" i="9" s="1"/>
  <c r="AC22" i="6"/>
  <c r="AC167" i="5"/>
  <c r="AC130" i="5"/>
  <c r="AC112" i="5"/>
  <c r="AC146" i="5"/>
  <c r="AC38" i="5"/>
  <c r="AC134" i="6"/>
  <c r="AE134" i="6" s="1"/>
  <c r="AC183" i="5"/>
  <c r="AC83" i="5"/>
  <c r="AC109" i="6"/>
  <c r="AC24" i="6"/>
  <c r="AE24" i="6" s="1"/>
  <c r="AC4" i="6"/>
  <c r="AE4" i="6" s="1"/>
  <c r="AC11" i="5"/>
  <c r="AC5" i="5"/>
  <c r="AC206" i="6"/>
  <c r="AE206" i="6" s="1"/>
  <c r="AC125" i="6"/>
  <c r="AC67" i="6"/>
  <c r="AE67" i="6" s="1"/>
  <c r="AC21" i="6"/>
  <c r="AE21" i="6" s="1"/>
  <c r="AC101" i="5"/>
  <c r="AC77" i="5"/>
  <c r="AC164" i="6"/>
  <c r="AE164" i="6" s="1"/>
  <c r="AC127" i="6"/>
  <c r="AE127" i="6" s="1"/>
  <c r="AC26" i="6"/>
  <c r="AE26" i="6" s="1"/>
  <c r="AC140" i="5"/>
  <c r="AC211" i="6"/>
  <c r="AE211" i="6" s="1"/>
  <c r="K223" i="9" s="1"/>
  <c r="M223" i="9" s="1"/>
  <c r="CS217" i="3" s="1"/>
  <c r="AC186" i="6"/>
  <c r="AE186" i="6" s="1"/>
  <c r="AC147" i="6"/>
  <c r="AE147" i="6" s="1"/>
  <c r="AC219" i="5"/>
  <c r="AC128" i="5"/>
  <c r="AC172" i="6"/>
  <c r="AE172" i="6" s="1"/>
  <c r="AC40" i="5"/>
  <c r="AC29" i="5"/>
  <c r="AC184" i="6"/>
  <c r="AE184" i="6" s="1"/>
  <c r="AC94" i="6"/>
  <c r="AE94" i="6" s="1"/>
  <c r="K94" i="9" s="1"/>
  <c r="M94" i="9" s="1"/>
  <c r="AC56" i="5"/>
  <c r="AC47" i="5"/>
  <c r="AC111" i="6"/>
  <c r="AC61" i="6"/>
  <c r="AE61" i="6" s="1"/>
  <c r="K61" i="9" s="1"/>
  <c r="M61" i="9" s="1"/>
  <c r="AC116" i="6"/>
  <c r="AE116" i="6" s="1"/>
  <c r="AC11" i="6"/>
  <c r="AE11" i="6" s="1"/>
  <c r="AC134" i="5"/>
  <c r="AC70" i="6"/>
  <c r="AE70" i="6" s="1"/>
  <c r="AC145" i="5"/>
  <c r="AC99" i="5"/>
  <c r="AC97" i="5"/>
  <c r="AC218" i="5"/>
  <c r="AC204" i="5"/>
  <c r="AC205" i="6"/>
  <c r="AE205" i="6" s="1"/>
  <c r="AC71" i="5"/>
  <c r="AC194" i="5"/>
  <c r="AC93" i="5"/>
  <c r="AC32" i="5"/>
  <c r="AC211" i="5"/>
  <c r="AC70" i="5"/>
  <c r="AC191" i="5"/>
  <c r="AC101" i="6"/>
  <c r="AE101" i="6" s="1"/>
  <c r="AC117" i="5"/>
  <c r="AC173" i="6"/>
  <c r="AE173" i="6" s="1"/>
  <c r="AC160" i="5"/>
  <c r="AC202" i="5"/>
  <c r="AC80" i="6"/>
  <c r="AE80" i="6" s="1"/>
  <c r="AC178" i="5"/>
  <c r="AC52" i="6"/>
  <c r="AE52" i="6" s="1"/>
  <c r="AC37" i="6"/>
  <c r="AC150" i="5"/>
  <c r="AC158" i="6"/>
  <c r="AC97" i="6"/>
  <c r="AC95" i="6"/>
  <c r="AC137" i="6"/>
  <c r="AC111" i="5"/>
  <c r="AC102" i="5"/>
  <c r="AC103" i="6"/>
  <c r="AE103" i="6" s="1"/>
  <c r="AC138" i="5"/>
  <c r="AC13" i="5"/>
  <c r="AC85" i="6"/>
  <c r="AE85" i="6" s="1"/>
  <c r="AC53" i="6"/>
  <c r="AE53" i="6" s="1"/>
  <c r="AC16" i="6"/>
  <c r="AE16" i="6" s="1"/>
  <c r="AC86" i="6"/>
  <c r="AE86" i="6" s="1"/>
  <c r="AC170" i="5"/>
  <c r="AC121" i="6"/>
  <c r="AE121" i="6" s="1"/>
  <c r="AC26" i="5"/>
  <c r="AC153" i="5"/>
  <c r="AC181" i="6"/>
  <c r="AE181" i="6" s="1"/>
  <c r="AC126" i="5"/>
  <c r="AC215" i="5"/>
  <c r="AC106" i="6"/>
  <c r="AE106" i="6" s="1"/>
  <c r="AC143" i="5"/>
  <c r="AC147" i="5"/>
  <c r="AC124" i="6"/>
  <c r="AE124" i="6" s="1"/>
  <c r="AC120" i="5"/>
  <c r="AC115" i="6"/>
  <c r="AC43" i="5"/>
  <c r="AC144" i="6"/>
  <c r="AC34" i="5"/>
  <c r="AC205" i="5"/>
  <c r="AC88" i="6"/>
  <c r="AE88" i="6" s="1"/>
  <c r="AC121" i="5"/>
  <c r="AC3" i="5"/>
  <c r="AC182" i="5"/>
  <c r="AC10" i="5"/>
  <c r="AC7" i="6"/>
  <c r="AE7" i="6" s="1"/>
  <c r="AC5" i="6"/>
  <c r="AE5" i="6" s="1"/>
  <c r="AC207" i="5"/>
  <c r="AC58" i="5"/>
  <c r="AC132" i="5"/>
  <c r="AC110" i="6"/>
  <c r="AE110" i="6" s="1"/>
  <c r="K110" i="9" s="1"/>
  <c r="AC176" i="5"/>
  <c r="AC108" i="6"/>
  <c r="AE108" i="6" s="1"/>
  <c r="K108" i="9" s="1"/>
  <c r="AC159" i="5"/>
  <c r="AC200" i="6"/>
  <c r="AE200" i="6" s="1"/>
  <c r="AC165" i="5"/>
  <c r="AC129" i="5"/>
  <c r="AC126" i="6"/>
  <c r="AC59" i="5"/>
  <c r="AC169" i="5"/>
  <c r="AC146" i="6"/>
  <c r="AC19" i="6"/>
  <c r="AE19" i="6" s="1"/>
  <c r="AC200" i="5"/>
  <c r="AC18" i="5"/>
  <c r="AC75" i="6"/>
  <c r="AE75" i="6" s="1"/>
  <c r="AC24" i="5"/>
  <c r="AC51" i="6"/>
  <c r="AE51" i="6" s="1"/>
  <c r="AC152" i="5"/>
  <c r="AC171" i="6"/>
  <c r="AE171" i="6" s="1"/>
  <c r="AC60" i="5"/>
  <c r="AC87" i="6"/>
  <c r="AE87" i="6" s="1"/>
  <c r="AC162" i="5"/>
  <c r="AC160" i="6"/>
  <c r="AE160" i="6" s="1"/>
  <c r="AC186" i="5"/>
  <c r="AC145" i="6"/>
  <c r="AE145" i="6" s="1"/>
  <c r="AC107" i="5"/>
  <c r="AC12" i="5"/>
  <c r="AC165" i="6"/>
  <c r="AE165" i="6" s="1"/>
  <c r="AC157" i="6"/>
  <c r="AE157" i="6" s="1"/>
  <c r="AC106" i="5"/>
  <c r="AC3" i="6"/>
  <c r="AC209" i="6"/>
  <c r="AC69" i="5"/>
  <c r="AC66" i="6"/>
  <c r="AC37" i="5"/>
  <c r="AC90" i="5"/>
  <c r="AC176" i="6"/>
  <c r="AE176" i="6" s="1"/>
  <c r="AC172" i="5"/>
  <c r="AC149" i="6"/>
  <c r="AE149" i="6" s="1"/>
  <c r="AC99" i="6"/>
  <c r="AE99" i="6" s="1"/>
  <c r="AC150" i="6"/>
  <c r="AE150" i="6" s="1"/>
  <c r="AC123" i="5"/>
  <c r="AC81" i="6"/>
  <c r="AC48" i="5"/>
  <c r="AC62" i="6"/>
  <c r="AE62" i="6" s="1"/>
  <c r="AC194" i="6"/>
  <c r="AE194" i="6" s="1"/>
  <c r="AC95" i="5"/>
  <c r="AC177" i="5"/>
  <c r="AC92" i="6"/>
  <c r="AE92" i="6" s="1"/>
  <c r="AC42" i="6"/>
  <c r="AE42" i="6" s="1"/>
  <c r="K42" i="9" s="1"/>
  <c r="AC174" i="5"/>
  <c r="AC162" i="6"/>
  <c r="AE162" i="6" s="1"/>
  <c r="AC42" i="5"/>
  <c r="AC124" i="5"/>
  <c r="AC91" i="6"/>
  <c r="AC72" i="5"/>
  <c r="AC35" i="5"/>
  <c r="AC25" i="5"/>
  <c r="AC192" i="5"/>
  <c r="AC33" i="6"/>
  <c r="AC105" i="6"/>
  <c r="AE105" i="6" s="1"/>
  <c r="AC108" i="5"/>
  <c r="AC130" i="6"/>
  <c r="AE130" i="6" s="1"/>
  <c r="AC20" i="6"/>
  <c r="AE20" i="6" s="1"/>
  <c r="AC72" i="6"/>
  <c r="AE72" i="6" s="1"/>
  <c r="AC57" i="5"/>
  <c r="AC196" i="6"/>
  <c r="AC189" i="5"/>
  <c r="AC44" i="6"/>
  <c r="AC203" i="6"/>
  <c r="AE203" i="6" s="1"/>
  <c r="AC213" i="5"/>
  <c r="AC9" i="5"/>
  <c r="AC180" i="6"/>
  <c r="AE180" i="6" s="1"/>
  <c r="AC78" i="5"/>
  <c r="AC119" i="6"/>
  <c r="AE119" i="6" s="1"/>
  <c r="K119" i="9" s="1"/>
  <c r="AC151" i="5"/>
  <c r="AC148" i="5"/>
  <c r="AC193" i="6"/>
  <c r="AE193" i="6" s="1"/>
  <c r="AC85" i="5"/>
  <c r="AC182" i="6"/>
  <c r="AE182" i="6" s="1"/>
  <c r="AC46" i="5"/>
  <c r="AC51" i="5"/>
  <c r="AC129" i="6"/>
  <c r="AC139" i="6"/>
  <c r="AE139" i="6" s="1"/>
  <c r="AC69" i="6"/>
  <c r="AC133" i="5"/>
  <c r="AC75" i="5"/>
  <c r="AC66" i="5"/>
  <c r="AC8" i="6"/>
  <c r="AE8" i="6" s="1"/>
  <c r="K8" i="9" s="1"/>
  <c r="M8" i="9" s="1"/>
  <c r="AC7" i="5"/>
  <c r="AC6" i="6"/>
  <c r="AC113" i="6"/>
  <c r="AE113" i="6" s="1"/>
  <c r="AC45" i="5"/>
  <c r="AC17" i="6"/>
  <c r="AC114" i="5"/>
  <c r="AC119" i="5"/>
  <c r="AC87" i="5"/>
  <c r="AC96" i="5"/>
  <c r="AC54" i="5"/>
  <c r="AC206" i="5"/>
  <c r="AC77" i="6"/>
  <c r="AE77" i="6" s="1"/>
  <c r="AC132" i="6"/>
  <c r="AE132" i="6" s="1"/>
  <c r="AC198" i="5"/>
  <c r="AC178" i="6"/>
  <c r="AE178" i="6" s="1"/>
  <c r="AC2" i="5"/>
  <c r="AC169" i="6"/>
  <c r="AE169" i="6" s="1"/>
  <c r="AC135" i="5"/>
  <c r="AC84" i="5"/>
  <c r="AC104" i="6"/>
  <c r="AE104" i="6" s="1"/>
  <c r="AC23" i="5"/>
  <c r="AC201" i="6"/>
  <c r="AE201" i="6" s="1"/>
  <c r="K202" i="9" s="1"/>
  <c r="M202" i="9" s="1"/>
  <c r="AC158" i="5"/>
  <c r="AC81" i="5"/>
  <c r="AC55" i="6"/>
  <c r="AE55" i="6" s="1"/>
  <c r="AC191" i="6"/>
  <c r="AC168" i="5"/>
  <c r="AC208" i="5"/>
  <c r="AC39" i="6"/>
  <c r="AE39" i="6" s="1"/>
  <c r="K39" i="9" s="1"/>
  <c r="M39" i="9" s="1"/>
  <c r="AC15" i="5"/>
  <c r="AC93" i="6"/>
  <c r="AE93" i="6" s="1"/>
  <c r="AC47" i="6"/>
  <c r="AC171" i="5"/>
  <c r="AC115" i="5"/>
  <c r="AC61" i="5"/>
  <c r="AC45" i="6"/>
  <c r="AE45" i="6" s="1"/>
  <c r="K45" i="9" s="1"/>
  <c r="M45" i="9" s="1"/>
  <c r="AC117" i="6"/>
  <c r="AE117" i="6" s="1"/>
  <c r="AC123" i="6"/>
  <c r="AC39" i="5"/>
  <c r="AC135" i="6"/>
  <c r="AE135" i="6" s="1"/>
  <c r="AC198" i="6"/>
  <c r="AC82" i="5"/>
  <c r="AC15" i="6"/>
  <c r="AE15" i="6" s="1"/>
  <c r="AC181" i="5"/>
  <c r="AC32" i="6"/>
  <c r="AE32" i="6" s="1"/>
  <c r="AC142" i="6"/>
  <c r="AE142" i="6" s="1"/>
  <c r="AC33" i="5"/>
  <c r="AC63" i="5"/>
  <c r="AC140" i="6"/>
  <c r="AE140" i="6" s="1"/>
  <c r="AC133" i="6"/>
  <c r="AC34" i="6"/>
  <c r="AE34" i="6" s="1"/>
  <c r="AC105" i="5"/>
  <c r="AC180" i="5"/>
  <c r="AC155" i="6"/>
  <c r="AE155" i="6" s="1"/>
  <c r="AC166" i="5"/>
  <c r="AC131" i="6"/>
  <c r="AE131" i="6" s="1"/>
  <c r="AC216" i="5"/>
  <c r="AC110" i="5"/>
  <c r="AC30" i="5"/>
  <c r="AC141" i="5"/>
  <c r="AC74" i="5"/>
  <c r="AC41" i="6"/>
  <c r="AE41" i="6" s="1"/>
  <c r="AC141" i="6"/>
  <c r="AC28" i="6"/>
  <c r="AE28" i="6" s="1"/>
  <c r="AC184" i="5"/>
  <c r="AC10" i="6"/>
  <c r="AE10" i="6" s="1"/>
  <c r="AC21" i="5"/>
  <c r="AC185" i="6"/>
  <c r="AC90" i="6"/>
  <c r="AE90" i="6" s="1"/>
  <c r="AC151" i="6"/>
  <c r="AE151" i="6" s="1"/>
  <c r="AC156" i="5"/>
  <c r="AC22" i="5"/>
  <c r="AC60" i="6"/>
  <c r="AC104" i="5"/>
  <c r="AC36" i="5"/>
  <c r="AC159" i="6"/>
  <c r="AE159" i="6" s="1"/>
  <c r="AC94" i="5"/>
  <c r="AC79" i="5"/>
  <c r="AC83" i="6"/>
  <c r="AE83" i="6" s="1"/>
  <c r="AC163" i="6"/>
  <c r="AC14" i="6"/>
  <c r="AE14" i="6" s="1"/>
  <c r="AC9" i="6"/>
  <c r="AE9" i="6" s="1"/>
  <c r="AC6" i="5"/>
  <c r="AC144" i="5"/>
  <c r="AC118" i="5"/>
  <c r="AC207" i="6"/>
  <c r="AC64" i="6"/>
  <c r="AC30" i="6"/>
  <c r="AE30" i="6" s="1"/>
  <c r="AC43" i="6"/>
  <c r="AE43" i="6" s="1"/>
  <c r="AC49" i="5"/>
  <c r="AC164" i="5"/>
  <c r="AC58" i="6"/>
  <c r="AC68" i="5"/>
  <c r="AC27" i="5"/>
  <c r="AD13" i="12"/>
  <c r="AN13" i="12" s="1"/>
  <c r="AM47" i="14"/>
  <c r="AH47" i="14"/>
  <c r="DI179" i="3"/>
  <c r="CD179" i="3"/>
  <c r="D97" i="9"/>
  <c r="EK98" i="1"/>
  <c r="CK98" i="1"/>
  <c r="EJ98" i="1"/>
  <c r="AC99" i="21" s="1"/>
  <c r="CJ98" i="1"/>
  <c r="EI98" i="1"/>
  <c r="Z99" i="21" s="1"/>
  <c r="CI98" i="1"/>
  <c r="EH98" i="1"/>
  <c r="W99" i="21" s="1"/>
  <c r="CH98" i="1"/>
  <c r="EG98" i="1"/>
  <c r="T99" i="21" s="1"/>
  <c r="CG98" i="1"/>
  <c r="ER98" i="1"/>
  <c r="E99" i="22" s="1"/>
  <c r="EF98" i="1"/>
  <c r="Q99" i="21" s="1"/>
  <c r="EQ98" i="1"/>
  <c r="EE98" i="1"/>
  <c r="N99" i="21" s="1"/>
  <c r="CQ98" i="1"/>
  <c r="EO98" i="1"/>
  <c r="EC98" i="1"/>
  <c r="H99" i="21" s="1"/>
  <c r="EN98" i="1"/>
  <c r="AO99" i="21" s="1"/>
  <c r="EM98" i="1"/>
  <c r="AL99" i="21" s="1"/>
  <c r="EL98" i="1"/>
  <c r="AI99" i="21" s="1"/>
  <c r="ED98" i="1"/>
  <c r="K99" i="21" s="1"/>
  <c r="EP98" i="1"/>
  <c r="EB98" i="1"/>
  <c r="E99" i="21" s="1"/>
  <c r="AF132" i="21"/>
  <c r="H132" i="22"/>
  <c r="L132" i="22" s="1"/>
  <c r="AM49" i="14"/>
  <c r="AH49" i="14"/>
  <c r="AN174" i="14"/>
  <c r="AI174" i="14"/>
  <c r="DI142" i="3"/>
  <c r="CD142" i="3"/>
  <c r="D176" i="9"/>
  <c r="EJ177" i="1"/>
  <c r="AC178" i="21" s="1"/>
  <c r="CJ177" i="1"/>
  <c r="EI177" i="1"/>
  <c r="Z178" i="21" s="1"/>
  <c r="CI177" i="1"/>
  <c r="EH177" i="1"/>
  <c r="W178" i="21" s="1"/>
  <c r="CH177" i="1"/>
  <c r="EG177" i="1"/>
  <c r="T178" i="21" s="1"/>
  <c r="CG177" i="1"/>
  <c r="ER177" i="1"/>
  <c r="E178" i="22" s="1"/>
  <c r="EF177" i="1"/>
  <c r="Q178" i="21" s="1"/>
  <c r="EQ177" i="1"/>
  <c r="EE177" i="1"/>
  <c r="N178" i="21" s="1"/>
  <c r="CQ177" i="1"/>
  <c r="EP177" i="1"/>
  <c r="ED177" i="1"/>
  <c r="K178" i="21" s="1"/>
  <c r="EO177" i="1"/>
  <c r="EC177" i="1"/>
  <c r="H178" i="21" s="1"/>
  <c r="EK177" i="1"/>
  <c r="CK177" i="1"/>
  <c r="EN177" i="1"/>
  <c r="AO178" i="21" s="1"/>
  <c r="EM177" i="1"/>
  <c r="AL178" i="21" s="1"/>
  <c r="EL177" i="1"/>
  <c r="AI178" i="21" s="1"/>
  <c r="EB177" i="1"/>
  <c r="E178" i="21" s="1"/>
  <c r="EL28" i="2"/>
  <c r="AJ29" i="21" s="1"/>
  <c r="N29" i="20" s="1"/>
  <c r="ER65" i="1"/>
  <c r="EL115" i="1"/>
  <c r="AI116" i="21" s="1"/>
  <c r="L116" i="22"/>
  <c r="ER81" i="3"/>
  <c r="AC13" i="12"/>
  <c r="AM13" i="12" s="1"/>
  <c r="DI109" i="3"/>
  <c r="CD109" i="3"/>
  <c r="AC146" i="14"/>
  <c r="X146" i="14"/>
  <c r="AZ146" i="14"/>
  <c r="AU146" i="14"/>
  <c r="DI162" i="2"/>
  <c r="CD162" i="2"/>
  <c r="T63" i="16"/>
  <c r="S63" i="16"/>
  <c r="AG11" i="21"/>
  <c r="I11" i="22"/>
  <c r="I26" i="22"/>
  <c r="AG26" i="21"/>
  <c r="L169" i="22"/>
  <c r="AG86" i="21"/>
  <c r="I86" i="22"/>
  <c r="M86" i="22" s="1"/>
  <c r="AF24" i="21"/>
  <c r="H24" i="22"/>
  <c r="D189" i="9"/>
  <c r="EJ189" i="1"/>
  <c r="AC191" i="21" s="1"/>
  <c r="CJ189" i="1"/>
  <c r="EI189" i="1"/>
  <c r="Z191" i="21" s="1"/>
  <c r="CI189" i="1"/>
  <c r="EH189" i="1"/>
  <c r="W191" i="21" s="1"/>
  <c r="CH189" i="1"/>
  <c r="EG189" i="1"/>
  <c r="T191" i="21" s="1"/>
  <c r="CG189" i="1"/>
  <c r="ER189" i="1"/>
  <c r="E191" i="22" s="1"/>
  <c r="EF189" i="1"/>
  <c r="Q191" i="21" s="1"/>
  <c r="EQ189" i="1"/>
  <c r="EE189" i="1"/>
  <c r="N191" i="21" s="1"/>
  <c r="CQ189" i="1"/>
  <c r="EP189" i="1"/>
  <c r="ED189" i="1"/>
  <c r="K191" i="21" s="1"/>
  <c r="EO189" i="1"/>
  <c r="EC189" i="1"/>
  <c r="H191" i="21" s="1"/>
  <c r="EK189" i="1"/>
  <c r="CK189" i="1"/>
  <c r="EN189" i="1"/>
  <c r="AO191" i="21" s="1"/>
  <c r="EM189" i="1"/>
  <c r="AL191" i="21" s="1"/>
  <c r="EB189" i="1"/>
  <c r="E191" i="21" s="1"/>
  <c r="EL189" i="1"/>
  <c r="AI191" i="21" s="1"/>
  <c r="EM64" i="2"/>
  <c r="AM65" i="21" s="1"/>
  <c r="M64" i="22"/>
  <c r="EL175" i="3"/>
  <c r="AK180" i="21" s="1"/>
  <c r="N180" i="20" s="1"/>
  <c r="AN149" i="14"/>
  <c r="AI149" i="14"/>
  <c r="DI80" i="2"/>
  <c r="CD80" i="2"/>
  <c r="BA199" i="14"/>
  <c r="AD199" i="14"/>
  <c r="AV199" i="14"/>
  <c r="Y199" i="14"/>
  <c r="AF86" i="21"/>
  <c r="H86" i="22"/>
  <c r="L86" i="22" s="1"/>
  <c r="F115" i="20"/>
  <c r="DI30" i="2"/>
  <c r="CD30" i="2"/>
  <c r="DI121" i="3"/>
  <c r="CD121" i="3"/>
  <c r="AV129" i="14"/>
  <c r="Y129" i="14"/>
  <c r="BA129" i="14"/>
  <c r="AD129" i="14"/>
  <c r="AU161" i="14"/>
  <c r="X161" i="14"/>
  <c r="AC161" i="14"/>
  <c r="AZ161" i="14"/>
  <c r="D59" i="9"/>
  <c r="EH60" i="1"/>
  <c r="W61" i="21" s="1"/>
  <c r="CH60" i="1"/>
  <c r="EG60" i="1"/>
  <c r="T61" i="21" s="1"/>
  <c r="CG60" i="1"/>
  <c r="EQ60" i="1"/>
  <c r="EO60" i="1"/>
  <c r="EN60" i="1"/>
  <c r="AO61" i="21" s="1"/>
  <c r="CI60" i="1"/>
  <c r="EJ60" i="1"/>
  <c r="AC61" i="21" s="1"/>
  <c r="EK60" i="1"/>
  <c r="EI60" i="1"/>
  <c r="Z61" i="21" s="1"/>
  <c r="ER60" i="1"/>
  <c r="E61" i="22" s="1"/>
  <c r="CJ60" i="1"/>
  <c r="CK60" i="1"/>
  <c r="EM216" i="1"/>
  <c r="AL219" i="21" s="1"/>
  <c r="ER137" i="1"/>
  <c r="I103" i="22"/>
  <c r="AG103" i="21"/>
  <c r="EL87" i="2"/>
  <c r="AJ88" i="21" s="1"/>
  <c r="N88" i="20" s="1"/>
  <c r="AE11" i="12"/>
  <c r="AO11" i="12" s="1"/>
  <c r="DI124" i="2"/>
  <c r="CD124" i="2"/>
  <c r="BA201" i="14"/>
  <c r="AD201" i="14"/>
  <c r="AV201" i="14"/>
  <c r="Y201" i="14"/>
  <c r="DI158" i="2"/>
  <c r="CD158" i="2"/>
  <c r="DI166" i="2"/>
  <c r="CD166" i="2"/>
  <c r="D33" i="9"/>
  <c r="EG34" i="1"/>
  <c r="T35" i="21" s="1"/>
  <c r="CG34" i="1"/>
  <c r="CK34" i="1"/>
  <c r="CI34" i="1"/>
  <c r="EK34" i="1"/>
  <c r="EQ34" i="1"/>
  <c r="CJ34" i="1"/>
  <c r="EN34" i="1"/>
  <c r="AO35" i="21" s="1"/>
  <c r="EO34" i="1"/>
  <c r="CH34" i="1"/>
  <c r="EM34" i="1"/>
  <c r="AL35" i="21" s="1"/>
  <c r="EL34" i="1"/>
  <c r="AI35" i="21" s="1"/>
  <c r="EJ34" i="1"/>
  <c r="AC35" i="21" s="1"/>
  <c r="EI34" i="1"/>
  <c r="Z35" i="21" s="1"/>
  <c r="EH34" i="1"/>
  <c r="W35" i="21" s="1"/>
  <c r="L133" i="22"/>
  <c r="ER49" i="2"/>
  <c r="DI4" i="3"/>
  <c r="CD4" i="3"/>
  <c r="DI58" i="3"/>
  <c r="CD58" i="3"/>
  <c r="DM107" i="1"/>
  <c r="DL107" i="1"/>
  <c r="DK107" i="1"/>
  <c r="DJ107" i="1"/>
  <c r="DI139" i="3"/>
  <c r="CD139" i="3"/>
  <c r="DI137" i="3"/>
  <c r="CD137" i="3"/>
  <c r="DI166" i="3"/>
  <c r="CD166" i="3"/>
  <c r="BA208" i="14"/>
  <c r="AD208" i="14"/>
  <c r="AV208" i="14"/>
  <c r="Y208" i="14"/>
  <c r="AY214" i="14"/>
  <c r="AB214" i="14"/>
  <c r="AT214" i="14"/>
  <c r="W214" i="14"/>
  <c r="AE112" i="7"/>
  <c r="AE25" i="7"/>
  <c r="AE59" i="7"/>
  <c r="L60" i="9" s="1"/>
  <c r="AE11" i="7"/>
  <c r="AE15" i="7"/>
  <c r="AE201" i="7"/>
  <c r="AE165" i="7"/>
  <c r="AE153" i="7"/>
  <c r="AE212" i="7"/>
  <c r="AE4" i="7"/>
  <c r="AE146" i="7"/>
  <c r="AM149" i="14"/>
  <c r="AH149" i="14"/>
  <c r="DI118" i="2"/>
  <c r="CD118" i="2"/>
  <c r="DJ166" i="1"/>
  <c r="DK166" i="1"/>
  <c r="DM166" i="1"/>
  <c r="DL166" i="1"/>
  <c r="DI31" i="3"/>
  <c r="CD31" i="3"/>
  <c r="AU164" i="14"/>
  <c r="X164" i="14"/>
  <c r="AZ164" i="14"/>
  <c r="AC164" i="14"/>
  <c r="DI78" i="2"/>
  <c r="CD78" i="2"/>
  <c r="DI20" i="3"/>
  <c r="CD20" i="3"/>
  <c r="DI66" i="3"/>
  <c r="CD66" i="3"/>
  <c r="AM204" i="14"/>
  <c r="AH204" i="14"/>
  <c r="AE154" i="6"/>
  <c r="BA151" i="14"/>
  <c r="AD151" i="14"/>
  <c r="AV151" i="14"/>
  <c r="Y151" i="14"/>
  <c r="AE109" i="6"/>
  <c r="AE97" i="6"/>
  <c r="AE58" i="6"/>
  <c r="AE192" i="6"/>
  <c r="K193" i="9" s="1"/>
  <c r="AE71" i="6"/>
  <c r="AE137" i="6"/>
  <c r="AE64" i="6"/>
  <c r="AE210" i="6"/>
  <c r="AE60" i="6"/>
  <c r="K60" i="9" s="1"/>
  <c r="M60" i="9" s="1"/>
  <c r="AE212" i="6"/>
  <c r="AE129" i="6"/>
  <c r="DI115" i="3"/>
  <c r="CD115" i="3"/>
  <c r="AT203" i="14"/>
  <c r="W203" i="14"/>
  <c r="AB203" i="14"/>
  <c r="AY203" i="14"/>
  <c r="AZ51" i="14"/>
  <c r="AC51" i="14"/>
  <c r="X51" i="14"/>
  <c r="AU51" i="14"/>
  <c r="AB179" i="14"/>
  <c r="W179" i="14"/>
  <c r="AY179" i="14"/>
  <c r="AT179" i="14"/>
  <c r="AV182" i="14"/>
  <c r="AD182" i="14"/>
  <c r="BA182" i="14"/>
  <c r="Y182" i="14"/>
  <c r="Y194" i="14"/>
  <c r="BA194" i="14"/>
  <c r="AV194" i="14"/>
  <c r="AD194" i="14"/>
  <c r="D123" i="9"/>
  <c r="EI124" i="1"/>
  <c r="Z125" i="21" s="1"/>
  <c r="CI124" i="1"/>
  <c r="EH124" i="1"/>
  <c r="W125" i="21" s="1"/>
  <c r="CH124" i="1"/>
  <c r="EG124" i="1"/>
  <c r="T125" i="21" s="1"/>
  <c r="CG124" i="1"/>
  <c r="EQ124" i="1"/>
  <c r="ER124" i="1" s="1"/>
  <c r="EO124" i="1"/>
  <c r="EJ124" i="1"/>
  <c r="AC125" i="21" s="1"/>
  <c r="CK124" i="1"/>
  <c r="EN124" i="1"/>
  <c r="AO125" i="21" s="1"/>
  <c r="CJ124" i="1"/>
  <c r="EL116" i="1"/>
  <c r="AI117" i="21" s="1"/>
  <c r="ER88" i="1"/>
  <c r="D197" i="9"/>
  <c r="EN197" i="1"/>
  <c r="AO199" i="21" s="1"/>
  <c r="CK197" i="1"/>
  <c r="EJ197" i="1"/>
  <c r="AC199" i="21" s="1"/>
  <c r="CJ197" i="1"/>
  <c r="EI197" i="1"/>
  <c r="Z199" i="21" s="1"/>
  <c r="CI197" i="1"/>
  <c r="EH197" i="1"/>
  <c r="W199" i="21" s="1"/>
  <c r="CH197" i="1"/>
  <c r="EG197" i="1"/>
  <c r="T199" i="21" s="1"/>
  <c r="CG197" i="1"/>
  <c r="EO197" i="1"/>
  <c r="EQ197" i="1"/>
  <c r="EK197" i="1" s="1"/>
  <c r="AF159" i="21"/>
  <c r="H159" i="22"/>
  <c r="L159" i="22" s="1"/>
  <c r="M127" i="22"/>
  <c r="L109" i="22"/>
  <c r="L82" i="22"/>
  <c r="EM19" i="2"/>
  <c r="AM20" i="21" s="1"/>
  <c r="EL19" i="2"/>
  <c r="AJ20" i="21" s="1"/>
  <c r="N20" i="20" s="1"/>
  <c r="ER28" i="1"/>
  <c r="EL39" i="2"/>
  <c r="AJ40" i="21" s="1"/>
  <c r="N40" i="20" s="1"/>
  <c r="EM94" i="1"/>
  <c r="AL95" i="21" s="1"/>
  <c r="M33" i="22"/>
  <c r="H146" i="22"/>
  <c r="L146" i="22" s="1"/>
  <c r="AF146" i="21"/>
  <c r="EP8" i="1"/>
  <c r="M80" i="22"/>
  <c r="BA48" i="14"/>
  <c r="AD48" i="14"/>
  <c r="AV48" i="14"/>
  <c r="Y48" i="14"/>
  <c r="DI35" i="2"/>
  <c r="CD35" i="2"/>
  <c r="BA140" i="14"/>
  <c r="AD140" i="14"/>
  <c r="Y140" i="14"/>
  <c r="AV140" i="14"/>
  <c r="AY165" i="14"/>
  <c r="AT165" i="14"/>
  <c r="AB165" i="14"/>
  <c r="W165" i="14"/>
  <c r="Y185" i="14"/>
  <c r="BA185" i="14"/>
  <c r="AV185" i="14"/>
  <c r="AD185" i="14"/>
  <c r="BA184" i="14"/>
  <c r="AD184" i="14"/>
  <c r="AV184" i="14"/>
  <c r="Y184" i="14"/>
  <c r="DM174" i="1"/>
  <c r="DL174" i="1"/>
  <c r="DK174" i="1"/>
  <c r="DJ174" i="1"/>
  <c r="AF72" i="21"/>
  <c r="H72" i="22"/>
  <c r="DI119" i="2"/>
  <c r="CD119" i="2"/>
  <c r="X166" i="14"/>
  <c r="AZ166" i="14"/>
  <c r="AU166" i="14"/>
  <c r="AC166" i="14"/>
  <c r="Y158" i="14"/>
  <c r="BA158" i="14"/>
  <c r="AV158" i="14"/>
  <c r="AD158" i="14"/>
  <c r="DI187" i="2"/>
  <c r="CD187" i="2"/>
  <c r="AU215" i="14"/>
  <c r="X215" i="14"/>
  <c r="AZ215" i="14"/>
  <c r="AC215" i="14"/>
  <c r="T62" i="15"/>
  <c r="U62" i="15"/>
  <c r="EM26" i="1"/>
  <c r="AL27" i="21" s="1"/>
  <c r="EM207" i="1"/>
  <c r="AL209" i="21" s="1"/>
  <c r="L197" i="22"/>
  <c r="E180" i="20"/>
  <c r="AI13" i="12"/>
  <c r="AS13" i="12" s="1"/>
  <c r="DK177" i="1"/>
  <c r="DJ177" i="1"/>
  <c r="DL177" i="1"/>
  <c r="DM177" i="1"/>
  <c r="AC187" i="14"/>
  <c r="X187" i="14"/>
  <c r="AZ187" i="14"/>
  <c r="AU187" i="14"/>
  <c r="AH49" i="21"/>
  <c r="J49" i="22"/>
  <c r="N49" i="22" s="1"/>
  <c r="N63" i="22"/>
  <c r="ER102" i="1"/>
  <c r="D215" i="9"/>
  <c r="EJ214" i="1"/>
  <c r="AC217" i="21" s="1"/>
  <c r="CJ214" i="1"/>
  <c r="EI214" i="1"/>
  <c r="Z217" i="21" s="1"/>
  <c r="CI214" i="1"/>
  <c r="EH214" i="1"/>
  <c r="W217" i="21" s="1"/>
  <c r="CH214" i="1"/>
  <c r="EG214" i="1"/>
  <c r="T217" i="21" s="1"/>
  <c r="CG214" i="1"/>
  <c r="EQ214" i="1"/>
  <c r="EO214" i="1"/>
  <c r="EK214" i="1"/>
  <c r="CK214" i="1"/>
  <c r="EN214" i="1"/>
  <c r="AO217" i="21" s="1"/>
  <c r="ER27" i="1"/>
  <c r="D152" i="9"/>
  <c r="EJ153" i="1"/>
  <c r="AC154" i="21" s="1"/>
  <c r="CJ153" i="1"/>
  <c r="EI153" i="1"/>
  <c r="Z154" i="21" s="1"/>
  <c r="CI153" i="1"/>
  <c r="EH153" i="1"/>
  <c r="W154" i="21" s="1"/>
  <c r="CH153" i="1"/>
  <c r="EG153" i="1"/>
  <c r="T154" i="21" s="1"/>
  <c r="EQ153" i="1"/>
  <c r="EO153" i="1"/>
  <c r="EK153" i="1"/>
  <c r="CK153" i="1"/>
  <c r="CG153" i="1"/>
  <c r="EN153" i="1"/>
  <c r="AO154" i="21" s="1"/>
  <c r="EM115" i="1"/>
  <c r="AL116" i="21" s="1"/>
  <c r="DI68" i="2"/>
  <c r="CD68" i="2"/>
  <c r="AD146" i="14"/>
  <c r="BA146" i="14"/>
  <c r="AV146" i="14"/>
  <c r="Y146" i="14"/>
  <c r="DI101" i="2"/>
  <c r="CD101" i="2"/>
  <c r="DI161" i="3"/>
  <c r="CD161" i="3"/>
  <c r="T61" i="16"/>
  <c r="S61" i="16"/>
  <c r="EP10" i="2"/>
  <c r="F11" i="22"/>
  <c r="EP25" i="2"/>
  <c r="F26" i="22"/>
  <c r="M26" i="22" s="1"/>
  <c r="H80" i="22"/>
  <c r="AF80" i="21"/>
  <c r="D188" i="9"/>
  <c r="CK188" i="1"/>
  <c r="EJ188" i="1"/>
  <c r="AC190" i="21" s="1"/>
  <c r="CJ188" i="1"/>
  <c r="EI188" i="1"/>
  <c r="Z190" i="21" s="1"/>
  <c r="CI188" i="1"/>
  <c r="EH188" i="1"/>
  <c r="W190" i="21" s="1"/>
  <c r="CH188" i="1"/>
  <c r="EG188" i="1"/>
  <c r="T190" i="21" s="1"/>
  <c r="CG188" i="1"/>
  <c r="EQ188" i="1"/>
  <c r="EK188" i="1" s="1"/>
  <c r="EL188" i="1"/>
  <c r="AI190" i="21" s="1"/>
  <c r="EO188" i="1"/>
  <c r="EN188" i="1"/>
  <c r="AO190" i="21" s="1"/>
  <c r="EM188" i="1"/>
  <c r="AL190" i="21" s="1"/>
  <c r="ER57" i="3"/>
  <c r="EL23" i="1"/>
  <c r="AI24" i="21" s="1"/>
  <c r="AD12" i="12"/>
  <c r="AN12" i="12" s="1"/>
  <c r="DM80" i="1"/>
  <c r="DK80" i="1"/>
  <c r="DJ80" i="1"/>
  <c r="DL80" i="1"/>
  <c r="DI128" i="2"/>
  <c r="CD128" i="2"/>
  <c r="AY199" i="14"/>
  <c r="AB199" i="14"/>
  <c r="AT199" i="14"/>
  <c r="W199" i="14"/>
  <c r="AF10" i="21"/>
  <c r="H10" i="22"/>
  <c r="L10" i="22" s="1"/>
  <c r="DI30" i="3"/>
  <c r="CD30" i="3"/>
  <c r="DM158" i="1"/>
  <c r="DL158" i="1"/>
  <c r="DK158" i="1"/>
  <c r="DJ158" i="1"/>
  <c r="H167" i="22"/>
  <c r="L167" i="22" s="1"/>
  <c r="AF167" i="21"/>
  <c r="ER146" i="1"/>
  <c r="EM87" i="2"/>
  <c r="AM88" i="21" s="1"/>
  <c r="ER132" i="3"/>
  <c r="AJ11" i="12"/>
  <c r="AT11" i="12" s="1"/>
  <c r="DI123" i="3"/>
  <c r="CD123" i="3"/>
  <c r="DJ155" i="1"/>
  <c r="DM155" i="1"/>
  <c r="DL155" i="1"/>
  <c r="DK155" i="1"/>
  <c r="AM213" i="14"/>
  <c r="AH213" i="14"/>
  <c r="DI157" i="3"/>
  <c r="CD157" i="3"/>
  <c r="AB171" i="14"/>
  <c r="W171" i="14"/>
  <c r="AY171" i="14"/>
  <c r="AT171" i="14"/>
  <c r="L224" i="22"/>
  <c r="D36" i="9"/>
  <c r="EO37" i="1"/>
  <c r="EG37" i="1"/>
  <c r="T38" i="21" s="1"/>
  <c r="CK37" i="1"/>
  <c r="CI37" i="1"/>
  <c r="CJ37" i="1"/>
  <c r="EQ37" i="1"/>
  <c r="CH37" i="1"/>
  <c r="EN37" i="1"/>
  <c r="AO38" i="21" s="1"/>
  <c r="EH37" i="1"/>
  <c r="W38" i="21" s="1"/>
  <c r="CG37" i="1"/>
  <c r="EK37" i="1"/>
  <c r="EJ37" i="1"/>
  <c r="AC38" i="21" s="1"/>
  <c r="EI37" i="1"/>
  <c r="Z38" i="21" s="1"/>
  <c r="D163" i="9"/>
  <c r="EK164" i="1"/>
  <c r="CK164" i="1"/>
  <c r="EJ164" i="1"/>
  <c r="AC165" i="21" s="1"/>
  <c r="CJ164" i="1"/>
  <c r="EI164" i="1"/>
  <c r="Z165" i="21" s="1"/>
  <c r="CI164" i="1"/>
  <c r="EH164" i="1"/>
  <c r="W165" i="21" s="1"/>
  <c r="CH164" i="1"/>
  <c r="EG164" i="1"/>
  <c r="T165" i="21" s="1"/>
  <c r="CG164" i="1"/>
  <c r="ER164" i="1"/>
  <c r="E165" i="22" s="1"/>
  <c r="EF164" i="1"/>
  <c r="Q165" i="21" s="1"/>
  <c r="EQ164" i="1"/>
  <c r="EE164" i="1"/>
  <c r="N165" i="21" s="1"/>
  <c r="CQ164" i="1"/>
  <c r="EP164" i="1"/>
  <c r="ED164" i="1"/>
  <c r="K165" i="21" s="1"/>
  <c r="EL164" i="1"/>
  <c r="AI165" i="21" s="1"/>
  <c r="EN164" i="1"/>
  <c r="AO165" i="21" s="1"/>
  <c r="EC164" i="1"/>
  <c r="H165" i="21" s="1"/>
  <c r="EO164" i="1"/>
  <c r="EM164" i="1"/>
  <c r="AL165" i="21" s="1"/>
  <c r="EB164" i="1"/>
  <c r="E165" i="21" s="1"/>
  <c r="EP129" i="2"/>
  <c r="F130" i="20"/>
  <c r="ER128" i="3"/>
  <c r="ER214" i="3"/>
  <c r="W8" i="14"/>
  <c r="AT8" i="14"/>
  <c r="AY8" i="14"/>
  <c r="AB8" i="14"/>
  <c r="DI107" i="2"/>
  <c r="CD107" i="2"/>
  <c r="AY145" i="14"/>
  <c r="AB145" i="14"/>
  <c r="AT145" i="14"/>
  <c r="W145" i="14"/>
  <c r="AV173" i="14"/>
  <c r="AD173" i="14"/>
  <c r="BA173" i="14"/>
  <c r="Y173" i="14"/>
  <c r="AY208" i="14"/>
  <c r="AB208" i="14"/>
  <c r="AT208" i="14"/>
  <c r="W208" i="14"/>
  <c r="D191" i="9"/>
  <c r="EH191" i="1"/>
  <c r="W193" i="21" s="1"/>
  <c r="CH191" i="1"/>
  <c r="EG191" i="1"/>
  <c r="T193" i="21" s="1"/>
  <c r="CG191" i="1"/>
  <c r="ER191" i="1"/>
  <c r="E193" i="22" s="1"/>
  <c r="EF191" i="1"/>
  <c r="Q193" i="21" s="1"/>
  <c r="EQ191" i="1"/>
  <c r="EE191" i="1"/>
  <c r="N193" i="21" s="1"/>
  <c r="CQ191" i="1"/>
  <c r="EP191" i="1"/>
  <c r="ED191" i="1"/>
  <c r="K193" i="21" s="1"/>
  <c r="EO191" i="1"/>
  <c r="EC191" i="1"/>
  <c r="H193" i="21" s="1"/>
  <c r="EN191" i="1"/>
  <c r="AO193" i="21" s="1"/>
  <c r="EB191" i="1"/>
  <c r="E193" i="21" s="1"/>
  <c r="EM191" i="1"/>
  <c r="AL193" i="21" s="1"/>
  <c r="EI191" i="1"/>
  <c r="Z193" i="21" s="1"/>
  <c r="CI191" i="1"/>
  <c r="EL191" i="1"/>
  <c r="AI193" i="21" s="1"/>
  <c r="EK191" i="1"/>
  <c r="EJ191" i="1"/>
  <c r="AC193" i="21" s="1"/>
  <c r="CK191" i="1"/>
  <c r="CJ191" i="1"/>
  <c r="AE23" i="7"/>
  <c r="AE27" i="7"/>
  <c r="AE33" i="7"/>
  <c r="AE91" i="7"/>
  <c r="AE96" i="7"/>
  <c r="AE124" i="7"/>
  <c r="L125" i="9" s="1"/>
  <c r="AE24" i="7"/>
  <c r="AE32" i="7"/>
  <c r="AE213" i="7"/>
  <c r="AE186" i="7"/>
  <c r="L190" i="9" s="1"/>
  <c r="AE157" i="7"/>
  <c r="AE179" i="7"/>
  <c r="AE214" i="7"/>
  <c r="AE149" i="7"/>
  <c r="AE158" i="7"/>
  <c r="DI117" i="3"/>
  <c r="CD117" i="3"/>
  <c r="DI165" i="2"/>
  <c r="CD165" i="2"/>
  <c r="W35" i="14"/>
  <c r="AY35" i="14"/>
  <c r="AT35" i="14"/>
  <c r="AB35" i="14"/>
  <c r="N195" i="22"/>
  <c r="DI77" i="3"/>
  <c r="CD77" i="3"/>
  <c r="EP113" i="3"/>
  <c r="DI60" i="2"/>
  <c r="CD60" i="2"/>
  <c r="AE208" i="6"/>
  <c r="DI76" i="2"/>
  <c r="CD76" i="2"/>
  <c r="AB151" i="14"/>
  <c r="W151" i="14"/>
  <c r="AY151" i="14"/>
  <c r="AT151" i="14"/>
  <c r="AE196" i="6"/>
  <c r="AE3" i="6"/>
  <c r="AE49" i="6"/>
  <c r="AE144" i="6"/>
  <c r="AE73" i="6"/>
  <c r="AE89" i="6"/>
  <c r="AE66" i="6"/>
  <c r="AE37" i="6"/>
  <c r="AE65" i="6"/>
  <c r="AE17" i="6"/>
  <c r="AE141" i="6"/>
  <c r="AE185" i="6"/>
  <c r="AU203" i="14"/>
  <c r="X203" i="14"/>
  <c r="AC203" i="14"/>
  <c r="AZ203" i="14"/>
  <c r="BA51" i="14"/>
  <c r="AD51" i="14"/>
  <c r="Y51" i="14"/>
  <c r="AV51" i="14"/>
  <c r="AU179" i="14"/>
  <c r="X179" i="14"/>
  <c r="AC179" i="14"/>
  <c r="AZ179" i="14"/>
  <c r="AY182" i="14"/>
  <c r="AT182" i="14"/>
  <c r="AB182" i="14"/>
  <c r="W182" i="14"/>
  <c r="AT230" i="14"/>
  <c r="W230" i="14"/>
  <c r="AB230" i="14"/>
  <c r="AY230" i="14"/>
  <c r="CS61" i="3" l="1"/>
  <c r="CS62" i="2"/>
  <c r="CS62" i="1"/>
  <c r="CS205" i="3"/>
  <c r="CS208" i="1"/>
  <c r="CS78" i="3"/>
  <c r="CS79" i="2"/>
  <c r="CS79" i="1"/>
  <c r="CS39" i="3"/>
  <c r="CS40" i="2"/>
  <c r="CS40" i="1"/>
  <c r="H199" i="22"/>
  <c r="AF199" i="21"/>
  <c r="M44" i="9"/>
  <c r="H135" i="22"/>
  <c r="AF135" i="21"/>
  <c r="AF216" i="21"/>
  <c r="H216" i="22"/>
  <c r="E125" i="22"/>
  <c r="H123" i="22"/>
  <c r="AF123" i="21"/>
  <c r="H59" i="22"/>
  <c r="AF59" i="21"/>
  <c r="AF134" i="21"/>
  <c r="H134" i="22"/>
  <c r="H34" i="22"/>
  <c r="AF34" i="21"/>
  <c r="M119" i="9"/>
  <c r="CS107" i="3"/>
  <c r="CS108" i="2"/>
  <c r="CS108" i="1"/>
  <c r="H202" i="22"/>
  <c r="AF202" i="21"/>
  <c r="CS199" i="3"/>
  <c r="CS202" i="2"/>
  <c r="CS202" i="1"/>
  <c r="M108" i="9"/>
  <c r="H190" i="22"/>
  <c r="AF190" i="21"/>
  <c r="M42" i="9"/>
  <c r="H140" i="22"/>
  <c r="AF140" i="21"/>
  <c r="CS94" i="3"/>
  <c r="CS95" i="2"/>
  <c r="CS95" i="1"/>
  <c r="M47" i="9"/>
  <c r="CS187" i="3"/>
  <c r="CS190" i="2"/>
  <c r="CS190" i="1"/>
  <c r="CS71" i="3"/>
  <c r="CS72" i="2"/>
  <c r="CS72" i="1"/>
  <c r="H111" i="22"/>
  <c r="AF111" i="21"/>
  <c r="H124" i="22"/>
  <c r="AF124" i="21"/>
  <c r="M169" i="9"/>
  <c r="CS9" i="3"/>
  <c r="CS9" i="2"/>
  <c r="CS9" i="1"/>
  <c r="M184" i="9"/>
  <c r="CS45" i="3"/>
  <c r="CS46" i="2"/>
  <c r="CS46" i="1"/>
  <c r="M110" i="9"/>
  <c r="CS143" i="3"/>
  <c r="CS144" i="2"/>
  <c r="CS145" i="1"/>
  <c r="CS125" i="3"/>
  <c r="CS126" i="2"/>
  <c r="CS126" i="1"/>
  <c r="M84" i="9"/>
  <c r="CS32" i="2"/>
  <c r="CS32" i="1"/>
  <c r="E162" i="9"/>
  <c r="EL162" i="2"/>
  <c r="AJ164" i="21" s="1"/>
  <c r="EK162" i="2"/>
  <c r="CK162" i="2"/>
  <c r="EJ162" i="2"/>
  <c r="AD164" i="21" s="1"/>
  <c r="CJ162" i="2"/>
  <c r="EI162" i="2"/>
  <c r="AA164" i="21" s="1"/>
  <c r="CI162" i="2"/>
  <c r="EH162" i="2"/>
  <c r="X164" i="21" s="1"/>
  <c r="CH162" i="2"/>
  <c r="EG162" i="2"/>
  <c r="U164" i="21" s="1"/>
  <c r="CG162" i="2"/>
  <c r="ER162" i="2"/>
  <c r="F164" i="22" s="1"/>
  <c r="EF162" i="2"/>
  <c r="R164" i="21" s="1"/>
  <c r="EQ162" i="2"/>
  <c r="EE162" i="2"/>
  <c r="O164" i="21" s="1"/>
  <c r="CQ162" i="2"/>
  <c r="K162" i="9" s="1"/>
  <c r="EP162" i="2"/>
  <c r="ED162" i="2"/>
  <c r="L164" i="21" s="1"/>
  <c r="EO162" i="2"/>
  <c r="EC162" i="2"/>
  <c r="I164" i="21" s="1"/>
  <c r="EM162" i="2"/>
  <c r="AM164" i="21" s="1"/>
  <c r="EB162" i="2"/>
  <c r="F164" i="21" s="1"/>
  <c r="EN162" i="2"/>
  <c r="AP164" i="21" s="1"/>
  <c r="F76" i="9"/>
  <c r="EG76" i="3"/>
  <c r="V78" i="21" s="1"/>
  <c r="CG76" i="3"/>
  <c r="EH76" i="3"/>
  <c r="Y78" i="21" s="1"/>
  <c r="ER76" i="3"/>
  <c r="G78" i="22" s="1"/>
  <c r="EQ76" i="3"/>
  <c r="EO76" i="3"/>
  <c r="CK76" i="3"/>
  <c r="EN76" i="3"/>
  <c r="AQ78" i="21" s="1"/>
  <c r="CJ76" i="3"/>
  <c r="EL76" i="3"/>
  <c r="AK78" i="21" s="1"/>
  <c r="CH76" i="3"/>
  <c r="EK76" i="3"/>
  <c r="EJ76" i="3"/>
  <c r="AE78" i="21" s="1"/>
  <c r="EI76" i="3"/>
  <c r="AB78" i="21" s="1"/>
  <c r="CI76" i="3"/>
  <c r="AF100" i="21"/>
  <c r="H100" i="22"/>
  <c r="AM140" i="14"/>
  <c r="AH140" i="14"/>
  <c r="AF141" i="21"/>
  <c r="H141" i="22"/>
  <c r="E177" i="9"/>
  <c r="EI177" i="2"/>
  <c r="AA179" i="21" s="1"/>
  <c r="CI177" i="2"/>
  <c r="EH177" i="2"/>
  <c r="X179" i="21" s="1"/>
  <c r="CH177" i="2"/>
  <c r="EG177" i="2"/>
  <c r="U179" i="21" s="1"/>
  <c r="CG177" i="2"/>
  <c r="ER177" i="2"/>
  <c r="F179" i="22" s="1"/>
  <c r="EF177" i="2"/>
  <c r="R179" i="21" s="1"/>
  <c r="EQ177" i="2"/>
  <c r="EE177" i="2"/>
  <c r="O179" i="21" s="1"/>
  <c r="CQ177" i="2"/>
  <c r="K177" i="9" s="1"/>
  <c r="EP177" i="2"/>
  <c r="ED177" i="2"/>
  <c r="L179" i="21" s="1"/>
  <c r="EO177" i="2"/>
  <c r="EC177" i="2"/>
  <c r="I179" i="21" s="1"/>
  <c r="EN177" i="2"/>
  <c r="AP179" i="21" s="1"/>
  <c r="EB177" i="2"/>
  <c r="F179" i="21" s="1"/>
  <c r="EM177" i="2"/>
  <c r="AM179" i="21" s="1"/>
  <c r="EL177" i="2"/>
  <c r="AJ179" i="21" s="1"/>
  <c r="EJ177" i="2"/>
  <c r="AD179" i="21" s="1"/>
  <c r="CK177" i="2"/>
  <c r="CJ177" i="2"/>
  <c r="EK177" i="2"/>
  <c r="AH208" i="14"/>
  <c r="AM208" i="14"/>
  <c r="F207" i="9"/>
  <c r="EO204" i="3"/>
  <c r="EN204" i="3"/>
  <c r="AQ209" i="21" s="1"/>
  <c r="EM204" i="3"/>
  <c r="AN209" i="21" s="1"/>
  <c r="EL204" i="3"/>
  <c r="AK209" i="21" s="1"/>
  <c r="CK204" i="3"/>
  <c r="EH204" i="3"/>
  <c r="Y209" i="21" s="1"/>
  <c r="CH204" i="3"/>
  <c r="EG204" i="3"/>
  <c r="V209" i="21" s="1"/>
  <c r="CG204" i="3"/>
  <c r="CJ204" i="3"/>
  <c r="CI204" i="3"/>
  <c r="EQ204" i="3"/>
  <c r="ER204" i="3" s="1"/>
  <c r="EJ204" i="3"/>
  <c r="AE209" i="21" s="1"/>
  <c r="EI204" i="3"/>
  <c r="AB209" i="21" s="1"/>
  <c r="L111" i="22"/>
  <c r="F130" i="9"/>
  <c r="EG130" i="3"/>
  <c r="V132" i="21" s="1"/>
  <c r="CG130" i="3"/>
  <c r="ER130" i="3"/>
  <c r="G132" i="22" s="1"/>
  <c r="EF130" i="3"/>
  <c r="S132" i="21" s="1"/>
  <c r="EQ130" i="3"/>
  <c r="EE130" i="3"/>
  <c r="P132" i="21" s="1"/>
  <c r="CQ130" i="3"/>
  <c r="L130" i="9" s="1"/>
  <c r="EO130" i="3"/>
  <c r="EC130" i="3"/>
  <c r="J132" i="21" s="1"/>
  <c r="EJ130" i="3"/>
  <c r="AE132" i="21" s="1"/>
  <c r="CJ130" i="3"/>
  <c r="CK130" i="3"/>
  <c r="CI130" i="3"/>
  <c r="EP130" i="3"/>
  <c r="CH130" i="3"/>
  <c r="EN130" i="3"/>
  <c r="AQ132" i="21" s="1"/>
  <c r="EM130" i="3"/>
  <c r="AN132" i="21" s="1"/>
  <c r="EL130" i="3"/>
  <c r="AK132" i="21" s="1"/>
  <c r="EI130" i="3"/>
  <c r="AB132" i="21" s="1"/>
  <c r="EH130" i="3"/>
  <c r="Y132" i="21" s="1"/>
  <c r="EB130" i="3"/>
  <c r="G132" i="21" s="1"/>
  <c r="EK130" i="3"/>
  <c r="ED130" i="3"/>
  <c r="M132" i="21" s="1"/>
  <c r="DJ153" i="2"/>
  <c r="DM153" i="2"/>
  <c r="DL153" i="2"/>
  <c r="DK153" i="2"/>
  <c r="E160" i="9"/>
  <c r="EN160" i="2"/>
  <c r="AP162" i="21" s="1"/>
  <c r="EB160" i="2"/>
  <c r="F162" i="21" s="1"/>
  <c r="EM160" i="2"/>
  <c r="AM162" i="21" s="1"/>
  <c r="EL160" i="2"/>
  <c r="AJ162" i="21" s="1"/>
  <c r="EK160" i="2"/>
  <c r="CK160" i="2"/>
  <c r="EJ160" i="2"/>
  <c r="AD162" i="21" s="1"/>
  <c r="CJ160" i="2"/>
  <c r="EH160" i="2"/>
  <c r="X162" i="21" s="1"/>
  <c r="CH160" i="2"/>
  <c r="EG160" i="2"/>
  <c r="U162" i="21" s="1"/>
  <c r="CG160" i="2"/>
  <c r="ER160" i="2"/>
  <c r="F162" i="22" s="1"/>
  <c r="EF160" i="2"/>
  <c r="R162" i="21" s="1"/>
  <c r="EQ160" i="2"/>
  <c r="EE160" i="2"/>
  <c r="O162" i="21" s="1"/>
  <c r="CQ160" i="2"/>
  <c r="K160" i="9" s="1"/>
  <c r="EP160" i="2"/>
  <c r="EO160" i="2"/>
  <c r="EI160" i="2"/>
  <c r="AA162" i="21" s="1"/>
  <c r="ED160" i="2"/>
  <c r="L162" i="21" s="1"/>
  <c r="EC160" i="2"/>
  <c r="I162" i="21" s="1"/>
  <c r="CI160" i="2"/>
  <c r="E203" i="22"/>
  <c r="L203" i="22" s="1"/>
  <c r="EP201" i="1"/>
  <c r="DO178" i="1"/>
  <c r="DN178" i="1"/>
  <c r="E87" i="9"/>
  <c r="EI88" i="2"/>
  <c r="AA89" i="21" s="1"/>
  <c r="CI88" i="2"/>
  <c r="EH88" i="2"/>
  <c r="X89" i="21" s="1"/>
  <c r="CH88" i="2"/>
  <c r="EG88" i="2"/>
  <c r="U89" i="21" s="1"/>
  <c r="CG88" i="2"/>
  <c r="EQ88" i="2"/>
  <c r="EK88" i="2" s="1"/>
  <c r="EO88" i="2"/>
  <c r="EN88" i="2"/>
  <c r="AP89" i="21" s="1"/>
  <c r="EJ88" i="2"/>
  <c r="AD89" i="21" s="1"/>
  <c r="CJ88" i="2"/>
  <c r="EL88" i="2"/>
  <c r="AJ89" i="21" s="1"/>
  <c r="CK88" i="2"/>
  <c r="DI37" i="3"/>
  <c r="CD37" i="3"/>
  <c r="U72" i="15"/>
  <c r="T72" i="15"/>
  <c r="U75" i="15"/>
  <c r="T75" i="15"/>
  <c r="E192" i="9"/>
  <c r="EL192" i="2"/>
  <c r="AJ194" i="21" s="1"/>
  <c r="EK192" i="2"/>
  <c r="CK192" i="2"/>
  <c r="ER192" i="2"/>
  <c r="F194" i="22" s="1"/>
  <c r="EF192" i="2"/>
  <c r="R194" i="21" s="1"/>
  <c r="EQ192" i="2"/>
  <c r="EE192" i="2"/>
  <c r="O194" i="21" s="1"/>
  <c r="CQ192" i="2"/>
  <c r="K192" i="9" s="1"/>
  <c r="EP192" i="2"/>
  <c r="ED192" i="2"/>
  <c r="L194" i="21" s="1"/>
  <c r="EO192" i="2"/>
  <c r="CG192" i="2"/>
  <c r="EN192" i="2"/>
  <c r="AP194" i="21" s="1"/>
  <c r="EM192" i="2"/>
  <c r="AM194" i="21" s="1"/>
  <c r="EJ192" i="2"/>
  <c r="AD194" i="21" s="1"/>
  <c r="EI192" i="2"/>
  <c r="AA194" i="21" s="1"/>
  <c r="EH192" i="2"/>
  <c r="X194" i="21" s="1"/>
  <c r="EG192" i="2"/>
  <c r="U194" i="21" s="1"/>
  <c r="EC192" i="2"/>
  <c r="I194" i="21" s="1"/>
  <c r="EB192" i="2"/>
  <c r="F194" i="21" s="1"/>
  <c r="CJ192" i="2"/>
  <c r="CH192" i="2"/>
  <c r="CI192" i="2"/>
  <c r="F50" i="9"/>
  <c r="EG50" i="3"/>
  <c r="V52" i="21" s="1"/>
  <c r="CG50" i="3"/>
  <c r="EQ50" i="3"/>
  <c r="EK50" i="3" s="1"/>
  <c r="EO50" i="3"/>
  <c r="EN50" i="3"/>
  <c r="AQ52" i="21" s="1"/>
  <c r="EM50" i="3"/>
  <c r="AN52" i="21" s="1"/>
  <c r="CK50" i="3"/>
  <c r="EJ50" i="3"/>
  <c r="AE52" i="21" s="1"/>
  <c r="CJ50" i="3"/>
  <c r="CI50" i="3"/>
  <c r="CH50" i="3"/>
  <c r="EL50" i="3"/>
  <c r="AK52" i="21" s="1"/>
  <c r="EI50" i="3"/>
  <c r="AB52" i="21" s="1"/>
  <c r="EH50" i="3"/>
  <c r="Y52" i="21" s="1"/>
  <c r="F124" i="9"/>
  <c r="EM124" i="3"/>
  <c r="AN126" i="21" s="1"/>
  <c r="EP124" i="3"/>
  <c r="ED124" i="3"/>
  <c r="M126" i="21" s="1"/>
  <c r="EF124" i="3"/>
  <c r="S126" i="21" s="1"/>
  <c r="CK124" i="3"/>
  <c r="EE124" i="3"/>
  <c r="P126" i="21" s="1"/>
  <c r="CJ124" i="3"/>
  <c r="ER124" i="3"/>
  <c r="G126" i="22" s="1"/>
  <c r="EC124" i="3"/>
  <c r="J126" i="21" s="1"/>
  <c r="CI124" i="3"/>
  <c r="EQ124" i="3"/>
  <c r="EB124" i="3"/>
  <c r="G126" i="21" s="1"/>
  <c r="CH124" i="3"/>
  <c r="EO124" i="3"/>
  <c r="CG124" i="3"/>
  <c r="EN124" i="3"/>
  <c r="AQ126" i="21" s="1"/>
  <c r="EL124" i="3"/>
  <c r="AK126" i="21" s="1"/>
  <c r="EJ124" i="3"/>
  <c r="AE126" i="21" s="1"/>
  <c r="CQ124" i="3"/>
  <c r="L124" i="9" s="1"/>
  <c r="EI124" i="3"/>
  <c r="AB126" i="21" s="1"/>
  <c r="EK124" i="3"/>
  <c r="EH124" i="3"/>
  <c r="Y126" i="21" s="1"/>
  <c r="EG124" i="3"/>
  <c r="V126" i="21" s="1"/>
  <c r="E40" i="22"/>
  <c r="L40" i="22" s="1"/>
  <c r="EP39" i="1"/>
  <c r="L216" i="22"/>
  <c r="F170" i="9"/>
  <c r="EP168" i="3"/>
  <c r="ED168" i="3"/>
  <c r="M172" i="21" s="1"/>
  <c r="EI168" i="3"/>
  <c r="AB172" i="21" s="1"/>
  <c r="EH168" i="3"/>
  <c r="Y172" i="21" s="1"/>
  <c r="CQ168" i="3"/>
  <c r="L170" i="9" s="1"/>
  <c r="EG168" i="3"/>
  <c r="V172" i="21" s="1"/>
  <c r="EF168" i="3"/>
  <c r="S172" i="21" s="1"/>
  <c r="ER168" i="3"/>
  <c r="G172" i="22" s="1"/>
  <c r="EE168" i="3"/>
  <c r="P172" i="21" s="1"/>
  <c r="EQ168" i="3"/>
  <c r="EC168" i="3"/>
  <c r="J172" i="21" s="1"/>
  <c r="EO168" i="3"/>
  <c r="EB168" i="3"/>
  <c r="G172" i="21" s="1"/>
  <c r="CK168" i="3"/>
  <c r="EM168" i="3"/>
  <c r="AN172" i="21" s="1"/>
  <c r="CI168" i="3"/>
  <c r="EJ168" i="3"/>
  <c r="AE172" i="21" s="1"/>
  <c r="EK168" i="3"/>
  <c r="CJ168" i="3"/>
  <c r="CH168" i="3"/>
  <c r="CG168" i="3"/>
  <c r="EN168" i="3"/>
  <c r="AQ172" i="21" s="1"/>
  <c r="EL168" i="3"/>
  <c r="AK172" i="21" s="1"/>
  <c r="DL201" i="3"/>
  <c r="DK201" i="3"/>
  <c r="DM201" i="3"/>
  <c r="DJ201" i="3"/>
  <c r="G100" i="22"/>
  <c r="N100" i="22" s="1"/>
  <c r="EP98" i="3"/>
  <c r="E145" i="9"/>
  <c r="EO145" i="2"/>
  <c r="EI145" i="2"/>
  <c r="AA147" i="21" s="1"/>
  <c r="CI145" i="2"/>
  <c r="EG145" i="2"/>
  <c r="U147" i="21" s="1"/>
  <c r="EQ145" i="2"/>
  <c r="EK145" i="2" s="1"/>
  <c r="EN145" i="2"/>
  <c r="AP147" i="21" s="1"/>
  <c r="CK145" i="2"/>
  <c r="EH145" i="2"/>
  <c r="X147" i="21" s="1"/>
  <c r="CG145" i="2"/>
  <c r="EJ145" i="2"/>
  <c r="AD147" i="21" s="1"/>
  <c r="CJ145" i="2"/>
  <c r="CH145" i="2"/>
  <c r="DO157" i="1"/>
  <c r="DN157" i="1"/>
  <c r="AN168" i="14"/>
  <c r="AI168" i="14"/>
  <c r="H166" i="22"/>
  <c r="AF166" i="21"/>
  <c r="T71" i="16"/>
  <c r="S71" i="16"/>
  <c r="AN123" i="14"/>
  <c r="AI123" i="14"/>
  <c r="M147" i="9"/>
  <c r="E80" i="9"/>
  <c r="EO81" i="2"/>
  <c r="EN81" i="2"/>
  <c r="AP82" i="21" s="1"/>
  <c r="EM81" i="2"/>
  <c r="AM82" i="21" s="1"/>
  <c r="CK81" i="2"/>
  <c r="EJ81" i="2"/>
  <c r="AD82" i="21" s="1"/>
  <c r="CJ81" i="2"/>
  <c r="EI81" i="2"/>
  <c r="AA82" i="21" s="1"/>
  <c r="CI81" i="2"/>
  <c r="EH81" i="2"/>
  <c r="X82" i="21" s="1"/>
  <c r="CH81" i="2"/>
  <c r="EQ81" i="2"/>
  <c r="EK81" i="2" s="1"/>
  <c r="CG81" i="2"/>
  <c r="EG81" i="2"/>
  <c r="U82" i="21" s="1"/>
  <c r="DO204" i="1"/>
  <c r="DN204" i="1"/>
  <c r="AG177" i="14"/>
  <c r="AL177" i="14"/>
  <c r="H18" i="22"/>
  <c r="AF18" i="21"/>
  <c r="AH217" i="14"/>
  <c r="AM217" i="14"/>
  <c r="AM170" i="14"/>
  <c r="AH170" i="14"/>
  <c r="DK17" i="2"/>
  <c r="DM17" i="2"/>
  <c r="DL17" i="2"/>
  <c r="DJ17" i="2"/>
  <c r="AL84" i="14"/>
  <c r="AG84" i="14"/>
  <c r="F176" i="9"/>
  <c r="EJ174" i="3"/>
  <c r="AE178" i="21" s="1"/>
  <c r="CJ174" i="3"/>
  <c r="EG174" i="3"/>
  <c r="V178" i="21" s="1"/>
  <c r="ER174" i="3"/>
  <c r="G178" i="22" s="1"/>
  <c r="EF174" i="3"/>
  <c r="S178" i="21" s="1"/>
  <c r="EQ174" i="3"/>
  <c r="EE174" i="3"/>
  <c r="P178" i="21" s="1"/>
  <c r="CQ174" i="3"/>
  <c r="L176" i="9" s="1"/>
  <c r="EI174" i="3"/>
  <c r="AB178" i="21" s="1"/>
  <c r="CH174" i="3"/>
  <c r="EH174" i="3"/>
  <c r="Y178" i="21" s="1"/>
  <c r="CG174" i="3"/>
  <c r="ED174" i="3"/>
  <c r="M178" i="21" s="1"/>
  <c r="EC174" i="3"/>
  <c r="J178" i="21" s="1"/>
  <c r="EB174" i="3"/>
  <c r="G178" i="21" s="1"/>
  <c r="EP174" i="3"/>
  <c r="EN174" i="3"/>
  <c r="AQ178" i="21" s="1"/>
  <c r="EK174" i="3"/>
  <c r="CI174" i="3"/>
  <c r="EO174" i="3"/>
  <c r="EM174" i="3"/>
  <c r="AN178" i="21" s="1"/>
  <c r="CK174" i="3"/>
  <c r="EL174" i="3"/>
  <c r="AK178" i="21" s="1"/>
  <c r="DO171" i="1"/>
  <c r="DN171" i="1"/>
  <c r="F28" i="9"/>
  <c r="EN29" i="3"/>
  <c r="AQ30" i="21" s="1"/>
  <c r="CK29" i="3"/>
  <c r="EJ29" i="3"/>
  <c r="AE30" i="21" s="1"/>
  <c r="CJ29" i="3"/>
  <c r="EH29" i="3"/>
  <c r="Y30" i="21" s="1"/>
  <c r="CH29" i="3"/>
  <c r="EG29" i="3"/>
  <c r="V30" i="21" s="1"/>
  <c r="CG29" i="3"/>
  <c r="EO29" i="3"/>
  <c r="EI29" i="3"/>
  <c r="AB30" i="21" s="1"/>
  <c r="CI29" i="3"/>
  <c r="EQ29" i="3"/>
  <c r="EK29" i="3" s="1"/>
  <c r="DM170" i="3"/>
  <c r="DL170" i="3"/>
  <c r="DK170" i="3"/>
  <c r="DJ170" i="3"/>
  <c r="AM159" i="14"/>
  <c r="AH159" i="14"/>
  <c r="E25" i="9"/>
  <c r="EI26" i="2"/>
  <c r="AA27" i="21" s="1"/>
  <c r="CI26" i="2"/>
  <c r="EG26" i="2"/>
  <c r="U27" i="21" s="1"/>
  <c r="CG26" i="2"/>
  <c r="EQ26" i="2"/>
  <c r="EM26" i="2"/>
  <c r="AM27" i="21" s="1"/>
  <c r="EL26" i="2"/>
  <c r="AJ27" i="21" s="1"/>
  <c r="EK26" i="2"/>
  <c r="EJ26" i="2"/>
  <c r="AD27" i="21" s="1"/>
  <c r="CK26" i="2"/>
  <c r="EH26" i="2"/>
  <c r="X27" i="21" s="1"/>
  <c r="CJ26" i="2"/>
  <c r="CH26" i="2"/>
  <c r="EN26" i="2"/>
  <c r="AP27" i="21" s="1"/>
  <c r="EP26" i="2"/>
  <c r="ER26" i="2"/>
  <c r="F27" i="22" s="1"/>
  <c r="EO26" i="2"/>
  <c r="DJ141" i="3"/>
  <c r="DK141" i="3"/>
  <c r="DL141" i="3"/>
  <c r="DM141" i="3"/>
  <c r="F11" i="9"/>
  <c r="EI12" i="3"/>
  <c r="AB13" i="21" s="1"/>
  <c r="CI12" i="3"/>
  <c r="EH12" i="3"/>
  <c r="Y13" i="21" s="1"/>
  <c r="CH12" i="3"/>
  <c r="EG12" i="3"/>
  <c r="V13" i="21" s="1"/>
  <c r="CG12" i="3"/>
  <c r="EQ12" i="3"/>
  <c r="EN12" i="3"/>
  <c r="AQ13" i="21" s="1"/>
  <c r="EM12" i="3"/>
  <c r="AN13" i="21" s="1"/>
  <c r="EK12" i="3"/>
  <c r="CK12" i="3"/>
  <c r="CJ12" i="3"/>
  <c r="EO12" i="3"/>
  <c r="EJ12" i="3"/>
  <c r="AE13" i="21" s="1"/>
  <c r="L50" i="11"/>
  <c r="T50" i="11" s="1"/>
  <c r="L39" i="11"/>
  <c r="T39" i="11" s="1"/>
  <c r="L28" i="11"/>
  <c r="AE71" i="5"/>
  <c r="AE115" i="5"/>
  <c r="AE154" i="5"/>
  <c r="AE83" i="5"/>
  <c r="AE80" i="5"/>
  <c r="AE139" i="5"/>
  <c r="AE213" i="5"/>
  <c r="AE9" i="5"/>
  <c r="AE10" i="5"/>
  <c r="AE108" i="5"/>
  <c r="AE94" i="5"/>
  <c r="J94" i="9" s="1"/>
  <c r="C99" i="14" s="1"/>
  <c r="AE88" i="5"/>
  <c r="AE61" i="5"/>
  <c r="J61" i="9" s="1"/>
  <c r="C66" i="14" s="1"/>
  <c r="AE140" i="5"/>
  <c r="AE198" i="5"/>
  <c r="J199" i="9" s="1"/>
  <c r="C204" i="14" s="1"/>
  <c r="AE145" i="5"/>
  <c r="AE193" i="5"/>
  <c r="J194" i="9" s="1"/>
  <c r="C199" i="14" s="1"/>
  <c r="E185" i="9"/>
  <c r="ER185" i="2"/>
  <c r="F187" i="22" s="1"/>
  <c r="EF185" i="2"/>
  <c r="R187" i="21" s="1"/>
  <c r="EK185" i="2"/>
  <c r="CK185" i="2"/>
  <c r="EJ185" i="2"/>
  <c r="AD187" i="21" s="1"/>
  <c r="EI185" i="2"/>
  <c r="AA187" i="21" s="1"/>
  <c r="EH185" i="2"/>
  <c r="X187" i="21" s="1"/>
  <c r="EG185" i="2"/>
  <c r="U187" i="21" s="1"/>
  <c r="EE185" i="2"/>
  <c r="O187" i="21" s="1"/>
  <c r="CJ185" i="2"/>
  <c r="ED185" i="2"/>
  <c r="L187" i="21" s="1"/>
  <c r="CI185" i="2"/>
  <c r="EQ185" i="2"/>
  <c r="EC185" i="2"/>
  <c r="I187" i="21" s="1"/>
  <c r="CH185" i="2"/>
  <c r="EP185" i="2"/>
  <c r="EB185" i="2"/>
  <c r="F187" i="21" s="1"/>
  <c r="CG185" i="2"/>
  <c r="EO185" i="2"/>
  <c r="EN185" i="2"/>
  <c r="AP187" i="21" s="1"/>
  <c r="EM185" i="2"/>
  <c r="AM187" i="21" s="1"/>
  <c r="EL185" i="2"/>
  <c r="AJ187" i="21" s="1"/>
  <c r="CQ185" i="2"/>
  <c r="K185" i="9" s="1"/>
  <c r="AM111" i="14"/>
  <c r="AH111" i="14"/>
  <c r="AM167" i="14"/>
  <c r="AH167" i="14"/>
  <c r="AM181" i="14"/>
  <c r="AH181" i="14"/>
  <c r="AM192" i="14"/>
  <c r="AH192" i="14"/>
  <c r="DO164" i="1"/>
  <c r="DN164" i="1"/>
  <c r="F53" i="9"/>
  <c r="EN53" i="3"/>
  <c r="AQ55" i="21" s="1"/>
  <c r="EL53" i="3"/>
  <c r="AK55" i="21" s="1"/>
  <c r="CK53" i="3"/>
  <c r="EJ53" i="3"/>
  <c r="AE55" i="21" s="1"/>
  <c r="CJ53" i="3"/>
  <c r="EH53" i="3"/>
  <c r="Y55" i="21" s="1"/>
  <c r="CH53" i="3"/>
  <c r="EG53" i="3"/>
  <c r="V55" i="21" s="1"/>
  <c r="CG53" i="3"/>
  <c r="EQ53" i="3"/>
  <c r="EK53" i="3" s="1"/>
  <c r="EO53" i="3"/>
  <c r="CI53" i="3"/>
  <c r="EI53" i="3"/>
  <c r="AB55" i="21" s="1"/>
  <c r="E224" i="9"/>
  <c r="EQ212" i="2"/>
  <c r="ER212" i="2" s="1"/>
  <c r="EO212" i="2"/>
  <c r="EN212" i="2"/>
  <c r="AP226" i="21" s="1"/>
  <c r="CK212" i="2"/>
  <c r="EJ212" i="2"/>
  <c r="AD226" i="21" s="1"/>
  <c r="CJ212" i="2"/>
  <c r="EI212" i="2"/>
  <c r="AA226" i="21" s="1"/>
  <c r="CI212" i="2"/>
  <c r="EH212" i="2"/>
  <c r="X226" i="21" s="1"/>
  <c r="CH212" i="2"/>
  <c r="CG212" i="2"/>
  <c r="EG212" i="2"/>
  <c r="U226" i="21" s="1"/>
  <c r="F93" i="9"/>
  <c r="EO93" i="3"/>
  <c r="EN93" i="3"/>
  <c r="AQ95" i="21" s="1"/>
  <c r="CK93" i="3"/>
  <c r="EJ93" i="3"/>
  <c r="AE95" i="21" s="1"/>
  <c r="CJ93" i="3"/>
  <c r="EG93" i="3"/>
  <c r="V95" i="21" s="1"/>
  <c r="CG93" i="3"/>
  <c r="CI93" i="3"/>
  <c r="EQ93" i="3"/>
  <c r="ER93" i="3" s="1"/>
  <c r="EI93" i="3"/>
  <c r="AB95" i="21" s="1"/>
  <c r="EH93" i="3"/>
  <c r="Y95" i="21" s="1"/>
  <c r="CH93" i="3"/>
  <c r="L202" i="22"/>
  <c r="AN163" i="14"/>
  <c r="AI163" i="14"/>
  <c r="L19" i="11"/>
  <c r="N7" i="13"/>
  <c r="V7" i="13" s="1"/>
  <c r="C10" i="19" s="1"/>
  <c r="F232" i="21" s="1"/>
  <c r="E154" i="9"/>
  <c r="EH154" i="2"/>
  <c r="X156" i="21" s="1"/>
  <c r="CH154" i="2"/>
  <c r="EG154" i="2"/>
  <c r="U156" i="21" s="1"/>
  <c r="CG154" i="2"/>
  <c r="ER154" i="2"/>
  <c r="F156" i="22" s="1"/>
  <c r="EF154" i="2"/>
  <c r="R156" i="21" s="1"/>
  <c r="EQ154" i="2"/>
  <c r="EE154" i="2"/>
  <c r="O156" i="21" s="1"/>
  <c r="CQ154" i="2"/>
  <c r="K154" i="9" s="1"/>
  <c r="EP154" i="2"/>
  <c r="ED154" i="2"/>
  <c r="L156" i="21" s="1"/>
  <c r="EN154" i="2"/>
  <c r="AP156" i="21" s="1"/>
  <c r="EB154" i="2"/>
  <c r="F156" i="21" s="1"/>
  <c r="EM154" i="2"/>
  <c r="AM156" i="21" s="1"/>
  <c r="EL154" i="2"/>
  <c r="AJ156" i="21" s="1"/>
  <c r="CK154" i="2"/>
  <c r="EO154" i="2"/>
  <c r="CJ154" i="2"/>
  <c r="EK154" i="2"/>
  <c r="CI154" i="2"/>
  <c r="EC154" i="2"/>
  <c r="I156" i="21" s="1"/>
  <c r="EJ154" i="2"/>
  <c r="AD156" i="21" s="1"/>
  <c r="EI154" i="2"/>
  <c r="AA156" i="21" s="1"/>
  <c r="F67" i="9"/>
  <c r="EQ67" i="3"/>
  <c r="EK67" i="3" s="1"/>
  <c r="EO67" i="3"/>
  <c r="EN67" i="3"/>
  <c r="AQ69" i="21" s="1"/>
  <c r="CK67" i="3"/>
  <c r="EI67" i="3"/>
  <c r="AB69" i="21" s="1"/>
  <c r="CI67" i="3"/>
  <c r="EH67" i="3"/>
  <c r="Y69" i="21" s="1"/>
  <c r="CH67" i="3"/>
  <c r="CJ67" i="3"/>
  <c r="CG67" i="3"/>
  <c r="EJ67" i="3"/>
  <c r="AE69" i="21" s="1"/>
  <c r="EG67" i="3"/>
  <c r="V69" i="21" s="1"/>
  <c r="E176" i="9"/>
  <c r="M176" i="9" s="1"/>
  <c r="EJ176" i="2"/>
  <c r="AD178" i="21" s="1"/>
  <c r="CJ176" i="2"/>
  <c r="EI176" i="2"/>
  <c r="AA178" i="21" s="1"/>
  <c r="CI176" i="2"/>
  <c r="EH176" i="2"/>
  <c r="X178" i="21" s="1"/>
  <c r="CH176" i="2"/>
  <c r="EG176" i="2"/>
  <c r="U178" i="21" s="1"/>
  <c r="CG176" i="2"/>
  <c r="ER176" i="2"/>
  <c r="F178" i="22" s="1"/>
  <c r="EF176" i="2"/>
  <c r="R178" i="21" s="1"/>
  <c r="EQ176" i="2"/>
  <c r="EE176" i="2"/>
  <c r="O178" i="21" s="1"/>
  <c r="CQ176" i="2"/>
  <c r="K176" i="9" s="1"/>
  <c r="EP176" i="2"/>
  <c r="ED176" i="2"/>
  <c r="L178" i="21" s="1"/>
  <c r="EO176" i="2"/>
  <c r="EC176" i="2"/>
  <c r="I178" i="21" s="1"/>
  <c r="EN176" i="2"/>
  <c r="AP178" i="21" s="1"/>
  <c r="EB176" i="2"/>
  <c r="F178" i="21" s="1"/>
  <c r="EM176" i="2"/>
  <c r="AM178" i="21" s="1"/>
  <c r="EL176" i="2"/>
  <c r="AJ178" i="21" s="1"/>
  <c r="EK176" i="2"/>
  <c r="CK176" i="2"/>
  <c r="AN166" i="14"/>
  <c r="AI166" i="14"/>
  <c r="L24" i="22"/>
  <c r="G222" i="22"/>
  <c r="N222" i="22" s="1"/>
  <c r="EP214" i="3"/>
  <c r="F19" i="9"/>
  <c r="EG20" i="3"/>
  <c r="V21" i="21" s="1"/>
  <c r="CG20" i="3"/>
  <c r="EQ20" i="3"/>
  <c r="ER20" i="3" s="1"/>
  <c r="EJ20" i="3"/>
  <c r="AE21" i="21" s="1"/>
  <c r="EI20" i="3"/>
  <c r="AB21" i="21" s="1"/>
  <c r="EH20" i="3"/>
  <c r="Y21" i="21" s="1"/>
  <c r="CK20" i="3"/>
  <c r="CJ20" i="3"/>
  <c r="CI20" i="3"/>
  <c r="CH20" i="3"/>
  <c r="EO20" i="3"/>
  <c r="EN20" i="3"/>
  <c r="AQ21" i="21" s="1"/>
  <c r="K28" i="11"/>
  <c r="K39" i="11"/>
  <c r="S39" i="11" s="1"/>
  <c r="K50" i="11"/>
  <c r="S50" i="11" s="1"/>
  <c r="AM191" i="14"/>
  <c r="AH191" i="14"/>
  <c r="E120" i="9"/>
  <c r="EO121" i="2"/>
  <c r="EC121" i="2"/>
  <c r="I122" i="21" s="1"/>
  <c r="EN121" i="2"/>
  <c r="AP122" i="21" s="1"/>
  <c r="EB121" i="2"/>
  <c r="F122" i="21" s="1"/>
  <c r="EM121" i="2"/>
  <c r="AM122" i="21" s="1"/>
  <c r="EL121" i="2"/>
  <c r="AJ122" i="21" s="1"/>
  <c r="EK121" i="2"/>
  <c r="CK121" i="2"/>
  <c r="EJ121" i="2"/>
  <c r="AD122" i="21" s="1"/>
  <c r="CJ121" i="2"/>
  <c r="EI121" i="2"/>
  <c r="AA122" i="21" s="1"/>
  <c r="CI121" i="2"/>
  <c r="EH121" i="2"/>
  <c r="X122" i="21" s="1"/>
  <c r="CH121" i="2"/>
  <c r="EG121" i="2"/>
  <c r="U122" i="21" s="1"/>
  <c r="CG121" i="2"/>
  <c r="EP121" i="2"/>
  <c r="ED121" i="2"/>
  <c r="L122" i="21" s="1"/>
  <c r="ER121" i="2"/>
  <c r="F122" i="22" s="1"/>
  <c r="EQ121" i="2"/>
  <c r="EF121" i="2"/>
  <c r="R122" i="21" s="1"/>
  <c r="EE121" i="2"/>
  <c r="O122" i="21" s="1"/>
  <c r="CQ121" i="2"/>
  <c r="K120" i="9" s="1"/>
  <c r="L51" i="11"/>
  <c r="T51" i="11" s="1"/>
  <c r="L29" i="11"/>
  <c r="L40" i="11"/>
  <c r="T40" i="11" s="1"/>
  <c r="E110" i="22"/>
  <c r="L110" i="22" s="1"/>
  <c r="EP109" i="1"/>
  <c r="AE144" i="5"/>
  <c r="J144" i="9" s="1"/>
  <c r="C149" i="14" s="1"/>
  <c r="AN233" i="14"/>
  <c r="AI233" i="14"/>
  <c r="D202" i="9"/>
  <c r="EI202" i="1"/>
  <c r="Z204" i="21" s="1"/>
  <c r="CI202" i="1"/>
  <c r="EH202" i="1"/>
  <c r="W204" i="21" s="1"/>
  <c r="CH202" i="1"/>
  <c r="EG202" i="1"/>
  <c r="T204" i="21" s="1"/>
  <c r="CG202" i="1"/>
  <c r="ER202" i="1"/>
  <c r="E204" i="22" s="1"/>
  <c r="EF202" i="1"/>
  <c r="Q204" i="21" s="1"/>
  <c r="EQ202" i="1"/>
  <c r="EE202" i="1"/>
  <c r="N204" i="21" s="1"/>
  <c r="CQ202" i="1"/>
  <c r="EP202" i="1"/>
  <c r="ED202" i="1"/>
  <c r="K204" i="21" s="1"/>
  <c r="EO202" i="1"/>
  <c r="EC202" i="1"/>
  <c r="H204" i="21" s="1"/>
  <c r="EN202" i="1"/>
  <c r="AO204" i="21" s="1"/>
  <c r="EB202" i="1"/>
  <c r="E204" i="21" s="1"/>
  <c r="EJ202" i="1"/>
  <c r="AC204" i="21" s="1"/>
  <c r="CJ202" i="1"/>
  <c r="CK202" i="1"/>
  <c r="EM202" i="1"/>
  <c r="AL204" i="21" s="1"/>
  <c r="EK202" i="1"/>
  <c r="EL202" i="1"/>
  <c r="AI204" i="21" s="1"/>
  <c r="AM182" i="14"/>
  <c r="AH182" i="14"/>
  <c r="N22" i="11"/>
  <c r="P10" i="13"/>
  <c r="X10" i="13" s="1"/>
  <c r="DO195" i="1"/>
  <c r="DN195" i="1"/>
  <c r="E93" i="9"/>
  <c r="EQ94" i="2"/>
  <c r="EK94" i="2" s="1"/>
  <c r="EO94" i="2"/>
  <c r="EN94" i="2"/>
  <c r="AP95" i="21" s="1"/>
  <c r="G95" i="20" s="1"/>
  <c r="CK94" i="2"/>
  <c r="EJ94" i="2"/>
  <c r="AD95" i="21" s="1"/>
  <c r="F95" i="20" s="1"/>
  <c r="CJ94" i="2"/>
  <c r="EI94" i="2"/>
  <c r="AA95" i="21" s="1"/>
  <c r="M95" i="20" s="1"/>
  <c r="CI94" i="2"/>
  <c r="EH94" i="2"/>
  <c r="X95" i="21" s="1"/>
  <c r="E95" i="20" s="1"/>
  <c r="EG94" i="2"/>
  <c r="U95" i="21" s="1"/>
  <c r="CH94" i="2"/>
  <c r="CG94" i="2"/>
  <c r="AF112" i="21"/>
  <c r="H112" i="22"/>
  <c r="AM35" i="14"/>
  <c r="AH35" i="14"/>
  <c r="DM154" i="2"/>
  <c r="DL154" i="2"/>
  <c r="DK154" i="2"/>
  <c r="DJ154" i="2"/>
  <c r="G207" i="22"/>
  <c r="N207" i="22" s="1"/>
  <c r="EP202" i="3"/>
  <c r="E157" i="9"/>
  <c r="EQ157" i="2"/>
  <c r="EE157" i="2"/>
  <c r="O159" i="21" s="1"/>
  <c r="CQ157" i="2"/>
  <c r="K157" i="9" s="1"/>
  <c r="EP157" i="2"/>
  <c r="ED157" i="2"/>
  <c r="L159" i="21" s="1"/>
  <c r="EO157" i="2"/>
  <c r="EC157" i="2"/>
  <c r="I159" i="21" s="1"/>
  <c r="EN157" i="2"/>
  <c r="AP159" i="21" s="1"/>
  <c r="EB157" i="2"/>
  <c r="F159" i="21" s="1"/>
  <c r="EM157" i="2"/>
  <c r="AM159" i="21" s="1"/>
  <c r="EK157" i="2"/>
  <c r="CK157" i="2"/>
  <c r="EJ157" i="2"/>
  <c r="AD159" i="21" s="1"/>
  <c r="CJ157" i="2"/>
  <c r="EI157" i="2"/>
  <c r="AA159" i="21" s="1"/>
  <c r="CI157" i="2"/>
  <c r="ER157" i="2"/>
  <c r="F159" i="22" s="1"/>
  <c r="CH157" i="2"/>
  <c r="EL157" i="2"/>
  <c r="AJ159" i="21" s="1"/>
  <c r="CG157" i="2"/>
  <c r="EF157" i="2"/>
  <c r="R159" i="21" s="1"/>
  <c r="EH157" i="2"/>
  <c r="X159" i="21" s="1"/>
  <c r="EG157" i="2"/>
  <c r="U159" i="21" s="1"/>
  <c r="AN167" i="14"/>
  <c r="AI167" i="14"/>
  <c r="DK176" i="2"/>
  <c r="DJ176" i="2"/>
  <c r="DM176" i="2"/>
  <c r="DL176" i="2"/>
  <c r="E222" i="22"/>
  <c r="L222" i="22" s="1"/>
  <c r="EP219" i="1"/>
  <c r="AM179" i="14"/>
  <c r="AH179" i="14"/>
  <c r="AL35" i="14"/>
  <c r="AG35" i="14"/>
  <c r="G130" i="22"/>
  <c r="N130" i="22" s="1"/>
  <c r="EP128" i="3"/>
  <c r="G134" i="22"/>
  <c r="N134" i="22" s="1"/>
  <c r="C134" i="22" s="1"/>
  <c r="EP132" i="3"/>
  <c r="F29" i="9"/>
  <c r="EO30" i="3"/>
  <c r="EK30" i="3"/>
  <c r="CK30" i="3"/>
  <c r="EJ30" i="3"/>
  <c r="AE31" i="21" s="1"/>
  <c r="CJ30" i="3"/>
  <c r="EI30" i="3"/>
  <c r="AB31" i="21" s="1"/>
  <c r="CI30" i="3"/>
  <c r="EG30" i="3"/>
  <c r="V31" i="21" s="1"/>
  <c r="CG30" i="3"/>
  <c r="ER30" i="3"/>
  <c r="G31" i="22" s="1"/>
  <c r="EN30" i="3"/>
  <c r="AQ31" i="21" s="1"/>
  <c r="EH30" i="3"/>
  <c r="Y31" i="21" s="1"/>
  <c r="CH30" i="3"/>
  <c r="EQ30" i="3"/>
  <c r="C26" i="22"/>
  <c r="DM161" i="3"/>
  <c r="DL161" i="3"/>
  <c r="DK161" i="3"/>
  <c r="DJ161" i="3"/>
  <c r="DN174" i="1"/>
  <c r="DO174" i="1"/>
  <c r="AL165" i="14"/>
  <c r="AG165" i="14"/>
  <c r="EM124" i="1"/>
  <c r="AL125" i="21" s="1"/>
  <c r="AM164" i="14"/>
  <c r="AH164" i="14"/>
  <c r="DO166" i="1"/>
  <c r="DN166" i="1"/>
  <c r="E117" i="9"/>
  <c r="ER118" i="2"/>
  <c r="F119" i="22" s="1"/>
  <c r="EQ118" i="2"/>
  <c r="EK118" i="2" s="1"/>
  <c r="EO118" i="2"/>
  <c r="EN118" i="2"/>
  <c r="AP119" i="21" s="1"/>
  <c r="EM118" i="2"/>
  <c r="AM119" i="21" s="1"/>
  <c r="EL118" i="2"/>
  <c r="AJ119" i="21" s="1"/>
  <c r="N119" i="20" s="1"/>
  <c r="CK118" i="2"/>
  <c r="EJ118" i="2"/>
  <c r="AD119" i="21" s="1"/>
  <c r="CJ118" i="2"/>
  <c r="EG118" i="2"/>
  <c r="U119" i="21" s="1"/>
  <c r="CG118" i="2"/>
  <c r="CI118" i="2"/>
  <c r="EI118" i="2"/>
  <c r="AA119" i="21" s="1"/>
  <c r="CH118" i="2"/>
  <c r="EH118" i="2"/>
  <c r="X119" i="21" s="1"/>
  <c r="F168" i="9"/>
  <c r="ER166" i="3"/>
  <c r="G170" i="22" s="1"/>
  <c r="EF166" i="3"/>
  <c r="S170" i="21" s="1"/>
  <c r="EN166" i="3"/>
  <c r="AQ170" i="21" s="1"/>
  <c r="CJ166" i="3"/>
  <c r="EM166" i="3"/>
  <c r="AN170" i="21" s="1"/>
  <c r="CI166" i="3"/>
  <c r="EL166" i="3"/>
  <c r="AK170" i="21" s="1"/>
  <c r="CH166" i="3"/>
  <c r="EK166" i="3"/>
  <c r="CG166" i="3"/>
  <c r="EJ166" i="3"/>
  <c r="AE170" i="21" s="1"/>
  <c r="EI166" i="3"/>
  <c r="AB170" i="21" s="1"/>
  <c r="CQ166" i="3"/>
  <c r="L168" i="9" s="1"/>
  <c r="EH166" i="3"/>
  <c r="Y170" i="21" s="1"/>
  <c r="EE166" i="3"/>
  <c r="P170" i="21" s="1"/>
  <c r="EO166" i="3"/>
  <c r="EB166" i="3"/>
  <c r="G170" i="21" s="1"/>
  <c r="CK166" i="3"/>
  <c r="EQ166" i="3"/>
  <c r="EP166" i="3"/>
  <c r="EG166" i="3"/>
  <c r="V170" i="21" s="1"/>
  <c r="ED166" i="3"/>
  <c r="M170" i="21" s="1"/>
  <c r="EC166" i="3"/>
  <c r="J170" i="21" s="1"/>
  <c r="E166" i="9"/>
  <c r="EH166" i="2"/>
  <c r="X168" i="21" s="1"/>
  <c r="CH166" i="2"/>
  <c r="EG166" i="2"/>
  <c r="U168" i="21" s="1"/>
  <c r="CG166" i="2"/>
  <c r="ER166" i="2"/>
  <c r="F168" i="22" s="1"/>
  <c r="EF166" i="2"/>
  <c r="R168" i="21" s="1"/>
  <c r="EQ166" i="2"/>
  <c r="EE166" i="2"/>
  <c r="O168" i="21" s="1"/>
  <c r="CQ166" i="2"/>
  <c r="K166" i="9" s="1"/>
  <c r="EP166" i="2"/>
  <c r="ED166" i="2"/>
  <c r="L168" i="21" s="1"/>
  <c r="EO166" i="2"/>
  <c r="EC166" i="2"/>
  <c r="I168" i="21" s="1"/>
  <c r="EN166" i="2"/>
  <c r="AP168" i="21" s="1"/>
  <c r="EB166" i="2"/>
  <c r="F168" i="21" s="1"/>
  <c r="EM166" i="2"/>
  <c r="AM168" i="21" s="1"/>
  <c r="EL166" i="2"/>
  <c r="AJ168" i="21" s="1"/>
  <c r="EK166" i="2"/>
  <c r="CK166" i="2"/>
  <c r="CJ166" i="2"/>
  <c r="CI166" i="2"/>
  <c r="EJ166" i="2"/>
  <c r="AD168" i="21" s="1"/>
  <c r="EI166" i="2"/>
  <c r="AA168" i="21" s="1"/>
  <c r="EP60" i="1"/>
  <c r="M21" i="11"/>
  <c r="O9" i="13"/>
  <c r="W9" i="13" s="1"/>
  <c r="C17" i="19" s="1"/>
  <c r="G233" i="21" s="1"/>
  <c r="AM194" i="14"/>
  <c r="AH194" i="14"/>
  <c r="ER139" i="1"/>
  <c r="EM110" i="1"/>
  <c r="AL111" i="21" s="1"/>
  <c r="F87" i="9"/>
  <c r="EQ87" i="3"/>
  <c r="ER87" i="3" s="1"/>
  <c r="EM87" i="3"/>
  <c r="AN89" i="21" s="1"/>
  <c r="EJ87" i="3"/>
  <c r="AE89" i="21" s="1"/>
  <c r="EH87" i="3"/>
  <c r="Y89" i="21" s="1"/>
  <c r="CK87" i="3"/>
  <c r="EG87" i="3"/>
  <c r="V89" i="21" s="1"/>
  <c r="CJ87" i="3"/>
  <c r="CG87" i="3"/>
  <c r="EO87" i="3"/>
  <c r="EK87" i="3"/>
  <c r="EI87" i="3"/>
  <c r="AB89" i="21" s="1"/>
  <c r="CI87" i="3"/>
  <c r="CH87" i="3"/>
  <c r="EN87" i="3"/>
  <c r="AQ89" i="21" s="1"/>
  <c r="AL146" i="14"/>
  <c r="AG146" i="14"/>
  <c r="DM161" i="2"/>
  <c r="DL161" i="2"/>
  <c r="DK161" i="2"/>
  <c r="DJ161" i="2"/>
  <c r="DL207" i="2"/>
  <c r="DK207" i="2"/>
  <c r="DJ207" i="2"/>
  <c r="DM207" i="2"/>
  <c r="F146" i="9"/>
  <c r="EQ145" i="3"/>
  <c r="EE145" i="3"/>
  <c r="P148" i="21" s="1"/>
  <c r="CQ145" i="3"/>
  <c r="L146" i="9" s="1"/>
  <c r="EP145" i="3"/>
  <c r="ED145" i="3"/>
  <c r="M148" i="21" s="1"/>
  <c r="EO145" i="3"/>
  <c r="EC145" i="3"/>
  <c r="J148" i="21" s="1"/>
  <c r="EN145" i="3"/>
  <c r="AQ148" i="21" s="1"/>
  <c r="EB145" i="3"/>
  <c r="G148" i="21" s="1"/>
  <c r="EM145" i="3"/>
  <c r="AN148" i="21" s="1"/>
  <c r="EK145" i="3"/>
  <c r="CK145" i="3"/>
  <c r="EI145" i="3"/>
  <c r="AB148" i="21" s="1"/>
  <c r="CI145" i="3"/>
  <c r="ER145" i="3"/>
  <c r="G148" i="22" s="1"/>
  <c r="EF145" i="3"/>
  <c r="S148" i="21" s="1"/>
  <c r="EL145" i="3"/>
  <c r="AK148" i="21" s="1"/>
  <c r="CG145" i="3"/>
  <c r="EJ145" i="3"/>
  <c r="AE148" i="21" s="1"/>
  <c r="EH145" i="3"/>
  <c r="Y148" i="21" s="1"/>
  <c r="EG145" i="3"/>
  <c r="V148" i="21" s="1"/>
  <c r="CJ145" i="3"/>
  <c r="CH145" i="3"/>
  <c r="AM209" i="14"/>
  <c r="AH209" i="14"/>
  <c r="DM200" i="3"/>
  <c r="DL200" i="3"/>
  <c r="DK200" i="3"/>
  <c r="DJ200" i="3"/>
  <c r="G20" i="22"/>
  <c r="N20" i="22" s="1"/>
  <c r="EP19" i="3"/>
  <c r="F64" i="9"/>
  <c r="EH64" i="3"/>
  <c r="Y66" i="21" s="1"/>
  <c r="CH64" i="3"/>
  <c r="EG64" i="3"/>
  <c r="V66" i="21" s="1"/>
  <c r="CG64" i="3"/>
  <c r="ER64" i="3"/>
  <c r="G66" i="22" s="1"/>
  <c r="EQ64" i="3"/>
  <c r="EO64" i="3"/>
  <c r="EN64" i="3"/>
  <c r="AQ66" i="21" s="1"/>
  <c r="EL64" i="3"/>
  <c r="AK66" i="21" s="1"/>
  <c r="EK64" i="3"/>
  <c r="CK64" i="3"/>
  <c r="EJ64" i="3"/>
  <c r="AE66" i="21" s="1"/>
  <c r="EI64" i="3"/>
  <c r="AB66" i="21" s="1"/>
  <c r="CJ64" i="3"/>
  <c r="CI64" i="3"/>
  <c r="EM64" i="3"/>
  <c r="AN66" i="21" s="1"/>
  <c r="DM191" i="3"/>
  <c r="DJ191" i="3"/>
  <c r="DL191" i="3"/>
  <c r="DK191" i="3"/>
  <c r="AI232" i="14"/>
  <c r="AN232" i="14"/>
  <c r="E126" i="9"/>
  <c r="EI127" i="2"/>
  <c r="AA128" i="21" s="1"/>
  <c r="M128" i="20" s="1"/>
  <c r="CI127" i="2"/>
  <c r="EH127" i="2"/>
  <c r="X128" i="21" s="1"/>
  <c r="CH127" i="2"/>
  <c r="EG127" i="2"/>
  <c r="U128" i="21" s="1"/>
  <c r="CG127" i="2"/>
  <c r="EQ127" i="2"/>
  <c r="EO127" i="2"/>
  <c r="EN127" i="2"/>
  <c r="AP128" i="21" s="1"/>
  <c r="EM127" i="2"/>
  <c r="AM128" i="21" s="1"/>
  <c r="EJ127" i="2"/>
  <c r="AD128" i="21" s="1"/>
  <c r="CJ127" i="2"/>
  <c r="EL127" i="2"/>
  <c r="AJ128" i="21" s="1"/>
  <c r="CK127" i="2"/>
  <c r="EK127" i="2"/>
  <c r="U67" i="15"/>
  <c r="T67" i="15"/>
  <c r="DO161" i="1"/>
  <c r="DN161" i="1"/>
  <c r="F15" i="9"/>
  <c r="CK16" i="3"/>
  <c r="EI16" i="3"/>
  <c r="AB17" i="21" s="1"/>
  <c r="EH16" i="3"/>
  <c r="Y17" i="21" s="1"/>
  <c r="EG16" i="3"/>
  <c r="V17" i="21" s="1"/>
  <c r="ER16" i="3"/>
  <c r="G17" i="22" s="1"/>
  <c r="EQ16" i="3"/>
  <c r="EK16" i="3" s="1"/>
  <c r="EO16" i="3"/>
  <c r="CJ16" i="3"/>
  <c r="EN16" i="3"/>
  <c r="AQ17" i="21" s="1"/>
  <c r="CI16" i="3"/>
  <c r="EM16" i="3"/>
  <c r="AN17" i="21" s="1"/>
  <c r="CH16" i="3"/>
  <c r="EL16" i="3"/>
  <c r="AK17" i="21" s="1"/>
  <c r="CG16" i="3"/>
  <c r="EJ16" i="3"/>
  <c r="AE17" i="21" s="1"/>
  <c r="D153" i="9"/>
  <c r="EI154" i="1"/>
  <c r="Z155" i="21" s="1"/>
  <c r="CI154" i="1"/>
  <c r="EH154" i="1"/>
  <c r="W155" i="21" s="1"/>
  <c r="CH154" i="1"/>
  <c r="EG154" i="1"/>
  <c r="T155" i="21" s="1"/>
  <c r="CG154" i="1"/>
  <c r="ER154" i="1"/>
  <c r="E155" i="22" s="1"/>
  <c r="EF154" i="1"/>
  <c r="Q155" i="21" s="1"/>
  <c r="EQ154" i="1"/>
  <c r="EE154" i="1"/>
  <c r="N155" i="21" s="1"/>
  <c r="CQ154" i="1"/>
  <c r="EP154" i="1"/>
  <c r="ED154" i="1"/>
  <c r="K155" i="21" s="1"/>
  <c r="EO154" i="1"/>
  <c r="EC154" i="1"/>
  <c r="H155" i="21" s="1"/>
  <c r="EN154" i="1"/>
  <c r="AO155" i="21" s="1"/>
  <c r="EB154" i="1"/>
  <c r="E155" i="21" s="1"/>
  <c r="EJ154" i="1"/>
  <c r="AC155" i="21" s="1"/>
  <c r="CJ154" i="1"/>
  <c r="EM154" i="1"/>
  <c r="AL155" i="21" s="1"/>
  <c r="EL154" i="1"/>
  <c r="AI155" i="21" s="1"/>
  <c r="EK154" i="1"/>
  <c r="CK154" i="1"/>
  <c r="DJ141" i="2"/>
  <c r="DK141" i="2"/>
  <c r="DM141" i="2"/>
  <c r="DL141" i="2"/>
  <c r="E54" i="9"/>
  <c r="EO55" i="2"/>
  <c r="EN55" i="2"/>
  <c r="AP56" i="21" s="1"/>
  <c r="EJ55" i="2"/>
  <c r="AD56" i="21" s="1"/>
  <c r="CJ55" i="2"/>
  <c r="EI55" i="2"/>
  <c r="AA56" i="21" s="1"/>
  <c r="CI55" i="2"/>
  <c r="EH55" i="2"/>
  <c r="X56" i="21" s="1"/>
  <c r="E56" i="20" s="1"/>
  <c r="CH55" i="2"/>
  <c r="EQ55" i="2"/>
  <c r="ER55" i="2" s="1"/>
  <c r="EK55" i="2"/>
  <c r="EG55" i="2"/>
  <c r="U56" i="21" s="1"/>
  <c r="CG55" i="2"/>
  <c r="CK55" i="2"/>
  <c r="AH154" i="21"/>
  <c r="J154" i="22"/>
  <c r="E196" i="9"/>
  <c r="EJ196" i="2"/>
  <c r="AD198" i="21" s="1"/>
  <c r="CJ196" i="2"/>
  <c r="EH196" i="2"/>
  <c r="X198" i="21" s="1"/>
  <c r="CH196" i="2"/>
  <c r="EG196" i="2"/>
  <c r="U198" i="21" s="1"/>
  <c r="CG196" i="2"/>
  <c r="ER196" i="2"/>
  <c r="F198" i="22" s="1"/>
  <c r="EF196" i="2"/>
  <c r="R198" i="21" s="1"/>
  <c r="EQ196" i="2"/>
  <c r="EE196" i="2"/>
  <c r="O198" i="21" s="1"/>
  <c r="CQ196" i="2"/>
  <c r="K196" i="9" s="1"/>
  <c r="EN196" i="2"/>
  <c r="AP198" i="21" s="1"/>
  <c r="EB196" i="2"/>
  <c r="F198" i="21" s="1"/>
  <c r="EM196" i="2"/>
  <c r="AM198" i="21" s="1"/>
  <c r="EL196" i="2"/>
  <c r="AJ198" i="21" s="1"/>
  <c r="EP196" i="2"/>
  <c r="CK196" i="2"/>
  <c r="EO196" i="2"/>
  <c r="CI196" i="2"/>
  <c r="EK196" i="2"/>
  <c r="EI196" i="2"/>
  <c r="AA198" i="21" s="1"/>
  <c r="ED196" i="2"/>
  <c r="L198" i="21" s="1"/>
  <c r="EC196" i="2"/>
  <c r="I198" i="21" s="1"/>
  <c r="AL196" i="14"/>
  <c r="AG196" i="14"/>
  <c r="S75" i="16"/>
  <c r="T75" i="16"/>
  <c r="AF113" i="21"/>
  <c r="H113" i="22"/>
  <c r="F219" i="22"/>
  <c r="M219" i="22" s="1"/>
  <c r="EP206" i="2"/>
  <c r="DM121" i="2"/>
  <c r="DL121" i="2"/>
  <c r="DK121" i="2"/>
  <c r="DJ121" i="2"/>
  <c r="E57" i="22"/>
  <c r="L57" i="22" s="1"/>
  <c r="EP56" i="1"/>
  <c r="F14" i="22"/>
  <c r="M14" i="22" s="1"/>
  <c r="EP13" i="2"/>
  <c r="E58" i="22"/>
  <c r="L58" i="22" s="1"/>
  <c r="EP57" i="1"/>
  <c r="E4" i="9"/>
  <c r="EQ5" i="2"/>
  <c r="EE5" i="2"/>
  <c r="O6" i="21" s="1"/>
  <c r="CQ5" i="2"/>
  <c r="K4" i="9" s="1"/>
  <c r="EP5" i="2"/>
  <c r="ED5" i="2"/>
  <c r="L6" i="21" s="1"/>
  <c r="EO5" i="2"/>
  <c r="EC5" i="2"/>
  <c r="I6" i="21" s="1"/>
  <c r="EN5" i="2"/>
  <c r="AP6" i="21" s="1"/>
  <c r="EB5" i="2"/>
  <c r="F6" i="21" s="1"/>
  <c r="EM5" i="2"/>
  <c r="AM6" i="21" s="1"/>
  <c r="EL5" i="2"/>
  <c r="AJ6" i="21" s="1"/>
  <c r="EK5" i="2"/>
  <c r="CK5" i="2"/>
  <c r="EJ5" i="2"/>
  <c r="AD6" i="21" s="1"/>
  <c r="CJ5" i="2"/>
  <c r="ER5" i="2"/>
  <c r="F6" i="22" s="1"/>
  <c r="EF5" i="2"/>
  <c r="R6" i="21" s="1"/>
  <c r="EG5" i="2"/>
  <c r="U6" i="21" s="1"/>
  <c r="CI5" i="2"/>
  <c r="CH5" i="2"/>
  <c r="CG5" i="2"/>
  <c r="EI5" i="2"/>
  <c r="AA6" i="21" s="1"/>
  <c r="EH5" i="2"/>
  <c r="X6" i="21" s="1"/>
  <c r="F74" i="9"/>
  <c r="EI74" i="3"/>
  <c r="AB76" i="21" s="1"/>
  <c r="CI74" i="3"/>
  <c r="EM74" i="3"/>
  <c r="AN76" i="21" s="1"/>
  <c r="CK74" i="3"/>
  <c r="EL74" i="3"/>
  <c r="AK76" i="21" s="1"/>
  <c r="CJ74" i="3"/>
  <c r="EK74" i="3"/>
  <c r="CH74" i="3"/>
  <c r="EJ74" i="3"/>
  <c r="AE76" i="21" s="1"/>
  <c r="CG74" i="3"/>
  <c r="EH74" i="3"/>
  <c r="Y76" i="21" s="1"/>
  <c r="EG74" i="3"/>
  <c r="V76" i="21" s="1"/>
  <c r="EQ74" i="3"/>
  <c r="ER74" i="3"/>
  <c r="G76" i="22" s="1"/>
  <c r="EO74" i="3"/>
  <c r="EN74" i="3"/>
  <c r="AQ76" i="21" s="1"/>
  <c r="AL178" i="14"/>
  <c r="AG178" i="14"/>
  <c r="AN159" i="14"/>
  <c r="AI159" i="14"/>
  <c r="DK82" i="3"/>
  <c r="DJ82" i="3"/>
  <c r="DL82" i="3"/>
  <c r="DM82" i="3"/>
  <c r="E142" i="9"/>
  <c r="EG142" i="2"/>
  <c r="U144" i="21" s="1"/>
  <c r="CG142" i="2"/>
  <c r="ER142" i="2"/>
  <c r="F144" i="22" s="1"/>
  <c r="EF142" i="2"/>
  <c r="R144" i="21" s="1"/>
  <c r="EP142" i="2"/>
  <c r="ED142" i="2"/>
  <c r="L144" i="21" s="1"/>
  <c r="EQ142" i="2"/>
  <c r="CQ142" i="2"/>
  <c r="K142" i="9" s="1"/>
  <c r="EO142" i="2"/>
  <c r="EN142" i="2"/>
  <c r="AP144" i="21" s="1"/>
  <c r="EM142" i="2"/>
  <c r="AM144" i="21" s="1"/>
  <c r="EL142" i="2"/>
  <c r="AJ144" i="21" s="1"/>
  <c r="EK142" i="2"/>
  <c r="CK142" i="2"/>
  <c r="EJ142" i="2"/>
  <c r="AD144" i="21" s="1"/>
  <c r="CJ142" i="2"/>
  <c r="EI142" i="2"/>
  <c r="AA144" i="21" s="1"/>
  <c r="CI142" i="2"/>
  <c r="EH142" i="2"/>
  <c r="X144" i="21" s="1"/>
  <c r="CH142" i="2"/>
  <c r="EB142" i="2"/>
  <c r="F144" i="21" s="1"/>
  <c r="EE142" i="2"/>
  <c r="O144" i="21" s="1"/>
  <c r="EC142" i="2"/>
  <c r="I144" i="21" s="1"/>
  <c r="AE48" i="5"/>
  <c r="AE31" i="5"/>
  <c r="J31" i="9" s="1"/>
  <c r="C36" i="14" s="1"/>
  <c r="AE137" i="5"/>
  <c r="AE55" i="5"/>
  <c r="AE49" i="5"/>
  <c r="AE40" i="5"/>
  <c r="AE13" i="5"/>
  <c r="AE44" i="5"/>
  <c r="J44" i="9" s="1"/>
  <c r="C49" i="14" s="1"/>
  <c r="AE205" i="5"/>
  <c r="J206" i="9" s="1"/>
  <c r="C211" i="14" s="1"/>
  <c r="AE127" i="5"/>
  <c r="AE66" i="5"/>
  <c r="AE110" i="5"/>
  <c r="AE122" i="5"/>
  <c r="AE124" i="5"/>
  <c r="J124" i="9" s="1"/>
  <c r="C129" i="14" s="1"/>
  <c r="AE42" i="5"/>
  <c r="J42" i="9" s="1"/>
  <c r="C47" i="14" s="1"/>
  <c r="AE24" i="5"/>
  <c r="AE202" i="5"/>
  <c r="J203" i="9" s="1"/>
  <c r="C208" i="14" s="1"/>
  <c r="AE5" i="5"/>
  <c r="AE188" i="5"/>
  <c r="F195" i="9"/>
  <c r="EP192" i="3"/>
  <c r="ED192" i="3"/>
  <c r="M197" i="21" s="1"/>
  <c r="EN192" i="3"/>
  <c r="AQ197" i="21" s="1"/>
  <c r="EB192" i="3"/>
  <c r="G197" i="21" s="1"/>
  <c r="EM192" i="3"/>
  <c r="AN197" i="21" s="1"/>
  <c r="EL192" i="3"/>
  <c r="AK197" i="21" s="1"/>
  <c r="EK192" i="3"/>
  <c r="CK192" i="3"/>
  <c r="EH192" i="3"/>
  <c r="Y197" i="21" s="1"/>
  <c r="CH192" i="3"/>
  <c r="EG192" i="3"/>
  <c r="V197" i="21" s="1"/>
  <c r="ER192" i="3"/>
  <c r="G197" i="22" s="1"/>
  <c r="EQ192" i="3"/>
  <c r="EO192" i="3"/>
  <c r="CQ192" i="3"/>
  <c r="L195" i="9" s="1"/>
  <c r="EJ192" i="3"/>
  <c r="AE197" i="21" s="1"/>
  <c r="EI192" i="3"/>
  <c r="AB197" i="21" s="1"/>
  <c r="CJ192" i="3"/>
  <c r="EE192" i="3"/>
  <c r="P197" i="21" s="1"/>
  <c r="CG192" i="3"/>
  <c r="CI192" i="3"/>
  <c r="EF192" i="3"/>
  <c r="S197" i="21" s="1"/>
  <c r="EC192" i="3"/>
  <c r="J197" i="21" s="1"/>
  <c r="DO172" i="1"/>
  <c r="DN172" i="1"/>
  <c r="M18" i="11"/>
  <c r="O6" i="13"/>
  <c r="W6" i="13" s="1"/>
  <c r="D15" i="19" s="1"/>
  <c r="J231" i="21" s="1"/>
  <c r="I231" i="20" s="1"/>
  <c r="DL157" i="2"/>
  <c r="DK157" i="2"/>
  <c r="DJ157" i="2"/>
  <c r="DM157" i="2"/>
  <c r="E26" i="22"/>
  <c r="L26" i="22" s="1"/>
  <c r="EP25" i="1"/>
  <c r="E50" i="22"/>
  <c r="L50" i="22" s="1"/>
  <c r="EP49" i="1"/>
  <c r="F100" i="9"/>
  <c r="EI100" i="3"/>
  <c r="AB102" i="21" s="1"/>
  <c r="CI100" i="3"/>
  <c r="EH100" i="3"/>
  <c r="Y102" i="21" s="1"/>
  <c r="CH100" i="3"/>
  <c r="EG100" i="3"/>
  <c r="V102" i="21" s="1"/>
  <c r="CG100" i="3"/>
  <c r="ER100" i="3"/>
  <c r="G102" i="22" s="1"/>
  <c r="EF100" i="3"/>
  <c r="S102" i="21" s="1"/>
  <c r="EQ100" i="3"/>
  <c r="EE100" i="3"/>
  <c r="P102" i="21" s="1"/>
  <c r="CQ100" i="3"/>
  <c r="L100" i="9" s="1"/>
  <c r="EP100" i="3"/>
  <c r="ED100" i="3"/>
  <c r="M102" i="21" s="1"/>
  <c r="EO100" i="3"/>
  <c r="EC100" i="3"/>
  <c r="J102" i="21" s="1"/>
  <c r="EM100" i="3"/>
  <c r="AN102" i="21" s="1"/>
  <c r="EL100" i="3"/>
  <c r="AK102" i="21" s="1"/>
  <c r="EB100" i="3"/>
  <c r="G102" i="21" s="1"/>
  <c r="CK100" i="3"/>
  <c r="CJ100" i="3"/>
  <c r="EN100" i="3"/>
  <c r="AQ102" i="21" s="1"/>
  <c r="EK100" i="3"/>
  <c r="EJ100" i="3"/>
  <c r="AE102" i="21" s="1"/>
  <c r="AL185" i="14"/>
  <c r="AG185" i="14"/>
  <c r="F34" i="9"/>
  <c r="EK34" i="3"/>
  <c r="CK34" i="3"/>
  <c r="EI34" i="3"/>
  <c r="AB36" i="21" s="1"/>
  <c r="CI34" i="3"/>
  <c r="EH34" i="3"/>
  <c r="Y36" i="21" s="1"/>
  <c r="CH34" i="3"/>
  <c r="EG34" i="3"/>
  <c r="V36" i="21" s="1"/>
  <c r="CG34" i="3"/>
  <c r="ER34" i="3"/>
  <c r="G36" i="22" s="1"/>
  <c r="EQ34" i="3"/>
  <c r="EO34" i="3"/>
  <c r="EN34" i="3"/>
  <c r="AQ36" i="21" s="1"/>
  <c r="EM34" i="3"/>
  <c r="AN36" i="21" s="1"/>
  <c r="EL34" i="3"/>
  <c r="AK36" i="21" s="1"/>
  <c r="CJ34" i="3"/>
  <c r="EJ34" i="3"/>
  <c r="AE36" i="21" s="1"/>
  <c r="H188" i="22"/>
  <c r="AF188" i="21"/>
  <c r="N154" i="22"/>
  <c r="DM179" i="3"/>
  <c r="DL179" i="3"/>
  <c r="DK179" i="3"/>
  <c r="DJ179" i="3"/>
  <c r="AL151" i="14"/>
  <c r="AG151" i="14"/>
  <c r="F117" i="9"/>
  <c r="EO117" i="3"/>
  <c r="EN117" i="3"/>
  <c r="AQ119" i="21" s="1"/>
  <c r="EL117" i="3"/>
  <c r="AK119" i="21" s="1"/>
  <c r="EK117" i="3"/>
  <c r="CK117" i="3"/>
  <c r="EJ117" i="3"/>
  <c r="AE119" i="21" s="1"/>
  <c r="CJ117" i="3"/>
  <c r="EI117" i="3"/>
  <c r="AB119" i="21" s="1"/>
  <c r="CI117" i="3"/>
  <c r="EG117" i="3"/>
  <c r="V119" i="21" s="1"/>
  <c r="CG117" i="3"/>
  <c r="EH117" i="3"/>
  <c r="Y119" i="21" s="1"/>
  <c r="CH117" i="3"/>
  <c r="EQ117" i="3"/>
  <c r="AG51" i="14"/>
  <c r="AL51" i="14"/>
  <c r="E15" i="9"/>
  <c r="EG16" i="2"/>
  <c r="U17" i="21" s="1"/>
  <c r="CG16" i="2"/>
  <c r="EQ16" i="2"/>
  <c r="EK16" i="2" s="1"/>
  <c r="CK16" i="2"/>
  <c r="EI16" i="2"/>
  <c r="AA17" i="21" s="1"/>
  <c r="M17" i="20" s="1"/>
  <c r="EH16" i="2"/>
  <c r="X17" i="21" s="1"/>
  <c r="E17" i="20" s="1"/>
  <c r="CJ16" i="2"/>
  <c r="CI16" i="2"/>
  <c r="CH16" i="2"/>
  <c r="EO16" i="2"/>
  <c r="EJ16" i="2"/>
  <c r="AD17" i="21" s="1"/>
  <c r="F17" i="20" s="1"/>
  <c r="EN16" i="2"/>
  <c r="AP17" i="21" s="1"/>
  <c r="G17" i="20" s="1"/>
  <c r="E14" i="9"/>
  <c r="EH15" i="2"/>
  <c r="X16" i="21" s="1"/>
  <c r="CH15" i="2"/>
  <c r="ER15" i="2"/>
  <c r="F16" i="22" s="1"/>
  <c r="EF15" i="2"/>
  <c r="R16" i="21" s="1"/>
  <c r="EL15" i="2"/>
  <c r="AJ16" i="21" s="1"/>
  <c r="EG15" i="2"/>
  <c r="U16" i="21" s="1"/>
  <c r="CI15" i="2"/>
  <c r="EE15" i="2"/>
  <c r="O16" i="21" s="1"/>
  <c r="CG15" i="2"/>
  <c r="ED15" i="2"/>
  <c r="L16" i="21" s="1"/>
  <c r="EC15" i="2"/>
  <c r="I16" i="21" s="1"/>
  <c r="EQ15" i="2"/>
  <c r="EB15" i="2"/>
  <c r="F16" i="21" s="1"/>
  <c r="EP15" i="2"/>
  <c r="CQ15" i="2"/>
  <c r="K14" i="9" s="1"/>
  <c r="EO15" i="2"/>
  <c r="EN15" i="2"/>
  <c r="AP16" i="21" s="1"/>
  <c r="EI15" i="2"/>
  <c r="AA16" i="21" s="1"/>
  <c r="CJ15" i="2"/>
  <c r="EM15" i="2"/>
  <c r="AM16" i="21" s="1"/>
  <c r="EJ15" i="2"/>
  <c r="AD16" i="21" s="1"/>
  <c r="EK15" i="2"/>
  <c r="CK15" i="2"/>
  <c r="L34" i="22"/>
  <c r="E28" i="22"/>
  <c r="L28" i="22" s="1"/>
  <c r="EP27" i="1"/>
  <c r="E77" i="9"/>
  <c r="EG78" i="2"/>
  <c r="U79" i="21" s="1"/>
  <c r="CG78" i="2"/>
  <c r="ER78" i="2"/>
  <c r="F79" i="22" s="1"/>
  <c r="EQ78" i="2"/>
  <c r="EO78" i="2"/>
  <c r="EN78" i="2"/>
  <c r="AP79" i="21" s="1"/>
  <c r="G79" i="20" s="1"/>
  <c r="EK78" i="2"/>
  <c r="CK78" i="2"/>
  <c r="EH78" i="2"/>
  <c r="X79" i="21" s="1"/>
  <c r="CH78" i="2"/>
  <c r="EJ78" i="2"/>
  <c r="AD79" i="21" s="1"/>
  <c r="EI78" i="2"/>
  <c r="AA79" i="21" s="1"/>
  <c r="CJ78" i="2"/>
  <c r="CI78" i="2"/>
  <c r="DM166" i="3"/>
  <c r="DL166" i="3"/>
  <c r="DK166" i="3"/>
  <c r="DJ166" i="3"/>
  <c r="DM166" i="2"/>
  <c r="DL166" i="2"/>
  <c r="DK166" i="2"/>
  <c r="DJ166" i="2"/>
  <c r="DO155" i="1"/>
  <c r="DN155" i="1"/>
  <c r="E127" i="9"/>
  <c r="EJ128" i="2"/>
  <c r="AD129" i="21" s="1"/>
  <c r="CH128" i="2"/>
  <c r="EI128" i="2"/>
  <c r="AA129" i="21" s="1"/>
  <c r="CG128" i="2"/>
  <c r="EH128" i="2"/>
  <c r="X129" i="21" s="1"/>
  <c r="EG128" i="2"/>
  <c r="U129" i="21" s="1"/>
  <c r="EQ128" i="2"/>
  <c r="EK128" i="2" s="1"/>
  <c r="EO128" i="2"/>
  <c r="EN128" i="2"/>
  <c r="AP129" i="21" s="1"/>
  <c r="G129" i="20" s="1"/>
  <c r="CI128" i="2"/>
  <c r="EM128" i="2"/>
  <c r="AM129" i="21" s="1"/>
  <c r="EL128" i="2"/>
  <c r="AJ129" i="21" s="1"/>
  <c r="CK128" i="2"/>
  <c r="CJ128" i="2"/>
  <c r="F162" i="9"/>
  <c r="EN161" i="3"/>
  <c r="AQ164" i="21" s="1"/>
  <c r="EB161" i="3"/>
  <c r="G164" i="21" s="1"/>
  <c r="EM161" i="3"/>
  <c r="AN164" i="21" s="1"/>
  <c r="EL161" i="3"/>
  <c r="AK164" i="21" s="1"/>
  <c r="EK161" i="3"/>
  <c r="CK161" i="3"/>
  <c r="EJ161" i="3"/>
  <c r="AE164" i="21" s="1"/>
  <c r="CJ161" i="3"/>
  <c r="EI161" i="3"/>
  <c r="AB164" i="21" s="1"/>
  <c r="CI161" i="3"/>
  <c r="EH161" i="3"/>
  <c r="Y164" i="21" s="1"/>
  <c r="CH161" i="3"/>
  <c r="ER161" i="3"/>
  <c r="G164" i="22" s="1"/>
  <c r="EF161" i="3"/>
  <c r="S164" i="21" s="1"/>
  <c r="EO161" i="3"/>
  <c r="EC161" i="3"/>
  <c r="J164" i="21" s="1"/>
  <c r="EP161" i="3"/>
  <c r="EG161" i="3"/>
  <c r="V164" i="21" s="1"/>
  <c r="EE161" i="3"/>
  <c r="P164" i="21" s="1"/>
  <c r="ED161" i="3"/>
  <c r="M164" i="21" s="1"/>
  <c r="CQ161" i="3"/>
  <c r="L162" i="9" s="1"/>
  <c r="CG161" i="3"/>
  <c r="EQ161" i="3"/>
  <c r="AL232" i="14"/>
  <c r="AG232" i="14"/>
  <c r="E143" i="9"/>
  <c r="EQ143" i="2"/>
  <c r="EK143" i="2" s="1"/>
  <c r="EO143" i="2"/>
  <c r="CK143" i="2"/>
  <c r="EI143" i="2"/>
  <c r="AA145" i="21" s="1"/>
  <c r="M145" i="20" s="1"/>
  <c r="CG143" i="2"/>
  <c r="EH143" i="2"/>
  <c r="X145" i="21" s="1"/>
  <c r="EG143" i="2"/>
  <c r="U145" i="21" s="1"/>
  <c r="EN143" i="2"/>
  <c r="AP145" i="21" s="1"/>
  <c r="EJ143" i="2"/>
  <c r="AD145" i="21" s="1"/>
  <c r="CH143" i="2"/>
  <c r="EM143" i="2"/>
  <c r="AM145" i="21" s="1"/>
  <c r="CJ143" i="2"/>
  <c r="EL143" i="2"/>
  <c r="AJ145" i="21" s="1"/>
  <c r="CI143" i="2"/>
  <c r="DM160" i="2"/>
  <c r="DL160" i="2"/>
  <c r="DK160" i="2"/>
  <c r="DJ160" i="2"/>
  <c r="F25" i="9"/>
  <c r="EG26" i="3"/>
  <c r="V27" i="21" s="1"/>
  <c r="CG26" i="3"/>
  <c r="EQ26" i="3"/>
  <c r="EP26" i="3"/>
  <c r="EO26" i="3"/>
  <c r="EN26" i="3"/>
  <c r="AQ27" i="21" s="1"/>
  <c r="EK26" i="3"/>
  <c r="CK26" i="3"/>
  <c r="EI26" i="3"/>
  <c r="AB27" i="21" s="1"/>
  <c r="CJ26" i="3"/>
  <c r="EH26" i="3"/>
  <c r="Y27" i="21" s="1"/>
  <c r="CI26" i="3"/>
  <c r="CH26" i="3"/>
  <c r="ER26" i="3"/>
  <c r="G27" i="22" s="1"/>
  <c r="EJ26" i="3"/>
  <c r="AE27" i="21" s="1"/>
  <c r="DK174" i="3"/>
  <c r="DM174" i="3"/>
  <c r="DL174" i="3"/>
  <c r="DJ174" i="3"/>
  <c r="AM165" i="14"/>
  <c r="AH165" i="14"/>
  <c r="AM173" i="14"/>
  <c r="AH173" i="14"/>
  <c r="AL161" i="14"/>
  <c r="AG161" i="14"/>
  <c r="E20" i="22"/>
  <c r="L20" i="22" s="1"/>
  <c r="EP19" i="1"/>
  <c r="F65" i="22"/>
  <c r="M65" i="22" s="1"/>
  <c r="EP64" i="2"/>
  <c r="F174" i="9"/>
  <c r="EL172" i="3"/>
  <c r="AK176" i="21" s="1"/>
  <c r="EH172" i="3"/>
  <c r="Y176" i="21" s="1"/>
  <c r="CH172" i="3"/>
  <c r="EG172" i="3"/>
  <c r="V176" i="21" s="1"/>
  <c r="CG172" i="3"/>
  <c r="EP172" i="3"/>
  <c r="CQ172" i="3"/>
  <c r="L174" i="9" s="1"/>
  <c r="EO172" i="3"/>
  <c r="EN172" i="3"/>
  <c r="AQ176" i="21" s="1"/>
  <c r="EM172" i="3"/>
  <c r="AN176" i="21" s="1"/>
  <c r="EK172" i="3"/>
  <c r="EJ172" i="3"/>
  <c r="AE176" i="21" s="1"/>
  <c r="CK172" i="3"/>
  <c r="EI172" i="3"/>
  <c r="AB176" i="21" s="1"/>
  <c r="CJ172" i="3"/>
  <c r="EE172" i="3"/>
  <c r="P176" i="21" s="1"/>
  <c r="EQ172" i="3"/>
  <c r="EB172" i="3"/>
  <c r="G176" i="21" s="1"/>
  <c r="ER172" i="3"/>
  <c r="G176" i="22" s="1"/>
  <c r="EF172" i="3"/>
  <c r="S176" i="21" s="1"/>
  <c r="EC172" i="3"/>
  <c r="J176" i="21" s="1"/>
  <c r="ED172" i="3"/>
  <c r="M176" i="21" s="1"/>
  <c r="CI172" i="3"/>
  <c r="DL145" i="3"/>
  <c r="DJ145" i="3"/>
  <c r="DK145" i="3"/>
  <c r="DM145" i="3"/>
  <c r="E20" i="9"/>
  <c r="EN21" i="2"/>
  <c r="AP22" i="21" s="1"/>
  <c r="EL21" i="2"/>
  <c r="AJ22" i="21" s="1"/>
  <c r="EJ21" i="2"/>
  <c r="AD22" i="21" s="1"/>
  <c r="CJ21" i="2"/>
  <c r="ER21" i="2"/>
  <c r="F22" i="22" s="1"/>
  <c r="EO21" i="2"/>
  <c r="CH21" i="2"/>
  <c r="CG21" i="2"/>
  <c r="EK21" i="2"/>
  <c r="EI21" i="2"/>
  <c r="AA22" i="21" s="1"/>
  <c r="EH21" i="2"/>
  <c r="X22" i="21" s="1"/>
  <c r="EG21" i="2"/>
  <c r="U22" i="21" s="1"/>
  <c r="CI21" i="2"/>
  <c r="EQ21" i="2"/>
  <c r="CK21" i="2"/>
  <c r="DO4" i="1"/>
  <c r="DN4" i="1"/>
  <c r="AN161" i="14"/>
  <c r="AI161" i="14"/>
  <c r="F209" i="9"/>
  <c r="EN206" i="3"/>
  <c r="AQ211" i="21" s="1"/>
  <c r="EB206" i="3"/>
  <c r="G211" i="21" s="1"/>
  <c r="EM206" i="3"/>
  <c r="AN211" i="21" s="1"/>
  <c r="EL206" i="3"/>
  <c r="AK211" i="21" s="1"/>
  <c r="EK206" i="3"/>
  <c r="CK206" i="3"/>
  <c r="EJ206" i="3"/>
  <c r="AE211" i="21" s="1"/>
  <c r="CJ206" i="3"/>
  <c r="EI206" i="3"/>
  <c r="AB211" i="21" s="1"/>
  <c r="CI206" i="3"/>
  <c r="ER206" i="3"/>
  <c r="G211" i="22" s="1"/>
  <c r="EF206" i="3"/>
  <c r="S211" i="21" s="1"/>
  <c r="EQ206" i="3"/>
  <c r="EE206" i="3"/>
  <c r="P211" i="21" s="1"/>
  <c r="CQ206" i="3"/>
  <c r="L209" i="9" s="1"/>
  <c r="EP206" i="3"/>
  <c r="ED206" i="3"/>
  <c r="M211" i="21" s="1"/>
  <c r="CG206" i="3"/>
  <c r="EO206" i="3"/>
  <c r="EH206" i="3"/>
  <c r="Y211" i="21" s="1"/>
  <c r="EG206" i="3"/>
  <c r="V211" i="21" s="1"/>
  <c r="CH206" i="3"/>
  <c r="EC206" i="3"/>
  <c r="J211" i="21" s="1"/>
  <c r="AN87" i="14"/>
  <c r="AI87" i="14"/>
  <c r="AN116" i="14"/>
  <c r="AI116" i="14"/>
  <c r="DK196" i="2"/>
  <c r="DM196" i="2"/>
  <c r="DL196" i="2"/>
  <c r="DJ196" i="2"/>
  <c r="AH211" i="14"/>
  <c r="AM211" i="14"/>
  <c r="D177" i="9"/>
  <c r="EI178" i="1"/>
  <c r="Z179" i="21" s="1"/>
  <c r="CI178" i="1"/>
  <c r="EH178" i="1"/>
  <c r="W179" i="21" s="1"/>
  <c r="CH178" i="1"/>
  <c r="EG178" i="1"/>
  <c r="T179" i="21" s="1"/>
  <c r="CG178" i="1"/>
  <c r="B5" i="8" s="1"/>
  <c r="ER178" i="1"/>
  <c r="E179" i="22" s="1"/>
  <c r="EF178" i="1"/>
  <c r="Q179" i="21" s="1"/>
  <c r="EQ178" i="1"/>
  <c r="EE178" i="1"/>
  <c r="N179" i="21" s="1"/>
  <c r="CQ178" i="1"/>
  <c r="EP178" i="1"/>
  <c r="ED178" i="1"/>
  <c r="K179" i="21" s="1"/>
  <c r="EO178" i="1"/>
  <c r="EC178" i="1"/>
  <c r="H179" i="21" s="1"/>
  <c r="EN178" i="1"/>
  <c r="AO179" i="21" s="1"/>
  <c r="EB178" i="1"/>
  <c r="E179" i="21" s="1"/>
  <c r="EJ178" i="1"/>
  <c r="AC179" i="21" s="1"/>
  <c r="CJ178" i="1"/>
  <c r="CK178" i="1"/>
  <c r="EM178" i="1"/>
  <c r="AL179" i="21" s="1"/>
  <c r="EL178" i="1"/>
  <c r="AI179" i="21" s="1"/>
  <c r="EK178" i="1"/>
  <c r="E76" i="22"/>
  <c r="L76" i="22" s="1"/>
  <c r="EP75" i="1"/>
  <c r="AL192" i="14"/>
  <c r="AG192" i="14"/>
  <c r="DM192" i="3"/>
  <c r="DL192" i="3"/>
  <c r="DK192" i="3"/>
  <c r="DJ192" i="3"/>
  <c r="F165" i="9"/>
  <c r="EK164" i="3"/>
  <c r="CK164" i="3"/>
  <c r="EJ164" i="3"/>
  <c r="AE167" i="21" s="1"/>
  <c r="CJ164" i="3"/>
  <c r="EI164" i="3"/>
  <c r="AB167" i="21" s="1"/>
  <c r="CI164" i="3"/>
  <c r="EH164" i="3"/>
  <c r="Y167" i="21" s="1"/>
  <c r="CH164" i="3"/>
  <c r="EG164" i="3"/>
  <c r="V167" i="21" s="1"/>
  <c r="CG164" i="3"/>
  <c r="ER164" i="3"/>
  <c r="G167" i="22" s="1"/>
  <c r="EF164" i="3"/>
  <c r="S167" i="21" s="1"/>
  <c r="EQ164" i="3"/>
  <c r="EE164" i="3"/>
  <c r="P167" i="21" s="1"/>
  <c r="CQ164" i="3"/>
  <c r="L165" i="9" s="1"/>
  <c r="EO164" i="3"/>
  <c r="EC164" i="3"/>
  <c r="J167" i="21" s="1"/>
  <c r="EL164" i="3"/>
  <c r="AK167" i="21" s="1"/>
  <c r="EN164" i="3"/>
  <c r="AQ167" i="21" s="1"/>
  <c r="EM164" i="3"/>
  <c r="AN167" i="21" s="1"/>
  <c r="EP164" i="3"/>
  <c r="ED164" i="3"/>
  <c r="M167" i="21" s="1"/>
  <c r="EB164" i="3"/>
  <c r="G167" i="21" s="1"/>
  <c r="AN215" i="14"/>
  <c r="AI215" i="14"/>
  <c r="AM166" i="14"/>
  <c r="AH166" i="14"/>
  <c r="F138" i="9"/>
  <c r="EM137" i="3"/>
  <c r="AN140" i="21" s="1"/>
  <c r="EK137" i="3"/>
  <c r="CK137" i="3"/>
  <c r="EJ137" i="3"/>
  <c r="AE140" i="21" s="1"/>
  <c r="CJ137" i="3"/>
  <c r="EH137" i="3"/>
  <c r="Y140" i="21" s="1"/>
  <c r="CH137" i="3"/>
  <c r="ER137" i="3"/>
  <c r="G140" i="22" s="1"/>
  <c r="EO137" i="3"/>
  <c r="EN137" i="3"/>
  <c r="AQ140" i="21" s="1"/>
  <c r="CI137" i="3"/>
  <c r="EI137" i="3"/>
  <c r="AB140" i="21" s="1"/>
  <c r="CG137" i="3"/>
  <c r="EG137" i="3"/>
  <c r="V140" i="21" s="1"/>
  <c r="EQ137" i="3"/>
  <c r="F50" i="22"/>
  <c r="M50" i="22" s="1"/>
  <c r="EP49" i="2"/>
  <c r="E138" i="22"/>
  <c r="L138" i="22" s="1"/>
  <c r="EP137" i="1"/>
  <c r="H61" i="22"/>
  <c r="AF61" i="21"/>
  <c r="E79" i="9"/>
  <c r="EQ80" i="2"/>
  <c r="EE80" i="2"/>
  <c r="O81" i="21" s="1"/>
  <c r="CQ80" i="2"/>
  <c r="K79" i="9" s="1"/>
  <c r="EP80" i="2"/>
  <c r="ED80" i="2"/>
  <c r="L81" i="21" s="1"/>
  <c r="EO80" i="2"/>
  <c r="EC80" i="2"/>
  <c r="I81" i="21" s="1"/>
  <c r="EN80" i="2"/>
  <c r="AP81" i="21" s="1"/>
  <c r="EB80" i="2"/>
  <c r="F81" i="21" s="1"/>
  <c r="EM80" i="2"/>
  <c r="AM81" i="21" s="1"/>
  <c r="EL80" i="2"/>
  <c r="AJ81" i="21" s="1"/>
  <c r="EK80" i="2"/>
  <c r="CK80" i="2"/>
  <c r="EJ80" i="2"/>
  <c r="AD81" i="21" s="1"/>
  <c r="CJ80" i="2"/>
  <c r="EI80" i="2"/>
  <c r="AA81" i="21" s="1"/>
  <c r="CI80" i="2"/>
  <c r="ER80" i="2"/>
  <c r="F81" i="22" s="1"/>
  <c r="EF80" i="2"/>
  <c r="R81" i="21" s="1"/>
  <c r="EH80" i="2"/>
  <c r="X81" i="21" s="1"/>
  <c r="EG80" i="2"/>
  <c r="U81" i="21" s="1"/>
  <c r="CH80" i="2"/>
  <c r="CG80" i="2"/>
  <c r="E66" i="22"/>
  <c r="L66" i="22" s="1"/>
  <c r="EP65" i="1"/>
  <c r="DL152" i="3"/>
  <c r="DK152" i="3"/>
  <c r="DJ152" i="3"/>
  <c r="DM152" i="3"/>
  <c r="E150" i="22"/>
  <c r="L150" i="22" s="1"/>
  <c r="EP149" i="1"/>
  <c r="AM184" i="14"/>
  <c r="AH184" i="14"/>
  <c r="EP140" i="1"/>
  <c r="M199" i="9"/>
  <c r="E19" i="9"/>
  <c r="EO20" i="2"/>
  <c r="CK20" i="2"/>
  <c r="EG20" i="2"/>
  <c r="U21" i="21" s="1"/>
  <c r="CG20" i="2"/>
  <c r="ER20" i="2"/>
  <c r="F21" i="22" s="1"/>
  <c r="EQ20" i="2"/>
  <c r="EK20" i="2" s="1"/>
  <c r="CJ20" i="2"/>
  <c r="EN20" i="2"/>
  <c r="AP21" i="21" s="1"/>
  <c r="G21" i="20" s="1"/>
  <c r="CI20" i="2"/>
  <c r="CH20" i="2"/>
  <c r="EJ20" i="2"/>
  <c r="AD21" i="21" s="1"/>
  <c r="F21" i="20" s="1"/>
  <c r="EI20" i="2"/>
  <c r="AA21" i="21" s="1"/>
  <c r="M21" i="20" s="1"/>
  <c r="EH20" i="2"/>
  <c r="X21" i="21" s="1"/>
  <c r="E21" i="20" s="1"/>
  <c r="F20" i="9"/>
  <c r="EM21" i="3"/>
  <c r="AN22" i="21" s="1"/>
  <c r="CK21" i="3"/>
  <c r="EJ21" i="3"/>
  <c r="AE22" i="21" s="1"/>
  <c r="CJ21" i="3"/>
  <c r="EI21" i="3"/>
  <c r="AB22" i="21" s="1"/>
  <c r="CI21" i="3"/>
  <c r="EH21" i="3"/>
  <c r="Y22" i="21" s="1"/>
  <c r="CH21" i="3"/>
  <c r="EG21" i="3"/>
  <c r="V22" i="21" s="1"/>
  <c r="CG21" i="3"/>
  <c r="EQ21" i="3"/>
  <c r="EK21" i="3" s="1"/>
  <c r="EO21" i="3"/>
  <c r="EN21" i="3"/>
  <c r="AQ22" i="21" s="1"/>
  <c r="E30" i="9"/>
  <c r="EP31" i="2"/>
  <c r="ED31" i="2"/>
  <c r="L32" i="21" s="1"/>
  <c r="EO31" i="2"/>
  <c r="EC31" i="2"/>
  <c r="I32" i="21" s="1"/>
  <c r="EN31" i="2"/>
  <c r="AP32" i="21" s="1"/>
  <c r="EB31" i="2"/>
  <c r="F32" i="21" s="1"/>
  <c r="EL31" i="2"/>
  <c r="AJ32" i="21" s="1"/>
  <c r="EH31" i="2"/>
  <c r="X32" i="21" s="1"/>
  <c r="CH31" i="2"/>
  <c r="ER31" i="2"/>
  <c r="F32" i="22" s="1"/>
  <c r="EQ31" i="2"/>
  <c r="EM31" i="2"/>
  <c r="AM32" i="21" s="1"/>
  <c r="EK31" i="2"/>
  <c r="EJ31" i="2"/>
  <c r="AD32" i="21" s="1"/>
  <c r="EI31" i="2"/>
  <c r="AA32" i="21" s="1"/>
  <c r="EG31" i="2"/>
  <c r="U32" i="21" s="1"/>
  <c r="CQ31" i="2"/>
  <c r="K30" i="9" s="1"/>
  <c r="EF31" i="2"/>
  <c r="R32" i="21" s="1"/>
  <c r="CG31" i="2"/>
  <c r="CK31" i="2"/>
  <c r="CI31" i="2"/>
  <c r="EE31" i="2"/>
  <c r="O32" i="21" s="1"/>
  <c r="CJ31" i="2"/>
  <c r="E168" i="9"/>
  <c r="ER168" i="2"/>
  <c r="F170" i="22" s="1"/>
  <c r="EF168" i="2"/>
  <c r="R170" i="21" s="1"/>
  <c r="EQ168" i="2"/>
  <c r="EE168" i="2"/>
  <c r="O170" i="21" s="1"/>
  <c r="CQ168" i="2"/>
  <c r="K168" i="9" s="1"/>
  <c r="EP168" i="2"/>
  <c r="ED168" i="2"/>
  <c r="L170" i="21" s="1"/>
  <c r="EO168" i="2"/>
  <c r="EC168" i="2"/>
  <c r="I170" i="21" s="1"/>
  <c r="EN168" i="2"/>
  <c r="AP170" i="21" s="1"/>
  <c r="EB168" i="2"/>
  <c r="F170" i="21" s="1"/>
  <c r="EM168" i="2"/>
  <c r="AM170" i="21" s="1"/>
  <c r="EL168" i="2"/>
  <c r="AJ170" i="21" s="1"/>
  <c r="EK168" i="2"/>
  <c r="CK168" i="2"/>
  <c r="EJ168" i="2"/>
  <c r="AD170" i="21" s="1"/>
  <c r="CJ168" i="2"/>
  <c r="EI168" i="2"/>
  <c r="AA170" i="21" s="1"/>
  <c r="CI168" i="2"/>
  <c r="EH168" i="2"/>
  <c r="X170" i="21" s="1"/>
  <c r="EG168" i="2"/>
  <c r="U170" i="21" s="1"/>
  <c r="CH168" i="2"/>
  <c r="CG168" i="2"/>
  <c r="E58" i="9"/>
  <c r="EK59" i="2"/>
  <c r="CK59" i="2"/>
  <c r="EJ59" i="2"/>
  <c r="AD60" i="21" s="1"/>
  <c r="CJ59" i="2"/>
  <c r="EI59" i="2"/>
  <c r="AA60" i="21" s="1"/>
  <c r="CI59" i="2"/>
  <c r="EH59" i="2"/>
  <c r="X60" i="21" s="1"/>
  <c r="CH59" i="2"/>
  <c r="EG59" i="2"/>
  <c r="U60" i="21" s="1"/>
  <c r="CG59" i="2"/>
  <c r="EQ59" i="2"/>
  <c r="EO59" i="2"/>
  <c r="EN59" i="2"/>
  <c r="AP60" i="21" s="1"/>
  <c r="EM59" i="2"/>
  <c r="AM60" i="21" s="1"/>
  <c r="EP110" i="1"/>
  <c r="E109" i="9"/>
  <c r="EN110" i="2"/>
  <c r="AP111" i="21" s="1"/>
  <c r="EL110" i="2"/>
  <c r="AJ111" i="21" s="1"/>
  <c r="N111" i="20" s="1"/>
  <c r="EK110" i="2"/>
  <c r="CK110" i="2"/>
  <c r="EJ110" i="2"/>
  <c r="AD111" i="21" s="1"/>
  <c r="CJ110" i="2"/>
  <c r="EI110" i="2"/>
  <c r="AA111" i="21" s="1"/>
  <c r="CI110" i="2"/>
  <c r="EH110" i="2"/>
  <c r="X111" i="21" s="1"/>
  <c r="CH110" i="2"/>
  <c r="EG110" i="2"/>
  <c r="U111" i="21" s="1"/>
  <c r="CG110" i="2"/>
  <c r="EO110" i="2"/>
  <c r="EQ110" i="2"/>
  <c r="DM182" i="2"/>
  <c r="DL182" i="2"/>
  <c r="DK182" i="2"/>
  <c r="DJ182" i="2"/>
  <c r="E76" i="9"/>
  <c r="EH77" i="2"/>
  <c r="X78" i="21" s="1"/>
  <c r="E78" i="20" s="1"/>
  <c r="CH77" i="2"/>
  <c r="EG77" i="2"/>
  <c r="U78" i="21" s="1"/>
  <c r="CG77" i="2"/>
  <c r="ER77" i="2"/>
  <c r="F78" i="22" s="1"/>
  <c r="EQ77" i="2"/>
  <c r="EK77" i="2" s="1"/>
  <c r="EO77" i="2"/>
  <c r="EN77" i="2"/>
  <c r="AP78" i="21" s="1"/>
  <c r="G78" i="20" s="1"/>
  <c r="EM77" i="2"/>
  <c r="AM78" i="21" s="1"/>
  <c r="EL77" i="2"/>
  <c r="AJ78" i="21" s="1"/>
  <c r="N78" i="20" s="1"/>
  <c r="EI77" i="2"/>
  <c r="AA78" i="21" s="1"/>
  <c r="M78" i="20" s="1"/>
  <c r="CI77" i="2"/>
  <c r="EJ77" i="2"/>
  <c r="AD78" i="21" s="1"/>
  <c r="F78" i="20" s="1"/>
  <c r="CK77" i="2"/>
  <c r="CJ77" i="2"/>
  <c r="AN172" i="14"/>
  <c r="AI172" i="14"/>
  <c r="AL140" i="14"/>
  <c r="AG140" i="14"/>
  <c r="L59" i="22"/>
  <c r="EL16" i="1"/>
  <c r="AI17" i="21" s="1"/>
  <c r="ER16" i="1"/>
  <c r="DM172" i="3"/>
  <c r="DJ172" i="3"/>
  <c r="DK172" i="3"/>
  <c r="DL172" i="3"/>
  <c r="DN31" i="1"/>
  <c r="DO31" i="1"/>
  <c r="F141" i="9"/>
  <c r="EJ140" i="3"/>
  <c r="AE143" i="21" s="1"/>
  <c r="CJ140" i="3"/>
  <c r="EI140" i="3"/>
  <c r="AB143" i="21" s="1"/>
  <c r="CI140" i="3"/>
  <c r="EH140" i="3"/>
  <c r="Y143" i="21" s="1"/>
  <c r="CH140" i="3"/>
  <c r="EG140" i="3"/>
  <c r="V143" i="21" s="1"/>
  <c r="CG140" i="3"/>
  <c r="ER140" i="3"/>
  <c r="G143" i="22" s="1"/>
  <c r="EF140" i="3"/>
  <c r="S143" i="21" s="1"/>
  <c r="EP140" i="3"/>
  <c r="ED140" i="3"/>
  <c r="M143" i="21" s="1"/>
  <c r="EN140" i="3"/>
  <c r="AQ143" i="21" s="1"/>
  <c r="EB140" i="3"/>
  <c r="G143" i="21" s="1"/>
  <c r="EK140" i="3"/>
  <c r="CK140" i="3"/>
  <c r="EO140" i="3"/>
  <c r="EM140" i="3"/>
  <c r="AN143" i="21" s="1"/>
  <c r="EL140" i="3"/>
  <c r="AK143" i="21" s="1"/>
  <c r="EE140" i="3"/>
  <c r="P143" i="21" s="1"/>
  <c r="EC140" i="3"/>
  <c r="J143" i="21" s="1"/>
  <c r="CQ140" i="3"/>
  <c r="L141" i="9" s="1"/>
  <c r="EQ140" i="3"/>
  <c r="J97" i="22"/>
  <c r="N97" i="22" s="1"/>
  <c r="AH97" i="21"/>
  <c r="U65" i="15"/>
  <c r="T65" i="15"/>
  <c r="F43" i="9"/>
  <c r="EN43" i="3"/>
  <c r="AQ45" i="21" s="1"/>
  <c r="EB43" i="3"/>
  <c r="G45" i="21" s="1"/>
  <c r="EL43" i="3"/>
  <c r="AK45" i="21" s="1"/>
  <c r="EK43" i="3"/>
  <c r="CK43" i="3"/>
  <c r="EJ43" i="3"/>
  <c r="AE45" i="21" s="1"/>
  <c r="CJ43" i="3"/>
  <c r="EI43" i="3"/>
  <c r="AB45" i="21" s="1"/>
  <c r="CI43" i="3"/>
  <c r="EH43" i="3"/>
  <c r="Y45" i="21" s="1"/>
  <c r="CH43" i="3"/>
  <c r="ER43" i="3"/>
  <c r="G45" i="22" s="1"/>
  <c r="EF43" i="3"/>
  <c r="S45" i="21" s="1"/>
  <c r="EQ43" i="3"/>
  <c r="EE43" i="3"/>
  <c r="P45" i="21" s="1"/>
  <c r="CQ43" i="3"/>
  <c r="L43" i="9" s="1"/>
  <c r="EP43" i="3"/>
  <c r="EO43" i="3"/>
  <c r="CG43" i="3"/>
  <c r="EG43" i="3"/>
  <c r="V45" i="21" s="1"/>
  <c r="ED43" i="3"/>
  <c r="M45" i="21" s="1"/>
  <c r="EC43" i="3"/>
  <c r="J45" i="21" s="1"/>
  <c r="EM43" i="3"/>
  <c r="AN45" i="21" s="1"/>
  <c r="E90" i="9"/>
  <c r="ER91" i="2"/>
  <c r="F92" i="22" s="1"/>
  <c r="EQ91" i="2"/>
  <c r="EO91" i="2"/>
  <c r="EN91" i="2"/>
  <c r="AP92" i="21" s="1"/>
  <c r="EM91" i="2"/>
  <c r="AM92" i="21" s="1"/>
  <c r="EL91" i="2"/>
  <c r="AJ92" i="21" s="1"/>
  <c r="EK91" i="2"/>
  <c r="CK91" i="2"/>
  <c r="EJ91" i="2"/>
  <c r="AD92" i="21" s="1"/>
  <c r="CJ91" i="2"/>
  <c r="EG91" i="2"/>
  <c r="U92" i="21" s="1"/>
  <c r="CG91" i="2"/>
  <c r="CI91" i="2"/>
  <c r="EI91" i="2"/>
  <c r="AA92" i="21" s="1"/>
  <c r="EH91" i="2"/>
  <c r="X92" i="21" s="1"/>
  <c r="CH91" i="2"/>
  <c r="DM206" i="3"/>
  <c r="DL206" i="3"/>
  <c r="DK206" i="3"/>
  <c r="DJ206" i="3"/>
  <c r="EM84" i="1"/>
  <c r="AL85" i="21" s="1"/>
  <c r="DK165" i="3"/>
  <c r="DJ165" i="3"/>
  <c r="DL165" i="3"/>
  <c r="DM165" i="3"/>
  <c r="DL44" i="2"/>
  <c r="DM44" i="2"/>
  <c r="DK44" i="2"/>
  <c r="DJ44" i="2"/>
  <c r="ER123" i="1"/>
  <c r="AM185" i="14"/>
  <c r="AH185" i="14"/>
  <c r="AM224" i="14"/>
  <c r="AH224" i="14"/>
  <c r="DO47" i="1"/>
  <c r="DN47" i="1"/>
  <c r="DL125" i="2"/>
  <c r="DK125" i="2"/>
  <c r="DJ125" i="2"/>
  <c r="DM125" i="2"/>
  <c r="C29" i="22"/>
  <c r="T76" i="16"/>
  <c r="S76" i="16"/>
  <c r="AL224" i="14"/>
  <c r="AG224" i="14"/>
  <c r="E170" i="9"/>
  <c r="EP170" i="2"/>
  <c r="ED170" i="2"/>
  <c r="L172" i="21" s="1"/>
  <c r="EO170" i="2"/>
  <c r="EC170" i="2"/>
  <c r="I172" i="21" s="1"/>
  <c r="EN170" i="2"/>
  <c r="AP172" i="21" s="1"/>
  <c r="EB170" i="2"/>
  <c r="F172" i="21" s="1"/>
  <c r="EM170" i="2"/>
  <c r="AM172" i="21" s="1"/>
  <c r="EL170" i="2"/>
  <c r="AJ172" i="21" s="1"/>
  <c r="EK170" i="2"/>
  <c r="CK170" i="2"/>
  <c r="EJ170" i="2"/>
  <c r="AD172" i="21" s="1"/>
  <c r="CJ170" i="2"/>
  <c r="EI170" i="2"/>
  <c r="AA172" i="21" s="1"/>
  <c r="CI170" i="2"/>
  <c r="EH170" i="2"/>
  <c r="X172" i="21" s="1"/>
  <c r="CH170" i="2"/>
  <c r="EG170" i="2"/>
  <c r="U172" i="21" s="1"/>
  <c r="CG170" i="2"/>
  <c r="ER170" i="2"/>
  <c r="F172" i="22" s="1"/>
  <c r="EQ170" i="2"/>
  <c r="EF170" i="2"/>
  <c r="R172" i="21" s="1"/>
  <c r="CQ170" i="2"/>
  <c r="K170" i="9" s="1"/>
  <c r="EE170" i="2"/>
  <c r="O172" i="21" s="1"/>
  <c r="DM5" i="3"/>
  <c r="DL5" i="3"/>
  <c r="DJ5" i="3"/>
  <c r="DK5" i="3"/>
  <c r="AG186" i="14"/>
  <c r="AL186" i="14"/>
  <c r="M39" i="11"/>
  <c r="U39" i="11" s="1"/>
  <c r="M50" i="11"/>
  <c r="U50" i="11" s="1"/>
  <c r="M28" i="11"/>
  <c r="F103" i="9"/>
  <c r="EQ103" i="3"/>
  <c r="EK103" i="3" s="1"/>
  <c r="EO103" i="3"/>
  <c r="EN103" i="3"/>
  <c r="AQ105" i="21" s="1"/>
  <c r="EJ103" i="3"/>
  <c r="AE105" i="21" s="1"/>
  <c r="CJ103" i="3"/>
  <c r="EI103" i="3"/>
  <c r="AB105" i="21" s="1"/>
  <c r="CI103" i="3"/>
  <c r="EG103" i="3"/>
  <c r="V105" i="21" s="1"/>
  <c r="CK103" i="3"/>
  <c r="CH103" i="3"/>
  <c r="CG103" i="3"/>
  <c r="EH103" i="3"/>
  <c r="Y105" i="21" s="1"/>
  <c r="H137" i="22"/>
  <c r="L137" i="22" s="1"/>
  <c r="AF137" i="21"/>
  <c r="F73" i="9"/>
  <c r="EJ73" i="3"/>
  <c r="AE75" i="21" s="1"/>
  <c r="CJ73" i="3"/>
  <c r="EI73" i="3"/>
  <c r="AB75" i="21" s="1"/>
  <c r="EH73" i="3"/>
  <c r="Y75" i="21" s="1"/>
  <c r="EG73" i="3"/>
  <c r="V75" i="21" s="1"/>
  <c r="EQ73" i="3"/>
  <c r="EK73" i="3" s="1"/>
  <c r="EO73" i="3"/>
  <c r="CK73" i="3"/>
  <c r="EN73" i="3"/>
  <c r="AQ75" i="21" s="1"/>
  <c r="CI73" i="3"/>
  <c r="CH73" i="3"/>
  <c r="CG73" i="3"/>
  <c r="F164" i="9"/>
  <c r="EL163" i="3"/>
  <c r="AK166" i="21" s="1"/>
  <c r="EK163" i="3"/>
  <c r="CK163" i="3"/>
  <c r="EJ163" i="3"/>
  <c r="AE166" i="21" s="1"/>
  <c r="CJ163" i="3"/>
  <c r="EI163" i="3"/>
  <c r="AB166" i="21" s="1"/>
  <c r="CI163" i="3"/>
  <c r="EH163" i="3"/>
  <c r="Y166" i="21" s="1"/>
  <c r="CH163" i="3"/>
  <c r="EG163" i="3"/>
  <c r="V166" i="21" s="1"/>
  <c r="CG163" i="3"/>
  <c r="EM163" i="3"/>
  <c r="AN166" i="21" s="1"/>
  <c r="EQ163" i="3"/>
  <c r="ER163" i="3" s="1"/>
  <c r="EO163" i="3"/>
  <c r="EN163" i="3"/>
  <c r="AQ166" i="21" s="1"/>
  <c r="AF177" i="21"/>
  <c r="H177" i="22"/>
  <c r="AH223" i="14"/>
  <c r="AM223" i="14"/>
  <c r="F163" i="9"/>
  <c r="EM162" i="3"/>
  <c r="AN165" i="21" s="1"/>
  <c r="EL162" i="3"/>
  <c r="AK165" i="21" s="1"/>
  <c r="EK162" i="3"/>
  <c r="CK162" i="3"/>
  <c r="EJ162" i="3"/>
  <c r="AE165" i="21" s="1"/>
  <c r="CJ162" i="3"/>
  <c r="EI162" i="3"/>
  <c r="AB165" i="21" s="1"/>
  <c r="CI162" i="3"/>
  <c r="EH162" i="3"/>
  <c r="Y165" i="21" s="1"/>
  <c r="CH162" i="3"/>
  <c r="EG162" i="3"/>
  <c r="V165" i="21" s="1"/>
  <c r="CG162" i="3"/>
  <c r="EQ162" i="3"/>
  <c r="EE162" i="3"/>
  <c r="P165" i="21" s="1"/>
  <c r="CQ162" i="3"/>
  <c r="L163" i="9" s="1"/>
  <c r="EN162" i="3"/>
  <c r="AQ165" i="21" s="1"/>
  <c r="EB162" i="3"/>
  <c r="G165" i="21" s="1"/>
  <c r="ER162" i="3"/>
  <c r="G165" i="22" s="1"/>
  <c r="EP162" i="3"/>
  <c r="EO162" i="3"/>
  <c r="EF162" i="3"/>
  <c r="S165" i="21" s="1"/>
  <c r="ED162" i="3"/>
  <c r="M165" i="21" s="1"/>
  <c r="EC162" i="3"/>
  <c r="J165" i="21" s="1"/>
  <c r="AL102" i="14"/>
  <c r="AG102" i="14"/>
  <c r="AE129" i="5"/>
  <c r="AE21" i="5"/>
  <c r="AE26" i="5"/>
  <c r="AE156" i="5"/>
  <c r="J156" i="9" s="1"/>
  <c r="C161" i="14" s="1"/>
  <c r="AE43" i="5"/>
  <c r="J43" i="9" s="1"/>
  <c r="C48" i="14" s="1"/>
  <c r="AE179" i="5"/>
  <c r="AE45" i="5"/>
  <c r="J45" i="9" s="1"/>
  <c r="C50" i="14" s="1"/>
  <c r="AE92" i="5"/>
  <c r="AE133" i="5"/>
  <c r="AE185" i="5"/>
  <c r="J186" i="9" s="1"/>
  <c r="C191" i="14" s="1"/>
  <c r="AE72" i="5"/>
  <c r="AE102" i="5"/>
  <c r="AE175" i="5"/>
  <c r="J175" i="9" s="1"/>
  <c r="C180" i="14" s="1"/>
  <c r="AE152" i="5"/>
  <c r="AE168" i="5"/>
  <c r="J168" i="9" s="1"/>
  <c r="C173" i="14" s="1"/>
  <c r="AE60" i="5"/>
  <c r="J60" i="9" s="1"/>
  <c r="C65" i="14" s="1"/>
  <c r="AE28" i="5"/>
  <c r="AE41" i="5"/>
  <c r="DO191" i="1"/>
  <c r="DN191" i="1"/>
  <c r="DO83" i="1"/>
  <c r="DN83" i="1"/>
  <c r="AN35" i="14"/>
  <c r="AI35" i="14"/>
  <c r="E52" i="9"/>
  <c r="EQ53" i="2"/>
  <c r="EK53" i="2" s="1"/>
  <c r="EO53" i="2"/>
  <c r="EN53" i="2"/>
  <c r="AP54" i="21" s="1"/>
  <c r="EL53" i="2"/>
  <c r="AJ54" i="21" s="1"/>
  <c r="CK53" i="2"/>
  <c r="EJ53" i="2"/>
  <c r="AD54" i="21" s="1"/>
  <c r="CJ53" i="2"/>
  <c r="EG53" i="2"/>
  <c r="U54" i="21" s="1"/>
  <c r="CH53" i="2"/>
  <c r="CG53" i="2"/>
  <c r="EM53" i="2"/>
  <c r="AM54" i="21" s="1"/>
  <c r="CI53" i="2"/>
  <c r="EH53" i="2"/>
  <c r="X54" i="21" s="1"/>
  <c r="EI53" i="2"/>
  <c r="AA54" i="21" s="1"/>
  <c r="F154" i="9"/>
  <c r="EJ153" i="3"/>
  <c r="AE156" i="21" s="1"/>
  <c r="CJ153" i="3"/>
  <c r="EI153" i="3"/>
  <c r="AB156" i="21" s="1"/>
  <c r="CI153" i="3"/>
  <c r="EH153" i="3"/>
  <c r="Y156" i="21" s="1"/>
  <c r="CH153" i="3"/>
  <c r="EG153" i="3"/>
  <c r="V156" i="21" s="1"/>
  <c r="CG153" i="3"/>
  <c r="ER153" i="3"/>
  <c r="G156" i="22" s="1"/>
  <c r="EF153" i="3"/>
  <c r="S156" i="21" s="1"/>
  <c r="EQ153" i="3"/>
  <c r="EE153" i="3"/>
  <c r="P156" i="21" s="1"/>
  <c r="CQ153" i="3"/>
  <c r="L154" i="9" s="1"/>
  <c r="EP153" i="3"/>
  <c r="ED153" i="3"/>
  <c r="M156" i="21" s="1"/>
  <c r="EN153" i="3"/>
  <c r="AQ156" i="21" s="1"/>
  <c r="EB153" i="3"/>
  <c r="G156" i="21" s="1"/>
  <c r="EK153" i="3"/>
  <c r="CK153" i="3"/>
  <c r="EM153" i="3"/>
  <c r="AN156" i="21" s="1"/>
  <c r="EL153" i="3"/>
  <c r="AK156" i="21" s="1"/>
  <c r="EC153" i="3"/>
  <c r="J156" i="21" s="1"/>
  <c r="EO153" i="3"/>
  <c r="E69" i="9"/>
  <c r="EO70" i="2"/>
  <c r="EN70" i="2"/>
  <c r="AP71" i="21" s="1"/>
  <c r="CK70" i="2"/>
  <c r="EJ70" i="2"/>
  <c r="AD71" i="21" s="1"/>
  <c r="F71" i="20" s="1"/>
  <c r="CJ70" i="2"/>
  <c r="EI70" i="2"/>
  <c r="AA71" i="21" s="1"/>
  <c r="CI70" i="2"/>
  <c r="EH70" i="2"/>
  <c r="X71" i="21" s="1"/>
  <c r="CH70" i="2"/>
  <c r="EG70" i="2"/>
  <c r="U71" i="21" s="1"/>
  <c r="CG70" i="2"/>
  <c r="EQ70" i="2"/>
  <c r="EK70" i="2" s="1"/>
  <c r="DL164" i="3"/>
  <c r="DK164" i="3"/>
  <c r="DJ164" i="3"/>
  <c r="DM164" i="3"/>
  <c r="AH145" i="14"/>
  <c r="AM145" i="14"/>
  <c r="AN171" i="14"/>
  <c r="AI171" i="14"/>
  <c r="F88" i="22"/>
  <c r="M88" i="22" s="1"/>
  <c r="C88" i="22" s="1"/>
  <c r="EP87" i="2"/>
  <c r="F59" i="22"/>
  <c r="M59" i="22" s="1"/>
  <c r="EP58" i="2"/>
  <c r="F118" i="9"/>
  <c r="EN118" i="3"/>
  <c r="AQ120" i="21" s="1"/>
  <c r="EB118" i="3"/>
  <c r="G120" i="21" s="1"/>
  <c r="EM118" i="3"/>
  <c r="AN120" i="21" s="1"/>
  <c r="EL118" i="3"/>
  <c r="AK120" i="21" s="1"/>
  <c r="EK118" i="3"/>
  <c r="CK118" i="3"/>
  <c r="EJ118" i="3"/>
  <c r="AE120" i="21" s="1"/>
  <c r="CJ118" i="3"/>
  <c r="EI118" i="3"/>
  <c r="AB120" i="21" s="1"/>
  <c r="CI118" i="3"/>
  <c r="EH118" i="3"/>
  <c r="Y120" i="21" s="1"/>
  <c r="CH118" i="3"/>
  <c r="ER118" i="3"/>
  <c r="G120" i="22" s="1"/>
  <c r="EF118" i="3"/>
  <c r="S120" i="21" s="1"/>
  <c r="EQ118" i="3"/>
  <c r="EE118" i="3"/>
  <c r="P120" i="21" s="1"/>
  <c r="CQ118" i="3"/>
  <c r="L118" i="9" s="1"/>
  <c r="EP118" i="3"/>
  <c r="EO118" i="3"/>
  <c r="EG118" i="3"/>
  <c r="V120" i="21" s="1"/>
  <c r="ED118" i="3"/>
  <c r="M120" i="21" s="1"/>
  <c r="EC118" i="3"/>
  <c r="J120" i="21" s="1"/>
  <c r="CG118" i="3"/>
  <c r="AN165" i="14"/>
  <c r="AI165" i="14"/>
  <c r="L188" i="22"/>
  <c r="E56" i="22"/>
  <c r="L56" i="22" s="1"/>
  <c r="EP55" i="1"/>
  <c r="AN158" i="14"/>
  <c r="AI158" i="14"/>
  <c r="E161" i="9"/>
  <c r="EM161" i="2"/>
  <c r="AM163" i="21" s="1"/>
  <c r="EL161" i="2"/>
  <c r="AJ163" i="21" s="1"/>
  <c r="EK161" i="2"/>
  <c r="CK161" i="2"/>
  <c r="EJ161" i="2"/>
  <c r="AD163" i="21" s="1"/>
  <c r="CJ161" i="2"/>
  <c r="EI161" i="2"/>
  <c r="AA163" i="21" s="1"/>
  <c r="CI161" i="2"/>
  <c r="EG161" i="2"/>
  <c r="U163" i="21" s="1"/>
  <c r="CG161" i="2"/>
  <c r="ER161" i="2"/>
  <c r="F163" i="22" s="1"/>
  <c r="EF161" i="2"/>
  <c r="R163" i="21" s="1"/>
  <c r="EQ161" i="2"/>
  <c r="EE161" i="2"/>
  <c r="O163" i="21" s="1"/>
  <c r="CQ161" i="2"/>
  <c r="K161" i="9" s="1"/>
  <c r="EP161" i="2"/>
  <c r="ED161" i="2"/>
  <c r="L163" i="21" s="1"/>
  <c r="CH161" i="2"/>
  <c r="EO161" i="2"/>
  <c r="EN161" i="2"/>
  <c r="AP163" i="21" s="1"/>
  <c r="EH161" i="2"/>
  <c r="X163" i="21" s="1"/>
  <c r="EC161" i="2"/>
  <c r="I163" i="21" s="1"/>
  <c r="EB161" i="2"/>
  <c r="F163" i="21" s="1"/>
  <c r="E151" i="9"/>
  <c r="EK151" i="2"/>
  <c r="CK151" i="2"/>
  <c r="EJ151" i="2"/>
  <c r="AD153" i="21" s="1"/>
  <c r="CJ151" i="2"/>
  <c r="EI151" i="2"/>
  <c r="AA153" i="21" s="1"/>
  <c r="CI151" i="2"/>
  <c r="EH151" i="2"/>
  <c r="X153" i="21" s="1"/>
  <c r="CH151" i="2"/>
  <c r="EG151" i="2"/>
  <c r="U153" i="21" s="1"/>
  <c r="CG151" i="2"/>
  <c r="EQ151" i="2"/>
  <c r="EE151" i="2"/>
  <c r="O153" i="21" s="1"/>
  <c r="CQ151" i="2"/>
  <c r="K151" i="9" s="1"/>
  <c r="EP151" i="2"/>
  <c r="ED151" i="2"/>
  <c r="L153" i="21" s="1"/>
  <c r="EO151" i="2"/>
  <c r="EC151" i="2"/>
  <c r="I153" i="21" s="1"/>
  <c r="EM151" i="2"/>
  <c r="AM153" i="21" s="1"/>
  <c r="EL151" i="2"/>
  <c r="AJ153" i="21" s="1"/>
  <c r="EF151" i="2"/>
  <c r="R153" i="21" s="1"/>
  <c r="EB151" i="2"/>
  <c r="F153" i="21" s="1"/>
  <c r="EN151" i="2"/>
  <c r="AP153" i="21" s="1"/>
  <c r="ER151" i="2"/>
  <c r="F153" i="22" s="1"/>
  <c r="DO158" i="1"/>
  <c r="DN158" i="1"/>
  <c r="H178" i="22"/>
  <c r="AF178" i="21"/>
  <c r="E182" i="9"/>
  <c r="EN182" i="2"/>
  <c r="AP184" i="21" s="1"/>
  <c r="EB182" i="2"/>
  <c r="F184" i="21" s="1"/>
  <c r="EG182" i="2"/>
  <c r="U184" i="21" s="1"/>
  <c r="EF182" i="2"/>
  <c r="R184" i="21" s="1"/>
  <c r="ER182" i="2"/>
  <c r="F184" i="22" s="1"/>
  <c r="EE182" i="2"/>
  <c r="O184" i="21" s="1"/>
  <c r="EQ182" i="2"/>
  <c r="ED182" i="2"/>
  <c r="L184" i="21" s="1"/>
  <c r="EP182" i="2"/>
  <c r="EC182" i="2"/>
  <c r="I184" i="21" s="1"/>
  <c r="CK182" i="2"/>
  <c r="EO182" i="2"/>
  <c r="CJ182" i="2"/>
  <c r="EM182" i="2"/>
  <c r="AM184" i="21" s="1"/>
  <c r="CI182" i="2"/>
  <c r="EL182" i="2"/>
  <c r="AJ184" i="21" s="1"/>
  <c r="CH182" i="2"/>
  <c r="EK182" i="2"/>
  <c r="CG182" i="2"/>
  <c r="EJ182" i="2"/>
  <c r="AD184" i="21" s="1"/>
  <c r="CQ182" i="2"/>
  <c r="K182" i="9" s="1"/>
  <c r="EH182" i="2"/>
  <c r="X184" i="21" s="1"/>
  <c r="EI182" i="2"/>
  <c r="AA184" i="21" s="1"/>
  <c r="E112" i="9"/>
  <c r="EK113" i="2"/>
  <c r="CK113" i="2"/>
  <c r="EJ113" i="2"/>
  <c r="AD114" i="21" s="1"/>
  <c r="CJ113" i="2"/>
  <c r="EI113" i="2"/>
  <c r="AA114" i="21" s="1"/>
  <c r="CI113" i="2"/>
  <c r="EH113" i="2"/>
  <c r="X114" i="21" s="1"/>
  <c r="CH113" i="2"/>
  <c r="EG113" i="2"/>
  <c r="U114" i="21" s="1"/>
  <c r="CG113" i="2"/>
  <c r="ER113" i="2"/>
  <c r="F114" i="22" s="1"/>
  <c r="EF113" i="2"/>
  <c r="R114" i="21" s="1"/>
  <c r="EQ113" i="2"/>
  <c r="EE113" i="2"/>
  <c r="O114" i="21" s="1"/>
  <c r="CQ113" i="2"/>
  <c r="K112" i="9" s="1"/>
  <c r="EP113" i="2"/>
  <c r="ED113" i="2"/>
  <c r="L114" i="21" s="1"/>
  <c r="EO113" i="2"/>
  <c r="EC113" i="2"/>
  <c r="I114" i="21" s="1"/>
  <c r="EL113" i="2"/>
  <c r="AJ114" i="21" s="1"/>
  <c r="EB113" i="2"/>
  <c r="F114" i="21" s="1"/>
  <c r="EM113" i="2"/>
  <c r="AM114" i="21" s="1"/>
  <c r="EN113" i="2"/>
  <c r="AP114" i="21" s="1"/>
  <c r="F91" i="9"/>
  <c r="EQ91" i="3"/>
  <c r="EM91" i="3"/>
  <c r="AN93" i="21" s="1"/>
  <c r="EL91" i="3"/>
  <c r="AK93" i="21" s="1"/>
  <c r="EI91" i="3"/>
  <c r="AB93" i="21" s="1"/>
  <c r="CI91" i="3"/>
  <c r="EJ91" i="3"/>
  <c r="AE93" i="21" s="1"/>
  <c r="CG91" i="3"/>
  <c r="EG91" i="3"/>
  <c r="V93" i="21" s="1"/>
  <c r="EN91" i="3"/>
  <c r="AQ93" i="21" s="1"/>
  <c r="CJ91" i="3"/>
  <c r="CK91" i="3"/>
  <c r="CH91" i="3"/>
  <c r="EO91" i="3"/>
  <c r="EK91" i="3"/>
  <c r="EH91" i="3"/>
  <c r="Y93" i="21" s="1"/>
  <c r="E124" i="9"/>
  <c r="M124" i="9" s="1"/>
  <c r="EK125" i="2"/>
  <c r="CK125" i="2"/>
  <c r="EJ125" i="2"/>
  <c r="AD126" i="21" s="1"/>
  <c r="CJ125" i="2"/>
  <c r="EI125" i="2"/>
  <c r="AA126" i="21" s="1"/>
  <c r="CI125" i="2"/>
  <c r="EH125" i="2"/>
  <c r="X126" i="21" s="1"/>
  <c r="CH125" i="2"/>
  <c r="EG125" i="2"/>
  <c r="U126" i="21" s="1"/>
  <c r="CG125" i="2"/>
  <c r="ER125" i="2"/>
  <c r="F126" i="22" s="1"/>
  <c r="EF125" i="2"/>
  <c r="R126" i="21" s="1"/>
  <c r="EQ125" i="2"/>
  <c r="EE125" i="2"/>
  <c r="O126" i="21" s="1"/>
  <c r="CQ125" i="2"/>
  <c r="K124" i="9" s="1"/>
  <c r="EP125" i="2"/>
  <c r="ED125" i="2"/>
  <c r="L126" i="21" s="1"/>
  <c r="EO125" i="2"/>
  <c r="EC125" i="2"/>
  <c r="I126" i="21" s="1"/>
  <c r="EL125" i="2"/>
  <c r="AJ126" i="21" s="1"/>
  <c r="EN125" i="2"/>
  <c r="AP126" i="21" s="1"/>
  <c r="EM125" i="2"/>
  <c r="AM126" i="21" s="1"/>
  <c r="EB125" i="2"/>
  <c r="F126" i="21" s="1"/>
  <c r="DN136" i="1"/>
  <c r="DO136" i="1"/>
  <c r="DO44" i="1"/>
  <c r="DN44" i="1"/>
  <c r="ER133" i="1"/>
  <c r="DM5" i="2"/>
  <c r="DL5" i="2"/>
  <c r="DK5" i="2"/>
  <c r="DJ5" i="2"/>
  <c r="F52" i="9"/>
  <c r="EQ52" i="3"/>
  <c r="EO52" i="3"/>
  <c r="EN52" i="3"/>
  <c r="AQ54" i="21" s="1"/>
  <c r="EK52" i="3"/>
  <c r="CK52" i="3"/>
  <c r="EI52" i="3"/>
  <c r="AB54" i="21" s="1"/>
  <c r="CI52" i="3"/>
  <c r="EH52" i="3"/>
  <c r="Y54" i="21" s="1"/>
  <c r="CH52" i="3"/>
  <c r="CG52" i="3"/>
  <c r="EJ52" i="3"/>
  <c r="AE54" i="21" s="1"/>
  <c r="EG52" i="3"/>
  <c r="V54" i="21" s="1"/>
  <c r="CJ52" i="3"/>
  <c r="F200" i="9"/>
  <c r="CK197" i="3"/>
  <c r="EI197" i="3"/>
  <c r="AB202" i="21" s="1"/>
  <c r="CI197" i="3"/>
  <c r="EH197" i="3"/>
  <c r="Y202" i="21" s="1"/>
  <c r="CH197" i="3"/>
  <c r="EG197" i="3"/>
  <c r="V202" i="21" s="1"/>
  <c r="CG197" i="3"/>
  <c r="ER197" i="3"/>
  <c r="G202" i="22" s="1"/>
  <c r="EO197" i="3"/>
  <c r="EN197" i="3"/>
  <c r="AQ202" i="21" s="1"/>
  <c r="CJ197" i="3"/>
  <c r="EQ197" i="3"/>
  <c r="EK197" i="3" s="1"/>
  <c r="EL197" i="3"/>
  <c r="AK202" i="21" s="1"/>
  <c r="EJ197" i="3"/>
  <c r="AE202" i="21" s="1"/>
  <c r="D17" i="9"/>
  <c r="EQ18" i="1"/>
  <c r="EO18" i="1"/>
  <c r="EN18" i="1"/>
  <c r="AO19" i="21" s="1"/>
  <c r="EI18" i="1"/>
  <c r="Z19" i="21" s="1"/>
  <c r="CI18" i="1"/>
  <c r="EH18" i="1"/>
  <c r="W19" i="21" s="1"/>
  <c r="CH18" i="1"/>
  <c r="EG18" i="1"/>
  <c r="T19" i="21" s="1"/>
  <c r="CG18" i="1"/>
  <c r="ER18" i="1"/>
  <c r="E19" i="22" s="1"/>
  <c r="EL18" i="1"/>
  <c r="AI19" i="21" s="1"/>
  <c r="CK18" i="1"/>
  <c r="CJ18" i="1"/>
  <c r="EK18" i="1"/>
  <c r="EJ18" i="1"/>
  <c r="AC19" i="21" s="1"/>
  <c r="ER197" i="1"/>
  <c r="F66" i="9"/>
  <c r="EQ66" i="3"/>
  <c r="EO66" i="3"/>
  <c r="EN66" i="3"/>
  <c r="AQ68" i="21" s="1"/>
  <c r="EM66" i="3"/>
  <c r="AN68" i="21" s="1"/>
  <c r="EL66" i="3"/>
  <c r="AK68" i="21" s="1"/>
  <c r="EJ66" i="3"/>
  <c r="AE68" i="21" s="1"/>
  <c r="CJ66" i="3"/>
  <c r="EI66" i="3"/>
  <c r="AB68" i="21" s="1"/>
  <c r="CI66" i="3"/>
  <c r="EG66" i="3"/>
  <c r="V68" i="21" s="1"/>
  <c r="CK66" i="3"/>
  <c r="CH66" i="3"/>
  <c r="EK66" i="3"/>
  <c r="EH66" i="3"/>
  <c r="Y68" i="21" s="1"/>
  <c r="CG66" i="3"/>
  <c r="E158" i="9"/>
  <c r="M158" i="9" s="1"/>
  <c r="EP158" i="2"/>
  <c r="ED158" i="2"/>
  <c r="L160" i="21" s="1"/>
  <c r="EO158" i="2"/>
  <c r="EC158" i="2"/>
  <c r="I160" i="21" s="1"/>
  <c r="EN158" i="2"/>
  <c r="AP160" i="21" s="1"/>
  <c r="EB158" i="2"/>
  <c r="F160" i="21" s="1"/>
  <c r="EM158" i="2"/>
  <c r="AM160" i="21" s="1"/>
  <c r="EL158" i="2"/>
  <c r="AJ160" i="21" s="1"/>
  <c r="EJ158" i="2"/>
  <c r="AD160" i="21" s="1"/>
  <c r="CJ158" i="2"/>
  <c r="EI158" i="2"/>
  <c r="AA160" i="21" s="1"/>
  <c r="CI158" i="2"/>
  <c r="EH158" i="2"/>
  <c r="X160" i="21" s="1"/>
  <c r="CH158" i="2"/>
  <c r="CQ158" i="2"/>
  <c r="K158" i="9" s="1"/>
  <c r="CK158" i="2"/>
  <c r="CG158" i="2"/>
  <c r="ER158" i="2"/>
  <c r="F160" i="22" s="1"/>
  <c r="EQ158" i="2"/>
  <c r="EK158" i="2"/>
  <c r="EE158" i="2"/>
  <c r="O160" i="21" s="1"/>
  <c r="EG158" i="2"/>
  <c r="U160" i="21" s="1"/>
  <c r="EF158" i="2"/>
  <c r="R160" i="21" s="1"/>
  <c r="J189" i="9"/>
  <c r="C194" i="14" s="1"/>
  <c r="AI51" i="14"/>
  <c r="AN51" i="14"/>
  <c r="F77" i="9"/>
  <c r="EN77" i="3"/>
  <c r="AQ79" i="21" s="1"/>
  <c r="EO77" i="3"/>
  <c r="CH77" i="3"/>
  <c r="CG77" i="3"/>
  <c r="EQ77" i="3"/>
  <c r="EK77" i="3" s="1"/>
  <c r="EM77" i="3"/>
  <c r="AN79" i="21" s="1"/>
  <c r="EJ77" i="3"/>
  <c r="AE79" i="21" s="1"/>
  <c r="EI77" i="3"/>
  <c r="AB79" i="21" s="1"/>
  <c r="CK77" i="3"/>
  <c r="CJ77" i="3"/>
  <c r="CI77" i="3"/>
  <c r="EL77" i="3"/>
  <c r="AK79" i="21" s="1"/>
  <c r="EH77" i="3"/>
  <c r="Y79" i="21" s="1"/>
  <c r="EG77" i="3"/>
  <c r="V79" i="21" s="1"/>
  <c r="ER37" i="1"/>
  <c r="F158" i="9"/>
  <c r="ER157" i="3"/>
  <c r="G160" i="22" s="1"/>
  <c r="EF157" i="3"/>
  <c r="S160" i="21" s="1"/>
  <c r="EQ157" i="3"/>
  <c r="EE157" i="3"/>
  <c r="P160" i="21" s="1"/>
  <c r="CQ157" i="3"/>
  <c r="L158" i="9" s="1"/>
  <c r="EP157" i="3"/>
  <c r="ED157" i="3"/>
  <c r="M160" i="21" s="1"/>
  <c r="EO157" i="3"/>
  <c r="EC157" i="3"/>
  <c r="J160" i="21" s="1"/>
  <c r="EN157" i="3"/>
  <c r="AQ160" i="21" s="1"/>
  <c r="EB157" i="3"/>
  <c r="G160" i="21" s="1"/>
  <c r="EM157" i="3"/>
  <c r="AN160" i="21" s="1"/>
  <c r="EL157" i="3"/>
  <c r="AK160" i="21" s="1"/>
  <c r="EJ157" i="3"/>
  <c r="AE160" i="21" s="1"/>
  <c r="CJ157" i="3"/>
  <c r="EG157" i="3"/>
  <c r="V160" i="21" s="1"/>
  <c r="CG157" i="3"/>
  <c r="CH157" i="3"/>
  <c r="EI157" i="3"/>
  <c r="AB160" i="21" s="1"/>
  <c r="EH157" i="3"/>
  <c r="Y160" i="21" s="1"/>
  <c r="CK157" i="3"/>
  <c r="CI157" i="3"/>
  <c r="EK157" i="3"/>
  <c r="G59" i="22"/>
  <c r="N59" i="22" s="1"/>
  <c r="EP57" i="3"/>
  <c r="AN146" i="14"/>
  <c r="AI146" i="14"/>
  <c r="AM215" i="14"/>
  <c r="AH215" i="14"/>
  <c r="E118" i="9"/>
  <c r="EQ119" i="2"/>
  <c r="EE119" i="2"/>
  <c r="O120" i="21" s="1"/>
  <c r="CQ119" i="2"/>
  <c r="K118" i="9" s="1"/>
  <c r="EP119" i="2"/>
  <c r="ED119" i="2"/>
  <c r="L120" i="21" s="1"/>
  <c r="EO119" i="2"/>
  <c r="EC119" i="2"/>
  <c r="I120" i="21" s="1"/>
  <c r="EN119" i="2"/>
  <c r="AP120" i="21" s="1"/>
  <c r="EB119" i="2"/>
  <c r="F120" i="21" s="1"/>
  <c r="EM119" i="2"/>
  <c r="AM120" i="21" s="1"/>
  <c r="EL119" i="2"/>
  <c r="AJ120" i="21" s="1"/>
  <c r="EK119" i="2"/>
  <c r="CK119" i="2"/>
  <c r="EJ119" i="2"/>
  <c r="AD120" i="21" s="1"/>
  <c r="CJ119" i="2"/>
  <c r="EI119" i="2"/>
  <c r="AA120" i="21" s="1"/>
  <c r="CI119" i="2"/>
  <c r="ER119" i="2"/>
  <c r="F120" i="22" s="1"/>
  <c r="EF119" i="2"/>
  <c r="R120" i="21" s="1"/>
  <c r="EH119" i="2"/>
  <c r="X120" i="21" s="1"/>
  <c r="EG119" i="2"/>
  <c r="U120" i="21" s="1"/>
  <c r="CH119" i="2"/>
  <c r="CG119" i="2"/>
  <c r="AI48" i="14"/>
  <c r="AN48" i="14"/>
  <c r="AL179" i="14"/>
  <c r="AG179" i="14"/>
  <c r="F115" i="9"/>
  <c r="EQ115" i="3"/>
  <c r="EK115" i="3" s="1"/>
  <c r="EO115" i="3"/>
  <c r="EN115" i="3"/>
  <c r="AQ117" i="21" s="1"/>
  <c r="CK115" i="3"/>
  <c r="EI115" i="3"/>
  <c r="AB117" i="21" s="1"/>
  <c r="CI115" i="3"/>
  <c r="EH115" i="3"/>
  <c r="Y117" i="21" s="1"/>
  <c r="CH115" i="3"/>
  <c r="CJ115" i="3"/>
  <c r="CG115" i="3"/>
  <c r="ER115" i="3"/>
  <c r="G117" i="22" s="1"/>
  <c r="EJ115" i="3"/>
  <c r="AE117" i="21" s="1"/>
  <c r="EG115" i="3"/>
  <c r="V117" i="21" s="1"/>
  <c r="F58" i="9"/>
  <c r="CK58" i="3"/>
  <c r="EJ58" i="3"/>
  <c r="AE60" i="21" s="1"/>
  <c r="CJ58" i="3"/>
  <c r="EI58" i="3"/>
  <c r="AB60" i="21" s="1"/>
  <c r="CI58" i="3"/>
  <c r="EH58" i="3"/>
  <c r="Y60" i="21" s="1"/>
  <c r="CH58" i="3"/>
  <c r="EG58" i="3"/>
  <c r="V60" i="21" s="1"/>
  <c r="CG58" i="3"/>
  <c r="EQ58" i="3"/>
  <c r="EK58" i="3" s="1"/>
  <c r="EO58" i="3"/>
  <c r="EN58" i="3"/>
  <c r="AQ60" i="21" s="1"/>
  <c r="EM58" i="3"/>
  <c r="AN60" i="21" s="1"/>
  <c r="DM158" i="2"/>
  <c r="DK158" i="2"/>
  <c r="DJ158" i="2"/>
  <c r="DL158" i="2"/>
  <c r="N17" i="11"/>
  <c r="P5" i="13"/>
  <c r="X5" i="13" s="1"/>
  <c r="DM80" i="2"/>
  <c r="DL80" i="2"/>
  <c r="DK80" i="2"/>
  <c r="DJ80" i="2"/>
  <c r="F161" i="9"/>
  <c r="EO160" i="3"/>
  <c r="EC160" i="3"/>
  <c r="J163" i="21" s="1"/>
  <c r="EN160" i="3"/>
  <c r="AQ163" i="21" s="1"/>
  <c r="EB160" i="3"/>
  <c r="G163" i="21" s="1"/>
  <c r="EM160" i="3"/>
  <c r="AN163" i="21" s="1"/>
  <c r="EL160" i="3"/>
  <c r="AK163" i="21" s="1"/>
  <c r="EK160" i="3"/>
  <c r="CK160" i="3"/>
  <c r="EJ160" i="3"/>
  <c r="AE163" i="21" s="1"/>
  <c r="CJ160" i="3"/>
  <c r="EI160" i="3"/>
  <c r="AB163" i="21" s="1"/>
  <c r="CI160" i="3"/>
  <c r="EG160" i="3"/>
  <c r="V163" i="21" s="1"/>
  <c r="CG160" i="3"/>
  <c r="EP160" i="3"/>
  <c r="ED160" i="3"/>
  <c r="M163" i="21" s="1"/>
  <c r="EF160" i="3"/>
  <c r="S163" i="21" s="1"/>
  <c r="EE160" i="3"/>
  <c r="P163" i="21" s="1"/>
  <c r="CQ160" i="3"/>
  <c r="L161" i="9" s="1"/>
  <c r="CH160" i="3"/>
  <c r="ER160" i="3"/>
  <c r="G163" i="22" s="1"/>
  <c r="EQ160" i="3"/>
  <c r="EH160" i="3"/>
  <c r="Y163" i="21" s="1"/>
  <c r="F180" i="9"/>
  <c r="EG177" i="3"/>
  <c r="V182" i="21" s="1"/>
  <c r="CG177" i="3"/>
  <c r="EQ177" i="3"/>
  <c r="EE177" i="3"/>
  <c r="P182" i="21" s="1"/>
  <c r="CQ177" i="3"/>
  <c r="L180" i="9" s="1"/>
  <c r="EP177" i="3"/>
  <c r="ED177" i="3"/>
  <c r="M182" i="21" s="1"/>
  <c r="EO177" i="3"/>
  <c r="EC177" i="3"/>
  <c r="J182" i="21" s="1"/>
  <c r="EN177" i="3"/>
  <c r="AQ182" i="21" s="1"/>
  <c r="EB177" i="3"/>
  <c r="G182" i="21" s="1"/>
  <c r="EM177" i="3"/>
  <c r="AN182" i="21" s="1"/>
  <c r="EL177" i="3"/>
  <c r="AK182" i="21" s="1"/>
  <c r="EK177" i="3"/>
  <c r="EJ177" i="3"/>
  <c r="AE182" i="21" s="1"/>
  <c r="EI177" i="3"/>
  <c r="AB182" i="21" s="1"/>
  <c r="EH177" i="3"/>
  <c r="Y182" i="21" s="1"/>
  <c r="EF177" i="3"/>
  <c r="S182" i="21" s="1"/>
  <c r="CK177" i="3"/>
  <c r="ER177" i="3"/>
  <c r="G182" i="22" s="1"/>
  <c r="CH177" i="3"/>
  <c r="CJ177" i="3"/>
  <c r="CI177" i="3"/>
  <c r="DM31" i="2"/>
  <c r="DL31" i="2"/>
  <c r="DK31" i="2"/>
  <c r="DJ31" i="2"/>
  <c r="DM168" i="2"/>
  <c r="DL168" i="2"/>
  <c r="DK168" i="2"/>
  <c r="DJ168" i="2"/>
  <c r="EL139" i="1"/>
  <c r="AI140" i="21" s="1"/>
  <c r="DO167" i="1"/>
  <c r="DN167" i="1"/>
  <c r="F221" i="9"/>
  <c r="EK215" i="3"/>
  <c r="CK215" i="3"/>
  <c r="EQ215" i="3"/>
  <c r="EO215" i="3"/>
  <c r="CJ215" i="3"/>
  <c r="EN215" i="3"/>
  <c r="AQ223" i="21" s="1"/>
  <c r="CI215" i="3"/>
  <c r="EJ215" i="3"/>
  <c r="AE223" i="21" s="1"/>
  <c r="EI215" i="3"/>
  <c r="AB223" i="21" s="1"/>
  <c r="EH215" i="3"/>
  <c r="Y223" i="21" s="1"/>
  <c r="EL215" i="3"/>
  <c r="AK223" i="21" s="1"/>
  <c r="EG215" i="3"/>
  <c r="V223" i="21" s="1"/>
  <c r="CH215" i="3"/>
  <c r="EM215" i="3"/>
  <c r="AN223" i="21" s="1"/>
  <c r="CG215" i="3"/>
  <c r="EM16" i="1"/>
  <c r="AL17" i="21" s="1"/>
  <c r="AL166" i="14"/>
  <c r="AG166" i="14"/>
  <c r="F40" i="9"/>
  <c r="EQ40" i="3"/>
  <c r="EK40" i="3" s="1"/>
  <c r="EO40" i="3"/>
  <c r="EN40" i="3"/>
  <c r="AQ42" i="21" s="1"/>
  <c r="EM40" i="3"/>
  <c r="AN42" i="21" s="1"/>
  <c r="EL40" i="3"/>
  <c r="AK42" i="21" s="1"/>
  <c r="CK40" i="3"/>
  <c r="EI40" i="3"/>
  <c r="AB42" i="21" s="1"/>
  <c r="CI40" i="3"/>
  <c r="EH40" i="3"/>
  <c r="Y42" i="21" s="1"/>
  <c r="CH40" i="3"/>
  <c r="EJ40" i="3"/>
  <c r="AE42" i="21" s="1"/>
  <c r="EG40" i="3"/>
  <c r="V42" i="21" s="1"/>
  <c r="CJ40" i="3"/>
  <c r="CG40" i="3"/>
  <c r="F46" i="9"/>
  <c r="EK46" i="3"/>
  <c r="CK46" i="3"/>
  <c r="EI46" i="3"/>
  <c r="AB48" i="21" s="1"/>
  <c r="CI46" i="3"/>
  <c r="EH46" i="3"/>
  <c r="Y48" i="21" s="1"/>
  <c r="CH46" i="3"/>
  <c r="EG46" i="3"/>
  <c r="V48" i="21" s="1"/>
  <c r="CG46" i="3"/>
  <c r="ER46" i="3"/>
  <c r="G48" i="22" s="1"/>
  <c r="EF46" i="3"/>
  <c r="S48" i="21" s="1"/>
  <c r="EQ46" i="3"/>
  <c r="EE46" i="3"/>
  <c r="P48" i="21" s="1"/>
  <c r="CQ46" i="3"/>
  <c r="L46" i="9" s="1"/>
  <c r="EO46" i="3"/>
  <c r="EC46" i="3"/>
  <c r="J48" i="21" s="1"/>
  <c r="EN46" i="3"/>
  <c r="AQ48" i="21" s="1"/>
  <c r="EB46" i="3"/>
  <c r="G48" i="21" s="1"/>
  <c r="EP46" i="3"/>
  <c r="EL46" i="3"/>
  <c r="AK48" i="21" s="1"/>
  <c r="CJ46" i="3"/>
  <c r="EJ46" i="3"/>
  <c r="AE48" i="21" s="1"/>
  <c r="ED46" i="3"/>
  <c r="M48" i="21" s="1"/>
  <c r="EM46" i="3"/>
  <c r="AN48" i="21" s="1"/>
  <c r="AN164" i="14"/>
  <c r="AI164" i="14"/>
  <c r="F129" i="9"/>
  <c r="EH129" i="3"/>
  <c r="Y131" i="21" s="1"/>
  <c r="CH129" i="3"/>
  <c r="EG129" i="3"/>
  <c r="V131" i="21" s="1"/>
  <c r="EK129" i="3"/>
  <c r="CK129" i="3"/>
  <c r="EQ129" i="3"/>
  <c r="CJ129" i="3"/>
  <c r="EO129" i="3"/>
  <c r="CI129" i="3"/>
  <c r="EN129" i="3"/>
  <c r="AQ131" i="21" s="1"/>
  <c r="CG129" i="3"/>
  <c r="EM129" i="3"/>
  <c r="AN131" i="21" s="1"/>
  <c r="EJ129" i="3"/>
  <c r="AE131" i="21" s="1"/>
  <c r="EI129" i="3"/>
  <c r="AB131" i="21" s="1"/>
  <c r="DK140" i="3"/>
  <c r="DJ140" i="3"/>
  <c r="DL140" i="3"/>
  <c r="DM140" i="3"/>
  <c r="T68" i="15"/>
  <c r="U68" i="15"/>
  <c r="AM172" i="14"/>
  <c r="AH172" i="14"/>
  <c r="DM43" i="3"/>
  <c r="DL43" i="3"/>
  <c r="DK43" i="3"/>
  <c r="DJ43" i="3"/>
  <c r="AN224" i="14"/>
  <c r="AI224" i="14"/>
  <c r="E174" i="9"/>
  <c r="EL174" i="2"/>
  <c r="AJ176" i="21" s="1"/>
  <c r="EK174" i="2"/>
  <c r="CK174" i="2"/>
  <c r="EJ174" i="2"/>
  <c r="AD176" i="21" s="1"/>
  <c r="CJ174" i="2"/>
  <c r="EI174" i="2"/>
  <c r="AA176" i="21" s="1"/>
  <c r="CI174" i="2"/>
  <c r="EH174" i="2"/>
  <c r="X176" i="21" s="1"/>
  <c r="CH174" i="2"/>
  <c r="EG174" i="2"/>
  <c r="U176" i="21" s="1"/>
  <c r="CG174" i="2"/>
  <c r="ER174" i="2"/>
  <c r="F176" i="22" s="1"/>
  <c r="EF174" i="2"/>
  <c r="R176" i="21" s="1"/>
  <c r="EQ174" i="2"/>
  <c r="EE174" i="2"/>
  <c r="O176" i="21" s="1"/>
  <c r="CQ174" i="2"/>
  <c r="K174" i="9" s="1"/>
  <c r="EP174" i="2"/>
  <c r="ED174" i="2"/>
  <c r="L176" i="21" s="1"/>
  <c r="EO174" i="2"/>
  <c r="EC174" i="2"/>
  <c r="I176" i="21" s="1"/>
  <c r="EB174" i="2"/>
  <c r="F176" i="21" s="1"/>
  <c r="EN174" i="2"/>
  <c r="AP176" i="21" s="1"/>
  <c r="EM174" i="2"/>
  <c r="AM176" i="21" s="1"/>
  <c r="DN198" i="1"/>
  <c r="DO198" i="1"/>
  <c r="F145" i="9"/>
  <c r="EQ144" i="3"/>
  <c r="EK144" i="3" s="1"/>
  <c r="EO144" i="3"/>
  <c r="EN144" i="3"/>
  <c r="AQ147" i="21" s="1"/>
  <c r="EJ144" i="3"/>
  <c r="AE147" i="21" s="1"/>
  <c r="CJ144" i="3"/>
  <c r="EG144" i="3"/>
  <c r="V147" i="21" s="1"/>
  <c r="CG144" i="3"/>
  <c r="EI144" i="3"/>
  <c r="AB147" i="21" s="1"/>
  <c r="EH144" i="3"/>
  <c r="CI144" i="3"/>
  <c r="CH144" i="3"/>
  <c r="CK144" i="3"/>
  <c r="E203" i="9"/>
  <c r="EO203" i="2"/>
  <c r="EC203" i="2"/>
  <c r="I205" i="21" s="1"/>
  <c r="EN203" i="2"/>
  <c r="AP205" i="21" s="1"/>
  <c r="EB203" i="2"/>
  <c r="F205" i="21" s="1"/>
  <c r="EM203" i="2"/>
  <c r="AM205" i="21" s="1"/>
  <c r="EL203" i="2"/>
  <c r="AJ205" i="21" s="1"/>
  <c r="EK203" i="2"/>
  <c r="CK203" i="2"/>
  <c r="EJ203" i="2"/>
  <c r="AD205" i="21" s="1"/>
  <c r="CJ203" i="2"/>
  <c r="EG203" i="2"/>
  <c r="U205" i="21" s="1"/>
  <c r="CG203" i="2"/>
  <c r="ER203" i="2"/>
  <c r="F205" i="22" s="1"/>
  <c r="EF203" i="2"/>
  <c r="R205" i="21" s="1"/>
  <c r="EQ203" i="2"/>
  <c r="EE203" i="2"/>
  <c r="O205" i="21" s="1"/>
  <c r="CQ203" i="2"/>
  <c r="K203" i="9" s="1"/>
  <c r="EH203" i="2"/>
  <c r="X205" i="21" s="1"/>
  <c r="ED203" i="2"/>
  <c r="L205" i="21" s="1"/>
  <c r="CI203" i="2"/>
  <c r="CH203" i="2"/>
  <c r="EP203" i="2"/>
  <c r="EI203" i="2"/>
  <c r="AA205" i="21" s="1"/>
  <c r="E129" i="9"/>
  <c r="ER130" i="2"/>
  <c r="EQ130" i="2"/>
  <c r="EK130" i="2" s="1"/>
  <c r="EO130" i="2"/>
  <c r="CK130" i="2"/>
  <c r="EN130" i="2"/>
  <c r="AP131" i="21" s="1"/>
  <c r="G131" i="20" s="1"/>
  <c r="CJ130" i="2"/>
  <c r="EM130" i="2"/>
  <c r="AM131" i="21" s="1"/>
  <c r="CI130" i="2"/>
  <c r="EL130" i="2"/>
  <c r="AJ131" i="21" s="1"/>
  <c r="CH130" i="2"/>
  <c r="CG130" i="2"/>
  <c r="EJ130" i="2"/>
  <c r="AD131" i="21" s="1"/>
  <c r="F131" i="20" s="1"/>
  <c r="EI130" i="2"/>
  <c r="AA131" i="21" s="1"/>
  <c r="EH130" i="2"/>
  <c r="X131" i="21" s="1"/>
  <c r="E131" i="20" s="1"/>
  <c r="EG130" i="2"/>
  <c r="U131" i="21" s="1"/>
  <c r="EL213" i="1"/>
  <c r="AI216" i="21" s="1"/>
  <c r="E23" i="22"/>
  <c r="L23" i="22" s="1"/>
  <c r="EP22" i="1"/>
  <c r="E114" i="9"/>
  <c r="EI115" i="2"/>
  <c r="AA116" i="21" s="1"/>
  <c r="CI115" i="2"/>
  <c r="EH115" i="2"/>
  <c r="X116" i="21" s="1"/>
  <c r="CH115" i="2"/>
  <c r="EG115" i="2"/>
  <c r="U116" i="21" s="1"/>
  <c r="CG115" i="2"/>
  <c r="EQ115" i="2"/>
  <c r="EO115" i="2"/>
  <c r="EN115" i="2"/>
  <c r="AP116" i="21" s="1"/>
  <c r="EM115" i="2"/>
  <c r="AM116" i="21" s="1"/>
  <c r="EJ115" i="2"/>
  <c r="AD116" i="21" s="1"/>
  <c r="CJ115" i="2"/>
  <c r="EK115" i="2"/>
  <c r="CK115" i="2"/>
  <c r="AL223" i="14"/>
  <c r="AG223" i="14"/>
  <c r="F5" i="9"/>
  <c r="EO6" i="3"/>
  <c r="EN6" i="3"/>
  <c r="AQ7" i="21" s="1"/>
  <c r="EM6" i="3"/>
  <c r="AN7" i="21" s="1"/>
  <c r="EL6" i="3"/>
  <c r="AK7" i="21" s="1"/>
  <c r="CK6" i="3"/>
  <c r="EJ6" i="3"/>
  <c r="AE7" i="21" s="1"/>
  <c r="CJ6" i="3"/>
  <c r="EH6" i="3"/>
  <c r="Y7" i="21" s="1"/>
  <c r="CH6" i="3"/>
  <c r="EG6" i="3"/>
  <c r="V7" i="21" s="1"/>
  <c r="CG6" i="3"/>
  <c r="EQ6" i="3"/>
  <c r="ER6" i="3" s="1"/>
  <c r="EI6" i="3"/>
  <c r="AB7" i="21" s="1"/>
  <c r="CI6" i="3"/>
  <c r="E54" i="22"/>
  <c r="L54" i="22" s="1"/>
  <c r="EP53" i="1"/>
  <c r="T79" i="16"/>
  <c r="S79" i="16"/>
  <c r="F191" i="9"/>
  <c r="EH188" i="3"/>
  <c r="Y193" i="21" s="1"/>
  <c r="CH188" i="3"/>
  <c r="ER188" i="3"/>
  <c r="G193" i="22" s="1"/>
  <c r="EF188" i="3"/>
  <c r="S193" i="21" s="1"/>
  <c r="EQ188" i="3"/>
  <c r="EE188" i="3"/>
  <c r="P193" i="21" s="1"/>
  <c r="CQ188" i="3"/>
  <c r="L191" i="9" s="1"/>
  <c r="EP188" i="3"/>
  <c r="ED188" i="3"/>
  <c r="M193" i="21" s="1"/>
  <c r="EO188" i="3"/>
  <c r="EC188" i="3"/>
  <c r="J193" i="21" s="1"/>
  <c r="EL188" i="3"/>
  <c r="AK193" i="21" s="1"/>
  <c r="EN188" i="3"/>
  <c r="AQ193" i="21" s="1"/>
  <c r="EM188" i="3"/>
  <c r="AN193" i="21" s="1"/>
  <c r="EK188" i="3"/>
  <c r="EJ188" i="3"/>
  <c r="AE193" i="21" s="1"/>
  <c r="EI188" i="3"/>
  <c r="AB193" i="21" s="1"/>
  <c r="EG188" i="3"/>
  <c r="V193" i="21" s="1"/>
  <c r="CK188" i="3"/>
  <c r="EB188" i="3"/>
  <c r="G193" i="21" s="1"/>
  <c r="CJ188" i="3"/>
  <c r="CG188" i="3"/>
  <c r="CI188" i="3"/>
  <c r="DM170" i="2"/>
  <c r="DL170" i="2"/>
  <c r="DK170" i="2"/>
  <c r="DJ170" i="2"/>
  <c r="AM87" i="14"/>
  <c r="AH87" i="14"/>
  <c r="L113" i="22"/>
  <c r="F201" i="9"/>
  <c r="EJ198" i="3"/>
  <c r="AE203" i="21" s="1"/>
  <c r="CJ198" i="3"/>
  <c r="EH198" i="3"/>
  <c r="Y203" i="21" s="1"/>
  <c r="CH198" i="3"/>
  <c r="EG198" i="3"/>
  <c r="V203" i="21" s="1"/>
  <c r="CG198" i="3"/>
  <c r="EQ198" i="3"/>
  <c r="EK198" i="3" s="1"/>
  <c r="EN198" i="3"/>
  <c r="AQ203" i="21" s="1"/>
  <c r="EM198" i="3"/>
  <c r="AN203" i="21" s="1"/>
  <c r="EO198" i="3"/>
  <c r="EL198" i="3"/>
  <c r="AK203" i="21" s="1"/>
  <c r="CK198" i="3"/>
  <c r="EI198" i="3"/>
  <c r="CI198" i="3"/>
  <c r="E85" i="9"/>
  <c r="CK86" i="2"/>
  <c r="EJ86" i="2"/>
  <c r="AD87" i="21" s="1"/>
  <c r="F87" i="20" s="1"/>
  <c r="CJ86" i="2"/>
  <c r="EI86" i="2"/>
  <c r="AA87" i="21" s="1"/>
  <c r="CI86" i="2"/>
  <c r="EH86" i="2"/>
  <c r="X87" i="21" s="1"/>
  <c r="CH86" i="2"/>
  <c r="EG86" i="2"/>
  <c r="U87" i="21" s="1"/>
  <c r="CG86" i="2"/>
  <c r="EQ86" i="2"/>
  <c r="ER86" i="2" s="1"/>
  <c r="F87" i="22" s="1"/>
  <c r="EO86" i="2"/>
  <c r="EL86" i="2"/>
  <c r="AJ87" i="21" s="1"/>
  <c r="EN86" i="2"/>
  <c r="AP87" i="21" s="1"/>
  <c r="EM86" i="2"/>
  <c r="AM87" i="21" s="1"/>
  <c r="F206" i="9"/>
  <c r="EQ203" i="3"/>
  <c r="EE203" i="3"/>
  <c r="P208" i="21" s="1"/>
  <c r="CQ203" i="3"/>
  <c r="L206" i="9" s="1"/>
  <c r="EP203" i="3"/>
  <c r="ED203" i="3"/>
  <c r="M208" i="21" s="1"/>
  <c r="EO203" i="3"/>
  <c r="EC203" i="3"/>
  <c r="J208" i="21" s="1"/>
  <c r="EN203" i="3"/>
  <c r="AQ208" i="21" s="1"/>
  <c r="EB203" i="3"/>
  <c r="G208" i="21" s="1"/>
  <c r="EM203" i="3"/>
  <c r="AN208" i="21" s="1"/>
  <c r="EL203" i="3"/>
  <c r="AK208" i="21" s="1"/>
  <c r="EI203" i="3"/>
  <c r="AB208" i="21" s="1"/>
  <c r="CI203" i="3"/>
  <c r="EH203" i="3"/>
  <c r="Y208" i="21" s="1"/>
  <c r="CH203" i="3"/>
  <c r="ER203" i="3"/>
  <c r="G208" i="22" s="1"/>
  <c r="CK203" i="3"/>
  <c r="EK203" i="3"/>
  <c r="CJ203" i="3"/>
  <c r="EJ203" i="3"/>
  <c r="AE208" i="21" s="1"/>
  <c r="CG203" i="3"/>
  <c r="EF203" i="3"/>
  <c r="S208" i="21" s="1"/>
  <c r="EG203" i="3"/>
  <c r="V208" i="21" s="1"/>
  <c r="AG147" i="14"/>
  <c r="AL147" i="14"/>
  <c r="AM200" i="14"/>
  <c r="AH200" i="14"/>
  <c r="AH196" i="14"/>
  <c r="AM196" i="14"/>
  <c r="DM162" i="3"/>
  <c r="DL162" i="3"/>
  <c r="DK162" i="3"/>
  <c r="DJ162" i="3"/>
  <c r="K41" i="11"/>
  <c r="S41" i="11" s="1"/>
  <c r="K52" i="11"/>
  <c r="S52" i="11" s="1"/>
  <c r="K30" i="11"/>
  <c r="E219" i="9"/>
  <c r="M219" i="9" s="1"/>
  <c r="EJ208" i="2"/>
  <c r="AD221" i="21" s="1"/>
  <c r="CJ208" i="2"/>
  <c r="EI208" i="2"/>
  <c r="AA221" i="21" s="1"/>
  <c r="CI208" i="2"/>
  <c r="EH208" i="2"/>
  <c r="X221" i="21" s="1"/>
  <c r="CH208" i="2"/>
  <c r="EG208" i="2"/>
  <c r="U221" i="21" s="1"/>
  <c r="CG208" i="2"/>
  <c r="ER208" i="2"/>
  <c r="F221" i="22" s="1"/>
  <c r="EF208" i="2"/>
  <c r="R221" i="21" s="1"/>
  <c r="EQ208" i="2"/>
  <c r="EE208" i="2"/>
  <c r="O221" i="21" s="1"/>
  <c r="CQ208" i="2"/>
  <c r="K219" i="9" s="1"/>
  <c r="EO208" i="2"/>
  <c r="EC208" i="2"/>
  <c r="I221" i="21" s="1"/>
  <c r="EN208" i="2"/>
  <c r="AP221" i="21" s="1"/>
  <c r="EB208" i="2"/>
  <c r="F221" i="21" s="1"/>
  <c r="EM208" i="2"/>
  <c r="AM221" i="21" s="1"/>
  <c r="EL208" i="2"/>
  <c r="AJ221" i="21" s="1"/>
  <c r="EP208" i="2"/>
  <c r="EK208" i="2"/>
  <c r="ED208" i="2"/>
  <c r="L221" i="21" s="1"/>
  <c r="CK208" i="2"/>
  <c r="E73" i="9"/>
  <c r="CK74" i="2"/>
  <c r="EJ74" i="2"/>
  <c r="AD75" i="21" s="1"/>
  <c r="F75" i="20" s="1"/>
  <c r="CJ74" i="2"/>
  <c r="EI74" i="2"/>
  <c r="AA75" i="21" s="1"/>
  <c r="M75" i="20" s="1"/>
  <c r="CI74" i="2"/>
  <c r="EH74" i="2"/>
  <c r="X75" i="21" s="1"/>
  <c r="E75" i="20" s="1"/>
  <c r="CH74" i="2"/>
  <c r="EG74" i="2"/>
  <c r="U75" i="21" s="1"/>
  <c r="CG74" i="2"/>
  <c r="EQ74" i="2"/>
  <c r="EK74" i="2" s="1"/>
  <c r="EO74" i="2"/>
  <c r="EN74" i="2"/>
  <c r="AP75" i="21" s="1"/>
  <c r="G75" i="20" s="1"/>
  <c r="EM74" i="2"/>
  <c r="AM75" i="21" s="1"/>
  <c r="E172" i="9"/>
  <c r="EN172" i="2"/>
  <c r="AP174" i="21" s="1"/>
  <c r="EB172" i="2"/>
  <c r="F174" i="21" s="1"/>
  <c r="EM172" i="2"/>
  <c r="AM174" i="21" s="1"/>
  <c r="EL172" i="2"/>
  <c r="AJ174" i="21" s="1"/>
  <c r="EK172" i="2"/>
  <c r="CK172" i="2"/>
  <c r="EJ172" i="2"/>
  <c r="AD174" i="21" s="1"/>
  <c r="CJ172" i="2"/>
  <c r="EI172" i="2"/>
  <c r="AA174" i="21" s="1"/>
  <c r="CI172" i="2"/>
  <c r="EH172" i="2"/>
  <c r="X174" i="21" s="1"/>
  <c r="CH172" i="2"/>
  <c r="EG172" i="2"/>
  <c r="U174" i="21" s="1"/>
  <c r="CG172" i="2"/>
  <c r="ER172" i="2"/>
  <c r="F174" i="22" s="1"/>
  <c r="EF172" i="2"/>
  <c r="R174" i="21" s="1"/>
  <c r="EQ172" i="2"/>
  <c r="EE172" i="2"/>
  <c r="O174" i="21" s="1"/>
  <c r="CQ172" i="2"/>
  <c r="K172" i="9" s="1"/>
  <c r="EP172" i="2"/>
  <c r="EC172" i="2"/>
  <c r="I174" i="21" s="1"/>
  <c r="EO172" i="2"/>
  <c r="ED172" i="2"/>
  <c r="L174" i="21" s="1"/>
  <c r="AE151" i="5"/>
  <c r="AE149" i="5"/>
  <c r="AE76" i="5"/>
  <c r="AE104" i="5"/>
  <c r="AE131" i="5"/>
  <c r="AE73" i="5"/>
  <c r="AE87" i="5"/>
  <c r="AE143" i="5"/>
  <c r="AE62" i="5"/>
  <c r="AE58" i="5"/>
  <c r="AE119" i="5"/>
  <c r="J119" i="9" s="1"/>
  <c r="C124" i="14" s="1"/>
  <c r="AE86" i="5"/>
  <c r="AE181" i="5"/>
  <c r="J182" i="9" s="1"/>
  <c r="C187" i="14" s="1"/>
  <c r="AE177" i="5"/>
  <c r="AE182" i="5"/>
  <c r="AE69" i="5"/>
  <c r="AE125" i="5"/>
  <c r="J125" i="9" s="1"/>
  <c r="C130" i="14" s="1"/>
  <c r="AE77" i="5"/>
  <c r="F139" i="9"/>
  <c r="EK138" i="3"/>
  <c r="CK138" i="3"/>
  <c r="EJ138" i="3"/>
  <c r="AE141" i="21" s="1"/>
  <c r="CJ138" i="3"/>
  <c r="EI138" i="3"/>
  <c r="AB141" i="21" s="1"/>
  <c r="CI138" i="3"/>
  <c r="EH138" i="3"/>
  <c r="Y141" i="21" s="1"/>
  <c r="CH138" i="3"/>
  <c r="EM138" i="3"/>
  <c r="AN141" i="21" s="1"/>
  <c r="EQ138" i="3"/>
  <c r="EO138" i="3"/>
  <c r="EN138" i="3"/>
  <c r="AQ141" i="21" s="1"/>
  <c r="CG138" i="3"/>
  <c r="EG138" i="3"/>
  <c r="V141" i="21" s="1"/>
  <c r="AL163" i="14"/>
  <c r="AG163" i="14"/>
  <c r="E91" i="9"/>
  <c r="EG92" i="2"/>
  <c r="U93" i="21" s="1"/>
  <c r="EQ92" i="2"/>
  <c r="EO92" i="2"/>
  <c r="EN92" i="2"/>
  <c r="AP93" i="21" s="1"/>
  <c r="G93" i="20" s="1"/>
  <c r="CK92" i="2"/>
  <c r="CJ92" i="2"/>
  <c r="EK92" i="2"/>
  <c r="CI92" i="2"/>
  <c r="EH92" i="2"/>
  <c r="X93" i="21" s="1"/>
  <c r="E93" i="20" s="1"/>
  <c r="EJ92" i="2"/>
  <c r="AD93" i="21" s="1"/>
  <c r="F93" i="20" s="1"/>
  <c r="EI92" i="2"/>
  <c r="AA93" i="21" s="1"/>
  <c r="CH92" i="2"/>
  <c r="CG92" i="2"/>
  <c r="F148" i="9"/>
  <c r="EO147" i="3"/>
  <c r="EN147" i="3"/>
  <c r="AQ150" i="21" s="1"/>
  <c r="EJ147" i="3"/>
  <c r="AE150" i="21" s="1"/>
  <c r="CJ147" i="3"/>
  <c r="EH147" i="3"/>
  <c r="CH147" i="3"/>
  <c r="EQ147" i="3"/>
  <c r="ER147" i="3" s="1"/>
  <c r="CK147" i="3"/>
  <c r="CI147" i="3"/>
  <c r="EK147" i="3"/>
  <c r="EI147" i="3"/>
  <c r="AB150" i="21" s="1"/>
  <c r="CG147" i="3"/>
  <c r="EG147" i="3"/>
  <c r="V150" i="21" s="1"/>
  <c r="ER215" i="1"/>
  <c r="E97" i="9"/>
  <c r="EN98" i="2"/>
  <c r="AP99" i="21" s="1"/>
  <c r="EB98" i="2"/>
  <c r="F99" i="21" s="1"/>
  <c r="EM98" i="2"/>
  <c r="AM99" i="21" s="1"/>
  <c r="EL98" i="2"/>
  <c r="AJ99" i="21" s="1"/>
  <c r="EK98" i="2"/>
  <c r="CK98" i="2"/>
  <c r="EJ98" i="2"/>
  <c r="AD99" i="21" s="1"/>
  <c r="CJ98" i="2"/>
  <c r="EI98" i="2"/>
  <c r="AA99" i="21" s="1"/>
  <c r="CI98" i="2"/>
  <c r="EH98" i="2"/>
  <c r="X99" i="21" s="1"/>
  <c r="CH98" i="2"/>
  <c r="EG98" i="2"/>
  <c r="U99" i="21" s="1"/>
  <c r="CG98" i="2"/>
  <c r="ER98" i="2"/>
  <c r="F99" i="22" s="1"/>
  <c r="EF98" i="2"/>
  <c r="R99" i="21" s="1"/>
  <c r="EO98" i="2"/>
  <c r="EC98" i="2"/>
  <c r="I99" i="21" s="1"/>
  <c r="EQ98" i="2"/>
  <c r="EP98" i="2"/>
  <c r="EE98" i="2"/>
  <c r="O99" i="21" s="1"/>
  <c r="CQ98" i="2"/>
  <c r="K97" i="9" s="1"/>
  <c r="ED98" i="2"/>
  <c r="L99" i="21" s="1"/>
  <c r="EL200" i="1"/>
  <c r="AI202" i="21" s="1"/>
  <c r="DK153" i="3"/>
  <c r="DJ153" i="3"/>
  <c r="DL153" i="3"/>
  <c r="DM153" i="3"/>
  <c r="F59" i="9"/>
  <c r="EL59" i="3"/>
  <c r="AK61" i="21" s="1"/>
  <c r="CJ59" i="3"/>
  <c r="CI59" i="3"/>
  <c r="EJ59" i="3"/>
  <c r="AE61" i="21" s="1"/>
  <c r="CH59" i="3"/>
  <c r="EI59" i="3"/>
  <c r="CG59" i="3"/>
  <c r="EH59" i="3"/>
  <c r="Y61" i="21" s="1"/>
  <c r="EG59" i="3"/>
  <c r="V61" i="21" s="1"/>
  <c r="EO59" i="3"/>
  <c r="EQ59" i="3"/>
  <c r="EK59" i="3" s="1"/>
  <c r="EN59" i="3"/>
  <c r="AQ61" i="21" s="1"/>
  <c r="CK59" i="3"/>
  <c r="EM59" i="3"/>
  <c r="AN61" i="21" s="1"/>
  <c r="DO181" i="1"/>
  <c r="DN181" i="1"/>
  <c r="J96" i="9"/>
  <c r="C101" i="14" s="1"/>
  <c r="DM118" i="3"/>
  <c r="DL118" i="3"/>
  <c r="DK118" i="3"/>
  <c r="DJ118" i="3"/>
  <c r="N31" i="11"/>
  <c r="N42" i="11"/>
  <c r="V42" i="11" s="1"/>
  <c r="N53" i="11"/>
  <c r="V53" i="11" s="1"/>
  <c r="L178" i="22"/>
  <c r="EM37" i="1"/>
  <c r="AL38" i="21" s="1"/>
  <c r="E89" i="22"/>
  <c r="L89" i="22" s="1"/>
  <c r="EP88" i="1"/>
  <c r="L61" i="22"/>
  <c r="DM162" i="2"/>
  <c r="DL162" i="2"/>
  <c r="DK162" i="2"/>
  <c r="DJ162" i="2"/>
  <c r="F180" i="22"/>
  <c r="M180" i="22" s="1"/>
  <c r="EP178" i="2"/>
  <c r="T72" i="16"/>
  <c r="S72" i="16"/>
  <c r="H211" i="22"/>
  <c r="L211" i="22" s="1"/>
  <c r="AF211" i="21"/>
  <c r="F213" i="9"/>
  <c r="EQ209" i="3"/>
  <c r="EG209" i="3"/>
  <c r="V215" i="21" s="1"/>
  <c r="EO209" i="3"/>
  <c r="EN209" i="3"/>
  <c r="AQ215" i="21" s="1"/>
  <c r="EK209" i="3"/>
  <c r="CI209" i="3"/>
  <c r="EJ209" i="3"/>
  <c r="AE215" i="21" s="1"/>
  <c r="CH209" i="3"/>
  <c r="EI209" i="3"/>
  <c r="AB215" i="21" s="1"/>
  <c r="CG209" i="3"/>
  <c r="CK209" i="3"/>
  <c r="CJ209" i="3"/>
  <c r="EL209" i="3"/>
  <c r="AK215" i="21" s="1"/>
  <c r="EM209" i="3"/>
  <c r="AN215" i="21" s="1"/>
  <c r="EH209" i="3"/>
  <c r="Y215" i="21" s="1"/>
  <c r="F82" i="9"/>
  <c r="EJ82" i="3"/>
  <c r="AE84" i="21" s="1"/>
  <c r="CJ82" i="3"/>
  <c r="EI82" i="3"/>
  <c r="AB84" i="21" s="1"/>
  <c r="CI82" i="3"/>
  <c r="ER82" i="3"/>
  <c r="G84" i="22" s="1"/>
  <c r="EF82" i="3"/>
  <c r="S84" i="21" s="1"/>
  <c r="EH82" i="3"/>
  <c r="Y84" i="21" s="1"/>
  <c r="EE82" i="3"/>
  <c r="P84" i="21" s="1"/>
  <c r="CH82" i="3"/>
  <c r="ED82" i="3"/>
  <c r="M84" i="21" s="1"/>
  <c r="EP82" i="3"/>
  <c r="EN82" i="3"/>
  <c r="AQ84" i="21" s="1"/>
  <c r="EQ82" i="3"/>
  <c r="CQ82" i="3"/>
  <c r="L82" i="9" s="1"/>
  <c r="EO82" i="3"/>
  <c r="EM82" i="3"/>
  <c r="AN84" i="21" s="1"/>
  <c r="EL82" i="3"/>
  <c r="AK84" i="21" s="1"/>
  <c r="EG82" i="3"/>
  <c r="V84" i="21" s="1"/>
  <c r="CG82" i="3"/>
  <c r="EC82" i="3"/>
  <c r="J84" i="21" s="1"/>
  <c r="EK82" i="3"/>
  <c r="CK82" i="3"/>
  <c r="EB82" i="3"/>
  <c r="G84" i="21" s="1"/>
  <c r="AE165" i="5"/>
  <c r="J165" i="9" s="1"/>
  <c r="C170" i="14" s="1"/>
  <c r="F23" i="9"/>
  <c r="EI24" i="3"/>
  <c r="AB25" i="21" s="1"/>
  <c r="CI24" i="3"/>
  <c r="ER24" i="3"/>
  <c r="G25" i="22" s="1"/>
  <c r="EQ24" i="3"/>
  <c r="EP24" i="3"/>
  <c r="EO24" i="3"/>
  <c r="EM24" i="3"/>
  <c r="AN25" i="21" s="1"/>
  <c r="EJ24" i="3"/>
  <c r="AE25" i="21" s="1"/>
  <c r="EH24" i="3"/>
  <c r="Y25" i="21" s="1"/>
  <c r="EG24" i="3"/>
  <c r="V25" i="21" s="1"/>
  <c r="CK24" i="3"/>
  <c r="CJ24" i="3"/>
  <c r="CG24" i="3"/>
  <c r="EN24" i="3"/>
  <c r="AQ25" i="21" s="1"/>
  <c r="EL24" i="3"/>
  <c r="AK25" i="21" s="1"/>
  <c r="EK24" i="3"/>
  <c r="CH24" i="3"/>
  <c r="H218" i="22"/>
  <c r="AF218" i="21"/>
  <c r="AL164" i="14"/>
  <c r="AG164" i="14"/>
  <c r="U73" i="15"/>
  <c r="T73" i="15"/>
  <c r="F167" i="9"/>
  <c r="EJ165" i="3"/>
  <c r="AE169" i="21" s="1"/>
  <c r="CJ165" i="3"/>
  <c r="EI165" i="3"/>
  <c r="AB169" i="21" s="1"/>
  <c r="CI165" i="3"/>
  <c r="EH165" i="3"/>
  <c r="Y169" i="21" s="1"/>
  <c r="CH165" i="3"/>
  <c r="EG165" i="3"/>
  <c r="V169" i="21" s="1"/>
  <c r="CG165" i="3"/>
  <c r="ER165" i="3"/>
  <c r="G169" i="22" s="1"/>
  <c r="EF165" i="3"/>
  <c r="S169" i="21" s="1"/>
  <c r="EQ165" i="3"/>
  <c r="EE165" i="3"/>
  <c r="P169" i="21" s="1"/>
  <c r="CQ165" i="3"/>
  <c r="L167" i="9" s="1"/>
  <c r="EP165" i="3"/>
  <c r="ED165" i="3"/>
  <c r="M169" i="21" s="1"/>
  <c r="EN165" i="3"/>
  <c r="AQ169" i="21" s="1"/>
  <c r="EB165" i="3"/>
  <c r="G169" i="21" s="1"/>
  <c r="EK165" i="3"/>
  <c r="CK165" i="3"/>
  <c r="EL165" i="3"/>
  <c r="AK169" i="21" s="1"/>
  <c r="EC165" i="3"/>
  <c r="J169" i="21" s="1"/>
  <c r="EO165" i="3"/>
  <c r="EM165" i="3"/>
  <c r="AN169" i="21" s="1"/>
  <c r="AH70" i="14"/>
  <c r="AM70" i="14"/>
  <c r="E43" i="9"/>
  <c r="EO44" i="2"/>
  <c r="EC44" i="2"/>
  <c r="I45" i="21" s="1"/>
  <c r="EN44" i="2"/>
  <c r="AP45" i="21" s="1"/>
  <c r="EB44" i="2"/>
  <c r="F45" i="21" s="1"/>
  <c r="EM44" i="2"/>
  <c r="AM45" i="21" s="1"/>
  <c r="EK44" i="2"/>
  <c r="CK44" i="2"/>
  <c r="EG44" i="2"/>
  <c r="U45" i="21" s="1"/>
  <c r="CG44" i="2"/>
  <c r="EI44" i="2"/>
  <c r="AA45" i="21" s="1"/>
  <c r="EH44" i="2"/>
  <c r="X45" i="21" s="1"/>
  <c r="EF44" i="2"/>
  <c r="R45" i="21" s="1"/>
  <c r="CQ44" i="2"/>
  <c r="K43" i="9" s="1"/>
  <c r="EE44" i="2"/>
  <c r="O45" i="21" s="1"/>
  <c r="ED44" i="2"/>
  <c r="L45" i="21" s="1"/>
  <c r="CJ44" i="2"/>
  <c r="CI44" i="2"/>
  <c r="ER44" i="2"/>
  <c r="F45" i="22" s="1"/>
  <c r="CH44" i="2"/>
  <c r="EJ44" i="2"/>
  <c r="AD45" i="21" s="1"/>
  <c r="EL44" i="2"/>
  <c r="AJ45" i="21" s="1"/>
  <c r="EQ44" i="2"/>
  <c r="EP44" i="2"/>
  <c r="F215" i="9"/>
  <c r="EO211" i="3"/>
  <c r="CK211" i="3"/>
  <c r="EN211" i="3"/>
  <c r="AQ217" i="21" s="1"/>
  <c r="CJ211" i="3"/>
  <c r="CI211" i="3"/>
  <c r="EL211" i="3"/>
  <c r="AK217" i="21" s="1"/>
  <c r="CH211" i="3"/>
  <c r="CG211" i="3"/>
  <c r="EJ211" i="3"/>
  <c r="AE217" i="21" s="1"/>
  <c r="EG211" i="3"/>
  <c r="V217" i="21" s="1"/>
  <c r="EI211" i="3"/>
  <c r="AB217" i="21" s="1"/>
  <c r="EH211" i="3"/>
  <c r="Y217" i="21" s="1"/>
  <c r="EQ211" i="3"/>
  <c r="EK211" i="3" s="1"/>
  <c r="AN111" i="14"/>
  <c r="AI111" i="14"/>
  <c r="DK142" i="2"/>
  <c r="DJ142" i="2"/>
  <c r="DL142" i="2"/>
  <c r="DM142" i="2"/>
  <c r="E139" i="9"/>
  <c r="EJ139" i="2"/>
  <c r="AD141" i="21" s="1"/>
  <c r="F141" i="20" s="1"/>
  <c r="CJ139" i="2"/>
  <c r="EG139" i="2"/>
  <c r="U141" i="21" s="1"/>
  <c r="CG139" i="2"/>
  <c r="EH139" i="2"/>
  <c r="X141" i="21" s="1"/>
  <c r="CK139" i="2"/>
  <c r="CI139" i="2"/>
  <c r="EQ139" i="2"/>
  <c r="CH139" i="2"/>
  <c r="EO139" i="2"/>
  <c r="EN139" i="2"/>
  <c r="AP141" i="21" s="1"/>
  <c r="G141" i="20" s="1"/>
  <c r="EI139" i="2"/>
  <c r="AA141" i="21" s="1"/>
  <c r="M141" i="20" s="1"/>
  <c r="EL139" i="2"/>
  <c r="AJ141" i="21" s="1"/>
  <c r="EK139" i="2"/>
  <c r="AL182" i="14"/>
  <c r="AG182" i="14"/>
  <c r="AM203" i="14"/>
  <c r="AH203" i="14"/>
  <c r="DJ165" i="2"/>
  <c r="DM165" i="2"/>
  <c r="DL165" i="2"/>
  <c r="DK165" i="2"/>
  <c r="H165" i="22"/>
  <c r="L165" i="22" s="1"/>
  <c r="AF165" i="21"/>
  <c r="M11" i="22"/>
  <c r="EL37" i="1"/>
  <c r="AI38" i="21" s="1"/>
  <c r="DM157" i="3"/>
  <c r="DK157" i="3"/>
  <c r="DL157" i="3"/>
  <c r="DJ157" i="3"/>
  <c r="AL199" i="14"/>
  <c r="AG199" i="14"/>
  <c r="M19" i="11"/>
  <c r="O7" i="13"/>
  <c r="W7" i="13" s="1"/>
  <c r="C16" i="19" s="1"/>
  <c r="G232" i="21" s="1"/>
  <c r="EM153" i="1"/>
  <c r="AL154" i="21" s="1"/>
  <c r="ER153" i="1"/>
  <c r="EL214" i="1"/>
  <c r="AI217" i="21" s="1"/>
  <c r="DM119" i="2"/>
  <c r="DL119" i="2"/>
  <c r="DK119" i="2"/>
  <c r="DJ119" i="2"/>
  <c r="AN184" i="14"/>
  <c r="AI184" i="14"/>
  <c r="EL197" i="1"/>
  <c r="AI199" i="21" s="1"/>
  <c r="M193" i="9"/>
  <c r="AL214" i="14"/>
  <c r="AG214" i="14"/>
  <c r="F140" i="9"/>
  <c r="EK139" i="3"/>
  <c r="EJ139" i="3"/>
  <c r="AE142" i="21" s="1"/>
  <c r="CJ139" i="3"/>
  <c r="EI139" i="3"/>
  <c r="AB142" i="21" s="1"/>
  <c r="CI139" i="3"/>
  <c r="EH139" i="3"/>
  <c r="Y142" i="21" s="1"/>
  <c r="CH139" i="3"/>
  <c r="EG139" i="3"/>
  <c r="V142" i="21" s="1"/>
  <c r="CG139" i="3"/>
  <c r="EQ139" i="3"/>
  <c r="EE139" i="3"/>
  <c r="P142" i="21" s="1"/>
  <c r="CQ139" i="3"/>
  <c r="L140" i="9" s="1"/>
  <c r="EO139" i="3"/>
  <c r="EC139" i="3"/>
  <c r="J142" i="21" s="1"/>
  <c r="EL139" i="3"/>
  <c r="AK142" i="21" s="1"/>
  <c r="ER139" i="3"/>
  <c r="G142" i="22" s="1"/>
  <c r="EP139" i="3"/>
  <c r="EN139" i="3"/>
  <c r="AQ142" i="21" s="1"/>
  <c r="CK139" i="3"/>
  <c r="EM139" i="3"/>
  <c r="AN142" i="21" s="1"/>
  <c r="EF139" i="3"/>
  <c r="S142" i="21" s="1"/>
  <c r="ED139" i="3"/>
  <c r="M142" i="21" s="1"/>
  <c r="EB139" i="3"/>
  <c r="G142" i="21" s="1"/>
  <c r="ER34" i="1"/>
  <c r="AN201" i="14"/>
  <c r="AI201" i="14"/>
  <c r="EL60" i="1"/>
  <c r="AI61" i="21" s="1"/>
  <c r="AN129" i="14"/>
  <c r="AI129" i="14"/>
  <c r="AI199" i="14"/>
  <c r="AN199" i="14"/>
  <c r="DM160" i="3"/>
  <c r="DL160" i="3"/>
  <c r="DK160" i="3"/>
  <c r="DJ160" i="3"/>
  <c r="DM177" i="3"/>
  <c r="DL177" i="3"/>
  <c r="DK177" i="3"/>
  <c r="DJ177" i="3"/>
  <c r="EL140" i="1"/>
  <c r="AI141" i="21" s="1"/>
  <c r="E26" i="9"/>
  <c r="EH27" i="2"/>
  <c r="X28" i="21" s="1"/>
  <c r="CH27" i="2"/>
  <c r="EG27" i="2"/>
  <c r="U28" i="21" s="1"/>
  <c r="CG27" i="2"/>
  <c r="ER27" i="2"/>
  <c r="F28" i="22" s="1"/>
  <c r="EL27" i="2"/>
  <c r="AJ28" i="21" s="1"/>
  <c r="EJ27" i="2"/>
  <c r="AD28" i="21" s="1"/>
  <c r="F28" i="20" s="1"/>
  <c r="EI27" i="2"/>
  <c r="AA28" i="21" s="1"/>
  <c r="CK27" i="2"/>
  <c r="CJ27" i="2"/>
  <c r="EQ27" i="2"/>
  <c r="EK27" i="2" s="1"/>
  <c r="CI27" i="2"/>
  <c r="EO27" i="2"/>
  <c r="EN27" i="2"/>
  <c r="AP28" i="21" s="1"/>
  <c r="G28" i="20" s="1"/>
  <c r="EM27" i="2"/>
  <c r="AM28" i="21" s="1"/>
  <c r="E138" i="9"/>
  <c r="EK138" i="2"/>
  <c r="CK138" i="2"/>
  <c r="EH138" i="2"/>
  <c r="X140" i="21" s="1"/>
  <c r="E140" i="20" s="1"/>
  <c r="CH138" i="2"/>
  <c r="EL138" i="2"/>
  <c r="AJ140" i="21" s="1"/>
  <c r="EJ138" i="2"/>
  <c r="AD140" i="21" s="1"/>
  <c r="F140" i="20" s="1"/>
  <c r="EI138" i="2"/>
  <c r="AA140" i="21" s="1"/>
  <c r="M140" i="20" s="1"/>
  <c r="EG138" i="2"/>
  <c r="U140" i="21" s="1"/>
  <c r="ER138" i="2"/>
  <c r="F140" i="22" s="1"/>
  <c r="EQ138" i="2"/>
  <c r="CJ138" i="2"/>
  <c r="CI138" i="2"/>
  <c r="EM138" i="2"/>
  <c r="AM140" i="21" s="1"/>
  <c r="EO138" i="2"/>
  <c r="EN138" i="2"/>
  <c r="AP140" i="21" s="1"/>
  <c r="G140" i="20" s="1"/>
  <c r="CG138" i="2"/>
  <c r="DO159" i="1"/>
  <c r="DN159" i="1"/>
  <c r="DL46" i="3"/>
  <c r="DJ46" i="3"/>
  <c r="DK46" i="3"/>
  <c r="DM46" i="3"/>
  <c r="AN175" i="14"/>
  <c r="AI175" i="14"/>
  <c r="AL129" i="14"/>
  <c r="AG129" i="14"/>
  <c r="E221" i="9"/>
  <c r="EH210" i="2"/>
  <c r="X223" i="21" s="1"/>
  <c r="E223" i="20" s="1"/>
  <c r="CH210" i="2"/>
  <c r="EG210" i="2"/>
  <c r="U223" i="21" s="1"/>
  <c r="CG210" i="2"/>
  <c r="ER210" i="2"/>
  <c r="F223" i="22" s="1"/>
  <c r="EQ210" i="2"/>
  <c r="EK210" i="2" s="1"/>
  <c r="EO210" i="2"/>
  <c r="EL210" i="2"/>
  <c r="AJ223" i="21" s="1"/>
  <c r="N223" i="20" s="1"/>
  <c r="CK210" i="2"/>
  <c r="EJ210" i="2"/>
  <c r="AD223" i="21" s="1"/>
  <c r="F223" i="20" s="1"/>
  <c r="CJ210" i="2"/>
  <c r="EN210" i="2"/>
  <c r="AP223" i="21" s="1"/>
  <c r="EI210" i="2"/>
  <c r="AA223" i="21" s="1"/>
  <c r="M223" i="20" s="1"/>
  <c r="CI210" i="2"/>
  <c r="H6" i="22"/>
  <c r="AF6" i="21"/>
  <c r="F56" i="9"/>
  <c r="EK56" i="3"/>
  <c r="CK56" i="3"/>
  <c r="EJ56" i="3"/>
  <c r="AE58" i="21" s="1"/>
  <c r="CJ56" i="3"/>
  <c r="EI56" i="3"/>
  <c r="AB58" i="21" s="1"/>
  <c r="CI56" i="3"/>
  <c r="EH56" i="3"/>
  <c r="CH56" i="3"/>
  <c r="EG56" i="3"/>
  <c r="V58" i="21" s="1"/>
  <c r="CG56" i="3"/>
  <c r="EQ56" i="3"/>
  <c r="ER56" i="3"/>
  <c r="G58" i="22" s="1"/>
  <c r="EN56" i="3"/>
  <c r="AQ58" i="21" s="1"/>
  <c r="EO56" i="3"/>
  <c r="Q87" i="15"/>
  <c r="Q78" i="15"/>
  <c r="U76" i="15"/>
  <c r="Q81" i="15"/>
  <c r="Q86" i="15"/>
  <c r="Q77" i="15"/>
  <c r="Q79" i="15"/>
  <c r="Q82" i="15"/>
  <c r="T76" i="15"/>
  <c r="Q84" i="15"/>
  <c r="Q83" i="15"/>
  <c r="Q85" i="15"/>
  <c r="Q88" i="15"/>
  <c r="Q80" i="15"/>
  <c r="F54" i="9"/>
  <c r="EO54" i="3"/>
  <c r="EK54" i="3"/>
  <c r="CK54" i="3"/>
  <c r="EJ54" i="3"/>
  <c r="AE56" i="21" s="1"/>
  <c r="CJ54" i="3"/>
  <c r="EI54" i="3"/>
  <c r="AB56" i="21" s="1"/>
  <c r="CI54" i="3"/>
  <c r="EG54" i="3"/>
  <c r="V56" i="21" s="1"/>
  <c r="CG54" i="3"/>
  <c r="ER54" i="3"/>
  <c r="G56" i="22" s="1"/>
  <c r="EH54" i="3"/>
  <c r="Y56" i="21" s="1"/>
  <c r="CH54" i="3"/>
  <c r="EQ54" i="3"/>
  <c r="EN54" i="3"/>
  <c r="AQ56" i="21" s="1"/>
  <c r="DM174" i="2"/>
  <c r="DL174" i="2"/>
  <c r="DK174" i="2"/>
  <c r="DJ174" i="2"/>
  <c r="AM175" i="14"/>
  <c r="AH175" i="14"/>
  <c r="E49" i="9"/>
  <c r="EI50" i="2"/>
  <c r="AA51" i="21" s="1"/>
  <c r="CI50" i="2"/>
  <c r="EH50" i="2"/>
  <c r="X51" i="21" s="1"/>
  <c r="CH50" i="2"/>
  <c r="EG50" i="2"/>
  <c r="U51" i="21" s="1"/>
  <c r="CG50" i="2"/>
  <c r="EQ50" i="2"/>
  <c r="EO50" i="2"/>
  <c r="EN50" i="2"/>
  <c r="AP51" i="21" s="1"/>
  <c r="EL50" i="2"/>
  <c r="AJ51" i="21" s="1"/>
  <c r="CJ50" i="2"/>
  <c r="EK50" i="2"/>
  <c r="EJ50" i="2"/>
  <c r="AD51" i="21" s="1"/>
  <c r="CK50" i="2"/>
  <c r="DM203" i="2"/>
  <c r="DL203" i="2"/>
  <c r="DK203" i="2"/>
  <c r="DJ203" i="2"/>
  <c r="E155" i="9"/>
  <c r="EG155" i="2"/>
  <c r="U157" i="21" s="1"/>
  <c r="CG155" i="2"/>
  <c r="EQ155" i="2"/>
  <c r="EO155" i="2"/>
  <c r="EM155" i="2"/>
  <c r="AM157" i="21" s="1"/>
  <c r="EK155" i="2"/>
  <c r="CK155" i="2"/>
  <c r="CJ155" i="2"/>
  <c r="CI155" i="2"/>
  <c r="CH155" i="2"/>
  <c r="EN155" i="2"/>
  <c r="AP157" i="21" s="1"/>
  <c r="EH155" i="2"/>
  <c r="X157" i="21" s="1"/>
  <c r="EJ155" i="2"/>
  <c r="AD157" i="21" s="1"/>
  <c r="EI155" i="2"/>
  <c r="AA157" i="21" s="1"/>
  <c r="M157" i="20" s="1"/>
  <c r="AL217" i="14"/>
  <c r="AG217" i="14"/>
  <c r="E56" i="9"/>
  <c r="EM57" i="2"/>
  <c r="AM58" i="21" s="1"/>
  <c r="EL57" i="2"/>
  <c r="AJ58" i="21" s="1"/>
  <c r="EK57" i="2"/>
  <c r="CK57" i="2"/>
  <c r="EJ57" i="2"/>
  <c r="AD58" i="21" s="1"/>
  <c r="F58" i="20" s="1"/>
  <c r="CJ57" i="2"/>
  <c r="EI57" i="2"/>
  <c r="AA58" i="21" s="1"/>
  <c r="M58" i="20" s="1"/>
  <c r="CI57" i="2"/>
  <c r="EG57" i="2"/>
  <c r="U58" i="21" s="1"/>
  <c r="CG57" i="2"/>
  <c r="EQ57" i="2"/>
  <c r="EN57" i="2"/>
  <c r="AP58" i="21" s="1"/>
  <c r="G58" i="20" s="1"/>
  <c r="CH57" i="2"/>
  <c r="EH57" i="2"/>
  <c r="X58" i="21" s="1"/>
  <c r="EO57" i="2"/>
  <c r="AI178" i="14"/>
  <c r="AN178" i="14"/>
  <c r="E189" i="9"/>
  <c r="EO189" i="2"/>
  <c r="EC189" i="2"/>
  <c r="I191" i="21" s="1"/>
  <c r="EN189" i="2"/>
  <c r="AP191" i="21" s="1"/>
  <c r="EB189" i="2"/>
  <c r="F191" i="21" s="1"/>
  <c r="EG189" i="2"/>
  <c r="U191" i="21" s="1"/>
  <c r="CG189" i="2"/>
  <c r="EM189" i="2"/>
  <c r="AM191" i="21" s="1"/>
  <c r="EL189" i="2"/>
  <c r="AJ191" i="21" s="1"/>
  <c r="EK189" i="2"/>
  <c r="CK189" i="2"/>
  <c r="EJ189" i="2"/>
  <c r="AD191" i="21" s="1"/>
  <c r="CJ189" i="2"/>
  <c r="EI189" i="2"/>
  <c r="AA191" i="21" s="1"/>
  <c r="CI189" i="2"/>
  <c r="EH189" i="2"/>
  <c r="X191" i="21" s="1"/>
  <c r="CH189" i="2"/>
  <c r="EF189" i="2"/>
  <c r="R191" i="21" s="1"/>
  <c r="EE189" i="2"/>
  <c r="O191" i="21" s="1"/>
  <c r="ED189" i="2"/>
  <c r="L191" i="21" s="1"/>
  <c r="ER189" i="2"/>
  <c r="F191" i="22" s="1"/>
  <c r="EQ189" i="2"/>
  <c r="EP189" i="2"/>
  <c r="CQ189" i="2"/>
  <c r="K189" i="9" s="1"/>
  <c r="DO147" i="1"/>
  <c r="DN147" i="1"/>
  <c r="DO203" i="1"/>
  <c r="DN203" i="1"/>
  <c r="ER130" i="1"/>
  <c r="AG9" i="14"/>
  <c r="AL9" i="14"/>
  <c r="AF206" i="21"/>
  <c r="H206" i="22"/>
  <c r="L206" i="22" s="1"/>
  <c r="F97" i="22"/>
  <c r="M97" i="22" s="1"/>
  <c r="EP96" i="2"/>
  <c r="F35" i="9"/>
  <c r="EJ35" i="3"/>
  <c r="AE37" i="21" s="1"/>
  <c r="CJ35" i="3"/>
  <c r="EH35" i="3"/>
  <c r="Y37" i="21" s="1"/>
  <c r="CH35" i="3"/>
  <c r="EG35" i="3"/>
  <c r="V37" i="21" s="1"/>
  <c r="CG35" i="3"/>
  <c r="ER35" i="3"/>
  <c r="G37" i="22" s="1"/>
  <c r="EQ35" i="3"/>
  <c r="EN35" i="3"/>
  <c r="AQ37" i="21" s="1"/>
  <c r="EM35" i="3"/>
  <c r="AN37" i="21" s="1"/>
  <c r="CK35" i="3"/>
  <c r="CI35" i="3"/>
  <c r="EO35" i="3"/>
  <c r="EI35" i="3"/>
  <c r="AB37" i="21" s="1"/>
  <c r="EK35" i="3"/>
  <c r="EP35" i="3" s="1"/>
  <c r="T80" i="16"/>
  <c r="S80" i="16"/>
  <c r="DM188" i="3"/>
  <c r="DL188" i="3"/>
  <c r="DK188" i="3"/>
  <c r="DJ188" i="3"/>
  <c r="F173" i="9"/>
  <c r="EM171" i="3"/>
  <c r="AN175" i="21" s="1"/>
  <c r="EI171" i="3"/>
  <c r="AB175" i="21" s="1"/>
  <c r="EH171" i="3"/>
  <c r="Y175" i="21" s="1"/>
  <c r="CH171" i="3"/>
  <c r="EO171" i="3"/>
  <c r="EN171" i="3"/>
  <c r="AQ175" i="21" s="1"/>
  <c r="EL171" i="3"/>
  <c r="AK175" i="21" s="1"/>
  <c r="CQ171" i="3"/>
  <c r="L173" i="9" s="1"/>
  <c r="EK171" i="3"/>
  <c r="EJ171" i="3"/>
  <c r="AE175" i="21" s="1"/>
  <c r="EG171" i="3"/>
  <c r="V175" i="21" s="1"/>
  <c r="EF171" i="3"/>
  <c r="S175" i="21" s="1"/>
  <c r="ED171" i="3"/>
  <c r="M175" i="21" s="1"/>
  <c r="CJ171" i="3"/>
  <c r="EP171" i="3"/>
  <c r="EQ171" i="3"/>
  <c r="EE171" i="3"/>
  <c r="P175" i="21" s="1"/>
  <c r="EC171" i="3"/>
  <c r="J175" i="21" s="1"/>
  <c r="EB171" i="3"/>
  <c r="G175" i="21" s="1"/>
  <c r="CK171" i="3"/>
  <c r="CI171" i="3"/>
  <c r="CG171" i="3"/>
  <c r="ER171" i="3"/>
  <c r="G175" i="22" s="1"/>
  <c r="AN200" i="14"/>
  <c r="AI200" i="14"/>
  <c r="DO160" i="1"/>
  <c r="DN160" i="1"/>
  <c r="AM186" i="14"/>
  <c r="AH186" i="14"/>
  <c r="DM203" i="3"/>
  <c r="DJ203" i="3"/>
  <c r="DL203" i="3"/>
  <c r="DK203" i="3"/>
  <c r="J16" i="9"/>
  <c r="C21" i="14" s="1"/>
  <c r="E209" i="22"/>
  <c r="L209" i="22" s="1"/>
  <c r="EP207" i="1"/>
  <c r="G138" i="22"/>
  <c r="N138" i="22" s="1"/>
  <c r="EP135" i="3"/>
  <c r="E35" i="9"/>
  <c r="EK36" i="2"/>
  <c r="CK36" i="2"/>
  <c r="EJ36" i="2"/>
  <c r="AD37" i="21" s="1"/>
  <c r="CJ36" i="2"/>
  <c r="EI36" i="2"/>
  <c r="AA37" i="21" s="1"/>
  <c r="M37" i="20" s="1"/>
  <c r="CI36" i="2"/>
  <c r="EG36" i="2"/>
  <c r="U37" i="21" s="1"/>
  <c r="CG36" i="2"/>
  <c r="EO36" i="2"/>
  <c r="EQ36" i="2"/>
  <c r="ER36" i="2" s="1"/>
  <c r="CH36" i="2"/>
  <c r="EN36" i="2"/>
  <c r="AP37" i="21" s="1"/>
  <c r="G37" i="20" s="1"/>
  <c r="EL36" i="2"/>
  <c r="AJ37" i="21" s="1"/>
  <c r="EH36" i="2"/>
  <c r="X37" i="21" s="1"/>
  <c r="J140" i="9"/>
  <c r="C145" i="14" s="1"/>
  <c r="E65" i="9"/>
  <c r="EG66" i="2"/>
  <c r="U67" i="21" s="1"/>
  <c r="CG66" i="2"/>
  <c r="ER66" i="2"/>
  <c r="F67" i="22" s="1"/>
  <c r="EF66" i="2"/>
  <c r="R67" i="21" s="1"/>
  <c r="EQ66" i="2"/>
  <c r="EE66" i="2"/>
  <c r="O67" i="21" s="1"/>
  <c r="CQ66" i="2"/>
  <c r="K65" i="9" s="1"/>
  <c r="EP66" i="2"/>
  <c r="ED66" i="2"/>
  <c r="L67" i="21" s="1"/>
  <c r="EO66" i="2"/>
  <c r="EC66" i="2"/>
  <c r="I67" i="21" s="1"/>
  <c r="EN66" i="2"/>
  <c r="AP67" i="21" s="1"/>
  <c r="EB66" i="2"/>
  <c r="F67" i="21" s="1"/>
  <c r="EM66" i="2"/>
  <c r="AM67" i="21" s="1"/>
  <c r="EL66" i="2"/>
  <c r="AJ67" i="21" s="1"/>
  <c r="EK66" i="2"/>
  <c r="CK66" i="2"/>
  <c r="EH66" i="2"/>
  <c r="X67" i="21" s="1"/>
  <c r="CH66" i="2"/>
  <c r="EJ66" i="2"/>
  <c r="AD67" i="21" s="1"/>
  <c r="EI66" i="2"/>
  <c r="AA67" i="21" s="1"/>
  <c r="CJ66" i="2"/>
  <c r="CI66" i="2"/>
  <c r="AL87" i="14"/>
  <c r="AG87" i="14"/>
  <c r="E201" i="9"/>
  <c r="EQ201" i="2"/>
  <c r="ER201" i="2" s="1"/>
  <c r="EO201" i="2"/>
  <c r="EN201" i="2"/>
  <c r="AP203" i="21" s="1"/>
  <c r="G203" i="20" s="1"/>
  <c r="EM201" i="2"/>
  <c r="AM203" i="21" s="1"/>
  <c r="EL201" i="2"/>
  <c r="AJ203" i="21" s="1"/>
  <c r="EI201" i="2"/>
  <c r="AA203" i="21" s="1"/>
  <c r="CI201" i="2"/>
  <c r="EH201" i="2"/>
  <c r="X203" i="21" s="1"/>
  <c r="E203" i="20" s="1"/>
  <c r="CH201" i="2"/>
  <c r="EG201" i="2"/>
  <c r="U203" i="21" s="1"/>
  <c r="CG201" i="2"/>
  <c r="EK201" i="2"/>
  <c r="EJ201" i="2"/>
  <c r="AD203" i="21" s="1"/>
  <c r="F203" i="20" s="1"/>
  <c r="CK201" i="2"/>
  <c r="CJ201" i="2"/>
  <c r="L177" i="22"/>
  <c r="E69" i="22"/>
  <c r="L69" i="22" s="1"/>
  <c r="EP68" i="1"/>
  <c r="F197" i="9"/>
  <c r="EN194" i="3"/>
  <c r="AQ199" i="21" s="1"/>
  <c r="EL194" i="3"/>
  <c r="AK199" i="21" s="1"/>
  <c r="CK194" i="3"/>
  <c r="EJ194" i="3"/>
  <c r="AE199" i="21" s="1"/>
  <c r="CJ194" i="3"/>
  <c r="EI194" i="3"/>
  <c r="CI194" i="3"/>
  <c r="EQ194" i="3"/>
  <c r="EK194" i="3" s="1"/>
  <c r="EO194" i="3"/>
  <c r="EG194" i="3"/>
  <c r="V199" i="21" s="1"/>
  <c r="CG194" i="3"/>
  <c r="EH194" i="3"/>
  <c r="Y199" i="21" s="1"/>
  <c r="CH194" i="3"/>
  <c r="F111" i="9"/>
  <c r="EJ111" i="3"/>
  <c r="AE113" i="21" s="1"/>
  <c r="CJ111" i="3"/>
  <c r="EI111" i="3"/>
  <c r="AB113" i="21" s="1"/>
  <c r="CI111" i="3"/>
  <c r="EH111" i="3"/>
  <c r="Y113" i="21" s="1"/>
  <c r="CH111" i="3"/>
  <c r="EG111" i="3"/>
  <c r="V113" i="21" s="1"/>
  <c r="CG111" i="3"/>
  <c r="ER111" i="3"/>
  <c r="G113" i="22" s="1"/>
  <c r="EF111" i="3"/>
  <c r="S113" i="21" s="1"/>
  <c r="EQ111" i="3"/>
  <c r="EE111" i="3"/>
  <c r="P113" i="21" s="1"/>
  <c r="CQ111" i="3"/>
  <c r="L111" i="9" s="1"/>
  <c r="EP111" i="3"/>
  <c r="ED111" i="3"/>
  <c r="M113" i="21" s="1"/>
  <c r="EN111" i="3"/>
  <c r="AQ113" i="21" s="1"/>
  <c r="EB111" i="3"/>
  <c r="G113" i="21" s="1"/>
  <c r="EM111" i="3"/>
  <c r="AN113" i="21" s="1"/>
  <c r="CK111" i="3"/>
  <c r="EO111" i="3"/>
  <c r="EC111" i="3"/>
  <c r="J113" i="21" s="1"/>
  <c r="EL111" i="3"/>
  <c r="AK113" i="21" s="1"/>
  <c r="EK111" i="3"/>
  <c r="ER134" i="1"/>
  <c r="F134" i="9"/>
  <c r="EQ133" i="3"/>
  <c r="EO133" i="3"/>
  <c r="EN133" i="3"/>
  <c r="AQ136" i="21" s="1"/>
  <c r="EL133" i="3"/>
  <c r="AK136" i="21" s="1"/>
  <c r="EG133" i="3"/>
  <c r="V136" i="21" s="1"/>
  <c r="CG133" i="3"/>
  <c r="EM133" i="3"/>
  <c r="AN136" i="21" s="1"/>
  <c r="EK133" i="3"/>
  <c r="EJ133" i="3"/>
  <c r="AE136" i="21" s="1"/>
  <c r="EI133" i="3"/>
  <c r="AB136" i="21" s="1"/>
  <c r="CK133" i="3"/>
  <c r="EH133" i="3"/>
  <c r="Y136" i="21" s="1"/>
  <c r="CJ133" i="3"/>
  <c r="CI133" i="3"/>
  <c r="CH133" i="3"/>
  <c r="DK208" i="2"/>
  <c r="DJ208" i="2"/>
  <c r="DM208" i="2"/>
  <c r="DL208" i="2"/>
  <c r="G53" i="22"/>
  <c r="N53" i="22" s="1"/>
  <c r="C53" i="22" s="1"/>
  <c r="EP51" i="3"/>
  <c r="DM172" i="2"/>
  <c r="DL172" i="2"/>
  <c r="DK172" i="2"/>
  <c r="DJ172" i="2"/>
  <c r="AE169" i="5"/>
  <c r="J169" i="9" s="1"/>
  <c r="C174" i="14" s="1"/>
  <c r="AE172" i="5"/>
  <c r="J172" i="9" s="1"/>
  <c r="C177" i="14" s="1"/>
  <c r="AE196" i="5"/>
  <c r="AE57" i="5"/>
  <c r="AE103" i="5"/>
  <c r="AE217" i="5"/>
  <c r="J219" i="9" s="1"/>
  <c r="C224" i="14" s="1"/>
  <c r="AE159" i="5"/>
  <c r="J159" i="9" s="1"/>
  <c r="C164" i="14" s="1"/>
  <c r="AE3" i="5"/>
  <c r="J3" i="9" s="1"/>
  <c r="C8" i="14" s="1"/>
  <c r="AE19" i="5"/>
  <c r="AE166" i="5"/>
  <c r="J166" i="9" s="1"/>
  <c r="C171" i="14" s="1"/>
  <c r="AE132" i="5"/>
  <c r="AE120" i="5"/>
  <c r="J120" i="9" s="1"/>
  <c r="C125" i="14" s="1"/>
  <c r="AE189" i="5"/>
  <c r="J190" i="9" s="1"/>
  <c r="C195" i="14" s="1"/>
  <c r="AE191" i="5"/>
  <c r="J192" i="9" s="1"/>
  <c r="C197" i="14" s="1"/>
  <c r="AE114" i="5"/>
  <c r="AE89" i="5"/>
  <c r="AE194" i="5"/>
  <c r="J195" i="9" s="1"/>
  <c r="C200" i="14" s="1"/>
  <c r="AE111" i="5"/>
  <c r="J111" i="9" s="1"/>
  <c r="C116" i="14" s="1"/>
  <c r="DO173" i="1"/>
  <c r="DN173" i="1"/>
  <c r="AM84" i="14"/>
  <c r="AH84" i="14"/>
  <c r="E191" i="9"/>
  <c r="M191" i="9" s="1"/>
  <c r="EM191" i="2"/>
  <c r="AM193" i="21" s="1"/>
  <c r="EL191" i="2"/>
  <c r="AJ193" i="21" s="1"/>
  <c r="EG191" i="2"/>
  <c r="U193" i="21" s="1"/>
  <c r="CG191" i="2"/>
  <c r="ER191" i="2"/>
  <c r="F193" i="22" s="1"/>
  <c r="EF191" i="2"/>
  <c r="R193" i="21" s="1"/>
  <c r="EQ191" i="2"/>
  <c r="EE191" i="2"/>
  <c r="O193" i="21" s="1"/>
  <c r="CQ191" i="2"/>
  <c r="K191" i="9" s="1"/>
  <c r="EP191" i="2"/>
  <c r="CI191" i="2"/>
  <c r="EO191" i="2"/>
  <c r="CH191" i="2"/>
  <c r="EN191" i="2"/>
  <c r="AP193" i="21" s="1"/>
  <c r="EK191" i="2"/>
  <c r="EJ191" i="2"/>
  <c r="AD193" i="21" s="1"/>
  <c r="EI191" i="2"/>
  <c r="AA193" i="21" s="1"/>
  <c r="EH191" i="2"/>
  <c r="X193" i="21" s="1"/>
  <c r="ED191" i="2"/>
  <c r="L193" i="21" s="1"/>
  <c r="EC191" i="2"/>
  <c r="I193" i="21" s="1"/>
  <c r="EB191" i="2"/>
  <c r="F193" i="21" s="1"/>
  <c r="CJ191" i="2"/>
  <c r="CK191" i="2"/>
  <c r="F188" i="9"/>
  <c r="CK185" i="3"/>
  <c r="EI185" i="3"/>
  <c r="AB190" i="21" s="1"/>
  <c r="CI185" i="3"/>
  <c r="EH185" i="3"/>
  <c r="Y190" i="21" s="1"/>
  <c r="CH185" i="3"/>
  <c r="EG185" i="3"/>
  <c r="V190" i="21" s="1"/>
  <c r="CG185" i="3"/>
  <c r="ER185" i="3"/>
  <c r="G190" i="22" s="1"/>
  <c r="EO185" i="3"/>
  <c r="CJ185" i="3"/>
  <c r="EQ185" i="3"/>
  <c r="EK185" i="3" s="1"/>
  <c r="EN185" i="3"/>
  <c r="AQ190" i="21" s="1"/>
  <c r="EM185" i="3"/>
  <c r="AN190" i="21" s="1"/>
  <c r="EJ185" i="3"/>
  <c r="AE190" i="21" s="1"/>
  <c r="EL185" i="3"/>
  <c r="AK190" i="21" s="1"/>
  <c r="E149" i="9"/>
  <c r="EL149" i="2"/>
  <c r="AJ151" i="21" s="1"/>
  <c r="N151" i="20" s="1"/>
  <c r="EJ149" i="2"/>
  <c r="AD151" i="21" s="1"/>
  <c r="F151" i="20" s="1"/>
  <c r="CJ149" i="2"/>
  <c r="EG149" i="2"/>
  <c r="U151" i="21" s="1"/>
  <c r="CG149" i="2"/>
  <c r="EQ149" i="2"/>
  <c r="EK149" i="2" s="1"/>
  <c r="EH149" i="2"/>
  <c r="X151" i="21" s="1"/>
  <c r="E151" i="20" s="1"/>
  <c r="CK149" i="2"/>
  <c r="CI149" i="2"/>
  <c r="CH149" i="2"/>
  <c r="EO149" i="2"/>
  <c r="EI149" i="2"/>
  <c r="AA151" i="21" s="1"/>
  <c r="EN149" i="2"/>
  <c r="AP151" i="21" s="1"/>
  <c r="DM98" i="2"/>
  <c r="DL98" i="2"/>
  <c r="DK98" i="2"/>
  <c r="DJ98" i="2"/>
  <c r="DN112" i="1"/>
  <c r="DO112" i="1"/>
  <c r="E41" i="9"/>
  <c r="EQ42" i="2"/>
  <c r="ER42" i="2" s="1"/>
  <c r="EO42" i="2"/>
  <c r="EM42" i="2"/>
  <c r="AM43" i="21" s="1"/>
  <c r="EI42" i="2"/>
  <c r="AA43" i="21" s="1"/>
  <c r="CI42" i="2"/>
  <c r="EL42" i="2"/>
  <c r="AJ43" i="21" s="1"/>
  <c r="CH42" i="2"/>
  <c r="EK42" i="2"/>
  <c r="CG42" i="2"/>
  <c r="EJ42" i="2"/>
  <c r="AD43" i="21" s="1"/>
  <c r="EH42" i="2"/>
  <c r="X43" i="21" s="1"/>
  <c r="EG42" i="2"/>
  <c r="U43" i="21" s="1"/>
  <c r="EN42" i="2"/>
  <c r="AP43" i="21" s="1"/>
  <c r="CJ42" i="2"/>
  <c r="CK42" i="2"/>
  <c r="J110" i="9"/>
  <c r="C115" i="14" s="1"/>
  <c r="E99" i="9"/>
  <c r="CK100" i="2"/>
  <c r="EJ100" i="2"/>
  <c r="AD101" i="21" s="1"/>
  <c r="CJ100" i="2"/>
  <c r="EI100" i="2"/>
  <c r="AA101" i="21" s="1"/>
  <c r="CI100" i="2"/>
  <c r="EH100" i="2"/>
  <c r="X101" i="21" s="1"/>
  <c r="CH100" i="2"/>
  <c r="EG100" i="2"/>
  <c r="U101" i="21" s="1"/>
  <c r="CG100" i="2"/>
  <c r="EQ100" i="2"/>
  <c r="EK100" i="2" s="1"/>
  <c r="EN100" i="2"/>
  <c r="AP101" i="21" s="1"/>
  <c r="EO100" i="2"/>
  <c r="F127" i="9"/>
  <c r="EJ127" i="3"/>
  <c r="AE129" i="21" s="1"/>
  <c r="CJ127" i="3"/>
  <c r="EM127" i="3"/>
  <c r="AN129" i="21" s="1"/>
  <c r="EK127" i="3"/>
  <c r="EI127" i="3"/>
  <c r="CK127" i="3"/>
  <c r="EH127" i="3"/>
  <c r="Y129" i="21" s="1"/>
  <c r="CI127" i="3"/>
  <c r="EG127" i="3"/>
  <c r="V129" i="21" s="1"/>
  <c r="CH127" i="3"/>
  <c r="CG127" i="3"/>
  <c r="EQ127" i="3"/>
  <c r="EO127" i="3"/>
  <c r="EN127" i="3"/>
  <c r="AQ129" i="21" s="1"/>
  <c r="F187" i="9"/>
  <c r="EL184" i="3"/>
  <c r="AK189" i="21" s="1"/>
  <c r="EJ184" i="3"/>
  <c r="AE189" i="21" s="1"/>
  <c r="CJ184" i="3"/>
  <c r="EI184" i="3"/>
  <c r="AB189" i="21" s="1"/>
  <c r="CI184" i="3"/>
  <c r="EH184" i="3"/>
  <c r="Y189" i="21" s="1"/>
  <c r="CH184" i="3"/>
  <c r="EG184" i="3"/>
  <c r="V189" i="21" s="1"/>
  <c r="CG184" i="3"/>
  <c r="EP184" i="3"/>
  <c r="ED184" i="3"/>
  <c r="M189" i="21" s="1"/>
  <c r="ER184" i="3"/>
  <c r="G189" i="22" s="1"/>
  <c r="EQ184" i="3"/>
  <c r="EO184" i="3"/>
  <c r="EN184" i="3"/>
  <c r="AQ189" i="21" s="1"/>
  <c r="EM184" i="3"/>
  <c r="AN189" i="21" s="1"/>
  <c r="EF184" i="3"/>
  <c r="S189" i="21" s="1"/>
  <c r="EB184" i="3"/>
  <c r="G189" i="21" s="1"/>
  <c r="CK184" i="3"/>
  <c r="EK184" i="3"/>
  <c r="EC184" i="3"/>
  <c r="J189" i="21" s="1"/>
  <c r="CQ184" i="3"/>
  <c r="L187" i="9" s="1"/>
  <c r="EE184" i="3"/>
  <c r="P189" i="21" s="1"/>
  <c r="E173" i="9"/>
  <c r="M173" i="9" s="1"/>
  <c r="EM173" i="2"/>
  <c r="AM175" i="21" s="1"/>
  <c r="EL173" i="2"/>
  <c r="AJ175" i="21" s="1"/>
  <c r="EK173" i="2"/>
  <c r="CK173" i="2"/>
  <c r="EJ173" i="2"/>
  <c r="AD175" i="21" s="1"/>
  <c r="CJ173" i="2"/>
  <c r="EI173" i="2"/>
  <c r="AA175" i="21" s="1"/>
  <c r="CI173" i="2"/>
  <c r="EH173" i="2"/>
  <c r="X175" i="21" s="1"/>
  <c r="CH173" i="2"/>
  <c r="EG173" i="2"/>
  <c r="U175" i="21" s="1"/>
  <c r="CG173" i="2"/>
  <c r="ER173" i="2"/>
  <c r="F175" i="22" s="1"/>
  <c r="EF173" i="2"/>
  <c r="R175" i="21" s="1"/>
  <c r="EQ173" i="2"/>
  <c r="EE173" i="2"/>
  <c r="O175" i="21" s="1"/>
  <c r="CQ173" i="2"/>
  <c r="K173" i="9" s="1"/>
  <c r="EP173" i="2"/>
  <c r="ED173" i="2"/>
  <c r="L175" i="21" s="1"/>
  <c r="EO173" i="2"/>
  <c r="EN173" i="2"/>
  <c r="AP175" i="21" s="1"/>
  <c r="EC173" i="2"/>
  <c r="I175" i="21" s="1"/>
  <c r="EB173" i="2"/>
  <c r="F175" i="21" s="1"/>
  <c r="N38" i="22"/>
  <c r="C38" i="22" s="1"/>
  <c r="E101" i="22"/>
  <c r="L101" i="22" s="1"/>
  <c r="EP100" i="1"/>
  <c r="F112" i="9"/>
  <c r="EI112" i="3"/>
  <c r="AB114" i="21" s="1"/>
  <c r="CI112" i="3"/>
  <c r="EH112" i="3"/>
  <c r="Y114" i="21" s="1"/>
  <c r="CH112" i="3"/>
  <c r="EG112" i="3"/>
  <c r="V114" i="21" s="1"/>
  <c r="CG112" i="3"/>
  <c r="ER112" i="3"/>
  <c r="EQ112" i="3"/>
  <c r="EK112" i="3" s="1"/>
  <c r="EO112" i="3"/>
  <c r="EM112" i="3"/>
  <c r="AN114" i="21" s="1"/>
  <c r="CK112" i="3"/>
  <c r="CJ112" i="3"/>
  <c r="EN112" i="3"/>
  <c r="AQ114" i="21" s="1"/>
  <c r="EJ112" i="3"/>
  <c r="AE114" i="21" s="1"/>
  <c r="AL201" i="14"/>
  <c r="AG201" i="14"/>
  <c r="F114" i="9"/>
  <c r="ER114" i="3"/>
  <c r="EQ114" i="3"/>
  <c r="EO114" i="3"/>
  <c r="EN114" i="3"/>
  <c r="AQ116" i="21" s="1"/>
  <c r="EL114" i="3"/>
  <c r="AK116" i="21" s="1"/>
  <c r="EJ114" i="3"/>
  <c r="AE116" i="21" s="1"/>
  <c r="CJ114" i="3"/>
  <c r="EI114" i="3"/>
  <c r="AB116" i="21" s="1"/>
  <c r="CI114" i="3"/>
  <c r="EK114" i="3"/>
  <c r="EH114" i="3"/>
  <c r="Y116" i="21" s="1"/>
  <c r="CK114" i="3"/>
  <c r="CH114" i="3"/>
  <c r="CG114" i="3"/>
  <c r="EG114" i="3"/>
  <c r="V116" i="21" s="1"/>
  <c r="DM124" i="3"/>
  <c r="DL124" i="3"/>
  <c r="DK124" i="3"/>
  <c r="DJ124" i="3"/>
  <c r="E215" i="9"/>
  <c r="EL205" i="2"/>
  <c r="AJ217" i="21" s="1"/>
  <c r="N217" i="20" s="1"/>
  <c r="EK205" i="2"/>
  <c r="CK205" i="2"/>
  <c r="EJ205" i="2"/>
  <c r="AD217" i="21" s="1"/>
  <c r="F217" i="20" s="1"/>
  <c r="CJ205" i="2"/>
  <c r="EI205" i="2"/>
  <c r="CI205" i="2"/>
  <c r="EH205" i="2"/>
  <c r="X217" i="21" s="1"/>
  <c r="E217" i="20" s="1"/>
  <c r="CH205" i="2"/>
  <c r="EQ205" i="2"/>
  <c r="EO205" i="2"/>
  <c r="EN205" i="2"/>
  <c r="AP217" i="21" s="1"/>
  <c r="G217" i="20" s="1"/>
  <c r="EG205" i="2"/>
  <c r="U217" i="21" s="1"/>
  <c r="CG205" i="2"/>
  <c r="AE130" i="5"/>
  <c r="J130" i="9" s="1"/>
  <c r="C135" i="14" s="1"/>
  <c r="E165" i="9"/>
  <c r="EI165" i="2"/>
  <c r="AA167" i="21" s="1"/>
  <c r="CI165" i="2"/>
  <c r="EH165" i="2"/>
  <c r="X167" i="21" s="1"/>
  <c r="CH165" i="2"/>
  <c r="EG165" i="2"/>
  <c r="U167" i="21" s="1"/>
  <c r="CG165" i="2"/>
  <c r="ER165" i="2"/>
  <c r="F167" i="22" s="1"/>
  <c r="EF165" i="2"/>
  <c r="R167" i="21" s="1"/>
  <c r="EQ165" i="2"/>
  <c r="EE165" i="2"/>
  <c r="O167" i="21" s="1"/>
  <c r="CQ165" i="2"/>
  <c r="K165" i="9" s="1"/>
  <c r="EP165" i="2"/>
  <c r="ED165" i="2"/>
  <c r="L167" i="21" s="1"/>
  <c r="EO165" i="2"/>
  <c r="EC165" i="2"/>
  <c r="I167" i="21" s="1"/>
  <c r="EN165" i="2"/>
  <c r="AP167" i="21" s="1"/>
  <c r="EB165" i="2"/>
  <c r="F167" i="21" s="1"/>
  <c r="EM165" i="2"/>
  <c r="AM167" i="21" s="1"/>
  <c r="EL165" i="2"/>
  <c r="AJ167" i="21" s="1"/>
  <c r="EK165" i="2"/>
  <c r="EJ165" i="2"/>
  <c r="AD167" i="21" s="1"/>
  <c r="CK165" i="2"/>
  <c r="CJ165" i="2"/>
  <c r="AL208" i="14"/>
  <c r="AG208" i="14"/>
  <c r="AG145" i="14"/>
  <c r="AL145" i="14"/>
  <c r="AL171" i="14"/>
  <c r="AG171" i="14"/>
  <c r="F153" i="9"/>
  <c r="EK152" i="3"/>
  <c r="CK152" i="3"/>
  <c r="EJ152" i="3"/>
  <c r="AE155" i="21" s="1"/>
  <c r="CJ152" i="3"/>
  <c r="EI152" i="3"/>
  <c r="AB155" i="21" s="1"/>
  <c r="CI152" i="3"/>
  <c r="EH152" i="3"/>
  <c r="Y155" i="21" s="1"/>
  <c r="CH152" i="3"/>
  <c r="EG152" i="3"/>
  <c r="V155" i="21" s="1"/>
  <c r="CG152" i="3"/>
  <c r="ER152" i="3"/>
  <c r="G155" i="22" s="1"/>
  <c r="EF152" i="3"/>
  <c r="S155" i="21" s="1"/>
  <c r="EQ152" i="3"/>
  <c r="EE152" i="3"/>
  <c r="P155" i="21" s="1"/>
  <c r="CQ152" i="3"/>
  <c r="L153" i="9" s="1"/>
  <c r="EO152" i="3"/>
  <c r="EC152" i="3"/>
  <c r="J155" i="21" s="1"/>
  <c r="EL152" i="3"/>
  <c r="AK155" i="21" s="1"/>
  <c r="EB152" i="3"/>
  <c r="G155" i="21" s="1"/>
  <c r="EP152" i="3"/>
  <c r="EN152" i="3"/>
  <c r="AQ155" i="21" s="1"/>
  <c r="EM152" i="3"/>
  <c r="AN155" i="21" s="1"/>
  <c r="ED152" i="3"/>
  <c r="M155" i="21" s="1"/>
  <c r="AL175" i="14"/>
  <c r="AG175" i="14"/>
  <c r="AL194" i="14"/>
  <c r="AG194" i="14"/>
  <c r="DO194" i="1"/>
  <c r="DN194" i="1"/>
  <c r="S82" i="16"/>
  <c r="P89" i="16"/>
  <c r="P93" i="16"/>
  <c r="P88" i="16"/>
  <c r="P83" i="16"/>
  <c r="T82" i="16"/>
  <c r="P90" i="16"/>
  <c r="P87" i="16"/>
  <c r="P86" i="16"/>
  <c r="P94" i="16"/>
  <c r="P92" i="16"/>
  <c r="P91" i="16"/>
  <c r="P85" i="16"/>
  <c r="P84" i="16"/>
  <c r="F4" i="9"/>
  <c r="EP5" i="3"/>
  <c r="ED5" i="3"/>
  <c r="M6" i="21" s="1"/>
  <c r="EO5" i="3"/>
  <c r="EC5" i="3"/>
  <c r="J6" i="21" s="1"/>
  <c r="EN5" i="3"/>
  <c r="AQ6" i="21" s="1"/>
  <c r="EB5" i="3"/>
  <c r="G6" i="21" s="1"/>
  <c r="EM5" i="3"/>
  <c r="AN6" i="21" s="1"/>
  <c r="EL5" i="3"/>
  <c r="AK6" i="21" s="1"/>
  <c r="EK5" i="3"/>
  <c r="CK5" i="3"/>
  <c r="EI5" i="3"/>
  <c r="AB6" i="21" s="1"/>
  <c r="CI5" i="3"/>
  <c r="EH5" i="3"/>
  <c r="Y6" i="21" s="1"/>
  <c r="CH5" i="3"/>
  <c r="EG5" i="3"/>
  <c r="V6" i="21" s="1"/>
  <c r="CG5" i="3"/>
  <c r="ER5" i="3"/>
  <c r="G6" i="22" s="1"/>
  <c r="EF5" i="3"/>
  <c r="S6" i="21" s="1"/>
  <c r="EQ5" i="3"/>
  <c r="EJ5" i="3"/>
  <c r="AE6" i="21" s="1"/>
  <c r="CQ5" i="3"/>
  <c r="L4" i="9" s="1"/>
  <c r="EE5" i="3"/>
  <c r="P6" i="21" s="1"/>
  <c r="CJ5" i="3"/>
  <c r="AG168" i="14"/>
  <c r="AL168" i="14"/>
  <c r="E72" i="9"/>
  <c r="CK73" i="2"/>
  <c r="EJ73" i="2"/>
  <c r="AD74" i="21" s="1"/>
  <c r="CJ73" i="2"/>
  <c r="EI73" i="2"/>
  <c r="AA74" i="21" s="1"/>
  <c r="CI73" i="2"/>
  <c r="EH73" i="2"/>
  <c r="CH73" i="2"/>
  <c r="EG73" i="2"/>
  <c r="U74" i="21" s="1"/>
  <c r="CG73" i="2"/>
  <c r="EQ73" i="2"/>
  <c r="ER73" i="2" s="1"/>
  <c r="EM73" i="2"/>
  <c r="AM74" i="21" s="1"/>
  <c r="EO73" i="2"/>
  <c r="EN73" i="2"/>
  <c r="AP74" i="21" s="1"/>
  <c r="E53" i="9"/>
  <c r="EQ54" i="2"/>
  <c r="EK54" i="2" s="1"/>
  <c r="EO54" i="2"/>
  <c r="EN54" i="2"/>
  <c r="AP55" i="21" s="1"/>
  <c r="G55" i="20" s="1"/>
  <c r="CK54" i="2"/>
  <c r="EJ54" i="2"/>
  <c r="AD55" i="21" s="1"/>
  <c r="CJ54" i="2"/>
  <c r="EI54" i="2"/>
  <c r="AA55" i="21" s="1"/>
  <c r="M55" i="20" s="1"/>
  <c r="CI54" i="2"/>
  <c r="ER54" i="2"/>
  <c r="EH54" i="2"/>
  <c r="X55" i="21" s="1"/>
  <c r="E55" i="20" s="1"/>
  <c r="EG54" i="2"/>
  <c r="U55" i="21" s="1"/>
  <c r="CH54" i="2"/>
  <c r="CG54" i="2"/>
  <c r="C115" i="22"/>
  <c r="AM230" i="14"/>
  <c r="AH230" i="14"/>
  <c r="G14" i="22"/>
  <c r="N14" i="22" s="1"/>
  <c r="EP13" i="3"/>
  <c r="E83" i="9"/>
  <c r="CK84" i="2"/>
  <c r="EJ84" i="2"/>
  <c r="AD85" i="21" s="1"/>
  <c r="CJ84" i="2"/>
  <c r="EI84" i="2"/>
  <c r="AA85" i="21" s="1"/>
  <c r="CI84" i="2"/>
  <c r="EH84" i="2"/>
  <c r="CH84" i="2"/>
  <c r="EG84" i="2"/>
  <c r="U85" i="21" s="1"/>
  <c r="CG84" i="2"/>
  <c r="EQ84" i="2"/>
  <c r="EK84" i="2" s="1"/>
  <c r="EN84" i="2"/>
  <c r="AP85" i="21" s="1"/>
  <c r="EO84" i="2"/>
  <c r="EL153" i="1"/>
  <c r="AI154" i="21" s="1"/>
  <c r="AL230" i="14"/>
  <c r="AG230" i="14"/>
  <c r="E75" i="9"/>
  <c r="EI76" i="2"/>
  <c r="AA77" i="21" s="1"/>
  <c r="CI76" i="2"/>
  <c r="EH76" i="2"/>
  <c r="X77" i="21" s="1"/>
  <c r="CH76" i="2"/>
  <c r="EG76" i="2"/>
  <c r="U77" i="21" s="1"/>
  <c r="CG76" i="2"/>
  <c r="ER76" i="2"/>
  <c r="F77" i="22" s="1"/>
  <c r="EQ76" i="2"/>
  <c r="EP76" i="2"/>
  <c r="EO76" i="2"/>
  <c r="EN76" i="2"/>
  <c r="AP77" i="21" s="1"/>
  <c r="G77" i="20" s="1"/>
  <c r="EM76" i="2"/>
  <c r="AM77" i="21" s="1"/>
  <c r="EJ76" i="2"/>
  <c r="AD77" i="21" s="1"/>
  <c r="CJ76" i="2"/>
  <c r="CK76" i="2"/>
  <c r="EL76" i="2"/>
  <c r="AJ77" i="21" s="1"/>
  <c r="EK76" i="2"/>
  <c r="E59" i="9"/>
  <c r="CJ60" i="2"/>
  <c r="CI60" i="2"/>
  <c r="EJ60" i="2"/>
  <c r="AD61" i="21" s="1"/>
  <c r="F61" i="20" s="1"/>
  <c r="CH60" i="2"/>
  <c r="EI60" i="2"/>
  <c r="AA61" i="21" s="1"/>
  <c r="CG60" i="2"/>
  <c r="EH60" i="2"/>
  <c r="X61" i="21" s="1"/>
  <c r="E61" i="20" s="1"/>
  <c r="EG60" i="2"/>
  <c r="U61" i="21" s="1"/>
  <c r="EQ60" i="2"/>
  <c r="EK60" i="2" s="1"/>
  <c r="EM60" i="2"/>
  <c r="AM61" i="21" s="1"/>
  <c r="CK60" i="2"/>
  <c r="EO60" i="2"/>
  <c r="EN60" i="2"/>
  <c r="AP61" i="21" s="1"/>
  <c r="AN173" i="14"/>
  <c r="AI173" i="14"/>
  <c r="E106" i="9"/>
  <c r="EQ107" i="2"/>
  <c r="EE107" i="2"/>
  <c r="O108" i="21" s="1"/>
  <c r="CQ107" i="2"/>
  <c r="K106" i="9" s="1"/>
  <c r="EP107" i="2"/>
  <c r="ED107" i="2"/>
  <c r="L108" i="21" s="1"/>
  <c r="EO107" i="2"/>
  <c r="EC107" i="2"/>
  <c r="I108" i="21" s="1"/>
  <c r="EN107" i="2"/>
  <c r="AP108" i="21" s="1"/>
  <c r="EB107" i="2"/>
  <c r="F108" i="21" s="1"/>
  <c r="EM107" i="2"/>
  <c r="AM108" i="21" s="1"/>
  <c r="EL107" i="2"/>
  <c r="AJ108" i="21" s="1"/>
  <c r="EK107" i="2"/>
  <c r="CK107" i="2"/>
  <c r="EJ107" i="2"/>
  <c r="AD108" i="21" s="1"/>
  <c r="CJ107" i="2"/>
  <c r="EI107" i="2"/>
  <c r="AA108" i="21" s="1"/>
  <c r="CI107" i="2"/>
  <c r="ER107" i="2"/>
  <c r="F108" i="22" s="1"/>
  <c r="EF107" i="2"/>
  <c r="R108" i="21" s="1"/>
  <c r="EH107" i="2"/>
  <c r="X108" i="21" s="1"/>
  <c r="EG107" i="2"/>
  <c r="U108" i="21" s="1"/>
  <c r="CH107" i="2"/>
  <c r="CG107" i="2"/>
  <c r="E147" i="22"/>
  <c r="L147" i="22" s="1"/>
  <c r="EP146" i="1"/>
  <c r="ER188" i="1"/>
  <c r="EM214" i="1"/>
  <c r="AL217" i="21" s="1"/>
  <c r="ER214" i="1"/>
  <c r="E103" i="22"/>
  <c r="L103" i="22" s="1"/>
  <c r="EP102" i="1"/>
  <c r="E187" i="9"/>
  <c r="EQ187" i="2"/>
  <c r="EE187" i="2"/>
  <c r="O189" i="21" s="1"/>
  <c r="CQ187" i="2"/>
  <c r="K187" i="9" s="1"/>
  <c r="EP187" i="2"/>
  <c r="ED187" i="2"/>
  <c r="L189" i="21" s="1"/>
  <c r="EI187" i="2"/>
  <c r="AA189" i="21" s="1"/>
  <c r="CI187" i="2"/>
  <c r="EJ187" i="2"/>
  <c r="AD189" i="21" s="1"/>
  <c r="EH187" i="2"/>
  <c r="X189" i="21" s="1"/>
  <c r="EG187" i="2"/>
  <c r="U189" i="21" s="1"/>
  <c r="EF187" i="2"/>
  <c r="R189" i="21" s="1"/>
  <c r="CK187" i="2"/>
  <c r="EC187" i="2"/>
  <c r="I189" i="21" s="1"/>
  <c r="CJ187" i="2"/>
  <c r="EB187" i="2"/>
  <c r="F189" i="21" s="1"/>
  <c r="CH187" i="2"/>
  <c r="ER187" i="2"/>
  <c r="F189" i="22" s="1"/>
  <c r="CG187" i="2"/>
  <c r="EO187" i="2"/>
  <c r="EN187" i="2"/>
  <c r="AP189" i="21" s="1"/>
  <c r="EM187" i="2"/>
  <c r="AM189" i="21" s="1"/>
  <c r="EK187" i="2"/>
  <c r="EL187" i="2"/>
  <c r="AJ189" i="21" s="1"/>
  <c r="EM197" i="1"/>
  <c r="AL199" i="21" s="1"/>
  <c r="EL124" i="1"/>
  <c r="AI125" i="21" s="1"/>
  <c r="AN182" i="14"/>
  <c r="AI182" i="14"/>
  <c r="AL203" i="14"/>
  <c r="AG203" i="14"/>
  <c r="DL139" i="3"/>
  <c r="DK139" i="3"/>
  <c r="DJ139" i="3"/>
  <c r="DM139" i="3"/>
  <c r="EM60" i="1"/>
  <c r="AL61" i="21" s="1"/>
  <c r="L21" i="11"/>
  <c r="N9" i="13"/>
  <c r="V9" i="13" s="1"/>
  <c r="C11" i="19" s="1"/>
  <c r="F233" i="21" s="1"/>
  <c r="H233" i="20" s="1"/>
  <c r="DO119" i="1"/>
  <c r="DN119" i="1"/>
  <c r="EM99" i="1"/>
  <c r="AL100" i="21" s="1"/>
  <c r="F160" i="9"/>
  <c r="EP159" i="3"/>
  <c r="ED159" i="3"/>
  <c r="M162" i="21" s="1"/>
  <c r="EO159" i="3"/>
  <c r="EC159" i="3"/>
  <c r="J162" i="21" s="1"/>
  <c r="EN159" i="3"/>
  <c r="AQ162" i="21" s="1"/>
  <c r="EB159" i="3"/>
  <c r="G162" i="21" s="1"/>
  <c r="EM159" i="3"/>
  <c r="AN162" i="21" s="1"/>
  <c r="EL159" i="3"/>
  <c r="AK162" i="21" s="1"/>
  <c r="EK159" i="3"/>
  <c r="CK159" i="3"/>
  <c r="EJ159" i="3"/>
  <c r="AE162" i="21" s="1"/>
  <c r="CJ159" i="3"/>
  <c r="EH159" i="3"/>
  <c r="Y162" i="21" s="1"/>
  <c r="CH159" i="3"/>
  <c r="EQ159" i="3"/>
  <c r="EE159" i="3"/>
  <c r="P162" i="21" s="1"/>
  <c r="CQ159" i="3"/>
  <c r="L160" i="9" s="1"/>
  <c r="ER159" i="3"/>
  <c r="G162" i="22" s="1"/>
  <c r="EI159" i="3"/>
  <c r="AB162" i="21" s="1"/>
  <c r="EG159" i="3"/>
  <c r="V162" i="21" s="1"/>
  <c r="CI159" i="3"/>
  <c r="CG159" i="3"/>
  <c r="EF159" i="3"/>
  <c r="S162" i="21" s="1"/>
  <c r="F198" i="9"/>
  <c r="EM195" i="3"/>
  <c r="AN200" i="21" s="1"/>
  <c r="EK195" i="3"/>
  <c r="CK195" i="3"/>
  <c r="EJ195" i="3"/>
  <c r="AE200" i="21" s="1"/>
  <c r="CJ195" i="3"/>
  <c r="EI195" i="3"/>
  <c r="AB200" i="21" s="1"/>
  <c r="CI195" i="3"/>
  <c r="EH195" i="3"/>
  <c r="Y200" i="21" s="1"/>
  <c r="CH195" i="3"/>
  <c r="EQ195" i="3"/>
  <c r="EE195" i="3"/>
  <c r="P200" i="21" s="1"/>
  <c r="CQ195" i="3"/>
  <c r="L198" i="9" s="1"/>
  <c r="EP195" i="3"/>
  <c r="ED195" i="3"/>
  <c r="M200" i="21" s="1"/>
  <c r="EO195" i="3"/>
  <c r="EN195" i="3"/>
  <c r="AQ200" i="21" s="1"/>
  <c r="EL195" i="3"/>
  <c r="AK200" i="21" s="1"/>
  <c r="EG195" i="3"/>
  <c r="V200" i="21" s="1"/>
  <c r="EF195" i="3"/>
  <c r="S200" i="21" s="1"/>
  <c r="EC195" i="3"/>
  <c r="J200" i="21" s="1"/>
  <c r="EB195" i="3"/>
  <c r="G200" i="21" s="1"/>
  <c r="CG195" i="3"/>
  <c r="ER195" i="3"/>
  <c r="G200" i="22" s="1"/>
  <c r="E3" i="9"/>
  <c r="ER4" i="2"/>
  <c r="F5" i="22" s="1"/>
  <c r="EF4" i="2"/>
  <c r="R5" i="21" s="1"/>
  <c r="EQ4" i="2"/>
  <c r="EE4" i="2"/>
  <c r="O5" i="21" s="1"/>
  <c r="CQ4" i="2"/>
  <c r="K3" i="9" s="1"/>
  <c r="EP4" i="2"/>
  <c r="ED4" i="2"/>
  <c r="L5" i="21" s="1"/>
  <c r="EO4" i="2"/>
  <c r="EC4" i="2"/>
  <c r="I5" i="21" s="1"/>
  <c r="EN4" i="2"/>
  <c r="AP5" i="21" s="1"/>
  <c r="EB4" i="2"/>
  <c r="F5" i="21" s="1"/>
  <c r="EM4" i="2"/>
  <c r="AM5" i="21" s="1"/>
  <c r="EL4" i="2"/>
  <c r="AJ5" i="21" s="1"/>
  <c r="EK4" i="2"/>
  <c r="CK4" i="2"/>
  <c r="EG4" i="2"/>
  <c r="U5" i="21" s="1"/>
  <c r="CG4" i="2"/>
  <c r="CJ4" i="2"/>
  <c r="CI4" i="2"/>
  <c r="CH4" i="2"/>
  <c r="EJ4" i="2"/>
  <c r="AD5" i="21" s="1"/>
  <c r="EI4" i="2"/>
  <c r="AA5" i="21" s="1"/>
  <c r="EH4" i="2"/>
  <c r="X5" i="21" s="1"/>
  <c r="EM139" i="1"/>
  <c r="AL140" i="21" s="1"/>
  <c r="AN125" i="14"/>
  <c r="AI125" i="14"/>
  <c r="F126" i="9"/>
  <c r="CK126" i="3"/>
  <c r="EN126" i="3"/>
  <c r="AQ128" i="21" s="1"/>
  <c r="EJ126" i="3"/>
  <c r="AE128" i="21" s="1"/>
  <c r="EI126" i="3"/>
  <c r="AB128" i="21" s="1"/>
  <c r="EH126" i="3"/>
  <c r="Y128" i="21" s="1"/>
  <c r="EG126" i="3"/>
  <c r="V128" i="21" s="1"/>
  <c r="CJ126" i="3"/>
  <c r="EQ126" i="3"/>
  <c r="EK126" i="3" s="1"/>
  <c r="CH126" i="3"/>
  <c r="CG126" i="3"/>
  <c r="ER126" i="3"/>
  <c r="G128" i="22" s="1"/>
  <c r="EO126" i="3"/>
  <c r="EM126" i="3"/>
  <c r="AN128" i="21" s="1"/>
  <c r="CI126" i="3"/>
  <c r="AG48" i="14"/>
  <c r="AL48" i="14"/>
  <c r="E223" i="22"/>
  <c r="L223" i="22" s="1"/>
  <c r="EP220" i="1"/>
  <c r="C33" i="8"/>
  <c r="F192" i="9"/>
  <c r="EG189" i="3"/>
  <c r="V194" i="21" s="1"/>
  <c r="CG189" i="3"/>
  <c r="EQ189" i="3"/>
  <c r="EE189" i="3"/>
  <c r="P194" i="21" s="1"/>
  <c r="CQ189" i="3"/>
  <c r="L192" i="9" s="1"/>
  <c r="EP189" i="3"/>
  <c r="ED189" i="3"/>
  <c r="M194" i="21" s="1"/>
  <c r="EO189" i="3"/>
  <c r="EC189" i="3"/>
  <c r="J194" i="21" s="1"/>
  <c r="EN189" i="3"/>
  <c r="AQ194" i="21" s="1"/>
  <c r="EB189" i="3"/>
  <c r="G194" i="21" s="1"/>
  <c r="EK189" i="3"/>
  <c r="CK189" i="3"/>
  <c r="ER189" i="3"/>
  <c r="G194" i="22" s="1"/>
  <c r="EM189" i="3"/>
  <c r="AN194" i="21" s="1"/>
  <c r="EL189" i="3"/>
  <c r="AK194" i="21" s="1"/>
  <c r="EI189" i="3"/>
  <c r="AB194" i="21" s="1"/>
  <c r="CH189" i="3"/>
  <c r="EJ189" i="3"/>
  <c r="AE194" i="21" s="1"/>
  <c r="EH189" i="3"/>
  <c r="Y194" i="21" s="1"/>
  <c r="EF189" i="3"/>
  <c r="S194" i="21" s="1"/>
  <c r="CJ189" i="3"/>
  <c r="CI189" i="3"/>
  <c r="F7" i="9"/>
  <c r="EK8" i="3"/>
  <c r="CK8" i="3"/>
  <c r="EJ8" i="3"/>
  <c r="AE9" i="21" s="1"/>
  <c r="CJ8" i="3"/>
  <c r="EI8" i="3"/>
  <c r="AB9" i="21" s="1"/>
  <c r="CI8" i="3"/>
  <c r="EH8" i="3"/>
  <c r="Y9" i="21" s="1"/>
  <c r="CH8" i="3"/>
  <c r="ER8" i="3"/>
  <c r="EQ8" i="3"/>
  <c r="EO8" i="3"/>
  <c r="EN8" i="3"/>
  <c r="AQ9" i="21" s="1"/>
  <c r="EG8" i="3"/>
  <c r="V9" i="21" s="1"/>
  <c r="CG8" i="3"/>
  <c r="T71" i="15"/>
  <c r="U71" i="15"/>
  <c r="E92" i="22"/>
  <c r="L92" i="22" s="1"/>
  <c r="EP91" i="1"/>
  <c r="E11" i="9"/>
  <c r="EK12" i="2"/>
  <c r="CK12" i="2"/>
  <c r="EO12" i="2"/>
  <c r="CJ12" i="2"/>
  <c r="EN12" i="2"/>
  <c r="AP13" i="21" s="1"/>
  <c r="G13" i="20" s="1"/>
  <c r="CI12" i="2"/>
  <c r="EM12" i="2"/>
  <c r="AM13" i="21" s="1"/>
  <c r="CH12" i="2"/>
  <c r="EL12" i="2"/>
  <c r="AJ13" i="21" s="1"/>
  <c r="CG12" i="2"/>
  <c r="EJ12" i="2"/>
  <c r="AD13" i="21" s="1"/>
  <c r="F13" i="20" s="1"/>
  <c r="EI12" i="2"/>
  <c r="AA13" i="21" s="1"/>
  <c r="EH12" i="2"/>
  <c r="X13" i="21" s="1"/>
  <c r="E13" i="20" s="1"/>
  <c r="EG12" i="2"/>
  <c r="U13" i="21" s="1"/>
  <c r="EQ12" i="2"/>
  <c r="E46" i="9"/>
  <c r="EL47" i="2"/>
  <c r="AJ48" i="21" s="1"/>
  <c r="EK47" i="2"/>
  <c r="CK47" i="2"/>
  <c r="EJ47" i="2"/>
  <c r="AD48" i="21" s="1"/>
  <c r="CJ47" i="2"/>
  <c r="EH47" i="2"/>
  <c r="X48" i="21" s="1"/>
  <c r="CH47" i="2"/>
  <c r="ER47" i="2"/>
  <c r="F48" i="22" s="1"/>
  <c r="EF47" i="2"/>
  <c r="R48" i="21" s="1"/>
  <c r="EP47" i="2"/>
  <c r="ED47" i="2"/>
  <c r="L48" i="21" s="1"/>
  <c r="EI47" i="2"/>
  <c r="AA48" i="21" s="1"/>
  <c r="EG47" i="2"/>
  <c r="U48" i="21" s="1"/>
  <c r="EE47" i="2"/>
  <c r="O48" i="21" s="1"/>
  <c r="EC47" i="2"/>
  <c r="I48" i="21" s="1"/>
  <c r="CI47" i="2"/>
  <c r="EB47" i="2"/>
  <c r="F48" i="21" s="1"/>
  <c r="CG47" i="2"/>
  <c r="EM47" i="2"/>
  <c r="AM48" i="21" s="1"/>
  <c r="CQ47" i="2"/>
  <c r="K46" i="9" s="1"/>
  <c r="EQ47" i="2"/>
  <c r="EN47" i="2"/>
  <c r="AP48" i="21" s="1"/>
  <c r="EO47" i="2"/>
  <c r="E105" i="9"/>
  <c r="EQ106" i="2"/>
  <c r="ER106" i="2" s="1"/>
  <c r="F107" i="22" s="1"/>
  <c r="EO106" i="2"/>
  <c r="EN106" i="2"/>
  <c r="AP107" i="21" s="1"/>
  <c r="EM106" i="2"/>
  <c r="AM107" i="21" s="1"/>
  <c r="EL106" i="2"/>
  <c r="AJ107" i="21" s="1"/>
  <c r="CK106" i="2"/>
  <c r="EJ106" i="2"/>
  <c r="AD107" i="21" s="1"/>
  <c r="CJ106" i="2"/>
  <c r="EG106" i="2"/>
  <c r="U107" i="21" s="1"/>
  <c r="CG106" i="2"/>
  <c r="CI106" i="2"/>
  <c r="EI106" i="2"/>
  <c r="AA107" i="21" s="1"/>
  <c r="CH106" i="2"/>
  <c r="EH106" i="2"/>
  <c r="X107" i="21" s="1"/>
  <c r="AM168" i="14"/>
  <c r="AH168" i="14"/>
  <c r="E135" i="9"/>
  <c r="EN135" i="2"/>
  <c r="AP137" i="21" s="1"/>
  <c r="EB135" i="2"/>
  <c r="F137" i="21" s="1"/>
  <c r="EK135" i="2"/>
  <c r="CK135" i="2"/>
  <c r="EM135" i="2"/>
  <c r="AM137" i="21" s="1"/>
  <c r="EL135" i="2"/>
  <c r="AJ137" i="21" s="1"/>
  <c r="EJ135" i="2"/>
  <c r="AD137" i="21" s="1"/>
  <c r="CQ135" i="2"/>
  <c r="K135" i="9" s="1"/>
  <c r="EI135" i="2"/>
  <c r="AA137" i="21" s="1"/>
  <c r="EH135" i="2"/>
  <c r="X137" i="21" s="1"/>
  <c r="EG135" i="2"/>
  <c r="U137" i="21" s="1"/>
  <c r="EF135" i="2"/>
  <c r="R137" i="21" s="1"/>
  <c r="EE135" i="2"/>
  <c r="O137" i="21" s="1"/>
  <c r="CJ135" i="2"/>
  <c r="ER135" i="2"/>
  <c r="F137" i="22" s="1"/>
  <c r="ED135" i="2"/>
  <c r="L137" i="21" s="1"/>
  <c r="CI135" i="2"/>
  <c r="EO135" i="2"/>
  <c r="EQ135" i="2"/>
  <c r="EP135" i="2"/>
  <c r="EC135" i="2"/>
  <c r="I137" i="21" s="1"/>
  <c r="CH135" i="2"/>
  <c r="CG135" i="2"/>
  <c r="EP213" i="1"/>
  <c r="F157" i="9"/>
  <c r="EG156" i="3"/>
  <c r="V159" i="21" s="1"/>
  <c r="CG156" i="3"/>
  <c r="ER156" i="3"/>
  <c r="G159" i="22" s="1"/>
  <c r="EF156" i="3"/>
  <c r="S159" i="21" s="1"/>
  <c r="EQ156" i="3"/>
  <c r="EE156" i="3"/>
  <c r="P159" i="21" s="1"/>
  <c r="CQ156" i="3"/>
  <c r="L157" i="9" s="1"/>
  <c r="EP156" i="3"/>
  <c r="ED156" i="3"/>
  <c r="M159" i="21" s="1"/>
  <c r="EO156" i="3"/>
  <c r="EC156" i="3"/>
  <c r="J159" i="21" s="1"/>
  <c r="EN156" i="3"/>
  <c r="AQ159" i="21" s="1"/>
  <c r="EB156" i="3"/>
  <c r="G159" i="21" s="1"/>
  <c r="EM156" i="3"/>
  <c r="AN159" i="21" s="1"/>
  <c r="EK156" i="3"/>
  <c r="CK156" i="3"/>
  <c r="EH156" i="3"/>
  <c r="Y159" i="21" s="1"/>
  <c r="CH156" i="3"/>
  <c r="EL156" i="3"/>
  <c r="AK159" i="21" s="1"/>
  <c r="EJ156" i="3"/>
  <c r="AE159" i="21" s="1"/>
  <c r="EI156" i="3"/>
  <c r="AB159" i="21" s="1"/>
  <c r="CI156" i="3"/>
  <c r="CJ156" i="3"/>
  <c r="DM189" i="2"/>
  <c r="DL189" i="2"/>
  <c r="DK189" i="2"/>
  <c r="DJ189" i="2"/>
  <c r="F120" i="9"/>
  <c r="ER120" i="3"/>
  <c r="G122" i="22" s="1"/>
  <c r="EF120" i="3"/>
  <c r="S122" i="21" s="1"/>
  <c r="EI120" i="3"/>
  <c r="AB122" i="21" s="1"/>
  <c r="CQ120" i="3"/>
  <c r="L120" i="9" s="1"/>
  <c r="EH120" i="3"/>
  <c r="Y122" i="21" s="1"/>
  <c r="EG120" i="3"/>
  <c r="V122" i="21" s="1"/>
  <c r="EE120" i="3"/>
  <c r="P122" i="21" s="1"/>
  <c r="EQ120" i="3"/>
  <c r="ED120" i="3"/>
  <c r="M122" i="21" s="1"/>
  <c r="EP120" i="3"/>
  <c r="EC120" i="3"/>
  <c r="J122" i="21" s="1"/>
  <c r="EO120" i="3"/>
  <c r="EB120" i="3"/>
  <c r="G122" i="21" s="1"/>
  <c r="CK120" i="3"/>
  <c r="EM120" i="3"/>
  <c r="AN122" i="21" s="1"/>
  <c r="CI120" i="3"/>
  <c r="EL120" i="3"/>
  <c r="AK122" i="21" s="1"/>
  <c r="CH120" i="3"/>
  <c r="EN120" i="3"/>
  <c r="AQ122" i="21" s="1"/>
  <c r="EK120" i="3"/>
  <c r="CG120" i="3"/>
  <c r="EJ120" i="3"/>
  <c r="AE122" i="21" s="1"/>
  <c r="CJ120" i="3"/>
  <c r="H114" i="22"/>
  <c r="AF114" i="21"/>
  <c r="T81" i="16"/>
  <c r="S81" i="16"/>
  <c r="DJ171" i="3"/>
  <c r="DK171" i="3"/>
  <c r="DL171" i="3"/>
  <c r="DM171" i="3"/>
  <c r="G103" i="22"/>
  <c r="N103" i="22" s="1"/>
  <c r="EP101" i="3"/>
  <c r="F150" i="9"/>
  <c r="EN149" i="3"/>
  <c r="AQ152" i="21" s="1"/>
  <c r="EM149" i="3"/>
  <c r="AN152" i="21" s="1"/>
  <c r="EL149" i="3"/>
  <c r="AK152" i="21" s="1"/>
  <c r="CK149" i="3"/>
  <c r="EJ149" i="3"/>
  <c r="AE152" i="21" s="1"/>
  <c r="CJ149" i="3"/>
  <c r="EH149" i="3"/>
  <c r="Y152" i="21" s="1"/>
  <c r="CH149" i="3"/>
  <c r="ER149" i="3"/>
  <c r="G152" i="22" s="1"/>
  <c r="EO149" i="3"/>
  <c r="CI149" i="3"/>
  <c r="EQ149" i="3"/>
  <c r="EK149" i="3" s="1"/>
  <c r="EI149" i="3"/>
  <c r="AB152" i="21" s="1"/>
  <c r="CG149" i="3"/>
  <c r="EG149" i="3"/>
  <c r="V152" i="21" s="1"/>
  <c r="E156" i="9"/>
  <c r="ER156" i="2"/>
  <c r="F158" i="22" s="1"/>
  <c r="EF156" i="2"/>
  <c r="R158" i="21" s="1"/>
  <c r="EQ156" i="2"/>
  <c r="EE156" i="2"/>
  <c r="O158" i="21" s="1"/>
  <c r="CQ156" i="2"/>
  <c r="K156" i="9" s="1"/>
  <c r="EP156" i="2"/>
  <c r="ED156" i="2"/>
  <c r="L158" i="21" s="1"/>
  <c r="EO156" i="2"/>
  <c r="EC156" i="2"/>
  <c r="I158" i="21" s="1"/>
  <c r="EN156" i="2"/>
  <c r="AP158" i="21" s="1"/>
  <c r="EB156" i="2"/>
  <c r="F158" i="21" s="1"/>
  <c r="EL156" i="2"/>
  <c r="AJ158" i="21" s="1"/>
  <c r="EK156" i="2"/>
  <c r="CK156" i="2"/>
  <c r="EJ156" i="2"/>
  <c r="AD158" i="21" s="1"/>
  <c r="CJ156" i="2"/>
  <c r="EG156" i="2"/>
  <c r="U158" i="21" s="1"/>
  <c r="CI156" i="2"/>
  <c r="CH156" i="2"/>
  <c r="CG156" i="2"/>
  <c r="EH156" i="2"/>
  <c r="X158" i="21" s="1"/>
  <c r="EM156" i="2"/>
  <c r="AM158" i="21" s="1"/>
  <c r="EI156" i="2"/>
  <c r="AA158" i="21" s="1"/>
  <c r="AI196" i="14"/>
  <c r="AN196" i="14"/>
  <c r="DO5" i="1"/>
  <c r="DN5" i="1"/>
  <c r="DM66" i="2"/>
  <c r="DL66" i="2"/>
  <c r="DJ66" i="2"/>
  <c r="DK66" i="2"/>
  <c r="F219" i="9"/>
  <c r="EM213" i="3"/>
  <c r="AN221" i="21" s="1"/>
  <c r="EJ213" i="3"/>
  <c r="AE221" i="21" s="1"/>
  <c r="CG213" i="3"/>
  <c r="EI213" i="3"/>
  <c r="AB221" i="21" s="1"/>
  <c r="EH213" i="3"/>
  <c r="Y221" i="21" s="1"/>
  <c r="EG213" i="3"/>
  <c r="V221" i="21" s="1"/>
  <c r="CQ213" i="3"/>
  <c r="L219" i="9" s="1"/>
  <c r="EF213" i="3"/>
  <c r="S221" i="21" s="1"/>
  <c r="ER213" i="3"/>
  <c r="G221" i="22" s="1"/>
  <c r="EE213" i="3"/>
  <c r="P221" i="21" s="1"/>
  <c r="EO213" i="3"/>
  <c r="EB213" i="3"/>
  <c r="G221" i="21" s="1"/>
  <c r="CK213" i="3"/>
  <c r="EN213" i="3"/>
  <c r="AQ221" i="21" s="1"/>
  <c r="CJ213" i="3"/>
  <c r="EL213" i="3"/>
  <c r="AK221" i="21" s="1"/>
  <c r="CI213" i="3"/>
  <c r="CH213" i="3"/>
  <c r="EQ213" i="3"/>
  <c r="EP213" i="3"/>
  <c r="EK213" i="3"/>
  <c r="ED213" i="3"/>
  <c r="M221" i="21" s="1"/>
  <c r="EC213" i="3"/>
  <c r="J221" i="21" s="1"/>
  <c r="F16" i="9"/>
  <c r="EJ17" i="3"/>
  <c r="AE18" i="21" s="1"/>
  <c r="CJ17" i="3"/>
  <c r="EN17" i="3"/>
  <c r="AQ18" i="21" s="1"/>
  <c r="CI17" i="3"/>
  <c r="EM17" i="3"/>
  <c r="AN18" i="21" s="1"/>
  <c r="CH17" i="3"/>
  <c r="EL17" i="3"/>
  <c r="AK18" i="21" s="1"/>
  <c r="CG17" i="3"/>
  <c r="EK17" i="3"/>
  <c r="EI17" i="3"/>
  <c r="AB18" i="21" s="1"/>
  <c r="EH17" i="3"/>
  <c r="Y18" i="21" s="1"/>
  <c r="CQ17" i="3"/>
  <c r="L16" i="9" s="1"/>
  <c r="EF17" i="3"/>
  <c r="S18" i="21" s="1"/>
  <c r="ER17" i="3"/>
  <c r="G18" i="22" s="1"/>
  <c r="EE17" i="3"/>
  <c r="P18" i="21" s="1"/>
  <c r="EQ17" i="3"/>
  <c r="ED17" i="3"/>
  <c r="M18" i="21" s="1"/>
  <c r="EP17" i="3"/>
  <c r="EC17" i="3"/>
  <c r="J18" i="21" s="1"/>
  <c r="CK17" i="3"/>
  <c r="EO17" i="3"/>
  <c r="EG17" i="3"/>
  <c r="V18" i="21" s="1"/>
  <c r="EB17" i="3"/>
  <c r="G18" i="21" s="1"/>
  <c r="DO121" i="1"/>
  <c r="DN121" i="1"/>
  <c r="DK111" i="3"/>
  <c r="DJ111" i="3"/>
  <c r="DM111" i="3"/>
  <c r="DL111" i="3"/>
  <c r="F185" i="9"/>
  <c r="EN182" i="3"/>
  <c r="AQ187" i="21" s="1"/>
  <c r="EB182" i="3"/>
  <c r="G187" i="21" s="1"/>
  <c r="EL182" i="3"/>
  <c r="AK187" i="21" s="1"/>
  <c r="EK182" i="3"/>
  <c r="CK182" i="3"/>
  <c r="EJ182" i="3"/>
  <c r="AE187" i="21" s="1"/>
  <c r="CJ182" i="3"/>
  <c r="EI182" i="3"/>
  <c r="AB187" i="21" s="1"/>
  <c r="CI182" i="3"/>
  <c r="ER182" i="3"/>
  <c r="G187" i="22" s="1"/>
  <c r="EF182" i="3"/>
  <c r="S187" i="21" s="1"/>
  <c r="EQ182" i="3"/>
  <c r="EP182" i="3"/>
  <c r="EO182" i="3"/>
  <c r="CQ182" i="3"/>
  <c r="L185" i="9" s="1"/>
  <c r="EM182" i="3"/>
  <c r="AN187" i="21" s="1"/>
  <c r="EH182" i="3"/>
  <c r="Y187" i="21" s="1"/>
  <c r="EE182" i="3"/>
  <c r="P187" i="21" s="1"/>
  <c r="CH182" i="3"/>
  <c r="EG182" i="3"/>
  <c r="V187" i="21" s="1"/>
  <c r="ED182" i="3"/>
  <c r="M187" i="21" s="1"/>
  <c r="EC182" i="3"/>
  <c r="J187" i="21" s="1"/>
  <c r="CG182" i="3"/>
  <c r="E28" i="9"/>
  <c r="EQ29" i="2"/>
  <c r="EK29" i="2" s="1"/>
  <c r="EN29" i="2"/>
  <c r="AP30" i="21" s="1"/>
  <c r="G30" i="20" s="1"/>
  <c r="EJ29" i="2"/>
  <c r="AD30" i="21" s="1"/>
  <c r="F30" i="20" s="1"/>
  <c r="CJ29" i="2"/>
  <c r="CK29" i="2"/>
  <c r="CI29" i="2"/>
  <c r="CH29" i="2"/>
  <c r="EO29" i="2"/>
  <c r="CG29" i="2"/>
  <c r="EG29" i="2"/>
  <c r="U30" i="21" s="1"/>
  <c r="EH29" i="2"/>
  <c r="EI29" i="2"/>
  <c r="AA30" i="21" s="1"/>
  <c r="M30" i="20" s="1"/>
  <c r="ER122" i="1"/>
  <c r="AE216" i="5"/>
  <c r="J218" i="9" s="1"/>
  <c r="C223" i="14" s="1"/>
  <c r="AE146" i="5"/>
  <c r="J146" i="9" s="1"/>
  <c r="C151" i="14" s="1"/>
  <c r="AE157" i="5"/>
  <c r="J157" i="9" s="1"/>
  <c r="C162" i="14" s="1"/>
  <c r="AE51" i="5"/>
  <c r="AE65" i="5"/>
  <c r="J65" i="9" s="1"/>
  <c r="C70" i="14" s="1"/>
  <c r="AE7" i="5"/>
  <c r="AE82" i="5"/>
  <c r="J82" i="9" s="1"/>
  <c r="C87" i="14" s="1"/>
  <c r="AE214" i="5"/>
  <c r="AE164" i="5"/>
  <c r="AE74" i="5"/>
  <c r="AE148" i="5"/>
  <c r="AE16" i="5"/>
  <c r="AE207" i="5"/>
  <c r="J208" i="9" s="1"/>
  <c r="C213" i="14" s="1"/>
  <c r="AE195" i="5"/>
  <c r="J196" i="9" s="1"/>
  <c r="C201" i="14" s="1"/>
  <c r="AE178" i="5"/>
  <c r="AE96" i="5"/>
  <c r="AE39" i="5"/>
  <c r="J39" i="9" s="1"/>
  <c r="C44" i="14" s="1"/>
  <c r="AE162" i="5"/>
  <c r="J162" i="9" s="1"/>
  <c r="C167" i="14" s="1"/>
  <c r="AL123" i="14"/>
  <c r="AG123" i="14"/>
  <c r="DO218" i="1"/>
  <c r="DN218" i="1"/>
  <c r="F97" i="9"/>
  <c r="EL97" i="3"/>
  <c r="AK99" i="21" s="1"/>
  <c r="EK97" i="3"/>
  <c r="CK97" i="3"/>
  <c r="EH97" i="3"/>
  <c r="Y99" i="21" s="1"/>
  <c r="CH97" i="3"/>
  <c r="EG97" i="3"/>
  <c r="V99" i="21" s="1"/>
  <c r="CG97" i="3"/>
  <c r="ER97" i="3"/>
  <c r="G99" i="22" s="1"/>
  <c r="EF97" i="3"/>
  <c r="S99" i="21" s="1"/>
  <c r="EP97" i="3"/>
  <c r="ED97" i="3"/>
  <c r="M99" i="21" s="1"/>
  <c r="EO97" i="3"/>
  <c r="EC97" i="3"/>
  <c r="J99" i="21" s="1"/>
  <c r="EN97" i="3"/>
  <c r="AQ99" i="21" s="1"/>
  <c r="EM97" i="3"/>
  <c r="AN99" i="21" s="1"/>
  <c r="CJ97" i="3"/>
  <c r="EJ97" i="3"/>
  <c r="AE99" i="21" s="1"/>
  <c r="CI97" i="3"/>
  <c r="EE97" i="3"/>
  <c r="P99" i="21" s="1"/>
  <c r="EB97" i="3"/>
  <c r="G99" i="21" s="1"/>
  <c r="CQ97" i="3"/>
  <c r="L97" i="9" s="1"/>
  <c r="EQ97" i="3"/>
  <c r="EI97" i="3"/>
  <c r="AB99" i="21" s="1"/>
  <c r="E134" i="9"/>
  <c r="EO134" i="2"/>
  <c r="EL134" i="2"/>
  <c r="AJ136" i="21" s="1"/>
  <c r="N136" i="20" s="1"/>
  <c r="CH134" i="2"/>
  <c r="EQ134" i="2"/>
  <c r="CG134" i="2"/>
  <c r="EN134" i="2"/>
  <c r="AP136" i="21" s="1"/>
  <c r="G136" i="20" s="1"/>
  <c r="EM134" i="2"/>
  <c r="AM136" i="21" s="1"/>
  <c r="EK134" i="2"/>
  <c r="EJ134" i="2"/>
  <c r="AD136" i="21" s="1"/>
  <c r="F136" i="20" s="1"/>
  <c r="EI134" i="2"/>
  <c r="AA136" i="21" s="1"/>
  <c r="M136" i="20" s="1"/>
  <c r="EH134" i="2"/>
  <c r="X136" i="21" s="1"/>
  <c r="E136" i="20" s="1"/>
  <c r="CI134" i="2"/>
  <c r="CJ134" i="2"/>
  <c r="CK134" i="2"/>
  <c r="EG134" i="2"/>
  <c r="U136" i="21" s="1"/>
  <c r="F149" i="9"/>
  <c r="EO148" i="3"/>
  <c r="EN148" i="3"/>
  <c r="AQ151" i="21" s="1"/>
  <c r="EM148" i="3"/>
  <c r="AN151" i="21" s="1"/>
  <c r="EL148" i="3"/>
  <c r="AK151" i="21" s="1"/>
  <c r="EK148" i="3"/>
  <c r="CK148" i="3"/>
  <c r="EI148" i="3"/>
  <c r="AB151" i="21" s="1"/>
  <c r="CI148" i="3"/>
  <c r="EG148" i="3"/>
  <c r="V151" i="21" s="1"/>
  <c r="CG148" i="3"/>
  <c r="EP148" i="3"/>
  <c r="CJ148" i="3"/>
  <c r="CH148" i="3"/>
  <c r="ER148" i="3"/>
  <c r="G151" i="22" s="1"/>
  <c r="EQ148" i="3"/>
  <c r="EJ148" i="3"/>
  <c r="AE151" i="21" s="1"/>
  <c r="EH148" i="3"/>
  <c r="Y151" i="21" s="1"/>
  <c r="DM191" i="2"/>
  <c r="DL191" i="2"/>
  <c r="DK191" i="2"/>
  <c r="DJ191" i="2"/>
  <c r="DO66" i="1"/>
  <c r="DN66" i="1"/>
  <c r="F26" i="9"/>
  <c r="EO27" i="3"/>
  <c r="EN27" i="3"/>
  <c r="AQ28" i="21" s="1"/>
  <c r="EM27" i="3"/>
  <c r="AN28" i="21" s="1"/>
  <c r="EL27" i="3"/>
  <c r="AK28" i="21" s="1"/>
  <c r="EJ27" i="3"/>
  <c r="AE28" i="21" s="1"/>
  <c r="CJ27" i="3"/>
  <c r="CK27" i="3"/>
  <c r="CH27" i="3"/>
  <c r="EI27" i="3"/>
  <c r="AB28" i="21" s="1"/>
  <c r="CG27" i="3"/>
  <c r="EH27" i="3"/>
  <c r="Y28" i="21" s="1"/>
  <c r="EG27" i="3"/>
  <c r="V28" i="21" s="1"/>
  <c r="EQ27" i="3"/>
  <c r="EK27" i="3" s="1"/>
  <c r="CI27" i="3"/>
  <c r="D5" i="9"/>
  <c r="EG6" i="1"/>
  <c r="T7" i="21" s="1"/>
  <c r="EQ6" i="1"/>
  <c r="EO6" i="1"/>
  <c r="EN6" i="1"/>
  <c r="AO7" i="21" s="1"/>
  <c r="EI6" i="1"/>
  <c r="Z7" i="21" s="1"/>
  <c r="CI6" i="1"/>
  <c r="G61" i="8" s="1"/>
  <c r="EH6" i="1"/>
  <c r="W7" i="21" s="1"/>
  <c r="CH6" i="1"/>
  <c r="CG6" i="1"/>
  <c r="CJ6" i="1"/>
  <c r="EK6" i="1"/>
  <c r="EJ6" i="1"/>
  <c r="AC7" i="21" s="1"/>
  <c r="CK6" i="1"/>
  <c r="AN230" i="14"/>
  <c r="AI230" i="14"/>
  <c r="E139" i="22"/>
  <c r="L139" i="22" s="1"/>
  <c r="EP138" i="1"/>
  <c r="AN145" i="14"/>
  <c r="AI145" i="14"/>
  <c r="EP200" i="1"/>
  <c r="AN203" i="14"/>
  <c r="AI203" i="14"/>
  <c r="E37" i="22"/>
  <c r="L37" i="22" s="1"/>
  <c r="EP36" i="1"/>
  <c r="G65" i="22"/>
  <c r="N65" i="22" s="1"/>
  <c r="EP63" i="3"/>
  <c r="DM184" i="3"/>
  <c r="DK184" i="3"/>
  <c r="DJ184" i="3"/>
  <c r="DL184" i="3"/>
  <c r="J71" i="9"/>
  <c r="C76" i="14" s="1"/>
  <c r="DM173" i="2"/>
  <c r="DL173" i="2"/>
  <c r="DK173" i="2"/>
  <c r="DJ173" i="2"/>
  <c r="AF193" i="21"/>
  <c r="H193" i="22"/>
  <c r="L193" i="22" s="1"/>
  <c r="CS60" i="3"/>
  <c r="CS61" i="2"/>
  <c r="CS61" i="1"/>
  <c r="H35" i="22"/>
  <c r="AF35" i="21"/>
  <c r="E29" i="9"/>
  <c r="EQ30" i="2"/>
  <c r="EO30" i="2"/>
  <c r="EI30" i="2"/>
  <c r="AA31" i="21" s="1"/>
  <c r="M31" i="20" s="1"/>
  <c r="CI30" i="2"/>
  <c r="CK30" i="2"/>
  <c r="EN30" i="2"/>
  <c r="AP31" i="21" s="1"/>
  <c r="G31" i="20" s="1"/>
  <c r="CJ30" i="2"/>
  <c r="EL30" i="2"/>
  <c r="AJ31" i="21" s="1"/>
  <c r="CH30" i="2"/>
  <c r="EK30" i="2"/>
  <c r="CG30" i="2"/>
  <c r="EJ30" i="2"/>
  <c r="AD31" i="21" s="1"/>
  <c r="F31" i="20" s="1"/>
  <c r="EH30" i="2"/>
  <c r="X31" i="21" s="1"/>
  <c r="EG30" i="2"/>
  <c r="U31" i="21" s="1"/>
  <c r="AI185" i="14"/>
  <c r="AN185" i="14"/>
  <c r="E29" i="22"/>
  <c r="L29" i="22" s="1"/>
  <c r="EP28" i="1"/>
  <c r="AM161" i="14"/>
  <c r="AH161" i="14"/>
  <c r="E218" i="9"/>
  <c r="M218" i="9" s="1"/>
  <c r="EK207" i="2"/>
  <c r="CK207" i="2"/>
  <c r="EJ207" i="2"/>
  <c r="AD220" i="21" s="1"/>
  <c r="CJ207" i="2"/>
  <c r="EI207" i="2"/>
  <c r="AA220" i="21" s="1"/>
  <c r="CI207" i="2"/>
  <c r="EH207" i="2"/>
  <c r="X220" i="21" s="1"/>
  <c r="CH207" i="2"/>
  <c r="EG207" i="2"/>
  <c r="U220" i="21" s="1"/>
  <c r="CG207" i="2"/>
  <c r="ER207" i="2"/>
  <c r="F220" i="22" s="1"/>
  <c r="EF207" i="2"/>
  <c r="R220" i="21" s="1"/>
  <c r="EP207" i="2"/>
  <c r="ED207" i="2"/>
  <c r="L220" i="21" s="1"/>
  <c r="EO207" i="2"/>
  <c r="EC207" i="2"/>
  <c r="I220" i="21" s="1"/>
  <c r="EN207" i="2"/>
  <c r="AP220" i="21" s="1"/>
  <c r="EB207" i="2"/>
  <c r="F220" i="21" s="1"/>
  <c r="EM207" i="2"/>
  <c r="AM220" i="21" s="1"/>
  <c r="EQ207" i="2"/>
  <c r="EL207" i="2"/>
  <c r="AJ220" i="21" s="1"/>
  <c r="CQ207" i="2"/>
  <c r="K218" i="9" s="1"/>
  <c r="EE207" i="2"/>
  <c r="O220" i="21" s="1"/>
  <c r="F194" i="9"/>
  <c r="EQ191" i="3"/>
  <c r="EE191" i="3"/>
  <c r="P196" i="21" s="1"/>
  <c r="CQ191" i="3"/>
  <c r="L194" i="9" s="1"/>
  <c r="EO191" i="3"/>
  <c r="EC191" i="3"/>
  <c r="J196" i="21" s="1"/>
  <c r="EN191" i="3"/>
  <c r="AQ196" i="21" s="1"/>
  <c r="EB191" i="3"/>
  <c r="G196" i="21" s="1"/>
  <c r="EM191" i="3"/>
  <c r="AN196" i="21" s="1"/>
  <c r="EL191" i="3"/>
  <c r="AK196" i="21" s="1"/>
  <c r="EI191" i="3"/>
  <c r="AB196" i="21" s="1"/>
  <c r="CI191" i="3"/>
  <c r="EK191" i="3"/>
  <c r="EJ191" i="3"/>
  <c r="AE196" i="21" s="1"/>
  <c r="EH191" i="3"/>
  <c r="Y196" i="21" s="1"/>
  <c r="EG191" i="3"/>
  <c r="V196" i="21" s="1"/>
  <c r="EF191" i="3"/>
  <c r="S196" i="21" s="1"/>
  <c r="ED191" i="3"/>
  <c r="M196" i="21" s="1"/>
  <c r="CK191" i="3"/>
  <c r="CJ191" i="3"/>
  <c r="CG191" i="3"/>
  <c r="EP191" i="3"/>
  <c r="ER191" i="3"/>
  <c r="G196" i="22" s="1"/>
  <c r="CH191" i="3"/>
  <c r="AL211" i="14"/>
  <c r="AG211" i="14"/>
  <c r="DO210" i="1"/>
  <c r="DN210" i="1"/>
  <c r="K51" i="11"/>
  <c r="S51" i="11" s="1"/>
  <c r="K29" i="11"/>
  <c r="K40" i="11"/>
  <c r="S40" i="11" s="1"/>
  <c r="AL162" i="14"/>
  <c r="AG162" i="14"/>
  <c r="DN80" i="1"/>
  <c r="DO80" i="1"/>
  <c r="E100" i="9"/>
  <c r="M100" i="9" s="1"/>
  <c r="EK101" i="2"/>
  <c r="CK101" i="2"/>
  <c r="EJ101" i="2"/>
  <c r="AD102" i="21" s="1"/>
  <c r="CJ101" i="2"/>
  <c r="EI101" i="2"/>
  <c r="AA102" i="21" s="1"/>
  <c r="CI101" i="2"/>
  <c r="EH101" i="2"/>
  <c r="X102" i="21" s="1"/>
  <c r="CH101" i="2"/>
  <c r="EG101" i="2"/>
  <c r="U102" i="21" s="1"/>
  <c r="CG101" i="2"/>
  <c r="ER101" i="2"/>
  <c r="F102" i="22" s="1"/>
  <c r="EF101" i="2"/>
  <c r="R102" i="21" s="1"/>
  <c r="EQ101" i="2"/>
  <c r="EE101" i="2"/>
  <c r="O102" i="21" s="1"/>
  <c r="CQ101" i="2"/>
  <c r="K100" i="9" s="1"/>
  <c r="EP101" i="2"/>
  <c r="ED101" i="2"/>
  <c r="L102" i="21" s="1"/>
  <c r="EO101" i="2"/>
  <c r="EC101" i="2"/>
  <c r="I102" i="21" s="1"/>
  <c r="EL101" i="2"/>
  <c r="AJ102" i="21" s="1"/>
  <c r="EN101" i="2"/>
  <c r="AP102" i="21" s="1"/>
  <c r="EM101" i="2"/>
  <c r="AM102" i="21" s="1"/>
  <c r="EB101" i="2"/>
  <c r="F102" i="21" s="1"/>
  <c r="DN177" i="1"/>
  <c r="DO177" i="1"/>
  <c r="CS208" i="3"/>
  <c r="CS211" i="1"/>
  <c r="DO169" i="1"/>
  <c r="DN169" i="1"/>
  <c r="AF85" i="21"/>
  <c r="H85" i="22"/>
  <c r="L85" i="22" s="1"/>
  <c r="E88" i="9"/>
  <c r="EH89" i="2"/>
  <c r="X90" i="21" s="1"/>
  <c r="CH89" i="2"/>
  <c r="EG89" i="2"/>
  <c r="U90" i="21" s="1"/>
  <c r="CG89" i="2"/>
  <c r="EQ89" i="2"/>
  <c r="ER89" i="2" s="1"/>
  <c r="EO89" i="2"/>
  <c r="EN89" i="2"/>
  <c r="AP90" i="21" s="1"/>
  <c r="EL89" i="2"/>
  <c r="AJ90" i="21" s="1"/>
  <c r="EI89" i="2"/>
  <c r="AA90" i="21" s="1"/>
  <c r="CI89" i="2"/>
  <c r="EJ89" i="2"/>
  <c r="AD90" i="21" s="1"/>
  <c r="CK89" i="2"/>
  <c r="CJ89" i="2"/>
  <c r="T73" i="16"/>
  <c r="S73" i="16"/>
  <c r="E68" i="22"/>
  <c r="L68" i="22" s="1"/>
  <c r="EP67" i="1"/>
  <c r="H142" i="22"/>
  <c r="L142" i="22" s="1"/>
  <c r="AF142" i="21"/>
  <c r="DO206" i="1"/>
  <c r="DN206" i="1"/>
  <c r="F183" i="9"/>
  <c r="EN180" i="3"/>
  <c r="AQ185" i="21" s="1"/>
  <c r="EL180" i="3"/>
  <c r="AK185" i="21" s="1"/>
  <c r="CK180" i="3"/>
  <c r="EH180" i="3"/>
  <c r="Y185" i="21" s="1"/>
  <c r="EG180" i="3"/>
  <c r="V185" i="21" s="1"/>
  <c r="CJ180" i="3"/>
  <c r="CI180" i="3"/>
  <c r="CH180" i="3"/>
  <c r="EQ180" i="3"/>
  <c r="EK180" i="3" s="1"/>
  <c r="EI180" i="3"/>
  <c r="AB185" i="21" s="1"/>
  <c r="EO180" i="3"/>
  <c r="EJ180" i="3"/>
  <c r="AE185" i="21" s="1"/>
  <c r="CG180" i="3"/>
  <c r="AE118" i="5"/>
  <c r="J118" i="9" s="1"/>
  <c r="C123" i="14" s="1"/>
  <c r="AE46" i="5"/>
  <c r="J46" i="9" s="1"/>
  <c r="C51" i="14" s="1"/>
  <c r="AE54" i="5"/>
  <c r="AE81" i="5"/>
  <c r="AE136" i="5"/>
  <c r="AE208" i="5"/>
  <c r="AE53" i="5"/>
  <c r="J53" i="9" s="1"/>
  <c r="C58" i="14" s="1"/>
  <c r="F224" i="9"/>
  <c r="EM218" i="3"/>
  <c r="AN226" i="21" s="1"/>
  <c r="CI218" i="3"/>
  <c r="EI218" i="3"/>
  <c r="AB226" i="21" s="1"/>
  <c r="EL218" i="3"/>
  <c r="AK226" i="21" s="1"/>
  <c r="EJ218" i="3"/>
  <c r="AE226" i="21" s="1"/>
  <c r="EH218" i="3"/>
  <c r="Y226" i="21" s="1"/>
  <c r="CK218" i="3"/>
  <c r="EG218" i="3"/>
  <c r="V226" i="21" s="1"/>
  <c r="CJ218" i="3"/>
  <c r="CH218" i="3"/>
  <c r="EQ218" i="3"/>
  <c r="EK218" i="3" s="1"/>
  <c r="EO218" i="3"/>
  <c r="CG218" i="3"/>
  <c r="EN218" i="3"/>
  <c r="AQ226" i="21" s="1"/>
  <c r="AF52" i="21"/>
  <c r="H52" i="22"/>
  <c r="L52" i="22" s="1"/>
  <c r="DM107" i="2"/>
  <c r="DL107" i="2"/>
  <c r="DK107" i="2"/>
  <c r="DJ107" i="2"/>
  <c r="M22" i="11"/>
  <c r="O10" i="13"/>
  <c r="W10" i="13" s="1"/>
  <c r="D17" i="19" s="1"/>
  <c r="J233" i="21" s="1"/>
  <c r="DJ187" i="2"/>
  <c r="DM187" i="2"/>
  <c r="DL187" i="2"/>
  <c r="DK187" i="2"/>
  <c r="AN140" i="14"/>
  <c r="AI140" i="14"/>
  <c r="AM51" i="14"/>
  <c r="AH51" i="14"/>
  <c r="DO107" i="1"/>
  <c r="DN107" i="1"/>
  <c r="F3" i="9"/>
  <c r="EQ4" i="3"/>
  <c r="EE4" i="3"/>
  <c r="P5" i="21" s="1"/>
  <c r="CQ4" i="3"/>
  <c r="L3" i="9" s="1"/>
  <c r="EP4" i="3"/>
  <c r="ED4" i="3"/>
  <c r="M5" i="21" s="1"/>
  <c r="EO4" i="3"/>
  <c r="EC4" i="3"/>
  <c r="J5" i="21" s="1"/>
  <c r="EN4" i="3"/>
  <c r="AQ5" i="21" s="1"/>
  <c r="EB4" i="3"/>
  <c r="G5" i="21" s="1"/>
  <c r="EM4" i="3"/>
  <c r="AN5" i="21" s="1"/>
  <c r="EL4" i="3"/>
  <c r="AK5" i="21" s="1"/>
  <c r="EJ4" i="3"/>
  <c r="AE5" i="21" s="1"/>
  <c r="CJ4" i="3"/>
  <c r="EI4" i="3"/>
  <c r="AB5" i="21" s="1"/>
  <c r="CI4" i="3"/>
  <c r="EH4" i="3"/>
  <c r="Y5" i="21" s="1"/>
  <c r="CH4" i="3"/>
  <c r="EG4" i="3"/>
  <c r="V5" i="21" s="1"/>
  <c r="CG4" i="3"/>
  <c r="CK4" i="3"/>
  <c r="ER4" i="3"/>
  <c r="G5" i="22" s="1"/>
  <c r="EK4" i="3"/>
  <c r="EF4" i="3"/>
  <c r="S5" i="21" s="1"/>
  <c r="AM146" i="14"/>
  <c r="AH146" i="14"/>
  <c r="J176" i="9"/>
  <c r="C181" i="14" s="1"/>
  <c r="J97" i="9"/>
  <c r="C102" i="14" s="1"/>
  <c r="DM159" i="3"/>
  <c r="DL159" i="3"/>
  <c r="DK159" i="3"/>
  <c r="DJ159" i="3"/>
  <c r="AN179" i="14"/>
  <c r="AI179" i="14"/>
  <c r="DL195" i="3"/>
  <c r="DK195" i="3"/>
  <c r="DJ195" i="3"/>
  <c r="DM195" i="3"/>
  <c r="E115" i="9"/>
  <c r="EH116" i="2"/>
  <c r="X117" i="21" s="1"/>
  <c r="E117" i="20" s="1"/>
  <c r="CH116" i="2"/>
  <c r="EG116" i="2"/>
  <c r="U117" i="21" s="1"/>
  <c r="CG116" i="2"/>
  <c r="EQ116" i="2"/>
  <c r="EO116" i="2"/>
  <c r="EN116" i="2"/>
  <c r="AP117" i="21" s="1"/>
  <c r="EL116" i="2"/>
  <c r="AJ117" i="21" s="1"/>
  <c r="EI116" i="2"/>
  <c r="AA117" i="21" s="1"/>
  <c r="M117" i="20" s="1"/>
  <c r="CI116" i="2"/>
  <c r="EJ116" i="2"/>
  <c r="AD117" i="21" s="1"/>
  <c r="F117" i="20" s="1"/>
  <c r="CK116" i="2"/>
  <c r="CJ116" i="2"/>
  <c r="E66" i="9"/>
  <c r="ER67" i="2"/>
  <c r="F68" i="22" s="1"/>
  <c r="EQ67" i="2"/>
  <c r="EP67" i="2"/>
  <c r="EO67" i="2"/>
  <c r="EN67" i="2"/>
  <c r="AP68" i="21" s="1"/>
  <c r="G68" i="20" s="1"/>
  <c r="EM67" i="2"/>
  <c r="AM68" i="21" s="1"/>
  <c r="EL67" i="2"/>
  <c r="AJ68" i="21" s="1"/>
  <c r="N68" i="20" s="1"/>
  <c r="EK67" i="2"/>
  <c r="CK67" i="2"/>
  <c r="EJ67" i="2"/>
  <c r="AD68" i="21" s="1"/>
  <c r="F68" i="20" s="1"/>
  <c r="CJ67" i="2"/>
  <c r="EG67" i="2"/>
  <c r="U68" i="21" s="1"/>
  <c r="CG67" i="2"/>
  <c r="CI67" i="2"/>
  <c r="EI67" i="2"/>
  <c r="AA68" i="21" s="1"/>
  <c r="CH67" i="2"/>
  <c r="EH67" i="2"/>
  <c r="X68" i="21" s="1"/>
  <c r="E68" i="20" s="1"/>
  <c r="AI214" i="14"/>
  <c r="AN214" i="14"/>
  <c r="E140" i="9"/>
  <c r="EI140" i="2"/>
  <c r="AA142" i="21" s="1"/>
  <c r="CI140" i="2"/>
  <c r="ER140" i="2"/>
  <c r="F142" i="22" s="1"/>
  <c r="EF140" i="2"/>
  <c r="R142" i="21" s="1"/>
  <c r="EP140" i="2"/>
  <c r="EB140" i="2"/>
  <c r="F142" i="21" s="1"/>
  <c r="CJ140" i="2"/>
  <c r="EO140" i="2"/>
  <c r="CH140" i="2"/>
  <c r="EN140" i="2"/>
  <c r="AP142" i="21" s="1"/>
  <c r="CG140" i="2"/>
  <c r="EM140" i="2"/>
  <c r="AM142" i="21" s="1"/>
  <c r="EL140" i="2"/>
  <c r="AJ142" i="21" s="1"/>
  <c r="EK140" i="2"/>
  <c r="CQ140" i="2"/>
  <c r="K140" i="9" s="1"/>
  <c r="EJ140" i="2"/>
  <c r="AD142" i="21" s="1"/>
  <c r="EH140" i="2"/>
  <c r="X142" i="21" s="1"/>
  <c r="EG140" i="2"/>
  <c r="U142" i="21" s="1"/>
  <c r="EQ140" i="2"/>
  <c r="EC140" i="2"/>
  <c r="I142" i="21" s="1"/>
  <c r="CK140" i="2"/>
  <c r="EE140" i="2"/>
  <c r="O142" i="21" s="1"/>
  <c r="ED140" i="2"/>
  <c r="L142" i="21" s="1"/>
  <c r="DM4" i="2"/>
  <c r="DL4" i="2"/>
  <c r="DK4" i="2"/>
  <c r="DJ4" i="2"/>
  <c r="F103" i="22"/>
  <c r="M103" i="22" s="1"/>
  <c r="C103" i="22" s="1"/>
  <c r="EP102" i="2"/>
  <c r="AM129" i="14"/>
  <c r="AH129" i="14"/>
  <c r="DN163" i="1"/>
  <c r="DO163" i="1"/>
  <c r="L22" i="11"/>
  <c r="N10" i="13"/>
  <c r="V10" i="13" s="1"/>
  <c r="D11" i="19" s="1"/>
  <c r="I233" i="21" s="1"/>
  <c r="I233" i="20" s="1"/>
  <c r="F179" i="9"/>
  <c r="EH176" i="3"/>
  <c r="Y181" i="21" s="1"/>
  <c r="CH176" i="3"/>
  <c r="ER176" i="3"/>
  <c r="G181" i="22" s="1"/>
  <c r="EF176" i="3"/>
  <c r="S181" i="21" s="1"/>
  <c r="EQ176" i="3"/>
  <c r="EE176" i="3"/>
  <c r="P181" i="21" s="1"/>
  <c r="CQ176" i="3"/>
  <c r="L179" i="9" s="1"/>
  <c r="EP176" i="3"/>
  <c r="ED176" i="3"/>
  <c r="M181" i="21" s="1"/>
  <c r="EO176" i="3"/>
  <c r="EC176" i="3"/>
  <c r="J181" i="21" s="1"/>
  <c r="EN176" i="3"/>
  <c r="AQ181" i="21" s="1"/>
  <c r="CI176" i="3"/>
  <c r="EM176" i="3"/>
  <c r="AN181" i="21" s="1"/>
  <c r="CG176" i="3"/>
  <c r="EL176" i="3"/>
  <c r="AK181" i="21" s="1"/>
  <c r="EK176" i="3"/>
  <c r="EJ176" i="3"/>
  <c r="AE181" i="21" s="1"/>
  <c r="EI176" i="3"/>
  <c r="AB181" i="21" s="1"/>
  <c r="EG176" i="3"/>
  <c r="V181" i="21" s="1"/>
  <c r="CJ176" i="3"/>
  <c r="CK176" i="3"/>
  <c r="EB176" i="3"/>
  <c r="G181" i="21" s="1"/>
  <c r="G219" i="22"/>
  <c r="N219" i="22" s="1"/>
  <c r="EP212" i="3"/>
  <c r="EP58" i="1"/>
  <c r="F90" i="9"/>
  <c r="EQ90" i="3"/>
  <c r="EK90" i="3" s="1"/>
  <c r="EN90" i="3"/>
  <c r="AQ92" i="21" s="1"/>
  <c r="EM90" i="3"/>
  <c r="AN92" i="21" s="1"/>
  <c r="EJ90" i="3"/>
  <c r="AE92" i="21" s="1"/>
  <c r="CJ90" i="3"/>
  <c r="CI90" i="3"/>
  <c r="EO90" i="3"/>
  <c r="CG90" i="3"/>
  <c r="EI90" i="3"/>
  <c r="AB92" i="21" s="1"/>
  <c r="CK90" i="3"/>
  <c r="CH90" i="3"/>
  <c r="EL90" i="3"/>
  <c r="AK92" i="21" s="1"/>
  <c r="EH90" i="3"/>
  <c r="Y92" i="21" s="1"/>
  <c r="EG90" i="3"/>
  <c r="V92" i="21" s="1"/>
  <c r="T70" i="15"/>
  <c r="U70" i="15"/>
  <c r="DO154" i="1"/>
  <c r="DN154" i="1"/>
  <c r="F216" i="22"/>
  <c r="M216" i="22" s="1"/>
  <c r="C216" i="22" s="1"/>
  <c r="EP204" i="2"/>
  <c r="E179" i="9"/>
  <c r="EQ179" i="2"/>
  <c r="EG179" i="2"/>
  <c r="U181" i="21" s="1"/>
  <c r="CG179" i="2"/>
  <c r="EF179" i="2"/>
  <c r="R181" i="21" s="1"/>
  <c r="ER179" i="2"/>
  <c r="F181" i="22" s="1"/>
  <c r="EE179" i="2"/>
  <c r="O181" i="21" s="1"/>
  <c r="CQ179" i="2"/>
  <c r="K179" i="9" s="1"/>
  <c r="EP179" i="2"/>
  <c r="ED179" i="2"/>
  <c r="L181" i="21" s="1"/>
  <c r="EO179" i="2"/>
  <c r="EC179" i="2"/>
  <c r="I181" i="21" s="1"/>
  <c r="EN179" i="2"/>
  <c r="AP181" i="21" s="1"/>
  <c r="EB179" i="2"/>
  <c r="F181" i="21" s="1"/>
  <c r="EM179" i="2"/>
  <c r="AM181" i="21" s="1"/>
  <c r="EL179" i="2"/>
  <c r="AJ181" i="21" s="1"/>
  <c r="EK179" i="2"/>
  <c r="CK179" i="2"/>
  <c r="EJ179" i="2"/>
  <c r="AD181" i="21" s="1"/>
  <c r="CJ179" i="2"/>
  <c r="EI179" i="2"/>
  <c r="AA181" i="21" s="1"/>
  <c r="EH179" i="2"/>
  <c r="X181" i="21" s="1"/>
  <c r="CI179" i="2"/>
  <c r="CH179" i="2"/>
  <c r="F135" i="9"/>
  <c r="EP134" i="3"/>
  <c r="ED134" i="3"/>
  <c r="M137" i="21" s="1"/>
  <c r="EO134" i="3"/>
  <c r="EC134" i="3"/>
  <c r="J137" i="21" s="1"/>
  <c r="EN134" i="3"/>
  <c r="AQ137" i="21" s="1"/>
  <c r="EB134" i="3"/>
  <c r="G137" i="21" s="1"/>
  <c r="EM134" i="3"/>
  <c r="AN137" i="21" s="1"/>
  <c r="EK134" i="3"/>
  <c r="CK134" i="3"/>
  <c r="ER134" i="3"/>
  <c r="G137" i="22" s="1"/>
  <c r="EF134" i="3"/>
  <c r="S137" i="21" s="1"/>
  <c r="EQ134" i="3"/>
  <c r="EL134" i="3"/>
  <c r="AK137" i="21" s="1"/>
  <c r="CQ134" i="3"/>
  <c r="L135" i="9" s="1"/>
  <c r="EI134" i="3"/>
  <c r="AB137" i="21" s="1"/>
  <c r="CJ134" i="3"/>
  <c r="EH134" i="3"/>
  <c r="Y137" i="21" s="1"/>
  <c r="CI134" i="3"/>
  <c r="EJ134" i="3"/>
  <c r="AE137" i="21" s="1"/>
  <c r="EG134" i="3"/>
  <c r="V137" i="21" s="1"/>
  <c r="EE134" i="3"/>
  <c r="P137" i="21" s="1"/>
  <c r="CH134" i="3"/>
  <c r="CG134" i="3"/>
  <c r="F189" i="9"/>
  <c r="EJ186" i="3"/>
  <c r="AE191" i="21" s="1"/>
  <c r="CJ186" i="3"/>
  <c r="EH186" i="3"/>
  <c r="Y191" i="21" s="1"/>
  <c r="CH186" i="3"/>
  <c r="EG186" i="3"/>
  <c r="V191" i="21" s="1"/>
  <c r="CG186" i="3"/>
  <c r="ER186" i="3"/>
  <c r="G191" i="22" s="1"/>
  <c r="EF186" i="3"/>
  <c r="S191" i="21" s="1"/>
  <c r="EQ186" i="3"/>
  <c r="EE186" i="3"/>
  <c r="P191" i="21" s="1"/>
  <c r="CQ186" i="3"/>
  <c r="L189" i="9" s="1"/>
  <c r="EN186" i="3"/>
  <c r="AQ191" i="21" s="1"/>
  <c r="EB186" i="3"/>
  <c r="G191" i="21" s="1"/>
  <c r="EI186" i="3"/>
  <c r="AB191" i="21" s="1"/>
  <c r="ED186" i="3"/>
  <c r="M191" i="21" s="1"/>
  <c r="EC186" i="3"/>
  <c r="J191" i="21" s="1"/>
  <c r="CK186" i="3"/>
  <c r="CI186" i="3"/>
  <c r="EO186" i="3"/>
  <c r="EK186" i="3"/>
  <c r="EM186" i="3"/>
  <c r="AN191" i="21" s="1"/>
  <c r="EL186" i="3"/>
  <c r="AK191" i="21" s="1"/>
  <c r="EP186" i="3"/>
  <c r="DM47" i="2"/>
  <c r="DL47" i="2"/>
  <c r="DK47" i="2"/>
  <c r="DJ47" i="2"/>
  <c r="AN21" i="14"/>
  <c r="AI21" i="14"/>
  <c r="E194" i="9"/>
  <c r="EL194" i="2"/>
  <c r="AJ196" i="21" s="1"/>
  <c r="EJ194" i="2"/>
  <c r="AD196" i="21" s="1"/>
  <c r="CJ194" i="2"/>
  <c r="EI194" i="2"/>
  <c r="AA196" i="21" s="1"/>
  <c r="CI194" i="2"/>
  <c r="EG194" i="2"/>
  <c r="U196" i="21" s="1"/>
  <c r="CG194" i="2"/>
  <c r="EP194" i="2"/>
  <c r="ED194" i="2"/>
  <c r="L196" i="21" s="1"/>
  <c r="EO194" i="2"/>
  <c r="EC194" i="2"/>
  <c r="I196" i="21" s="1"/>
  <c r="EN194" i="2"/>
  <c r="AP196" i="21" s="1"/>
  <c r="EB194" i="2"/>
  <c r="F196" i="21" s="1"/>
  <c r="EH194" i="2"/>
  <c r="X196" i="21" s="1"/>
  <c r="EF194" i="2"/>
  <c r="R196" i="21" s="1"/>
  <c r="EE194" i="2"/>
  <c r="O196" i="21" s="1"/>
  <c r="CQ194" i="2"/>
  <c r="K194" i="9" s="1"/>
  <c r="ER194" i="2"/>
  <c r="F196" i="22" s="1"/>
  <c r="EQ194" i="2"/>
  <c r="CK194" i="2"/>
  <c r="EM194" i="2"/>
  <c r="AM196" i="21" s="1"/>
  <c r="EK194" i="2"/>
  <c r="CH194" i="2"/>
  <c r="J187" i="9"/>
  <c r="C192" i="14" s="1"/>
  <c r="EL84" i="1"/>
  <c r="AI85" i="21" s="1"/>
  <c r="EP84" i="1"/>
  <c r="AL125" i="14"/>
  <c r="AG125" i="14"/>
  <c r="K21" i="11"/>
  <c r="M9" i="13"/>
  <c r="U9" i="13" s="1"/>
  <c r="C5" i="19" s="1"/>
  <c r="E233" i="21" s="1"/>
  <c r="DL135" i="2"/>
  <c r="DJ135" i="2"/>
  <c r="DM135" i="2"/>
  <c r="DK135" i="2"/>
  <c r="DL156" i="3"/>
  <c r="DM156" i="3"/>
  <c r="DK156" i="3"/>
  <c r="DJ156" i="3"/>
  <c r="E23" i="9"/>
  <c r="EK24" i="2"/>
  <c r="CK24" i="2"/>
  <c r="EI24" i="2"/>
  <c r="AA25" i="21" s="1"/>
  <c r="M25" i="20" s="1"/>
  <c r="CI24" i="2"/>
  <c r="EG24" i="2"/>
  <c r="U25" i="21" s="1"/>
  <c r="CG24" i="2"/>
  <c r="EO24" i="2"/>
  <c r="EN24" i="2"/>
  <c r="AP25" i="21" s="1"/>
  <c r="G25" i="20" s="1"/>
  <c r="EM24" i="2"/>
  <c r="AM25" i="21" s="1"/>
  <c r="CJ24" i="2"/>
  <c r="EJ24" i="2"/>
  <c r="AD25" i="21" s="1"/>
  <c r="F25" i="20" s="1"/>
  <c r="CH24" i="2"/>
  <c r="EH24" i="2"/>
  <c r="X25" i="21" s="1"/>
  <c r="E25" i="20" s="1"/>
  <c r="EQ24" i="2"/>
  <c r="ER24" i="2"/>
  <c r="F102" i="9"/>
  <c r="EG102" i="3"/>
  <c r="V104" i="21" s="1"/>
  <c r="CG102" i="3"/>
  <c r="EQ102" i="3"/>
  <c r="EK102" i="3" s="1"/>
  <c r="EO102" i="3"/>
  <c r="EN102" i="3"/>
  <c r="AQ104" i="21" s="1"/>
  <c r="EM102" i="3"/>
  <c r="AN104" i="21" s="1"/>
  <c r="CK102" i="3"/>
  <c r="EJ102" i="3"/>
  <c r="AE104" i="21" s="1"/>
  <c r="CJ102" i="3"/>
  <c r="CH102" i="3"/>
  <c r="EL102" i="3"/>
  <c r="AK104" i="21" s="1"/>
  <c r="EH102" i="3"/>
  <c r="Y104" i="21" s="1"/>
  <c r="CI102" i="3"/>
  <c r="EI102" i="3"/>
  <c r="AB104" i="21" s="1"/>
  <c r="E159" i="9"/>
  <c r="EO159" i="2"/>
  <c r="EC159" i="2"/>
  <c r="I161" i="21" s="1"/>
  <c r="EN159" i="2"/>
  <c r="AP161" i="21" s="1"/>
  <c r="EB159" i="2"/>
  <c r="F161" i="21" s="1"/>
  <c r="EM159" i="2"/>
  <c r="AM161" i="21" s="1"/>
  <c r="EL159" i="2"/>
  <c r="AJ161" i="21" s="1"/>
  <c r="EK159" i="2"/>
  <c r="CK159" i="2"/>
  <c r="EI159" i="2"/>
  <c r="AA161" i="21" s="1"/>
  <c r="CI159" i="2"/>
  <c r="EH159" i="2"/>
  <c r="X161" i="21" s="1"/>
  <c r="CH159" i="2"/>
  <c r="EG159" i="2"/>
  <c r="U161" i="21" s="1"/>
  <c r="CG159" i="2"/>
  <c r="ER159" i="2"/>
  <c r="F161" i="22" s="1"/>
  <c r="EF159" i="2"/>
  <c r="R161" i="21" s="1"/>
  <c r="EE159" i="2"/>
  <c r="O161" i="21" s="1"/>
  <c r="ED159" i="2"/>
  <c r="L161" i="21" s="1"/>
  <c r="CQ159" i="2"/>
  <c r="K159" i="9" s="1"/>
  <c r="CJ159" i="2"/>
  <c r="EJ159" i="2"/>
  <c r="AD161" i="21" s="1"/>
  <c r="EQ159" i="2"/>
  <c r="EP159" i="2"/>
  <c r="F85" i="9"/>
  <c r="EG85" i="3"/>
  <c r="V87" i="21" s="1"/>
  <c r="CG85" i="3"/>
  <c r="EO85" i="3"/>
  <c r="EI85" i="3"/>
  <c r="CI85" i="3"/>
  <c r="EJ85" i="3"/>
  <c r="AE87" i="21" s="1"/>
  <c r="CH85" i="3"/>
  <c r="EH85" i="3"/>
  <c r="Y87" i="21" s="1"/>
  <c r="EQ85" i="3"/>
  <c r="EK85" i="3" s="1"/>
  <c r="EN85" i="3"/>
  <c r="AQ87" i="21" s="1"/>
  <c r="CK85" i="3"/>
  <c r="CJ85" i="3"/>
  <c r="DO142" i="1"/>
  <c r="DN142" i="1"/>
  <c r="DL120" i="3"/>
  <c r="DK120" i="3"/>
  <c r="DJ120" i="3"/>
  <c r="DM120" i="3"/>
  <c r="T77" i="16"/>
  <c r="S77" i="16"/>
  <c r="E148" i="9"/>
  <c r="EN148" i="2"/>
  <c r="AP150" i="21" s="1"/>
  <c r="G150" i="20" s="1"/>
  <c r="EM148" i="2"/>
  <c r="AM150" i="21" s="1"/>
  <c r="CK148" i="2"/>
  <c r="EG148" i="2"/>
  <c r="U150" i="21" s="1"/>
  <c r="CG148" i="2"/>
  <c r="ER148" i="2"/>
  <c r="F150" i="22" s="1"/>
  <c r="CJ148" i="2"/>
  <c r="CI148" i="2"/>
  <c r="EQ148" i="2"/>
  <c r="EK148" i="2" s="1"/>
  <c r="CH148" i="2"/>
  <c r="EO148" i="2"/>
  <c r="EL148" i="2"/>
  <c r="AJ150" i="21" s="1"/>
  <c r="EJ148" i="2"/>
  <c r="AD150" i="21" s="1"/>
  <c r="F150" i="20" s="1"/>
  <c r="EI148" i="2"/>
  <c r="AA150" i="21" s="1"/>
  <c r="M150" i="20" s="1"/>
  <c r="EH148" i="2"/>
  <c r="X150" i="21" s="1"/>
  <c r="DO189" i="1"/>
  <c r="DN189" i="1"/>
  <c r="E102" i="9"/>
  <c r="EI103" i="2"/>
  <c r="AA104" i="21" s="1"/>
  <c r="M104" i="20" s="1"/>
  <c r="CI103" i="2"/>
  <c r="EH103" i="2"/>
  <c r="X104" i="21" s="1"/>
  <c r="E104" i="20" s="1"/>
  <c r="CH103" i="2"/>
  <c r="EG103" i="2"/>
  <c r="U104" i="21" s="1"/>
  <c r="CG103" i="2"/>
  <c r="EQ103" i="2"/>
  <c r="EO103" i="2"/>
  <c r="EN103" i="2"/>
  <c r="AP104" i="21" s="1"/>
  <c r="EM103" i="2"/>
  <c r="AM104" i="21" s="1"/>
  <c r="EJ103" i="2"/>
  <c r="AD104" i="21" s="1"/>
  <c r="CJ103" i="2"/>
  <c r="CK103" i="2"/>
  <c r="EK103" i="2"/>
  <c r="F72" i="9"/>
  <c r="EK72" i="3"/>
  <c r="CK72" i="3"/>
  <c r="ER72" i="3"/>
  <c r="EQ72" i="3"/>
  <c r="EO72" i="3"/>
  <c r="CJ72" i="3"/>
  <c r="EN72" i="3"/>
  <c r="AQ74" i="21" s="1"/>
  <c r="CI72" i="3"/>
  <c r="CH72" i="3"/>
  <c r="EJ72" i="3"/>
  <c r="AE74" i="21" s="1"/>
  <c r="EI72" i="3"/>
  <c r="AB74" i="21" s="1"/>
  <c r="EG72" i="3"/>
  <c r="V74" i="21" s="1"/>
  <c r="EH72" i="3"/>
  <c r="Y74" i="21" s="1"/>
  <c r="CG72" i="3"/>
  <c r="AF162" i="21"/>
  <c r="H162" i="22"/>
  <c r="L162" i="22" s="1"/>
  <c r="DM156" i="2"/>
  <c r="DL156" i="2"/>
  <c r="DK156" i="2"/>
  <c r="DJ156" i="2"/>
  <c r="AI223" i="14"/>
  <c r="AN223" i="14"/>
  <c r="AF156" i="21"/>
  <c r="H156" i="22"/>
  <c r="L156" i="22" s="1"/>
  <c r="J154" i="9"/>
  <c r="C159" i="14" s="1"/>
  <c r="DJ213" i="3"/>
  <c r="DM213" i="3"/>
  <c r="DL213" i="3"/>
  <c r="DK213" i="3"/>
  <c r="AM102" i="14"/>
  <c r="AH102" i="14"/>
  <c r="E222" i="9"/>
  <c r="EG211" i="2"/>
  <c r="U224" i="21" s="1"/>
  <c r="CG211" i="2"/>
  <c r="ER211" i="2"/>
  <c r="EQ211" i="2"/>
  <c r="EO211" i="2"/>
  <c r="EN211" i="2"/>
  <c r="AP224" i="21" s="1"/>
  <c r="EK211" i="2"/>
  <c r="CK211" i="2"/>
  <c r="EJ211" i="2"/>
  <c r="AD224" i="21" s="1"/>
  <c r="CJ211" i="2"/>
  <c r="EI211" i="2"/>
  <c r="AA224" i="21" s="1"/>
  <c r="CI211" i="2"/>
  <c r="EH211" i="2"/>
  <c r="X224" i="21" s="1"/>
  <c r="CH211" i="2"/>
  <c r="AI186" i="14"/>
  <c r="AN186" i="14"/>
  <c r="DK17" i="3"/>
  <c r="DM17" i="3"/>
  <c r="DL17" i="3"/>
  <c r="DJ17" i="3"/>
  <c r="E150" i="9"/>
  <c r="EK150" i="2"/>
  <c r="CK150" i="2"/>
  <c r="EJ150" i="2"/>
  <c r="AD152" i="21" s="1"/>
  <c r="F152" i="20" s="1"/>
  <c r="EI150" i="2"/>
  <c r="CI150" i="2"/>
  <c r="EQ150" i="2"/>
  <c r="EO150" i="2"/>
  <c r="EN150" i="2"/>
  <c r="AP152" i="21" s="1"/>
  <c r="EM150" i="2"/>
  <c r="AM152" i="21" s="1"/>
  <c r="EH150" i="2"/>
  <c r="EG150" i="2"/>
  <c r="U152" i="21" s="1"/>
  <c r="CJ150" i="2"/>
  <c r="CH150" i="2"/>
  <c r="CG150" i="2"/>
  <c r="AM162" i="14"/>
  <c r="AH162" i="14"/>
  <c r="AL181" i="14"/>
  <c r="AG181" i="14"/>
  <c r="F65" i="9"/>
  <c r="EG65" i="3"/>
  <c r="V67" i="21" s="1"/>
  <c r="CG65" i="3"/>
  <c r="ER65" i="3"/>
  <c r="G67" i="22" s="1"/>
  <c r="EF65" i="3"/>
  <c r="S67" i="21" s="1"/>
  <c r="EQ65" i="3"/>
  <c r="EE65" i="3"/>
  <c r="P67" i="21" s="1"/>
  <c r="CQ65" i="3"/>
  <c r="L65" i="9" s="1"/>
  <c r="EP65" i="3"/>
  <c r="ED65" i="3"/>
  <c r="M67" i="21" s="1"/>
  <c r="EO65" i="3"/>
  <c r="EC65" i="3"/>
  <c r="J67" i="21" s="1"/>
  <c r="EN65" i="3"/>
  <c r="AQ67" i="21" s="1"/>
  <c r="EB65" i="3"/>
  <c r="G67" i="21" s="1"/>
  <c r="EM65" i="3"/>
  <c r="AN67" i="21" s="1"/>
  <c r="EK65" i="3"/>
  <c r="CK65" i="3"/>
  <c r="EJ65" i="3"/>
  <c r="AE67" i="21" s="1"/>
  <c r="CJ65" i="3"/>
  <c r="EI65" i="3"/>
  <c r="AB67" i="21" s="1"/>
  <c r="EH65" i="3"/>
  <c r="Y67" i="21" s="1"/>
  <c r="CI65" i="3"/>
  <c r="CH65" i="3"/>
  <c r="EL65" i="3"/>
  <c r="AK67" i="21" s="1"/>
  <c r="E87" i="22"/>
  <c r="L87" i="22" s="1"/>
  <c r="EP86" i="1"/>
  <c r="E107" i="22"/>
  <c r="L107" i="22" s="1"/>
  <c r="EP106" i="1"/>
  <c r="E171" i="9"/>
  <c r="EO171" i="2"/>
  <c r="EC171" i="2"/>
  <c r="I173" i="21" s="1"/>
  <c r="EN171" i="2"/>
  <c r="AP173" i="21" s="1"/>
  <c r="EB171" i="2"/>
  <c r="F173" i="21" s="1"/>
  <c r="EM171" i="2"/>
  <c r="AM173" i="21" s="1"/>
  <c r="EL171" i="2"/>
  <c r="AJ173" i="21" s="1"/>
  <c r="EK171" i="2"/>
  <c r="CK171" i="2"/>
  <c r="EJ171" i="2"/>
  <c r="AD173" i="21" s="1"/>
  <c r="CJ171" i="2"/>
  <c r="EI171" i="2"/>
  <c r="AA173" i="21" s="1"/>
  <c r="CI171" i="2"/>
  <c r="EH171" i="2"/>
  <c r="X173" i="21" s="1"/>
  <c r="CH171" i="2"/>
  <c r="EG171" i="2"/>
  <c r="U173" i="21" s="1"/>
  <c r="CG171" i="2"/>
  <c r="ER171" i="2"/>
  <c r="F173" i="22" s="1"/>
  <c r="EF171" i="2"/>
  <c r="R173" i="21" s="1"/>
  <c r="EQ171" i="2"/>
  <c r="EP171" i="2"/>
  <c r="EE171" i="2"/>
  <c r="O173" i="21" s="1"/>
  <c r="CQ171" i="2"/>
  <c r="K171" i="9" s="1"/>
  <c r="ED171" i="2"/>
  <c r="L173" i="21" s="1"/>
  <c r="EL122" i="1"/>
  <c r="AI123" i="21" s="1"/>
  <c r="AE32" i="5"/>
  <c r="AE163" i="5"/>
  <c r="J163" i="9" s="1"/>
  <c r="C168" i="14" s="1"/>
  <c r="AE35" i="5"/>
  <c r="AE126" i="5"/>
  <c r="AE123" i="5"/>
  <c r="AE15" i="5"/>
  <c r="AE47" i="5"/>
  <c r="J47" i="9" s="1"/>
  <c r="C52" i="14" s="1"/>
  <c r="AE11" i="5"/>
  <c r="AE93" i="5"/>
  <c r="AE113" i="5"/>
  <c r="AE99" i="5"/>
  <c r="AE23" i="5"/>
  <c r="AE211" i="5"/>
  <c r="AE203" i="5"/>
  <c r="J204" i="9" s="1"/>
  <c r="C209" i="14" s="1"/>
  <c r="AE180" i="5"/>
  <c r="J181" i="9" s="1"/>
  <c r="C186" i="14" s="1"/>
  <c r="AE105" i="5"/>
  <c r="AE64" i="5"/>
  <c r="AE167" i="5"/>
  <c r="J167" i="9" s="1"/>
  <c r="C172" i="14" s="1"/>
  <c r="DM97" i="3"/>
  <c r="DL97" i="3"/>
  <c r="DK97" i="3"/>
  <c r="DJ97" i="3"/>
  <c r="AL170" i="14"/>
  <c r="AG170" i="14"/>
  <c r="E186" i="9"/>
  <c r="ER186" i="2"/>
  <c r="F188" i="22" s="1"/>
  <c r="EF186" i="2"/>
  <c r="R188" i="21" s="1"/>
  <c r="EQ186" i="2"/>
  <c r="EE186" i="2"/>
  <c r="O188" i="21" s="1"/>
  <c r="CQ186" i="2"/>
  <c r="K186" i="9" s="1"/>
  <c r="EJ186" i="2"/>
  <c r="AD188" i="21" s="1"/>
  <c r="CJ186" i="2"/>
  <c r="EK186" i="2"/>
  <c r="EI186" i="2"/>
  <c r="AA188" i="21" s="1"/>
  <c r="EH186" i="2"/>
  <c r="X188" i="21" s="1"/>
  <c r="CK186" i="2"/>
  <c r="EG186" i="2"/>
  <c r="U188" i="21" s="1"/>
  <c r="CI186" i="2"/>
  <c r="ED186" i="2"/>
  <c r="L188" i="21" s="1"/>
  <c r="CH186" i="2"/>
  <c r="EC186" i="2"/>
  <c r="I188" i="21" s="1"/>
  <c r="CG186" i="2"/>
  <c r="EB186" i="2"/>
  <c r="F188" i="21" s="1"/>
  <c r="EP186" i="2"/>
  <c r="EO186" i="2"/>
  <c r="EN186" i="2"/>
  <c r="AP188" i="21" s="1"/>
  <c r="EM186" i="2"/>
  <c r="AM188" i="21" s="1"/>
  <c r="EL186" i="2"/>
  <c r="AJ188" i="21" s="1"/>
  <c r="DO143" i="1"/>
  <c r="DN143" i="1"/>
  <c r="EL33" i="1"/>
  <c r="AI34" i="21" s="1"/>
  <c r="L53" i="11"/>
  <c r="T53" i="11" s="1"/>
  <c r="L42" i="11"/>
  <c r="T42" i="11" s="1"/>
  <c r="L31" i="11"/>
  <c r="E195" i="9"/>
  <c r="M195" i="9" s="1"/>
  <c r="EK195" i="2"/>
  <c r="CK195" i="2"/>
  <c r="EI195" i="2"/>
  <c r="AA197" i="21" s="1"/>
  <c r="CI195" i="2"/>
  <c r="EH195" i="2"/>
  <c r="X197" i="21" s="1"/>
  <c r="CH195" i="2"/>
  <c r="EG195" i="2"/>
  <c r="U197" i="21" s="1"/>
  <c r="CG195" i="2"/>
  <c r="ER195" i="2"/>
  <c r="F197" i="22" s="1"/>
  <c r="EF195" i="2"/>
  <c r="R197" i="21" s="1"/>
  <c r="EO195" i="2"/>
  <c r="EC195" i="2"/>
  <c r="I197" i="21" s="1"/>
  <c r="EN195" i="2"/>
  <c r="AP197" i="21" s="1"/>
  <c r="EB195" i="2"/>
  <c r="F197" i="21" s="1"/>
  <c r="EM195" i="2"/>
  <c r="AM197" i="21" s="1"/>
  <c r="ED195" i="2"/>
  <c r="L197" i="21" s="1"/>
  <c r="CQ195" i="2"/>
  <c r="K195" i="9" s="1"/>
  <c r="EQ195" i="2"/>
  <c r="CJ195" i="2"/>
  <c r="EP195" i="2"/>
  <c r="EL195" i="2"/>
  <c r="AJ197" i="21" s="1"/>
  <c r="EJ195" i="2"/>
  <c r="AD197" i="21" s="1"/>
  <c r="EE195" i="2"/>
  <c r="O197" i="21" s="1"/>
  <c r="AN170" i="14"/>
  <c r="AI170" i="14"/>
  <c r="AL173" i="14"/>
  <c r="AG173" i="14"/>
  <c r="F106" i="9"/>
  <c r="EO106" i="3"/>
  <c r="EC106" i="3"/>
  <c r="J108" i="21" s="1"/>
  <c r="EN106" i="3"/>
  <c r="AQ108" i="21" s="1"/>
  <c r="EB106" i="3"/>
  <c r="G108" i="21" s="1"/>
  <c r="EM106" i="3"/>
  <c r="AN108" i="21" s="1"/>
  <c r="EL106" i="3"/>
  <c r="AK108" i="21" s="1"/>
  <c r="EK106" i="3"/>
  <c r="CK106" i="3"/>
  <c r="EJ106" i="3"/>
  <c r="AE108" i="21" s="1"/>
  <c r="CJ106" i="3"/>
  <c r="EI106" i="3"/>
  <c r="AB108" i="21" s="1"/>
  <c r="CI106" i="3"/>
  <c r="EG106" i="3"/>
  <c r="V108" i="21" s="1"/>
  <c r="CG106" i="3"/>
  <c r="ER106" i="3"/>
  <c r="G108" i="22" s="1"/>
  <c r="EF106" i="3"/>
  <c r="S108" i="21" s="1"/>
  <c r="EQ106" i="3"/>
  <c r="EE106" i="3"/>
  <c r="P108" i="21" s="1"/>
  <c r="ED106" i="3"/>
  <c r="M108" i="21" s="1"/>
  <c r="CQ106" i="3"/>
  <c r="L106" i="9" s="1"/>
  <c r="EP106" i="3"/>
  <c r="CH106" i="3"/>
  <c r="EH106" i="3"/>
  <c r="Y108" i="21" s="1"/>
  <c r="F79" i="9"/>
  <c r="EL79" i="3"/>
  <c r="AK81" i="21" s="1"/>
  <c r="EI79" i="3"/>
  <c r="AB81" i="21" s="1"/>
  <c r="CI79" i="3"/>
  <c r="EN79" i="3"/>
  <c r="AQ81" i="21" s="1"/>
  <c r="EK79" i="3"/>
  <c r="EF79" i="3"/>
  <c r="S81" i="21" s="1"/>
  <c r="ER79" i="3"/>
  <c r="G81" i="22" s="1"/>
  <c r="ED79" i="3"/>
  <c r="M81" i="21" s="1"/>
  <c r="CK79" i="3"/>
  <c r="EJ79" i="3"/>
  <c r="AE81" i="21" s="1"/>
  <c r="EH79" i="3"/>
  <c r="Y81" i="21" s="1"/>
  <c r="EG79" i="3"/>
  <c r="V81" i="21" s="1"/>
  <c r="EE79" i="3"/>
  <c r="P81" i="21" s="1"/>
  <c r="CQ79" i="3"/>
  <c r="L79" i="9" s="1"/>
  <c r="EC79" i="3"/>
  <c r="J81" i="21" s="1"/>
  <c r="EB79" i="3"/>
  <c r="G81" i="21" s="1"/>
  <c r="EQ79" i="3"/>
  <c r="CH79" i="3"/>
  <c r="EP79" i="3"/>
  <c r="CG79" i="3"/>
  <c r="CJ79" i="3"/>
  <c r="EM79" i="3"/>
  <c r="AN81" i="21" s="1"/>
  <c r="EO79" i="3"/>
  <c r="AI187" i="14"/>
  <c r="AN187" i="14"/>
  <c r="AF12" i="21"/>
  <c r="H12" i="22"/>
  <c r="L12" i="22" s="1"/>
  <c r="E77" i="22"/>
  <c r="L77" i="22" s="1"/>
  <c r="EP76" i="1"/>
  <c r="F123" i="9"/>
  <c r="EN123" i="3"/>
  <c r="AQ125" i="21" s="1"/>
  <c r="EQ123" i="3"/>
  <c r="EK123" i="3" s="1"/>
  <c r="EJ123" i="3"/>
  <c r="AE125" i="21" s="1"/>
  <c r="EI123" i="3"/>
  <c r="EH123" i="3"/>
  <c r="EG123" i="3"/>
  <c r="V125" i="21" s="1"/>
  <c r="CK123" i="3"/>
  <c r="CJ123" i="3"/>
  <c r="EO123" i="3"/>
  <c r="CH123" i="3"/>
  <c r="CG123" i="3"/>
  <c r="CI123" i="3"/>
  <c r="E67" i="9"/>
  <c r="EQ68" i="2"/>
  <c r="EK68" i="2" s="1"/>
  <c r="EO68" i="2"/>
  <c r="EN68" i="2"/>
  <c r="AP69" i="21" s="1"/>
  <c r="G69" i="20" s="1"/>
  <c r="EM68" i="2"/>
  <c r="AM69" i="21" s="1"/>
  <c r="EL68" i="2"/>
  <c r="AJ69" i="21" s="1"/>
  <c r="CK68" i="2"/>
  <c r="EJ68" i="2"/>
  <c r="AD69" i="21" s="1"/>
  <c r="F69" i="20" s="1"/>
  <c r="CJ68" i="2"/>
  <c r="EI68" i="2"/>
  <c r="CI68" i="2"/>
  <c r="EH68" i="2"/>
  <c r="X69" i="21" s="1"/>
  <c r="EG68" i="2"/>
  <c r="U69" i="21" s="1"/>
  <c r="CH68" i="2"/>
  <c r="CG68" i="2"/>
  <c r="AM176" i="14"/>
  <c r="AH176" i="14"/>
  <c r="F196" i="9"/>
  <c r="EO193" i="3"/>
  <c r="EC193" i="3"/>
  <c r="J198" i="21" s="1"/>
  <c r="EM193" i="3"/>
  <c r="AN198" i="21" s="1"/>
  <c r="EL193" i="3"/>
  <c r="AK198" i="21" s="1"/>
  <c r="EK193" i="3"/>
  <c r="CK193" i="3"/>
  <c r="EJ193" i="3"/>
  <c r="AE198" i="21" s="1"/>
  <c r="CJ193" i="3"/>
  <c r="EG193" i="3"/>
  <c r="V198" i="21" s="1"/>
  <c r="CG193" i="3"/>
  <c r="ER193" i="3"/>
  <c r="G198" i="22" s="1"/>
  <c r="EF193" i="3"/>
  <c r="S198" i="21" s="1"/>
  <c r="EP193" i="3"/>
  <c r="CI193" i="3"/>
  <c r="EN193" i="3"/>
  <c r="AQ198" i="21" s="1"/>
  <c r="CH193" i="3"/>
  <c r="EI193" i="3"/>
  <c r="AB198" i="21" s="1"/>
  <c r="EH193" i="3"/>
  <c r="Y198" i="21" s="1"/>
  <c r="EE193" i="3"/>
  <c r="P198" i="21" s="1"/>
  <c r="ED193" i="3"/>
  <c r="M198" i="21" s="1"/>
  <c r="EB193" i="3"/>
  <c r="G198" i="21" s="1"/>
  <c r="EQ193" i="3"/>
  <c r="CQ193" i="3"/>
  <c r="L196" i="9" s="1"/>
  <c r="F156" i="9"/>
  <c r="EH155" i="3"/>
  <c r="Y158" i="21" s="1"/>
  <c r="CH155" i="3"/>
  <c r="EG155" i="3"/>
  <c r="V158" i="21" s="1"/>
  <c r="CG155" i="3"/>
  <c r="ER155" i="3"/>
  <c r="G158" i="22" s="1"/>
  <c r="EF155" i="3"/>
  <c r="S158" i="21" s="1"/>
  <c r="EQ155" i="3"/>
  <c r="EE155" i="3"/>
  <c r="P158" i="21" s="1"/>
  <c r="CQ155" i="3"/>
  <c r="L156" i="9" s="1"/>
  <c r="EP155" i="3"/>
  <c r="ED155" i="3"/>
  <c r="M158" i="21" s="1"/>
  <c r="EO155" i="3"/>
  <c r="EC155" i="3"/>
  <c r="J158" i="21" s="1"/>
  <c r="EN155" i="3"/>
  <c r="AQ158" i="21" s="1"/>
  <c r="EB155" i="3"/>
  <c r="G158" i="21" s="1"/>
  <c r="EL155" i="3"/>
  <c r="AK158" i="21" s="1"/>
  <c r="EI155" i="3"/>
  <c r="AB158" i="21" s="1"/>
  <c r="CI155" i="3"/>
  <c r="CK155" i="3"/>
  <c r="CJ155" i="3"/>
  <c r="EM155" i="3"/>
  <c r="AN158" i="21" s="1"/>
  <c r="EK155" i="3"/>
  <c r="EJ155" i="3"/>
  <c r="AE158" i="21" s="1"/>
  <c r="DM194" i="2"/>
  <c r="DK194" i="2"/>
  <c r="DJ194" i="2"/>
  <c r="DL194" i="2"/>
  <c r="AH232" i="14"/>
  <c r="AM232" i="14"/>
  <c r="AI211" i="14"/>
  <c r="AN211" i="14"/>
  <c r="E128" i="22"/>
  <c r="L128" i="22" s="1"/>
  <c r="EP127" i="1"/>
  <c r="AN192" i="14"/>
  <c r="AI192" i="14"/>
  <c r="E200" i="9"/>
  <c r="EQ200" i="2"/>
  <c r="EK200" i="2" s="1"/>
  <c r="EO200" i="2"/>
  <c r="EN200" i="2"/>
  <c r="AP202" i="21" s="1"/>
  <c r="G202" i="20" s="1"/>
  <c r="EM200" i="2"/>
  <c r="AM202" i="21" s="1"/>
  <c r="EJ200" i="2"/>
  <c r="AD202" i="21" s="1"/>
  <c r="CJ200" i="2"/>
  <c r="EI200" i="2"/>
  <c r="AA202" i="21" s="1"/>
  <c r="M202" i="20" s="1"/>
  <c r="CI200" i="2"/>
  <c r="EH200" i="2"/>
  <c r="X202" i="21" s="1"/>
  <c r="E202" i="20" s="1"/>
  <c r="CH200" i="2"/>
  <c r="CK200" i="2"/>
  <c r="CG200" i="2"/>
  <c r="EL200" i="2"/>
  <c r="AJ202" i="21" s="1"/>
  <c r="EG200" i="2"/>
  <c r="U202" i="21" s="1"/>
  <c r="DN175" i="1"/>
  <c r="DO175" i="1"/>
  <c r="F96" i="9"/>
  <c r="EM96" i="3"/>
  <c r="AN98" i="21" s="1"/>
  <c r="EI96" i="3"/>
  <c r="AB98" i="21" s="1"/>
  <c r="CI96" i="3"/>
  <c r="EH96" i="3"/>
  <c r="Y98" i="21" s="1"/>
  <c r="CH96" i="3"/>
  <c r="EG96" i="3"/>
  <c r="V98" i="21" s="1"/>
  <c r="CG96" i="3"/>
  <c r="EQ96" i="3"/>
  <c r="EO96" i="3"/>
  <c r="EN96" i="3"/>
  <c r="AQ98" i="21" s="1"/>
  <c r="CK96" i="3"/>
  <c r="CJ96" i="3"/>
  <c r="EK96" i="3"/>
  <c r="EJ96" i="3"/>
  <c r="AE98" i="21" s="1"/>
  <c r="DM159" i="2"/>
  <c r="DL159" i="2"/>
  <c r="DJ159" i="2"/>
  <c r="DK159" i="2"/>
  <c r="AL176" i="14"/>
  <c r="AG176" i="14"/>
  <c r="AN191" i="14"/>
  <c r="AI191" i="14"/>
  <c r="AI217" i="14"/>
  <c r="AN217" i="14"/>
  <c r="EL165" i="1"/>
  <c r="AI166" i="21" s="1"/>
  <c r="ER165" i="1"/>
  <c r="J209" i="9"/>
  <c r="C214" i="14" s="1"/>
  <c r="AM158" i="14"/>
  <c r="AH158" i="14"/>
  <c r="AN102" i="14"/>
  <c r="AI102" i="14"/>
  <c r="F151" i="9"/>
  <c r="EM150" i="3"/>
  <c r="AN153" i="21" s="1"/>
  <c r="EL150" i="3"/>
  <c r="AK153" i="21" s="1"/>
  <c r="EK150" i="3"/>
  <c r="CK150" i="3"/>
  <c r="EJ150" i="3"/>
  <c r="AE153" i="21" s="1"/>
  <c r="CJ150" i="3"/>
  <c r="EI150" i="3"/>
  <c r="AB153" i="21" s="1"/>
  <c r="CI150" i="3"/>
  <c r="EG150" i="3"/>
  <c r="V153" i="21" s="1"/>
  <c r="CG150" i="3"/>
  <c r="EQ150" i="3"/>
  <c r="EE150" i="3"/>
  <c r="P153" i="21" s="1"/>
  <c r="CQ150" i="3"/>
  <c r="L151" i="9" s="1"/>
  <c r="EN150" i="3"/>
  <c r="AQ153" i="21" s="1"/>
  <c r="EB150" i="3"/>
  <c r="G153" i="21" s="1"/>
  <c r="EC150" i="3"/>
  <c r="J153" i="21" s="1"/>
  <c r="ER150" i="3"/>
  <c r="G153" i="22" s="1"/>
  <c r="EO150" i="3"/>
  <c r="EH150" i="3"/>
  <c r="Y153" i="21" s="1"/>
  <c r="EP150" i="3"/>
  <c r="EF150" i="3"/>
  <c r="S153" i="21" s="1"/>
  <c r="ED150" i="3"/>
  <c r="M153" i="21" s="1"/>
  <c r="CH150" i="3"/>
  <c r="AN176" i="14"/>
  <c r="AI176" i="14"/>
  <c r="AL21" i="14"/>
  <c r="AG21" i="14"/>
  <c r="DO196" i="1"/>
  <c r="DN196" i="1"/>
  <c r="EL133" i="1"/>
  <c r="AI134" i="21" s="1"/>
  <c r="G216" i="22"/>
  <c r="N216" i="22" s="1"/>
  <c r="EP210" i="3"/>
  <c r="G57" i="22"/>
  <c r="N57" i="22" s="1"/>
  <c r="EP55" i="3"/>
  <c r="DO168" i="1"/>
  <c r="DN168" i="1"/>
  <c r="AL70" i="14"/>
  <c r="AG70" i="14"/>
  <c r="E61" i="8"/>
  <c r="AL167" i="14"/>
  <c r="AG167" i="14"/>
  <c r="M8" i="13"/>
  <c r="U8" i="13" s="1"/>
  <c r="D4" i="19" s="1"/>
  <c r="H232" i="21" s="1"/>
  <c r="K20" i="11"/>
  <c r="F171" i="9"/>
  <c r="EO169" i="3"/>
  <c r="EC169" i="3"/>
  <c r="J173" i="21" s="1"/>
  <c r="EM169" i="3"/>
  <c r="AN173" i="21" s="1"/>
  <c r="CI169" i="3"/>
  <c r="EL169" i="3"/>
  <c r="AK173" i="21" s="1"/>
  <c r="CH169" i="3"/>
  <c r="EK169" i="3"/>
  <c r="CG169" i="3"/>
  <c r="EJ169" i="3"/>
  <c r="AE173" i="21" s="1"/>
  <c r="EI169" i="3"/>
  <c r="AB173" i="21" s="1"/>
  <c r="EH169" i="3"/>
  <c r="Y173" i="21" s="1"/>
  <c r="CQ169" i="3"/>
  <c r="L171" i="9" s="1"/>
  <c r="EG169" i="3"/>
  <c r="V173" i="21" s="1"/>
  <c r="ER169" i="3"/>
  <c r="G173" i="22" s="1"/>
  <c r="EE169" i="3"/>
  <c r="P173" i="21" s="1"/>
  <c r="EN169" i="3"/>
  <c r="AQ173" i="21" s="1"/>
  <c r="CJ169" i="3"/>
  <c r="EQ169" i="3"/>
  <c r="EP169" i="3"/>
  <c r="EF169" i="3"/>
  <c r="S173" i="21" s="1"/>
  <c r="ED169" i="3"/>
  <c r="M173" i="21" s="1"/>
  <c r="EB169" i="3"/>
  <c r="G173" i="21" s="1"/>
  <c r="CK169" i="3"/>
  <c r="F14" i="9"/>
  <c r="EQ15" i="3"/>
  <c r="ER15" i="3" s="1"/>
  <c r="CK15" i="3"/>
  <c r="EO15" i="3"/>
  <c r="CJ15" i="3"/>
  <c r="EN15" i="3"/>
  <c r="AQ16" i="21" s="1"/>
  <c r="CI15" i="3"/>
  <c r="CH15" i="3"/>
  <c r="EJ15" i="3"/>
  <c r="AE16" i="21" s="1"/>
  <c r="EI15" i="3"/>
  <c r="AB16" i="21" s="1"/>
  <c r="EH15" i="3"/>
  <c r="Y16" i="21" s="1"/>
  <c r="EG15" i="3"/>
  <c r="V16" i="21" s="1"/>
  <c r="EK15" i="3"/>
  <c r="CG15" i="3"/>
  <c r="DL65" i="3"/>
  <c r="DK65" i="3"/>
  <c r="DM65" i="3"/>
  <c r="DJ65" i="3"/>
  <c r="D5" i="8"/>
  <c r="DM171" i="2"/>
  <c r="DL171" i="2"/>
  <c r="DK171" i="2"/>
  <c r="DJ171" i="2"/>
  <c r="E10" i="9"/>
  <c r="EJ11" i="2"/>
  <c r="AD12" i="21" s="1"/>
  <c r="EI11" i="2"/>
  <c r="EH11" i="2"/>
  <c r="EG11" i="2"/>
  <c r="U12" i="21" s="1"/>
  <c r="EQ11" i="2"/>
  <c r="CK11" i="2"/>
  <c r="EK11" i="2"/>
  <c r="CG11" i="2"/>
  <c r="CJ11" i="2"/>
  <c r="CI11" i="2"/>
  <c r="CH11" i="2"/>
  <c r="EO11" i="2"/>
  <c r="EN11" i="2"/>
  <c r="AP12" i="21" s="1"/>
  <c r="E164" i="9"/>
  <c r="EJ164" i="2"/>
  <c r="AD166" i="21" s="1"/>
  <c r="F166" i="20" s="1"/>
  <c r="CJ164" i="2"/>
  <c r="EI164" i="2"/>
  <c r="AA166" i="21" s="1"/>
  <c r="M166" i="20" s="1"/>
  <c r="CI164" i="2"/>
  <c r="EH164" i="2"/>
  <c r="X166" i="21" s="1"/>
  <c r="E166" i="20" s="1"/>
  <c r="CH164" i="2"/>
  <c r="EG164" i="2"/>
  <c r="U166" i="21" s="1"/>
  <c r="CG164" i="2"/>
  <c r="EQ164" i="2"/>
  <c r="EO164" i="2"/>
  <c r="EN164" i="2"/>
  <c r="AP166" i="21" s="1"/>
  <c r="G166" i="20" s="1"/>
  <c r="EM164" i="2"/>
  <c r="AM166" i="21" s="1"/>
  <c r="EK164" i="2"/>
  <c r="CK164" i="2"/>
  <c r="AE106" i="5"/>
  <c r="J106" i="9" s="1"/>
  <c r="C111" i="14" s="1"/>
  <c r="AE161" i="5"/>
  <c r="J161" i="9" s="1"/>
  <c r="C166" i="14" s="1"/>
  <c r="AE199" i="5"/>
  <c r="AE153" i="5"/>
  <c r="AE84" i="5"/>
  <c r="AE67" i="5"/>
  <c r="AE70" i="5"/>
  <c r="AE107" i="5"/>
  <c r="J107" i="9" s="1"/>
  <c r="C112" i="14" s="1"/>
  <c r="AE141" i="5"/>
  <c r="J141" i="9" s="1"/>
  <c r="C146" i="14" s="1"/>
  <c r="AE142" i="5"/>
  <c r="J142" i="9" s="1"/>
  <c r="C147" i="14" s="1"/>
  <c r="AE138" i="5"/>
  <c r="AE25" i="5"/>
  <c r="AE215" i="5"/>
  <c r="AE209" i="5"/>
  <c r="J210" i="9" s="1"/>
  <c r="C215" i="14" s="1"/>
  <c r="AE190" i="5"/>
  <c r="AE116" i="5"/>
  <c r="AE75" i="5"/>
  <c r="AE187" i="5"/>
  <c r="E31" i="22"/>
  <c r="L31" i="22" s="1"/>
  <c r="EP30" i="1"/>
  <c r="F41" i="9"/>
  <c r="EN41" i="3"/>
  <c r="AQ43" i="21" s="1"/>
  <c r="EM41" i="3"/>
  <c r="AN43" i="21" s="1"/>
  <c r="EL41" i="3"/>
  <c r="AK43" i="21" s="1"/>
  <c r="CK41" i="3"/>
  <c r="EJ41" i="3"/>
  <c r="AE43" i="21" s="1"/>
  <c r="CJ41" i="3"/>
  <c r="EH41" i="3"/>
  <c r="Y43" i="21" s="1"/>
  <c r="CH41" i="3"/>
  <c r="EG41" i="3"/>
  <c r="V43" i="21" s="1"/>
  <c r="CG41" i="3"/>
  <c r="CI41" i="3"/>
  <c r="EO41" i="3"/>
  <c r="EI41" i="3"/>
  <c r="AB43" i="21" s="1"/>
  <c r="EQ41" i="3"/>
  <c r="EK41" i="3" s="1"/>
  <c r="DO17" i="1"/>
  <c r="DN17" i="1"/>
  <c r="DK186" i="2"/>
  <c r="DM186" i="2"/>
  <c r="DL186" i="2"/>
  <c r="DJ186" i="2"/>
  <c r="AH178" i="14"/>
  <c r="AM178" i="14"/>
  <c r="F83" i="9"/>
  <c r="EI83" i="3"/>
  <c r="CI83" i="3"/>
  <c r="EH83" i="3"/>
  <c r="Y85" i="21" s="1"/>
  <c r="CH83" i="3"/>
  <c r="EQ83" i="3"/>
  <c r="EK83" i="3" s="1"/>
  <c r="CK83" i="3"/>
  <c r="CJ83" i="3"/>
  <c r="EN83" i="3"/>
  <c r="AQ85" i="21" s="1"/>
  <c r="EL83" i="3"/>
  <c r="AK85" i="21" s="1"/>
  <c r="EG83" i="3"/>
  <c r="V85" i="21" s="1"/>
  <c r="CG83" i="3"/>
  <c r="EO83" i="3"/>
  <c r="EM83" i="3"/>
  <c r="AN85" i="21" s="1"/>
  <c r="EJ83" i="3"/>
  <c r="AE85" i="21" s="1"/>
  <c r="DL195" i="2"/>
  <c r="DJ195" i="2"/>
  <c r="DM195" i="2"/>
  <c r="DK195" i="2"/>
  <c r="E175" i="9"/>
  <c r="EK175" i="2"/>
  <c r="CK175" i="2"/>
  <c r="EJ175" i="2"/>
  <c r="AD177" i="21" s="1"/>
  <c r="CJ175" i="2"/>
  <c r="EI175" i="2"/>
  <c r="AA177" i="21" s="1"/>
  <c r="CI175" i="2"/>
  <c r="EH175" i="2"/>
  <c r="X177" i="21" s="1"/>
  <c r="CH175" i="2"/>
  <c r="EG175" i="2"/>
  <c r="U177" i="21" s="1"/>
  <c r="CG175" i="2"/>
  <c r="ER175" i="2"/>
  <c r="F177" i="22" s="1"/>
  <c r="EF175" i="2"/>
  <c r="R177" i="21" s="1"/>
  <c r="EQ175" i="2"/>
  <c r="EE175" i="2"/>
  <c r="O177" i="21" s="1"/>
  <c r="CQ175" i="2"/>
  <c r="K175" i="9" s="1"/>
  <c r="EP175" i="2"/>
  <c r="ED175" i="2"/>
  <c r="L177" i="21" s="1"/>
  <c r="EO175" i="2"/>
  <c r="EC175" i="2"/>
  <c r="I177" i="21" s="1"/>
  <c r="EN175" i="2"/>
  <c r="AP177" i="21" s="1"/>
  <c r="EB175" i="2"/>
  <c r="F177" i="21" s="1"/>
  <c r="EM175" i="2"/>
  <c r="AM177" i="21" s="1"/>
  <c r="EL175" i="2"/>
  <c r="AJ177" i="21" s="1"/>
  <c r="AL233" i="14"/>
  <c r="AG233" i="14"/>
  <c r="DN98" i="1"/>
  <c r="DO98" i="1"/>
  <c r="F75" i="9"/>
  <c r="EH75" i="3"/>
  <c r="Y77" i="21" s="1"/>
  <c r="CH75" i="3"/>
  <c r="EO75" i="3"/>
  <c r="EN75" i="3"/>
  <c r="AQ77" i="21" s="1"/>
  <c r="CK75" i="3"/>
  <c r="EM75" i="3"/>
  <c r="AN77" i="21" s="1"/>
  <c r="CJ75" i="3"/>
  <c r="EL75" i="3"/>
  <c r="AK77" i="21" s="1"/>
  <c r="CI75" i="3"/>
  <c r="EK75" i="3"/>
  <c r="CG75" i="3"/>
  <c r="EJ75" i="3"/>
  <c r="AE77" i="21" s="1"/>
  <c r="EG75" i="3"/>
  <c r="V77" i="21" s="1"/>
  <c r="EQ75" i="3"/>
  <c r="EI75" i="3"/>
  <c r="N19" i="11"/>
  <c r="P7" i="13"/>
  <c r="X7" i="13" s="1"/>
  <c r="DM106" i="3"/>
  <c r="DL106" i="3"/>
  <c r="DK106" i="3"/>
  <c r="DJ106" i="3"/>
  <c r="AM8" i="14"/>
  <c r="AH8" i="14"/>
  <c r="AM163" i="14"/>
  <c r="AH163" i="14"/>
  <c r="DM79" i="3"/>
  <c r="DJ79" i="3"/>
  <c r="DK79" i="3"/>
  <c r="DL79" i="3"/>
  <c r="E180" i="22"/>
  <c r="L180" i="22" s="1"/>
  <c r="EP179" i="1"/>
  <c r="F203" i="9"/>
  <c r="EH200" i="3"/>
  <c r="Y205" i="21" s="1"/>
  <c r="CH200" i="3"/>
  <c r="ER200" i="3"/>
  <c r="G205" i="22" s="1"/>
  <c r="EF200" i="3"/>
  <c r="S205" i="21" s="1"/>
  <c r="EQ200" i="3"/>
  <c r="EE200" i="3"/>
  <c r="P205" i="21" s="1"/>
  <c r="CQ200" i="3"/>
  <c r="L203" i="9" s="1"/>
  <c r="EP200" i="3"/>
  <c r="ED200" i="3"/>
  <c r="M205" i="21" s="1"/>
  <c r="EO200" i="3"/>
  <c r="EC200" i="3"/>
  <c r="J205" i="21" s="1"/>
  <c r="EL200" i="3"/>
  <c r="AK205" i="21" s="1"/>
  <c r="EK200" i="3"/>
  <c r="CK200" i="3"/>
  <c r="EN200" i="3"/>
  <c r="AQ205" i="21" s="1"/>
  <c r="EM200" i="3"/>
  <c r="AN205" i="21" s="1"/>
  <c r="EJ200" i="3"/>
  <c r="AE205" i="21" s="1"/>
  <c r="CJ200" i="3"/>
  <c r="EG200" i="3"/>
  <c r="V205" i="21" s="1"/>
  <c r="CG200" i="3"/>
  <c r="EB200" i="3"/>
  <c r="G205" i="21" s="1"/>
  <c r="CI200" i="3"/>
  <c r="EI200" i="3"/>
  <c r="AB205" i="21" s="1"/>
  <c r="E88" i="22"/>
  <c r="L88" i="22" s="1"/>
  <c r="EP87" i="1"/>
  <c r="E74" i="9"/>
  <c r="EJ75" i="2"/>
  <c r="AD76" i="21" s="1"/>
  <c r="F76" i="20" s="1"/>
  <c r="CJ75" i="2"/>
  <c r="EI75" i="2"/>
  <c r="AA76" i="21" s="1"/>
  <c r="M76" i="20" s="1"/>
  <c r="CI75" i="2"/>
  <c r="EH75" i="2"/>
  <c r="X76" i="21" s="1"/>
  <c r="E76" i="20" s="1"/>
  <c r="CH75" i="2"/>
  <c r="EG75" i="2"/>
  <c r="U76" i="21" s="1"/>
  <c r="CG75" i="2"/>
  <c r="EQ75" i="2"/>
  <c r="EO75" i="2"/>
  <c r="EN75" i="2"/>
  <c r="AP76" i="21" s="1"/>
  <c r="G76" i="20" s="1"/>
  <c r="EK75" i="2"/>
  <c r="CK75" i="2"/>
  <c r="EM75" i="2"/>
  <c r="AM76" i="21" s="1"/>
  <c r="DL168" i="3"/>
  <c r="DM168" i="3"/>
  <c r="DJ168" i="3"/>
  <c r="DK168" i="3"/>
  <c r="DM4" i="3"/>
  <c r="DK4" i="3"/>
  <c r="DJ4" i="3"/>
  <c r="DL4" i="3"/>
  <c r="AL215" i="14"/>
  <c r="AG215" i="14"/>
  <c r="ER99" i="1"/>
  <c r="AL172" i="14"/>
  <c r="AG172" i="14"/>
  <c r="AH151" i="14"/>
  <c r="AM151" i="14"/>
  <c r="AN209" i="14"/>
  <c r="AI209" i="14"/>
  <c r="DM176" i="3"/>
  <c r="DL176" i="3"/>
  <c r="DJ176" i="3"/>
  <c r="DK176" i="3"/>
  <c r="AF17" i="21"/>
  <c r="H17" i="22"/>
  <c r="AH214" i="14"/>
  <c r="AM214" i="14"/>
  <c r="AI9" i="14"/>
  <c r="AN9" i="14"/>
  <c r="L6" i="22"/>
  <c r="F88" i="9"/>
  <c r="EG88" i="3"/>
  <c r="V90" i="21" s="1"/>
  <c r="CG88" i="3"/>
  <c r="EO88" i="3"/>
  <c r="EQ88" i="3"/>
  <c r="CK88" i="3"/>
  <c r="EN88" i="3"/>
  <c r="AQ90" i="21" s="1"/>
  <c r="CJ88" i="3"/>
  <c r="EJ88" i="3"/>
  <c r="AE90" i="21" s="1"/>
  <c r="EH88" i="3"/>
  <c r="ER88" i="3"/>
  <c r="EK88" i="3"/>
  <c r="EI88" i="3"/>
  <c r="AB90" i="21" s="1"/>
  <c r="CH88" i="3"/>
  <c r="CI88" i="3"/>
  <c r="U69" i="15"/>
  <c r="T69" i="15"/>
  <c r="DN162" i="1"/>
  <c r="DO162" i="1"/>
  <c r="DM179" i="2"/>
  <c r="DL179" i="2"/>
  <c r="DK179" i="2"/>
  <c r="DJ179" i="2"/>
  <c r="DL134" i="3"/>
  <c r="DK134" i="3"/>
  <c r="DJ134" i="3"/>
  <c r="DM134" i="3"/>
  <c r="H84" i="22"/>
  <c r="L84" i="22" s="1"/>
  <c r="AF84" i="21"/>
  <c r="E163" i="9"/>
  <c r="EK163" i="2"/>
  <c r="CK163" i="2"/>
  <c r="EJ163" i="2"/>
  <c r="AD165" i="21" s="1"/>
  <c r="CJ163" i="2"/>
  <c r="EI163" i="2"/>
  <c r="AA165" i="21" s="1"/>
  <c r="CI163" i="2"/>
  <c r="EH163" i="2"/>
  <c r="X165" i="21" s="1"/>
  <c r="CH163" i="2"/>
  <c r="EG163" i="2"/>
  <c r="U165" i="21" s="1"/>
  <c r="CG163" i="2"/>
  <c r="ER163" i="2"/>
  <c r="F165" i="22" s="1"/>
  <c r="EF163" i="2"/>
  <c r="R165" i="21" s="1"/>
  <c r="EQ163" i="2"/>
  <c r="EE163" i="2"/>
  <c r="O165" i="21" s="1"/>
  <c r="CQ163" i="2"/>
  <c r="K163" i="9" s="1"/>
  <c r="EP163" i="2"/>
  <c r="ED163" i="2"/>
  <c r="L165" i="21" s="1"/>
  <c r="EO163" i="2"/>
  <c r="EC163" i="2"/>
  <c r="I165" i="21" s="1"/>
  <c r="EN163" i="2"/>
  <c r="AP165" i="21" s="1"/>
  <c r="EB163" i="2"/>
  <c r="F165" i="21" s="1"/>
  <c r="EM163" i="2"/>
  <c r="AM165" i="21" s="1"/>
  <c r="EL163" i="2"/>
  <c r="AJ165" i="21" s="1"/>
  <c r="DK186" i="3"/>
  <c r="DL186" i="3"/>
  <c r="DJ186" i="3"/>
  <c r="DM186" i="3"/>
  <c r="E7" i="9"/>
  <c r="EN8" i="2"/>
  <c r="AP9" i="21" s="1"/>
  <c r="G9" i="20" s="1"/>
  <c r="EK8" i="2"/>
  <c r="CK8" i="2"/>
  <c r="EJ8" i="2"/>
  <c r="AD9" i="21" s="1"/>
  <c r="F9" i="20" s="1"/>
  <c r="CJ8" i="2"/>
  <c r="EI8" i="2"/>
  <c r="AA9" i="21" s="1"/>
  <c r="M9" i="20" s="1"/>
  <c r="CI8" i="2"/>
  <c r="EH8" i="2"/>
  <c r="X9" i="21" s="1"/>
  <c r="E9" i="20" s="1"/>
  <c r="CH8" i="2"/>
  <c r="EG8" i="2"/>
  <c r="U9" i="21" s="1"/>
  <c r="CG8" i="2"/>
  <c r="EO8" i="2"/>
  <c r="EQ8" i="2"/>
  <c r="M6" i="9"/>
  <c r="AL8" i="14"/>
  <c r="AG8" i="14"/>
  <c r="H38" i="22"/>
  <c r="AF38" i="21"/>
  <c r="P6" i="13"/>
  <c r="X6" i="13" s="1"/>
  <c r="N18" i="11"/>
  <c r="AF217" i="21"/>
  <c r="H217" i="22"/>
  <c r="AN194" i="14"/>
  <c r="AI194" i="14"/>
  <c r="DM31" i="3"/>
  <c r="DL31" i="3"/>
  <c r="DK31" i="3"/>
  <c r="DJ31" i="3"/>
  <c r="AI208" i="14"/>
  <c r="AN208" i="14"/>
  <c r="F121" i="9"/>
  <c r="EL121" i="3"/>
  <c r="AK123" i="21" s="1"/>
  <c r="CH121" i="3"/>
  <c r="CG121" i="3"/>
  <c r="EJ121" i="3"/>
  <c r="AE123" i="21" s="1"/>
  <c r="EI121" i="3"/>
  <c r="AB123" i="21" s="1"/>
  <c r="EH121" i="3"/>
  <c r="Y123" i="21" s="1"/>
  <c r="EG121" i="3"/>
  <c r="V123" i="21" s="1"/>
  <c r="EQ121" i="3"/>
  <c r="EK121" i="3" s="1"/>
  <c r="EO121" i="3"/>
  <c r="CK121" i="3"/>
  <c r="EN121" i="3"/>
  <c r="AQ123" i="21" s="1"/>
  <c r="EM121" i="3"/>
  <c r="AN123" i="21" s="1"/>
  <c r="CJ121" i="3"/>
  <c r="CI121" i="3"/>
  <c r="F109" i="9"/>
  <c r="EL109" i="3"/>
  <c r="AK111" i="21" s="1"/>
  <c r="CK109" i="3"/>
  <c r="EJ109" i="3"/>
  <c r="AE111" i="21" s="1"/>
  <c r="CJ109" i="3"/>
  <c r="EI109" i="3"/>
  <c r="CI109" i="3"/>
  <c r="EH109" i="3"/>
  <c r="Y111" i="21" s="1"/>
  <c r="CH109" i="3"/>
  <c r="EG109" i="3"/>
  <c r="V111" i="21" s="1"/>
  <c r="CG109" i="3"/>
  <c r="EO109" i="3"/>
  <c r="EQ109" i="3"/>
  <c r="EK109" i="3" s="1"/>
  <c r="EN109" i="3"/>
  <c r="AQ111" i="21" s="1"/>
  <c r="EM109" i="3"/>
  <c r="AN111" i="21" s="1"/>
  <c r="AF99" i="21"/>
  <c r="H99" i="22"/>
  <c r="L99" i="22" s="1"/>
  <c r="EL99" i="1"/>
  <c r="AI100" i="21" s="1"/>
  <c r="F70" i="9"/>
  <c r="EN70" i="3"/>
  <c r="AQ72" i="21" s="1"/>
  <c r="EK70" i="3"/>
  <c r="CK70" i="3"/>
  <c r="EJ70" i="3"/>
  <c r="AE72" i="21" s="1"/>
  <c r="CJ70" i="3"/>
  <c r="EI70" i="3"/>
  <c r="AB72" i="21" s="1"/>
  <c r="CI70" i="3"/>
  <c r="EH70" i="3"/>
  <c r="CH70" i="3"/>
  <c r="EQ70" i="3"/>
  <c r="CG70" i="3"/>
  <c r="EO70" i="3"/>
  <c r="EG70" i="3"/>
  <c r="V72" i="21" s="1"/>
  <c r="AM201" i="14"/>
  <c r="AH201" i="14"/>
  <c r="E121" i="9"/>
  <c r="EN122" i="2"/>
  <c r="AP123" i="21" s="1"/>
  <c r="G123" i="20" s="1"/>
  <c r="EM122" i="2"/>
  <c r="AM123" i="21" s="1"/>
  <c r="EL122" i="2"/>
  <c r="AJ123" i="21" s="1"/>
  <c r="N123" i="20" s="1"/>
  <c r="CK122" i="2"/>
  <c r="EJ122" i="2"/>
  <c r="AD123" i="21" s="1"/>
  <c r="F123" i="20" s="1"/>
  <c r="CJ122" i="2"/>
  <c r="EI122" i="2"/>
  <c r="AA123" i="21" s="1"/>
  <c r="CI122" i="2"/>
  <c r="EH122" i="2"/>
  <c r="X123" i="21" s="1"/>
  <c r="E123" i="20" s="1"/>
  <c r="CH122" i="2"/>
  <c r="EG122" i="2"/>
  <c r="U123" i="21" s="1"/>
  <c r="CG122" i="2"/>
  <c r="EO122" i="2"/>
  <c r="EQ122" i="2"/>
  <c r="EK122" i="2" s="1"/>
  <c r="AH199" i="14"/>
  <c r="AM199" i="14"/>
  <c r="N59" i="20"/>
  <c r="J151" i="9"/>
  <c r="C156" i="14" s="1"/>
  <c r="AF153" i="21"/>
  <c r="H153" i="22"/>
  <c r="L153" i="22" s="1"/>
  <c r="E64" i="22"/>
  <c r="L64" i="22" s="1"/>
  <c r="EP63" i="1"/>
  <c r="DM207" i="3"/>
  <c r="DL207" i="3"/>
  <c r="DK207" i="3"/>
  <c r="DJ207" i="3"/>
  <c r="E180" i="9"/>
  <c r="EP180" i="2"/>
  <c r="ED180" i="2"/>
  <c r="L182" i="21" s="1"/>
  <c r="EK180" i="2"/>
  <c r="CG180" i="2"/>
  <c r="EJ180" i="2"/>
  <c r="AD182" i="21" s="1"/>
  <c r="EI180" i="2"/>
  <c r="AA182" i="21" s="1"/>
  <c r="EH180" i="2"/>
  <c r="X182" i="21" s="1"/>
  <c r="CQ180" i="2"/>
  <c r="K180" i="9" s="1"/>
  <c r="EG180" i="2"/>
  <c r="U182" i="21" s="1"/>
  <c r="EF180" i="2"/>
  <c r="R182" i="21" s="1"/>
  <c r="ER180" i="2"/>
  <c r="F182" i="22" s="1"/>
  <c r="EE180" i="2"/>
  <c r="O182" i="21" s="1"/>
  <c r="EQ180" i="2"/>
  <c r="EC180" i="2"/>
  <c r="I182" i="21" s="1"/>
  <c r="EO180" i="2"/>
  <c r="EB180" i="2"/>
  <c r="F182" i="21" s="1"/>
  <c r="CK180" i="2"/>
  <c r="EN180" i="2"/>
  <c r="AP182" i="21" s="1"/>
  <c r="CJ180" i="2"/>
  <c r="CI180" i="2"/>
  <c r="CH180" i="2"/>
  <c r="EM180" i="2"/>
  <c r="AM182" i="21" s="1"/>
  <c r="EL180" i="2"/>
  <c r="AJ182" i="21" s="1"/>
  <c r="F91" i="22"/>
  <c r="M91" i="22" s="1"/>
  <c r="C91" i="22" s="1"/>
  <c r="EP90" i="2"/>
  <c r="E183" i="9"/>
  <c r="EM183" i="2"/>
  <c r="AM185" i="21" s="1"/>
  <c r="EJ183" i="2"/>
  <c r="AD185" i="21" s="1"/>
  <c r="F185" i="20" s="1"/>
  <c r="CG183" i="2"/>
  <c r="EI183" i="2"/>
  <c r="AA185" i="21" s="1"/>
  <c r="M185" i="20" s="1"/>
  <c r="EH183" i="2"/>
  <c r="X185" i="21" s="1"/>
  <c r="E185" i="20" s="1"/>
  <c r="EG183" i="2"/>
  <c r="U185" i="21" s="1"/>
  <c r="EQ183" i="2"/>
  <c r="EO183" i="2"/>
  <c r="CK183" i="2"/>
  <c r="EN183" i="2"/>
  <c r="AP185" i="21" s="1"/>
  <c r="CJ183" i="2"/>
  <c r="EL183" i="2"/>
  <c r="AJ185" i="21" s="1"/>
  <c r="N185" i="20" s="1"/>
  <c r="EK183" i="2"/>
  <c r="CH183" i="2"/>
  <c r="CI183" i="2"/>
  <c r="E198" i="9"/>
  <c r="EH198" i="2"/>
  <c r="X200" i="21" s="1"/>
  <c r="CH198" i="2"/>
  <c r="EG198" i="2"/>
  <c r="U200" i="21" s="1"/>
  <c r="CG198" i="2"/>
  <c r="ER198" i="2"/>
  <c r="F200" i="22" s="1"/>
  <c r="EF198" i="2"/>
  <c r="R200" i="21" s="1"/>
  <c r="EQ198" i="2"/>
  <c r="EE198" i="2"/>
  <c r="O200" i="21" s="1"/>
  <c r="CQ198" i="2"/>
  <c r="K198" i="9" s="1"/>
  <c r="EP198" i="2"/>
  <c r="ED198" i="2"/>
  <c r="L200" i="21" s="1"/>
  <c r="EO198" i="2"/>
  <c r="EC198" i="2"/>
  <c r="I200" i="21" s="1"/>
  <c r="EL198" i="2"/>
  <c r="AJ200" i="21" s="1"/>
  <c r="EK198" i="2"/>
  <c r="CK198" i="2"/>
  <c r="EJ198" i="2"/>
  <c r="AD200" i="21" s="1"/>
  <c r="CJ198" i="2"/>
  <c r="EN198" i="2"/>
  <c r="AP200" i="21" s="1"/>
  <c r="EM198" i="2"/>
  <c r="AM200" i="21" s="1"/>
  <c r="EI198" i="2"/>
  <c r="AA200" i="21" s="1"/>
  <c r="EB198" i="2"/>
  <c r="F200" i="21" s="1"/>
  <c r="CI198" i="2"/>
  <c r="F105" i="9"/>
  <c r="EO105" i="3"/>
  <c r="EN105" i="3"/>
  <c r="AQ107" i="21" s="1"/>
  <c r="EM105" i="3"/>
  <c r="AN107" i="21" s="1"/>
  <c r="CK105" i="3"/>
  <c r="EJ105" i="3"/>
  <c r="AE107" i="21" s="1"/>
  <c r="CJ105" i="3"/>
  <c r="EH105" i="3"/>
  <c r="Y107" i="21" s="1"/>
  <c r="CH105" i="3"/>
  <c r="EG105" i="3"/>
  <c r="V107" i="21" s="1"/>
  <c r="CG105" i="3"/>
  <c r="EQ105" i="3"/>
  <c r="EK105" i="3" s="1"/>
  <c r="EI105" i="3"/>
  <c r="CI105" i="3"/>
  <c r="E70" i="9"/>
  <c r="EN71" i="2"/>
  <c r="AP72" i="21" s="1"/>
  <c r="G72" i="20" s="1"/>
  <c r="EM71" i="2"/>
  <c r="AM72" i="21" s="1"/>
  <c r="EL71" i="2"/>
  <c r="AJ72" i="21" s="1"/>
  <c r="CK71" i="2"/>
  <c r="EJ71" i="2"/>
  <c r="AD72" i="21" s="1"/>
  <c r="CJ71" i="2"/>
  <c r="EI71" i="2"/>
  <c r="AA72" i="21" s="1"/>
  <c r="CI71" i="2"/>
  <c r="EH71" i="2"/>
  <c r="X72" i="21" s="1"/>
  <c r="CH71" i="2"/>
  <c r="EG71" i="2"/>
  <c r="U72" i="21" s="1"/>
  <c r="CG71" i="2"/>
  <c r="ER71" i="2"/>
  <c r="EO71" i="2"/>
  <c r="EQ71" i="2"/>
  <c r="EK71" i="2" s="1"/>
  <c r="E75" i="22"/>
  <c r="L75" i="22" s="1"/>
  <c r="EP74" i="1"/>
  <c r="E130" i="9"/>
  <c r="EO131" i="2"/>
  <c r="EC131" i="2"/>
  <c r="I132" i="21" s="1"/>
  <c r="EI131" i="2"/>
  <c r="AA132" i="21" s="1"/>
  <c r="EH131" i="2"/>
  <c r="X132" i="21" s="1"/>
  <c r="CQ131" i="2"/>
  <c r="K130" i="9" s="1"/>
  <c r="EG131" i="2"/>
  <c r="U132" i="21" s="1"/>
  <c r="EF131" i="2"/>
  <c r="R132" i="21" s="1"/>
  <c r="ER131" i="2"/>
  <c r="F132" i="22" s="1"/>
  <c r="EE131" i="2"/>
  <c r="O132" i="21" s="1"/>
  <c r="EQ131" i="2"/>
  <c r="ED131" i="2"/>
  <c r="L132" i="21" s="1"/>
  <c r="EP131" i="2"/>
  <c r="EB131" i="2"/>
  <c r="F132" i="21" s="1"/>
  <c r="CK131" i="2"/>
  <c r="EN131" i="2"/>
  <c r="AP132" i="21" s="1"/>
  <c r="CJ131" i="2"/>
  <c r="EM131" i="2"/>
  <c r="AM132" i="21" s="1"/>
  <c r="CI131" i="2"/>
  <c r="EJ131" i="2"/>
  <c r="AD132" i="21" s="1"/>
  <c r="EL131" i="2"/>
  <c r="AJ132" i="21" s="1"/>
  <c r="CH131" i="2"/>
  <c r="EK131" i="2"/>
  <c r="CG131" i="2"/>
  <c r="E151" i="22"/>
  <c r="L151" i="22" s="1"/>
  <c r="EP150" i="1"/>
  <c r="DO182" i="1"/>
  <c r="DN182" i="1"/>
  <c r="F13" i="9"/>
  <c r="EM14" i="3"/>
  <c r="AN15" i="21" s="1"/>
  <c r="EN14" i="3"/>
  <c r="AQ15" i="21" s="1"/>
  <c r="CJ14" i="3"/>
  <c r="CI14" i="3"/>
  <c r="CH14" i="3"/>
  <c r="EJ14" i="3"/>
  <c r="AE15" i="21" s="1"/>
  <c r="CG14" i="3"/>
  <c r="EI14" i="3"/>
  <c r="AB15" i="21" s="1"/>
  <c r="EH14" i="3"/>
  <c r="Y15" i="21" s="1"/>
  <c r="ER14" i="3"/>
  <c r="EQ14" i="3"/>
  <c r="EK14" i="3" s="1"/>
  <c r="CK14" i="3"/>
  <c r="EO14" i="3"/>
  <c r="EG14" i="3"/>
  <c r="V15" i="21" s="1"/>
  <c r="DL163" i="2"/>
  <c r="DK163" i="2"/>
  <c r="DJ163" i="2"/>
  <c r="DM163" i="2"/>
  <c r="E40" i="9"/>
  <c r="EQ41" i="2"/>
  <c r="EK41" i="2" s="1"/>
  <c r="EN41" i="2"/>
  <c r="AP42" i="21" s="1"/>
  <c r="EJ41" i="2"/>
  <c r="AD42" i="21" s="1"/>
  <c r="F42" i="20" s="1"/>
  <c r="CJ41" i="2"/>
  <c r="CI41" i="2"/>
  <c r="CH41" i="2"/>
  <c r="EO41" i="2"/>
  <c r="CG41" i="2"/>
  <c r="EM41" i="2"/>
  <c r="AM42" i="21" s="1"/>
  <c r="EL41" i="2"/>
  <c r="AJ42" i="21" s="1"/>
  <c r="N42" i="20" s="1"/>
  <c r="EI41" i="2"/>
  <c r="AA42" i="21" s="1"/>
  <c r="M42" i="20" s="1"/>
  <c r="EH41" i="2"/>
  <c r="X42" i="21" s="1"/>
  <c r="E42" i="20" s="1"/>
  <c r="CK41" i="2"/>
  <c r="EG41" i="2"/>
  <c r="U42" i="21" s="1"/>
  <c r="E146" i="9"/>
  <c r="EO146" i="2"/>
  <c r="EC146" i="2"/>
  <c r="I148" i="21" s="1"/>
  <c r="EN146" i="2"/>
  <c r="AP148" i="21" s="1"/>
  <c r="EB146" i="2"/>
  <c r="F148" i="21" s="1"/>
  <c r="EL146" i="2"/>
  <c r="AJ148" i="21" s="1"/>
  <c r="EH146" i="2"/>
  <c r="X148" i="21" s="1"/>
  <c r="CH146" i="2"/>
  <c r="EG146" i="2"/>
  <c r="U148" i="21" s="1"/>
  <c r="CG146" i="2"/>
  <c r="EE146" i="2"/>
  <c r="O148" i="21" s="1"/>
  <c r="ED146" i="2"/>
  <c r="L148" i="21" s="1"/>
  <c r="CK146" i="2"/>
  <c r="CJ146" i="2"/>
  <c r="CI146" i="2"/>
  <c r="ER146" i="2"/>
  <c r="F148" i="22" s="1"/>
  <c r="EQ146" i="2"/>
  <c r="EP146" i="2"/>
  <c r="EM146" i="2"/>
  <c r="AM148" i="21" s="1"/>
  <c r="EK146" i="2"/>
  <c r="EF146" i="2"/>
  <c r="R148" i="21" s="1"/>
  <c r="EJ146" i="2"/>
  <c r="AD148" i="21" s="1"/>
  <c r="EI146" i="2"/>
  <c r="AA148" i="21" s="1"/>
  <c r="CQ146" i="2"/>
  <c r="K146" i="9" s="1"/>
  <c r="AL209" i="14"/>
  <c r="AG209" i="14"/>
  <c r="F159" i="9"/>
  <c r="EQ158" i="3"/>
  <c r="EE158" i="3"/>
  <c r="P161" i="21" s="1"/>
  <c r="CQ158" i="3"/>
  <c r="L159" i="9" s="1"/>
  <c r="EP158" i="3"/>
  <c r="ED158" i="3"/>
  <c r="M161" i="21" s="1"/>
  <c r="EO158" i="3"/>
  <c r="EC158" i="3"/>
  <c r="J161" i="21" s="1"/>
  <c r="EN158" i="3"/>
  <c r="AQ161" i="21" s="1"/>
  <c r="EB158" i="3"/>
  <c r="G161" i="21" s="1"/>
  <c r="EM158" i="3"/>
  <c r="AN161" i="21" s="1"/>
  <c r="EL158" i="3"/>
  <c r="AK161" i="21" s="1"/>
  <c r="EK158" i="3"/>
  <c r="CK158" i="3"/>
  <c r="EI158" i="3"/>
  <c r="AB161" i="21" s="1"/>
  <c r="CI158" i="3"/>
  <c r="ER158" i="3"/>
  <c r="G161" i="22" s="1"/>
  <c r="EF158" i="3"/>
  <c r="S161" i="21" s="1"/>
  <c r="EJ158" i="3"/>
  <c r="AE161" i="21" s="1"/>
  <c r="EH158" i="3"/>
  <c r="Y161" i="21" s="1"/>
  <c r="EG158" i="3"/>
  <c r="V161" i="21" s="1"/>
  <c r="CJ158" i="3"/>
  <c r="CH158" i="3"/>
  <c r="CG158" i="3"/>
  <c r="DM193" i="3"/>
  <c r="DL193" i="3"/>
  <c r="DK193" i="3"/>
  <c r="DJ193" i="3"/>
  <c r="DM155" i="3"/>
  <c r="DJ155" i="3"/>
  <c r="DL155" i="3"/>
  <c r="DK155" i="3"/>
  <c r="E64" i="9"/>
  <c r="EH65" i="2"/>
  <c r="X66" i="21" s="1"/>
  <c r="E66" i="20" s="1"/>
  <c r="CH65" i="2"/>
  <c r="EG65" i="2"/>
  <c r="U66" i="21" s="1"/>
  <c r="CG65" i="2"/>
  <c r="EQ65" i="2"/>
  <c r="EK65" i="2" s="1"/>
  <c r="EO65" i="2"/>
  <c r="EN65" i="2"/>
  <c r="AP66" i="21" s="1"/>
  <c r="G66" i="20" s="1"/>
  <c r="EM65" i="2"/>
  <c r="AM66" i="21" s="1"/>
  <c r="EL65" i="2"/>
  <c r="AJ66" i="21" s="1"/>
  <c r="EI65" i="2"/>
  <c r="AA66" i="21" s="1"/>
  <c r="M66" i="20" s="1"/>
  <c r="CI65" i="2"/>
  <c r="CK65" i="2"/>
  <c r="CJ65" i="2"/>
  <c r="EJ65" i="2"/>
  <c r="AD66" i="21" s="1"/>
  <c r="F66" i="20" s="1"/>
  <c r="N138" i="20"/>
  <c r="H189" i="22"/>
  <c r="L189" i="22" s="1"/>
  <c r="AF189" i="21"/>
  <c r="AH9" i="14"/>
  <c r="AM9" i="14"/>
  <c r="E79" i="22"/>
  <c r="L79" i="22" s="1"/>
  <c r="EP78" i="1"/>
  <c r="F186" i="9"/>
  <c r="EM183" i="3"/>
  <c r="AN188" i="21" s="1"/>
  <c r="EK183" i="3"/>
  <c r="CK183" i="3"/>
  <c r="EJ183" i="3"/>
  <c r="AE188" i="21" s="1"/>
  <c r="CJ183" i="3"/>
  <c r="EI183" i="3"/>
  <c r="AB188" i="21" s="1"/>
  <c r="CI183" i="3"/>
  <c r="EH183" i="3"/>
  <c r="Y188" i="21" s="1"/>
  <c r="CH183" i="3"/>
  <c r="EQ183" i="3"/>
  <c r="EE183" i="3"/>
  <c r="P188" i="21" s="1"/>
  <c r="CQ183" i="3"/>
  <c r="L186" i="9" s="1"/>
  <c r="ER183" i="3"/>
  <c r="G188" i="22" s="1"/>
  <c r="CG183" i="3"/>
  <c r="EP183" i="3"/>
  <c r="EO183" i="3"/>
  <c r="EN183" i="3"/>
  <c r="AQ188" i="21" s="1"/>
  <c r="EL183" i="3"/>
  <c r="AK188" i="21" s="1"/>
  <c r="EG183" i="3"/>
  <c r="V188" i="21" s="1"/>
  <c r="ED183" i="3"/>
  <c r="M188" i="21" s="1"/>
  <c r="EB183" i="3"/>
  <c r="G188" i="21" s="1"/>
  <c r="EC183" i="3"/>
  <c r="J188" i="21" s="1"/>
  <c r="EF183" i="3"/>
  <c r="S188" i="21" s="1"/>
  <c r="E197" i="9"/>
  <c r="EI197" i="2"/>
  <c r="AA199" i="21" s="1"/>
  <c r="CI197" i="2"/>
  <c r="EG197" i="2"/>
  <c r="U199" i="21" s="1"/>
  <c r="CG197" i="2"/>
  <c r="ER197" i="2"/>
  <c r="F199" i="22" s="1"/>
  <c r="EQ197" i="2"/>
  <c r="EK197" i="2"/>
  <c r="CK197" i="2"/>
  <c r="CJ197" i="2"/>
  <c r="EO197" i="2"/>
  <c r="CH197" i="2"/>
  <c r="EN197" i="2"/>
  <c r="AP199" i="21" s="1"/>
  <c r="G199" i="20" s="1"/>
  <c r="EJ197" i="2"/>
  <c r="AD199" i="21" s="1"/>
  <c r="F199" i="20" s="1"/>
  <c r="EH197" i="2"/>
  <c r="F22" i="9"/>
  <c r="EJ23" i="3"/>
  <c r="AE24" i="21" s="1"/>
  <c r="CJ23" i="3"/>
  <c r="EG23" i="3"/>
  <c r="V24" i="21" s="1"/>
  <c r="CG23" i="3"/>
  <c r="EQ23" i="3"/>
  <c r="EK23" i="3" s="1"/>
  <c r="EN23" i="3"/>
  <c r="AQ24" i="21" s="1"/>
  <c r="EH23" i="3"/>
  <c r="CK23" i="3"/>
  <c r="CI23" i="3"/>
  <c r="CH23" i="3"/>
  <c r="EO23" i="3"/>
  <c r="EI23" i="3"/>
  <c r="AB24" i="21" s="1"/>
  <c r="E50" i="9"/>
  <c r="EH51" i="2"/>
  <c r="X52" i="21" s="1"/>
  <c r="E52" i="20" s="1"/>
  <c r="CH51" i="2"/>
  <c r="EG51" i="2"/>
  <c r="U52" i="21" s="1"/>
  <c r="CG51" i="2"/>
  <c r="EQ51" i="2"/>
  <c r="EK51" i="2" s="1"/>
  <c r="EN51" i="2"/>
  <c r="AP52" i="21" s="1"/>
  <c r="G52" i="20" s="1"/>
  <c r="EM51" i="2"/>
  <c r="AM52" i="21" s="1"/>
  <c r="EO51" i="2"/>
  <c r="EJ51" i="2"/>
  <c r="AD52" i="21" s="1"/>
  <c r="F52" i="20" s="1"/>
  <c r="EI51" i="2"/>
  <c r="CI51" i="2"/>
  <c r="CK51" i="2"/>
  <c r="CJ51" i="2"/>
  <c r="E167" i="9"/>
  <c r="EG167" i="2"/>
  <c r="U169" i="21" s="1"/>
  <c r="CG167" i="2"/>
  <c r="ER167" i="2"/>
  <c r="F169" i="22" s="1"/>
  <c r="EF167" i="2"/>
  <c r="R169" i="21" s="1"/>
  <c r="EQ167" i="2"/>
  <c r="EE167" i="2"/>
  <c r="O169" i="21" s="1"/>
  <c r="CQ167" i="2"/>
  <c r="K167" i="9" s="1"/>
  <c r="EP167" i="2"/>
  <c r="ED167" i="2"/>
  <c r="L169" i="21" s="1"/>
  <c r="EO167" i="2"/>
  <c r="EC167" i="2"/>
  <c r="I169" i="21" s="1"/>
  <c r="EN167" i="2"/>
  <c r="AP169" i="21" s="1"/>
  <c r="EB167" i="2"/>
  <c r="F169" i="21" s="1"/>
  <c r="EM167" i="2"/>
  <c r="AM169" i="21" s="1"/>
  <c r="EL167" i="2"/>
  <c r="AJ169" i="21" s="1"/>
  <c r="EK167" i="2"/>
  <c r="CK167" i="2"/>
  <c r="EJ167" i="2"/>
  <c r="AD169" i="21" s="1"/>
  <c r="CJ167" i="2"/>
  <c r="EI167" i="2"/>
  <c r="AA169" i="21" s="1"/>
  <c r="EH167" i="2"/>
  <c r="X169" i="21" s="1"/>
  <c r="CI167" i="2"/>
  <c r="CH167" i="2"/>
  <c r="AN70" i="14"/>
  <c r="AI70" i="14"/>
  <c r="EM165" i="1"/>
  <c r="AL166" i="21" s="1"/>
  <c r="L114" i="22"/>
  <c r="T74" i="16"/>
  <c r="S74" i="16"/>
  <c r="E22" i="9"/>
  <c r="EJ23" i="2"/>
  <c r="AD24" i="21" s="1"/>
  <c r="CJ23" i="2"/>
  <c r="EH23" i="2"/>
  <c r="X24" i="21" s="1"/>
  <c r="CH23" i="2"/>
  <c r="EI23" i="2"/>
  <c r="EG23" i="2"/>
  <c r="U24" i="21" s="1"/>
  <c r="EQ23" i="2"/>
  <c r="EK23" i="2" s="1"/>
  <c r="CG23" i="2"/>
  <c r="EO23" i="2"/>
  <c r="EN23" i="2"/>
  <c r="AP24" i="21" s="1"/>
  <c r="G24" i="20" s="1"/>
  <c r="EM23" i="2"/>
  <c r="AM24" i="21" s="1"/>
  <c r="CK23" i="2"/>
  <c r="CI23" i="2"/>
  <c r="E96" i="9"/>
  <c r="EO97" i="2"/>
  <c r="EN97" i="2"/>
  <c r="AP98" i="21" s="1"/>
  <c r="G98" i="20" s="1"/>
  <c r="EM97" i="2"/>
  <c r="AM98" i="21" s="1"/>
  <c r="EL97" i="2"/>
  <c r="AJ98" i="21" s="1"/>
  <c r="CK97" i="2"/>
  <c r="EJ97" i="2"/>
  <c r="AD98" i="21" s="1"/>
  <c r="F98" i="20" s="1"/>
  <c r="CJ97" i="2"/>
  <c r="EI97" i="2"/>
  <c r="AA98" i="21" s="1"/>
  <c r="M98" i="20" s="1"/>
  <c r="CI97" i="2"/>
  <c r="EH97" i="2"/>
  <c r="X98" i="21" s="1"/>
  <c r="E98" i="20" s="1"/>
  <c r="CH97" i="2"/>
  <c r="EG97" i="2"/>
  <c r="U98" i="21" s="1"/>
  <c r="CG97" i="2"/>
  <c r="EQ97" i="2"/>
  <c r="EK97" i="2" s="1"/>
  <c r="E5" i="9"/>
  <c r="EO6" i="2"/>
  <c r="EN6" i="2"/>
  <c r="AP7" i="21" s="1"/>
  <c r="G7" i="20" s="1"/>
  <c r="EL6" i="2"/>
  <c r="AJ7" i="21" s="1"/>
  <c r="CK6" i="2"/>
  <c r="EJ6" i="2"/>
  <c r="AD7" i="21" s="1"/>
  <c r="F7" i="20" s="1"/>
  <c r="CJ6" i="2"/>
  <c r="EI6" i="2"/>
  <c r="CI6" i="2"/>
  <c r="EQ6" i="2"/>
  <c r="EK6" i="2" s="1"/>
  <c r="EH6" i="2"/>
  <c r="X7" i="21" s="1"/>
  <c r="E7" i="20" s="1"/>
  <c r="EG6" i="2"/>
  <c r="U7" i="21" s="1"/>
  <c r="CH6" i="2"/>
  <c r="CG6" i="2"/>
  <c r="F61" i="8"/>
  <c r="J180" i="9"/>
  <c r="C185" i="14" s="1"/>
  <c r="AL116" i="14"/>
  <c r="AG116" i="14"/>
  <c r="DL169" i="3"/>
  <c r="DK169" i="3"/>
  <c r="DJ169" i="3"/>
  <c r="DM169" i="3"/>
  <c r="C5" i="8"/>
  <c r="E39" i="22"/>
  <c r="L39" i="22" s="1"/>
  <c r="EP38" i="1"/>
  <c r="EM122" i="1"/>
  <c r="AL123" i="21" s="1"/>
  <c r="AN181" i="14"/>
  <c r="AI181" i="14"/>
  <c r="AE117" i="5"/>
  <c r="AE170" i="5"/>
  <c r="J170" i="9" s="1"/>
  <c r="C175" i="14" s="1"/>
  <c r="AE109" i="5"/>
  <c r="AE36" i="5"/>
  <c r="AE12" i="5"/>
  <c r="AE176" i="5"/>
  <c r="AE38" i="5"/>
  <c r="AE183" i="5"/>
  <c r="J184" i="9" s="1"/>
  <c r="C189" i="14" s="1"/>
  <c r="AE201" i="5"/>
  <c r="AE173" i="5"/>
  <c r="J173" i="9" s="1"/>
  <c r="C178" i="14" s="1"/>
  <c r="AE160" i="5"/>
  <c r="J160" i="9" s="1"/>
  <c r="C165" i="14" s="1"/>
  <c r="AE52" i="5"/>
  <c r="AE2" i="5"/>
  <c r="AE4" i="5"/>
  <c r="AE206" i="5"/>
  <c r="AE155" i="5"/>
  <c r="AE100" i="5"/>
  <c r="J100" i="9" s="1"/>
  <c r="C105" i="14" s="1"/>
  <c r="AE184" i="5"/>
  <c r="J185" i="9" s="1"/>
  <c r="C190" i="14" s="1"/>
  <c r="E188" i="9"/>
  <c r="EO188" i="2"/>
  <c r="EH188" i="2"/>
  <c r="X190" i="21" s="1"/>
  <c r="E190" i="20" s="1"/>
  <c r="CH188" i="2"/>
  <c r="EK188" i="2"/>
  <c r="EJ188" i="2"/>
  <c r="AD190" i="21" s="1"/>
  <c r="F190" i="20" s="1"/>
  <c r="CK188" i="2"/>
  <c r="EI188" i="2"/>
  <c r="AA190" i="21" s="1"/>
  <c r="M190" i="20" s="1"/>
  <c r="CJ188" i="2"/>
  <c r="EG188" i="2"/>
  <c r="U190" i="21" s="1"/>
  <c r="CI188" i="2"/>
  <c r="CG188" i="2"/>
  <c r="EQ188" i="2"/>
  <c r="EN188" i="2"/>
  <c r="AP190" i="21" s="1"/>
  <c r="G190" i="20" s="1"/>
  <c r="E82" i="9"/>
  <c r="M82" i="9" s="1"/>
  <c r="EN83" i="2"/>
  <c r="AP84" i="21" s="1"/>
  <c r="EB83" i="2"/>
  <c r="F84" i="21" s="1"/>
  <c r="EM83" i="2"/>
  <c r="AM84" i="21" s="1"/>
  <c r="EL83" i="2"/>
  <c r="AJ84" i="21" s="1"/>
  <c r="EK83" i="2"/>
  <c r="CK83" i="2"/>
  <c r="EJ83" i="2"/>
  <c r="AD84" i="21" s="1"/>
  <c r="CJ83" i="2"/>
  <c r="EI83" i="2"/>
  <c r="AA84" i="21" s="1"/>
  <c r="CI83" i="2"/>
  <c r="EH83" i="2"/>
  <c r="X84" i="21" s="1"/>
  <c r="CH83" i="2"/>
  <c r="EG83" i="2"/>
  <c r="U84" i="21" s="1"/>
  <c r="CG83" i="2"/>
  <c r="ER83" i="2"/>
  <c r="F84" i="22" s="1"/>
  <c r="EF83" i="2"/>
  <c r="R84" i="21" s="1"/>
  <c r="EO83" i="2"/>
  <c r="EC83" i="2"/>
  <c r="I84" i="21" s="1"/>
  <c r="EQ83" i="2"/>
  <c r="EP83" i="2"/>
  <c r="EE83" i="2"/>
  <c r="O84" i="21" s="1"/>
  <c r="ED83" i="2"/>
  <c r="L84" i="21" s="1"/>
  <c r="CQ83" i="2"/>
  <c r="K82" i="9" s="1"/>
  <c r="E111" i="9"/>
  <c r="EL112" i="2"/>
  <c r="AJ113" i="21" s="1"/>
  <c r="EK112" i="2"/>
  <c r="CK112" i="2"/>
  <c r="EJ112" i="2"/>
  <c r="AD113" i="21" s="1"/>
  <c r="CJ112" i="2"/>
  <c r="EI112" i="2"/>
  <c r="AA113" i="21" s="1"/>
  <c r="CI112" i="2"/>
  <c r="EH112" i="2"/>
  <c r="X113" i="21" s="1"/>
  <c r="CH112" i="2"/>
  <c r="EG112" i="2"/>
  <c r="U113" i="21" s="1"/>
  <c r="CG112" i="2"/>
  <c r="ER112" i="2"/>
  <c r="F113" i="22" s="1"/>
  <c r="EF112" i="2"/>
  <c r="R113" i="21" s="1"/>
  <c r="EQ112" i="2"/>
  <c r="EE112" i="2"/>
  <c r="O113" i="21" s="1"/>
  <c r="CQ112" i="2"/>
  <c r="K111" i="9" s="1"/>
  <c r="EP112" i="2"/>
  <c r="ED112" i="2"/>
  <c r="L113" i="21" s="1"/>
  <c r="EM112" i="2"/>
  <c r="AM113" i="21" s="1"/>
  <c r="EO112" i="2"/>
  <c r="EN112" i="2"/>
  <c r="AP113" i="21" s="1"/>
  <c r="EC112" i="2"/>
  <c r="I113" i="21" s="1"/>
  <c r="EB112" i="2"/>
  <c r="F113" i="21" s="1"/>
  <c r="F181" i="9"/>
  <c r="ER178" i="3"/>
  <c r="G183" i="22" s="1"/>
  <c r="EF178" i="3"/>
  <c r="S183" i="21" s="1"/>
  <c r="EP178" i="3"/>
  <c r="ED178" i="3"/>
  <c r="M183" i="21" s="1"/>
  <c r="EO178" i="3"/>
  <c r="EC178" i="3"/>
  <c r="J183" i="21" s="1"/>
  <c r="EN178" i="3"/>
  <c r="AQ183" i="21" s="1"/>
  <c r="EB178" i="3"/>
  <c r="G183" i="21" s="1"/>
  <c r="EM178" i="3"/>
  <c r="AN183" i="21" s="1"/>
  <c r="EL178" i="3"/>
  <c r="AK183" i="21" s="1"/>
  <c r="EK178" i="3"/>
  <c r="EJ178" i="3"/>
  <c r="AE183" i="21" s="1"/>
  <c r="EI178" i="3"/>
  <c r="AB183" i="21" s="1"/>
  <c r="EH178" i="3"/>
  <c r="Y183" i="21" s="1"/>
  <c r="CQ178" i="3"/>
  <c r="L181" i="9" s="1"/>
  <c r="EG178" i="3"/>
  <c r="V183" i="21" s="1"/>
  <c r="EE178" i="3"/>
  <c r="P183" i="21" s="1"/>
  <c r="CK178" i="3"/>
  <c r="CI178" i="3"/>
  <c r="EQ178" i="3"/>
  <c r="CJ178" i="3"/>
  <c r="CG178" i="3"/>
  <c r="CH178" i="3"/>
  <c r="F175" i="9"/>
  <c r="EK173" i="3"/>
  <c r="CK173" i="3"/>
  <c r="EG173" i="3"/>
  <c r="V177" i="21" s="1"/>
  <c r="CG173" i="3"/>
  <c r="ER173" i="3"/>
  <c r="G177" i="22" s="1"/>
  <c r="EF173" i="3"/>
  <c r="S177" i="21" s="1"/>
  <c r="EC173" i="3"/>
  <c r="J177" i="21" s="1"/>
  <c r="EQ173" i="3"/>
  <c r="EB173" i="3"/>
  <c r="G177" i="21" s="1"/>
  <c r="CQ173" i="3"/>
  <c r="L175" i="9" s="1"/>
  <c r="EP173" i="3"/>
  <c r="EO173" i="3"/>
  <c r="EN173" i="3"/>
  <c r="AQ177" i="21" s="1"/>
  <c r="EM173" i="3"/>
  <c r="AN177" i="21" s="1"/>
  <c r="EL173" i="3"/>
  <c r="AK177" i="21" s="1"/>
  <c r="EI173" i="3"/>
  <c r="AB177" i="21" s="1"/>
  <c r="CI173" i="3"/>
  <c r="ED173" i="3"/>
  <c r="M177" i="21" s="1"/>
  <c r="EH173" i="3"/>
  <c r="Y177" i="21" s="1"/>
  <c r="EE173" i="3"/>
  <c r="P177" i="21" s="1"/>
  <c r="CJ173" i="3"/>
  <c r="CH173" i="3"/>
  <c r="EJ173" i="3"/>
  <c r="AE177" i="21" s="1"/>
  <c r="AG159" i="14"/>
  <c r="AL159" i="14"/>
  <c r="DO217" i="1"/>
  <c r="DN217" i="1"/>
  <c r="AM233" i="14"/>
  <c r="AH233" i="14"/>
  <c r="N54" i="11"/>
  <c r="V54" i="11" s="1"/>
  <c r="N32" i="11"/>
  <c r="N43" i="11"/>
  <c r="V43" i="11" s="1"/>
  <c r="F69" i="9"/>
  <c r="EO69" i="3"/>
  <c r="EN69" i="3"/>
  <c r="AQ71" i="21" s="1"/>
  <c r="EM69" i="3"/>
  <c r="AN71" i="21" s="1"/>
  <c r="EL69" i="3"/>
  <c r="AK71" i="21" s="1"/>
  <c r="CK69" i="3"/>
  <c r="EJ69" i="3"/>
  <c r="AE71" i="21" s="1"/>
  <c r="CJ69" i="3"/>
  <c r="EI69" i="3"/>
  <c r="AB71" i="21" s="1"/>
  <c r="CI69" i="3"/>
  <c r="EG69" i="3"/>
  <c r="V71" i="21" s="1"/>
  <c r="CG69" i="3"/>
  <c r="EQ69" i="3"/>
  <c r="EH69" i="3"/>
  <c r="Y71" i="21" s="1"/>
  <c r="CH69" i="3"/>
  <c r="E181" i="9"/>
  <c r="EO181" i="2"/>
  <c r="EC181" i="2"/>
  <c r="I183" i="21" s="1"/>
  <c r="EP181" i="2"/>
  <c r="EB181" i="2"/>
  <c r="F183" i="21" s="1"/>
  <c r="CK181" i="2"/>
  <c r="EN181" i="2"/>
  <c r="AP183" i="21" s="1"/>
  <c r="CJ181" i="2"/>
  <c r="EM181" i="2"/>
  <c r="AM183" i="21" s="1"/>
  <c r="CI181" i="2"/>
  <c r="EL181" i="2"/>
  <c r="AJ183" i="21" s="1"/>
  <c r="CH181" i="2"/>
  <c r="EK181" i="2"/>
  <c r="CG181" i="2"/>
  <c r="EJ181" i="2"/>
  <c r="AD183" i="21" s="1"/>
  <c r="EI181" i="2"/>
  <c r="AA183" i="21" s="1"/>
  <c r="EH181" i="2"/>
  <c r="X183" i="21" s="1"/>
  <c r="CQ181" i="2"/>
  <c r="K181" i="9" s="1"/>
  <c r="EG181" i="2"/>
  <c r="U183" i="21" s="1"/>
  <c r="EF181" i="2"/>
  <c r="R183" i="21" s="1"/>
  <c r="ER181" i="2"/>
  <c r="F183" i="22" s="1"/>
  <c r="EQ181" i="2"/>
  <c r="EE181" i="2"/>
  <c r="O183" i="21" s="1"/>
  <c r="ED181" i="2"/>
  <c r="L183" i="21" s="1"/>
  <c r="AM171" i="14"/>
  <c r="AH171" i="14"/>
  <c r="F99" i="9"/>
  <c r="EJ99" i="3"/>
  <c r="AE101" i="21" s="1"/>
  <c r="CJ99" i="3"/>
  <c r="EI99" i="3"/>
  <c r="AB101" i="21" s="1"/>
  <c r="CI99" i="3"/>
  <c r="EG99" i="3"/>
  <c r="V101" i="21" s="1"/>
  <c r="ER99" i="3"/>
  <c r="G101" i="22" s="1"/>
  <c r="EQ99" i="3"/>
  <c r="EP99" i="3"/>
  <c r="EN99" i="3"/>
  <c r="AQ101" i="21" s="1"/>
  <c r="EO99" i="3"/>
  <c r="CK99" i="3"/>
  <c r="EH99" i="3"/>
  <c r="Y101" i="21" s="1"/>
  <c r="EK99" i="3"/>
  <c r="CH99" i="3"/>
  <c r="CG99" i="3"/>
  <c r="DN186" i="1"/>
  <c r="DO186" i="1"/>
  <c r="AL187" i="14"/>
  <c r="AG187" i="14"/>
  <c r="L112" i="22"/>
  <c r="M20" i="11"/>
  <c r="O8" i="13"/>
  <c r="W8" i="13" s="1"/>
  <c r="D16" i="19" s="1"/>
  <c r="J232" i="21" s="1"/>
  <c r="I232" i="20" s="1"/>
  <c r="AL158" i="14"/>
  <c r="AG158" i="14"/>
  <c r="AF73" i="21"/>
  <c r="H73" i="22"/>
  <c r="L73" i="22" s="1"/>
  <c r="M138" i="22"/>
  <c r="C138" i="22" s="1"/>
  <c r="L207" i="22"/>
  <c r="F143" i="9"/>
  <c r="EH142" i="3"/>
  <c r="Y145" i="21" s="1"/>
  <c r="CH142" i="3"/>
  <c r="EG142" i="3"/>
  <c r="V145" i="21" s="1"/>
  <c r="CG142" i="3"/>
  <c r="ER142" i="3"/>
  <c r="G145" i="22" s="1"/>
  <c r="EQ142" i="3"/>
  <c r="EP142" i="3"/>
  <c r="EN142" i="3"/>
  <c r="AQ145" i="21" s="1"/>
  <c r="EI142" i="3"/>
  <c r="AB145" i="21" s="1"/>
  <c r="CI142" i="3"/>
  <c r="EK142" i="3"/>
  <c r="EJ142" i="3"/>
  <c r="AE145" i="21" s="1"/>
  <c r="CK142" i="3"/>
  <c r="EO142" i="3"/>
  <c r="EM142" i="3"/>
  <c r="AN145" i="21" s="1"/>
  <c r="CJ142" i="3"/>
  <c r="AI151" i="14"/>
  <c r="AN151" i="14"/>
  <c r="DJ177" i="2"/>
  <c r="DM177" i="2"/>
  <c r="DL177" i="2"/>
  <c r="DK177" i="2"/>
  <c r="E72" i="22"/>
  <c r="L72" i="22" s="1"/>
  <c r="EP71" i="1"/>
  <c r="AM177" i="14"/>
  <c r="AH177" i="14"/>
  <c r="E141" i="9"/>
  <c r="EH141" i="2"/>
  <c r="X143" i="21" s="1"/>
  <c r="CH141" i="2"/>
  <c r="EG141" i="2"/>
  <c r="U143" i="21" s="1"/>
  <c r="EQ141" i="2"/>
  <c r="EE141" i="2"/>
  <c r="O143" i="21" s="1"/>
  <c r="CQ141" i="2"/>
  <c r="K141" i="9" s="1"/>
  <c r="EN141" i="2"/>
  <c r="AP143" i="21" s="1"/>
  <c r="EM141" i="2"/>
  <c r="AM143" i="21" s="1"/>
  <c r="EL141" i="2"/>
  <c r="AJ143" i="21" s="1"/>
  <c r="EK141" i="2"/>
  <c r="EJ141" i="2"/>
  <c r="AD143" i="21" s="1"/>
  <c r="EI141" i="2"/>
  <c r="AA143" i="21" s="1"/>
  <c r="EF141" i="2"/>
  <c r="R143" i="21" s="1"/>
  <c r="ED141" i="2"/>
  <c r="L143" i="21" s="1"/>
  <c r="CK141" i="2"/>
  <c r="EC141" i="2"/>
  <c r="I143" i="21" s="1"/>
  <c r="CJ141" i="2"/>
  <c r="EO141" i="2"/>
  <c r="EP141" i="2"/>
  <c r="EB141" i="2"/>
  <c r="F143" i="21" s="1"/>
  <c r="CI141" i="2"/>
  <c r="CG141" i="2"/>
  <c r="ER141" i="2"/>
  <c r="F143" i="22" s="1"/>
  <c r="H131" i="22"/>
  <c r="AF131" i="21"/>
  <c r="L18" i="22"/>
  <c r="H154" i="22"/>
  <c r="AF154" i="21"/>
  <c r="F30" i="9"/>
  <c r="EN31" i="3"/>
  <c r="AQ32" i="21" s="1"/>
  <c r="EB31" i="3"/>
  <c r="G32" i="21" s="1"/>
  <c r="EL31" i="3"/>
  <c r="AK32" i="21" s="1"/>
  <c r="EK31" i="3"/>
  <c r="CK31" i="3"/>
  <c r="EJ31" i="3"/>
  <c r="AE32" i="21" s="1"/>
  <c r="CJ31" i="3"/>
  <c r="EI31" i="3"/>
  <c r="AB32" i="21" s="1"/>
  <c r="CI31" i="3"/>
  <c r="EH31" i="3"/>
  <c r="Y32" i="21" s="1"/>
  <c r="CH31" i="3"/>
  <c r="ER31" i="3"/>
  <c r="G32" i="22" s="1"/>
  <c r="EF31" i="3"/>
  <c r="S32" i="21" s="1"/>
  <c r="EQ31" i="3"/>
  <c r="EE31" i="3"/>
  <c r="P32" i="21" s="1"/>
  <c r="CQ31" i="3"/>
  <c r="L30" i="9" s="1"/>
  <c r="EM31" i="3"/>
  <c r="AN32" i="21" s="1"/>
  <c r="EG31" i="3"/>
  <c r="V32" i="21" s="1"/>
  <c r="ED31" i="3"/>
  <c r="M32" i="21" s="1"/>
  <c r="EC31" i="3"/>
  <c r="J32" i="21" s="1"/>
  <c r="EP31" i="3"/>
  <c r="CG31" i="3"/>
  <c r="EO31" i="3"/>
  <c r="G83" i="22"/>
  <c r="N83" i="22" s="1"/>
  <c r="EP81" i="3"/>
  <c r="L141" i="22"/>
  <c r="DJ140" i="2"/>
  <c r="DM140" i="2"/>
  <c r="DL140" i="2"/>
  <c r="DK140" i="2"/>
  <c r="G180" i="22"/>
  <c r="N180" i="22" s="1"/>
  <c r="EP175" i="3"/>
  <c r="F210" i="9"/>
  <c r="EM207" i="3"/>
  <c r="AN212" i="21" s="1"/>
  <c r="EL207" i="3"/>
  <c r="AK212" i="21" s="1"/>
  <c r="EK207" i="3"/>
  <c r="CK207" i="3"/>
  <c r="EJ207" i="3"/>
  <c r="AE212" i="21" s="1"/>
  <c r="CJ207" i="3"/>
  <c r="EI207" i="3"/>
  <c r="AB212" i="21" s="1"/>
  <c r="CI207" i="3"/>
  <c r="EH207" i="3"/>
  <c r="Y212" i="21" s="1"/>
  <c r="CH207" i="3"/>
  <c r="EQ207" i="3"/>
  <c r="EE207" i="3"/>
  <c r="P212" i="21" s="1"/>
  <c r="CQ207" i="3"/>
  <c r="L210" i="9" s="1"/>
  <c r="EP207" i="3"/>
  <c r="ED207" i="3"/>
  <c r="M212" i="21" s="1"/>
  <c r="EO207" i="3"/>
  <c r="EC207" i="3"/>
  <c r="J212" i="21" s="1"/>
  <c r="CG207" i="3"/>
  <c r="ER207" i="3"/>
  <c r="G212" i="22" s="1"/>
  <c r="EN207" i="3"/>
  <c r="AQ212" i="21" s="1"/>
  <c r="EF207" i="3"/>
  <c r="S212" i="21" s="1"/>
  <c r="EG207" i="3"/>
  <c r="V212" i="21" s="1"/>
  <c r="EB207" i="3"/>
  <c r="G212" i="21" s="1"/>
  <c r="J191" i="9"/>
  <c r="C196" i="14" s="1"/>
  <c r="AH187" i="14"/>
  <c r="AM187" i="14"/>
  <c r="E34" i="9"/>
  <c r="EL35" i="2"/>
  <c r="AJ36" i="21" s="1"/>
  <c r="N36" i="20" s="1"/>
  <c r="CK35" i="2"/>
  <c r="EJ35" i="2"/>
  <c r="AD36" i="21" s="1"/>
  <c r="F36" i="20" s="1"/>
  <c r="CJ35" i="2"/>
  <c r="EH35" i="2"/>
  <c r="X36" i="21" s="1"/>
  <c r="E36" i="20" s="1"/>
  <c r="CH35" i="2"/>
  <c r="CI35" i="2"/>
  <c r="EQ35" i="2"/>
  <c r="EK35" i="2" s="1"/>
  <c r="CG35" i="2"/>
  <c r="EO35" i="2"/>
  <c r="EN35" i="2"/>
  <c r="AP36" i="21" s="1"/>
  <c r="G36" i="20" s="1"/>
  <c r="EM35" i="2"/>
  <c r="AM36" i="21" s="1"/>
  <c r="EI35" i="2"/>
  <c r="AA36" i="21" s="1"/>
  <c r="M36" i="20" s="1"/>
  <c r="EG35" i="2"/>
  <c r="U36" i="21" s="1"/>
  <c r="EK124" i="1"/>
  <c r="E123" i="9"/>
  <c r="CK124" i="2"/>
  <c r="EJ124" i="2"/>
  <c r="AD125" i="21" s="1"/>
  <c r="F125" i="20" s="1"/>
  <c r="CJ124" i="2"/>
  <c r="EI124" i="2"/>
  <c r="AA125" i="21" s="1"/>
  <c r="CI124" i="2"/>
  <c r="EH124" i="2"/>
  <c r="X125" i="21" s="1"/>
  <c r="CH124" i="2"/>
  <c r="EG124" i="2"/>
  <c r="U125" i="21" s="1"/>
  <c r="CG124" i="2"/>
  <c r="ER124" i="2"/>
  <c r="EQ124" i="2"/>
  <c r="EK124" i="2" s="1"/>
  <c r="EM124" i="2"/>
  <c r="AM125" i="21" s="1"/>
  <c r="EN124" i="2"/>
  <c r="AP125" i="21" s="1"/>
  <c r="G125" i="20" s="1"/>
  <c r="EO124" i="2"/>
  <c r="H191" i="22"/>
  <c r="L191" i="22" s="1"/>
  <c r="AF191" i="21"/>
  <c r="F182" i="9"/>
  <c r="EQ179" i="3"/>
  <c r="EE179" i="3"/>
  <c r="P184" i="21" s="1"/>
  <c r="CQ179" i="3"/>
  <c r="L182" i="9" s="1"/>
  <c r="EO179" i="3"/>
  <c r="EC179" i="3"/>
  <c r="J184" i="21" s="1"/>
  <c r="EN179" i="3"/>
  <c r="AQ184" i="21" s="1"/>
  <c r="EB179" i="3"/>
  <c r="G184" i="21" s="1"/>
  <c r="EM179" i="3"/>
  <c r="AN184" i="21" s="1"/>
  <c r="EL179" i="3"/>
  <c r="AK184" i="21" s="1"/>
  <c r="EJ179" i="3"/>
  <c r="AE184" i="21" s="1"/>
  <c r="EI179" i="3"/>
  <c r="AB184" i="21" s="1"/>
  <c r="EH179" i="3"/>
  <c r="Y184" i="21" s="1"/>
  <c r="EG179" i="3"/>
  <c r="V184" i="21" s="1"/>
  <c r="EF179" i="3"/>
  <c r="S184" i="21" s="1"/>
  <c r="ED179" i="3"/>
  <c r="M184" i="21" s="1"/>
  <c r="CK179" i="3"/>
  <c r="CI179" i="3"/>
  <c r="EK179" i="3"/>
  <c r="ER179" i="3"/>
  <c r="G184" i="22" s="1"/>
  <c r="EP179" i="3"/>
  <c r="CJ179" i="3"/>
  <c r="CG179" i="3"/>
  <c r="CH179" i="3"/>
  <c r="DN187" i="1"/>
  <c r="DO187" i="1"/>
  <c r="AM48" i="14"/>
  <c r="AH48" i="14"/>
  <c r="E219" i="22"/>
  <c r="L219" i="22" s="1"/>
  <c r="EP216" i="1"/>
  <c r="E153" i="9"/>
  <c r="M153" i="9" s="1"/>
  <c r="EI153" i="2"/>
  <c r="AA155" i="21" s="1"/>
  <c r="CI153" i="2"/>
  <c r="EH153" i="2"/>
  <c r="X155" i="21" s="1"/>
  <c r="CH153" i="2"/>
  <c r="EG153" i="2"/>
  <c r="U155" i="21" s="1"/>
  <c r="CG153" i="2"/>
  <c r="ER153" i="2"/>
  <c r="F155" i="22" s="1"/>
  <c r="EF153" i="2"/>
  <c r="R155" i="21" s="1"/>
  <c r="EQ153" i="2"/>
  <c r="EE153" i="2"/>
  <c r="O155" i="21" s="1"/>
  <c r="CQ153" i="2"/>
  <c r="K153" i="9" s="1"/>
  <c r="EO153" i="2"/>
  <c r="EC153" i="2"/>
  <c r="I155" i="21" s="1"/>
  <c r="EN153" i="2"/>
  <c r="AP155" i="21" s="1"/>
  <c r="EB153" i="2"/>
  <c r="F155" i="21" s="1"/>
  <c r="EM153" i="2"/>
  <c r="AM155" i="21" s="1"/>
  <c r="ED153" i="2"/>
  <c r="L155" i="21" s="1"/>
  <c r="EP153" i="2"/>
  <c r="CK153" i="2"/>
  <c r="EJ153" i="2"/>
  <c r="AD155" i="21" s="1"/>
  <c r="CJ153" i="2"/>
  <c r="EL153" i="2"/>
  <c r="AJ155" i="21" s="1"/>
  <c r="EK153" i="2"/>
  <c r="DJ180" i="2"/>
  <c r="DM180" i="2"/>
  <c r="DL180" i="2"/>
  <c r="DK180" i="2"/>
  <c r="H122" i="22"/>
  <c r="L122" i="22" s="1"/>
  <c r="AF122" i="21"/>
  <c r="EL58" i="1"/>
  <c r="AI59" i="21" s="1"/>
  <c r="DM198" i="2"/>
  <c r="DL198" i="2"/>
  <c r="DK198" i="2"/>
  <c r="DJ198" i="2"/>
  <c r="F49" i="9"/>
  <c r="EH49" i="3"/>
  <c r="CH49" i="3"/>
  <c r="EQ49" i="3"/>
  <c r="EO49" i="3"/>
  <c r="EN49" i="3"/>
  <c r="AQ51" i="21" s="1"/>
  <c r="EK49" i="3"/>
  <c r="CK49" i="3"/>
  <c r="CJ49" i="3"/>
  <c r="CI49" i="3"/>
  <c r="EJ49" i="3"/>
  <c r="AE51" i="21" s="1"/>
  <c r="CG49" i="3"/>
  <c r="EI49" i="3"/>
  <c r="AB51" i="21" s="1"/>
  <c r="EG49" i="3"/>
  <c r="V51" i="21" s="1"/>
  <c r="DO141" i="1"/>
  <c r="DN141" i="1"/>
  <c r="F155" i="9"/>
  <c r="EI154" i="3"/>
  <c r="AB157" i="21" s="1"/>
  <c r="CI154" i="3"/>
  <c r="EH154" i="3"/>
  <c r="Y157" i="21" s="1"/>
  <c r="CH154" i="3"/>
  <c r="EG154" i="3"/>
  <c r="V157" i="21" s="1"/>
  <c r="CG154" i="3"/>
  <c r="ER154" i="3"/>
  <c r="G157" i="22" s="1"/>
  <c r="EQ154" i="3"/>
  <c r="EP154" i="3"/>
  <c r="EO154" i="3"/>
  <c r="EM154" i="3"/>
  <c r="AN157" i="21" s="1"/>
  <c r="EJ154" i="3"/>
  <c r="AE157" i="21" s="1"/>
  <c r="CJ154" i="3"/>
  <c r="EN154" i="3"/>
  <c r="AQ157" i="21" s="1"/>
  <c r="EL154" i="3"/>
  <c r="AK157" i="21" s="1"/>
  <c r="EK154" i="3"/>
  <c r="CK154" i="3"/>
  <c r="DI38" i="2"/>
  <c r="CD38" i="2"/>
  <c r="J4" i="9"/>
  <c r="C9" i="14" s="1"/>
  <c r="AM125" i="14"/>
  <c r="AH125" i="14"/>
  <c r="K22" i="11"/>
  <c r="M10" i="13"/>
  <c r="U10" i="13" s="1"/>
  <c r="D5" i="19" s="1"/>
  <c r="H233" i="21" s="1"/>
  <c r="F106" i="22"/>
  <c r="M106" i="22" s="1"/>
  <c r="C106" i="22" s="1"/>
  <c r="EP105" i="2"/>
  <c r="T74" i="15"/>
  <c r="U74" i="15"/>
  <c r="U66" i="15"/>
  <c r="T66" i="15"/>
  <c r="E185" i="22"/>
  <c r="L185" i="22" s="1"/>
  <c r="EP183" i="1"/>
  <c r="DO180" i="1"/>
  <c r="DN180" i="1"/>
  <c r="AN84" i="14"/>
  <c r="AI84" i="14"/>
  <c r="DM146" i="2"/>
  <c r="DJ146" i="2"/>
  <c r="DK146" i="2"/>
  <c r="DL146" i="2"/>
  <c r="DM158" i="3"/>
  <c r="DL158" i="3"/>
  <c r="DJ158" i="3"/>
  <c r="DK158" i="3"/>
  <c r="AM147" i="14"/>
  <c r="AH147" i="14"/>
  <c r="AF60" i="21"/>
  <c r="H60" i="22"/>
  <c r="ER59" i="1"/>
  <c r="AN162" i="14"/>
  <c r="AI162" i="14"/>
  <c r="DL183" i="3"/>
  <c r="DK183" i="3"/>
  <c r="DJ183" i="3"/>
  <c r="DM183" i="3"/>
  <c r="F80" i="9"/>
  <c r="EK80" i="3"/>
  <c r="CK80" i="3"/>
  <c r="EH80" i="3"/>
  <c r="Y82" i="21" s="1"/>
  <c r="CH80" i="3"/>
  <c r="EI80" i="3"/>
  <c r="AB82" i="21" s="1"/>
  <c r="CG80" i="3"/>
  <c r="EN80" i="3"/>
  <c r="AQ82" i="21" s="1"/>
  <c r="EJ80" i="3"/>
  <c r="AE82" i="21" s="1"/>
  <c r="EG80" i="3"/>
  <c r="V82" i="21" s="1"/>
  <c r="CJ80" i="3"/>
  <c r="EQ80" i="3"/>
  <c r="ER80" i="3" s="1"/>
  <c r="EO80" i="3"/>
  <c r="CI80" i="3"/>
  <c r="F204" i="9"/>
  <c r="M204" i="9" s="1"/>
  <c r="EG201" i="3"/>
  <c r="V206" i="21" s="1"/>
  <c r="CG201" i="3"/>
  <c r="ER201" i="3"/>
  <c r="G206" i="22" s="1"/>
  <c r="EF201" i="3"/>
  <c r="S206" i="21" s="1"/>
  <c r="EQ201" i="3"/>
  <c r="EE201" i="3"/>
  <c r="P206" i="21" s="1"/>
  <c r="CQ201" i="3"/>
  <c r="L204" i="9" s="1"/>
  <c r="EP201" i="3"/>
  <c r="ED201" i="3"/>
  <c r="M206" i="21" s="1"/>
  <c r="EO201" i="3"/>
  <c r="EC201" i="3"/>
  <c r="J206" i="21" s="1"/>
  <c r="EN201" i="3"/>
  <c r="AQ206" i="21" s="1"/>
  <c r="EB201" i="3"/>
  <c r="G206" i="21" s="1"/>
  <c r="EK201" i="3"/>
  <c r="CK201" i="3"/>
  <c r="EJ201" i="3"/>
  <c r="AE206" i="21" s="1"/>
  <c r="CJ201" i="3"/>
  <c r="CI201" i="3"/>
  <c r="CH201" i="3"/>
  <c r="EL201" i="3"/>
  <c r="AK206" i="21" s="1"/>
  <c r="EI201" i="3"/>
  <c r="AB206" i="21" s="1"/>
  <c r="EH201" i="3"/>
  <c r="Y206" i="21" s="1"/>
  <c r="EM201" i="3"/>
  <c r="AN206" i="21" s="1"/>
  <c r="DO209" i="1"/>
  <c r="DN209" i="1"/>
  <c r="AI177" i="14"/>
  <c r="AN177" i="14"/>
  <c r="AM21" i="14"/>
  <c r="AH21" i="14"/>
  <c r="AI147" i="14"/>
  <c r="AN147" i="14"/>
  <c r="DM167" i="2"/>
  <c r="DL167" i="2"/>
  <c r="DK167" i="2"/>
  <c r="DJ167" i="2"/>
  <c r="S78" i="16"/>
  <c r="T78" i="16"/>
  <c r="AM116" i="14"/>
  <c r="AH116" i="14"/>
  <c r="DO125" i="1"/>
  <c r="DN125" i="1"/>
  <c r="H61" i="8"/>
  <c r="F20" i="22"/>
  <c r="M20" i="22" s="1"/>
  <c r="EP19" i="2"/>
  <c r="AF182" i="21"/>
  <c r="H182" i="22"/>
  <c r="L182" i="22" s="1"/>
  <c r="E16" i="9"/>
  <c r="M16" i="9" s="1"/>
  <c r="ER17" i="2"/>
  <c r="F18" i="22" s="1"/>
  <c r="EF17" i="2"/>
  <c r="R18" i="21" s="1"/>
  <c r="EP17" i="2"/>
  <c r="ED17" i="2"/>
  <c r="L18" i="21" s="1"/>
  <c r="EN17" i="2"/>
  <c r="AP18" i="21" s="1"/>
  <c r="EB17" i="2"/>
  <c r="F18" i="21" s="1"/>
  <c r="EJ17" i="2"/>
  <c r="AD18" i="21" s="1"/>
  <c r="CJ17" i="2"/>
  <c r="EO17" i="2"/>
  <c r="EM17" i="2"/>
  <c r="AM18" i="21" s="1"/>
  <c r="CK17" i="2"/>
  <c r="EL17" i="2"/>
  <c r="AJ18" i="21" s="1"/>
  <c r="CI17" i="2"/>
  <c r="EK17" i="2"/>
  <c r="CH17" i="2"/>
  <c r="EI17" i="2"/>
  <c r="AA18" i="21" s="1"/>
  <c r="CG17" i="2"/>
  <c r="EH17" i="2"/>
  <c r="X18" i="21" s="1"/>
  <c r="EG17" i="2"/>
  <c r="U18" i="21" s="1"/>
  <c r="EE17" i="2"/>
  <c r="O18" i="21" s="1"/>
  <c r="EQ17" i="2"/>
  <c r="EC17" i="2"/>
  <c r="I18" i="21" s="1"/>
  <c r="CQ17" i="2"/>
  <c r="K16" i="9" s="1"/>
  <c r="F10" i="9"/>
  <c r="EJ11" i="3"/>
  <c r="AE12" i="21" s="1"/>
  <c r="CJ11" i="3"/>
  <c r="EI11" i="3"/>
  <c r="AB12" i="21" s="1"/>
  <c r="CI11" i="3"/>
  <c r="EH11" i="3"/>
  <c r="Y12" i="21" s="1"/>
  <c r="CH11" i="3"/>
  <c r="EG11" i="3"/>
  <c r="V12" i="21" s="1"/>
  <c r="CG11" i="3"/>
  <c r="ER11" i="3"/>
  <c r="G12" i="22" s="1"/>
  <c r="EQ11" i="3"/>
  <c r="EO11" i="3"/>
  <c r="EN11" i="3"/>
  <c r="AQ12" i="21" s="1"/>
  <c r="EM11" i="3"/>
  <c r="AN12" i="21" s="1"/>
  <c r="EK11" i="3"/>
  <c r="CK11" i="3"/>
  <c r="F172" i="9"/>
  <c r="EN170" i="3"/>
  <c r="AQ174" i="21" s="1"/>
  <c r="EB170" i="3"/>
  <c r="G174" i="21" s="1"/>
  <c r="ER170" i="3"/>
  <c r="G174" i="22" s="1"/>
  <c r="EE170" i="3"/>
  <c r="P174" i="21" s="1"/>
  <c r="EQ170" i="3"/>
  <c r="ED170" i="3"/>
  <c r="M174" i="21" s="1"/>
  <c r="EP170" i="3"/>
  <c r="EC170" i="3"/>
  <c r="J174" i="21" s="1"/>
  <c r="CK170" i="3"/>
  <c r="EO170" i="3"/>
  <c r="CJ170" i="3"/>
  <c r="EM170" i="3"/>
  <c r="AN174" i="21" s="1"/>
  <c r="CI170" i="3"/>
  <c r="EL170" i="3"/>
  <c r="AK174" i="21" s="1"/>
  <c r="CH170" i="3"/>
  <c r="EK170" i="3"/>
  <c r="CG170" i="3"/>
  <c r="EI170" i="3"/>
  <c r="AB174" i="21" s="1"/>
  <c r="EF170" i="3"/>
  <c r="S174" i="21" s="1"/>
  <c r="EJ170" i="3"/>
  <c r="AE174" i="21" s="1"/>
  <c r="EG170" i="3"/>
  <c r="V174" i="21" s="1"/>
  <c r="EH170" i="3"/>
  <c r="Y174" i="21" s="1"/>
  <c r="CQ170" i="3"/>
  <c r="L172" i="9" s="1"/>
  <c r="G94" i="22"/>
  <c r="N94" i="22" s="1"/>
  <c r="EP92" i="3"/>
  <c r="AL191" i="14"/>
  <c r="AG191" i="14"/>
  <c r="F142" i="9"/>
  <c r="EI141" i="3"/>
  <c r="AB144" i="21" s="1"/>
  <c r="CI141" i="3"/>
  <c r="EH141" i="3"/>
  <c r="Y144" i="21" s="1"/>
  <c r="CH141" i="3"/>
  <c r="EG141" i="3"/>
  <c r="V144" i="21" s="1"/>
  <c r="CG141" i="3"/>
  <c r="ER141" i="3"/>
  <c r="G144" i="22" s="1"/>
  <c r="EF141" i="3"/>
  <c r="S144" i="21" s="1"/>
  <c r="EQ141" i="3"/>
  <c r="EE141" i="3"/>
  <c r="P144" i="21" s="1"/>
  <c r="CQ141" i="3"/>
  <c r="L142" i="9" s="1"/>
  <c r="EO141" i="3"/>
  <c r="EC141" i="3"/>
  <c r="J144" i="21" s="1"/>
  <c r="EM141" i="3"/>
  <c r="AN144" i="21" s="1"/>
  <c r="EJ141" i="3"/>
  <c r="AE144" i="21" s="1"/>
  <c r="CJ141" i="3"/>
  <c r="EL141" i="3"/>
  <c r="AK144" i="21" s="1"/>
  <c r="EK141" i="3"/>
  <c r="ED141" i="3"/>
  <c r="M144" i="21" s="1"/>
  <c r="EB141" i="3"/>
  <c r="G144" i="21" s="1"/>
  <c r="CK141" i="3"/>
  <c r="EP141" i="3"/>
  <c r="EN141" i="3"/>
  <c r="AQ144" i="21" s="1"/>
  <c r="H231" i="20"/>
  <c r="E103" i="9"/>
  <c r="EH104" i="2"/>
  <c r="CH104" i="2"/>
  <c r="EG104" i="2"/>
  <c r="U105" i="21" s="1"/>
  <c r="CG104" i="2"/>
  <c r="EQ104" i="2"/>
  <c r="EO104" i="2"/>
  <c r="EN104" i="2"/>
  <c r="AP105" i="21" s="1"/>
  <c r="EI104" i="2"/>
  <c r="AA105" i="21" s="1"/>
  <c r="CI104" i="2"/>
  <c r="EK104" i="2"/>
  <c r="CK104" i="2"/>
  <c r="CJ104" i="2"/>
  <c r="EJ104" i="2"/>
  <c r="AD105" i="21" s="1"/>
  <c r="AL200" i="14"/>
  <c r="AG200" i="14"/>
  <c r="AE68" i="5"/>
  <c r="AE85" i="5"/>
  <c r="AE186" i="5"/>
  <c r="AE33" i="5"/>
  <c r="AE20" i="5"/>
  <c r="AE210" i="5"/>
  <c r="J211" i="9" s="1"/>
  <c r="C216" i="14" s="1"/>
  <c r="AE91" i="5"/>
  <c r="J91" i="9" s="1"/>
  <c r="C96" i="14" s="1"/>
  <c r="AE90" i="5"/>
  <c r="AE112" i="5"/>
  <c r="J112" i="9" s="1"/>
  <c r="C117" i="14" s="1"/>
  <c r="AE63" i="5"/>
  <c r="AE22" i="5"/>
  <c r="AE59" i="5"/>
  <c r="AE34" i="5"/>
  <c r="AE134" i="5"/>
  <c r="AE212" i="5"/>
  <c r="AE192" i="5"/>
  <c r="J193" i="9" s="1"/>
  <c r="C198" i="14" s="1"/>
  <c r="AE135" i="5"/>
  <c r="J135" i="9" s="1"/>
  <c r="C140" i="14" s="1"/>
  <c r="AE220" i="5"/>
  <c r="DM83" i="2"/>
  <c r="DL83" i="2"/>
  <c r="DK83" i="2"/>
  <c r="DJ83" i="2"/>
  <c r="DM112" i="2"/>
  <c r="DL112" i="2"/>
  <c r="DK112" i="2"/>
  <c r="DJ112" i="2"/>
  <c r="DM178" i="3"/>
  <c r="DL178" i="3"/>
  <c r="DK178" i="3"/>
  <c r="DJ178" i="3"/>
  <c r="E36" i="22"/>
  <c r="L36" i="22" s="1"/>
  <c r="EP35" i="1"/>
  <c r="E13" i="9"/>
  <c r="EI14" i="2"/>
  <c r="AA15" i="21" s="1"/>
  <c r="M15" i="20" s="1"/>
  <c r="CI14" i="2"/>
  <c r="EG14" i="2"/>
  <c r="U15" i="21" s="1"/>
  <c r="CG14" i="2"/>
  <c r="EM14" i="2"/>
  <c r="AM15" i="21" s="1"/>
  <c r="CJ14" i="2"/>
  <c r="CH14" i="2"/>
  <c r="EQ14" i="2"/>
  <c r="ER14" i="2" s="1"/>
  <c r="F15" i="22" s="1"/>
  <c r="EO14" i="2"/>
  <c r="EN14" i="2"/>
  <c r="AP15" i="21" s="1"/>
  <c r="CK14" i="2"/>
  <c r="EH14" i="2"/>
  <c r="X15" i="21" s="1"/>
  <c r="EJ14" i="2"/>
  <c r="AD15" i="21" s="1"/>
  <c r="F15" i="20" s="1"/>
  <c r="AM123" i="14"/>
  <c r="AH123" i="14"/>
  <c r="EP33" i="1"/>
  <c r="DM181" i="2"/>
  <c r="DL181" i="2"/>
  <c r="DK181" i="2"/>
  <c r="DJ181" i="2"/>
  <c r="AL111" i="14"/>
  <c r="AG111" i="14"/>
  <c r="AN8" i="14"/>
  <c r="AI8" i="14"/>
  <c r="E115" i="22"/>
  <c r="L115" i="22" s="1"/>
  <c r="EP114" i="1"/>
  <c r="E157" i="22"/>
  <c r="L157" i="22" s="1"/>
  <c r="EP156" i="1"/>
  <c r="AF98" i="21"/>
  <c r="H98" i="22"/>
  <c r="L98" i="22" s="1"/>
  <c r="AL184" i="14"/>
  <c r="AG184" i="14"/>
  <c r="EP11" i="1"/>
  <c r="EP51" i="1"/>
  <c r="J226" i="22" l="1"/>
  <c r="AH226" i="21"/>
  <c r="AH28" i="21"/>
  <c r="J28" i="22"/>
  <c r="J194" i="22"/>
  <c r="AH194" i="21"/>
  <c r="T92" i="16"/>
  <c r="S92" i="16"/>
  <c r="AA217" i="21"/>
  <c r="M217" i="20" s="1"/>
  <c r="ER205" i="2"/>
  <c r="I223" i="22"/>
  <c r="AG223" i="21"/>
  <c r="J147" i="22"/>
  <c r="AH147" i="21"/>
  <c r="AH79" i="21"/>
  <c r="J79" i="22"/>
  <c r="F56" i="22"/>
  <c r="EP55" i="2"/>
  <c r="F226" i="22"/>
  <c r="EP212" i="2"/>
  <c r="AG84" i="21"/>
  <c r="I84" i="22"/>
  <c r="AH87" i="21"/>
  <c r="J87" i="22"/>
  <c r="DO169" i="3"/>
  <c r="DN169" i="3"/>
  <c r="AB85" i="21"/>
  <c r="ER83" i="3"/>
  <c r="AG12" i="21"/>
  <c r="I12" i="22"/>
  <c r="AA152" i="21"/>
  <c r="M152" i="20" s="1"/>
  <c r="ER150" i="2"/>
  <c r="F224" i="22"/>
  <c r="EP211" i="2"/>
  <c r="CN189" i="3"/>
  <c r="AH128" i="21"/>
  <c r="J128" i="22"/>
  <c r="I55" i="22"/>
  <c r="AG55" i="21"/>
  <c r="S94" i="16"/>
  <c r="P102" i="16"/>
  <c r="P97" i="16"/>
  <c r="P101" i="16"/>
  <c r="P106" i="16"/>
  <c r="P99" i="16"/>
  <c r="P98" i="16"/>
  <c r="P105" i="16"/>
  <c r="P96" i="16"/>
  <c r="P104" i="16"/>
  <c r="P95" i="16"/>
  <c r="P103" i="16"/>
  <c r="T94" i="16"/>
  <c r="P100" i="16"/>
  <c r="I191" i="22"/>
  <c r="AG191" i="21"/>
  <c r="AH217" i="21"/>
  <c r="J217" i="22"/>
  <c r="G150" i="22"/>
  <c r="EP147" i="3"/>
  <c r="J223" i="22"/>
  <c r="AH223" i="21"/>
  <c r="I54" i="22"/>
  <c r="AG54" i="21"/>
  <c r="DO83" i="2"/>
  <c r="DN83" i="2"/>
  <c r="AH32" i="21"/>
  <c r="J32" i="22"/>
  <c r="I24" i="22"/>
  <c r="AG24" i="21"/>
  <c r="AB107" i="21"/>
  <c r="M107" i="20" s="1"/>
  <c r="ER105" i="3"/>
  <c r="I123" i="22"/>
  <c r="AG123" i="21"/>
  <c r="Y72" i="21"/>
  <c r="EM70" i="3"/>
  <c r="AN72" i="21" s="1"/>
  <c r="EL70" i="3"/>
  <c r="AK72" i="21" s="1"/>
  <c r="J81" i="22"/>
  <c r="AH81" i="21"/>
  <c r="AG197" i="21"/>
  <c r="I197" i="22"/>
  <c r="M194" i="9"/>
  <c r="AG142" i="21"/>
  <c r="I142" i="22"/>
  <c r="J185" i="22"/>
  <c r="AH185" i="21"/>
  <c r="AH152" i="21"/>
  <c r="J152" i="22"/>
  <c r="M191" i="22"/>
  <c r="I140" i="22"/>
  <c r="M140" i="22" s="1"/>
  <c r="AG140" i="21"/>
  <c r="AB203" i="21"/>
  <c r="ER198" i="3"/>
  <c r="I176" i="22"/>
  <c r="AG176" i="21"/>
  <c r="AH117" i="21"/>
  <c r="J117" i="22"/>
  <c r="N117" i="22" s="1"/>
  <c r="AG78" i="21"/>
  <c r="I78" i="22"/>
  <c r="EP77" i="2"/>
  <c r="AG82" i="21"/>
  <c r="I82" i="22"/>
  <c r="I89" i="22"/>
  <c r="AG89" i="21"/>
  <c r="X105" i="21"/>
  <c r="EM104" i="2"/>
  <c r="AM105" i="21" s="1"/>
  <c r="EL104" i="2"/>
  <c r="AJ105" i="21" s="1"/>
  <c r="AH12" i="21"/>
  <c r="J12" i="22"/>
  <c r="AG190" i="21"/>
  <c r="I190" i="22"/>
  <c r="DO163" i="2"/>
  <c r="DN163" i="2"/>
  <c r="J107" i="22"/>
  <c r="AH107" i="21"/>
  <c r="AB111" i="21"/>
  <c r="ER109" i="3"/>
  <c r="J123" i="22"/>
  <c r="AH123" i="21"/>
  <c r="CS7" i="3"/>
  <c r="CS7" i="2"/>
  <c r="CS7" i="1"/>
  <c r="DO134" i="3"/>
  <c r="DN134" i="3"/>
  <c r="CS192" i="3"/>
  <c r="CS195" i="2"/>
  <c r="CS195" i="1"/>
  <c r="G9" i="22"/>
  <c r="EP8" i="3"/>
  <c r="AG5" i="21"/>
  <c r="I5" i="22"/>
  <c r="I101" i="22"/>
  <c r="AG101" i="21"/>
  <c r="I151" i="22"/>
  <c r="AG151" i="21"/>
  <c r="AB61" i="21"/>
  <c r="ER59" i="3"/>
  <c r="Y150" i="21"/>
  <c r="EM147" i="3"/>
  <c r="AN150" i="21" s="1"/>
  <c r="EL147" i="3"/>
  <c r="AK150" i="21" s="1"/>
  <c r="CE220" i="3"/>
  <c r="CS213" i="3"/>
  <c r="CS208" i="2"/>
  <c r="CE219" i="2"/>
  <c r="CS218" i="1"/>
  <c r="AH60" i="21"/>
  <c r="J60" i="22"/>
  <c r="J105" i="22"/>
  <c r="AH105" i="21"/>
  <c r="AG17" i="21"/>
  <c r="I17" i="22"/>
  <c r="I95" i="22"/>
  <c r="AG95" i="21"/>
  <c r="G95" i="22"/>
  <c r="I7" i="22"/>
  <c r="AG7" i="21"/>
  <c r="EP11" i="3"/>
  <c r="AH184" i="21"/>
  <c r="J184" i="22"/>
  <c r="N184" i="22" s="1"/>
  <c r="I36" i="22"/>
  <c r="AG36" i="21"/>
  <c r="ER69" i="3"/>
  <c r="EK69" i="3"/>
  <c r="AA24" i="21"/>
  <c r="M24" i="20" s="1"/>
  <c r="ER23" i="2"/>
  <c r="X199" i="21"/>
  <c r="E199" i="20" s="1"/>
  <c r="EM197" i="2"/>
  <c r="AM199" i="21" s="1"/>
  <c r="EL197" i="2"/>
  <c r="AJ199" i="21" s="1"/>
  <c r="N199" i="20" s="1"/>
  <c r="I66" i="22"/>
  <c r="AG66" i="21"/>
  <c r="G74" i="22"/>
  <c r="EP72" i="3"/>
  <c r="EK89" i="2"/>
  <c r="M5" i="22"/>
  <c r="F55" i="22"/>
  <c r="M55" i="22" s="1"/>
  <c r="EP54" i="2"/>
  <c r="J190" i="22"/>
  <c r="AH190" i="21"/>
  <c r="CS188" i="3"/>
  <c r="CS191" i="2"/>
  <c r="CS191" i="1"/>
  <c r="J199" i="22"/>
  <c r="AH199" i="21"/>
  <c r="CM35" i="3"/>
  <c r="I75" i="22"/>
  <c r="AG75" i="21"/>
  <c r="Y147" i="21"/>
  <c r="EL144" i="3"/>
  <c r="AK147" i="21" s="1"/>
  <c r="EM144" i="3"/>
  <c r="AN147" i="21" s="1"/>
  <c r="I42" i="22"/>
  <c r="AG42" i="21"/>
  <c r="AH183" i="21"/>
  <c r="J183" i="22"/>
  <c r="AA7" i="21"/>
  <c r="M7" i="20" s="1"/>
  <c r="ER6" i="2"/>
  <c r="AG98" i="21"/>
  <c r="I98" i="22"/>
  <c r="AG52" i="21"/>
  <c r="I52" i="22"/>
  <c r="DO106" i="3"/>
  <c r="DN106" i="3"/>
  <c r="X12" i="21"/>
  <c r="E12" i="20" s="1"/>
  <c r="EM11" i="2"/>
  <c r="AM12" i="21" s="1"/>
  <c r="EL11" i="2"/>
  <c r="AJ12" i="21" s="1"/>
  <c r="AB87" i="21"/>
  <c r="ER85" i="3"/>
  <c r="F25" i="22"/>
  <c r="EP24" i="2"/>
  <c r="AG61" i="21"/>
  <c r="I61" i="22"/>
  <c r="AG85" i="21"/>
  <c r="I85" i="22"/>
  <c r="AH114" i="21"/>
  <c r="J114" i="22"/>
  <c r="CS171" i="3"/>
  <c r="CS173" i="2"/>
  <c r="CS174" i="1"/>
  <c r="Y58" i="21"/>
  <c r="EM56" i="3"/>
  <c r="AN58" i="21" s="1"/>
  <c r="EL56" i="3"/>
  <c r="AK58" i="21" s="1"/>
  <c r="J141" i="22"/>
  <c r="AH141" i="21"/>
  <c r="AH42" i="21"/>
  <c r="J42" i="22"/>
  <c r="AG21" i="21"/>
  <c r="I21" i="22"/>
  <c r="AH69" i="21"/>
  <c r="J69" i="22"/>
  <c r="AH55" i="21"/>
  <c r="J55" i="22"/>
  <c r="J30" i="22"/>
  <c r="AH30" i="21"/>
  <c r="AA12" i="21"/>
  <c r="M12" i="20" s="1"/>
  <c r="ER11" i="2"/>
  <c r="Y125" i="21"/>
  <c r="EL123" i="3"/>
  <c r="AK125" i="21" s="1"/>
  <c r="EM123" i="3"/>
  <c r="AN125" i="21" s="1"/>
  <c r="CO171" i="2"/>
  <c r="F74" i="22"/>
  <c r="G116" i="22"/>
  <c r="EP114" i="3"/>
  <c r="G114" i="22"/>
  <c r="N114" i="22" s="1"/>
  <c r="EP112" i="3"/>
  <c r="AB129" i="21"/>
  <c r="ER127" i="3"/>
  <c r="DO172" i="2"/>
  <c r="DN172" i="2"/>
  <c r="AB199" i="21"/>
  <c r="ER194" i="3"/>
  <c r="I129" i="22"/>
  <c r="AG129" i="21"/>
  <c r="I119" i="22"/>
  <c r="AG119" i="21"/>
  <c r="M148" i="22"/>
  <c r="CS201" i="3"/>
  <c r="CS204" i="1"/>
  <c r="Y51" i="21"/>
  <c r="EM49" i="3"/>
  <c r="AN51" i="21" s="1"/>
  <c r="EL49" i="3"/>
  <c r="AK51" i="21" s="1"/>
  <c r="AG125" i="21"/>
  <c r="I125" i="22"/>
  <c r="Y24" i="21"/>
  <c r="E24" i="20" s="1"/>
  <c r="EM23" i="3"/>
  <c r="AN24" i="21" s="1"/>
  <c r="EL23" i="3"/>
  <c r="AK24" i="21" s="1"/>
  <c r="J111" i="22"/>
  <c r="AH111" i="21"/>
  <c r="AB125" i="21"/>
  <c r="ER123" i="3"/>
  <c r="X152" i="21"/>
  <c r="E152" i="20" s="1"/>
  <c r="EL150" i="2"/>
  <c r="AJ152" i="21" s="1"/>
  <c r="N152" i="20" s="1"/>
  <c r="I30" i="22"/>
  <c r="AG30" i="21"/>
  <c r="AH129" i="21"/>
  <c r="J129" i="22"/>
  <c r="F37" i="22"/>
  <c r="EP36" i="2"/>
  <c r="M41" i="11"/>
  <c r="U41" i="11" s="1"/>
  <c r="M52" i="11"/>
  <c r="U52" i="11" s="1"/>
  <c r="M30" i="11"/>
  <c r="AH75" i="21"/>
  <c r="J75" i="22"/>
  <c r="AG145" i="21"/>
  <c r="I145" i="22"/>
  <c r="AA52" i="21"/>
  <c r="M52" i="20" s="1"/>
  <c r="ER51" i="2"/>
  <c r="V32" i="11"/>
  <c r="N65" i="11"/>
  <c r="F125" i="22"/>
  <c r="M125" i="22" s="1"/>
  <c r="EP124" i="2"/>
  <c r="AF125" i="21"/>
  <c r="H125" i="22"/>
  <c r="L125" i="22" s="1"/>
  <c r="EP124" i="1"/>
  <c r="AG72" i="21"/>
  <c r="I72" i="22"/>
  <c r="G90" i="22"/>
  <c r="EP88" i="3"/>
  <c r="AG224" i="21"/>
  <c r="I224" i="22"/>
  <c r="X30" i="21"/>
  <c r="E30" i="20" s="1"/>
  <c r="EM29" i="2"/>
  <c r="AM30" i="21" s="1"/>
  <c r="EL29" i="2"/>
  <c r="AJ30" i="21" s="1"/>
  <c r="F203" i="22"/>
  <c r="EP201" i="2"/>
  <c r="AG28" i="21"/>
  <c r="I28" i="22"/>
  <c r="EP27" i="2"/>
  <c r="AH203" i="21"/>
  <c r="J203" i="22"/>
  <c r="G7" i="22"/>
  <c r="J202" i="22"/>
  <c r="AH202" i="21"/>
  <c r="G89" i="22"/>
  <c r="EP87" i="3"/>
  <c r="I147" i="22"/>
  <c r="AG147" i="21"/>
  <c r="AB77" i="21"/>
  <c r="ER75" i="3"/>
  <c r="J161" i="22"/>
  <c r="AH161" i="21"/>
  <c r="AH82" i="21"/>
  <c r="J82" i="22"/>
  <c r="N12" i="22"/>
  <c r="AH15" i="21"/>
  <c r="J15" i="22"/>
  <c r="N72" i="20"/>
  <c r="G185" i="20"/>
  <c r="Y90" i="21"/>
  <c r="EL88" i="3"/>
  <c r="AK90" i="21" s="1"/>
  <c r="N90" i="20" s="1"/>
  <c r="EM88" i="3"/>
  <c r="AN90" i="21" s="1"/>
  <c r="AH85" i="21"/>
  <c r="J85" i="22"/>
  <c r="G16" i="22"/>
  <c r="EP15" i="3"/>
  <c r="E166" i="22"/>
  <c r="L166" i="22" s="1"/>
  <c r="EP165" i="1"/>
  <c r="I69" i="22"/>
  <c r="AG69" i="21"/>
  <c r="AH125" i="21"/>
  <c r="J125" i="22"/>
  <c r="AH92" i="21"/>
  <c r="J92" i="22"/>
  <c r="AH5" i="21"/>
  <c r="J5" i="22"/>
  <c r="H7" i="22"/>
  <c r="AF7" i="21"/>
  <c r="I158" i="22"/>
  <c r="M158" i="22" s="1"/>
  <c r="AG158" i="21"/>
  <c r="X85" i="21"/>
  <c r="E85" i="20" s="1"/>
  <c r="EM84" i="2"/>
  <c r="AM85" i="21" s="1"/>
  <c r="EL84" i="2"/>
  <c r="AJ85" i="21" s="1"/>
  <c r="N85" i="20" s="1"/>
  <c r="DO142" i="2"/>
  <c r="DN142" i="2"/>
  <c r="CM46" i="3"/>
  <c r="G21" i="22"/>
  <c r="G209" i="22"/>
  <c r="G82" i="22"/>
  <c r="N82" i="22" s="1"/>
  <c r="EP80" i="3"/>
  <c r="AH24" i="21"/>
  <c r="J24" i="22"/>
  <c r="DO195" i="2"/>
  <c r="DN195" i="2"/>
  <c r="AH16" i="21"/>
  <c r="J16" i="22"/>
  <c r="AG202" i="21"/>
  <c r="I202" i="22"/>
  <c r="I150" i="22"/>
  <c r="AG150" i="21"/>
  <c r="DO156" i="3"/>
  <c r="DN156" i="3"/>
  <c r="AG31" i="21"/>
  <c r="I31" i="22"/>
  <c r="AG136" i="21"/>
  <c r="I136" i="22"/>
  <c r="X74" i="21"/>
  <c r="E74" i="20" s="1"/>
  <c r="EL73" i="2"/>
  <c r="AJ74" i="21" s="1"/>
  <c r="J61" i="22"/>
  <c r="AH61" i="21"/>
  <c r="I131" i="22"/>
  <c r="AG131" i="21"/>
  <c r="AH22" i="21"/>
  <c r="J22" i="22"/>
  <c r="AH52" i="21"/>
  <c r="J52" i="22"/>
  <c r="G15" i="22"/>
  <c r="EP14" i="3"/>
  <c r="F72" i="22"/>
  <c r="M72" i="22" s="1"/>
  <c r="EP71" i="2"/>
  <c r="J43" i="22"/>
  <c r="AH43" i="21"/>
  <c r="AA69" i="21"/>
  <c r="M69" i="20" s="1"/>
  <c r="ER68" i="2"/>
  <c r="AH104" i="21"/>
  <c r="J104" i="22"/>
  <c r="J181" i="22"/>
  <c r="AH181" i="21"/>
  <c r="ER116" i="2"/>
  <c r="EK116" i="2"/>
  <c r="F90" i="22"/>
  <c r="EP89" i="2"/>
  <c r="AH196" i="21"/>
  <c r="J196" i="22"/>
  <c r="CE219" i="3"/>
  <c r="CE218" i="2"/>
  <c r="CS207" i="2"/>
  <c r="CS217" i="1"/>
  <c r="DO184" i="3"/>
  <c r="DN184" i="3"/>
  <c r="AH18" i="21"/>
  <c r="J18" i="22"/>
  <c r="F43" i="22"/>
  <c r="EP42" i="2"/>
  <c r="AH136" i="21"/>
  <c r="J136" i="22"/>
  <c r="F131" i="22"/>
  <c r="M131" i="22" s="1"/>
  <c r="EP130" i="2"/>
  <c r="I71" i="22"/>
  <c r="AG71" i="21"/>
  <c r="G166" i="22"/>
  <c r="N166" i="22" s="1"/>
  <c r="EP163" i="3"/>
  <c r="AH17" i="21"/>
  <c r="J17" i="22"/>
  <c r="DO208" i="2"/>
  <c r="DN208" i="2"/>
  <c r="I18" i="22"/>
  <c r="AG18" i="21"/>
  <c r="DO65" i="3"/>
  <c r="DN65" i="3"/>
  <c r="C89" i="8"/>
  <c r="F89" i="8"/>
  <c r="E89" i="8"/>
  <c r="AH51" i="21"/>
  <c r="J51" i="22"/>
  <c r="ER49" i="3"/>
  <c r="CS152" i="3"/>
  <c r="CS153" i="2"/>
  <c r="CS154" i="1"/>
  <c r="G15" i="20"/>
  <c r="DO167" i="2"/>
  <c r="DN167" i="2"/>
  <c r="AH206" i="21"/>
  <c r="J206" i="22"/>
  <c r="N206" i="22" s="1"/>
  <c r="I155" i="22"/>
  <c r="AG155" i="21"/>
  <c r="EL124" i="2"/>
  <c r="AJ125" i="21" s="1"/>
  <c r="N125" i="20" s="1"/>
  <c r="AH177" i="21"/>
  <c r="J177" i="22"/>
  <c r="N183" i="22"/>
  <c r="EP197" i="2"/>
  <c r="CO41" i="2"/>
  <c r="AG132" i="21"/>
  <c r="I132" i="22"/>
  <c r="M132" i="22" s="1"/>
  <c r="EL105" i="3"/>
  <c r="AK107" i="21" s="1"/>
  <c r="I182" i="22"/>
  <c r="AG182" i="21"/>
  <c r="ER70" i="3"/>
  <c r="EM8" i="2"/>
  <c r="AM9" i="21" s="1"/>
  <c r="DO168" i="3"/>
  <c r="DN168" i="3"/>
  <c r="K31" i="11"/>
  <c r="K42" i="11"/>
  <c r="S42" i="11" s="1"/>
  <c r="K53" i="11"/>
  <c r="S53" i="11" s="1"/>
  <c r="EL96" i="3"/>
  <c r="AK98" i="21" s="1"/>
  <c r="F202" i="20"/>
  <c r="ER200" i="2"/>
  <c r="M186" i="9"/>
  <c r="M171" i="9"/>
  <c r="F104" i="20"/>
  <c r="ER103" i="2"/>
  <c r="EL24" i="2"/>
  <c r="AJ25" i="21" s="1"/>
  <c r="N25" i="20" s="1"/>
  <c r="M179" i="9"/>
  <c r="L44" i="11"/>
  <c r="T44" i="11" s="1"/>
  <c r="L55" i="11"/>
  <c r="T55" i="11" s="1"/>
  <c r="L33" i="11"/>
  <c r="DO4" i="2"/>
  <c r="DN4" i="2"/>
  <c r="M142" i="22"/>
  <c r="EM180" i="3"/>
  <c r="AN185" i="21" s="1"/>
  <c r="F90" i="20"/>
  <c r="AG220" i="21"/>
  <c r="I220" i="22"/>
  <c r="M220" i="22" s="1"/>
  <c r="B117" i="8"/>
  <c r="H119" i="8"/>
  <c r="H117" i="8"/>
  <c r="E117" i="8"/>
  <c r="F117" i="8"/>
  <c r="C117" i="8"/>
  <c r="G117" i="8"/>
  <c r="D117" i="8"/>
  <c r="EM6" i="1"/>
  <c r="AL7" i="21" s="1"/>
  <c r="CN213" i="3"/>
  <c r="AG137" i="21"/>
  <c r="I137" i="22"/>
  <c r="M137" i="22" s="1"/>
  <c r="EM8" i="3"/>
  <c r="AN9" i="21" s="1"/>
  <c r="B118" i="8"/>
  <c r="J200" i="22"/>
  <c r="AH200" i="21"/>
  <c r="J162" i="22"/>
  <c r="AH162" i="21"/>
  <c r="AG108" i="21"/>
  <c r="I108" i="22"/>
  <c r="M106" i="9"/>
  <c r="EL54" i="2"/>
  <c r="AJ55" i="21" s="1"/>
  <c r="N55" i="20" s="1"/>
  <c r="G74" i="20"/>
  <c r="T91" i="16"/>
  <c r="S91" i="16"/>
  <c r="ER100" i="2"/>
  <c r="DO98" i="2"/>
  <c r="DN98" i="2"/>
  <c r="EM194" i="3"/>
  <c r="AN199" i="21" s="1"/>
  <c r="EM36" i="2"/>
  <c r="AM37" i="21" s="1"/>
  <c r="F37" i="20"/>
  <c r="EL155" i="2"/>
  <c r="AJ157" i="21" s="1"/>
  <c r="N157" i="20" s="1"/>
  <c r="U84" i="15"/>
  <c r="T84" i="15"/>
  <c r="CM56" i="3"/>
  <c r="M28" i="20"/>
  <c r="E35" i="22"/>
  <c r="L35" i="22" s="1"/>
  <c r="EP34" i="1"/>
  <c r="CS190" i="3"/>
  <c r="CS193" i="2"/>
  <c r="CS193" i="1"/>
  <c r="ER211" i="3"/>
  <c r="M43" i="9"/>
  <c r="AH25" i="21"/>
  <c r="J25" i="22"/>
  <c r="DO118" i="3"/>
  <c r="DN118" i="3"/>
  <c r="EM92" i="2"/>
  <c r="AM93" i="21" s="1"/>
  <c r="ER74" i="2"/>
  <c r="M87" i="20"/>
  <c r="EK6" i="3"/>
  <c r="CN144" i="3"/>
  <c r="EM115" i="3"/>
  <c r="AN117" i="21" s="1"/>
  <c r="EP197" i="3"/>
  <c r="AG114" i="21"/>
  <c r="I114" i="22"/>
  <c r="M151" i="9"/>
  <c r="CO70" i="2"/>
  <c r="AH156" i="21"/>
  <c r="J156" i="22"/>
  <c r="M170" i="9"/>
  <c r="DO206" i="3"/>
  <c r="DN206" i="3"/>
  <c r="DO182" i="2"/>
  <c r="DN182" i="2"/>
  <c r="I32" i="22"/>
  <c r="M32" i="22" s="1"/>
  <c r="AG32" i="21"/>
  <c r="EL21" i="3"/>
  <c r="AK22" i="21" s="1"/>
  <c r="EP20" i="2"/>
  <c r="M22" i="20"/>
  <c r="G22" i="20"/>
  <c r="E145" i="20"/>
  <c r="ER16" i="2"/>
  <c r="EP16" i="3"/>
  <c r="E128" i="20"/>
  <c r="M54" i="11"/>
  <c r="U54" i="11" s="1"/>
  <c r="M32" i="11"/>
  <c r="M43" i="11"/>
  <c r="U43" i="11" s="1"/>
  <c r="M166" i="9"/>
  <c r="J202" i="9"/>
  <c r="C207" i="14" s="1"/>
  <c r="EM20" i="3"/>
  <c r="AN21" i="21" s="1"/>
  <c r="EM93" i="3"/>
  <c r="AN95" i="21" s="1"/>
  <c r="EL212" i="2"/>
  <c r="AJ226" i="21" s="1"/>
  <c r="M185" i="9"/>
  <c r="L61" i="11"/>
  <c r="T28" i="11"/>
  <c r="F27" i="20"/>
  <c r="ER81" i="2"/>
  <c r="EL81" i="2"/>
  <c r="AJ82" i="21" s="1"/>
  <c r="DO201" i="3"/>
  <c r="DN201" i="3"/>
  <c r="N172" i="22"/>
  <c r="M162" i="9"/>
  <c r="DO31" i="2"/>
  <c r="DN31" i="2"/>
  <c r="AH163" i="21"/>
  <c r="J163" i="22"/>
  <c r="CS157" i="3"/>
  <c r="CS158" i="2"/>
  <c r="CS159" i="1"/>
  <c r="J93" i="22"/>
  <c r="AH93" i="21"/>
  <c r="U28" i="11"/>
  <c r="M61" i="11"/>
  <c r="I92" i="22"/>
  <c r="AG92" i="21"/>
  <c r="I111" i="22"/>
  <c r="AG111" i="21"/>
  <c r="M30" i="9"/>
  <c r="I81" i="22"/>
  <c r="AG81" i="21"/>
  <c r="M79" i="9"/>
  <c r="AH167" i="21"/>
  <c r="J167" i="22"/>
  <c r="N167" i="22" s="1"/>
  <c r="AG22" i="21"/>
  <c r="I22" i="22"/>
  <c r="M129" i="20"/>
  <c r="CN117" i="3"/>
  <c r="DO141" i="2"/>
  <c r="DN141" i="2"/>
  <c r="N17" i="22"/>
  <c r="J66" i="22"/>
  <c r="N66" i="22" s="1"/>
  <c r="AH66" i="21"/>
  <c r="M119" i="22"/>
  <c r="DO161" i="3"/>
  <c r="DN161" i="3"/>
  <c r="AF204" i="21"/>
  <c r="H204" i="22"/>
  <c r="AG27" i="21"/>
  <c r="I27" i="22"/>
  <c r="M27" i="22" s="1"/>
  <c r="C27" i="22" s="1"/>
  <c r="AG194" i="21"/>
  <c r="I194" i="22"/>
  <c r="N28" i="20"/>
  <c r="DO177" i="3"/>
  <c r="DN177" i="3"/>
  <c r="M161" i="9"/>
  <c r="M21" i="22"/>
  <c r="AH31" i="21"/>
  <c r="J31" i="22"/>
  <c r="N31" i="22" s="1"/>
  <c r="CS174" i="3"/>
  <c r="CS176" i="2"/>
  <c r="CS177" i="1"/>
  <c r="E147" i="20"/>
  <c r="M147" i="20"/>
  <c r="AH172" i="21"/>
  <c r="J172" i="22"/>
  <c r="CS42" i="3"/>
  <c r="CS43" i="2"/>
  <c r="CS43" i="1"/>
  <c r="EL11" i="3"/>
  <c r="AK12" i="21" s="1"/>
  <c r="EL80" i="3"/>
  <c r="AK82" i="21" s="1"/>
  <c r="DN183" i="3"/>
  <c r="DO183" i="3"/>
  <c r="E37" i="9"/>
  <c r="EI38" i="2"/>
  <c r="AA39" i="21" s="1"/>
  <c r="CI38" i="2"/>
  <c r="EH38" i="2"/>
  <c r="X39" i="21" s="1"/>
  <c r="E39" i="20" s="1"/>
  <c r="CH38" i="2"/>
  <c r="EG38" i="2"/>
  <c r="U39" i="21" s="1"/>
  <c r="CG38" i="2"/>
  <c r="EQ38" i="2"/>
  <c r="ER38" i="2"/>
  <c r="F39" i="22" s="1"/>
  <c r="EP38" i="2"/>
  <c r="EO38" i="2"/>
  <c r="EN38" i="2"/>
  <c r="AP39" i="21" s="1"/>
  <c r="CK38" i="2"/>
  <c r="G118" i="8" s="1"/>
  <c r="EK38" i="2"/>
  <c r="EJ38" i="2"/>
  <c r="AD39" i="21" s="1"/>
  <c r="CJ38" i="2"/>
  <c r="ER35" i="2"/>
  <c r="N212" i="22"/>
  <c r="EL99" i="3"/>
  <c r="AK101" i="21" s="1"/>
  <c r="AG113" i="21"/>
  <c r="I113" i="22"/>
  <c r="M84" i="22"/>
  <c r="ER188" i="2"/>
  <c r="ER97" i="2"/>
  <c r="M167" i="9"/>
  <c r="G42" i="20"/>
  <c r="M180" i="9"/>
  <c r="N29" i="11"/>
  <c r="N40" i="11"/>
  <c r="N51" i="11"/>
  <c r="V51" i="11" s="1"/>
  <c r="EL75" i="2"/>
  <c r="AJ76" i="21" s="1"/>
  <c r="N76" i="20" s="1"/>
  <c r="DO79" i="3"/>
  <c r="DN79" i="3"/>
  <c r="F12" i="20"/>
  <c r="J173" i="22"/>
  <c r="AH173" i="21"/>
  <c r="ER96" i="3"/>
  <c r="J158" i="22"/>
  <c r="AH158" i="21"/>
  <c r="AH108" i="21"/>
  <c r="J108" i="22"/>
  <c r="J67" i="22"/>
  <c r="N67" i="22" s="1"/>
  <c r="AH67" i="21"/>
  <c r="G152" i="20"/>
  <c r="EL211" i="2"/>
  <c r="AJ224" i="21" s="1"/>
  <c r="EM72" i="3"/>
  <c r="AN74" i="21" s="1"/>
  <c r="G104" i="20"/>
  <c r="E150" i="20"/>
  <c r="DO120" i="3"/>
  <c r="DN120" i="3"/>
  <c r="ER102" i="3"/>
  <c r="I196" i="22"/>
  <c r="AG196" i="21"/>
  <c r="N181" i="22"/>
  <c r="M140" i="9"/>
  <c r="N5" i="22"/>
  <c r="M90" i="20"/>
  <c r="N196" i="22"/>
  <c r="EL6" i="1"/>
  <c r="AI7" i="21" s="1"/>
  <c r="M156" i="9"/>
  <c r="AH122" i="21"/>
  <c r="J122" i="22"/>
  <c r="M135" i="9"/>
  <c r="F107" i="20"/>
  <c r="M3" i="9"/>
  <c r="N200" i="22"/>
  <c r="N162" i="22"/>
  <c r="E217" i="22"/>
  <c r="L217" i="22" s="1"/>
  <c r="EP214" i="1"/>
  <c r="E77" i="20"/>
  <c r="M74" i="20"/>
  <c r="S86" i="16"/>
  <c r="T86" i="16"/>
  <c r="CM152" i="3"/>
  <c r="M165" i="9"/>
  <c r="EM114" i="3"/>
  <c r="AN116" i="21" s="1"/>
  <c r="EL112" i="3"/>
  <c r="AK114" i="21" s="1"/>
  <c r="EL127" i="3"/>
  <c r="AK129" i="21" s="1"/>
  <c r="E43" i="20"/>
  <c r="EM149" i="2"/>
  <c r="AM151" i="21" s="1"/>
  <c r="CO191" i="2"/>
  <c r="ER133" i="3"/>
  <c r="F157" i="20"/>
  <c r="EL54" i="3"/>
  <c r="AK56" i="21" s="1"/>
  <c r="U79" i="15"/>
  <c r="T79" i="15"/>
  <c r="J142" i="22"/>
  <c r="N142" i="22" s="1"/>
  <c r="AH142" i="21"/>
  <c r="ER209" i="3"/>
  <c r="EL74" i="2"/>
  <c r="AJ75" i="21" s="1"/>
  <c r="N75" i="20" s="1"/>
  <c r="EL115" i="2"/>
  <c r="AJ116" i="21" s="1"/>
  <c r="N116" i="20" s="1"/>
  <c r="M176" i="22"/>
  <c r="M174" i="9"/>
  <c r="EL129" i="3"/>
  <c r="AK131" i="21" s="1"/>
  <c r="AH131" i="21"/>
  <c r="J131" i="22"/>
  <c r="ER77" i="3"/>
  <c r="CO158" i="2"/>
  <c r="AH54" i="21"/>
  <c r="J54" i="22"/>
  <c r="M163" i="22"/>
  <c r="ER70" i="2"/>
  <c r="F54" i="20"/>
  <c r="ER73" i="3"/>
  <c r="I172" i="22"/>
  <c r="AG172" i="21"/>
  <c r="DO125" i="2"/>
  <c r="DN125" i="2"/>
  <c r="ER110" i="2"/>
  <c r="EM110" i="2"/>
  <c r="AM111" i="21" s="1"/>
  <c r="G60" i="20"/>
  <c r="M209" i="9"/>
  <c r="EM21" i="2"/>
  <c r="AM22" i="21" s="1"/>
  <c r="CM172" i="3"/>
  <c r="DO174" i="3"/>
  <c r="DN174" i="3"/>
  <c r="F129" i="20"/>
  <c r="M29" i="11"/>
  <c r="M40" i="11"/>
  <c r="U40" i="11" s="1"/>
  <c r="M51" i="11"/>
  <c r="U51" i="11" s="1"/>
  <c r="J197" i="22"/>
  <c r="N197" i="22" s="1"/>
  <c r="AH197" i="21"/>
  <c r="I6" i="22"/>
  <c r="AG6" i="21"/>
  <c r="M4" i="9"/>
  <c r="M56" i="20"/>
  <c r="DN161" i="2"/>
  <c r="DO161" i="2"/>
  <c r="E119" i="20"/>
  <c r="EL30" i="3"/>
  <c r="AK31" i="21" s="1"/>
  <c r="EK20" i="3"/>
  <c r="I156" i="22"/>
  <c r="AG156" i="21"/>
  <c r="EK93" i="3"/>
  <c r="ER53" i="3"/>
  <c r="G27" i="20"/>
  <c r="G82" i="20"/>
  <c r="EM145" i="2"/>
  <c r="AM147" i="21" s="1"/>
  <c r="ER50" i="3"/>
  <c r="M192" i="9"/>
  <c r="F89" i="20"/>
  <c r="ER88" i="2"/>
  <c r="AH132" i="21"/>
  <c r="J132" i="22"/>
  <c r="N132" i="22" s="1"/>
  <c r="EP76" i="3"/>
  <c r="CS181" i="3"/>
  <c r="CS184" i="2"/>
  <c r="CS184" i="1"/>
  <c r="N92" i="20"/>
  <c r="I152" i="22"/>
  <c r="AG152" i="21"/>
  <c r="DO139" i="3"/>
  <c r="DN139" i="3"/>
  <c r="M85" i="20"/>
  <c r="CO73" i="2"/>
  <c r="T87" i="16"/>
  <c r="S87" i="16"/>
  <c r="G101" i="20"/>
  <c r="E101" i="20"/>
  <c r="F43" i="20"/>
  <c r="N190" i="22"/>
  <c r="I203" i="22"/>
  <c r="AG203" i="21"/>
  <c r="I58" i="22"/>
  <c r="AG58" i="21"/>
  <c r="E157" i="20"/>
  <c r="F51" i="20"/>
  <c r="EM54" i="3"/>
  <c r="AN56" i="21" s="1"/>
  <c r="U77" i="15"/>
  <c r="T77" i="15"/>
  <c r="AG141" i="21"/>
  <c r="I141" i="22"/>
  <c r="J150" i="22"/>
  <c r="AH150" i="21"/>
  <c r="M93" i="20"/>
  <c r="AG221" i="21"/>
  <c r="I221" i="22"/>
  <c r="M221" i="22"/>
  <c r="EK86" i="2"/>
  <c r="EP86" i="2" s="1"/>
  <c r="M203" i="9"/>
  <c r="DO140" i="3"/>
  <c r="DN140" i="3"/>
  <c r="DO158" i="2"/>
  <c r="DN158" i="2"/>
  <c r="EL52" i="3"/>
  <c r="AK54" i="21" s="1"/>
  <c r="CN118" i="3"/>
  <c r="C59" i="22"/>
  <c r="EL70" i="2"/>
  <c r="AJ71" i="21" s="1"/>
  <c r="N71" i="20" s="1"/>
  <c r="EL73" i="3"/>
  <c r="AK75" i="21" s="1"/>
  <c r="EL103" i="3"/>
  <c r="AK105" i="21" s="1"/>
  <c r="ER103" i="3"/>
  <c r="ER59" i="2"/>
  <c r="E60" i="20"/>
  <c r="CS196" i="3"/>
  <c r="CS199" i="2"/>
  <c r="CS199" i="1"/>
  <c r="M79" i="20"/>
  <c r="AG16" i="21"/>
  <c r="I16" i="22"/>
  <c r="M16" i="22" s="1"/>
  <c r="DO179" i="3"/>
  <c r="DN179" i="3"/>
  <c r="EP34" i="3"/>
  <c r="DO82" i="3"/>
  <c r="DN82" i="3"/>
  <c r="EP74" i="3"/>
  <c r="AG128" i="21"/>
  <c r="I128" i="22"/>
  <c r="DO191" i="3"/>
  <c r="DN191" i="3"/>
  <c r="J89" i="22"/>
  <c r="AH89" i="21"/>
  <c r="AH170" i="21"/>
  <c r="J170" i="22"/>
  <c r="N170" i="22" s="1"/>
  <c r="G119" i="20"/>
  <c r="EP30" i="3"/>
  <c r="EM30" i="3"/>
  <c r="AN31" i="21" s="1"/>
  <c r="EL94" i="2"/>
  <c r="AJ95" i="21" s="1"/>
  <c r="CO202" i="1"/>
  <c r="L204" i="22"/>
  <c r="AG178" i="21"/>
  <c r="I178" i="22"/>
  <c r="ER29" i="3"/>
  <c r="EL145" i="2"/>
  <c r="AJ147" i="21" s="1"/>
  <c r="N147" i="20" s="1"/>
  <c r="F37" i="9"/>
  <c r="EH37" i="3"/>
  <c r="Y39" i="21" s="1"/>
  <c r="CH37" i="3"/>
  <c r="EQ37" i="3"/>
  <c r="ER37" i="3" s="1"/>
  <c r="EO37" i="3"/>
  <c r="EN37" i="3"/>
  <c r="AQ39" i="21" s="1"/>
  <c r="CK37" i="3"/>
  <c r="CJ37" i="3"/>
  <c r="C91" i="8" s="1"/>
  <c r="EM37" i="3"/>
  <c r="AN39" i="21" s="1"/>
  <c r="CI37" i="3"/>
  <c r="EJ37" i="3"/>
  <c r="AE39" i="21" s="1"/>
  <c r="CG37" i="3"/>
  <c r="EI37" i="3"/>
  <c r="AB39" i="21" s="1"/>
  <c r="EG37" i="3"/>
  <c r="V39" i="21" s="1"/>
  <c r="EM88" i="2"/>
  <c r="AM89" i="21" s="1"/>
  <c r="M160" i="9"/>
  <c r="CS84" i="3"/>
  <c r="CS85" i="2"/>
  <c r="CS85" i="1"/>
  <c r="CS119" i="3"/>
  <c r="CS120" i="2"/>
  <c r="CS120" i="1"/>
  <c r="J56" i="22"/>
  <c r="AH56" i="21"/>
  <c r="N131" i="20"/>
  <c r="N98" i="20"/>
  <c r="DO179" i="2"/>
  <c r="DN179" i="2"/>
  <c r="DN47" i="2"/>
  <c r="DO47" i="2"/>
  <c r="CN148" i="3"/>
  <c r="EK14" i="2"/>
  <c r="DO178" i="3"/>
  <c r="DN178" i="3"/>
  <c r="M18" i="22"/>
  <c r="EM80" i="3"/>
  <c r="AN82" i="21" s="1"/>
  <c r="E125" i="20"/>
  <c r="N32" i="22"/>
  <c r="M31" i="11"/>
  <c r="M42" i="11"/>
  <c r="U42" i="11" s="1"/>
  <c r="M53" i="11"/>
  <c r="U53" i="11" s="1"/>
  <c r="AH101" i="21"/>
  <c r="J101" i="22"/>
  <c r="M113" i="22"/>
  <c r="M111" i="9"/>
  <c r="EL51" i="2"/>
  <c r="AJ52" i="21" s="1"/>
  <c r="N52" i="20" s="1"/>
  <c r="M199" i="22"/>
  <c r="M146" i="9"/>
  <c r="I200" i="22"/>
  <c r="M200" i="22" s="1"/>
  <c r="AG200" i="21"/>
  <c r="DN207" i="3"/>
  <c r="DO207" i="3"/>
  <c r="ER122" i="2"/>
  <c r="DO186" i="3"/>
  <c r="DN186" i="3"/>
  <c r="DO4" i="3"/>
  <c r="DN4" i="3"/>
  <c r="ER75" i="2"/>
  <c r="EL164" i="2"/>
  <c r="AJ166" i="21" s="1"/>
  <c r="N166" i="20" s="1"/>
  <c r="ER164" i="2"/>
  <c r="AH98" i="21"/>
  <c r="J98" i="22"/>
  <c r="M197" i="22"/>
  <c r="I173" i="22"/>
  <c r="M173" i="22" s="1"/>
  <c r="AG173" i="21"/>
  <c r="DO156" i="2"/>
  <c r="DN156" i="2"/>
  <c r="AH74" i="21"/>
  <c r="J74" i="22"/>
  <c r="M159" i="9"/>
  <c r="EM116" i="2"/>
  <c r="AM117" i="21" s="1"/>
  <c r="E7" i="8"/>
  <c r="B7" i="8"/>
  <c r="G7" i="8"/>
  <c r="C7" i="8"/>
  <c r="H7" i="8"/>
  <c r="D7" i="8"/>
  <c r="EM89" i="2"/>
  <c r="AM90" i="21" s="1"/>
  <c r="EK106" i="2"/>
  <c r="I48" i="22"/>
  <c r="AG48" i="21"/>
  <c r="EL60" i="2"/>
  <c r="AJ61" i="21" s="1"/>
  <c r="N61" i="20" s="1"/>
  <c r="M77" i="20"/>
  <c r="G85" i="20"/>
  <c r="F74" i="20"/>
  <c r="J6" i="22"/>
  <c r="AH6" i="21"/>
  <c r="S90" i="16"/>
  <c r="T90" i="16"/>
  <c r="EM100" i="2"/>
  <c r="AM101" i="21" s="1"/>
  <c r="E135" i="22"/>
  <c r="L135" i="22" s="1"/>
  <c r="EP134" i="1"/>
  <c r="I67" i="22"/>
  <c r="M67" i="22" s="1"/>
  <c r="AG67" i="21"/>
  <c r="DO203" i="3"/>
  <c r="DN203" i="3"/>
  <c r="N58" i="20"/>
  <c r="G157" i="20"/>
  <c r="I51" i="22"/>
  <c r="AG51" i="21"/>
  <c r="ER50" i="2"/>
  <c r="T86" i="15"/>
  <c r="U86" i="15"/>
  <c r="EM210" i="2"/>
  <c r="AM223" i="21" s="1"/>
  <c r="DO46" i="3"/>
  <c r="DN46" i="3"/>
  <c r="DO162" i="2"/>
  <c r="DN162" i="2"/>
  <c r="DO153" i="3"/>
  <c r="DN153" i="3"/>
  <c r="ER138" i="3"/>
  <c r="K63" i="11"/>
  <c r="S30" i="11"/>
  <c r="M206" i="9"/>
  <c r="DO170" i="2"/>
  <c r="DN170" i="2"/>
  <c r="F116" i="20"/>
  <c r="ER115" i="2"/>
  <c r="AG120" i="21"/>
  <c r="I120" i="22"/>
  <c r="M118" i="9"/>
  <c r="I160" i="22"/>
  <c r="M160" i="22" s="1"/>
  <c r="AG160" i="21"/>
  <c r="ER66" i="3"/>
  <c r="EM18" i="1"/>
  <c r="AL19" i="21" s="1"/>
  <c r="EM197" i="3"/>
  <c r="AN202" i="21" s="1"/>
  <c r="EM52" i="3"/>
  <c r="AN54" i="21" s="1"/>
  <c r="E134" i="22"/>
  <c r="L134" i="22" s="1"/>
  <c r="EP133" i="1"/>
  <c r="AG126" i="21"/>
  <c r="I126" i="22"/>
  <c r="EM70" i="2"/>
  <c r="AM71" i="21" s="1"/>
  <c r="ER53" i="2"/>
  <c r="EM73" i="3"/>
  <c r="AN75" i="21" s="1"/>
  <c r="EM103" i="3"/>
  <c r="AN105" i="21" s="1"/>
  <c r="M172" i="22"/>
  <c r="E92" i="20"/>
  <c r="G92" i="20"/>
  <c r="G111" i="20"/>
  <c r="EL59" i="2"/>
  <c r="AJ60" i="21" s="1"/>
  <c r="DO192" i="3"/>
  <c r="DN192" i="3"/>
  <c r="CN206" i="3"/>
  <c r="DO145" i="3"/>
  <c r="DN145" i="3"/>
  <c r="ER128" i="2"/>
  <c r="F79" i="20"/>
  <c r="EP78" i="2"/>
  <c r="EL16" i="2"/>
  <c r="AJ17" i="21" s="1"/>
  <c r="N17" i="20" s="1"/>
  <c r="M196" i="9"/>
  <c r="F56" i="20"/>
  <c r="DO207" i="2"/>
  <c r="DN207" i="2"/>
  <c r="M119" i="20"/>
  <c r="EM94" i="2"/>
  <c r="AM95" i="21" s="1"/>
  <c r="M120" i="9"/>
  <c r="EL20" i="3"/>
  <c r="AK21" i="21" s="1"/>
  <c r="M178" i="22"/>
  <c r="M156" i="22"/>
  <c r="EM53" i="3"/>
  <c r="AN55" i="21" s="1"/>
  <c r="B61" i="8"/>
  <c r="E82" i="20"/>
  <c r="G147" i="20"/>
  <c r="EK204" i="3"/>
  <c r="M177" i="9"/>
  <c r="EM76" i="3"/>
  <c r="AN78" i="21" s="1"/>
  <c r="CS108" i="3"/>
  <c r="CS109" i="2"/>
  <c r="CS109" i="1"/>
  <c r="I116" i="22"/>
  <c r="AG116" i="21"/>
  <c r="N202" i="22"/>
  <c r="M92" i="22"/>
  <c r="DO166" i="2"/>
  <c r="DN166" i="2"/>
  <c r="T29" i="11"/>
  <c r="L62" i="11"/>
  <c r="M155" i="22"/>
  <c r="AG166" i="21"/>
  <c r="I166" i="22"/>
  <c r="CS82" i="3"/>
  <c r="CS83" i="2"/>
  <c r="CS83" i="1"/>
  <c r="N7" i="20"/>
  <c r="CO131" i="2"/>
  <c r="E72" i="20"/>
  <c r="ER121" i="3"/>
  <c r="I165" i="22"/>
  <c r="AG165" i="21"/>
  <c r="I76" i="22"/>
  <c r="AG76" i="21"/>
  <c r="AH205" i="21"/>
  <c r="J205" i="22"/>
  <c r="N52" i="11"/>
  <c r="V52" i="11" s="1"/>
  <c r="N30" i="11"/>
  <c r="N41" i="11"/>
  <c r="V41" i="11" s="1"/>
  <c r="I177" i="22"/>
  <c r="AG177" i="21"/>
  <c r="ER41" i="3"/>
  <c r="DO159" i="2"/>
  <c r="DN159" i="2"/>
  <c r="K54" i="11"/>
  <c r="S54" i="11" s="1"/>
  <c r="K32" i="11"/>
  <c r="K43" i="11"/>
  <c r="S43" i="11" s="1"/>
  <c r="I68" i="22"/>
  <c r="AG68" i="21"/>
  <c r="DO159" i="3"/>
  <c r="DN159" i="3"/>
  <c r="DN173" i="2"/>
  <c r="DO173" i="2"/>
  <c r="AH187" i="21"/>
  <c r="J187" i="22"/>
  <c r="N187" i="22" s="1"/>
  <c r="N152" i="22"/>
  <c r="DN171" i="3"/>
  <c r="DO171" i="3"/>
  <c r="DO189" i="2"/>
  <c r="DN189" i="2"/>
  <c r="N107" i="20"/>
  <c r="M13" i="20"/>
  <c r="I13" i="22"/>
  <c r="AG13" i="21"/>
  <c r="N128" i="22"/>
  <c r="E190" i="22"/>
  <c r="L190" i="22" s="1"/>
  <c r="EP188" i="1"/>
  <c r="M108" i="22"/>
  <c r="F85" i="20"/>
  <c r="F55" i="20"/>
  <c r="I217" i="22"/>
  <c r="AG217" i="21"/>
  <c r="M101" i="20"/>
  <c r="AG43" i="21"/>
  <c r="I43" i="22"/>
  <c r="G151" i="20"/>
  <c r="CN133" i="3"/>
  <c r="J37" i="22"/>
  <c r="AH37" i="21"/>
  <c r="N56" i="22"/>
  <c r="U81" i="15"/>
  <c r="T81" i="15"/>
  <c r="EP56" i="3"/>
  <c r="M28" i="22"/>
  <c r="DO160" i="3"/>
  <c r="DN160" i="3"/>
  <c r="DO157" i="3"/>
  <c r="DN157" i="3"/>
  <c r="ER139" i="2"/>
  <c r="AG45" i="21"/>
  <c r="I45" i="22"/>
  <c r="M45" i="22" s="1"/>
  <c r="I174" i="22"/>
  <c r="AG174" i="21"/>
  <c r="AH48" i="21"/>
  <c r="J48" i="22"/>
  <c r="J182" i="22"/>
  <c r="N182" i="22" s="1"/>
  <c r="AH182" i="21"/>
  <c r="DO80" i="2"/>
  <c r="DN80" i="2"/>
  <c r="EP115" i="3"/>
  <c r="EP18" i="1"/>
  <c r="ER52" i="3"/>
  <c r="CS124" i="3"/>
  <c r="CS125" i="2"/>
  <c r="CS125" i="1"/>
  <c r="N54" i="20"/>
  <c r="AH165" i="21"/>
  <c r="J165" i="22"/>
  <c r="N165" i="22" s="1"/>
  <c r="DO5" i="3"/>
  <c r="DN5" i="3"/>
  <c r="E124" i="22"/>
  <c r="L124" i="22" s="1"/>
  <c r="EP123" i="1"/>
  <c r="M92" i="20"/>
  <c r="M78" i="22"/>
  <c r="M60" i="20"/>
  <c r="DO152" i="3"/>
  <c r="DN152" i="3"/>
  <c r="EP21" i="2"/>
  <c r="AH27" i="21"/>
  <c r="J27" i="22"/>
  <c r="F145" i="20"/>
  <c r="DN166" i="3"/>
  <c r="DO166" i="3"/>
  <c r="EM16" i="2"/>
  <c r="AM17" i="21" s="1"/>
  <c r="AH119" i="21"/>
  <c r="J119" i="22"/>
  <c r="DO157" i="2"/>
  <c r="DN157" i="2"/>
  <c r="H89" i="8"/>
  <c r="EL55" i="2"/>
  <c r="AJ56" i="21" s="1"/>
  <c r="N56" i="20" s="1"/>
  <c r="I168" i="22"/>
  <c r="M168" i="22" s="1"/>
  <c r="AG168" i="21"/>
  <c r="DO176" i="2"/>
  <c r="DN176" i="2"/>
  <c r="K61" i="11"/>
  <c r="S28" i="11"/>
  <c r="EL67" i="3"/>
  <c r="AK69" i="21" s="1"/>
  <c r="N69" i="20" s="1"/>
  <c r="G89" i="20"/>
  <c r="I179" i="22"/>
  <c r="AG179" i="21"/>
  <c r="AH78" i="21"/>
  <c r="J78" i="22"/>
  <c r="N78" i="22" s="1"/>
  <c r="CS47" i="3"/>
  <c r="CS48" i="2"/>
  <c r="CS48" i="1"/>
  <c r="T82" i="15"/>
  <c r="U82" i="15"/>
  <c r="DO198" i="2"/>
  <c r="DN198" i="2"/>
  <c r="DO155" i="3"/>
  <c r="DN155" i="3"/>
  <c r="M182" i="22"/>
  <c r="AG188" i="21"/>
  <c r="I188" i="22"/>
  <c r="CS17" i="3"/>
  <c r="CS17" i="2"/>
  <c r="CS17" i="1"/>
  <c r="M125" i="20"/>
  <c r="J212" i="22"/>
  <c r="AH212" i="21"/>
  <c r="J145" i="22"/>
  <c r="N145" i="22" s="1"/>
  <c r="AH145" i="21"/>
  <c r="N101" i="22"/>
  <c r="AG183" i="21"/>
  <c r="I183" i="22"/>
  <c r="M183" i="22" s="1"/>
  <c r="M181" i="9"/>
  <c r="EM6" i="2"/>
  <c r="AM7" i="21" s="1"/>
  <c r="DN193" i="3"/>
  <c r="DO193" i="3"/>
  <c r="M163" i="9"/>
  <c r="M175" i="9"/>
  <c r="N108" i="22"/>
  <c r="DO17" i="3"/>
  <c r="DN17" i="3"/>
  <c r="N150" i="20"/>
  <c r="M196" i="22"/>
  <c r="M68" i="22"/>
  <c r="G117" i="20"/>
  <c r="B35" i="8"/>
  <c r="H35" i="8"/>
  <c r="C63" i="8"/>
  <c r="C35" i="8"/>
  <c r="G35" i="8"/>
  <c r="E35" i="8"/>
  <c r="F35" i="8"/>
  <c r="D35" i="8"/>
  <c r="I35" i="8" s="1"/>
  <c r="CM1" i="3" s="1"/>
  <c r="CM97" i="3" s="1"/>
  <c r="DO187" i="2"/>
  <c r="DN187" i="2"/>
  <c r="G90" i="20"/>
  <c r="AG102" i="21"/>
  <c r="I102" i="22"/>
  <c r="S29" i="11"/>
  <c r="K62" i="11"/>
  <c r="J151" i="22"/>
  <c r="N151" i="22" s="1"/>
  <c r="AH151" i="21"/>
  <c r="AH99" i="21"/>
  <c r="J99" i="22"/>
  <c r="N99" i="22" s="1"/>
  <c r="M46" i="9"/>
  <c r="G34" i="8"/>
  <c r="C62" i="8"/>
  <c r="C34" i="8"/>
  <c r="D34" i="8"/>
  <c r="B34" i="8"/>
  <c r="H34" i="8"/>
  <c r="E34" i="8"/>
  <c r="F34" i="8"/>
  <c r="CN195" i="3"/>
  <c r="M187" i="9"/>
  <c r="ER60" i="2"/>
  <c r="AG77" i="21"/>
  <c r="I77" i="22"/>
  <c r="EK73" i="2"/>
  <c r="T83" i="16"/>
  <c r="S83" i="16"/>
  <c r="I167" i="22"/>
  <c r="AG167" i="21"/>
  <c r="J189" i="22"/>
  <c r="N189" i="22" s="1"/>
  <c r="AH189" i="21"/>
  <c r="M151" i="20"/>
  <c r="N51" i="20"/>
  <c r="J58" i="22"/>
  <c r="N58" i="22" s="1"/>
  <c r="AH58" i="21"/>
  <c r="N25" i="22"/>
  <c r="CN209" i="3"/>
  <c r="M97" i="9"/>
  <c r="ER129" i="3"/>
  <c r="DO168" i="2"/>
  <c r="DN168" i="2"/>
  <c r="CM77" i="3"/>
  <c r="CN197" i="3"/>
  <c r="DO5" i="2"/>
  <c r="DN5" i="2"/>
  <c r="M126" i="22"/>
  <c r="ER91" i="3"/>
  <c r="G71" i="20"/>
  <c r="M54" i="20"/>
  <c r="CN73" i="3"/>
  <c r="E111" i="20"/>
  <c r="M81" i="22"/>
  <c r="AH140" i="21"/>
  <c r="J140" i="22"/>
  <c r="N140" i="22" s="1"/>
  <c r="M22" i="22"/>
  <c r="J176" i="22"/>
  <c r="AH176" i="21"/>
  <c r="EM26" i="3"/>
  <c r="AN27" i="21" s="1"/>
  <c r="G145" i="20"/>
  <c r="E79" i="20"/>
  <c r="C14" i="22"/>
  <c r="DO121" i="2"/>
  <c r="DN121" i="2"/>
  <c r="I56" i="22"/>
  <c r="AG56" i="21"/>
  <c r="EM55" i="2"/>
  <c r="AM56" i="21" s="1"/>
  <c r="CN154" i="1"/>
  <c r="CN166" i="3"/>
  <c r="M157" i="9"/>
  <c r="CM202" i="1"/>
  <c r="EM67" i="3"/>
  <c r="AN69" i="21" s="1"/>
  <c r="DO170" i="3"/>
  <c r="DN170" i="3"/>
  <c r="EL29" i="3"/>
  <c r="AK30" i="21" s="1"/>
  <c r="M82" i="20"/>
  <c r="J126" i="22"/>
  <c r="AH126" i="21"/>
  <c r="E89" i="20"/>
  <c r="CM76" i="3"/>
  <c r="CO162" i="2"/>
  <c r="CS167" i="3"/>
  <c r="CS169" i="2"/>
  <c r="CS170" i="1"/>
  <c r="AG37" i="21"/>
  <c r="I37" i="22"/>
  <c r="CN56" i="3"/>
  <c r="AG99" i="21"/>
  <c r="I99" i="22"/>
  <c r="M99" i="22" s="1"/>
  <c r="AG184" i="21"/>
  <c r="I184" i="22"/>
  <c r="M184" i="22" s="1"/>
  <c r="AH166" i="21"/>
  <c r="J166" i="22"/>
  <c r="DO165" i="3"/>
  <c r="DN165" i="3"/>
  <c r="DO146" i="2"/>
  <c r="DN146" i="2"/>
  <c r="CM169" i="3"/>
  <c r="M150" i="22"/>
  <c r="N31" i="20"/>
  <c r="CN201" i="3"/>
  <c r="CN31" i="3"/>
  <c r="M141" i="9"/>
  <c r="DO177" i="2"/>
  <c r="DN177" i="2"/>
  <c r="CN142" i="3"/>
  <c r="N177" i="22"/>
  <c r="F24" i="20"/>
  <c r="I199" i="22"/>
  <c r="AG199" i="21"/>
  <c r="AH188" i="21"/>
  <c r="J188" i="22"/>
  <c r="N188" i="22" s="1"/>
  <c r="N66" i="20"/>
  <c r="ER65" i="2"/>
  <c r="M72" i="20"/>
  <c r="M198" i="9"/>
  <c r="AH72" i="21"/>
  <c r="J72" i="22"/>
  <c r="M165" i="22"/>
  <c r="M177" i="22"/>
  <c r="G12" i="20"/>
  <c r="DO171" i="2"/>
  <c r="DN171" i="2"/>
  <c r="EM15" i="3"/>
  <c r="AN16" i="21" s="1"/>
  <c r="N173" i="22"/>
  <c r="N158" i="22"/>
  <c r="J198" i="22"/>
  <c r="N198" i="22" s="1"/>
  <c r="AH198" i="21"/>
  <c r="DO97" i="3"/>
  <c r="DN97" i="3"/>
  <c r="EM211" i="2"/>
  <c r="AM224" i="21" s="1"/>
  <c r="EL103" i="2"/>
  <c r="AJ104" i="21" s="1"/>
  <c r="N104" i="20" s="1"/>
  <c r="CN102" i="3"/>
  <c r="I181" i="22"/>
  <c r="M181" i="22" s="1"/>
  <c r="AG181" i="21"/>
  <c r="E90" i="20"/>
  <c r="CS100" i="3"/>
  <c r="CS101" i="2"/>
  <c r="CS101" i="1"/>
  <c r="ER30" i="2"/>
  <c r="G33" i="8"/>
  <c r="D33" i="8"/>
  <c r="I33" i="8" s="1"/>
  <c r="CM1" i="1" s="1"/>
  <c r="CM178" i="1" s="1"/>
  <c r="E33" i="8"/>
  <c r="B33" i="8"/>
  <c r="N18" i="22"/>
  <c r="AH221" i="21"/>
  <c r="J221" i="22"/>
  <c r="N221" i="22"/>
  <c r="AH159" i="21"/>
  <c r="J159" i="22"/>
  <c r="N159" i="22" s="1"/>
  <c r="E107" i="20"/>
  <c r="ER12" i="2"/>
  <c r="EP126" i="3"/>
  <c r="EL126" i="3"/>
  <c r="AK128" i="21" s="1"/>
  <c r="N128" i="20" s="1"/>
  <c r="G62" i="8"/>
  <c r="H62" i="8"/>
  <c r="F62" i="8"/>
  <c r="E62" i="8"/>
  <c r="B62" i="8"/>
  <c r="D62" i="8"/>
  <c r="N77" i="20"/>
  <c r="S88" i="16"/>
  <c r="T88" i="16"/>
  <c r="M167" i="22"/>
  <c r="EM205" i="2"/>
  <c r="AM217" i="21" s="1"/>
  <c r="DN124" i="3"/>
  <c r="DO124" i="3"/>
  <c r="F101" i="20"/>
  <c r="N43" i="20"/>
  <c r="AH113" i="21"/>
  <c r="J113" i="22"/>
  <c r="F5" i="8"/>
  <c r="I5" i="8" s="1"/>
  <c r="CL1" i="1" s="1"/>
  <c r="ER57" i="2"/>
  <c r="EM50" i="2"/>
  <c r="AM51" i="21" s="1"/>
  <c r="T80" i="15"/>
  <c r="U80" i="15"/>
  <c r="U78" i="15"/>
  <c r="T78" i="15"/>
  <c r="EM139" i="2"/>
  <c r="AM141" i="21" s="1"/>
  <c r="J169" i="22"/>
  <c r="N169" i="22" s="1"/>
  <c r="AH169" i="21"/>
  <c r="AH215" i="21"/>
  <c r="J215" i="22"/>
  <c r="N64" i="11"/>
  <c r="V31" i="11"/>
  <c r="I93" i="22"/>
  <c r="AG93" i="21"/>
  <c r="EL138" i="3"/>
  <c r="AK141" i="21" s="1"/>
  <c r="N141" i="20" s="1"/>
  <c r="M174" i="22"/>
  <c r="E5" i="8"/>
  <c r="G87" i="20"/>
  <c r="G116" i="20"/>
  <c r="ER144" i="3"/>
  <c r="CN160" i="3"/>
  <c r="EL58" i="3"/>
  <c r="AK60" i="21" s="1"/>
  <c r="ER58" i="3"/>
  <c r="N160" i="22"/>
  <c r="M182" i="9"/>
  <c r="DO164" i="3"/>
  <c r="DN164" i="3"/>
  <c r="E54" i="20"/>
  <c r="G54" i="20"/>
  <c r="DO44" i="2"/>
  <c r="DN44" i="2"/>
  <c r="F60" i="20"/>
  <c r="EL20" i="2"/>
  <c r="AJ21" i="21" s="1"/>
  <c r="CN137" i="3"/>
  <c r="EL137" i="3"/>
  <c r="AK140" i="21" s="1"/>
  <c r="N140" i="20" s="1"/>
  <c r="CN164" i="3"/>
  <c r="EM117" i="3"/>
  <c r="AN119" i="21" s="1"/>
  <c r="F128" i="20"/>
  <c r="ER127" i="2"/>
  <c r="CN64" i="3"/>
  <c r="EP64" i="3"/>
  <c r="EL87" i="3"/>
  <c r="AK89" i="21" s="1"/>
  <c r="N89" i="20" s="1"/>
  <c r="EP118" i="2"/>
  <c r="AG159" i="21"/>
  <c r="I159" i="22"/>
  <c r="M159" i="22" s="1"/>
  <c r="N44" i="11"/>
  <c r="V44" i="11" s="1"/>
  <c r="N55" i="11"/>
  <c r="V55" i="11" s="1"/>
  <c r="N33" i="11"/>
  <c r="ER12" i="3"/>
  <c r="EM29" i="3"/>
  <c r="AN30" i="21" s="1"/>
  <c r="J178" i="22"/>
  <c r="AH178" i="21"/>
  <c r="DO17" i="2"/>
  <c r="DN17" i="2"/>
  <c r="ER145" i="2"/>
  <c r="N126" i="22"/>
  <c r="CO119" i="2"/>
  <c r="E17" i="22"/>
  <c r="L17" i="22" s="1"/>
  <c r="EP16" i="1"/>
  <c r="DO196" i="2"/>
  <c r="DN196" i="2"/>
  <c r="J76" i="22"/>
  <c r="N76" i="22" s="1"/>
  <c r="AH76" i="21"/>
  <c r="N202" i="20"/>
  <c r="L64" i="11"/>
  <c r="T31" i="11"/>
  <c r="DN181" i="2"/>
  <c r="DO181" i="2"/>
  <c r="ER104" i="2"/>
  <c r="G5" i="8"/>
  <c r="E60" i="22"/>
  <c r="L60" i="22" s="1"/>
  <c r="EP59" i="1"/>
  <c r="DO158" i="3"/>
  <c r="DN158" i="3"/>
  <c r="AH157" i="21"/>
  <c r="J157" i="22"/>
  <c r="DN140" i="2"/>
  <c r="DO140" i="2"/>
  <c r="M143" i="22"/>
  <c r="EL23" i="2"/>
  <c r="AJ24" i="21" s="1"/>
  <c r="N24" i="20" s="1"/>
  <c r="CO51" i="2"/>
  <c r="M199" i="20"/>
  <c r="N161" i="22"/>
  <c r="DO31" i="3"/>
  <c r="DN31" i="3"/>
  <c r="DO176" i="3"/>
  <c r="DN176" i="3"/>
  <c r="J77" i="22"/>
  <c r="AH77" i="21"/>
  <c r="EL15" i="3"/>
  <c r="AK16" i="21" s="1"/>
  <c r="E69" i="20"/>
  <c r="CN65" i="3"/>
  <c r="EL72" i="3"/>
  <c r="AK74" i="21" s="1"/>
  <c r="AG104" i="21"/>
  <c r="I104" i="22"/>
  <c r="EP148" i="2"/>
  <c r="EM85" i="3"/>
  <c r="AN87" i="21" s="1"/>
  <c r="ER90" i="3"/>
  <c r="CN4" i="3"/>
  <c r="F63" i="8"/>
  <c r="E63" i="8"/>
  <c r="B63" i="8"/>
  <c r="G63" i="8"/>
  <c r="D63" i="8"/>
  <c r="I63" i="8" s="1"/>
  <c r="CN1" i="3" s="1"/>
  <c r="CN215" i="3" s="1"/>
  <c r="H63" i="8"/>
  <c r="M44" i="11"/>
  <c r="U44" i="11" s="1"/>
  <c r="M55" i="11"/>
  <c r="U55" i="11" s="1"/>
  <c r="M33" i="11"/>
  <c r="ER180" i="3"/>
  <c r="M102" i="22"/>
  <c r="ER6" i="1"/>
  <c r="ER29" i="2"/>
  <c r="DO111" i="3"/>
  <c r="DN111" i="3"/>
  <c r="DO66" i="2"/>
  <c r="DN66" i="2"/>
  <c r="EP149" i="3"/>
  <c r="G107" i="20"/>
  <c r="G90" i="8"/>
  <c r="C90" i="8"/>
  <c r="D90" i="8"/>
  <c r="I90" i="8" s="1"/>
  <c r="CO1" i="2" s="1"/>
  <c r="CO153" i="2" s="1"/>
  <c r="B90" i="8"/>
  <c r="H90" i="8"/>
  <c r="E90" i="8"/>
  <c r="F90" i="8"/>
  <c r="L54" i="11"/>
  <c r="T54" i="11" s="1"/>
  <c r="L32" i="11"/>
  <c r="L43" i="11"/>
  <c r="T43" i="11" s="1"/>
  <c r="I189" i="22"/>
  <c r="M189" i="22" s="1"/>
  <c r="AG189" i="21"/>
  <c r="EM54" i="2"/>
  <c r="AM55" i="21" s="1"/>
  <c r="N6" i="22"/>
  <c r="T93" i="16"/>
  <c r="S93" i="16"/>
  <c r="AH116" i="21"/>
  <c r="J116" i="22"/>
  <c r="ER149" i="2"/>
  <c r="CN185" i="3"/>
  <c r="M65" i="9"/>
  <c r="CN171" i="3"/>
  <c r="J175" i="22"/>
  <c r="N175" i="22" s="1"/>
  <c r="AH175" i="21"/>
  <c r="DO188" i="3"/>
  <c r="DN188" i="3"/>
  <c r="EL35" i="3"/>
  <c r="AK37" i="21" s="1"/>
  <c r="DO203" i="2"/>
  <c r="DN203" i="2"/>
  <c r="E51" i="20"/>
  <c r="EP54" i="3"/>
  <c r="CN54" i="3"/>
  <c r="Q99" i="15"/>
  <c r="Q90" i="15"/>
  <c r="U88" i="15"/>
  <c r="Q93" i="15"/>
  <c r="Q95" i="15"/>
  <c r="T88" i="15"/>
  <c r="Q98" i="15"/>
  <c r="Q92" i="15"/>
  <c r="Q100" i="15"/>
  <c r="Q97" i="15"/>
  <c r="Q89" i="15"/>
  <c r="Q96" i="15"/>
  <c r="Q94" i="15"/>
  <c r="Q91" i="15"/>
  <c r="U87" i="15"/>
  <c r="T87" i="15"/>
  <c r="EP210" i="2"/>
  <c r="EP138" i="2"/>
  <c r="E154" i="22"/>
  <c r="L154" i="22" s="1"/>
  <c r="EP153" i="1"/>
  <c r="EM211" i="3"/>
  <c r="AN217" i="21" s="1"/>
  <c r="J193" i="22"/>
  <c r="AH193" i="21"/>
  <c r="N193" i="22"/>
  <c r="E116" i="20"/>
  <c r="M131" i="20"/>
  <c r="AG205" i="21"/>
  <c r="I205" i="22"/>
  <c r="M205" i="22" s="1"/>
  <c r="DO43" i="3"/>
  <c r="DN43" i="3"/>
  <c r="CN129" i="3"/>
  <c r="ER40" i="3"/>
  <c r="CN177" i="3"/>
  <c r="AH68" i="21"/>
  <c r="J68" i="22"/>
  <c r="CO113" i="2"/>
  <c r="AH120" i="21"/>
  <c r="J120" i="22"/>
  <c r="N120" i="22" s="1"/>
  <c r="E71" i="20"/>
  <c r="N156" i="22"/>
  <c r="CN163" i="3"/>
  <c r="CM103" i="3"/>
  <c r="EP91" i="2"/>
  <c r="M111" i="20"/>
  <c r="AG170" i="21"/>
  <c r="I170" i="22"/>
  <c r="H179" i="22"/>
  <c r="L179" i="22" s="1"/>
  <c r="AF179" i="21"/>
  <c r="J177" i="9"/>
  <c r="C182" i="14" s="1"/>
  <c r="F22" i="20"/>
  <c r="EL26" i="3"/>
  <c r="AK27" i="21" s="1"/>
  <c r="N27" i="20" s="1"/>
  <c r="DO160" i="2"/>
  <c r="DN160" i="2"/>
  <c r="N129" i="20"/>
  <c r="I79" i="22"/>
  <c r="AG79" i="21"/>
  <c r="J36" i="22"/>
  <c r="N36" i="22" s="1"/>
  <c r="AH36" i="21"/>
  <c r="I144" i="22"/>
  <c r="M144" i="22" s="1"/>
  <c r="AG144" i="21"/>
  <c r="AG198" i="21"/>
  <c r="I198" i="22"/>
  <c r="G56" i="20"/>
  <c r="CN30" i="3"/>
  <c r="ER94" i="2"/>
  <c r="ER67" i="3"/>
  <c r="H232" i="20"/>
  <c r="EK212" i="2"/>
  <c r="I187" i="22"/>
  <c r="AG187" i="21"/>
  <c r="AH13" i="21"/>
  <c r="J13" i="22"/>
  <c r="F82" i="20"/>
  <c r="CS146" i="3"/>
  <c r="CS147" i="2"/>
  <c r="CS148" i="1"/>
  <c r="M89" i="20"/>
  <c r="DO153" i="2"/>
  <c r="DN153" i="2"/>
  <c r="CS44" i="3"/>
  <c r="CS45" i="2"/>
  <c r="CS45" i="1"/>
  <c r="M223" i="22"/>
  <c r="M114" i="22"/>
  <c r="N205" i="22"/>
  <c r="CO101" i="2"/>
  <c r="AG105" i="21"/>
  <c r="I105" i="22"/>
  <c r="CN11" i="3"/>
  <c r="E15" i="20"/>
  <c r="DN112" i="2"/>
  <c r="DO112" i="2"/>
  <c r="D89" i="8"/>
  <c r="I89" i="8" s="1"/>
  <c r="CO1" i="1" s="1"/>
  <c r="CO178" i="1" s="1"/>
  <c r="EL14" i="2"/>
  <c r="AJ15" i="21" s="1"/>
  <c r="J144" i="22"/>
  <c r="N144" i="22" s="1"/>
  <c r="AH144" i="21"/>
  <c r="K33" i="11"/>
  <c r="K44" i="11"/>
  <c r="S44" i="11" s="1"/>
  <c r="K55" i="11"/>
  <c r="S55" i="11" s="1"/>
  <c r="DO180" i="2"/>
  <c r="DN180" i="2"/>
  <c r="M210" i="9"/>
  <c r="AG143" i="21"/>
  <c r="I143" i="22"/>
  <c r="EL142" i="3"/>
  <c r="AK145" i="21" s="1"/>
  <c r="N145" i="20" s="1"/>
  <c r="EM99" i="3"/>
  <c r="AN101" i="21" s="1"/>
  <c r="EL188" i="2"/>
  <c r="AJ190" i="21" s="1"/>
  <c r="N190" i="20" s="1"/>
  <c r="B89" i="8"/>
  <c r="CN23" i="3"/>
  <c r="ER23" i="3"/>
  <c r="CN158" i="3"/>
  <c r="I148" i="22"/>
  <c r="AG148" i="21"/>
  <c r="ER41" i="2"/>
  <c r="CN14" i="3"/>
  <c r="M130" i="9"/>
  <c r="F72" i="20"/>
  <c r="CN105" i="3"/>
  <c r="ER8" i="2"/>
  <c r="AG9" i="21"/>
  <c r="I9" i="22"/>
  <c r="CN75" i="3"/>
  <c r="J153" i="22"/>
  <c r="N153" i="22" s="1"/>
  <c r="AH153" i="21"/>
  <c r="CN96" i="3"/>
  <c r="DO194" i="2"/>
  <c r="DN194" i="2"/>
  <c r="CN106" i="3"/>
  <c r="AG161" i="21"/>
  <c r="I161" i="22"/>
  <c r="M161" i="22" s="1"/>
  <c r="CM218" i="3"/>
  <c r="CN6" i="1"/>
  <c r="D61" i="8"/>
  <c r="I61" i="8" s="1"/>
  <c r="CN1" i="1" s="1"/>
  <c r="ER27" i="3"/>
  <c r="ER134" i="2"/>
  <c r="E123" i="22"/>
  <c r="L123" i="22" s="1"/>
  <c r="EP122" i="1"/>
  <c r="N122" i="22"/>
  <c r="AH9" i="21"/>
  <c r="J9" i="22"/>
  <c r="G6" i="8"/>
  <c r="C6" i="8"/>
  <c r="H6" i="8"/>
  <c r="D6" i="8"/>
  <c r="F6" i="8"/>
  <c r="E6" i="8"/>
  <c r="B6" i="8"/>
  <c r="G61" i="20"/>
  <c r="CO76" i="2"/>
  <c r="ER84" i="2"/>
  <c r="S84" i="16"/>
  <c r="T84" i="16"/>
  <c r="T89" i="16"/>
  <c r="S89" i="16"/>
  <c r="AH155" i="21"/>
  <c r="J155" i="22"/>
  <c r="N155" i="22" s="1"/>
  <c r="CN114" i="3"/>
  <c r="AG175" i="21"/>
  <c r="I175" i="22"/>
  <c r="M175" i="22" s="1"/>
  <c r="CN184" i="3"/>
  <c r="CN127" i="3"/>
  <c r="M43" i="20"/>
  <c r="EP185" i="3"/>
  <c r="AG193" i="21"/>
  <c r="I193" i="22"/>
  <c r="M193" i="22" s="1"/>
  <c r="N113" i="22"/>
  <c r="M203" i="20"/>
  <c r="E37" i="20"/>
  <c r="N37" i="22"/>
  <c r="E131" i="22"/>
  <c r="L131" i="22" s="1"/>
  <c r="EP130" i="1"/>
  <c r="M189" i="9"/>
  <c r="E58" i="20"/>
  <c r="ER155" i="2"/>
  <c r="G51" i="20"/>
  <c r="U85" i="15"/>
  <c r="T85" i="15"/>
  <c r="CO138" i="2"/>
  <c r="E28" i="20"/>
  <c r="DO119" i="2"/>
  <c r="DN119" i="2"/>
  <c r="DO165" i="2"/>
  <c r="DN165" i="2"/>
  <c r="E141" i="20"/>
  <c r="CN165" i="3"/>
  <c r="J84" i="22"/>
  <c r="N84" i="22" s="1"/>
  <c r="AH84" i="21"/>
  <c r="EL92" i="2"/>
  <c r="AJ93" i="21" s="1"/>
  <c r="N93" i="20" s="1"/>
  <c r="ER92" i="2"/>
  <c r="DN162" i="3"/>
  <c r="DO162" i="3"/>
  <c r="E87" i="20"/>
  <c r="N48" i="22"/>
  <c r="F33" i="8"/>
  <c r="ER215" i="3"/>
  <c r="AH160" i="21"/>
  <c r="J160" i="22"/>
  <c r="E38" i="22"/>
  <c r="L38" i="22" s="1"/>
  <c r="EP37" i="1"/>
  <c r="E199" i="22"/>
  <c r="L199" i="22" s="1"/>
  <c r="EP197" i="1"/>
  <c r="H19" i="22"/>
  <c r="AF19" i="21"/>
  <c r="CM52" i="3"/>
  <c r="CO91" i="2"/>
  <c r="AH45" i="21"/>
  <c r="J45" i="22"/>
  <c r="N45" i="22" s="1"/>
  <c r="CN140" i="3"/>
  <c r="AG60" i="21"/>
  <c r="I60" i="22"/>
  <c r="M170" i="22"/>
  <c r="EM20" i="2"/>
  <c r="AM21" i="21" s="1"/>
  <c r="J211" i="22"/>
  <c r="N211" i="22" s="1"/>
  <c r="AH211" i="21"/>
  <c r="N22" i="20"/>
  <c r="N27" i="22"/>
  <c r="EL78" i="2"/>
  <c r="AJ79" i="21" s="1"/>
  <c r="N79" i="20" s="1"/>
  <c r="M79" i="22"/>
  <c r="ER117" i="3"/>
  <c r="AH102" i="21"/>
  <c r="J102" i="22"/>
  <c r="N102" i="22" s="1"/>
  <c r="M142" i="9"/>
  <c r="M198" i="22"/>
  <c r="J153" i="9"/>
  <c r="C158" i="14" s="1"/>
  <c r="DO200" i="3"/>
  <c r="DN200" i="3"/>
  <c r="CM145" i="3"/>
  <c r="AH148" i="21"/>
  <c r="J148" i="22"/>
  <c r="N148" i="22" s="1"/>
  <c r="E140" i="22"/>
  <c r="L140" i="22" s="1"/>
  <c r="EP139" i="1"/>
  <c r="F119" i="20"/>
  <c r="DO154" i="2"/>
  <c r="DN154" i="2"/>
  <c r="I122" i="22"/>
  <c r="M122" i="22" s="1"/>
  <c r="AG122" i="21"/>
  <c r="M154" i="9"/>
  <c r="L41" i="11"/>
  <c r="T41" i="11" s="1"/>
  <c r="L52" i="11"/>
  <c r="T52" i="11" s="1"/>
  <c r="L30" i="11"/>
  <c r="EM212" i="2"/>
  <c r="AM226" i="21" s="1"/>
  <c r="EL12" i="3"/>
  <c r="AK13" i="21" s="1"/>
  <c r="N13" i="20" s="1"/>
  <c r="E27" i="20"/>
  <c r="M27" i="20"/>
  <c r="N178" i="22"/>
  <c r="CM130" i="3"/>
  <c r="M179" i="22"/>
  <c r="I164" i="22"/>
  <c r="M164" i="22" s="1"/>
  <c r="AG164" i="21"/>
  <c r="C61" i="8"/>
  <c r="CM203" i="3"/>
  <c r="N39" i="11"/>
  <c r="N50" i="11"/>
  <c r="V50" i="11" s="1"/>
  <c r="N28" i="11"/>
  <c r="L19" i="22"/>
  <c r="E100" i="22"/>
  <c r="L100" i="22" s="1"/>
  <c r="EP99" i="1"/>
  <c r="J137" i="22"/>
  <c r="N137" i="22" s="1"/>
  <c r="AH137" i="21"/>
  <c r="J174" i="22"/>
  <c r="N174" i="22" s="1"/>
  <c r="AH174" i="21"/>
  <c r="N157" i="22"/>
  <c r="EM188" i="2"/>
  <c r="AM190" i="21" s="1"/>
  <c r="AG169" i="21"/>
  <c r="I169" i="22"/>
  <c r="M169" i="22" s="1"/>
  <c r="EL14" i="3"/>
  <c r="AK15" i="21" s="1"/>
  <c r="I185" i="22"/>
  <c r="AG185" i="21"/>
  <c r="ER183" i="2"/>
  <c r="M123" i="20"/>
  <c r="EL8" i="2"/>
  <c r="AJ9" i="21" s="1"/>
  <c r="AH90" i="21"/>
  <c r="J90" i="22"/>
  <c r="DO186" i="2"/>
  <c r="DN186" i="2"/>
  <c r="CO200" i="2"/>
  <c r="CN193" i="3"/>
  <c r="N81" i="22"/>
  <c r="M188" i="22"/>
  <c r="DN213" i="3"/>
  <c r="DO213" i="3"/>
  <c r="EL85" i="3"/>
  <c r="AK87" i="21" s="1"/>
  <c r="N87" i="20" s="1"/>
  <c r="CM102" i="3"/>
  <c r="CO24" i="2"/>
  <c r="AG25" i="21"/>
  <c r="I25" i="22"/>
  <c r="DO135" i="2"/>
  <c r="DN135" i="2"/>
  <c r="AH191" i="21"/>
  <c r="J191" i="22"/>
  <c r="N191" i="22" s="1"/>
  <c r="CN90" i="3"/>
  <c r="M68" i="20"/>
  <c r="DN195" i="3"/>
  <c r="DO195" i="3"/>
  <c r="DO107" i="2"/>
  <c r="DN107" i="2"/>
  <c r="ER218" i="3"/>
  <c r="E31" i="20"/>
  <c r="EM30" i="2"/>
  <c r="AM31" i="21" s="1"/>
  <c r="DN191" i="2"/>
  <c r="DO191" i="2"/>
  <c r="CO29" i="2"/>
  <c r="H5" i="8"/>
  <c r="CN149" i="3"/>
  <c r="M48" i="22"/>
  <c r="EL8" i="3"/>
  <c r="AK9" i="21" s="1"/>
  <c r="N194" i="22"/>
  <c r="M61" i="20"/>
  <c r="F77" i="20"/>
  <c r="M77" i="22"/>
  <c r="T85" i="16"/>
  <c r="S85" i="16"/>
  <c r="EL100" i="2"/>
  <c r="AJ101" i="21" s="1"/>
  <c r="N101" i="20" s="1"/>
  <c r="G43" i="20"/>
  <c r="N203" i="20"/>
  <c r="N37" i="20"/>
  <c r="CN35" i="3"/>
  <c r="AG157" i="21"/>
  <c r="I157" i="22"/>
  <c r="M51" i="20"/>
  <c r="DO174" i="2"/>
  <c r="DN174" i="2"/>
  <c r="T83" i="15"/>
  <c r="U83" i="15"/>
  <c r="G223" i="20"/>
  <c r="H33" i="8"/>
  <c r="CN139" i="3"/>
  <c r="E218" i="22"/>
  <c r="L218" i="22" s="1"/>
  <c r="EP215" i="1"/>
  <c r="M172" i="9"/>
  <c r="J208" i="22"/>
  <c r="N208" i="22" s="1"/>
  <c r="AH208" i="21"/>
  <c r="M116" i="20"/>
  <c r="CM144" i="3"/>
  <c r="N163" i="22"/>
  <c r="EL115" i="3"/>
  <c r="AK117" i="21" s="1"/>
  <c r="N117" i="20" s="1"/>
  <c r="M120" i="22"/>
  <c r="CN157" i="3"/>
  <c r="AG153" i="21"/>
  <c r="I153" i="22"/>
  <c r="M153" i="22" s="1"/>
  <c r="AG163" i="21"/>
  <c r="I163" i="22"/>
  <c r="M71" i="20"/>
  <c r="G89" i="8"/>
  <c r="F92" i="20"/>
  <c r="AH143" i="21"/>
  <c r="J143" i="22"/>
  <c r="N143" i="22" s="1"/>
  <c r="DO172" i="3"/>
  <c r="DN172" i="3"/>
  <c r="F111" i="20"/>
  <c r="M168" i="9"/>
  <c r="ER21" i="3"/>
  <c r="CO20" i="2"/>
  <c r="EP137" i="3"/>
  <c r="E22" i="20"/>
  <c r="N176" i="22"/>
  <c r="ER143" i="2"/>
  <c r="J164" i="22"/>
  <c r="N164" i="22" s="1"/>
  <c r="AH164" i="21"/>
  <c r="E129" i="20"/>
  <c r="EM78" i="2"/>
  <c r="AM79" i="21" s="1"/>
  <c r="M6" i="22"/>
  <c r="H155" i="22"/>
  <c r="L155" i="22" s="1"/>
  <c r="AF155" i="21"/>
  <c r="G128" i="20"/>
  <c r="CN20" i="3"/>
  <c r="EL93" i="3"/>
  <c r="AK95" i="21" s="1"/>
  <c r="M187" i="22"/>
  <c r="DN141" i="3"/>
  <c r="DO141" i="3"/>
  <c r="F147" i="20"/>
  <c r="M194" i="22"/>
  <c r="I162" i="22"/>
  <c r="M162" i="22" s="1"/>
  <c r="AG162" i="21"/>
  <c r="CS110" i="3"/>
  <c r="CS111" i="2"/>
  <c r="CS111" i="1"/>
  <c r="G39" i="22" l="1"/>
  <c r="C140" i="22"/>
  <c r="CL61" i="1"/>
  <c r="CL148" i="1"/>
  <c r="CL117" i="1"/>
  <c r="CL95" i="1"/>
  <c r="CL159" i="1"/>
  <c r="CL221" i="1"/>
  <c r="CL135" i="1"/>
  <c r="CL52" i="1"/>
  <c r="CL12" i="1"/>
  <c r="CL69" i="1"/>
  <c r="CL128" i="1"/>
  <c r="CL118" i="1"/>
  <c r="CL93" i="1"/>
  <c r="CL29" i="1"/>
  <c r="CL32" i="1"/>
  <c r="CL184" i="1"/>
  <c r="CL105" i="1"/>
  <c r="CL31" i="1"/>
  <c r="CL172" i="1"/>
  <c r="CL107" i="1"/>
  <c r="CL160" i="1"/>
  <c r="CL126" i="1"/>
  <c r="CL89" i="1"/>
  <c r="CL77" i="1"/>
  <c r="CL90" i="1"/>
  <c r="CL218" i="1"/>
  <c r="CL162" i="1"/>
  <c r="CL173" i="1"/>
  <c r="CL24" i="1"/>
  <c r="CL81" i="1"/>
  <c r="CL28" i="1"/>
  <c r="CL19" i="1"/>
  <c r="CL195" i="1"/>
  <c r="CL45" i="1"/>
  <c r="CL206" i="1"/>
  <c r="CL179" i="1"/>
  <c r="CL74" i="1"/>
  <c r="CL143" i="1"/>
  <c r="CL203" i="1"/>
  <c r="CL91" i="1"/>
  <c r="CL23" i="1"/>
  <c r="CL207" i="1"/>
  <c r="CL137" i="1"/>
  <c r="CL7" i="1"/>
  <c r="CL79" i="1"/>
  <c r="CL55" i="1"/>
  <c r="CL46" i="1"/>
  <c r="CL205" i="1"/>
  <c r="CL75" i="1"/>
  <c r="CL170" i="1"/>
  <c r="CL53" i="1"/>
  <c r="CL175" i="1"/>
  <c r="CL9" i="1"/>
  <c r="CL27" i="1"/>
  <c r="CL43" i="1"/>
  <c r="CL146" i="1"/>
  <c r="CL192" i="1"/>
  <c r="CL145" i="1"/>
  <c r="CL183" i="1"/>
  <c r="CL96" i="1"/>
  <c r="CL73" i="1"/>
  <c r="CL163" i="1"/>
  <c r="CL10" i="1"/>
  <c r="CL168" i="1"/>
  <c r="CL211" i="1"/>
  <c r="CL210" i="1"/>
  <c r="CL8" i="1"/>
  <c r="CL64" i="1"/>
  <c r="CL85" i="1"/>
  <c r="CL103" i="1"/>
  <c r="CL78" i="1"/>
  <c r="CL212" i="1"/>
  <c r="CL62" i="1"/>
  <c r="CL13" i="1"/>
  <c r="CL119" i="1"/>
  <c r="CL63" i="1"/>
  <c r="CL42" i="1"/>
  <c r="CL193" i="1"/>
  <c r="CL67" i="1"/>
  <c r="CL86" i="1"/>
  <c r="CL20" i="1"/>
  <c r="CL115" i="1"/>
  <c r="CL30" i="1"/>
  <c r="CL219" i="1"/>
  <c r="CL108" i="1"/>
  <c r="CL129" i="1"/>
  <c r="CL94" i="1"/>
  <c r="CL57" i="1"/>
  <c r="CL35" i="1"/>
  <c r="CL87" i="1"/>
  <c r="CL80" i="1"/>
  <c r="CL48" i="1"/>
  <c r="CL50" i="1"/>
  <c r="CL142" i="1"/>
  <c r="CL167" i="1"/>
  <c r="CL4" i="1"/>
  <c r="CL217" i="1"/>
  <c r="CL47" i="1"/>
  <c r="CL196" i="1"/>
  <c r="CL169" i="1"/>
  <c r="CL181" i="1"/>
  <c r="CL174" i="1"/>
  <c r="CL26" i="1"/>
  <c r="CL147" i="1"/>
  <c r="CL104" i="1"/>
  <c r="CL156" i="1"/>
  <c r="CL25" i="1"/>
  <c r="CL201" i="1"/>
  <c r="CL71" i="1"/>
  <c r="CL65" i="1"/>
  <c r="CL216" i="1"/>
  <c r="CL44" i="1"/>
  <c r="CL56" i="1"/>
  <c r="CL100" i="1"/>
  <c r="CL92" i="1"/>
  <c r="CL199" i="1"/>
  <c r="CL220" i="1"/>
  <c r="CL127" i="1"/>
  <c r="CL3" i="1"/>
  <c r="CL208" i="1"/>
  <c r="CL109" i="1"/>
  <c r="CL194" i="1"/>
  <c r="CL131" i="1"/>
  <c r="CL198" i="1"/>
  <c r="CL125" i="1"/>
  <c r="CL54" i="1"/>
  <c r="CL11" i="1"/>
  <c r="CL36" i="1"/>
  <c r="CL14" i="1"/>
  <c r="CL114" i="1"/>
  <c r="CL70" i="1"/>
  <c r="CL182" i="1"/>
  <c r="CL88" i="1"/>
  <c r="CL185" i="1"/>
  <c r="CL49" i="1"/>
  <c r="CL157" i="1"/>
  <c r="CL41" i="1"/>
  <c r="CL82" i="1"/>
  <c r="CL171" i="1"/>
  <c r="CL39" i="1"/>
  <c r="CL150" i="1"/>
  <c r="CL15" i="1"/>
  <c r="CL21" i="1"/>
  <c r="CL116" i="1"/>
  <c r="CL38" i="1"/>
  <c r="CL102" i="1"/>
  <c r="CL158" i="1"/>
  <c r="CL51" i="1"/>
  <c r="CL138" i="1"/>
  <c r="CL76" i="1"/>
  <c r="CL166" i="1"/>
  <c r="CL101" i="1"/>
  <c r="CL120" i="1"/>
  <c r="CL144" i="1"/>
  <c r="CL151" i="1"/>
  <c r="CL106" i="1"/>
  <c r="CL22" i="1"/>
  <c r="CL190" i="1"/>
  <c r="CL132" i="1"/>
  <c r="CL66" i="1"/>
  <c r="CL149" i="1"/>
  <c r="CL40" i="1"/>
  <c r="CL68" i="1"/>
  <c r="CL97" i="1"/>
  <c r="CL123" i="1"/>
  <c r="CL110" i="1"/>
  <c r="CL83" i="1"/>
  <c r="CL165" i="1"/>
  <c r="CL121" i="1"/>
  <c r="CL152" i="1"/>
  <c r="CL140" i="1"/>
  <c r="CL124" i="1"/>
  <c r="CL99" i="1"/>
  <c r="CL204" i="1"/>
  <c r="CL136" i="1"/>
  <c r="CL134" i="1"/>
  <c r="CL177" i="1"/>
  <c r="CL186" i="1"/>
  <c r="CL187" i="1"/>
  <c r="CL122" i="1"/>
  <c r="CL141" i="1"/>
  <c r="CL98" i="1"/>
  <c r="CL84" i="1"/>
  <c r="CL213" i="1"/>
  <c r="CL209" i="1"/>
  <c r="CL113" i="1"/>
  <c r="CL59" i="1"/>
  <c r="CL60" i="1"/>
  <c r="CL16" i="1"/>
  <c r="CL33" i="1"/>
  <c r="CL37" i="1"/>
  <c r="CL188" i="1"/>
  <c r="CL111" i="1"/>
  <c r="CL191" i="1"/>
  <c r="CL112" i="1"/>
  <c r="CL215" i="1"/>
  <c r="CL153" i="1"/>
  <c r="CL189" i="1"/>
  <c r="CL161" i="1"/>
  <c r="CL17" i="1"/>
  <c r="CL180" i="1"/>
  <c r="CL5" i="1"/>
  <c r="CL130" i="1"/>
  <c r="CL200" i="1"/>
  <c r="CL164" i="1"/>
  <c r="CL139" i="1"/>
  <c r="CL197" i="1"/>
  <c r="CL155" i="1"/>
  <c r="CL58" i="1"/>
  <c r="CL214" i="1"/>
  <c r="CL176" i="1"/>
  <c r="CL133" i="1"/>
  <c r="CL72" i="1"/>
  <c r="CL34" i="1"/>
  <c r="CL18" i="1"/>
  <c r="CL202" i="1"/>
  <c r="CL178" i="1"/>
  <c r="CL154" i="1"/>
  <c r="CL6" i="1"/>
  <c r="F95" i="22"/>
  <c r="M95" i="22" s="1"/>
  <c r="EP94" i="2"/>
  <c r="G43" i="22"/>
  <c r="N43" i="22" s="1"/>
  <c r="EP41" i="3"/>
  <c r="G68" i="22"/>
  <c r="N68" i="22" s="1"/>
  <c r="EP66" i="3"/>
  <c r="CS159" i="3"/>
  <c r="CS160" i="2"/>
  <c r="CS161" i="1"/>
  <c r="F136" i="22"/>
  <c r="M136" i="22" s="1"/>
  <c r="EP134" i="2"/>
  <c r="CO142" i="2"/>
  <c r="CO16" i="2"/>
  <c r="CS166" i="3"/>
  <c r="CS168" i="2"/>
  <c r="CS169" i="1"/>
  <c r="CM12" i="3"/>
  <c r="CS170" i="3"/>
  <c r="CS172" i="2"/>
  <c r="CS173" i="1"/>
  <c r="CO66" i="2"/>
  <c r="CM155" i="3"/>
  <c r="CO189" i="2"/>
  <c r="CO188" i="2"/>
  <c r="N15" i="20"/>
  <c r="CO92" i="2"/>
  <c r="U91" i="15"/>
  <c r="T91" i="15"/>
  <c r="T90" i="15"/>
  <c r="U90" i="15"/>
  <c r="G185" i="22"/>
  <c r="N185" i="22" s="1"/>
  <c r="EP180" i="3"/>
  <c r="CM23" i="3"/>
  <c r="CN99" i="3"/>
  <c r="CM118" i="3"/>
  <c r="CN93" i="3"/>
  <c r="CN138" i="3"/>
  <c r="CM165" i="3"/>
  <c r="CN218" i="3"/>
  <c r="CO127" i="2"/>
  <c r="CO182" i="2"/>
  <c r="I74" i="22"/>
  <c r="AG74" i="21"/>
  <c r="CM159" i="3"/>
  <c r="CM189" i="3"/>
  <c r="CM27" i="3"/>
  <c r="CN41" i="3"/>
  <c r="CS178" i="3"/>
  <c r="CS181" i="2"/>
  <c r="CS181" i="1"/>
  <c r="CN124" i="3"/>
  <c r="CN147" i="3"/>
  <c r="CM154" i="1"/>
  <c r="CM18" i="1"/>
  <c r="CM198" i="3"/>
  <c r="CM195" i="3"/>
  <c r="CM120" i="3"/>
  <c r="CN150" i="3"/>
  <c r="F60" i="22"/>
  <c r="M60" i="22" s="1"/>
  <c r="C60" i="22" s="1"/>
  <c r="EP59" i="2"/>
  <c r="CN203" i="3"/>
  <c r="CS164" i="3"/>
  <c r="CS165" i="2"/>
  <c r="CS166" i="1"/>
  <c r="CS177" i="3"/>
  <c r="CS180" i="2"/>
  <c r="CS180" i="1"/>
  <c r="CN162" i="3"/>
  <c r="CN53" i="3"/>
  <c r="CO170" i="2"/>
  <c r="CO210" i="2"/>
  <c r="CN194" i="3"/>
  <c r="CS183" i="3"/>
  <c r="CS186" i="2"/>
  <c r="CS186" i="1"/>
  <c r="CM183" i="3"/>
  <c r="CM72" i="3"/>
  <c r="CM178" i="3"/>
  <c r="CN85" i="3"/>
  <c r="G107" i="22"/>
  <c r="N107" i="22" s="1"/>
  <c r="EP105" i="3"/>
  <c r="CN170" i="3"/>
  <c r="S96" i="16"/>
  <c r="T96" i="16"/>
  <c r="K70" i="11"/>
  <c r="V39" i="11"/>
  <c r="S70" i="11" s="1"/>
  <c r="U99" i="15"/>
  <c r="T99" i="15"/>
  <c r="T64" i="11"/>
  <c r="T20" i="11"/>
  <c r="G217" i="22"/>
  <c r="N217" i="22" s="1"/>
  <c r="EP211" i="3"/>
  <c r="G223" i="22"/>
  <c r="N223" i="22" s="1"/>
  <c r="EP215" i="3"/>
  <c r="F85" i="22"/>
  <c r="M85" i="22" s="1"/>
  <c r="EP84" i="2"/>
  <c r="CO83" i="2"/>
  <c r="CO148" i="1"/>
  <c r="CO95" i="1"/>
  <c r="CO32" i="1"/>
  <c r="CO135" i="1"/>
  <c r="CO126" i="1"/>
  <c r="CO61" i="1"/>
  <c r="CO89" i="1"/>
  <c r="CO160" i="1"/>
  <c r="CO118" i="1"/>
  <c r="CO90" i="1"/>
  <c r="CO159" i="1"/>
  <c r="CO117" i="1"/>
  <c r="CO31" i="1"/>
  <c r="CO221" i="1"/>
  <c r="CO12" i="1"/>
  <c r="CO69" i="1"/>
  <c r="CO107" i="1"/>
  <c r="CO128" i="1"/>
  <c r="CO29" i="1"/>
  <c r="CO173" i="1"/>
  <c r="CO93" i="1"/>
  <c r="CO184" i="1"/>
  <c r="CO77" i="1"/>
  <c r="CO24" i="1"/>
  <c r="CO162" i="1"/>
  <c r="CO105" i="1"/>
  <c r="CO172" i="1"/>
  <c r="CO218" i="1"/>
  <c r="CO52" i="1"/>
  <c r="CO106" i="1"/>
  <c r="CO103" i="1"/>
  <c r="CO28" i="1"/>
  <c r="CO19" i="1"/>
  <c r="CO205" i="1"/>
  <c r="CO15" i="1"/>
  <c r="CO147" i="1"/>
  <c r="CO80" i="1"/>
  <c r="CO47" i="1"/>
  <c r="CO10" i="1"/>
  <c r="CO109" i="1"/>
  <c r="CO163" i="1"/>
  <c r="CO50" i="1"/>
  <c r="CO86" i="1"/>
  <c r="CO43" i="1"/>
  <c r="CO104" i="1"/>
  <c r="CO158" i="1"/>
  <c r="CO91" i="1"/>
  <c r="CO67" i="1"/>
  <c r="CO78" i="1"/>
  <c r="CO156" i="1"/>
  <c r="CO85" i="1"/>
  <c r="CO137" i="1"/>
  <c r="CO44" i="1"/>
  <c r="CO129" i="1"/>
  <c r="CO149" i="1"/>
  <c r="CO198" i="1"/>
  <c r="CO211" i="1"/>
  <c r="CO20" i="1"/>
  <c r="CO30" i="1"/>
  <c r="CO54" i="1"/>
  <c r="CO3" i="1"/>
  <c r="CO39" i="1"/>
  <c r="CO207" i="1"/>
  <c r="CO40" i="1"/>
  <c r="CO166" i="1"/>
  <c r="CO217" i="1"/>
  <c r="CO27" i="1"/>
  <c r="CO35" i="1"/>
  <c r="CO70" i="1"/>
  <c r="CO63" i="1"/>
  <c r="CO193" i="1"/>
  <c r="CO174" i="1"/>
  <c r="CO101" i="1"/>
  <c r="CO196" i="1"/>
  <c r="CO195" i="1"/>
  <c r="CO4" i="1"/>
  <c r="CO132" i="1"/>
  <c r="CO150" i="1"/>
  <c r="CO220" i="1"/>
  <c r="CO208" i="1"/>
  <c r="CO13" i="1"/>
  <c r="CO102" i="1"/>
  <c r="CO143" i="1"/>
  <c r="CO119" i="1"/>
  <c r="CO45" i="1"/>
  <c r="CO65" i="1"/>
  <c r="CO168" i="1"/>
  <c r="CO181" i="1"/>
  <c r="CO94" i="1"/>
  <c r="CO115" i="1"/>
  <c r="CO38" i="1"/>
  <c r="CO36" i="1"/>
  <c r="CO68" i="1"/>
  <c r="CO201" i="1"/>
  <c r="CO14" i="1"/>
  <c r="CO92" i="1"/>
  <c r="CO53" i="1"/>
  <c r="CO26" i="1"/>
  <c r="CO183" i="1"/>
  <c r="CO62" i="1"/>
  <c r="CO203" i="1"/>
  <c r="CO71" i="1"/>
  <c r="CO114" i="1"/>
  <c r="CO116" i="1"/>
  <c r="CO190" i="1"/>
  <c r="CO82" i="1"/>
  <c r="CO8" i="1"/>
  <c r="CO11" i="1"/>
  <c r="CO7" i="1"/>
  <c r="CO151" i="1"/>
  <c r="CO185" i="1"/>
  <c r="CO41" i="1"/>
  <c r="CO219" i="1"/>
  <c r="CO73" i="1"/>
  <c r="CO192" i="1"/>
  <c r="CO131" i="1"/>
  <c r="CO167" i="1"/>
  <c r="CO216" i="1"/>
  <c r="CO75" i="1"/>
  <c r="CO175" i="1"/>
  <c r="CO206" i="1"/>
  <c r="CO145" i="1"/>
  <c r="CO76" i="1"/>
  <c r="CO125" i="1"/>
  <c r="CO55" i="1"/>
  <c r="CO51" i="1"/>
  <c r="CO96" i="1"/>
  <c r="CO120" i="1"/>
  <c r="CO170" i="1"/>
  <c r="CO56" i="1"/>
  <c r="CO25" i="1"/>
  <c r="CO74" i="1"/>
  <c r="CO22" i="1"/>
  <c r="CO64" i="1"/>
  <c r="CO171" i="1"/>
  <c r="CO57" i="1"/>
  <c r="CO100" i="1"/>
  <c r="CO23" i="1"/>
  <c r="CO146" i="1"/>
  <c r="CO108" i="1"/>
  <c r="CO46" i="1"/>
  <c r="CO42" i="1"/>
  <c r="CO9" i="1"/>
  <c r="CO79" i="1"/>
  <c r="CO199" i="1"/>
  <c r="CO144" i="1"/>
  <c r="CO88" i="1"/>
  <c r="CO194" i="1"/>
  <c r="CO179" i="1"/>
  <c r="CO49" i="1"/>
  <c r="CO81" i="1"/>
  <c r="CO157" i="1"/>
  <c r="CO21" i="1"/>
  <c r="CO138" i="1"/>
  <c r="CO142" i="1"/>
  <c r="CO66" i="1"/>
  <c r="CO210" i="1"/>
  <c r="CO127" i="1"/>
  <c r="CO87" i="1"/>
  <c r="CO212" i="1"/>
  <c r="CO182" i="1"/>
  <c r="CO169" i="1"/>
  <c r="CO48" i="1"/>
  <c r="CO176" i="1"/>
  <c r="CO122" i="1"/>
  <c r="CO72" i="1"/>
  <c r="CO124" i="1"/>
  <c r="CO139" i="1"/>
  <c r="CO37" i="1"/>
  <c r="CO164" i="1"/>
  <c r="CO161" i="1"/>
  <c r="CO152" i="1"/>
  <c r="CO58" i="1"/>
  <c r="CO214" i="1"/>
  <c r="CO197" i="1"/>
  <c r="CO204" i="1"/>
  <c r="CO33" i="1"/>
  <c r="CO140" i="1"/>
  <c r="CO16" i="1"/>
  <c r="CO60" i="1"/>
  <c r="CO123" i="1"/>
  <c r="CO133" i="1"/>
  <c r="CO111" i="1"/>
  <c r="CO59" i="1"/>
  <c r="CO84" i="1"/>
  <c r="CO188" i="1"/>
  <c r="CO112" i="1"/>
  <c r="CO177" i="1"/>
  <c r="CO97" i="1"/>
  <c r="CO134" i="1"/>
  <c r="CO5" i="1"/>
  <c r="CO136" i="1"/>
  <c r="CO98" i="1"/>
  <c r="CO83" i="1"/>
  <c r="CO186" i="1"/>
  <c r="CO17" i="1"/>
  <c r="CO187" i="1"/>
  <c r="CO113" i="1"/>
  <c r="CO141" i="1"/>
  <c r="CO121" i="1"/>
  <c r="CO34" i="1"/>
  <c r="CO130" i="1"/>
  <c r="CO209" i="1"/>
  <c r="CO155" i="1"/>
  <c r="CO99" i="1"/>
  <c r="CO189" i="1"/>
  <c r="CO165" i="1"/>
  <c r="CO215" i="1"/>
  <c r="CO191" i="1"/>
  <c r="CO200" i="1"/>
  <c r="CO153" i="1"/>
  <c r="CO110" i="1"/>
  <c r="CO213" i="1"/>
  <c r="CO180" i="1"/>
  <c r="AG226" i="21"/>
  <c r="I226" i="22"/>
  <c r="CM139" i="3"/>
  <c r="T96" i="15"/>
  <c r="U96" i="15"/>
  <c r="CO107" i="2"/>
  <c r="E7" i="22"/>
  <c r="L7" i="22" s="1"/>
  <c r="EP6" i="1"/>
  <c r="CM193" i="3"/>
  <c r="CM140" i="3"/>
  <c r="CM148" i="1"/>
  <c r="CM61" i="1"/>
  <c r="CM126" i="1"/>
  <c r="CM159" i="1"/>
  <c r="CM135" i="1"/>
  <c r="CM218" i="1"/>
  <c r="CM32" i="1"/>
  <c r="CM128" i="1"/>
  <c r="CM184" i="1"/>
  <c r="CM12" i="1"/>
  <c r="CM93" i="1"/>
  <c r="CM107" i="1"/>
  <c r="CM221" i="1"/>
  <c r="CM162" i="1"/>
  <c r="CM24" i="1"/>
  <c r="CM69" i="1"/>
  <c r="CM172" i="1"/>
  <c r="CM118" i="1"/>
  <c r="CM89" i="1"/>
  <c r="CM52" i="1"/>
  <c r="CM29" i="1"/>
  <c r="CM160" i="1"/>
  <c r="CM77" i="1"/>
  <c r="CM31" i="1"/>
  <c r="CM90" i="1"/>
  <c r="CM105" i="1"/>
  <c r="CM173" i="1"/>
  <c r="CM117" i="1"/>
  <c r="CM157" i="1"/>
  <c r="CM102" i="1"/>
  <c r="CM219" i="1"/>
  <c r="CM54" i="1"/>
  <c r="CM114" i="1"/>
  <c r="CM151" i="1"/>
  <c r="CM22" i="1"/>
  <c r="CM26" i="1"/>
  <c r="CM62" i="1"/>
  <c r="CM149" i="1"/>
  <c r="CM19" i="1"/>
  <c r="CM216" i="1"/>
  <c r="CM39" i="1"/>
  <c r="CM145" i="1"/>
  <c r="CM103" i="1"/>
  <c r="CM174" i="1"/>
  <c r="CM56" i="1"/>
  <c r="CM196" i="1"/>
  <c r="CM168" i="1"/>
  <c r="CM169" i="1"/>
  <c r="CM137" i="1"/>
  <c r="CM92" i="1"/>
  <c r="CM120" i="1"/>
  <c r="CM23" i="1"/>
  <c r="CM104" i="1"/>
  <c r="CM86" i="1"/>
  <c r="CM75" i="1"/>
  <c r="CM76" i="1"/>
  <c r="CM73" i="1"/>
  <c r="CM101" i="1"/>
  <c r="CM42" i="1"/>
  <c r="CM65" i="1"/>
  <c r="CM79" i="1"/>
  <c r="CM8" i="1"/>
  <c r="CM115" i="1"/>
  <c r="CM194" i="1"/>
  <c r="CM150" i="1"/>
  <c r="CM108" i="1"/>
  <c r="CM207" i="1"/>
  <c r="CM100" i="1"/>
  <c r="CM30" i="1"/>
  <c r="CM106" i="1"/>
  <c r="CM206" i="1"/>
  <c r="CM144" i="1"/>
  <c r="CM11" i="1"/>
  <c r="CM67" i="1"/>
  <c r="CM51" i="1"/>
  <c r="CM119" i="1"/>
  <c r="CM43" i="1"/>
  <c r="CM198" i="1"/>
  <c r="CM68" i="1"/>
  <c r="CM41" i="1"/>
  <c r="CM82" i="1"/>
  <c r="CM182" i="1"/>
  <c r="CM64" i="1"/>
  <c r="CM127" i="1"/>
  <c r="CM138" i="1"/>
  <c r="CM183" i="1"/>
  <c r="CM48" i="1"/>
  <c r="CM36" i="1"/>
  <c r="CM170" i="1"/>
  <c r="CM156" i="1"/>
  <c r="CM147" i="1"/>
  <c r="CM4" i="1"/>
  <c r="CM132" i="1"/>
  <c r="CM163" i="1"/>
  <c r="CM125" i="1"/>
  <c r="CM201" i="1"/>
  <c r="CM146" i="1"/>
  <c r="CM47" i="1"/>
  <c r="CM38" i="1"/>
  <c r="CM91" i="1"/>
  <c r="CM208" i="1"/>
  <c r="CM74" i="1"/>
  <c r="CM220" i="1"/>
  <c r="CM55" i="1"/>
  <c r="CM109" i="1"/>
  <c r="CM57" i="1"/>
  <c r="CM193" i="1"/>
  <c r="CM142" i="1"/>
  <c r="CM87" i="1"/>
  <c r="CM175" i="1"/>
  <c r="CM28" i="1"/>
  <c r="CM94" i="1"/>
  <c r="CM85" i="1"/>
  <c r="CM3" i="1"/>
  <c r="CM25" i="1"/>
  <c r="CM190" i="1"/>
  <c r="CM211" i="1"/>
  <c r="CM13" i="1"/>
  <c r="CM143" i="1"/>
  <c r="CM27" i="1"/>
  <c r="CM70" i="1"/>
  <c r="CM53" i="1"/>
  <c r="CM199" i="1"/>
  <c r="CM88" i="1"/>
  <c r="CM96" i="1"/>
  <c r="CM195" i="1"/>
  <c r="CM185" i="1"/>
  <c r="CM49" i="1"/>
  <c r="CM192" i="1"/>
  <c r="CM44" i="1"/>
  <c r="CM14" i="1"/>
  <c r="CM81" i="1"/>
  <c r="CM116" i="1"/>
  <c r="CM7" i="1"/>
  <c r="CM217" i="1"/>
  <c r="CM179" i="1"/>
  <c r="CM167" i="1"/>
  <c r="CM78" i="1"/>
  <c r="CM80" i="1"/>
  <c r="CM10" i="1"/>
  <c r="CM9" i="1"/>
  <c r="CM210" i="1"/>
  <c r="CM129" i="1"/>
  <c r="CM205" i="1"/>
  <c r="CM166" i="1"/>
  <c r="CM181" i="1"/>
  <c r="CM71" i="1"/>
  <c r="CM131" i="1"/>
  <c r="CM66" i="1"/>
  <c r="CM40" i="1"/>
  <c r="CM203" i="1"/>
  <c r="CM171" i="1"/>
  <c r="CM15" i="1"/>
  <c r="CM158" i="1"/>
  <c r="CM63" i="1"/>
  <c r="CM45" i="1"/>
  <c r="CM46" i="1"/>
  <c r="CM50" i="1"/>
  <c r="CM20" i="1"/>
  <c r="CM35" i="1"/>
  <c r="CM21" i="1"/>
  <c r="CM212" i="1"/>
  <c r="CM72" i="1"/>
  <c r="CM215" i="1"/>
  <c r="CM188" i="1"/>
  <c r="CM99" i="1"/>
  <c r="CM83" i="1"/>
  <c r="CM200" i="1"/>
  <c r="CM204" i="1"/>
  <c r="CM17" i="1"/>
  <c r="CM197" i="1"/>
  <c r="CM16" i="1"/>
  <c r="CM133" i="1"/>
  <c r="CM134" i="1"/>
  <c r="CM161" i="1"/>
  <c r="CM213" i="1"/>
  <c r="CM191" i="1"/>
  <c r="CM189" i="1"/>
  <c r="CM97" i="1"/>
  <c r="CM34" i="1"/>
  <c r="CM209" i="1"/>
  <c r="CM140" i="1"/>
  <c r="CM122" i="1"/>
  <c r="CM130" i="1"/>
  <c r="CM124" i="1"/>
  <c r="CM121" i="1"/>
  <c r="CM141" i="1"/>
  <c r="CM177" i="1"/>
  <c r="CM33" i="1"/>
  <c r="CM136" i="1"/>
  <c r="CM58" i="1"/>
  <c r="CM152" i="1"/>
  <c r="CM59" i="1"/>
  <c r="CM113" i="1"/>
  <c r="CM110" i="1"/>
  <c r="CM186" i="1"/>
  <c r="CM180" i="1"/>
  <c r="CM84" i="1"/>
  <c r="CM153" i="1"/>
  <c r="CM112" i="1"/>
  <c r="CM165" i="1"/>
  <c r="CM111" i="1"/>
  <c r="CM37" i="1"/>
  <c r="CM98" i="1"/>
  <c r="CM123" i="1"/>
  <c r="CM60" i="1"/>
  <c r="CM164" i="1"/>
  <c r="CM214" i="1"/>
  <c r="CM139" i="1"/>
  <c r="CM176" i="1"/>
  <c r="CM187" i="1"/>
  <c r="CM5" i="1"/>
  <c r="CM155" i="1"/>
  <c r="CO121" i="2"/>
  <c r="G93" i="22"/>
  <c r="N93" i="22" s="1"/>
  <c r="EP91" i="3"/>
  <c r="CM6" i="3"/>
  <c r="C68" i="22"/>
  <c r="CS173" i="3"/>
  <c r="CS175" i="2"/>
  <c r="CS176" i="1"/>
  <c r="CO212" i="2"/>
  <c r="CO50" i="2"/>
  <c r="CN17" i="3"/>
  <c r="CN29" i="3"/>
  <c r="CS120" i="3"/>
  <c r="CS121" i="2"/>
  <c r="CS121" i="1"/>
  <c r="CM206" i="3"/>
  <c r="CM215" i="3"/>
  <c r="CS203" i="3"/>
  <c r="CS206" i="1"/>
  <c r="CN8" i="3"/>
  <c r="F76" i="22"/>
  <c r="M76" i="22" s="1"/>
  <c r="EP75" i="2"/>
  <c r="F123" i="22"/>
  <c r="M123" i="22" s="1"/>
  <c r="EP122" i="2"/>
  <c r="CM59" i="3"/>
  <c r="CM40" i="3"/>
  <c r="CO78" i="2"/>
  <c r="CS172" i="3"/>
  <c r="CS174" i="2"/>
  <c r="CS175" i="1"/>
  <c r="CS134" i="3"/>
  <c r="CS135" i="2"/>
  <c r="CS136" i="1"/>
  <c r="CM90" i="3"/>
  <c r="CO163" i="2"/>
  <c r="F36" i="22"/>
  <c r="M36" i="22" s="1"/>
  <c r="C36" i="22" s="1"/>
  <c r="EP35" i="2"/>
  <c r="CM93" i="3"/>
  <c r="CN66" i="3"/>
  <c r="CM168" i="3"/>
  <c r="CO77" i="2"/>
  <c r="S31" i="11"/>
  <c r="K64" i="11"/>
  <c r="M43" i="22"/>
  <c r="C43" i="22" s="1"/>
  <c r="CM154" i="3"/>
  <c r="CO86" i="2"/>
  <c r="M37" i="22"/>
  <c r="G125" i="22"/>
  <c r="N125" i="22" s="1"/>
  <c r="EP123" i="3"/>
  <c r="CO6" i="2"/>
  <c r="CN186" i="3"/>
  <c r="N74" i="22"/>
  <c r="N9" i="22"/>
  <c r="CS191" i="3"/>
  <c r="CS194" i="2"/>
  <c r="CS194" i="1"/>
  <c r="S98" i="16"/>
  <c r="T98" i="16"/>
  <c r="CM150" i="3"/>
  <c r="M226" i="22"/>
  <c r="L63" i="11"/>
  <c r="T30" i="11"/>
  <c r="F66" i="22"/>
  <c r="M66" i="22" s="1"/>
  <c r="EP65" i="2"/>
  <c r="CO180" i="2"/>
  <c r="S63" i="11"/>
  <c r="S19" i="11"/>
  <c r="N95" i="20"/>
  <c r="CO166" i="2"/>
  <c r="G75" i="22"/>
  <c r="N75" i="22" s="1"/>
  <c r="EP73" i="3"/>
  <c r="G79" i="22"/>
  <c r="N79" i="22" s="1"/>
  <c r="C79" i="22" s="1"/>
  <c r="EP77" i="3"/>
  <c r="CO172" i="2"/>
  <c r="F190" i="22"/>
  <c r="M190" i="22" s="1"/>
  <c r="C190" i="22" s="1"/>
  <c r="EP188" i="2"/>
  <c r="CN179" i="3"/>
  <c r="M39" i="20"/>
  <c r="CM74" i="3"/>
  <c r="CS161" i="3"/>
  <c r="CS162" i="2"/>
  <c r="CS163" i="1"/>
  <c r="CO94" i="2"/>
  <c r="CM192" i="3"/>
  <c r="CS150" i="3"/>
  <c r="CS151" i="2"/>
  <c r="CS152" i="1"/>
  <c r="CM160" i="3"/>
  <c r="J7" i="22"/>
  <c r="AH7" i="21"/>
  <c r="D118" i="8"/>
  <c r="CN27" i="3"/>
  <c r="CM106" i="3"/>
  <c r="CN109" i="3"/>
  <c r="CO112" i="2"/>
  <c r="N89" i="22"/>
  <c r="N116" i="22"/>
  <c r="T99" i="16"/>
  <c r="S99" i="16"/>
  <c r="CS158" i="3"/>
  <c r="CS159" i="2"/>
  <c r="CS160" i="1"/>
  <c r="CO186" i="2"/>
  <c r="EK37" i="3"/>
  <c r="G105" i="22"/>
  <c r="N105" i="22" s="1"/>
  <c r="EP103" i="3"/>
  <c r="J21" i="22"/>
  <c r="N21" i="22" s="1"/>
  <c r="C21" i="22" s="1"/>
  <c r="AH21" i="21"/>
  <c r="G22" i="22"/>
  <c r="N22" i="22" s="1"/>
  <c r="EP21" i="3"/>
  <c r="CO116" i="2"/>
  <c r="CO103" i="2"/>
  <c r="CS153" i="3"/>
  <c r="CS154" i="2"/>
  <c r="CS155" i="1"/>
  <c r="G119" i="22"/>
  <c r="N119" i="22" s="1"/>
  <c r="C119" i="22" s="1"/>
  <c r="EP117" i="3"/>
  <c r="G28" i="22"/>
  <c r="N28" i="22" s="1"/>
  <c r="EP27" i="3"/>
  <c r="G24" i="22"/>
  <c r="N24" i="22" s="1"/>
  <c r="EP23" i="3"/>
  <c r="CS207" i="3"/>
  <c r="CS210" i="1"/>
  <c r="CM80" i="3"/>
  <c r="G42" i="22"/>
  <c r="N42" i="22" s="1"/>
  <c r="EP40" i="3"/>
  <c r="U97" i="15"/>
  <c r="T97" i="15"/>
  <c r="M66" i="11"/>
  <c r="U33" i="11"/>
  <c r="G92" i="22"/>
  <c r="N92" i="22" s="1"/>
  <c r="EP90" i="3"/>
  <c r="CN211" i="3"/>
  <c r="CM6" i="1"/>
  <c r="CM75" i="3"/>
  <c r="CS140" i="3"/>
  <c r="CS141" i="2"/>
  <c r="CS142" i="1"/>
  <c r="CM73" i="3"/>
  <c r="CO177" i="2"/>
  <c r="CN115" i="3"/>
  <c r="CO173" i="2"/>
  <c r="CS46" i="3"/>
  <c r="CS47" i="2"/>
  <c r="CS47" i="1"/>
  <c r="CS162" i="3"/>
  <c r="CS163" i="2"/>
  <c r="CS164" i="1"/>
  <c r="CM123" i="3"/>
  <c r="CN154" i="3"/>
  <c r="CO203" i="2"/>
  <c r="CO27" i="2"/>
  <c r="T18" i="11"/>
  <c r="T62" i="11"/>
  <c r="CO125" i="2"/>
  <c r="CM166" i="3"/>
  <c r="CN43" i="3"/>
  <c r="CO54" i="2"/>
  <c r="F166" i="22"/>
  <c r="M166" i="22" s="1"/>
  <c r="C166" i="22" s="1"/>
  <c r="EP164" i="2"/>
  <c r="M64" i="11"/>
  <c r="U31" i="11"/>
  <c r="EL37" i="3"/>
  <c r="AK39" i="21" s="1"/>
  <c r="CM37" i="3"/>
  <c r="CO60" i="2"/>
  <c r="F89" i="22"/>
  <c r="M89" i="22" s="1"/>
  <c r="C89" i="22" s="1"/>
  <c r="EP88" i="2"/>
  <c r="CS206" i="3"/>
  <c r="CS209" i="1"/>
  <c r="CM157" i="3"/>
  <c r="T17" i="11"/>
  <c r="T61" i="11" s="1"/>
  <c r="CM87" i="3"/>
  <c r="CN198" i="3"/>
  <c r="CS106" i="3"/>
  <c r="CS107" i="2"/>
  <c r="CS107" i="1"/>
  <c r="E118" i="8"/>
  <c r="L66" i="11"/>
  <c r="T33" i="11"/>
  <c r="F104" i="22"/>
  <c r="M104" i="22" s="1"/>
  <c r="EP103" i="2"/>
  <c r="CM79" i="3"/>
  <c r="CO11" i="2"/>
  <c r="G72" i="22"/>
  <c r="N72" i="22" s="1"/>
  <c r="EP70" i="3"/>
  <c r="CN207" i="3"/>
  <c r="CN121" i="3"/>
  <c r="N30" i="20"/>
  <c r="M25" i="22"/>
  <c r="CN156" i="3"/>
  <c r="S106" i="16"/>
  <c r="P118" i="16"/>
  <c r="P113" i="16"/>
  <c r="P117" i="16"/>
  <c r="P112" i="16"/>
  <c r="P107" i="16"/>
  <c r="T106" i="16"/>
  <c r="P114" i="16"/>
  <c r="P111" i="16"/>
  <c r="P110" i="16"/>
  <c r="P115" i="16"/>
  <c r="P116" i="16"/>
  <c r="P109" i="16"/>
  <c r="P108" i="16"/>
  <c r="M56" i="22"/>
  <c r="F217" i="22"/>
  <c r="M217" i="22" s="1"/>
  <c r="EP205" i="2"/>
  <c r="K66" i="11"/>
  <c r="S33" i="11"/>
  <c r="F52" i="22"/>
  <c r="M52" i="22" s="1"/>
  <c r="EP51" i="2"/>
  <c r="F145" i="22"/>
  <c r="M145" i="22" s="1"/>
  <c r="C145" i="22" s="1"/>
  <c r="EP143" i="2"/>
  <c r="CM17" i="3"/>
  <c r="CM16" i="3"/>
  <c r="F111" i="22"/>
  <c r="M111" i="22" s="1"/>
  <c r="EP110" i="2"/>
  <c r="CM26" i="3"/>
  <c r="CM21" i="3"/>
  <c r="CM58" i="3"/>
  <c r="CO98" i="2"/>
  <c r="F93" i="22"/>
  <c r="M93" i="22" s="1"/>
  <c r="EP92" i="2"/>
  <c r="CN95" i="1"/>
  <c r="CN61" i="1"/>
  <c r="CN117" i="1"/>
  <c r="CN29" i="1"/>
  <c r="CN148" i="1"/>
  <c r="CN126" i="1"/>
  <c r="CN162" i="1"/>
  <c r="CN107" i="1"/>
  <c r="CN159" i="1"/>
  <c r="CN90" i="1"/>
  <c r="CN93" i="1"/>
  <c r="CN118" i="1"/>
  <c r="CN221" i="1"/>
  <c r="CN69" i="1"/>
  <c r="CN31" i="1"/>
  <c r="CN135" i="1"/>
  <c r="CN77" i="1"/>
  <c r="CN52" i="1"/>
  <c r="CN184" i="1"/>
  <c r="CN12" i="1"/>
  <c r="CN105" i="1"/>
  <c r="CN128" i="1"/>
  <c r="CN160" i="1"/>
  <c r="CN172" i="1"/>
  <c r="CN24" i="1"/>
  <c r="CN32" i="1"/>
  <c r="CN89" i="1"/>
  <c r="CN173" i="1"/>
  <c r="CN218" i="1"/>
  <c r="CN28" i="1"/>
  <c r="CN211" i="1"/>
  <c r="CN43" i="1"/>
  <c r="CN42" i="1"/>
  <c r="CN4" i="1"/>
  <c r="CN39" i="1"/>
  <c r="CN146" i="1"/>
  <c r="CN46" i="1"/>
  <c r="CN175" i="1"/>
  <c r="CN116" i="1"/>
  <c r="CN48" i="1"/>
  <c r="CN156" i="1"/>
  <c r="CN22" i="1"/>
  <c r="CN67" i="1"/>
  <c r="CN49" i="1"/>
  <c r="CN192" i="1"/>
  <c r="CN119" i="1"/>
  <c r="CN212" i="1"/>
  <c r="CN131" i="1"/>
  <c r="CN86" i="1"/>
  <c r="CN183" i="1"/>
  <c r="CN88" i="1"/>
  <c r="CN217" i="1"/>
  <c r="CN210" i="1"/>
  <c r="CN100" i="1"/>
  <c r="CN207" i="1"/>
  <c r="CN73" i="1"/>
  <c r="CN143" i="1"/>
  <c r="CN26" i="1"/>
  <c r="CN108" i="1"/>
  <c r="CN168" i="1"/>
  <c r="CN132" i="1"/>
  <c r="CN114" i="1"/>
  <c r="CN199" i="1"/>
  <c r="CN45" i="1"/>
  <c r="CN7" i="1"/>
  <c r="CN203" i="1"/>
  <c r="CN196" i="1"/>
  <c r="CN30" i="1"/>
  <c r="CN190" i="1"/>
  <c r="CN193" i="1"/>
  <c r="CN75" i="1"/>
  <c r="CN81" i="1"/>
  <c r="CN80" i="1"/>
  <c r="CN78" i="1"/>
  <c r="CN68" i="1"/>
  <c r="CN169" i="1"/>
  <c r="CN41" i="1"/>
  <c r="CN205" i="1"/>
  <c r="CN23" i="1"/>
  <c r="CN3" i="1"/>
  <c r="CN167" i="1"/>
  <c r="CN147" i="1"/>
  <c r="CN129" i="1"/>
  <c r="CN104" i="1"/>
  <c r="CN103" i="1"/>
  <c r="CN21" i="1"/>
  <c r="CN56" i="1"/>
  <c r="CN179" i="1"/>
  <c r="CN36" i="1"/>
  <c r="CN120" i="1"/>
  <c r="CN64" i="1"/>
  <c r="CN171" i="1"/>
  <c r="CN25" i="1"/>
  <c r="CN11" i="1"/>
  <c r="CN53" i="1"/>
  <c r="CN102" i="1"/>
  <c r="CN174" i="1"/>
  <c r="CN85" i="1"/>
  <c r="CN216" i="1"/>
  <c r="CN185" i="1"/>
  <c r="CN137" i="1"/>
  <c r="CN38" i="1"/>
  <c r="CN181" i="1"/>
  <c r="CN158" i="1"/>
  <c r="CN208" i="1"/>
  <c r="CN150" i="1"/>
  <c r="CN54" i="1"/>
  <c r="CN10" i="1"/>
  <c r="CN145" i="1"/>
  <c r="CN91" i="1"/>
  <c r="CN79" i="1"/>
  <c r="CN163" i="1"/>
  <c r="CN144" i="1"/>
  <c r="CN138" i="1"/>
  <c r="CN35" i="1"/>
  <c r="CN151" i="1"/>
  <c r="CN142" i="1"/>
  <c r="CN15" i="1"/>
  <c r="CN27" i="1"/>
  <c r="CN198" i="1"/>
  <c r="CN70" i="1"/>
  <c r="CN201" i="1"/>
  <c r="CN47" i="1"/>
  <c r="CN19" i="1"/>
  <c r="CN8" i="1"/>
  <c r="CN14" i="1"/>
  <c r="CN13" i="1"/>
  <c r="CN219" i="1"/>
  <c r="CN62" i="1"/>
  <c r="CN109" i="1"/>
  <c r="CN20" i="1"/>
  <c r="CN170" i="1"/>
  <c r="CN55" i="1"/>
  <c r="CN63" i="1"/>
  <c r="CN87" i="1"/>
  <c r="CN101" i="1"/>
  <c r="CN65" i="1"/>
  <c r="CN57" i="1"/>
  <c r="CN157" i="1"/>
  <c r="CN125" i="1"/>
  <c r="CN166" i="1"/>
  <c r="CN50" i="1"/>
  <c r="CN106" i="1"/>
  <c r="CN71" i="1"/>
  <c r="CN149" i="1"/>
  <c r="CN76" i="1"/>
  <c r="CN92" i="1"/>
  <c r="CN40" i="1"/>
  <c r="CN195" i="1"/>
  <c r="CN182" i="1"/>
  <c r="CN194" i="1"/>
  <c r="CN96" i="1"/>
  <c r="CN74" i="1"/>
  <c r="CN127" i="1"/>
  <c r="CN66" i="1"/>
  <c r="CN220" i="1"/>
  <c r="CN9" i="1"/>
  <c r="CN82" i="1"/>
  <c r="CN94" i="1"/>
  <c r="CN44" i="1"/>
  <c r="CN206" i="1"/>
  <c r="CN115" i="1"/>
  <c r="CN51" i="1"/>
  <c r="CN187" i="1"/>
  <c r="CN177" i="1"/>
  <c r="CN140" i="1"/>
  <c r="CN122" i="1"/>
  <c r="CN191" i="1"/>
  <c r="CN99" i="1"/>
  <c r="CN97" i="1"/>
  <c r="CN83" i="1"/>
  <c r="CN113" i="1"/>
  <c r="CN136" i="1"/>
  <c r="CN176" i="1"/>
  <c r="CN134" i="1"/>
  <c r="CN124" i="1"/>
  <c r="CN110" i="1"/>
  <c r="CN180" i="1"/>
  <c r="CN164" i="1"/>
  <c r="CN204" i="1"/>
  <c r="CN121" i="1"/>
  <c r="CN165" i="1"/>
  <c r="CN161" i="1"/>
  <c r="CN200" i="1"/>
  <c r="CN123" i="1"/>
  <c r="CN153" i="1"/>
  <c r="CN17" i="1"/>
  <c r="CN188" i="1"/>
  <c r="CN33" i="1"/>
  <c r="CN37" i="1"/>
  <c r="CN214" i="1"/>
  <c r="CN84" i="1"/>
  <c r="CN141" i="1"/>
  <c r="CN34" i="1"/>
  <c r="CN111" i="1"/>
  <c r="CN189" i="1"/>
  <c r="CN133" i="1"/>
  <c r="CN152" i="1"/>
  <c r="CN186" i="1"/>
  <c r="CN5" i="1"/>
  <c r="CN59" i="1"/>
  <c r="CN72" i="1"/>
  <c r="CN130" i="1"/>
  <c r="CN98" i="1"/>
  <c r="CN139" i="1"/>
  <c r="CN213" i="1"/>
  <c r="CN112" i="1"/>
  <c r="CN215" i="1"/>
  <c r="CN155" i="1"/>
  <c r="CN209" i="1"/>
  <c r="CN60" i="1"/>
  <c r="CN58" i="1"/>
  <c r="CN197" i="1"/>
  <c r="CN16" i="1"/>
  <c r="CO194" i="2"/>
  <c r="CS130" i="3"/>
  <c r="CS131" i="2"/>
  <c r="CS131" i="1"/>
  <c r="CM129" i="3"/>
  <c r="Q111" i="15"/>
  <c r="Q102" i="15"/>
  <c r="U100" i="15"/>
  <c r="Q105" i="15"/>
  <c r="Q109" i="15"/>
  <c r="Q110" i="15"/>
  <c r="Q104" i="15"/>
  <c r="Q107" i="15"/>
  <c r="Q101" i="15"/>
  <c r="Q103" i="15"/>
  <c r="Q112" i="15"/>
  <c r="Q106" i="15"/>
  <c r="T100" i="15"/>
  <c r="Q108" i="15"/>
  <c r="CS65" i="3"/>
  <c r="CS66" i="2"/>
  <c r="CS66" i="1"/>
  <c r="CO207" i="2"/>
  <c r="CN200" i="3"/>
  <c r="CO71" i="2"/>
  <c r="CM171" i="3"/>
  <c r="F147" i="22"/>
  <c r="M147" i="22" s="1"/>
  <c r="EP145" i="2"/>
  <c r="G13" i="22"/>
  <c r="N13" i="22" s="1"/>
  <c r="EP12" i="3"/>
  <c r="F128" i="22"/>
  <c r="M128" i="22" s="1"/>
  <c r="C128" i="22" s="1"/>
  <c r="EP127" i="2"/>
  <c r="G60" i="22"/>
  <c r="N60" i="22" s="1"/>
  <c r="EP58" i="3"/>
  <c r="CN6" i="3"/>
  <c r="CO155" i="2"/>
  <c r="CO140" i="2"/>
  <c r="CM65" i="3"/>
  <c r="CM96" i="3"/>
  <c r="CS195" i="3"/>
  <c r="CS198" i="2"/>
  <c r="CS198" i="1"/>
  <c r="CN204" i="3"/>
  <c r="CM163" i="3"/>
  <c r="CN155" i="3"/>
  <c r="CO8" i="2"/>
  <c r="CN77" i="3"/>
  <c r="CO130" i="2"/>
  <c r="CM209" i="3"/>
  <c r="CN72" i="3"/>
  <c r="CM100" i="3"/>
  <c r="F119" i="8"/>
  <c r="CM91" i="3"/>
  <c r="CO38" i="2"/>
  <c r="CO185" i="2"/>
  <c r="CN87" i="3"/>
  <c r="CS79" i="3"/>
  <c r="CS80" i="2"/>
  <c r="CS80" i="1"/>
  <c r="CN103" i="3"/>
  <c r="CO149" i="2"/>
  <c r="F118" i="8"/>
  <c r="I117" i="8"/>
  <c r="CP1" i="1" s="1"/>
  <c r="CO164" i="2"/>
  <c r="CO122" i="2"/>
  <c r="G199" i="22"/>
  <c r="N199" i="22" s="1"/>
  <c r="C199" i="22" s="1"/>
  <c r="EP194" i="3"/>
  <c r="EP73" i="2"/>
  <c r="F12" i="22"/>
  <c r="M12" i="22" s="1"/>
  <c r="C12" i="22" s="1"/>
  <c r="EP11" i="2"/>
  <c r="G87" i="22"/>
  <c r="N87" i="22" s="1"/>
  <c r="EP85" i="3"/>
  <c r="CM111" i="3"/>
  <c r="CN188" i="3"/>
  <c r="T101" i="16"/>
  <c r="S101" i="16"/>
  <c r="CN191" i="3"/>
  <c r="U32" i="11"/>
  <c r="M65" i="11"/>
  <c r="T105" i="16"/>
  <c r="S105" i="16"/>
  <c r="B91" i="8"/>
  <c r="CO17" i="2"/>
  <c r="CM201" i="3"/>
  <c r="CO53" i="2"/>
  <c r="G69" i="22"/>
  <c r="N69" i="22" s="1"/>
  <c r="EP67" i="3"/>
  <c r="T92" i="15"/>
  <c r="U92" i="15"/>
  <c r="CO4" i="2"/>
  <c r="CO35" i="2"/>
  <c r="F105" i="22"/>
  <c r="M105" i="22" s="1"/>
  <c r="EP104" i="2"/>
  <c r="CO104" i="2"/>
  <c r="V20" i="11"/>
  <c r="V64" i="11" s="1"/>
  <c r="F58" i="22"/>
  <c r="M58" i="22" s="1"/>
  <c r="C58" i="22" s="1"/>
  <c r="EP57" i="2"/>
  <c r="F31" i="22"/>
  <c r="M31" i="22" s="1"/>
  <c r="EP30" i="2"/>
  <c r="CS156" i="3"/>
  <c r="CS157" i="2"/>
  <c r="CS158" i="1"/>
  <c r="CO59" i="2"/>
  <c r="CM185" i="3"/>
  <c r="I34" i="8"/>
  <c r="CM1" i="2" s="1"/>
  <c r="CM38" i="2" s="1"/>
  <c r="CO146" i="2"/>
  <c r="CO168" i="2"/>
  <c r="CO134" i="2"/>
  <c r="N63" i="11"/>
  <c r="V30" i="11"/>
  <c r="CO197" i="2"/>
  <c r="CN178" i="3"/>
  <c r="CS177" i="2"/>
  <c r="CS178" i="1"/>
  <c r="CS193" i="3"/>
  <c r="CS196" i="2"/>
  <c r="CS196" i="1"/>
  <c r="CS118" i="3"/>
  <c r="CS119" i="2"/>
  <c r="CS119" i="1"/>
  <c r="F116" i="22"/>
  <c r="M116" i="22" s="1"/>
  <c r="C116" i="22" s="1"/>
  <c r="EP115" i="2"/>
  <c r="CO84" i="2"/>
  <c r="CN176" i="3"/>
  <c r="CO154" i="2"/>
  <c r="CO55" i="2"/>
  <c r="CS200" i="3"/>
  <c r="CS203" i="2"/>
  <c r="CS203" i="1"/>
  <c r="CM112" i="3"/>
  <c r="D119" i="8"/>
  <c r="I119" i="8" s="1"/>
  <c r="CP1" i="3" s="1"/>
  <c r="CP37" i="3" s="1"/>
  <c r="CM11" i="3"/>
  <c r="U29" i="11"/>
  <c r="M62" i="11"/>
  <c r="O62" i="11" s="1"/>
  <c r="CO143" i="2"/>
  <c r="CM43" i="3"/>
  <c r="CS155" i="3"/>
  <c r="CS156" i="2"/>
  <c r="CS157" i="1"/>
  <c r="CM186" i="3"/>
  <c r="CM158" i="3"/>
  <c r="F39" i="20"/>
  <c r="EM38" i="2"/>
  <c r="AM39" i="21" s="1"/>
  <c r="CM204" i="3"/>
  <c r="CN76" i="3"/>
  <c r="CN192" i="3"/>
  <c r="CN26" i="3"/>
  <c r="CN130" i="3"/>
  <c r="CM67" i="3"/>
  <c r="H118" i="8"/>
  <c r="CM170" i="3"/>
  <c r="CO198" i="2"/>
  <c r="N90" i="22"/>
  <c r="M74" i="22"/>
  <c r="CO12" i="2"/>
  <c r="F24" i="22"/>
  <c r="M24" i="22" s="1"/>
  <c r="C24" i="22" s="1"/>
  <c r="EP23" i="2"/>
  <c r="CO135" i="2"/>
  <c r="T97" i="16"/>
  <c r="S97" i="16"/>
  <c r="CM134" i="3"/>
  <c r="CM191" i="3"/>
  <c r="N9" i="20"/>
  <c r="CM177" i="3"/>
  <c r="D91" i="8"/>
  <c r="CM66" i="3"/>
  <c r="CO174" i="2"/>
  <c r="CO26" i="2"/>
  <c r="CM20" i="3"/>
  <c r="T98" i="15"/>
  <c r="U98" i="15"/>
  <c r="T32" i="11"/>
  <c r="L65" i="11"/>
  <c r="CM126" i="3"/>
  <c r="CM179" i="3"/>
  <c r="CO14" i="2"/>
  <c r="N21" i="20"/>
  <c r="CO161" i="2"/>
  <c r="CO124" i="2"/>
  <c r="CN49" i="3"/>
  <c r="CN153" i="3"/>
  <c r="CO74" i="2"/>
  <c r="F61" i="22"/>
  <c r="M61" i="22" s="1"/>
  <c r="EP60" i="2"/>
  <c r="CN120" i="3"/>
  <c r="CO23" i="2"/>
  <c r="G123" i="22"/>
  <c r="N123" i="22" s="1"/>
  <c r="EP121" i="3"/>
  <c r="AH209" i="21"/>
  <c r="J209" i="22"/>
  <c r="F54" i="22"/>
  <c r="M54" i="22" s="1"/>
  <c r="EP53" i="2"/>
  <c r="CN88" i="3"/>
  <c r="CM174" i="3"/>
  <c r="CM34" i="3"/>
  <c r="CM161" i="3"/>
  <c r="CO165" i="2"/>
  <c r="C119" i="8"/>
  <c r="CS189" i="3"/>
  <c r="CS192" i="2"/>
  <c r="CS192" i="1"/>
  <c r="G55" i="22"/>
  <c r="N55" i="22" s="1"/>
  <c r="EP53" i="3"/>
  <c r="G215" i="22"/>
  <c r="N215" i="22" s="1"/>
  <c r="EP209" i="3"/>
  <c r="CS4" i="3"/>
  <c r="CS4" i="2"/>
  <c r="CS4" i="1"/>
  <c r="CN79" i="3"/>
  <c r="CO65" i="2"/>
  <c r="I39" i="22"/>
  <c r="M39" i="22" s="1"/>
  <c r="AG39" i="21"/>
  <c r="CM29" i="3"/>
  <c r="N82" i="20"/>
  <c r="CS182" i="3"/>
  <c r="CS185" i="2"/>
  <c r="CS185" i="1"/>
  <c r="CO176" i="2"/>
  <c r="CN52" i="3"/>
  <c r="C118" i="8"/>
  <c r="CO75" i="2"/>
  <c r="CM49" i="3"/>
  <c r="N74" i="20"/>
  <c r="EP6" i="3"/>
  <c r="M203" i="22"/>
  <c r="CO106" i="2"/>
  <c r="G203" i="22"/>
  <c r="N203" i="22" s="1"/>
  <c r="EP198" i="3"/>
  <c r="T100" i="16"/>
  <c r="S100" i="16"/>
  <c r="S102" i="16"/>
  <c r="T102" i="16"/>
  <c r="G85" i="22"/>
  <c r="N85" i="22" s="1"/>
  <c r="EP83" i="3"/>
  <c r="CM221" i="3"/>
  <c r="CM220" i="3"/>
  <c r="CM219" i="3"/>
  <c r="CM60" i="3"/>
  <c r="CM146" i="3"/>
  <c r="CM216" i="3"/>
  <c r="CM94" i="3"/>
  <c r="CM25" i="3"/>
  <c r="CM32" i="3"/>
  <c r="CM9" i="3"/>
  <c r="CM143" i="3"/>
  <c r="CM39" i="3"/>
  <c r="CM78" i="3"/>
  <c r="CM196" i="3"/>
  <c r="CM62" i="3"/>
  <c r="CM116" i="3"/>
  <c r="CM33" i="3"/>
  <c r="CM136" i="3"/>
  <c r="CM208" i="3"/>
  <c r="CM122" i="3"/>
  <c r="CM38" i="3"/>
  <c r="CM89" i="3"/>
  <c r="CM42" i="3"/>
  <c r="CM10" i="3"/>
  <c r="CM125" i="3"/>
  <c r="CM22" i="3"/>
  <c r="CM181" i="3"/>
  <c r="CM45" i="3"/>
  <c r="CM104" i="3"/>
  <c r="CM68" i="3"/>
  <c r="CM3" i="3"/>
  <c r="CM217" i="3"/>
  <c r="CM47" i="3"/>
  <c r="CM119" i="3"/>
  <c r="CM44" i="3"/>
  <c r="CM28" i="3"/>
  <c r="CM95" i="3"/>
  <c r="CM13" i="3"/>
  <c r="CM190" i="3"/>
  <c r="CM81" i="3"/>
  <c r="CM212" i="3"/>
  <c r="CM36" i="3"/>
  <c r="CM84" i="3"/>
  <c r="CM57" i="3"/>
  <c r="CM210" i="3"/>
  <c r="CM110" i="3"/>
  <c r="CM202" i="3"/>
  <c r="CM151" i="3"/>
  <c r="CM48" i="3"/>
  <c r="CM108" i="3"/>
  <c r="CM61" i="3"/>
  <c r="CM175" i="3"/>
  <c r="CM135" i="3"/>
  <c r="CM167" i="3"/>
  <c r="CM86" i="3"/>
  <c r="CM107" i="3"/>
  <c r="CM205" i="3"/>
  <c r="CM214" i="3"/>
  <c r="CM7" i="3"/>
  <c r="CM18" i="3"/>
  <c r="CM101" i="3"/>
  <c r="CM19" i="3"/>
  <c r="CM98" i="3"/>
  <c r="CM55" i="3"/>
  <c r="CM92" i="3"/>
  <c r="CM63" i="3"/>
  <c r="CM187" i="3"/>
  <c r="CM132" i="3"/>
  <c r="CM128" i="3"/>
  <c r="CM51" i="3"/>
  <c r="CM199" i="3"/>
  <c r="CM113" i="3"/>
  <c r="CM131" i="3"/>
  <c r="CM71" i="3"/>
  <c r="CM88" i="3"/>
  <c r="C28" i="22"/>
  <c r="CM162" i="3"/>
  <c r="E91" i="8"/>
  <c r="CM53" i="3"/>
  <c r="F157" i="22"/>
  <c r="M157" i="22" s="1"/>
  <c r="C157" i="22" s="1"/>
  <c r="EP155" i="2"/>
  <c r="F9" i="22"/>
  <c r="M9" i="22" s="1"/>
  <c r="C9" i="22" s="1"/>
  <c r="EP8" i="2"/>
  <c r="F42" i="22"/>
  <c r="M42" i="22" s="1"/>
  <c r="C42" i="22" s="1"/>
  <c r="EP41" i="2"/>
  <c r="CM142" i="3"/>
  <c r="CO118" i="2"/>
  <c r="CN219" i="3"/>
  <c r="CN221" i="3"/>
  <c r="CN220" i="3"/>
  <c r="CN60" i="3"/>
  <c r="CN143" i="3"/>
  <c r="CN216" i="3"/>
  <c r="CN22" i="3"/>
  <c r="CN78" i="3"/>
  <c r="CN94" i="3"/>
  <c r="CN146" i="3"/>
  <c r="CN125" i="3"/>
  <c r="CN122" i="3"/>
  <c r="CN62" i="3"/>
  <c r="CN10" i="3"/>
  <c r="CN89" i="3"/>
  <c r="CN45" i="3"/>
  <c r="CN33" i="3"/>
  <c r="CN42" i="3"/>
  <c r="CN68" i="3"/>
  <c r="CN208" i="3"/>
  <c r="CN136" i="3"/>
  <c r="CN38" i="3"/>
  <c r="CN116" i="3"/>
  <c r="CN104" i="3"/>
  <c r="CN25" i="3"/>
  <c r="CN32" i="3"/>
  <c r="CN9" i="3"/>
  <c r="CN196" i="3"/>
  <c r="CN39" i="3"/>
  <c r="CN181" i="3"/>
  <c r="CN51" i="3"/>
  <c r="CN61" i="3"/>
  <c r="CN7" i="3"/>
  <c r="CN128" i="3"/>
  <c r="CN110" i="3"/>
  <c r="CN71" i="3"/>
  <c r="CN48" i="3"/>
  <c r="CN210" i="3"/>
  <c r="CN92" i="3"/>
  <c r="CN199" i="3"/>
  <c r="CN3" i="3"/>
  <c r="CN63" i="3"/>
  <c r="CN81" i="3"/>
  <c r="CN187" i="3"/>
  <c r="CN151" i="3"/>
  <c r="CN19" i="3"/>
  <c r="CN47" i="3"/>
  <c r="CN108" i="3"/>
  <c r="CN212" i="3"/>
  <c r="CN217" i="3"/>
  <c r="CN18" i="3"/>
  <c r="CN113" i="3"/>
  <c r="CN175" i="3"/>
  <c r="CN107" i="3"/>
  <c r="CN84" i="3"/>
  <c r="CN95" i="3"/>
  <c r="CN98" i="3"/>
  <c r="CN55" i="3"/>
  <c r="CN101" i="3"/>
  <c r="CN135" i="3"/>
  <c r="CN167" i="3"/>
  <c r="CN119" i="3"/>
  <c r="CN86" i="3"/>
  <c r="CN28" i="3"/>
  <c r="CN13" i="3"/>
  <c r="CN57" i="3"/>
  <c r="CN214" i="3"/>
  <c r="CN202" i="3"/>
  <c r="CN36" i="3"/>
  <c r="CN44" i="3"/>
  <c r="CN190" i="3"/>
  <c r="CN131" i="3"/>
  <c r="CN205" i="3"/>
  <c r="CN132" i="3"/>
  <c r="CO31" i="2"/>
  <c r="CO160" i="2"/>
  <c r="CN173" i="3"/>
  <c r="CO15" i="2"/>
  <c r="CN172" i="3"/>
  <c r="CN18" i="1"/>
  <c r="S62" i="11"/>
  <c r="S18" i="11"/>
  <c r="CN178" i="1"/>
  <c r="CN134" i="3"/>
  <c r="G141" i="22"/>
  <c r="N141" i="22" s="1"/>
  <c r="EP138" i="3"/>
  <c r="AG107" i="21"/>
  <c r="I107" i="22"/>
  <c r="M107" i="22" s="1"/>
  <c r="EP106" i="2"/>
  <c r="CS111" i="3"/>
  <c r="CS112" i="2"/>
  <c r="CS112" i="1"/>
  <c r="CN59" i="3"/>
  <c r="B119" i="8"/>
  <c r="J95" i="22"/>
  <c r="N95" i="22" s="1"/>
  <c r="AH95" i="21"/>
  <c r="CS5" i="3"/>
  <c r="CS5" i="2"/>
  <c r="CS5" i="1"/>
  <c r="K71" i="11"/>
  <c r="V40" i="11"/>
  <c r="S71" i="11" s="1"/>
  <c r="CN183" i="3"/>
  <c r="EL38" i="2"/>
  <c r="AJ39" i="21" s="1"/>
  <c r="N39" i="20" s="1"/>
  <c r="CN80" i="3"/>
  <c r="CO88" i="2"/>
  <c r="CN58" i="3"/>
  <c r="F82" i="22"/>
  <c r="M82" i="22" s="1"/>
  <c r="C82" i="22" s="1"/>
  <c r="EP81" i="2"/>
  <c r="F75" i="22"/>
  <c r="M75" i="22" s="1"/>
  <c r="C75" i="22" s="1"/>
  <c r="EP74" i="2"/>
  <c r="CM180" i="3"/>
  <c r="CS176" i="3"/>
  <c r="CS179" i="2"/>
  <c r="F202" i="22"/>
  <c r="M202" i="22" s="1"/>
  <c r="EP200" i="2"/>
  <c r="CO181" i="2"/>
  <c r="CM141" i="3"/>
  <c r="CM99" i="3"/>
  <c r="C72" i="22"/>
  <c r="N7" i="22"/>
  <c r="CO183" i="2"/>
  <c r="N12" i="20"/>
  <c r="F7" i="22"/>
  <c r="M7" i="22" s="1"/>
  <c r="C7" i="22" s="1"/>
  <c r="EP6" i="2"/>
  <c r="AG90" i="21"/>
  <c r="I90" i="22"/>
  <c r="G61" i="22"/>
  <c r="N61" i="22" s="1"/>
  <c r="EP59" i="3"/>
  <c r="U94" i="15"/>
  <c r="T94" i="15"/>
  <c r="G226" i="22"/>
  <c r="N226" i="22" s="1"/>
  <c r="EP218" i="3"/>
  <c r="CO218" i="2"/>
  <c r="CO216" i="2"/>
  <c r="CO214" i="2"/>
  <c r="CO219" i="2"/>
  <c r="CO217" i="2"/>
  <c r="CO215" i="2"/>
  <c r="CO213" i="2"/>
  <c r="CO220" i="2"/>
  <c r="CO61" i="2"/>
  <c r="CO18" i="2"/>
  <c r="CO52" i="2"/>
  <c r="CO117" i="2"/>
  <c r="CO147" i="2"/>
  <c r="CO3" i="2"/>
  <c r="CO95" i="2"/>
  <c r="CO133" i="2"/>
  <c r="CO43" i="2"/>
  <c r="CO123" i="2"/>
  <c r="CO93" i="2"/>
  <c r="CO199" i="2"/>
  <c r="CO108" i="2"/>
  <c r="CO169" i="2"/>
  <c r="CO99" i="2"/>
  <c r="CO82" i="2"/>
  <c r="CO209" i="2"/>
  <c r="CO9" i="2"/>
  <c r="CO37" i="2"/>
  <c r="CO109" i="2"/>
  <c r="CO56" i="2"/>
  <c r="CO69" i="2"/>
  <c r="CO193" i="2"/>
  <c r="CO7" i="2"/>
  <c r="CO202" i="2"/>
  <c r="CO10" i="2"/>
  <c r="CO33" i="2"/>
  <c r="CO132" i="2"/>
  <c r="CO152" i="2"/>
  <c r="CO25" i="2"/>
  <c r="CO184" i="2"/>
  <c r="CO40" i="2"/>
  <c r="CO48" i="2"/>
  <c r="CO19" i="2"/>
  <c r="CO72" i="2"/>
  <c r="CO13" i="2"/>
  <c r="CO114" i="2"/>
  <c r="CO137" i="2"/>
  <c r="CO22" i="2"/>
  <c r="CO87" i="2"/>
  <c r="CO190" i="2"/>
  <c r="CO105" i="2"/>
  <c r="CO45" i="2"/>
  <c r="CO120" i="2"/>
  <c r="CO129" i="2"/>
  <c r="CO63" i="2"/>
  <c r="CO49" i="2"/>
  <c r="CO111" i="2"/>
  <c r="CO178" i="2"/>
  <c r="CO85" i="2"/>
  <c r="CO64" i="2"/>
  <c r="CO32" i="2"/>
  <c r="CO34" i="2"/>
  <c r="CO144" i="2"/>
  <c r="CO204" i="2"/>
  <c r="CO28" i="2"/>
  <c r="CO62" i="2"/>
  <c r="CO90" i="2"/>
  <c r="CO136" i="2"/>
  <c r="CO102" i="2"/>
  <c r="CO96" i="2"/>
  <c r="CO58" i="2"/>
  <c r="CO126" i="2"/>
  <c r="CO79" i="2"/>
  <c r="CO39" i="2"/>
  <c r="CO46" i="2"/>
  <c r="CO206" i="2"/>
  <c r="CO44" i="2"/>
  <c r="CS141" i="3"/>
  <c r="CS142" i="2"/>
  <c r="CS143" i="1"/>
  <c r="CM24" i="3"/>
  <c r="CM54" i="3"/>
  <c r="CO36" i="2"/>
  <c r="F91" i="8"/>
  <c r="F185" i="22"/>
  <c r="M185" i="22" s="1"/>
  <c r="C185" i="22" s="1"/>
  <c r="EP183" i="2"/>
  <c r="T95" i="15"/>
  <c r="U95" i="15"/>
  <c r="CO81" i="2"/>
  <c r="CO151" i="2"/>
  <c r="CM127" i="3"/>
  <c r="F13" i="22"/>
  <c r="M13" i="22" s="1"/>
  <c r="C13" i="22" s="1"/>
  <c r="EP12" i="2"/>
  <c r="CM121" i="3"/>
  <c r="CN145" i="3"/>
  <c r="C22" i="22"/>
  <c r="G131" i="22"/>
  <c r="N131" i="22" s="1"/>
  <c r="EP129" i="3"/>
  <c r="CN100" i="3"/>
  <c r="CN161" i="3"/>
  <c r="CM164" i="3"/>
  <c r="G54" i="22"/>
  <c r="N54" i="22" s="1"/>
  <c r="EP52" i="3"/>
  <c r="CM138" i="3"/>
  <c r="CM211" i="3"/>
  <c r="CN112" i="3"/>
  <c r="CM197" i="3"/>
  <c r="F51" i="22"/>
  <c r="M51" i="22" s="1"/>
  <c r="EP50" i="2"/>
  <c r="CN152" i="3"/>
  <c r="CN50" i="3"/>
  <c r="CM64" i="3"/>
  <c r="CO115" i="2"/>
  <c r="G119" i="8"/>
  <c r="F71" i="22"/>
  <c r="M71" i="22" s="1"/>
  <c r="EP70" i="2"/>
  <c r="CN46" i="3"/>
  <c r="CN82" i="3"/>
  <c r="CM8" i="3"/>
  <c r="CM182" i="3"/>
  <c r="CO175" i="2"/>
  <c r="N62" i="11"/>
  <c r="J71" i="11"/>
  <c r="V29" i="11"/>
  <c r="CS165" i="3"/>
  <c r="CS167" i="2"/>
  <c r="CS168" i="1"/>
  <c r="CM173" i="3"/>
  <c r="CM50" i="3"/>
  <c r="CN67" i="3"/>
  <c r="CN21" i="3"/>
  <c r="U17" i="11"/>
  <c r="U61" i="11" s="1"/>
  <c r="CN91" i="3"/>
  <c r="CM153" i="3"/>
  <c r="CM5" i="3"/>
  <c r="CS169" i="3"/>
  <c r="CS171" i="2"/>
  <c r="CS172" i="1"/>
  <c r="CO97" i="2"/>
  <c r="CO57" i="2"/>
  <c r="M90" i="22"/>
  <c r="CN123" i="3"/>
  <c r="EP204" i="3"/>
  <c r="N16" i="22"/>
  <c r="CN141" i="3"/>
  <c r="CN5" i="3"/>
  <c r="M63" i="11"/>
  <c r="O63" i="11" s="1"/>
  <c r="U30" i="11"/>
  <c r="CN180" i="3"/>
  <c r="AH71" i="21"/>
  <c r="J71" i="22"/>
  <c r="N150" i="22"/>
  <c r="C150" i="22" s="1"/>
  <c r="T103" i="16"/>
  <c r="S103" i="16"/>
  <c r="M224" i="22"/>
  <c r="CO148" i="2"/>
  <c r="G111" i="22"/>
  <c r="N111" i="22" s="1"/>
  <c r="EP109" i="3"/>
  <c r="CO110" i="2"/>
  <c r="CO211" i="2"/>
  <c r="CM41" i="3"/>
  <c r="CO208" i="2"/>
  <c r="CO156" i="2"/>
  <c r="CO145" i="2"/>
  <c r="CO42" i="2"/>
  <c r="I6" i="8"/>
  <c r="CL1" i="2" s="1"/>
  <c r="CL38" i="2" s="1"/>
  <c r="CM109" i="3"/>
  <c r="CM31" i="3"/>
  <c r="T93" i="15"/>
  <c r="U93" i="15"/>
  <c r="F151" i="22"/>
  <c r="M151" i="22" s="1"/>
  <c r="EP149" i="2"/>
  <c r="N66" i="11"/>
  <c r="V33" i="11"/>
  <c r="CN24" i="3"/>
  <c r="CM184" i="3"/>
  <c r="I62" i="8"/>
  <c r="CN1" i="2" s="1"/>
  <c r="CM14" i="3"/>
  <c r="CN174" i="3"/>
  <c r="CN74" i="3"/>
  <c r="CO128" i="2"/>
  <c r="CS184" i="3"/>
  <c r="CS187" i="2"/>
  <c r="CS187" i="1"/>
  <c r="CM149" i="3"/>
  <c r="CM15" i="3"/>
  <c r="CO192" i="2"/>
  <c r="S17" i="11"/>
  <c r="S61" i="11"/>
  <c r="C78" i="22"/>
  <c r="F141" i="22"/>
  <c r="M141" i="22" s="1"/>
  <c r="C141" i="22" s="1"/>
  <c r="EP139" i="2"/>
  <c r="CM114" i="3"/>
  <c r="CN169" i="3"/>
  <c r="CM137" i="3"/>
  <c r="N60" i="20"/>
  <c r="CM115" i="3"/>
  <c r="CM133" i="3"/>
  <c r="CO187" i="2"/>
  <c r="CO30" i="2"/>
  <c r="CO179" i="2"/>
  <c r="CS145" i="3"/>
  <c r="CS146" i="2"/>
  <c r="CS147" i="1"/>
  <c r="G30" i="22"/>
  <c r="N30" i="22" s="1"/>
  <c r="EP29" i="3"/>
  <c r="E119" i="8"/>
  <c r="G52" i="22"/>
  <c r="N52" i="22" s="1"/>
  <c r="EP50" i="3"/>
  <c r="CO196" i="2"/>
  <c r="CN111" i="3"/>
  <c r="CN97" i="3"/>
  <c r="CO67" i="2"/>
  <c r="G104" i="22"/>
  <c r="N104" i="22" s="1"/>
  <c r="EP102" i="3"/>
  <c r="F98" i="22"/>
  <c r="M98" i="22" s="1"/>
  <c r="EP97" i="2"/>
  <c r="CS160" i="3"/>
  <c r="CS161" i="2"/>
  <c r="CS162" i="1"/>
  <c r="CS31" i="3"/>
  <c r="CS31" i="2"/>
  <c r="CS31" i="1"/>
  <c r="CS166" i="2"/>
  <c r="CS167" i="1"/>
  <c r="F17" i="22"/>
  <c r="M17" i="22" s="1"/>
  <c r="C17" i="22" s="1"/>
  <c r="EP16" i="2"/>
  <c r="CS43" i="3"/>
  <c r="CS44" i="2"/>
  <c r="CS44" i="1"/>
  <c r="F101" i="22"/>
  <c r="M101" i="22" s="1"/>
  <c r="C101" i="22" s="1"/>
  <c r="EP100" i="2"/>
  <c r="CN159" i="3"/>
  <c r="G51" i="22"/>
  <c r="N51" i="22" s="1"/>
  <c r="EP49" i="3"/>
  <c r="CN182" i="3"/>
  <c r="AG117" i="21"/>
  <c r="I117" i="22"/>
  <c r="F69" i="22"/>
  <c r="M69" i="22" s="1"/>
  <c r="EP68" i="2"/>
  <c r="N15" i="22"/>
  <c r="CO47" i="2"/>
  <c r="N209" i="22"/>
  <c r="G77" i="22"/>
  <c r="N77" i="22" s="1"/>
  <c r="C77" i="22" s="1"/>
  <c r="EP75" i="3"/>
  <c r="G129" i="22"/>
  <c r="N129" i="22" s="1"/>
  <c r="EP127" i="3"/>
  <c r="G71" i="22"/>
  <c r="N71" i="22" s="1"/>
  <c r="EP69" i="3"/>
  <c r="T95" i="16"/>
  <c r="S95" i="16"/>
  <c r="F152" i="22"/>
  <c r="M152" i="22" s="1"/>
  <c r="EP150" i="2"/>
  <c r="CO68" i="2"/>
  <c r="U89" i="15"/>
  <c r="T89" i="15"/>
  <c r="F129" i="22"/>
  <c r="M129" i="22" s="1"/>
  <c r="C129" i="22" s="1"/>
  <c r="EP128" i="2"/>
  <c r="H91" i="8"/>
  <c r="CO18" i="1"/>
  <c r="CM213" i="3"/>
  <c r="G91" i="8"/>
  <c r="CM83" i="3"/>
  <c r="J70" i="11"/>
  <c r="V28" i="11"/>
  <c r="N61" i="11"/>
  <c r="CM30" i="3"/>
  <c r="CO80" i="2"/>
  <c r="CM188" i="3"/>
  <c r="CM82" i="3"/>
  <c r="CS186" i="3"/>
  <c r="CS189" i="2"/>
  <c r="CS189" i="1"/>
  <c r="CM194" i="3"/>
  <c r="CO89" i="2"/>
  <c r="CO150" i="2"/>
  <c r="CN202" i="1"/>
  <c r="F30" i="22"/>
  <c r="M30" i="22" s="1"/>
  <c r="EP29" i="2"/>
  <c r="CO159" i="2"/>
  <c r="CN15" i="3"/>
  <c r="CM69" i="3"/>
  <c r="CO21" i="2"/>
  <c r="CS179" i="3"/>
  <c r="CS182" i="2"/>
  <c r="CS182" i="1"/>
  <c r="G147" i="22"/>
  <c r="N147" i="22" s="1"/>
  <c r="EP144" i="3"/>
  <c r="CO167" i="2"/>
  <c r="CO154" i="1"/>
  <c r="CS97" i="3"/>
  <c r="CS98" i="2"/>
  <c r="CS98" i="1"/>
  <c r="CO100" i="2"/>
  <c r="CM148" i="3"/>
  <c r="CM4" i="3"/>
  <c r="CM85" i="3"/>
  <c r="CO195" i="2"/>
  <c r="CN69" i="3"/>
  <c r="O61" i="11"/>
  <c r="CN34" i="3"/>
  <c r="CN40" i="3"/>
  <c r="K65" i="11"/>
  <c r="O65" i="11" s="1"/>
  <c r="S32" i="11"/>
  <c r="CM105" i="3"/>
  <c r="CM176" i="3"/>
  <c r="CO157" i="2"/>
  <c r="CN16" i="3"/>
  <c r="CM156" i="3"/>
  <c r="F7" i="8"/>
  <c r="I7" i="8" s="1"/>
  <c r="CL1" i="3" s="1"/>
  <c r="CM200" i="3"/>
  <c r="AG15" i="21"/>
  <c r="I15" i="22"/>
  <c r="M15" i="22" s="1"/>
  <c r="C15" i="22" s="1"/>
  <c r="EP14" i="2"/>
  <c r="CN37" i="3"/>
  <c r="CN168" i="3"/>
  <c r="CM117" i="3"/>
  <c r="AG87" i="21"/>
  <c r="I87" i="22"/>
  <c r="M87" i="22" s="1"/>
  <c r="CM124" i="3"/>
  <c r="G136" i="22"/>
  <c r="N136" i="22" s="1"/>
  <c r="EP133" i="3"/>
  <c r="CO205" i="2"/>
  <c r="CS139" i="3"/>
  <c r="CS140" i="2"/>
  <c r="CS141" i="1"/>
  <c r="G98" i="22"/>
  <c r="N98" i="22" s="1"/>
  <c r="EP96" i="3"/>
  <c r="CN70" i="3"/>
  <c r="CO141" i="2"/>
  <c r="G39" i="20"/>
  <c r="CN12" i="3"/>
  <c r="CO5" i="2"/>
  <c r="CS168" i="3"/>
  <c r="CS170" i="2"/>
  <c r="CS171" i="1"/>
  <c r="CM147" i="3"/>
  <c r="CO201" i="2"/>
  <c r="CM207" i="3"/>
  <c r="CO6" i="1"/>
  <c r="F117" i="22"/>
  <c r="M117" i="22" s="1"/>
  <c r="C117" i="22" s="1"/>
  <c r="EP116" i="2"/>
  <c r="EP20" i="3"/>
  <c r="V21" i="11"/>
  <c r="V65" i="11" s="1"/>
  <c r="CN126" i="3"/>
  <c r="CO139" i="2"/>
  <c r="C55" i="22"/>
  <c r="EP93" i="3"/>
  <c r="CN83" i="3"/>
  <c r="T104" i="16"/>
  <c r="S104" i="16"/>
  <c r="CM70" i="3"/>
  <c r="CL220" i="3" l="1"/>
  <c r="CL221" i="3"/>
  <c r="CL216" i="3"/>
  <c r="CL219" i="3"/>
  <c r="CL146" i="3"/>
  <c r="CL94" i="3"/>
  <c r="CL60" i="3"/>
  <c r="CL136" i="3"/>
  <c r="CL104" i="3"/>
  <c r="CL32" i="3"/>
  <c r="CL9" i="3"/>
  <c r="CL25" i="3"/>
  <c r="CL181" i="3"/>
  <c r="CL39" i="3"/>
  <c r="CL38" i="3"/>
  <c r="CL89" i="3"/>
  <c r="CL33" i="3"/>
  <c r="CL125" i="3"/>
  <c r="CL78" i="3"/>
  <c r="CL116" i="3"/>
  <c r="CL22" i="3"/>
  <c r="CL10" i="3"/>
  <c r="CL208" i="3"/>
  <c r="CL45" i="3"/>
  <c r="CL196" i="3"/>
  <c r="CL42" i="3"/>
  <c r="CL122" i="3"/>
  <c r="CL62" i="3"/>
  <c r="CL143" i="3"/>
  <c r="CL68" i="3"/>
  <c r="CL202" i="3"/>
  <c r="CL128" i="3"/>
  <c r="CL212" i="3"/>
  <c r="CL3" i="3"/>
  <c r="CL7" i="3"/>
  <c r="CL98" i="3"/>
  <c r="CL71" i="3"/>
  <c r="CL167" i="3"/>
  <c r="CL151" i="3"/>
  <c r="CL210" i="3"/>
  <c r="CL92" i="3"/>
  <c r="CL51" i="3"/>
  <c r="CL214" i="3"/>
  <c r="CL95" i="3"/>
  <c r="CL63" i="3"/>
  <c r="CL55" i="3"/>
  <c r="CL131" i="3"/>
  <c r="CL175" i="3"/>
  <c r="CL108" i="3"/>
  <c r="CL61" i="3"/>
  <c r="CL13" i="3"/>
  <c r="CL132" i="3"/>
  <c r="CL18" i="3"/>
  <c r="CL86" i="3"/>
  <c r="CL44" i="3"/>
  <c r="CL19" i="3"/>
  <c r="CL110" i="3"/>
  <c r="CL81" i="3"/>
  <c r="CL36" i="3"/>
  <c r="CL107" i="3"/>
  <c r="CL48" i="3"/>
  <c r="CL199" i="3"/>
  <c r="CL217" i="3"/>
  <c r="CL119" i="3"/>
  <c r="CL28" i="3"/>
  <c r="CL205" i="3"/>
  <c r="CL190" i="3"/>
  <c r="CL113" i="3"/>
  <c r="CL187" i="3"/>
  <c r="CL101" i="3"/>
  <c r="CL84" i="3"/>
  <c r="CL57" i="3"/>
  <c r="CL47" i="3"/>
  <c r="CL135" i="3"/>
  <c r="CL97" i="3"/>
  <c r="CL24" i="3"/>
  <c r="CL118" i="3"/>
  <c r="CL133" i="3"/>
  <c r="CL149" i="3"/>
  <c r="CL126" i="3"/>
  <c r="CL5" i="3"/>
  <c r="CL168" i="3"/>
  <c r="CL169" i="3"/>
  <c r="CL158" i="3"/>
  <c r="CL73" i="3"/>
  <c r="CL211" i="3"/>
  <c r="CL69" i="3"/>
  <c r="CL147" i="3"/>
  <c r="CL207" i="3"/>
  <c r="CL138" i="3"/>
  <c r="CL161" i="3"/>
  <c r="CL85" i="3"/>
  <c r="CL129" i="3"/>
  <c r="CL66" i="3"/>
  <c r="CL43" i="3"/>
  <c r="CL30" i="3"/>
  <c r="CL109" i="3"/>
  <c r="CL53" i="3"/>
  <c r="CL76" i="3"/>
  <c r="CL46" i="3"/>
  <c r="CL130" i="3"/>
  <c r="CL23" i="3"/>
  <c r="CL200" i="3"/>
  <c r="CL152" i="3"/>
  <c r="CL16" i="3"/>
  <c r="CL198" i="3"/>
  <c r="CL34" i="3"/>
  <c r="CL157" i="3"/>
  <c r="CL70" i="3"/>
  <c r="CL50" i="3"/>
  <c r="CL171" i="3"/>
  <c r="CL20" i="3"/>
  <c r="CL159" i="3"/>
  <c r="CL91" i="3"/>
  <c r="CL192" i="3"/>
  <c r="CL8" i="3"/>
  <c r="CL59" i="3"/>
  <c r="CL176" i="3"/>
  <c r="CL88" i="3"/>
  <c r="CL154" i="3"/>
  <c r="CL178" i="3"/>
  <c r="CL193" i="3"/>
  <c r="CL209" i="3"/>
  <c r="CL197" i="3"/>
  <c r="CL27" i="3"/>
  <c r="CL6" i="3"/>
  <c r="CL184" i="3"/>
  <c r="CL31" i="3"/>
  <c r="CL139" i="3"/>
  <c r="CL12" i="3"/>
  <c r="CL141" i="3"/>
  <c r="CL153" i="3"/>
  <c r="CL74" i="3"/>
  <c r="CL29" i="3"/>
  <c r="CL35" i="3"/>
  <c r="CL11" i="3"/>
  <c r="CL105" i="3"/>
  <c r="CL172" i="3"/>
  <c r="CL218" i="3"/>
  <c r="CL215" i="3"/>
  <c r="CL195" i="3"/>
  <c r="CL127" i="3"/>
  <c r="CL177" i="3"/>
  <c r="CL203" i="3"/>
  <c r="CL173" i="3"/>
  <c r="CL170" i="3"/>
  <c r="CL179" i="3"/>
  <c r="CL56" i="3"/>
  <c r="CL112" i="3"/>
  <c r="CL194" i="3"/>
  <c r="CL114" i="3"/>
  <c r="CL26" i="3"/>
  <c r="CL121" i="3"/>
  <c r="CL160" i="3"/>
  <c r="CL155" i="3"/>
  <c r="CL148" i="3"/>
  <c r="CL120" i="3"/>
  <c r="CL100" i="3"/>
  <c r="CL82" i="3"/>
  <c r="CL204" i="3"/>
  <c r="CL115" i="3"/>
  <c r="CL166" i="3"/>
  <c r="CL64" i="3"/>
  <c r="CL165" i="3"/>
  <c r="CL54" i="3"/>
  <c r="CL183" i="3"/>
  <c r="CL75" i="3"/>
  <c r="CL67" i="3"/>
  <c r="CL90" i="3"/>
  <c r="CL206" i="3"/>
  <c r="CL40" i="3"/>
  <c r="CL15" i="3"/>
  <c r="CL188" i="3"/>
  <c r="CL124" i="3"/>
  <c r="CL180" i="3"/>
  <c r="CL83" i="3"/>
  <c r="CL21" i="3"/>
  <c r="CL189" i="3"/>
  <c r="CL123" i="3"/>
  <c r="CL174" i="3"/>
  <c r="CL144" i="3"/>
  <c r="CL77" i="3"/>
  <c r="CL163" i="3"/>
  <c r="CL87" i="3"/>
  <c r="CL72" i="3"/>
  <c r="CL103" i="3"/>
  <c r="CL162" i="3"/>
  <c r="CL79" i="3"/>
  <c r="CL65" i="3"/>
  <c r="CL80" i="3"/>
  <c r="CL99" i="3"/>
  <c r="CL186" i="3"/>
  <c r="CL213" i="3"/>
  <c r="CL150" i="3"/>
  <c r="CL164" i="3"/>
  <c r="CL49" i="3"/>
  <c r="CL14" i="3"/>
  <c r="CL96" i="3"/>
  <c r="CL156" i="3"/>
  <c r="CL182" i="3"/>
  <c r="CL52" i="3"/>
  <c r="CL17" i="3"/>
  <c r="CL134" i="3"/>
  <c r="CL201" i="3"/>
  <c r="CL145" i="3"/>
  <c r="CL191" i="3"/>
  <c r="CL185" i="3"/>
  <c r="CL140" i="3"/>
  <c r="CL137" i="3"/>
  <c r="CL102" i="3"/>
  <c r="CL142" i="3"/>
  <c r="CL106" i="3"/>
  <c r="CL41" i="3"/>
  <c r="CL58" i="3"/>
  <c r="CL93" i="3"/>
  <c r="CL111" i="3"/>
  <c r="CL117" i="3"/>
  <c r="CL4" i="3"/>
  <c r="CL37" i="3"/>
  <c r="S21" i="11"/>
  <c r="S65" i="11" s="1"/>
  <c r="CN218" i="2"/>
  <c r="CN216" i="2"/>
  <c r="CN214" i="2"/>
  <c r="CN217" i="2"/>
  <c r="CN215" i="2"/>
  <c r="CN213" i="2"/>
  <c r="CN220" i="2"/>
  <c r="CN219" i="2"/>
  <c r="CN61" i="2"/>
  <c r="CN3" i="2"/>
  <c r="CN95" i="2"/>
  <c r="CN147" i="2"/>
  <c r="CN202" i="2"/>
  <c r="CN109" i="2"/>
  <c r="CN93" i="2"/>
  <c r="CN99" i="2"/>
  <c r="CN152" i="2"/>
  <c r="CN25" i="2"/>
  <c r="CN82" i="2"/>
  <c r="CN108" i="2"/>
  <c r="CN133" i="2"/>
  <c r="CN10" i="2"/>
  <c r="CN199" i="2"/>
  <c r="CN18" i="2"/>
  <c r="CN52" i="2"/>
  <c r="CN56" i="2"/>
  <c r="CN9" i="2"/>
  <c r="CN33" i="2"/>
  <c r="CN209" i="2"/>
  <c r="CN117" i="2"/>
  <c r="CN37" i="2"/>
  <c r="CN69" i="2"/>
  <c r="CN169" i="2"/>
  <c r="CN7" i="2"/>
  <c r="CN43" i="2"/>
  <c r="CN132" i="2"/>
  <c r="CN193" i="2"/>
  <c r="CN123" i="2"/>
  <c r="CN49" i="2"/>
  <c r="CN87" i="2"/>
  <c r="CN114" i="2"/>
  <c r="CN120" i="2"/>
  <c r="CN13" i="2"/>
  <c r="CN178" i="2"/>
  <c r="CN63" i="2"/>
  <c r="CN111" i="2"/>
  <c r="CN62" i="2"/>
  <c r="CN136" i="2"/>
  <c r="CN72" i="2"/>
  <c r="CN79" i="2"/>
  <c r="CN22" i="2"/>
  <c r="CN144" i="2"/>
  <c r="CN206" i="2"/>
  <c r="CN39" i="2"/>
  <c r="CN137" i="2"/>
  <c r="CN34" i="2"/>
  <c r="CN90" i="2"/>
  <c r="CN126" i="2"/>
  <c r="CN46" i="2"/>
  <c r="CN96" i="2"/>
  <c r="CN40" i="2"/>
  <c r="CN190" i="2"/>
  <c r="CN204" i="2"/>
  <c r="CN102" i="2"/>
  <c r="CN32" i="2"/>
  <c r="CN45" i="2"/>
  <c r="CN184" i="2"/>
  <c r="CN19" i="2"/>
  <c r="CN129" i="2"/>
  <c r="CN64" i="2"/>
  <c r="CN85" i="2"/>
  <c r="CN105" i="2"/>
  <c r="CN48" i="2"/>
  <c r="CN28" i="2"/>
  <c r="CN58" i="2"/>
  <c r="CN140" i="2"/>
  <c r="CN172" i="2"/>
  <c r="CN119" i="2"/>
  <c r="CN157" i="2"/>
  <c r="CN78" i="2"/>
  <c r="CN139" i="2"/>
  <c r="CN8" i="2"/>
  <c r="CN21" i="2"/>
  <c r="CN118" i="2"/>
  <c r="CN194" i="2"/>
  <c r="CN110" i="2"/>
  <c r="CN42" i="2"/>
  <c r="CN97" i="2"/>
  <c r="CN122" i="2"/>
  <c r="CN23" i="2"/>
  <c r="CN89" i="2"/>
  <c r="CN6" i="2"/>
  <c r="CN171" i="2"/>
  <c r="CN47" i="2"/>
  <c r="CN168" i="2"/>
  <c r="CN142" i="2"/>
  <c r="CN180" i="2"/>
  <c r="CN210" i="2"/>
  <c r="CN174" i="2"/>
  <c r="CN88" i="2"/>
  <c r="CN70" i="2"/>
  <c r="CN196" i="2"/>
  <c r="CN60" i="2"/>
  <c r="CN175" i="2"/>
  <c r="CN14" i="2"/>
  <c r="CN84" i="2"/>
  <c r="CN31" i="2"/>
  <c r="CN59" i="2"/>
  <c r="CN160" i="2"/>
  <c r="CN159" i="2"/>
  <c r="CN92" i="2"/>
  <c r="CN208" i="2"/>
  <c r="CN135" i="2"/>
  <c r="CN115" i="2"/>
  <c r="CN186" i="2"/>
  <c r="CN112" i="2"/>
  <c r="CN170" i="2"/>
  <c r="CN35" i="2"/>
  <c r="CN185" i="2"/>
  <c r="CN154" i="2"/>
  <c r="CN192" i="2"/>
  <c r="CN134" i="2"/>
  <c r="CN107" i="2"/>
  <c r="CN155" i="2"/>
  <c r="CN29" i="2"/>
  <c r="CN153" i="2"/>
  <c r="CN53" i="2"/>
  <c r="CN104" i="2"/>
  <c r="CN66" i="2"/>
  <c r="CN141" i="2"/>
  <c r="CN51" i="2"/>
  <c r="CN176" i="2"/>
  <c r="CN86" i="2"/>
  <c r="CN161" i="2"/>
  <c r="CN101" i="2"/>
  <c r="CN150" i="2"/>
  <c r="CN187" i="2"/>
  <c r="CN127" i="2"/>
  <c r="CN54" i="2"/>
  <c r="CN15" i="2"/>
  <c r="CN189" i="2"/>
  <c r="CN201" i="2"/>
  <c r="CN131" i="2"/>
  <c r="CN183" i="2"/>
  <c r="CN113" i="2"/>
  <c r="CN68" i="2"/>
  <c r="CN149" i="2"/>
  <c r="CN125" i="2"/>
  <c r="CN158" i="2"/>
  <c r="CN166" i="2"/>
  <c r="CN17" i="2"/>
  <c r="CN74" i="2"/>
  <c r="CN197" i="2"/>
  <c r="CN211" i="2"/>
  <c r="CN156" i="2"/>
  <c r="CN26" i="2"/>
  <c r="CN50" i="2"/>
  <c r="CN11" i="2"/>
  <c r="CN73" i="2"/>
  <c r="CN143" i="2"/>
  <c r="CN146" i="2"/>
  <c r="CN130" i="2"/>
  <c r="CN173" i="2"/>
  <c r="CN81" i="2"/>
  <c r="CN207" i="2"/>
  <c r="CN44" i="2"/>
  <c r="CN83" i="2"/>
  <c r="CN5" i="2"/>
  <c r="CN181" i="2"/>
  <c r="CN94" i="2"/>
  <c r="CN41" i="2"/>
  <c r="CN106" i="2"/>
  <c r="CN16" i="2"/>
  <c r="CN182" i="2"/>
  <c r="CN98" i="2"/>
  <c r="CN195" i="2"/>
  <c r="CN179" i="2"/>
  <c r="CN165" i="2"/>
  <c r="CN27" i="2"/>
  <c r="CN212" i="2"/>
  <c r="CN167" i="2"/>
  <c r="CN103" i="2"/>
  <c r="CN162" i="2"/>
  <c r="CN65" i="2"/>
  <c r="CN151" i="2"/>
  <c r="CN124" i="2"/>
  <c r="CN188" i="2"/>
  <c r="CN4" i="2"/>
  <c r="CN80" i="2"/>
  <c r="CN198" i="2"/>
  <c r="CN200" i="2"/>
  <c r="CN30" i="2"/>
  <c r="CN36" i="2"/>
  <c r="CN75" i="2"/>
  <c r="CN57" i="2"/>
  <c r="CN76" i="2"/>
  <c r="CN121" i="2"/>
  <c r="CN163" i="2"/>
  <c r="CN191" i="2"/>
  <c r="CN205" i="2"/>
  <c r="CN148" i="2"/>
  <c r="CN145" i="2"/>
  <c r="CN100" i="2"/>
  <c r="CN12" i="2"/>
  <c r="CN77" i="2"/>
  <c r="CN116" i="2"/>
  <c r="CN67" i="2"/>
  <c r="CN177" i="2"/>
  <c r="CN71" i="2"/>
  <c r="CN138" i="2"/>
  <c r="CN91" i="2"/>
  <c r="CN55" i="2"/>
  <c r="CN24" i="2"/>
  <c r="CN20" i="2"/>
  <c r="CN164" i="2"/>
  <c r="CN128" i="2"/>
  <c r="CN203" i="2"/>
  <c r="CP148" i="1"/>
  <c r="CP95" i="1"/>
  <c r="CP61" i="1"/>
  <c r="CP135" i="1"/>
  <c r="CP160" i="1"/>
  <c r="CP32" i="1"/>
  <c r="CP93" i="1"/>
  <c r="CP118" i="1"/>
  <c r="CP24" i="1"/>
  <c r="CP184" i="1"/>
  <c r="CP90" i="1"/>
  <c r="CP218" i="1"/>
  <c r="CP105" i="1"/>
  <c r="CP172" i="1"/>
  <c r="CP52" i="1"/>
  <c r="CP31" i="1"/>
  <c r="CP69" i="1"/>
  <c r="CP117" i="1"/>
  <c r="CP89" i="1"/>
  <c r="CP159" i="1"/>
  <c r="CP162" i="1"/>
  <c r="CP107" i="1"/>
  <c r="CP29" i="1"/>
  <c r="CP126" i="1"/>
  <c r="CP128" i="1"/>
  <c r="CP173" i="1"/>
  <c r="CP12" i="1"/>
  <c r="CP77" i="1"/>
  <c r="CP221" i="1"/>
  <c r="CP174" i="1"/>
  <c r="CP67" i="1"/>
  <c r="CP26" i="1"/>
  <c r="CP50" i="1"/>
  <c r="CP76" i="1"/>
  <c r="CP55" i="1"/>
  <c r="CP36" i="1"/>
  <c r="CQ36" i="1" s="1"/>
  <c r="J35" i="9" s="1"/>
  <c r="C40" i="14" s="1"/>
  <c r="CP190" i="1"/>
  <c r="CP196" i="1"/>
  <c r="CP211" i="1"/>
  <c r="CP20" i="1"/>
  <c r="CP28" i="1"/>
  <c r="CP40" i="1"/>
  <c r="CP125" i="1"/>
  <c r="CP102" i="1"/>
  <c r="CP185" i="1"/>
  <c r="CP119" i="1"/>
  <c r="CP49" i="1"/>
  <c r="CP149" i="1"/>
  <c r="CP80" i="1"/>
  <c r="CP219" i="1"/>
  <c r="CP27" i="1"/>
  <c r="CP203" i="1"/>
  <c r="CP54" i="1"/>
  <c r="CP157" i="1"/>
  <c r="CP116" i="1"/>
  <c r="CP11" i="1"/>
  <c r="CP181" i="1"/>
  <c r="CP70" i="1"/>
  <c r="CP68" i="1"/>
  <c r="CP62" i="1"/>
  <c r="CP57" i="1"/>
  <c r="CP9" i="1"/>
  <c r="CP91" i="1"/>
  <c r="CP206" i="1"/>
  <c r="CP158" i="1"/>
  <c r="CP101" i="1"/>
  <c r="CP43" i="1"/>
  <c r="CP85" i="1"/>
  <c r="CP35" i="1"/>
  <c r="CP15" i="1"/>
  <c r="CP56" i="1"/>
  <c r="CP87" i="1"/>
  <c r="CP65" i="1"/>
  <c r="CP183" i="1"/>
  <c r="CP25" i="1"/>
  <c r="CP175" i="1"/>
  <c r="CP210" i="1"/>
  <c r="CP207" i="1"/>
  <c r="CP47" i="1"/>
  <c r="CP30" i="1"/>
  <c r="CP79" i="1"/>
  <c r="CP166" i="1"/>
  <c r="CP74" i="1"/>
  <c r="CQ74" i="1" s="1"/>
  <c r="J73" i="9" s="1"/>
  <c r="C78" i="14" s="1"/>
  <c r="CP45" i="1"/>
  <c r="CP19" i="1"/>
  <c r="CP48" i="1"/>
  <c r="CP42" i="1"/>
  <c r="CP92" i="1"/>
  <c r="CP192" i="1"/>
  <c r="CP150" i="1"/>
  <c r="CP21" i="1"/>
  <c r="CP94" i="1"/>
  <c r="CP129" i="1"/>
  <c r="CP132" i="1"/>
  <c r="CP212" i="1"/>
  <c r="CP103" i="1"/>
  <c r="CQ103" i="1" s="1"/>
  <c r="J102" i="9" s="1"/>
  <c r="C107" i="14" s="1"/>
  <c r="CP73" i="1"/>
  <c r="CP137" i="1"/>
  <c r="CP109" i="1"/>
  <c r="CP51" i="1"/>
  <c r="CP193" i="1"/>
  <c r="CP3" i="1"/>
  <c r="CP46" i="1"/>
  <c r="CP71" i="1"/>
  <c r="CP182" i="1"/>
  <c r="CP201" i="1"/>
  <c r="CP163" i="1"/>
  <c r="CP194" i="1"/>
  <c r="CP179" i="1"/>
  <c r="CP217" i="1"/>
  <c r="CP81" i="1"/>
  <c r="CP96" i="1"/>
  <c r="CP106" i="1"/>
  <c r="CP120" i="1"/>
  <c r="CP143" i="1"/>
  <c r="CP167" i="1"/>
  <c r="CP208" i="1"/>
  <c r="CP44" i="1"/>
  <c r="CP169" i="1"/>
  <c r="CP131" i="1"/>
  <c r="CP14" i="1"/>
  <c r="CP41" i="1"/>
  <c r="CP216" i="1"/>
  <c r="CP127" i="1"/>
  <c r="CP53" i="1"/>
  <c r="CP39" i="1"/>
  <c r="CP115" i="1"/>
  <c r="CP108" i="1"/>
  <c r="CP147" i="1"/>
  <c r="CP63" i="1"/>
  <c r="CP88" i="1"/>
  <c r="CP22" i="1"/>
  <c r="CQ22" i="1" s="1"/>
  <c r="J21" i="9" s="1"/>
  <c r="C26" i="14" s="1"/>
  <c r="CP195" i="1"/>
  <c r="CP82" i="1"/>
  <c r="CP156" i="1"/>
  <c r="CP7" i="1"/>
  <c r="CP146" i="1"/>
  <c r="CP170" i="1"/>
  <c r="CP114" i="1"/>
  <c r="CP145" i="1"/>
  <c r="CP66" i="1"/>
  <c r="CP104" i="1"/>
  <c r="CP13" i="1"/>
  <c r="CP205" i="1"/>
  <c r="CQ205" i="1" s="1"/>
  <c r="J205" i="9" s="1"/>
  <c r="C210" i="14" s="1"/>
  <c r="CP171" i="1"/>
  <c r="CP100" i="1"/>
  <c r="CP38" i="1"/>
  <c r="CP78" i="1"/>
  <c r="CP64" i="1"/>
  <c r="CP199" i="1"/>
  <c r="CP10" i="1"/>
  <c r="CP75" i="1"/>
  <c r="CP138" i="1"/>
  <c r="CP151" i="1"/>
  <c r="CP23" i="1"/>
  <c r="CP144" i="1"/>
  <c r="CQ144" i="1" s="1"/>
  <c r="J143" i="9" s="1"/>
  <c r="C148" i="14" s="1"/>
  <c r="CP4" i="1"/>
  <c r="CP142" i="1"/>
  <c r="CP220" i="1"/>
  <c r="CP168" i="1"/>
  <c r="CP198" i="1"/>
  <c r="CP86" i="1"/>
  <c r="CP8" i="1"/>
  <c r="CP33" i="1"/>
  <c r="CP122" i="1"/>
  <c r="CP113" i="1"/>
  <c r="CP180" i="1"/>
  <c r="CP98" i="1"/>
  <c r="CP189" i="1"/>
  <c r="CP165" i="1"/>
  <c r="CP72" i="1"/>
  <c r="CP37" i="1"/>
  <c r="CP197" i="1"/>
  <c r="CP141" i="1"/>
  <c r="CP111" i="1"/>
  <c r="CP124" i="1"/>
  <c r="CP187" i="1"/>
  <c r="CP213" i="1"/>
  <c r="CP133" i="1"/>
  <c r="CP134" i="1"/>
  <c r="CQ134" i="1" s="1"/>
  <c r="J133" i="9" s="1"/>
  <c r="C138" i="14" s="1"/>
  <c r="CP140" i="1"/>
  <c r="CP155" i="1"/>
  <c r="CP209" i="1"/>
  <c r="CP34" i="1"/>
  <c r="CP112" i="1"/>
  <c r="CP200" i="1"/>
  <c r="CP161" i="1"/>
  <c r="CP110" i="1"/>
  <c r="CP177" i="1"/>
  <c r="CP99" i="1"/>
  <c r="CP153" i="1"/>
  <c r="CP204" i="1"/>
  <c r="CP123" i="1"/>
  <c r="CP130" i="1"/>
  <c r="CP139" i="1"/>
  <c r="CP97" i="1"/>
  <c r="CP214" i="1"/>
  <c r="CP188" i="1"/>
  <c r="CP164" i="1"/>
  <c r="CP84" i="1"/>
  <c r="CP186" i="1"/>
  <c r="CP215" i="1"/>
  <c r="CP5" i="1"/>
  <c r="CP83" i="1"/>
  <c r="CP176" i="1"/>
  <c r="CP58" i="1"/>
  <c r="CP59" i="1"/>
  <c r="CP152" i="1"/>
  <c r="CP17" i="1"/>
  <c r="CP60" i="1"/>
  <c r="CP136" i="1"/>
  <c r="CP121" i="1"/>
  <c r="CP16" i="1"/>
  <c r="CP191" i="1"/>
  <c r="CP178" i="1"/>
  <c r="CP6" i="1"/>
  <c r="CP18" i="1"/>
  <c r="CP154" i="1"/>
  <c r="CP202" i="1"/>
  <c r="T101" i="15"/>
  <c r="U101" i="15"/>
  <c r="T109" i="16"/>
  <c r="S109" i="16"/>
  <c r="S20" i="11"/>
  <c r="S64" i="11" s="1"/>
  <c r="C136" i="22"/>
  <c r="CQ38" i="1"/>
  <c r="J37" i="9" s="1"/>
  <c r="C42" i="14" s="1"/>
  <c r="CQ88" i="1"/>
  <c r="J87" i="9" s="1"/>
  <c r="C92" i="14" s="1"/>
  <c r="CQ109" i="1"/>
  <c r="J108" i="9" s="1"/>
  <c r="C113" i="14" s="1"/>
  <c r="CQ71" i="1"/>
  <c r="J70" i="9" s="1"/>
  <c r="C75" i="14" s="1"/>
  <c r="CQ73" i="1"/>
  <c r="J72" i="9" s="1"/>
  <c r="C77" i="14" s="1"/>
  <c r="CQ75" i="1"/>
  <c r="J74" i="9" s="1"/>
  <c r="C79" i="14" s="1"/>
  <c r="CQ90" i="1"/>
  <c r="J89" i="9" s="1"/>
  <c r="C94" i="14" s="1"/>
  <c r="CQ93" i="1"/>
  <c r="J92" i="9" s="1"/>
  <c r="C97" i="14" s="1"/>
  <c r="I91" i="8"/>
  <c r="CO1" i="3" s="1"/>
  <c r="T107" i="15"/>
  <c r="U107" i="15"/>
  <c r="S116" i="16"/>
  <c r="T116" i="16"/>
  <c r="T63" i="11"/>
  <c r="T19" i="11"/>
  <c r="CQ200" i="1"/>
  <c r="J200" i="9" s="1"/>
  <c r="C205" i="14" s="1"/>
  <c r="CQ188" i="1"/>
  <c r="J188" i="9" s="1"/>
  <c r="C193" i="14" s="1"/>
  <c r="CQ122" i="1"/>
  <c r="J121" i="9" s="1"/>
  <c r="C126" i="14" s="1"/>
  <c r="CQ165" i="1"/>
  <c r="J164" i="9" s="1"/>
  <c r="C169" i="14" s="1"/>
  <c r="CQ106" i="1"/>
  <c r="J105" i="9" s="1"/>
  <c r="C110" i="14" s="1"/>
  <c r="CQ116" i="1"/>
  <c r="J115" i="9" s="1"/>
  <c r="C120" i="14" s="1"/>
  <c r="CQ201" i="1"/>
  <c r="J201" i="9" s="1"/>
  <c r="C206" i="14" s="1"/>
  <c r="CQ219" i="1"/>
  <c r="J220" i="9" s="1"/>
  <c r="C225" i="14" s="1"/>
  <c r="CQ212" i="1"/>
  <c r="J213" i="9" s="1"/>
  <c r="C218" i="14" s="1"/>
  <c r="CQ96" i="1"/>
  <c r="J95" i="9" s="1"/>
  <c r="C100" i="14" s="1"/>
  <c r="CQ179" i="1"/>
  <c r="J178" i="9" s="1"/>
  <c r="C183" i="14" s="1"/>
  <c r="CQ77" i="1"/>
  <c r="J76" i="9" s="1"/>
  <c r="C81" i="14" s="1"/>
  <c r="CQ118" i="1"/>
  <c r="J117" i="9" s="1"/>
  <c r="C122" i="14" s="1"/>
  <c r="T104" i="15"/>
  <c r="U104" i="15"/>
  <c r="T115" i="16"/>
  <c r="S115" i="16"/>
  <c r="CQ18" i="1"/>
  <c r="J17" i="9" s="1"/>
  <c r="C22" i="14" s="1"/>
  <c r="CQ130" i="1"/>
  <c r="J129" i="9" s="1"/>
  <c r="C134" i="14" s="1"/>
  <c r="CQ37" i="1"/>
  <c r="J36" i="9" s="1"/>
  <c r="C41" i="14" s="1"/>
  <c r="CQ151" i="1"/>
  <c r="J150" i="9" s="1"/>
  <c r="C155" i="14" s="1"/>
  <c r="CQ21" i="1"/>
  <c r="J20" i="9" s="1"/>
  <c r="C25" i="14" s="1"/>
  <c r="CQ70" i="1"/>
  <c r="J69" i="9" s="1"/>
  <c r="C74" i="14" s="1"/>
  <c r="CQ25" i="1"/>
  <c r="J24" i="9" s="1"/>
  <c r="C29" i="14" s="1"/>
  <c r="CQ30" i="1"/>
  <c r="J29" i="9" s="1"/>
  <c r="C34" i="14" s="1"/>
  <c r="CQ78" i="1"/>
  <c r="J77" i="9" s="1"/>
  <c r="C82" i="14" s="1"/>
  <c r="CQ183" i="1"/>
  <c r="J183" i="9" s="1"/>
  <c r="C188" i="14" s="1"/>
  <c r="CQ89" i="1"/>
  <c r="J88" i="9" s="1"/>
  <c r="C93" i="14" s="1"/>
  <c r="CQ128" i="1"/>
  <c r="J127" i="9" s="1"/>
  <c r="C132" i="14" s="1"/>
  <c r="T110" i="15"/>
  <c r="U110" i="15"/>
  <c r="S110" i="16"/>
  <c r="T110" i="16"/>
  <c r="U20" i="11"/>
  <c r="U64" i="11" s="1"/>
  <c r="CQ34" i="1"/>
  <c r="J33" i="9" s="1"/>
  <c r="C38" i="14" s="1"/>
  <c r="CQ33" i="1"/>
  <c r="J32" i="9" s="1"/>
  <c r="C37" i="14" s="1"/>
  <c r="CQ110" i="1"/>
  <c r="J109" i="9" s="1"/>
  <c r="C114" i="14" s="1"/>
  <c r="CQ114" i="1"/>
  <c r="J113" i="9" s="1"/>
  <c r="C118" i="14" s="1"/>
  <c r="CQ127" i="1"/>
  <c r="J126" i="9" s="1"/>
  <c r="C131" i="14" s="1"/>
  <c r="CQ156" i="1"/>
  <c r="J155" i="9" s="1"/>
  <c r="C160" i="14" s="1"/>
  <c r="CQ115" i="1"/>
  <c r="J114" i="9" s="1"/>
  <c r="C119" i="14" s="1"/>
  <c r="CQ55" i="1"/>
  <c r="J54" i="9" s="1"/>
  <c r="C59" i="14" s="1"/>
  <c r="CQ69" i="1"/>
  <c r="J68" i="9" s="1"/>
  <c r="C73" i="14" s="1"/>
  <c r="V18" i="11"/>
  <c r="V62" i="11"/>
  <c r="U18" i="11"/>
  <c r="U62" i="11"/>
  <c r="U109" i="15"/>
  <c r="T109" i="15"/>
  <c r="T111" i="16"/>
  <c r="S111" i="16"/>
  <c r="CN38" i="2"/>
  <c r="CQ16" i="1"/>
  <c r="J15" i="9" s="1"/>
  <c r="C20" i="14" s="1"/>
  <c r="CQ123" i="1"/>
  <c r="J122" i="9" s="1"/>
  <c r="C127" i="14" s="1"/>
  <c r="CQ150" i="1"/>
  <c r="J149" i="9" s="1"/>
  <c r="C154" i="14" s="1"/>
  <c r="CQ14" i="1"/>
  <c r="J13" i="9" s="1"/>
  <c r="C18" i="14" s="1"/>
  <c r="CQ220" i="1"/>
  <c r="J221" i="9" s="1"/>
  <c r="C226" i="14" s="1"/>
  <c r="CQ104" i="1"/>
  <c r="J103" i="9" s="1"/>
  <c r="C108" i="14" s="1"/>
  <c r="CQ50" i="1"/>
  <c r="J49" i="9" s="1"/>
  <c r="C54" i="14" s="1"/>
  <c r="CQ20" i="1"/>
  <c r="J19" i="9" s="1"/>
  <c r="C24" i="14" s="1"/>
  <c r="CQ85" i="1"/>
  <c r="J84" i="9" s="1"/>
  <c r="C89" i="14" s="1"/>
  <c r="CQ12" i="1"/>
  <c r="J11" i="9" s="1"/>
  <c r="C16" i="14" s="1"/>
  <c r="W62" i="11"/>
  <c r="C61" i="22"/>
  <c r="U105" i="15"/>
  <c r="T105" i="15"/>
  <c r="C52" i="22"/>
  <c r="S114" i="16"/>
  <c r="T114" i="16"/>
  <c r="CQ133" i="1"/>
  <c r="J132" i="9" s="1"/>
  <c r="C137" i="14" s="1"/>
  <c r="CQ60" i="1"/>
  <c r="J59" i="9" s="1"/>
  <c r="C64" i="14" s="1"/>
  <c r="CQ39" i="1"/>
  <c r="J38" i="9" s="1"/>
  <c r="C43" i="14" s="1"/>
  <c r="CQ86" i="1"/>
  <c r="J85" i="9" s="1"/>
  <c r="C90" i="14" s="1"/>
  <c r="CQ64" i="1"/>
  <c r="J63" i="9" s="1"/>
  <c r="C68" i="14" s="1"/>
  <c r="CQ146" i="1"/>
  <c r="J145" i="9" s="1"/>
  <c r="C150" i="14" s="1"/>
  <c r="CQ19" i="1"/>
  <c r="J18" i="9" s="1"/>
  <c r="C23" i="14" s="1"/>
  <c r="CQ52" i="1"/>
  <c r="J51" i="9" s="1"/>
  <c r="C56" i="14" s="1"/>
  <c r="CL220" i="2"/>
  <c r="CL218" i="2"/>
  <c r="CL216" i="2"/>
  <c r="CL214" i="2"/>
  <c r="CL219" i="2"/>
  <c r="CL217" i="2"/>
  <c r="CL215" i="2"/>
  <c r="CL213" i="2"/>
  <c r="CL18" i="2"/>
  <c r="CL37" i="2"/>
  <c r="CL33" i="2"/>
  <c r="CL7" i="2"/>
  <c r="CL169" i="2"/>
  <c r="CL193" i="2"/>
  <c r="CL95" i="2"/>
  <c r="CL147" i="2"/>
  <c r="CL61" i="2"/>
  <c r="CL123" i="2"/>
  <c r="CL209" i="2"/>
  <c r="CL10" i="2"/>
  <c r="CL56" i="2"/>
  <c r="CL25" i="2"/>
  <c r="CL152" i="2"/>
  <c r="CL117" i="2"/>
  <c r="CL99" i="2"/>
  <c r="CL133" i="2"/>
  <c r="CL43" i="2"/>
  <c r="CL82" i="2"/>
  <c r="CL9" i="2"/>
  <c r="CL3" i="2"/>
  <c r="CL52" i="2"/>
  <c r="CL108" i="2"/>
  <c r="CL109" i="2"/>
  <c r="CL199" i="2"/>
  <c r="CL202" i="2"/>
  <c r="CL132" i="2"/>
  <c r="CL93" i="2"/>
  <c r="CL69" i="2"/>
  <c r="CL184" i="2"/>
  <c r="CL48" i="2"/>
  <c r="CL111" i="2"/>
  <c r="CL45" i="2"/>
  <c r="CL120" i="2"/>
  <c r="CL13" i="2"/>
  <c r="CL87" i="2"/>
  <c r="CL72" i="2"/>
  <c r="CL129" i="2"/>
  <c r="CL39" i="2"/>
  <c r="CL64" i="2"/>
  <c r="CL102" i="2"/>
  <c r="CL79" i="2"/>
  <c r="CL96" i="2"/>
  <c r="CL126" i="2"/>
  <c r="CL62" i="2"/>
  <c r="CL22" i="2"/>
  <c r="CL114" i="2"/>
  <c r="CL178" i="2"/>
  <c r="CL204" i="2"/>
  <c r="CL137" i="2"/>
  <c r="CL58" i="2"/>
  <c r="CL40" i="2"/>
  <c r="CL32" i="2"/>
  <c r="CL136" i="2"/>
  <c r="CL49" i="2"/>
  <c r="CL28" i="2"/>
  <c r="CL85" i="2"/>
  <c r="CL63" i="2"/>
  <c r="CL90" i="2"/>
  <c r="CL206" i="2"/>
  <c r="CL46" i="2"/>
  <c r="CL190" i="2"/>
  <c r="CL19" i="2"/>
  <c r="CL144" i="2"/>
  <c r="CL34" i="2"/>
  <c r="CL105" i="2"/>
  <c r="CL187" i="2"/>
  <c r="CL159" i="2"/>
  <c r="CL210" i="2"/>
  <c r="CL135" i="2"/>
  <c r="CL15" i="2"/>
  <c r="CL80" i="2"/>
  <c r="CL68" i="2"/>
  <c r="CL185" i="2"/>
  <c r="CL41" i="2"/>
  <c r="CL172" i="2"/>
  <c r="CL104" i="2"/>
  <c r="CL139" i="2"/>
  <c r="CL53" i="2"/>
  <c r="CL50" i="2"/>
  <c r="CL17" i="2"/>
  <c r="CL168" i="2"/>
  <c r="CL138" i="2"/>
  <c r="CL51" i="2"/>
  <c r="CL98" i="2"/>
  <c r="CL75" i="2"/>
  <c r="CL186" i="2"/>
  <c r="CL177" i="2"/>
  <c r="CL157" i="2"/>
  <c r="CL30" i="2"/>
  <c r="CL100" i="2"/>
  <c r="CL173" i="2"/>
  <c r="CL74" i="2"/>
  <c r="CL107" i="2"/>
  <c r="CL200" i="2"/>
  <c r="CL97" i="2"/>
  <c r="CL194" i="2"/>
  <c r="CL176" i="2"/>
  <c r="CL27" i="2"/>
  <c r="CL65" i="2"/>
  <c r="CL163" i="2"/>
  <c r="CL101" i="2"/>
  <c r="CL196" i="2"/>
  <c r="CL131" i="2"/>
  <c r="CL76" i="2"/>
  <c r="CL42" i="2"/>
  <c r="CL211" i="2"/>
  <c r="CL192" i="2"/>
  <c r="CL122" i="2"/>
  <c r="CL195" i="2"/>
  <c r="CL77" i="2"/>
  <c r="CL12" i="2"/>
  <c r="CL166" i="2"/>
  <c r="CL191" i="2"/>
  <c r="CL180" i="2"/>
  <c r="CL130" i="2"/>
  <c r="CL103" i="2"/>
  <c r="CL182" i="2"/>
  <c r="CL203" i="2"/>
  <c r="CL55" i="2"/>
  <c r="CL134" i="2"/>
  <c r="CL181" i="2"/>
  <c r="CL150" i="2"/>
  <c r="CL83" i="2"/>
  <c r="CL142" i="2"/>
  <c r="CL57" i="2"/>
  <c r="CL92" i="2"/>
  <c r="CL110" i="2"/>
  <c r="CL121" i="2"/>
  <c r="CL201" i="2"/>
  <c r="CL171" i="2"/>
  <c r="CL54" i="2"/>
  <c r="CL179" i="2"/>
  <c r="CL127" i="2"/>
  <c r="CL149" i="2"/>
  <c r="CL84" i="2"/>
  <c r="CL11" i="2"/>
  <c r="CL8" i="2"/>
  <c r="CL198" i="2"/>
  <c r="CL162" i="2"/>
  <c r="CL174" i="2"/>
  <c r="CL88" i="2"/>
  <c r="CL183" i="2"/>
  <c r="CL29" i="2"/>
  <c r="CL208" i="2"/>
  <c r="CL112" i="2"/>
  <c r="CL197" i="2"/>
  <c r="CL115" i="2"/>
  <c r="CL31" i="2"/>
  <c r="CL154" i="2"/>
  <c r="CL91" i="2"/>
  <c r="CL165" i="2"/>
  <c r="CL148" i="2"/>
  <c r="CL116" i="2"/>
  <c r="CL89" i="2"/>
  <c r="CL35" i="2"/>
  <c r="CL167" i="2"/>
  <c r="CL106" i="2"/>
  <c r="CL143" i="2"/>
  <c r="CL145" i="2"/>
  <c r="CL113" i="2"/>
  <c r="CL189" i="2"/>
  <c r="CL94" i="2"/>
  <c r="CL170" i="2"/>
  <c r="CL20" i="2"/>
  <c r="CL86" i="2"/>
  <c r="CL23" i="2"/>
  <c r="CL60" i="2"/>
  <c r="CL205" i="2"/>
  <c r="CL81" i="2"/>
  <c r="CL151" i="2"/>
  <c r="CL73" i="2"/>
  <c r="CL155" i="2"/>
  <c r="CL71" i="2"/>
  <c r="CL212" i="2"/>
  <c r="CL21" i="2"/>
  <c r="CL70" i="2"/>
  <c r="CL47" i="2"/>
  <c r="CL128" i="2"/>
  <c r="CL207" i="2"/>
  <c r="CL44" i="2"/>
  <c r="CL161" i="2"/>
  <c r="CL160" i="2"/>
  <c r="CL119" i="2"/>
  <c r="CL66" i="2"/>
  <c r="CL118" i="2"/>
  <c r="CL26" i="2"/>
  <c r="CL158" i="2"/>
  <c r="CL175" i="2"/>
  <c r="CL4" i="2"/>
  <c r="CL24" i="2"/>
  <c r="CL16" i="2"/>
  <c r="CL124" i="2"/>
  <c r="CL67" i="2"/>
  <c r="CL14" i="2"/>
  <c r="CL59" i="2"/>
  <c r="CL6" i="2"/>
  <c r="CL140" i="2"/>
  <c r="CL153" i="2"/>
  <c r="CL188" i="2"/>
  <c r="CL164" i="2"/>
  <c r="CL5" i="2"/>
  <c r="CL156" i="2"/>
  <c r="CL146" i="2"/>
  <c r="CL125" i="2"/>
  <c r="CL141" i="2"/>
  <c r="CL78" i="2"/>
  <c r="CL36" i="2"/>
  <c r="C54" i="22"/>
  <c r="S22" i="11"/>
  <c r="S66" i="11"/>
  <c r="U22" i="11"/>
  <c r="U66" i="11"/>
  <c r="CQ59" i="1"/>
  <c r="J58" i="9" s="1"/>
  <c r="C63" i="14" s="1"/>
  <c r="CQ68" i="1"/>
  <c r="J67" i="9" s="1"/>
  <c r="C72" i="14" s="1"/>
  <c r="CQ11" i="1"/>
  <c r="J10" i="9" s="1"/>
  <c r="C15" i="14" s="1"/>
  <c r="CQ26" i="1"/>
  <c r="J25" i="9" s="1"/>
  <c r="C30" i="14" s="1"/>
  <c r="CQ67" i="1"/>
  <c r="J66" i="9" s="1"/>
  <c r="C71" i="14" s="1"/>
  <c r="CQ8" i="1"/>
  <c r="J7" i="9" s="1"/>
  <c r="C12" i="14" s="1"/>
  <c r="CQ137" i="1"/>
  <c r="J136" i="9" s="1"/>
  <c r="C141" i="14" s="1"/>
  <c r="CQ28" i="1"/>
  <c r="J27" i="9" s="1"/>
  <c r="C32" i="14" s="1"/>
  <c r="CQ135" i="1"/>
  <c r="J134" i="9" s="1"/>
  <c r="C139" i="14" s="1"/>
  <c r="U19" i="11"/>
  <c r="U63" i="11" s="1"/>
  <c r="CM220" i="2"/>
  <c r="CM218" i="2"/>
  <c r="CM216" i="2"/>
  <c r="CM214" i="2"/>
  <c r="CM219" i="2"/>
  <c r="CM217" i="2"/>
  <c r="CM215" i="2"/>
  <c r="CM213" i="2"/>
  <c r="CM61" i="2"/>
  <c r="CM147" i="2"/>
  <c r="CM18" i="2"/>
  <c r="CM193" i="2"/>
  <c r="CM95" i="2"/>
  <c r="CM132" i="2"/>
  <c r="CM10" i="2"/>
  <c r="CM69" i="2"/>
  <c r="CM169" i="2"/>
  <c r="CM199" i="2"/>
  <c r="CM9" i="2"/>
  <c r="CM152" i="2"/>
  <c r="CM43" i="2"/>
  <c r="CM56" i="2"/>
  <c r="CM109" i="2"/>
  <c r="CM52" i="2"/>
  <c r="CM7" i="2"/>
  <c r="CM108" i="2"/>
  <c r="CM82" i="2"/>
  <c r="CM93" i="2"/>
  <c r="CM123" i="2"/>
  <c r="CM133" i="2"/>
  <c r="CM99" i="2"/>
  <c r="CM209" i="2"/>
  <c r="CM202" i="2"/>
  <c r="CM33" i="2"/>
  <c r="CM3" i="2"/>
  <c r="CM37" i="2"/>
  <c r="CM117" i="2"/>
  <c r="CM25" i="2"/>
  <c r="CM126" i="2"/>
  <c r="CM63" i="2"/>
  <c r="CM49" i="2"/>
  <c r="CM114" i="2"/>
  <c r="CM87" i="2"/>
  <c r="CM62" i="2"/>
  <c r="CM48" i="2"/>
  <c r="CM90" i="2"/>
  <c r="CM102" i="2"/>
  <c r="CM32" i="2"/>
  <c r="CM34" i="2"/>
  <c r="CM136" i="2"/>
  <c r="CM28" i="2"/>
  <c r="CM79" i="2"/>
  <c r="CM184" i="2"/>
  <c r="CM19" i="2"/>
  <c r="CM39" i="2"/>
  <c r="CM13" i="2"/>
  <c r="CM64" i="2"/>
  <c r="CM85" i="2"/>
  <c r="CM22" i="2"/>
  <c r="CM72" i="2"/>
  <c r="CM46" i="2"/>
  <c r="CM144" i="2"/>
  <c r="CM96" i="2"/>
  <c r="CM178" i="2"/>
  <c r="CM129" i="2"/>
  <c r="CM45" i="2"/>
  <c r="CM120" i="2"/>
  <c r="CM190" i="2"/>
  <c r="CM137" i="2"/>
  <c r="CM206" i="2"/>
  <c r="CM105" i="2"/>
  <c r="CM111" i="2"/>
  <c r="CM40" i="2"/>
  <c r="CM58" i="2"/>
  <c r="CM204" i="2"/>
  <c r="CM15" i="2"/>
  <c r="CM168" i="2"/>
  <c r="CM17" i="2"/>
  <c r="CM167" i="2"/>
  <c r="CM207" i="2"/>
  <c r="CM44" i="2"/>
  <c r="CM35" i="2"/>
  <c r="CM89" i="2"/>
  <c r="CM141" i="2"/>
  <c r="CM11" i="2"/>
  <c r="CM65" i="2"/>
  <c r="CM119" i="2"/>
  <c r="CM26" i="2"/>
  <c r="CM158" i="2"/>
  <c r="CM84" i="2"/>
  <c r="CM104" i="2"/>
  <c r="CM73" i="2"/>
  <c r="CM162" i="2"/>
  <c r="CM16" i="2"/>
  <c r="CM135" i="2"/>
  <c r="CM198" i="2"/>
  <c r="CM4" i="2"/>
  <c r="CM14" i="2"/>
  <c r="CM195" i="2"/>
  <c r="CM145" i="2"/>
  <c r="CM146" i="2"/>
  <c r="CM165" i="2"/>
  <c r="CM201" i="2"/>
  <c r="CM157" i="2"/>
  <c r="CM21" i="2"/>
  <c r="CM71" i="2"/>
  <c r="CM94" i="2"/>
  <c r="CM180" i="2"/>
  <c r="CM110" i="2"/>
  <c r="CM42" i="2"/>
  <c r="CM5" i="2"/>
  <c r="CM181" i="2"/>
  <c r="CM134" i="2"/>
  <c r="CM24" i="2"/>
  <c r="CM41" i="2"/>
  <c r="CM148" i="2"/>
  <c r="CM205" i="2"/>
  <c r="CM74" i="2"/>
  <c r="CM172" i="2"/>
  <c r="CM194" i="2"/>
  <c r="CM131" i="2"/>
  <c r="CM53" i="2"/>
  <c r="CM173" i="2"/>
  <c r="CM36" i="2"/>
  <c r="CM80" i="2"/>
  <c r="CM31" i="2"/>
  <c r="CM161" i="2"/>
  <c r="CM186" i="2"/>
  <c r="CM68" i="2"/>
  <c r="CM154" i="2"/>
  <c r="CM166" i="2"/>
  <c r="CM177" i="2"/>
  <c r="CM51" i="2"/>
  <c r="CM88" i="2"/>
  <c r="CM12" i="2"/>
  <c r="CM149" i="2"/>
  <c r="CM196" i="2"/>
  <c r="CM91" i="2"/>
  <c r="CM97" i="2"/>
  <c r="CM130" i="2"/>
  <c r="CM179" i="2"/>
  <c r="CM139" i="2"/>
  <c r="CM107" i="2"/>
  <c r="CM197" i="2"/>
  <c r="CM140" i="2"/>
  <c r="CM189" i="2"/>
  <c r="CM200" i="2"/>
  <c r="CM208" i="2"/>
  <c r="CM6" i="2"/>
  <c r="CM153" i="2"/>
  <c r="CM112" i="2"/>
  <c r="CM75" i="2"/>
  <c r="CM176" i="2"/>
  <c r="CM77" i="2"/>
  <c r="CM50" i="2"/>
  <c r="CM101" i="2"/>
  <c r="CM100" i="2"/>
  <c r="CM92" i="2"/>
  <c r="CM121" i="2"/>
  <c r="CM23" i="2"/>
  <c r="CM210" i="2"/>
  <c r="CM78" i="2"/>
  <c r="CM160" i="2"/>
  <c r="CM20" i="2"/>
  <c r="CM86" i="2"/>
  <c r="CM163" i="2"/>
  <c r="CM57" i="2"/>
  <c r="CM182" i="2"/>
  <c r="CM55" i="2"/>
  <c r="CM30" i="2"/>
  <c r="CM183" i="2"/>
  <c r="CM8" i="2"/>
  <c r="CM103" i="2"/>
  <c r="CM66" i="2"/>
  <c r="CM151" i="2"/>
  <c r="CM81" i="2"/>
  <c r="CM143" i="2"/>
  <c r="CM192" i="2"/>
  <c r="CM83" i="2"/>
  <c r="CM211" i="2"/>
  <c r="CM155" i="2"/>
  <c r="CM29" i="2"/>
  <c r="CM150" i="2"/>
  <c r="CM27" i="2"/>
  <c r="CM70" i="2"/>
  <c r="CM47" i="2"/>
  <c r="CM191" i="2"/>
  <c r="CM187" i="2"/>
  <c r="CM125" i="2"/>
  <c r="CM76" i="2"/>
  <c r="CM60" i="2"/>
  <c r="CM188" i="2"/>
  <c r="CM159" i="2"/>
  <c r="CM113" i="2"/>
  <c r="CM212" i="2"/>
  <c r="CM174" i="2"/>
  <c r="CM122" i="2"/>
  <c r="CM164" i="2"/>
  <c r="CM156" i="2"/>
  <c r="CM115" i="2"/>
  <c r="CM67" i="2"/>
  <c r="CM138" i="2"/>
  <c r="CM59" i="2"/>
  <c r="CM128" i="2"/>
  <c r="CM118" i="2"/>
  <c r="CM124" i="2"/>
  <c r="CM116" i="2"/>
  <c r="CM98" i="2"/>
  <c r="CM203" i="2"/>
  <c r="CM170" i="2"/>
  <c r="CM142" i="2"/>
  <c r="CM106" i="2"/>
  <c r="CM54" i="2"/>
  <c r="CM171" i="2"/>
  <c r="CM175" i="2"/>
  <c r="CM127" i="2"/>
  <c r="CM185" i="2"/>
  <c r="U108" i="15"/>
  <c r="T108" i="15"/>
  <c r="T102" i="15"/>
  <c r="U102" i="15"/>
  <c r="O66" i="11"/>
  <c r="T107" i="16"/>
  <c r="S107" i="16"/>
  <c r="CQ214" i="1"/>
  <c r="J215" i="9" s="1"/>
  <c r="C220" i="14" s="1"/>
  <c r="CQ76" i="1"/>
  <c r="J75" i="9" s="1"/>
  <c r="C80" i="14" s="1"/>
  <c r="CQ82" i="1"/>
  <c r="J81" i="9" s="1"/>
  <c r="C86" i="14" s="1"/>
  <c r="CQ100" i="1"/>
  <c r="J99" i="9" s="1"/>
  <c r="C104" i="14" s="1"/>
  <c r="CQ87" i="1"/>
  <c r="J86" i="9" s="1"/>
  <c r="C91" i="14" s="1"/>
  <c r="CQ27" i="1"/>
  <c r="J26" i="9" s="1"/>
  <c r="C31" i="14" s="1"/>
  <c r="CQ207" i="1"/>
  <c r="J207" i="9" s="1"/>
  <c r="C212" i="14" s="1"/>
  <c r="CQ81" i="1"/>
  <c r="J80" i="9" s="1"/>
  <c r="C85" i="14" s="1"/>
  <c r="CQ221" i="1"/>
  <c r="J222" i="9" s="1"/>
  <c r="C227" i="14" s="1"/>
  <c r="V19" i="11"/>
  <c r="V63" i="11" s="1"/>
  <c r="U111" i="15"/>
  <c r="T111" i="15"/>
  <c r="S112" i="16"/>
  <c r="T112" i="16"/>
  <c r="AH39" i="21"/>
  <c r="J39" i="22"/>
  <c r="CQ58" i="1"/>
  <c r="J57" i="9" s="1"/>
  <c r="C62" i="14" s="1"/>
  <c r="CQ153" i="1"/>
  <c r="J152" i="9" s="1"/>
  <c r="C157" i="14" s="1"/>
  <c r="CQ99" i="1"/>
  <c r="J98" i="9" s="1"/>
  <c r="C103" i="14" s="1"/>
  <c r="CQ149" i="1"/>
  <c r="J148" i="9" s="1"/>
  <c r="C153" i="14" s="1"/>
  <c r="CQ138" i="1"/>
  <c r="J137" i="9" s="1"/>
  <c r="C142" i="14" s="1"/>
  <c r="CQ41" i="1"/>
  <c r="J40" i="9" s="1"/>
  <c r="C45" i="14" s="1"/>
  <c r="CQ56" i="1"/>
  <c r="J55" i="9" s="1"/>
  <c r="C60" i="14" s="1"/>
  <c r="CQ35" i="1"/>
  <c r="J34" i="9" s="1"/>
  <c r="C39" i="14" s="1"/>
  <c r="CQ42" i="1"/>
  <c r="J41" i="9" s="1"/>
  <c r="C46" i="14" s="1"/>
  <c r="CQ23" i="1"/>
  <c r="J22" i="9" s="1"/>
  <c r="C27" i="14" s="1"/>
  <c r="CQ24" i="1"/>
  <c r="J23" i="9" s="1"/>
  <c r="C28" i="14" s="1"/>
  <c r="CQ105" i="1"/>
  <c r="J104" i="9" s="1"/>
  <c r="C109" i="14" s="1"/>
  <c r="V22" i="11"/>
  <c r="R71" i="11" s="1"/>
  <c r="X544" i="15" s="1"/>
  <c r="V66" i="11"/>
  <c r="CP219" i="3"/>
  <c r="CP216" i="3"/>
  <c r="CP221" i="3"/>
  <c r="CP220" i="3"/>
  <c r="CP94" i="3"/>
  <c r="CP146" i="3"/>
  <c r="CP78" i="3"/>
  <c r="CP60" i="3"/>
  <c r="CP62" i="3"/>
  <c r="CP10" i="3"/>
  <c r="CP116" i="3"/>
  <c r="CP9" i="3"/>
  <c r="CP136" i="3"/>
  <c r="CP125" i="3"/>
  <c r="CP38" i="3"/>
  <c r="CP196" i="3"/>
  <c r="CP32" i="3"/>
  <c r="CP45" i="3"/>
  <c r="CP33" i="3"/>
  <c r="CP25" i="3"/>
  <c r="CP39" i="3"/>
  <c r="CP22" i="3"/>
  <c r="CP68" i="3"/>
  <c r="CP42" i="3"/>
  <c r="CP181" i="3"/>
  <c r="CP208" i="3"/>
  <c r="CP143" i="3"/>
  <c r="CP104" i="3"/>
  <c r="CP89" i="3"/>
  <c r="CP122" i="3"/>
  <c r="CP81" i="3"/>
  <c r="CP202" i="3"/>
  <c r="CP92" i="3"/>
  <c r="CP98" i="3"/>
  <c r="CP101" i="3"/>
  <c r="CP214" i="3"/>
  <c r="CP3" i="3"/>
  <c r="CP210" i="3"/>
  <c r="CP19" i="3"/>
  <c r="CP55" i="3"/>
  <c r="CP63" i="3"/>
  <c r="CP7" i="3"/>
  <c r="CP131" i="3"/>
  <c r="CP175" i="3"/>
  <c r="CP167" i="3"/>
  <c r="CP132" i="3"/>
  <c r="CP61" i="3"/>
  <c r="CP95" i="3"/>
  <c r="CP28" i="3"/>
  <c r="CP151" i="3"/>
  <c r="CP36" i="3"/>
  <c r="CP212" i="3"/>
  <c r="CP107" i="3"/>
  <c r="CP48" i="3"/>
  <c r="CP217" i="3"/>
  <c r="CP110" i="3"/>
  <c r="CP57" i="3"/>
  <c r="CP108" i="3"/>
  <c r="CP128" i="3"/>
  <c r="CP47" i="3"/>
  <c r="CP119" i="3"/>
  <c r="CP205" i="3"/>
  <c r="CP135" i="3"/>
  <c r="CP113" i="3"/>
  <c r="CP71" i="3"/>
  <c r="CP190" i="3"/>
  <c r="CP86" i="3"/>
  <c r="CP187" i="3"/>
  <c r="CP84" i="3"/>
  <c r="CP13" i="3"/>
  <c r="CP51" i="3"/>
  <c r="CP18" i="3"/>
  <c r="CP199" i="3"/>
  <c r="CP44" i="3"/>
  <c r="CP80" i="3"/>
  <c r="CP189" i="3"/>
  <c r="CP127" i="3"/>
  <c r="CP177" i="3"/>
  <c r="CP163" i="3"/>
  <c r="CP30" i="3"/>
  <c r="CP198" i="3"/>
  <c r="CP4" i="3"/>
  <c r="CP58" i="3"/>
  <c r="CP137" i="3"/>
  <c r="CP184" i="3"/>
  <c r="CP180" i="3"/>
  <c r="CP161" i="3"/>
  <c r="CP201" i="3"/>
  <c r="CP153" i="3"/>
  <c r="CP218" i="3"/>
  <c r="CP186" i="3"/>
  <c r="CP102" i="3"/>
  <c r="CP85" i="3"/>
  <c r="CP157" i="3"/>
  <c r="CP100" i="3"/>
  <c r="CP194" i="3"/>
  <c r="CP178" i="3"/>
  <c r="CP147" i="3"/>
  <c r="CP50" i="3"/>
  <c r="CP99" i="3"/>
  <c r="CP115" i="3"/>
  <c r="CP49" i="3"/>
  <c r="CP195" i="3"/>
  <c r="CP31" i="3"/>
  <c r="CP138" i="3"/>
  <c r="CP188" i="3"/>
  <c r="CP117" i="3"/>
  <c r="CP207" i="3"/>
  <c r="CP141" i="3"/>
  <c r="CP79" i="3"/>
  <c r="CP59" i="3"/>
  <c r="CP140" i="3"/>
  <c r="CP74" i="3"/>
  <c r="CP11" i="3"/>
  <c r="CP164" i="3"/>
  <c r="CP16" i="3"/>
  <c r="CP27" i="3"/>
  <c r="CP75" i="3"/>
  <c r="CP106" i="3"/>
  <c r="CP35" i="3"/>
  <c r="CP64" i="3"/>
  <c r="CP130" i="3"/>
  <c r="CP41" i="3"/>
  <c r="CP174" i="3"/>
  <c r="CP90" i="3"/>
  <c r="CP172" i="3"/>
  <c r="CP142" i="3"/>
  <c r="CP170" i="3"/>
  <c r="CP70" i="3"/>
  <c r="CP154" i="3"/>
  <c r="CP40" i="3"/>
  <c r="CP150" i="3"/>
  <c r="CP8" i="3"/>
  <c r="CP82" i="3"/>
  <c r="CP43" i="3"/>
  <c r="CP52" i="3"/>
  <c r="CP144" i="3"/>
  <c r="CP87" i="3"/>
  <c r="CP149" i="3"/>
  <c r="CP159" i="3"/>
  <c r="CP124" i="3"/>
  <c r="CP76" i="3"/>
  <c r="CP139" i="3"/>
  <c r="CP93" i="3"/>
  <c r="CP67" i="3"/>
  <c r="CP83" i="3"/>
  <c r="CP24" i="3"/>
  <c r="CP21" i="3"/>
  <c r="CP26" i="3"/>
  <c r="CP148" i="3"/>
  <c r="CP56" i="3"/>
  <c r="CP121" i="3"/>
  <c r="CP176" i="3"/>
  <c r="CP17" i="3"/>
  <c r="CP203" i="3"/>
  <c r="CP215" i="3"/>
  <c r="CP53" i="3"/>
  <c r="CP91" i="3"/>
  <c r="CP191" i="3"/>
  <c r="CP156" i="3"/>
  <c r="CP96" i="3"/>
  <c r="CP118" i="3"/>
  <c r="CP12" i="3"/>
  <c r="CP152" i="3"/>
  <c r="CP171" i="3"/>
  <c r="CP169" i="3"/>
  <c r="CP173" i="3"/>
  <c r="CP112" i="3"/>
  <c r="CP23" i="3"/>
  <c r="CP134" i="3"/>
  <c r="CP162" i="3"/>
  <c r="CP97" i="3"/>
  <c r="CP183" i="3"/>
  <c r="CP114" i="3"/>
  <c r="CP197" i="3"/>
  <c r="CP103" i="3"/>
  <c r="CP185" i="3"/>
  <c r="CP46" i="3"/>
  <c r="CP29" i="3"/>
  <c r="CP109" i="3"/>
  <c r="CP72" i="3"/>
  <c r="CP182" i="3"/>
  <c r="CP193" i="3"/>
  <c r="CP165" i="3"/>
  <c r="CP166" i="3"/>
  <c r="CP209" i="3"/>
  <c r="CP206" i="3"/>
  <c r="CP69" i="3"/>
  <c r="CP120" i="3"/>
  <c r="CP129" i="3"/>
  <c r="CP65" i="3"/>
  <c r="CP15" i="3"/>
  <c r="CP54" i="3"/>
  <c r="CP158" i="3"/>
  <c r="CP111" i="3"/>
  <c r="CP160" i="3"/>
  <c r="CP20" i="3"/>
  <c r="CP168" i="3"/>
  <c r="CP14" i="3"/>
  <c r="CP77" i="3"/>
  <c r="CP34" i="3"/>
  <c r="CP73" i="3"/>
  <c r="CP145" i="3"/>
  <c r="CP192" i="3"/>
  <c r="CP105" i="3"/>
  <c r="CP213" i="3"/>
  <c r="CP211" i="3"/>
  <c r="CP5" i="3"/>
  <c r="CP204" i="3"/>
  <c r="CP200" i="3"/>
  <c r="CP179" i="3"/>
  <c r="CP155" i="3"/>
  <c r="CP123" i="3"/>
  <c r="CP126" i="3"/>
  <c r="CP66" i="3"/>
  <c r="CP6" i="3"/>
  <c r="CP88" i="3"/>
  <c r="CP133" i="3"/>
  <c r="U106" i="15"/>
  <c r="T106" i="15"/>
  <c r="C217" i="22"/>
  <c r="S117" i="16"/>
  <c r="T117" i="16"/>
  <c r="C95" i="22"/>
  <c r="CQ215" i="1"/>
  <c r="J216" i="9" s="1"/>
  <c r="C221" i="14" s="1"/>
  <c r="CQ213" i="1"/>
  <c r="J214" i="9" s="1"/>
  <c r="C219" i="14" s="1"/>
  <c r="CQ124" i="1"/>
  <c r="J123" i="9" s="1"/>
  <c r="C128" i="14" s="1"/>
  <c r="CQ51" i="1"/>
  <c r="J50" i="9" s="1"/>
  <c r="C55" i="14" s="1"/>
  <c r="CQ57" i="1"/>
  <c r="J56" i="9" s="1"/>
  <c r="C61" i="14" s="1"/>
  <c r="CQ63" i="1"/>
  <c r="J62" i="9" s="1"/>
  <c r="C67" i="14" s="1"/>
  <c r="CQ91" i="1"/>
  <c r="J90" i="9" s="1"/>
  <c r="C95" i="14" s="1"/>
  <c r="EP37" i="3"/>
  <c r="V17" i="11"/>
  <c r="R70" i="11" s="1"/>
  <c r="V544" i="15" s="1"/>
  <c r="Q123" i="15"/>
  <c r="Q114" i="15"/>
  <c r="U112" i="15"/>
  <c r="Q117" i="15"/>
  <c r="Q118" i="15"/>
  <c r="Q122" i="15"/>
  <c r="Q119" i="15"/>
  <c r="Q113" i="15"/>
  <c r="Q116" i="15"/>
  <c r="T112" i="15"/>
  <c r="Q115" i="15"/>
  <c r="Q124" i="15"/>
  <c r="Q121" i="15"/>
  <c r="Q120" i="15"/>
  <c r="T113" i="16"/>
  <c r="S113" i="16"/>
  <c r="CQ6" i="1"/>
  <c r="J5" i="9" s="1"/>
  <c r="C10" i="14" s="1"/>
  <c r="CQ197" i="1"/>
  <c r="J197" i="9" s="1"/>
  <c r="C202" i="14" s="1"/>
  <c r="CQ84" i="1"/>
  <c r="J83" i="9" s="1"/>
  <c r="C88" i="14" s="1"/>
  <c r="CQ140" i="1"/>
  <c r="J139" i="9" s="1"/>
  <c r="C144" i="14" s="1"/>
  <c r="CQ132" i="1"/>
  <c r="J131" i="9" s="1"/>
  <c r="C136" i="14" s="1"/>
  <c r="CQ49" i="1"/>
  <c r="J48" i="9" s="1"/>
  <c r="C53" i="14" s="1"/>
  <c r="CQ216" i="1"/>
  <c r="J217" i="9" s="1"/>
  <c r="C222" i="14" s="1"/>
  <c r="CQ94" i="1"/>
  <c r="J93" i="9" s="1"/>
  <c r="C98" i="14" s="1"/>
  <c r="CQ10" i="1"/>
  <c r="J9" i="9" s="1"/>
  <c r="C14" i="14" s="1"/>
  <c r="CQ53" i="1"/>
  <c r="J52" i="9" s="1"/>
  <c r="C57" i="14" s="1"/>
  <c r="CQ117" i="1"/>
  <c r="J116" i="9" s="1"/>
  <c r="C121" i="14" s="1"/>
  <c r="N39" i="22"/>
  <c r="C39" i="22" s="1"/>
  <c r="T21" i="11"/>
  <c r="T65" i="11" s="1"/>
  <c r="U21" i="11"/>
  <c r="U65" i="11" s="1"/>
  <c r="U103" i="15"/>
  <c r="T103" i="15"/>
  <c r="S108" i="16"/>
  <c r="T108" i="16"/>
  <c r="S118" i="16"/>
  <c r="P129" i="16"/>
  <c r="P128" i="16"/>
  <c r="P122" i="16"/>
  <c r="P127" i="16"/>
  <c r="P126" i="16"/>
  <c r="P121" i="16"/>
  <c r="P124" i="16"/>
  <c r="P123" i="16"/>
  <c r="P130" i="16"/>
  <c r="P120" i="16"/>
  <c r="P119" i="16"/>
  <c r="P125" i="16"/>
  <c r="T118" i="16"/>
  <c r="T22" i="11"/>
  <c r="T66" i="11" s="1"/>
  <c r="I118" i="8"/>
  <c r="CP1" i="2" s="1"/>
  <c r="O64" i="11"/>
  <c r="CQ139" i="1"/>
  <c r="J138" i="9" s="1"/>
  <c r="C143" i="14" s="1"/>
  <c r="CQ102" i="1"/>
  <c r="J101" i="9" s="1"/>
  <c r="C106" i="14" s="1"/>
  <c r="CQ65" i="1"/>
  <c r="J64" i="9" s="1"/>
  <c r="C69" i="14" s="1"/>
  <c r="CQ129" i="1"/>
  <c r="J128" i="9" s="1"/>
  <c r="C133" i="14" s="1"/>
  <c r="CQ13" i="1"/>
  <c r="J12" i="9" s="1"/>
  <c r="C17" i="14" s="1"/>
  <c r="CQ29" i="1"/>
  <c r="J28" i="9" s="1"/>
  <c r="C33" i="14" s="1"/>
  <c r="V538" i="15" l="1"/>
  <c r="V543" i="15"/>
  <c r="V535" i="15"/>
  <c r="V540" i="15"/>
  <c r="V537" i="15"/>
  <c r="V542" i="15"/>
  <c r="V534" i="15"/>
  <c r="W544" i="15"/>
  <c r="V539" i="15"/>
  <c r="V533" i="15"/>
  <c r="V541" i="15"/>
  <c r="V536" i="15"/>
  <c r="W65" i="11"/>
  <c r="X542" i="15"/>
  <c r="X543" i="15"/>
  <c r="X535" i="15"/>
  <c r="X540" i="15"/>
  <c r="X532" i="15"/>
  <c r="X537" i="15"/>
  <c r="X534" i="15"/>
  <c r="Y544" i="15"/>
  <c r="X539" i="15"/>
  <c r="X536" i="15"/>
  <c r="X538" i="15"/>
  <c r="X533" i="15"/>
  <c r="X541" i="15"/>
  <c r="W63" i="11"/>
  <c r="W64" i="11"/>
  <c r="S130" i="16"/>
  <c r="P134" i="16"/>
  <c r="P138" i="16"/>
  <c r="P133" i="16"/>
  <c r="P142" i="16"/>
  <c r="P137" i="16"/>
  <c r="P132" i="16"/>
  <c r="P141" i="16"/>
  <c r="P131" i="16"/>
  <c r="T130" i="16"/>
  <c r="P140" i="16"/>
  <c r="P139" i="16"/>
  <c r="P136" i="16"/>
  <c r="P135" i="16"/>
  <c r="S120" i="16"/>
  <c r="T120" i="16"/>
  <c r="U120" i="15"/>
  <c r="T120" i="15"/>
  <c r="U114" i="15"/>
  <c r="T114" i="15"/>
  <c r="CQ36" i="2"/>
  <c r="K35" i="9" s="1"/>
  <c r="CQ150" i="2"/>
  <c r="K150" i="9" s="1"/>
  <c r="CQ22" i="3"/>
  <c r="L21" i="9" s="1"/>
  <c r="CQ14" i="2"/>
  <c r="K13" i="9" s="1"/>
  <c r="CQ143" i="2"/>
  <c r="K143" i="9" s="1"/>
  <c r="CQ149" i="2"/>
  <c r="K149" i="9" s="1"/>
  <c r="CQ58" i="2"/>
  <c r="K57" i="9" s="1"/>
  <c r="CP216" i="2"/>
  <c r="CP214" i="2"/>
  <c r="CP219" i="2"/>
  <c r="CP220" i="2"/>
  <c r="CP217" i="2"/>
  <c r="CP215" i="2"/>
  <c r="CP213" i="2"/>
  <c r="CP218" i="2"/>
  <c r="CP147" i="2"/>
  <c r="CP37" i="2"/>
  <c r="CP95" i="2"/>
  <c r="CP3" i="2"/>
  <c r="CP61" i="2"/>
  <c r="CP199" i="2"/>
  <c r="CP7" i="2"/>
  <c r="CP25" i="2"/>
  <c r="CQ25" i="2" s="1"/>
  <c r="K24" i="9" s="1"/>
  <c r="M24" i="9" s="1"/>
  <c r="CP152" i="2"/>
  <c r="CP52" i="2"/>
  <c r="CP43" i="2"/>
  <c r="CP10" i="2"/>
  <c r="CP33" i="2"/>
  <c r="CP209" i="2"/>
  <c r="CP69" i="2"/>
  <c r="CP123" i="2"/>
  <c r="CP132" i="2"/>
  <c r="CQ132" i="2" s="1"/>
  <c r="K131" i="9" s="1"/>
  <c r="M131" i="9" s="1"/>
  <c r="CP56" i="2"/>
  <c r="CP9" i="2"/>
  <c r="CP117" i="2"/>
  <c r="CQ117" i="2" s="1"/>
  <c r="K116" i="9" s="1"/>
  <c r="CP99" i="2"/>
  <c r="CQ99" i="2" s="1"/>
  <c r="K98" i="9" s="1"/>
  <c r="M98" i="9" s="1"/>
  <c r="CP169" i="2"/>
  <c r="CP108" i="2"/>
  <c r="CP193" i="2"/>
  <c r="CP202" i="2"/>
  <c r="CP109" i="2"/>
  <c r="CP93" i="2"/>
  <c r="CQ93" i="2" s="1"/>
  <c r="K92" i="9" s="1"/>
  <c r="CP82" i="2"/>
  <c r="CP133" i="2"/>
  <c r="CP18" i="2"/>
  <c r="CP111" i="2"/>
  <c r="CP64" i="2"/>
  <c r="CQ64" i="2" s="1"/>
  <c r="K63" i="9" s="1"/>
  <c r="M63" i="9" s="1"/>
  <c r="CP85" i="2"/>
  <c r="CP206" i="2"/>
  <c r="CP79" i="2"/>
  <c r="CP102" i="2"/>
  <c r="CP120" i="2"/>
  <c r="CP13" i="2"/>
  <c r="CP28" i="2"/>
  <c r="CP126" i="2"/>
  <c r="CP72" i="2"/>
  <c r="CP184" i="2"/>
  <c r="CP39" i="2"/>
  <c r="CQ39" i="2" s="1"/>
  <c r="K38" i="9" s="1"/>
  <c r="M38" i="9" s="1"/>
  <c r="CP144" i="2"/>
  <c r="CP190" i="2"/>
  <c r="CP62" i="2"/>
  <c r="CP96" i="2"/>
  <c r="CP22" i="2"/>
  <c r="CP40" i="2"/>
  <c r="CP105" i="2"/>
  <c r="CP87" i="2"/>
  <c r="CP129" i="2"/>
  <c r="CP58" i="2"/>
  <c r="CP34" i="2"/>
  <c r="CP114" i="2"/>
  <c r="CP48" i="2"/>
  <c r="CP46" i="2"/>
  <c r="CP204" i="2"/>
  <c r="CP49" i="2"/>
  <c r="CP19" i="2"/>
  <c r="CQ19" i="2" s="1"/>
  <c r="K18" i="9" s="1"/>
  <c r="CP136" i="2"/>
  <c r="CP137" i="2"/>
  <c r="CP63" i="2"/>
  <c r="CP32" i="2"/>
  <c r="CP178" i="2"/>
  <c r="CP45" i="2"/>
  <c r="CP90" i="2"/>
  <c r="CP211" i="2"/>
  <c r="CQ211" i="2" s="1"/>
  <c r="K222" i="9" s="1"/>
  <c r="M222" i="9" s="1"/>
  <c r="CP41" i="2"/>
  <c r="CQ41" i="2" s="1"/>
  <c r="K40" i="9" s="1"/>
  <c r="M40" i="9" s="1"/>
  <c r="CP116" i="2"/>
  <c r="CP110" i="2"/>
  <c r="CP192" i="2"/>
  <c r="CP146" i="2"/>
  <c r="CP187" i="2"/>
  <c r="CP212" i="2"/>
  <c r="CP161" i="2"/>
  <c r="CP81" i="2"/>
  <c r="CP188" i="2"/>
  <c r="CP115" i="2"/>
  <c r="CQ115" i="2" s="1"/>
  <c r="K114" i="9" s="1"/>
  <c r="CP186" i="2"/>
  <c r="CP98" i="2"/>
  <c r="CP150" i="2"/>
  <c r="CP86" i="2"/>
  <c r="CP106" i="2"/>
  <c r="CP119" i="2"/>
  <c r="CP44" i="2"/>
  <c r="CP127" i="2"/>
  <c r="CP27" i="2"/>
  <c r="CQ27" i="2" s="1"/>
  <c r="K26" i="9" s="1"/>
  <c r="CP8" i="2"/>
  <c r="CP159" i="2"/>
  <c r="CP74" i="2"/>
  <c r="CP103" i="2"/>
  <c r="CQ103" i="2" s="1"/>
  <c r="K102" i="9" s="1"/>
  <c r="CP84" i="2"/>
  <c r="CQ84" i="2" s="1"/>
  <c r="K83" i="9" s="1"/>
  <c r="CP4" i="2"/>
  <c r="CP138" i="2"/>
  <c r="CP47" i="2"/>
  <c r="CP53" i="2"/>
  <c r="CP131" i="2"/>
  <c r="CP5" i="2"/>
  <c r="CP121" i="2"/>
  <c r="CP155" i="2"/>
  <c r="CP207" i="2"/>
  <c r="CP118" i="2"/>
  <c r="CP26" i="2"/>
  <c r="CQ26" i="2" s="1"/>
  <c r="K25" i="9" s="1"/>
  <c r="CP160" i="2"/>
  <c r="CP173" i="2"/>
  <c r="CP23" i="2"/>
  <c r="CP55" i="2"/>
  <c r="CP104" i="2"/>
  <c r="CP163" i="2"/>
  <c r="CP175" i="2"/>
  <c r="CP165" i="2"/>
  <c r="CP31" i="2"/>
  <c r="CP70" i="2"/>
  <c r="CP168" i="2"/>
  <c r="CP142" i="2"/>
  <c r="CP185" i="2"/>
  <c r="CP17" i="2"/>
  <c r="CP158" i="2"/>
  <c r="CP113" i="2"/>
  <c r="CP107" i="2"/>
  <c r="CP164" i="2"/>
  <c r="CP66" i="2"/>
  <c r="CP125" i="2"/>
  <c r="CP205" i="2"/>
  <c r="CP172" i="2"/>
  <c r="CP140" i="2"/>
  <c r="CP139" i="2"/>
  <c r="CP157" i="2"/>
  <c r="CP42" i="2"/>
  <c r="CP128" i="2"/>
  <c r="CP167" i="2"/>
  <c r="CP198" i="2"/>
  <c r="CP189" i="2"/>
  <c r="CP11" i="2"/>
  <c r="CP68" i="2"/>
  <c r="CP154" i="2"/>
  <c r="CP94" i="2"/>
  <c r="CP197" i="2"/>
  <c r="CQ197" i="2" s="1"/>
  <c r="K197" i="9" s="1"/>
  <c r="CP20" i="2"/>
  <c r="CQ20" i="2" s="1"/>
  <c r="K19" i="9" s="1"/>
  <c r="CP78" i="2"/>
  <c r="CQ78" i="2" s="1"/>
  <c r="K77" i="9" s="1"/>
  <c r="M77" i="9" s="1"/>
  <c r="CP177" i="2"/>
  <c r="CP124" i="2"/>
  <c r="CP51" i="2"/>
  <c r="CP24" i="2"/>
  <c r="CP92" i="2"/>
  <c r="CP176" i="2"/>
  <c r="CP112" i="2"/>
  <c r="CP91" i="2"/>
  <c r="CP143" i="2"/>
  <c r="CP141" i="2"/>
  <c r="CP67" i="2"/>
  <c r="CQ67" i="2" s="1"/>
  <c r="K66" i="9" s="1"/>
  <c r="M66" i="9" s="1"/>
  <c r="CP12" i="2"/>
  <c r="CQ12" i="2" s="1"/>
  <c r="K11" i="9" s="1"/>
  <c r="CP166" i="2"/>
  <c r="CP65" i="2"/>
  <c r="CQ65" i="2" s="1"/>
  <c r="K64" i="9" s="1"/>
  <c r="CP179" i="2"/>
  <c r="CP210" i="2"/>
  <c r="CP6" i="2"/>
  <c r="CP153" i="2"/>
  <c r="CP16" i="2"/>
  <c r="CP170" i="2"/>
  <c r="CP14" i="2"/>
  <c r="CP145" i="2"/>
  <c r="CQ145" i="2" s="1"/>
  <c r="K145" i="9" s="1"/>
  <c r="M145" i="9" s="1"/>
  <c r="CP75" i="2"/>
  <c r="CQ75" i="2" s="1"/>
  <c r="K74" i="9" s="1"/>
  <c r="M74" i="9" s="1"/>
  <c r="CP195" i="2"/>
  <c r="CP149" i="2"/>
  <c r="CP97" i="2"/>
  <c r="CP36" i="2"/>
  <c r="CP191" i="2"/>
  <c r="CP201" i="2"/>
  <c r="CP181" i="2"/>
  <c r="CP35" i="2"/>
  <c r="CP80" i="2"/>
  <c r="CP196" i="2"/>
  <c r="CP57" i="2"/>
  <c r="CP30" i="2"/>
  <c r="CQ30" i="2" s="1"/>
  <c r="K29" i="9" s="1"/>
  <c r="M29" i="9" s="1"/>
  <c r="CP59" i="2"/>
  <c r="CQ59" i="2" s="1"/>
  <c r="K58" i="9" s="1"/>
  <c r="CP88" i="2"/>
  <c r="CP183" i="2"/>
  <c r="CP156" i="2"/>
  <c r="CP60" i="2"/>
  <c r="CP77" i="2"/>
  <c r="CQ77" i="2" s="1"/>
  <c r="K76" i="9" s="1"/>
  <c r="M76" i="9" s="1"/>
  <c r="CP83" i="2"/>
  <c r="CP73" i="2"/>
  <c r="CQ73" i="2" s="1"/>
  <c r="K72" i="9" s="1"/>
  <c r="CP54" i="2"/>
  <c r="CP182" i="2"/>
  <c r="CP171" i="2"/>
  <c r="CP148" i="2"/>
  <c r="CQ148" i="2" s="1"/>
  <c r="K148" i="9" s="1"/>
  <c r="M148" i="9" s="1"/>
  <c r="CP200" i="2"/>
  <c r="CP76" i="2"/>
  <c r="CP122" i="2"/>
  <c r="CP50" i="2"/>
  <c r="CP174" i="2"/>
  <c r="CP208" i="2"/>
  <c r="CP15" i="2"/>
  <c r="CP134" i="2"/>
  <c r="CP194" i="2"/>
  <c r="CP101" i="2"/>
  <c r="CP203" i="2"/>
  <c r="CP29" i="2"/>
  <c r="CP100" i="2"/>
  <c r="CP180" i="2"/>
  <c r="CP151" i="2"/>
  <c r="CP71" i="2"/>
  <c r="CP89" i="2"/>
  <c r="CP135" i="2"/>
  <c r="CP21" i="2"/>
  <c r="CP130" i="2"/>
  <c r="CP162" i="2"/>
  <c r="CP38" i="2"/>
  <c r="CQ38" i="2" s="1"/>
  <c r="K37" i="9" s="1"/>
  <c r="M37" i="9" s="1"/>
  <c r="T123" i="16"/>
  <c r="S123" i="16"/>
  <c r="Q135" i="15"/>
  <c r="Q126" i="15"/>
  <c r="U124" i="15"/>
  <c r="Q129" i="15"/>
  <c r="Q134" i="15"/>
  <c r="Q125" i="15"/>
  <c r="Q127" i="15"/>
  <c r="Q133" i="15"/>
  <c r="Q131" i="15"/>
  <c r="Q128" i="15"/>
  <c r="T124" i="15"/>
  <c r="Q136" i="15"/>
  <c r="Q130" i="15"/>
  <c r="Q132" i="15"/>
  <c r="CQ81" i="2"/>
  <c r="K80" i="9" s="1"/>
  <c r="CQ106" i="2"/>
  <c r="K105" i="9" s="1"/>
  <c r="CQ127" i="2"/>
  <c r="K126" i="9" s="1"/>
  <c r="CQ137" i="2"/>
  <c r="K137" i="9" s="1"/>
  <c r="CQ129" i="2"/>
  <c r="K128" i="9" s="1"/>
  <c r="CQ152" i="2"/>
  <c r="K152" i="9" s="1"/>
  <c r="CQ33" i="2"/>
  <c r="K32" i="9" s="1"/>
  <c r="CQ126" i="3"/>
  <c r="L126" i="9" s="1"/>
  <c r="U115" i="15"/>
  <c r="T115" i="15"/>
  <c r="CQ124" i="2"/>
  <c r="K123" i="9" s="1"/>
  <c r="CQ205" i="2"/>
  <c r="K215" i="9" s="1"/>
  <c r="CQ134" i="2"/>
  <c r="K134" i="9" s="1"/>
  <c r="CQ122" i="2"/>
  <c r="K121" i="9" s="1"/>
  <c r="CQ68" i="2"/>
  <c r="K67" i="9" s="1"/>
  <c r="M67" i="9" s="1"/>
  <c r="CQ204" i="2"/>
  <c r="K214" i="9" s="1"/>
  <c r="CQ37" i="2"/>
  <c r="K36" i="9" s="1"/>
  <c r="S124" i="16"/>
  <c r="T124" i="16"/>
  <c r="T121" i="16"/>
  <c r="S121" i="16"/>
  <c r="CQ16" i="2"/>
  <c r="K15" i="9" s="1"/>
  <c r="CQ60" i="2"/>
  <c r="K59" i="9" s="1"/>
  <c r="CQ35" i="2"/>
  <c r="K34" i="9" s="1"/>
  <c r="CQ29" i="2"/>
  <c r="K28" i="9" s="1"/>
  <c r="M28" i="9" s="1"/>
  <c r="CQ54" i="2"/>
  <c r="K53" i="9" s="1"/>
  <c r="CQ55" i="2"/>
  <c r="K54" i="9" s="1"/>
  <c r="CQ97" i="2"/>
  <c r="K96" i="9" s="1"/>
  <c r="CQ51" i="2"/>
  <c r="K50" i="9" s="1"/>
  <c r="CQ206" i="2"/>
  <c r="K217" i="9" s="1"/>
  <c r="CQ178" i="2"/>
  <c r="K178" i="9" s="1"/>
  <c r="CQ87" i="2"/>
  <c r="K86" i="9" s="1"/>
  <c r="CQ56" i="2"/>
  <c r="K55" i="9" s="1"/>
  <c r="CQ18" i="2"/>
  <c r="K17" i="9" s="1"/>
  <c r="CQ133" i="3"/>
  <c r="L134" i="9" s="1"/>
  <c r="S126" i="16"/>
  <c r="T126" i="16"/>
  <c r="T116" i="15"/>
  <c r="U116" i="15"/>
  <c r="V61" i="11"/>
  <c r="W61" i="11" s="1"/>
  <c r="CQ24" i="2"/>
  <c r="K23" i="9" s="1"/>
  <c r="CQ128" i="2"/>
  <c r="K127" i="9" s="1"/>
  <c r="CQ23" i="2"/>
  <c r="K22" i="9" s="1"/>
  <c r="CQ89" i="2"/>
  <c r="K88" i="9" s="1"/>
  <c r="M88" i="9" s="1"/>
  <c r="CQ183" i="2"/>
  <c r="K183" i="9" s="1"/>
  <c r="CQ200" i="2"/>
  <c r="K200" i="9" s="1"/>
  <c r="CQ138" i="2"/>
  <c r="K138" i="9" s="1"/>
  <c r="CQ90" i="2"/>
  <c r="K89" i="9" s="1"/>
  <c r="CQ114" i="2"/>
  <c r="K113" i="9" s="1"/>
  <c r="CQ13" i="2"/>
  <c r="K12" i="9" s="1"/>
  <c r="CQ10" i="2"/>
  <c r="K9" i="9" s="1"/>
  <c r="CQ115" i="3"/>
  <c r="L115" i="9" s="1"/>
  <c r="CQ105" i="3"/>
  <c r="L105" i="9" s="1"/>
  <c r="T127" i="16"/>
  <c r="S127" i="16"/>
  <c r="U113" i="15"/>
  <c r="T113" i="15"/>
  <c r="CQ86" i="2"/>
  <c r="K85" i="9" s="1"/>
  <c r="CQ116" i="2"/>
  <c r="K115" i="9" s="1"/>
  <c r="M115" i="9" s="1"/>
  <c r="CQ88" i="2"/>
  <c r="K87" i="9" s="1"/>
  <c r="CQ201" i="2"/>
  <c r="K201" i="9" s="1"/>
  <c r="CQ42" i="2"/>
  <c r="K41" i="9" s="1"/>
  <c r="CQ63" i="2"/>
  <c r="K62" i="9" s="1"/>
  <c r="CQ22" i="2"/>
  <c r="K21" i="9" s="1"/>
  <c r="M21" i="9" s="1"/>
  <c r="CQ52" i="2"/>
  <c r="K51" i="9" s="1"/>
  <c r="CQ209" i="2"/>
  <c r="K220" i="9" s="1"/>
  <c r="CO220" i="3"/>
  <c r="CO219" i="3"/>
  <c r="CO221" i="3"/>
  <c r="CO94" i="3"/>
  <c r="CO146" i="3"/>
  <c r="CO60" i="3"/>
  <c r="CO216" i="3"/>
  <c r="CO104" i="3"/>
  <c r="CQ104" i="3" s="1"/>
  <c r="L104" i="9" s="1"/>
  <c r="CO89" i="3"/>
  <c r="CO136" i="3"/>
  <c r="CQ136" i="3" s="1"/>
  <c r="L137" i="9" s="1"/>
  <c r="CO208" i="3"/>
  <c r="CO196" i="3"/>
  <c r="CO181" i="3"/>
  <c r="CO68" i="3"/>
  <c r="CQ68" i="3" s="1"/>
  <c r="L68" i="9" s="1"/>
  <c r="CO42" i="3"/>
  <c r="CO10" i="3"/>
  <c r="CQ10" i="3" s="1"/>
  <c r="L9" i="9" s="1"/>
  <c r="CO39" i="3"/>
  <c r="CO38" i="3"/>
  <c r="CO143" i="3"/>
  <c r="CO25" i="3"/>
  <c r="CO9" i="3"/>
  <c r="CO116" i="3"/>
  <c r="CQ116" i="3" s="1"/>
  <c r="L116" i="9" s="1"/>
  <c r="CO22" i="3"/>
  <c r="CO45" i="3"/>
  <c r="CO32" i="3"/>
  <c r="CQ32" i="3" s="1"/>
  <c r="L32" i="9" s="1"/>
  <c r="CO33" i="3"/>
  <c r="CQ33" i="3" s="1"/>
  <c r="L33" i="9" s="1"/>
  <c r="CO125" i="3"/>
  <c r="CO78" i="3"/>
  <c r="CO122" i="3"/>
  <c r="CO62" i="3"/>
  <c r="CO187" i="3"/>
  <c r="CO95" i="3"/>
  <c r="CQ95" i="3" s="1"/>
  <c r="L95" i="9" s="1"/>
  <c r="CO57" i="3"/>
  <c r="CO55" i="3"/>
  <c r="CQ55" i="3" s="1"/>
  <c r="L55" i="9" s="1"/>
  <c r="CO110" i="3"/>
  <c r="CO36" i="3"/>
  <c r="CQ36" i="3" s="1"/>
  <c r="L36" i="9" s="1"/>
  <c r="CO175" i="3"/>
  <c r="CO214" i="3"/>
  <c r="CQ214" i="3" s="1"/>
  <c r="L220" i="9" s="1"/>
  <c r="CO190" i="3"/>
  <c r="CO167" i="3"/>
  <c r="CO48" i="3"/>
  <c r="CO61" i="3"/>
  <c r="CO19" i="3"/>
  <c r="CQ19" i="3" s="1"/>
  <c r="L18" i="9" s="1"/>
  <c r="CO63" i="3"/>
  <c r="CQ63" i="3" s="1"/>
  <c r="L63" i="9" s="1"/>
  <c r="CO81" i="3"/>
  <c r="CQ81" i="3" s="1"/>
  <c r="L81" i="9" s="1"/>
  <c r="CO132" i="3"/>
  <c r="CO108" i="3"/>
  <c r="CO98" i="3"/>
  <c r="CO44" i="3"/>
  <c r="CO113" i="3"/>
  <c r="CQ113" i="3" s="1"/>
  <c r="L113" i="9" s="1"/>
  <c r="CO107" i="3"/>
  <c r="CO71" i="3"/>
  <c r="CO92" i="3"/>
  <c r="CQ92" i="3" s="1"/>
  <c r="L92" i="9" s="1"/>
  <c r="CO18" i="3"/>
  <c r="CQ18" i="3" s="1"/>
  <c r="L17" i="9" s="1"/>
  <c r="CO135" i="3"/>
  <c r="CO28" i="3"/>
  <c r="CQ28" i="3" s="1"/>
  <c r="L27" i="9" s="1"/>
  <c r="CO47" i="3"/>
  <c r="CO217" i="3"/>
  <c r="CO51" i="3"/>
  <c r="CQ51" i="3" s="1"/>
  <c r="L51" i="9" s="1"/>
  <c r="CO210" i="3"/>
  <c r="CQ210" i="3" s="1"/>
  <c r="L214" i="9" s="1"/>
  <c r="CO131" i="3"/>
  <c r="CO205" i="3"/>
  <c r="CO86" i="3"/>
  <c r="CQ86" i="3" s="1"/>
  <c r="L86" i="9" s="1"/>
  <c r="CO3" i="3"/>
  <c r="CO202" i="3"/>
  <c r="CQ202" i="3" s="1"/>
  <c r="L205" i="9" s="1"/>
  <c r="M205" i="9" s="1"/>
  <c r="CO151" i="3"/>
  <c r="CQ151" i="3" s="1"/>
  <c r="L152" i="9" s="1"/>
  <c r="CO13" i="3"/>
  <c r="CO84" i="3"/>
  <c r="CO212" i="3"/>
  <c r="CQ212" i="3" s="1"/>
  <c r="L217" i="9" s="1"/>
  <c r="CO101" i="3"/>
  <c r="CQ101" i="3" s="1"/>
  <c r="L101" i="9" s="1"/>
  <c r="CO199" i="3"/>
  <c r="CO119" i="3"/>
  <c r="CO128" i="3"/>
  <c r="CQ128" i="3" s="1"/>
  <c r="L128" i="9" s="1"/>
  <c r="CO7" i="3"/>
  <c r="CO180" i="3"/>
  <c r="CQ180" i="3" s="1"/>
  <c r="L183" i="9" s="1"/>
  <c r="CO121" i="3"/>
  <c r="CQ121" i="3" s="1"/>
  <c r="L121" i="9" s="1"/>
  <c r="CO53" i="3"/>
  <c r="CO174" i="3"/>
  <c r="CO66" i="3"/>
  <c r="CQ66" i="3" s="1"/>
  <c r="L66" i="9" s="1"/>
  <c r="CO117" i="3"/>
  <c r="CO29" i="3"/>
  <c r="CO115" i="3"/>
  <c r="CO192" i="3"/>
  <c r="CO186" i="3"/>
  <c r="CO191" i="3"/>
  <c r="CO77" i="3"/>
  <c r="CO144" i="3"/>
  <c r="CO46" i="3"/>
  <c r="CO85" i="3"/>
  <c r="CQ85" i="3" s="1"/>
  <c r="L85" i="9" s="1"/>
  <c r="CO209" i="3"/>
  <c r="CO218" i="3"/>
  <c r="CQ218" i="3" s="1"/>
  <c r="L224" i="9" s="1"/>
  <c r="CO120" i="3"/>
  <c r="CO126" i="3"/>
  <c r="CO40" i="3"/>
  <c r="CO21" i="3"/>
  <c r="CQ21" i="3" s="1"/>
  <c r="L20" i="9" s="1"/>
  <c r="CO153" i="3"/>
  <c r="CO178" i="3"/>
  <c r="CO206" i="3"/>
  <c r="CO134" i="3"/>
  <c r="CO148" i="3"/>
  <c r="CO87" i="3"/>
  <c r="CO69" i="3"/>
  <c r="CQ69" i="3" s="1"/>
  <c r="L69" i="9" s="1"/>
  <c r="CO79" i="3"/>
  <c r="CO195" i="3"/>
  <c r="CO67" i="3"/>
  <c r="CO169" i="3"/>
  <c r="CO103" i="3"/>
  <c r="CQ103" i="3" s="1"/>
  <c r="L103" i="9" s="1"/>
  <c r="CO4" i="3"/>
  <c r="CO145" i="3"/>
  <c r="CO109" i="3"/>
  <c r="CO200" i="3"/>
  <c r="CO141" i="3"/>
  <c r="CO154" i="3"/>
  <c r="CO156" i="3"/>
  <c r="CO165" i="3"/>
  <c r="CO100" i="3"/>
  <c r="CO24" i="3"/>
  <c r="CO147" i="3"/>
  <c r="CO207" i="3"/>
  <c r="CO123" i="3"/>
  <c r="CQ123" i="3" s="1"/>
  <c r="L123" i="9" s="1"/>
  <c r="CO43" i="3"/>
  <c r="CO49" i="3"/>
  <c r="CO159" i="3"/>
  <c r="CO166" i="3"/>
  <c r="CO52" i="3"/>
  <c r="CQ52" i="3" s="1"/>
  <c r="L52" i="9" s="1"/>
  <c r="CO179" i="3"/>
  <c r="CO73" i="3"/>
  <c r="CO70" i="3"/>
  <c r="CO6" i="3"/>
  <c r="CQ6" i="3" s="1"/>
  <c r="L5" i="9" s="1"/>
  <c r="CO65" i="3"/>
  <c r="CO182" i="3"/>
  <c r="CO189" i="3"/>
  <c r="CO188" i="3"/>
  <c r="CO26" i="3"/>
  <c r="CQ26" i="3" s="1"/>
  <c r="L25" i="9" s="1"/>
  <c r="CO155" i="3"/>
  <c r="CO150" i="3"/>
  <c r="CO152" i="3"/>
  <c r="CO161" i="3"/>
  <c r="CO173" i="3"/>
  <c r="CO164" i="3"/>
  <c r="CO54" i="3"/>
  <c r="CQ54" i="3" s="1"/>
  <c r="L54" i="9" s="1"/>
  <c r="CO99" i="3"/>
  <c r="CO27" i="3"/>
  <c r="CQ27" i="3" s="1"/>
  <c r="L26" i="9" s="1"/>
  <c r="CO90" i="3"/>
  <c r="CQ90" i="3" s="1"/>
  <c r="L90" i="9" s="1"/>
  <c r="CO130" i="3"/>
  <c r="CO88" i="3"/>
  <c r="CO193" i="3"/>
  <c r="CO111" i="3"/>
  <c r="CO197" i="3"/>
  <c r="CO204" i="3"/>
  <c r="CQ204" i="3" s="1"/>
  <c r="L207" i="9" s="1"/>
  <c r="M207" i="9" s="1"/>
  <c r="CO124" i="3"/>
  <c r="CO163" i="3"/>
  <c r="CO30" i="3"/>
  <c r="CO198" i="3"/>
  <c r="CQ198" i="3" s="1"/>
  <c r="L201" i="9" s="1"/>
  <c r="CO75" i="3"/>
  <c r="CO35" i="3"/>
  <c r="CQ35" i="3" s="1"/>
  <c r="L35" i="9" s="1"/>
  <c r="CO58" i="3"/>
  <c r="CQ58" i="3" s="1"/>
  <c r="L58" i="9" s="1"/>
  <c r="CO97" i="3"/>
  <c r="CO82" i="3"/>
  <c r="CO105" i="3"/>
  <c r="CO17" i="3"/>
  <c r="CO8" i="3"/>
  <c r="CQ8" i="3" s="1"/>
  <c r="L7" i="9" s="1"/>
  <c r="CO5" i="3"/>
  <c r="CO194" i="3"/>
  <c r="CQ194" i="3" s="1"/>
  <c r="L197" i="9" s="1"/>
  <c r="CO171" i="3"/>
  <c r="CO56" i="3"/>
  <c r="CO50" i="3"/>
  <c r="CO170" i="3"/>
  <c r="CO12" i="3"/>
  <c r="CQ12" i="3" s="1"/>
  <c r="L11" i="9" s="1"/>
  <c r="CO142" i="3"/>
  <c r="CQ142" i="3" s="1"/>
  <c r="L143" i="9" s="1"/>
  <c r="CO83" i="3"/>
  <c r="CQ83" i="3" s="1"/>
  <c r="L83" i="9" s="1"/>
  <c r="CO41" i="3"/>
  <c r="CQ41" i="3" s="1"/>
  <c r="L41" i="9" s="1"/>
  <c r="CO185" i="3"/>
  <c r="CO20" i="3"/>
  <c r="CQ20" i="3" s="1"/>
  <c r="L19" i="9" s="1"/>
  <c r="CO162" i="3"/>
  <c r="CO158" i="3"/>
  <c r="CO11" i="3"/>
  <c r="CO149" i="3"/>
  <c r="CQ149" i="3" s="1"/>
  <c r="L150" i="9" s="1"/>
  <c r="CO64" i="3"/>
  <c r="CQ64" i="3" s="1"/>
  <c r="L64" i="9" s="1"/>
  <c r="CO211" i="3"/>
  <c r="CQ211" i="3" s="1"/>
  <c r="L215" i="9" s="1"/>
  <c r="CO138" i="3"/>
  <c r="CQ138" i="3" s="1"/>
  <c r="L139" i="9" s="1"/>
  <c r="CO15" i="3"/>
  <c r="CO137" i="3"/>
  <c r="CQ137" i="3" s="1"/>
  <c r="L138" i="9" s="1"/>
  <c r="CO213" i="3"/>
  <c r="CO114" i="3"/>
  <c r="CQ114" i="3" s="1"/>
  <c r="L114" i="9" s="1"/>
  <c r="CO140" i="3"/>
  <c r="CO203" i="3"/>
  <c r="CO177" i="3"/>
  <c r="CO23" i="3"/>
  <c r="CQ23" i="3" s="1"/>
  <c r="L22" i="9" s="1"/>
  <c r="CO106" i="3"/>
  <c r="CO112" i="3"/>
  <c r="CQ112" i="3" s="1"/>
  <c r="L112" i="9" s="1"/>
  <c r="M112" i="9" s="1"/>
  <c r="CO93" i="3"/>
  <c r="CQ93" i="3" s="1"/>
  <c r="L93" i="9" s="1"/>
  <c r="CO168" i="3"/>
  <c r="CO172" i="3"/>
  <c r="CO72" i="3"/>
  <c r="CQ72" i="3" s="1"/>
  <c r="L72" i="9" s="1"/>
  <c r="CO59" i="3"/>
  <c r="CQ59" i="3" s="1"/>
  <c r="L59" i="9" s="1"/>
  <c r="CO118" i="3"/>
  <c r="CO16" i="3"/>
  <c r="CQ16" i="3" s="1"/>
  <c r="L15" i="9" s="1"/>
  <c r="CO133" i="3"/>
  <c r="CO76" i="3"/>
  <c r="CO139" i="3"/>
  <c r="CO201" i="3"/>
  <c r="CO14" i="3"/>
  <c r="CQ14" i="3" s="1"/>
  <c r="L13" i="9" s="1"/>
  <c r="CO102" i="3"/>
  <c r="CQ102" i="3" s="1"/>
  <c r="L102" i="9" s="1"/>
  <c r="CO184" i="3"/>
  <c r="CO34" i="3"/>
  <c r="CO74" i="3"/>
  <c r="CO183" i="3"/>
  <c r="CO157" i="3"/>
  <c r="CO127" i="3"/>
  <c r="CQ127" i="3" s="1"/>
  <c r="L127" i="9" s="1"/>
  <c r="CO215" i="3"/>
  <c r="CQ215" i="3" s="1"/>
  <c r="L221" i="9" s="1"/>
  <c r="CO80" i="3"/>
  <c r="CQ80" i="3" s="1"/>
  <c r="L80" i="9" s="1"/>
  <c r="CO160" i="3"/>
  <c r="CO129" i="3"/>
  <c r="CQ129" i="3" s="1"/>
  <c r="L129" i="9" s="1"/>
  <c r="CO91" i="3"/>
  <c r="CQ91" i="3" s="1"/>
  <c r="L91" i="9" s="1"/>
  <c r="CO96" i="3"/>
  <c r="CQ96" i="3" s="1"/>
  <c r="L96" i="9" s="1"/>
  <c r="CO176" i="3"/>
  <c r="CO31" i="3"/>
  <c r="CO37" i="3"/>
  <c r="CQ49" i="3"/>
  <c r="L49" i="9" s="1"/>
  <c r="CQ87" i="3"/>
  <c r="L87" i="9" s="1"/>
  <c r="CQ15" i="3"/>
  <c r="L14" i="9" s="1"/>
  <c r="M14" i="9" s="1"/>
  <c r="CQ56" i="3"/>
  <c r="L56" i="9" s="1"/>
  <c r="CQ11" i="3"/>
  <c r="L10" i="9" s="1"/>
  <c r="CQ197" i="3"/>
  <c r="L200" i="9" s="1"/>
  <c r="CQ147" i="3"/>
  <c r="L148" i="9" s="1"/>
  <c r="CQ24" i="3"/>
  <c r="L23" i="9" s="1"/>
  <c r="CQ132" i="3"/>
  <c r="L132" i="9" s="1"/>
  <c r="CQ62" i="3"/>
  <c r="L62" i="9" s="1"/>
  <c r="CQ89" i="3"/>
  <c r="L89" i="9" s="1"/>
  <c r="CQ164" i="2"/>
  <c r="K164" i="9" s="1"/>
  <c r="M164" i="9" s="1"/>
  <c r="CQ70" i="2"/>
  <c r="K69" i="9" s="1"/>
  <c r="CQ76" i="2"/>
  <c r="K75" i="9" s="1"/>
  <c r="CQ74" i="2"/>
  <c r="K73" i="9" s="1"/>
  <c r="CQ210" i="2"/>
  <c r="K221" i="9" s="1"/>
  <c r="CQ123" i="2"/>
  <c r="K122" i="9" s="1"/>
  <c r="CQ37" i="3"/>
  <c r="L37" i="9" s="1"/>
  <c r="CQ185" i="3"/>
  <c r="L188" i="9" s="1"/>
  <c r="CQ163" i="3"/>
  <c r="L164" i="9" s="1"/>
  <c r="CQ40" i="3"/>
  <c r="L40" i="9" s="1"/>
  <c r="CQ209" i="3"/>
  <c r="L213" i="9" s="1"/>
  <c r="M213" i="9" s="1"/>
  <c r="CQ76" i="3"/>
  <c r="L76" i="9" s="1"/>
  <c r="CQ13" i="3"/>
  <c r="L12" i="9" s="1"/>
  <c r="CQ122" i="3"/>
  <c r="L122" i="9" s="1"/>
  <c r="CQ38" i="3"/>
  <c r="L38" i="9" s="1"/>
  <c r="U121" i="15"/>
  <c r="T121" i="15"/>
  <c r="T123" i="15"/>
  <c r="U123" i="15"/>
  <c r="S128" i="16"/>
  <c r="T128" i="16"/>
  <c r="T122" i="15"/>
  <c r="U122" i="15"/>
  <c r="CQ188" i="2"/>
  <c r="K188" i="9" s="1"/>
  <c r="M188" i="9" s="1"/>
  <c r="CQ21" i="2"/>
  <c r="K20" i="9" s="1"/>
  <c r="CQ110" i="2"/>
  <c r="K109" i="9" s="1"/>
  <c r="CQ130" i="2"/>
  <c r="K129" i="9" s="1"/>
  <c r="CQ50" i="2"/>
  <c r="K49" i="9" s="1"/>
  <c r="CQ28" i="2"/>
  <c r="K27" i="9" s="1"/>
  <c r="CQ77" i="3"/>
  <c r="L77" i="9" s="1"/>
  <c r="CQ29" i="3"/>
  <c r="L28" i="9" s="1"/>
  <c r="CQ50" i="3"/>
  <c r="L50" i="9" s="1"/>
  <c r="CQ53" i="3"/>
  <c r="L53" i="9" s="1"/>
  <c r="CQ135" i="3"/>
  <c r="L136" i="9" s="1"/>
  <c r="S122" i="16"/>
  <c r="T122" i="16"/>
  <c r="T129" i="16"/>
  <c r="S129" i="16"/>
  <c r="T118" i="15"/>
  <c r="U118" i="15"/>
  <c r="CQ212" i="2"/>
  <c r="K224" i="9" s="1"/>
  <c r="CQ94" i="2"/>
  <c r="K93" i="9" s="1"/>
  <c r="CQ91" i="2"/>
  <c r="K90" i="9" s="1"/>
  <c r="CQ92" i="2"/>
  <c r="K91" i="9" s="1"/>
  <c r="CQ100" i="2"/>
  <c r="K99" i="9" s="1"/>
  <c r="CQ53" i="2"/>
  <c r="K52" i="9" s="1"/>
  <c r="CQ49" i="2"/>
  <c r="K48" i="9" s="1"/>
  <c r="CQ96" i="2"/>
  <c r="K95" i="9" s="1"/>
  <c r="CQ82" i="2"/>
  <c r="K81" i="9" s="1"/>
  <c r="CQ117" i="3"/>
  <c r="L117" i="9" s="1"/>
  <c r="CQ144" i="3"/>
  <c r="L145" i="9" s="1"/>
  <c r="CQ74" i="3"/>
  <c r="L74" i="9" s="1"/>
  <c r="CQ70" i="3"/>
  <c r="L70" i="9" s="1"/>
  <c r="CQ109" i="3"/>
  <c r="L109" i="9" s="1"/>
  <c r="CQ73" i="3"/>
  <c r="L73" i="9" s="1"/>
  <c r="CQ48" i="3"/>
  <c r="L48" i="9" s="1"/>
  <c r="T125" i="16"/>
  <c r="S125" i="16"/>
  <c r="U117" i="15"/>
  <c r="T117" i="15"/>
  <c r="CQ118" i="2"/>
  <c r="K117" i="9" s="1"/>
  <c r="CQ71" i="2"/>
  <c r="K70" i="9" s="1"/>
  <c r="M70" i="9" s="1"/>
  <c r="CQ8" i="2"/>
  <c r="K7" i="9" s="1"/>
  <c r="CQ57" i="2"/>
  <c r="K56" i="9" s="1"/>
  <c r="M56" i="9" s="1"/>
  <c r="CQ139" i="2"/>
  <c r="K139" i="9" s="1"/>
  <c r="CQ105" i="2"/>
  <c r="K104" i="9" s="1"/>
  <c r="CQ136" i="2"/>
  <c r="K136" i="9" s="1"/>
  <c r="M136" i="9" s="1"/>
  <c r="CQ67" i="3"/>
  <c r="L67" i="9" s="1"/>
  <c r="CQ148" i="3"/>
  <c r="L149" i="9" s="1"/>
  <c r="CQ154" i="3"/>
  <c r="L155" i="9" s="1"/>
  <c r="CQ30" i="3"/>
  <c r="L29" i="9" s="1"/>
  <c r="CQ57" i="3"/>
  <c r="L57" i="9" s="1"/>
  <c r="CQ175" i="3"/>
  <c r="L178" i="9" s="1"/>
  <c r="CQ98" i="3"/>
  <c r="L98" i="9" s="1"/>
  <c r="CQ25" i="3"/>
  <c r="L24" i="9" s="1"/>
  <c r="T119" i="15"/>
  <c r="U119" i="15"/>
  <c r="T119" i="16"/>
  <c r="S119" i="16"/>
  <c r="W66" i="11"/>
  <c r="CQ6" i="2"/>
  <c r="K5" i="9" s="1"/>
  <c r="CQ155" i="2"/>
  <c r="K155" i="9" s="1"/>
  <c r="M155" i="9" s="1"/>
  <c r="CQ11" i="2"/>
  <c r="K10" i="9" s="1"/>
  <c r="M10" i="9" s="1"/>
  <c r="CQ104" i="2"/>
  <c r="K103" i="9" s="1"/>
  <c r="CQ34" i="2"/>
  <c r="K33" i="9" s="1"/>
  <c r="CQ102" i="2"/>
  <c r="K101" i="9" s="1"/>
  <c r="CQ69" i="2"/>
  <c r="K68" i="9" s="1"/>
  <c r="CQ133" i="2"/>
  <c r="K132" i="9" s="1"/>
  <c r="M132" i="9" s="1"/>
  <c r="CQ99" i="3"/>
  <c r="L99" i="9" s="1"/>
  <c r="CQ75" i="3"/>
  <c r="L75" i="9" s="1"/>
  <c r="CQ88" i="3"/>
  <c r="L88" i="9" s="1"/>
  <c r="CQ34" i="3"/>
  <c r="L34" i="9" s="1"/>
  <c r="CQ131" i="3"/>
  <c r="L131" i="9" s="1"/>
  <c r="CS202" i="3" l="1"/>
  <c r="CS205" i="1"/>
  <c r="M58" i="9"/>
  <c r="M11" i="9"/>
  <c r="CS77" i="3"/>
  <c r="CS78" i="2"/>
  <c r="CS78" i="1"/>
  <c r="M83" i="9"/>
  <c r="CS40" i="3"/>
  <c r="CS41" i="2"/>
  <c r="CS41" i="1"/>
  <c r="CS98" i="3"/>
  <c r="CS99" i="2"/>
  <c r="CS99" i="1"/>
  <c r="CS74" i="3"/>
  <c r="CS75" i="2"/>
  <c r="CS75" i="1"/>
  <c r="CS66" i="3"/>
  <c r="CS67" i="2"/>
  <c r="CS67" i="1"/>
  <c r="M19" i="9"/>
  <c r="M25" i="9"/>
  <c r="M102" i="9"/>
  <c r="CS216" i="3"/>
  <c r="CS211" i="2"/>
  <c r="CS221" i="1"/>
  <c r="CS63" i="3"/>
  <c r="CS64" i="2"/>
  <c r="CS64" i="1"/>
  <c r="M116" i="9"/>
  <c r="CS25" i="3"/>
  <c r="CS25" i="2"/>
  <c r="CS25" i="1"/>
  <c r="CS144" i="3"/>
  <c r="CS145" i="2"/>
  <c r="CS146" i="1"/>
  <c r="M197" i="9"/>
  <c r="M114" i="9"/>
  <c r="CS38" i="3"/>
  <c r="CS39" i="2"/>
  <c r="CS39" i="1"/>
  <c r="CS37" i="3"/>
  <c r="CS38" i="2"/>
  <c r="CS38" i="1"/>
  <c r="CS131" i="3"/>
  <c r="CS132" i="2"/>
  <c r="CS132" i="1"/>
  <c r="M72" i="9"/>
  <c r="M26" i="9"/>
  <c r="CS112" i="3"/>
  <c r="CS113" i="2"/>
  <c r="CS113" i="1"/>
  <c r="M92" i="9"/>
  <c r="CS76" i="3"/>
  <c r="CS77" i="2"/>
  <c r="CS77" i="1"/>
  <c r="CS30" i="3"/>
  <c r="CS30" i="1"/>
  <c r="CS30" i="2"/>
  <c r="M18" i="9"/>
  <c r="CS147" i="3"/>
  <c r="CS148" i="2"/>
  <c r="CS149" i="1"/>
  <c r="M64" i="9"/>
  <c r="CS204" i="3"/>
  <c r="CS207" i="1"/>
  <c r="M150" i="9"/>
  <c r="CS132" i="3"/>
  <c r="CS133" i="2"/>
  <c r="CS133" i="1"/>
  <c r="M104" i="9"/>
  <c r="M48" i="9"/>
  <c r="CS185" i="3"/>
  <c r="CS188" i="2"/>
  <c r="CS188" i="1"/>
  <c r="M51" i="9"/>
  <c r="M183" i="9"/>
  <c r="M53" i="9"/>
  <c r="M214" i="9"/>
  <c r="M128" i="9"/>
  <c r="U127" i="15"/>
  <c r="T127" i="15"/>
  <c r="T139" i="16"/>
  <c r="S139" i="16"/>
  <c r="M101" i="9"/>
  <c r="M99" i="9"/>
  <c r="CS163" i="3"/>
  <c r="CS164" i="2"/>
  <c r="CS165" i="1"/>
  <c r="M62" i="9"/>
  <c r="M22" i="9"/>
  <c r="M34" i="9"/>
  <c r="M121" i="9"/>
  <c r="T134" i="15"/>
  <c r="U134" i="15"/>
  <c r="M52" i="9"/>
  <c r="M33" i="9"/>
  <c r="CS56" i="3"/>
  <c r="CS57" i="2"/>
  <c r="CS57" i="1"/>
  <c r="M91" i="9"/>
  <c r="M41" i="9"/>
  <c r="M127" i="9"/>
  <c r="M59" i="9"/>
  <c r="M134" i="9"/>
  <c r="M126" i="9"/>
  <c r="U129" i="15"/>
  <c r="T129" i="15"/>
  <c r="T131" i="16"/>
  <c r="S131" i="16"/>
  <c r="M139" i="9"/>
  <c r="W541" i="15"/>
  <c r="W539" i="15"/>
  <c r="W537" i="15"/>
  <c r="W535" i="15"/>
  <c r="W533" i="15"/>
  <c r="W543" i="15"/>
  <c r="W540" i="15"/>
  <c r="W542" i="15"/>
  <c r="W534" i="15"/>
  <c r="W538" i="15"/>
  <c r="W536" i="15"/>
  <c r="M103" i="9"/>
  <c r="M7" i="9"/>
  <c r="M90" i="9"/>
  <c r="M201" i="9"/>
  <c r="M23" i="9"/>
  <c r="M17" i="9"/>
  <c r="M15" i="9"/>
  <c r="M215" i="9"/>
  <c r="M105" i="9"/>
  <c r="T141" i="16"/>
  <c r="S141" i="16"/>
  <c r="M69" i="9"/>
  <c r="M137" i="9"/>
  <c r="CS11" i="3"/>
  <c r="CS11" i="2"/>
  <c r="CS11" i="1"/>
  <c r="CS70" i="3"/>
  <c r="CS71" i="2"/>
  <c r="CS71" i="1"/>
  <c r="M93" i="9"/>
  <c r="M87" i="9"/>
  <c r="M9" i="9"/>
  <c r="M55" i="9"/>
  <c r="M123" i="9"/>
  <c r="M80" i="9"/>
  <c r="T132" i="15"/>
  <c r="U132" i="15"/>
  <c r="T126" i="15"/>
  <c r="U126" i="15"/>
  <c r="S132" i="16"/>
  <c r="T132" i="16"/>
  <c r="Y541" i="15"/>
  <c r="Y539" i="15"/>
  <c r="Y537" i="15"/>
  <c r="Y535" i="15"/>
  <c r="Y533" i="15"/>
  <c r="Y540" i="15"/>
  <c r="Y538" i="15"/>
  <c r="Y536" i="15"/>
  <c r="Y534" i="15"/>
  <c r="Y542" i="15"/>
  <c r="Y543" i="15"/>
  <c r="V532" i="15"/>
  <c r="CS154" i="3"/>
  <c r="CS155" i="2"/>
  <c r="CS156" i="1"/>
  <c r="M117" i="9"/>
  <c r="M224" i="9"/>
  <c r="M122" i="9"/>
  <c r="CS115" i="3"/>
  <c r="CS116" i="2"/>
  <c r="CS116" i="1"/>
  <c r="M12" i="9"/>
  <c r="M86" i="9"/>
  <c r="U130" i="15"/>
  <c r="T130" i="15"/>
  <c r="U135" i="15"/>
  <c r="T135" i="15"/>
  <c r="M57" i="9"/>
  <c r="T137" i="16"/>
  <c r="S137" i="16"/>
  <c r="CS88" i="3"/>
  <c r="CS89" i="2"/>
  <c r="CS89" i="1"/>
  <c r="S140" i="16"/>
  <c r="T140" i="16"/>
  <c r="M27" i="9"/>
  <c r="M221" i="9"/>
  <c r="M85" i="9"/>
  <c r="M113" i="9"/>
  <c r="M178" i="9"/>
  <c r="Q140" i="15"/>
  <c r="Q138" i="15"/>
  <c r="U136" i="15"/>
  <c r="T136" i="15"/>
  <c r="Q148" i="15"/>
  <c r="Q143" i="15"/>
  <c r="Q137" i="15"/>
  <c r="Q145" i="15"/>
  <c r="Q142" i="15"/>
  <c r="Q147" i="15"/>
  <c r="Q139" i="15"/>
  <c r="Q146" i="15"/>
  <c r="Q144" i="15"/>
  <c r="Q141" i="15"/>
  <c r="S142" i="16"/>
  <c r="P150" i="16"/>
  <c r="P145" i="16"/>
  <c r="P144" i="16"/>
  <c r="P154" i="16"/>
  <c r="P149" i="16"/>
  <c r="P143" i="16"/>
  <c r="P153" i="16"/>
  <c r="P151" i="16"/>
  <c r="P148" i="16"/>
  <c r="P147" i="16"/>
  <c r="P146" i="16"/>
  <c r="P152" i="16"/>
  <c r="T142" i="16"/>
  <c r="U125" i="15"/>
  <c r="T125" i="15"/>
  <c r="M49" i="9"/>
  <c r="M73" i="9"/>
  <c r="M89" i="9"/>
  <c r="M217" i="9"/>
  <c r="M149" i="9"/>
  <c r="S133" i="16"/>
  <c r="T133" i="16"/>
  <c r="Y532" i="15"/>
  <c r="X527" i="15"/>
  <c r="X524" i="15"/>
  <c r="X529" i="15"/>
  <c r="X521" i="15"/>
  <c r="X526" i="15"/>
  <c r="X531" i="15"/>
  <c r="X523" i="15"/>
  <c r="X528" i="15"/>
  <c r="X530" i="15"/>
  <c r="X525" i="15"/>
  <c r="X520" i="15"/>
  <c r="X522" i="15"/>
  <c r="M68" i="9"/>
  <c r="M35" i="9"/>
  <c r="M5" i="9"/>
  <c r="M129" i="9"/>
  <c r="M75" i="9"/>
  <c r="M138" i="9"/>
  <c r="M50" i="9"/>
  <c r="T128" i="15"/>
  <c r="U128" i="15"/>
  <c r="M143" i="9"/>
  <c r="S138" i="16"/>
  <c r="T138" i="16"/>
  <c r="CS22" i="3"/>
  <c r="CS22" i="2"/>
  <c r="CS22" i="1"/>
  <c r="M81" i="9"/>
  <c r="M109" i="9"/>
  <c r="M200" i="9"/>
  <c r="M96" i="9"/>
  <c r="M36" i="9"/>
  <c r="M32" i="9"/>
  <c r="T131" i="15"/>
  <c r="U131" i="15"/>
  <c r="M13" i="9"/>
  <c r="T135" i="16"/>
  <c r="S135" i="16"/>
  <c r="S134" i="16"/>
  <c r="T134" i="16"/>
  <c r="CS209" i="3"/>
  <c r="CE213" i="2"/>
  <c r="CS212" i="1"/>
  <c r="CS29" i="3"/>
  <c r="CS29" i="2"/>
  <c r="CS29" i="1"/>
  <c r="CS67" i="3"/>
  <c r="CS68" i="2"/>
  <c r="CS68" i="1"/>
  <c r="CS135" i="3"/>
  <c r="CS136" i="2"/>
  <c r="CS137" i="1"/>
  <c r="M95" i="9"/>
  <c r="M20" i="9"/>
  <c r="CS15" i="3"/>
  <c r="CS15" i="2"/>
  <c r="CS15" i="1"/>
  <c r="M220" i="9"/>
  <c r="M54" i="9"/>
  <c r="M152" i="9"/>
  <c r="U133" i="15"/>
  <c r="T133" i="15"/>
  <c r="S136" i="16"/>
  <c r="T136" i="16"/>
  <c r="CS10" i="3" l="1"/>
  <c r="CS10" i="2"/>
  <c r="CS10" i="1"/>
  <c r="CS103" i="3"/>
  <c r="CS104" i="2"/>
  <c r="CS104" i="1"/>
  <c r="CS102" i="3"/>
  <c r="CS103" i="2"/>
  <c r="CS103" i="1"/>
  <c r="CS129" i="3"/>
  <c r="CS130" i="2"/>
  <c r="CS130" i="1"/>
  <c r="CS68" i="3"/>
  <c r="CS69" i="2"/>
  <c r="CS69" i="1"/>
  <c r="CS89" i="3"/>
  <c r="CS90" i="2"/>
  <c r="CS90" i="1"/>
  <c r="S144" i="16"/>
  <c r="T144" i="16"/>
  <c r="U147" i="15"/>
  <c r="T147" i="15"/>
  <c r="CS62" i="3"/>
  <c r="CS63" i="2"/>
  <c r="CS63" i="1"/>
  <c r="CS26" i="3"/>
  <c r="CS26" i="2"/>
  <c r="CS26" i="1"/>
  <c r="S154" i="16"/>
  <c r="P166" i="16"/>
  <c r="P161" i="16"/>
  <c r="P160" i="16"/>
  <c r="T154" i="16"/>
  <c r="P165" i="16"/>
  <c r="P159" i="16"/>
  <c r="P158" i="16"/>
  <c r="P157" i="16"/>
  <c r="P164" i="16"/>
  <c r="P156" i="16"/>
  <c r="P155" i="16"/>
  <c r="P163" i="16"/>
  <c r="P162" i="16"/>
  <c r="U139" i="15"/>
  <c r="T139" i="15"/>
  <c r="CS151" i="3"/>
  <c r="CS152" i="2"/>
  <c r="CS153" i="1"/>
  <c r="CS21" i="3"/>
  <c r="CS21" i="2"/>
  <c r="CS21" i="1"/>
  <c r="CS197" i="3"/>
  <c r="CS200" i="2"/>
  <c r="CS200" i="1"/>
  <c r="S145" i="16"/>
  <c r="T145" i="16"/>
  <c r="U142" i="15"/>
  <c r="T142" i="15"/>
  <c r="CS87" i="3"/>
  <c r="CS88" i="2"/>
  <c r="CS88" i="1"/>
  <c r="CS105" i="3"/>
  <c r="CS106" i="2"/>
  <c r="CS106" i="1"/>
  <c r="CS34" i="3"/>
  <c r="CS35" i="1"/>
  <c r="CS35" i="2"/>
  <c r="CS99" i="3"/>
  <c r="CS100" i="2"/>
  <c r="CS100" i="1"/>
  <c r="CS53" i="3"/>
  <c r="CS54" i="2"/>
  <c r="CS54" i="1"/>
  <c r="CS64" i="3"/>
  <c r="CS65" i="2"/>
  <c r="CS65" i="1"/>
  <c r="CS92" i="3"/>
  <c r="CS93" i="2"/>
  <c r="CS93" i="1"/>
  <c r="CS20" i="3"/>
  <c r="CS20" i="2"/>
  <c r="CS20" i="1"/>
  <c r="CS80" i="3"/>
  <c r="CS81" i="2"/>
  <c r="CS81" i="1"/>
  <c r="CS133" i="3"/>
  <c r="CS134" i="2"/>
  <c r="CS135" i="1"/>
  <c r="CS214" i="3"/>
  <c r="CE221" i="3"/>
  <c r="CE220" i="2"/>
  <c r="CS209" i="2"/>
  <c r="CS219" i="1"/>
  <c r="CS50" i="3"/>
  <c r="CS51" i="2"/>
  <c r="CS51" i="1"/>
  <c r="CS148" i="3"/>
  <c r="CS149" i="2"/>
  <c r="CS150" i="1"/>
  <c r="S150" i="16"/>
  <c r="T150" i="16"/>
  <c r="U145" i="15"/>
  <c r="T145" i="15"/>
  <c r="CS113" i="3"/>
  <c r="CS114" i="2"/>
  <c r="CS114" i="1"/>
  <c r="CS13" i="3"/>
  <c r="CS13" i="2"/>
  <c r="CS13" i="1"/>
  <c r="CS211" i="3"/>
  <c r="CS205" i="2"/>
  <c r="CS214" i="1"/>
  <c r="CS91" i="3"/>
  <c r="CS92" i="2"/>
  <c r="CS92" i="1"/>
  <c r="Y531" i="15"/>
  <c r="Y529" i="15"/>
  <c r="Y527" i="15"/>
  <c r="Y525" i="15"/>
  <c r="Y523" i="15"/>
  <c r="Y521" i="15"/>
  <c r="Y530" i="15"/>
  <c r="Y528" i="15"/>
  <c r="Y526" i="15"/>
  <c r="Y524" i="15"/>
  <c r="Y522" i="15"/>
  <c r="S152" i="16"/>
  <c r="T152" i="16"/>
  <c r="U137" i="15"/>
  <c r="T137" i="15"/>
  <c r="CS218" i="3"/>
  <c r="CS212" i="2"/>
  <c r="CS136" i="3"/>
  <c r="CS137" i="2"/>
  <c r="CS138" i="1"/>
  <c r="CS83" i="3"/>
  <c r="CS84" i="2"/>
  <c r="CS84" i="1"/>
  <c r="CS95" i="3"/>
  <c r="CS96" i="2"/>
  <c r="CS96" i="1"/>
  <c r="CS81" i="3"/>
  <c r="CS82" i="2"/>
  <c r="CS82" i="1"/>
  <c r="Y520" i="15"/>
  <c r="X519" i="15"/>
  <c r="X511" i="15"/>
  <c r="X516" i="15"/>
  <c r="X508" i="15"/>
  <c r="X513" i="15"/>
  <c r="X518" i="15"/>
  <c r="X510" i="15"/>
  <c r="X515" i="15"/>
  <c r="X517" i="15"/>
  <c r="X509" i="15"/>
  <c r="X512" i="15"/>
  <c r="X514" i="15"/>
  <c r="S146" i="16"/>
  <c r="T146" i="16"/>
  <c r="T143" i="15"/>
  <c r="U143" i="15"/>
  <c r="CS69" i="3"/>
  <c r="CS70" i="2"/>
  <c r="CS70" i="1"/>
  <c r="CS16" i="3"/>
  <c r="CS16" i="2"/>
  <c r="CS16" i="1"/>
  <c r="CS138" i="3"/>
  <c r="CS139" i="2"/>
  <c r="CS140" i="1"/>
  <c r="CS59" i="3"/>
  <c r="CS60" i="2"/>
  <c r="CS60" i="1"/>
  <c r="CS41" i="3"/>
  <c r="CS42" i="2"/>
  <c r="CS42" i="1"/>
  <c r="CS180" i="3"/>
  <c r="CS183" i="2"/>
  <c r="CS183" i="1"/>
  <c r="CS116" i="3"/>
  <c r="CS117" i="2"/>
  <c r="CS117" i="1"/>
  <c r="CS32" i="3"/>
  <c r="CS33" i="2"/>
  <c r="CS33" i="1"/>
  <c r="CS109" i="3"/>
  <c r="CS110" i="2"/>
  <c r="CS110" i="1"/>
  <c r="CS36" i="3"/>
  <c r="CS37" i="2"/>
  <c r="CS37" i="1"/>
  <c r="CS137" i="3"/>
  <c r="CS138" i="2"/>
  <c r="CS139" i="1"/>
  <c r="CS73" i="3"/>
  <c r="CS74" i="2"/>
  <c r="CS74" i="1"/>
  <c r="T147" i="16"/>
  <c r="S147" i="16"/>
  <c r="Q158" i="15"/>
  <c r="Q149" i="15"/>
  <c r="Q152" i="15"/>
  <c r="Q151" i="15"/>
  <c r="Q160" i="15"/>
  <c r="Q159" i="15"/>
  <c r="U148" i="15"/>
  <c r="T148" i="15"/>
  <c r="Q157" i="15"/>
  <c r="Q154" i="15"/>
  <c r="Q153" i="15"/>
  <c r="Q150" i="15"/>
  <c r="Q156" i="15"/>
  <c r="Q155" i="15"/>
  <c r="CS85" i="3"/>
  <c r="CS86" i="2"/>
  <c r="CS86" i="1"/>
  <c r="CS123" i="3"/>
  <c r="CS124" i="2"/>
  <c r="CS124" i="1"/>
  <c r="CS18" i="3"/>
  <c r="CS18" i="2"/>
  <c r="CS18" i="1"/>
  <c r="CS126" i="3"/>
  <c r="CS127" i="2"/>
  <c r="CS127" i="1"/>
  <c r="CS52" i="3"/>
  <c r="CS53" i="2"/>
  <c r="CS53" i="1"/>
  <c r="CS48" i="3"/>
  <c r="CS49" i="2"/>
  <c r="CS49" i="1"/>
  <c r="CS19" i="3"/>
  <c r="CS19" i="2"/>
  <c r="CS19" i="1"/>
  <c r="CS27" i="3"/>
  <c r="CS27" i="2"/>
  <c r="CS27" i="1"/>
  <c r="CS142" i="3"/>
  <c r="CS143" i="2"/>
  <c r="CS144" i="1"/>
  <c r="CS6" i="3"/>
  <c r="CS6" i="2"/>
  <c r="CS6" i="1"/>
  <c r="S148" i="16"/>
  <c r="T148" i="16"/>
  <c r="CS57" i="3"/>
  <c r="CS58" i="2"/>
  <c r="CS58" i="1"/>
  <c r="CS117" i="3"/>
  <c r="CS118" i="2"/>
  <c r="CS118" i="1"/>
  <c r="CS90" i="3"/>
  <c r="CS91" i="2"/>
  <c r="CS91" i="1"/>
  <c r="CS23" i="3"/>
  <c r="CS23" i="2"/>
  <c r="CS23" i="1"/>
  <c r="CS101" i="3"/>
  <c r="CS102" i="2"/>
  <c r="CS102" i="1"/>
  <c r="CS128" i="3"/>
  <c r="CS129" i="2"/>
  <c r="CS129" i="1"/>
  <c r="CS72" i="3"/>
  <c r="CS73" i="2"/>
  <c r="CS73" i="1"/>
  <c r="CS114" i="3"/>
  <c r="CS115" i="2"/>
  <c r="CS115" i="1"/>
  <c r="CS35" i="3"/>
  <c r="CS36" i="2"/>
  <c r="CS36" i="1"/>
  <c r="CS49" i="3"/>
  <c r="CS50" i="2"/>
  <c r="CS50" i="1"/>
  <c r="T151" i="16"/>
  <c r="S151" i="16"/>
  <c r="CS24" i="3"/>
  <c r="CS24" i="2"/>
  <c r="CS24" i="1"/>
  <c r="CS194" i="3"/>
  <c r="CS197" i="2"/>
  <c r="CS197" i="1"/>
  <c r="CS12" i="3"/>
  <c r="CS12" i="2"/>
  <c r="CS12" i="1"/>
  <c r="CS14" i="3"/>
  <c r="CS14" i="2"/>
  <c r="CS14" i="1"/>
  <c r="CS96" i="3"/>
  <c r="CS97" i="1"/>
  <c r="CS97" i="2"/>
  <c r="T153" i="16"/>
  <c r="S153" i="16"/>
  <c r="T141" i="15"/>
  <c r="U141" i="15"/>
  <c r="U138" i="15"/>
  <c r="T138" i="15"/>
  <c r="CS215" i="3"/>
  <c r="CS210" i="2"/>
  <c r="CS220" i="1"/>
  <c r="V530" i="15"/>
  <c r="V522" i="15"/>
  <c r="V527" i="15"/>
  <c r="W532" i="15"/>
  <c r="V524" i="15"/>
  <c r="V529" i="15"/>
  <c r="V521" i="15"/>
  <c r="V526" i="15"/>
  <c r="V531" i="15"/>
  <c r="V525" i="15"/>
  <c r="V528" i="15"/>
  <c r="V523" i="15"/>
  <c r="CS55" i="3"/>
  <c r="CS56" i="2"/>
  <c r="CS56" i="1"/>
  <c r="CS93" i="3"/>
  <c r="CS94" i="2"/>
  <c r="CS94" i="1"/>
  <c r="CS127" i="3"/>
  <c r="CS128" i="2"/>
  <c r="CS128" i="1"/>
  <c r="CS51" i="3"/>
  <c r="CS52" i="2"/>
  <c r="CS52" i="1"/>
  <c r="CS58" i="3"/>
  <c r="CS59" i="2"/>
  <c r="CS59" i="1"/>
  <c r="CS54" i="3"/>
  <c r="CS55" i="2"/>
  <c r="CS55" i="1"/>
  <c r="CS75" i="3"/>
  <c r="CS76" i="2"/>
  <c r="CS76" i="1"/>
  <c r="T143" i="16"/>
  <c r="S143" i="16"/>
  <c r="U144" i="15"/>
  <c r="T144" i="15"/>
  <c r="U140" i="15"/>
  <c r="T140" i="15"/>
  <c r="CS175" i="3"/>
  <c r="CS178" i="2"/>
  <c r="CS179" i="1"/>
  <c r="CS8" i="3"/>
  <c r="CS8" i="2"/>
  <c r="CS8" i="1"/>
  <c r="CS33" i="3"/>
  <c r="CS34" i="2"/>
  <c r="CS34" i="1"/>
  <c r="CS104" i="3"/>
  <c r="CS105" i="2"/>
  <c r="CS105" i="1"/>
  <c r="CS212" i="3"/>
  <c r="CS206" i="2"/>
  <c r="CS216" i="1"/>
  <c r="S149" i="16"/>
  <c r="T149" i="16"/>
  <c r="T146" i="15"/>
  <c r="U146" i="15"/>
  <c r="CS28" i="3"/>
  <c r="CS28" i="2"/>
  <c r="CS28" i="1"/>
  <c r="CS86" i="3"/>
  <c r="CS87" i="2"/>
  <c r="CS87" i="1"/>
  <c r="CS122" i="3"/>
  <c r="CS123" i="2"/>
  <c r="CS123" i="1"/>
  <c r="CS198" i="3"/>
  <c r="CS201" i="2"/>
  <c r="CS201" i="1"/>
  <c r="CS121" i="3"/>
  <c r="CS122" i="2"/>
  <c r="CS122" i="1"/>
  <c r="CS210" i="3"/>
  <c r="CS204" i="2"/>
  <c r="CS213" i="1"/>
  <c r="CS149" i="3"/>
  <c r="CS150" i="2"/>
  <c r="CS151" i="1"/>
  <c r="Q170" i="15" l="1"/>
  <c r="Q161" i="15"/>
  <c r="Q164" i="15"/>
  <c r="Q165" i="15"/>
  <c r="Q167" i="15"/>
  <c r="T160" i="15"/>
  <c r="Q169" i="15"/>
  <c r="Q162" i="15"/>
  <c r="Q168" i="15"/>
  <c r="Q172" i="15"/>
  <c r="Q171" i="15"/>
  <c r="U160" i="15"/>
  <c r="Q163" i="15"/>
  <c r="Q166" i="15"/>
  <c r="S161" i="16"/>
  <c r="T161" i="16"/>
  <c r="T151" i="15"/>
  <c r="U151" i="15"/>
  <c r="Y519" i="15"/>
  <c r="Y517" i="15"/>
  <c r="Y515" i="15"/>
  <c r="Y513" i="15"/>
  <c r="Y511" i="15"/>
  <c r="Y509" i="15"/>
  <c r="Y518" i="15"/>
  <c r="Y516" i="15"/>
  <c r="Y514" i="15"/>
  <c r="Y512" i="15"/>
  <c r="Y510" i="15"/>
  <c r="S162" i="16"/>
  <c r="T162" i="16"/>
  <c r="S166" i="16"/>
  <c r="P177" i="16"/>
  <c r="P176" i="16"/>
  <c r="P170" i="16"/>
  <c r="P175" i="16"/>
  <c r="P174" i="16"/>
  <c r="P169" i="16"/>
  <c r="P178" i="16"/>
  <c r="P168" i="16"/>
  <c r="P167" i="16"/>
  <c r="T166" i="16"/>
  <c r="P171" i="16"/>
  <c r="P172" i="16"/>
  <c r="P173" i="16"/>
  <c r="W531" i="15"/>
  <c r="W529" i="15"/>
  <c r="W527" i="15"/>
  <c r="W525" i="15"/>
  <c r="W523" i="15"/>
  <c r="W521" i="15"/>
  <c r="W524" i="15"/>
  <c r="W526" i="15"/>
  <c r="W522" i="15"/>
  <c r="W530" i="15"/>
  <c r="W528" i="15"/>
  <c r="T152" i="15"/>
  <c r="U152" i="15"/>
  <c r="T163" i="16"/>
  <c r="S163" i="16"/>
  <c r="U155" i="15"/>
  <c r="T155" i="15"/>
  <c r="U149" i="15"/>
  <c r="T149" i="15"/>
  <c r="T155" i="16"/>
  <c r="S155" i="16"/>
  <c r="U156" i="15"/>
  <c r="T156" i="15"/>
  <c r="U158" i="15"/>
  <c r="T158" i="15"/>
  <c r="S156" i="16"/>
  <c r="T156" i="16"/>
  <c r="U150" i="15"/>
  <c r="T150" i="15"/>
  <c r="S164" i="16"/>
  <c r="T164" i="16"/>
  <c r="V520" i="15"/>
  <c r="U153" i="15"/>
  <c r="T153" i="15"/>
  <c r="T157" i="16"/>
  <c r="S157" i="16"/>
  <c r="T154" i="15"/>
  <c r="U154" i="15"/>
  <c r="S158" i="16"/>
  <c r="T158" i="16"/>
  <c r="T157" i="15"/>
  <c r="U157" i="15"/>
  <c r="T159" i="16"/>
  <c r="S159" i="16"/>
  <c r="Y508" i="15"/>
  <c r="X496" i="15" s="1"/>
  <c r="X503" i="15"/>
  <c r="X500" i="15"/>
  <c r="X505" i="15"/>
  <c r="X497" i="15"/>
  <c r="X502" i="15"/>
  <c r="X507" i="15"/>
  <c r="X499" i="15"/>
  <c r="X498" i="15"/>
  <c r="X501" i="15"/>
  <c r="X504" i="15"/>
  <c r="X506" i="15"/>
  <c r="S165" i="16"/>
  <c r="T165" i="16"/>
  <c r="U159" i="15"/>
  <c r="T159" i="15"/>
  <c r="S160" i="16"/>
  <c r="T160" i="16"/>
  <c r="Y496" i="15" l="1"/>
  <c r="X495" i="15"/>
  <c r="X484" i="15"/>
  <c r="V514" i="15"/>
  <c r="V519" i="15"/>
  <c r="V511" i="15"/>
  <c r="V516" i="15"/>
  <c r="V513" i="15"/>
  <c r="V518" i="15"/>
  <c r="V510" i="15"/>
  <c r="V517" i="15"/>
  <c r="V509" i="15"/>
  <c r="V512" i="15"/>
  <c r="V515" i="15"/>
  <c r="W520" i="15"/>
  <c r="S172" i="16"/>
  <c r="T172" i="16"/>
  <c r="U168" i="15"/>
  <c r="T168" i="15"/>
  <c r="T171" i="16"/>
  <c r="S171" i="16"/>
  <c r="U162" i="15"/>
  <c r="T162" i="15"/>
  <c r="Q182" i="15"/>
  <c r="Q173" i="15"/>
  <c r="Q176" i="15"/>
  <c r="Q174" i="15"/>
  <c r="Q183" i="15"/>
  <c r="Q178" i="15"/>
  <c r="Q175" i="15"/>
  <c r="Q184" i="15"/>
  <c r="Q180" i="15"/>
  <c r="U172" i="15"/>
  <c r="T172" i="15"/>
  <c r="Q179" i="15"/>
  <c r="Q181" i="15"/>
  <c r="Q177" i="15"/>
  <c r="T169" i="15"/>
  <c r="U169" i="15"/>
  <c r="T173" i="16"/>
  <c r="S173" i="16"/>
  <c r="T167" i="16"/>
  <c r="S167" i="16"/>
  <c r="T177" i="16"/>
  <c r="S177" i="16"/>
  <c r="S168" i="16"/>
  <c r="T168" i="16"/>
  <c r="T167" i="15"/>
  <c r="U167" i="15"/>
  <c r="S178" i="16"/>
  <c r="P182" i="16"/>
  <c r="P186" i="16"/>
  <c r="P181" i="16"/>
  <c r="P190" i="16"/>
  <c r="P185" i="16"/>
  <c r="T178" i="16"/>
  <c r="P188" i="16"/>
  <c r="P187" i="16"/>
  <c r="P184" i="16"/>
  <c r="P183" i="16"/>
  <c r="P180" i="16"/>
  <c r="P179" i="16"/>
  <c r="P189" i="16"/>
  <c r="T165" i="15"/>
  <c r="U165" i="15"/>
  <c r="T169" i="16"/>
  <c r="S169" i="16"/>
  <c r="U164" i="15"/>
  <c r="T164" i="15"/>
  <c r="Y507" i="15"/>
  <c r="Y505" i="15"/>
  <c r="Y503" i="15"/>
  <c r="Y501" i="15"/>
  <c r="Y499" i="15"/>
  <c r="Y497" i="15"/>
  <c r="Y506" i="15"/>
  <c r="Y504" i="15"/>
  <c r="Y502" i="15"/>
  <c r="Y500" i="15"/>
  <c r="Y498" i="15"/>
  <c r="S174" i="16"/>
  <c r="T174" i="16"/>
  <c r="T166" i="15"/>
  <c r="U166" i="15"/>
  <c r="U161" i="15"/>
  <c r="T161" i="15"/>
  <c r="T175" i="16"/>
  <c r="S175" i="16"/>
  <c r="T163" i="15"/>
  <c r="U163" i="15"/>
  <c r="U170" i="15"/>
  <c r="T170" i="15"/>
  <c r="S170" i="16"/>
  <c r="T170" i="16"/>
  <c r="S176" i="16"/>
  <c r="T176" i="16"/>
  <c r="U171" i="15"/>
  <c r="T171" i="15"/>
  <c r="S184" i="16" l="1"/>
  <c r="T184" i="16"/>
  <c r="U176" i="15"/>
  <c r="T176" i="15"/>
  <c r="T187" i="16"/>
  <c r="S187" i="16"/>
  <c r="U177" i="15"/>
  <c r="T177" i="15"/>
  <c r="U173" i="15"/>
  <c r="T173" i="15"/>
  <c r="S188" i="16"/>
  <c r="T188" i="16"/>
  <c r="T181" i="15"/>
  <c r="U181" i="15"/>
  <c r="U182" i="15"/>
  <c r="T182" i="15"/>
  <c r="T185" i="16"/>
  <c r="S185" i="16"/>
  <c r="W519" i="15"/>
  <c r="W517" i="15"/>
  <c r="W515" i="15"/>
  <c r="W513" i="15"/>
  <c r="W511" i="15"/>
  <c r="W509" i="15"/>
  <c r="W516" i="15"/>
  <c r="W518" i="15"/>
  <c r="W510" i="15"/>
  <c r="W514" i="15"/>
  <c r="W512" i="15"/>
  <c r="S190" i="16"/>
  <c r="P198" i="16"/>
  <c r="P193" i="16"/>
  <c r="P192" i="16"/>
  <c r="P202" i="16"/>
  <c r="P197" i="16"/>
  <c r="P191" i="16"/>
  <c r="P201" i="16"/>
  <c r="P196" i="16"/>
  <c r="P195" i="16"/>
  <c r="P194" i="16"/>
  <c r="P200" i="16"/>
  <c r="P199" i="16"/>
  <c r="T190" i="16"/>
  <c r="S181" i="16"/>
  <c r="T181" i="16"/>
  <c r="U180" i="15"/>
  <c r="T180" i="15"/>
  <c r="Y484" i="15"/>
  <c r="X483" i="15"/>
  <c r="X472" i="15"/>
  <c r="S186" i="16"/>
  <c r="T186" i="16"/>
  <c r="Q194" i="15"/>
  <c r="Q185" i="15"/>
  <c r="Q188" i="15"/>
  <c r="Q190" i="15"/>
  <c r="Q192" i="15"/>
  <c r="Q191" i="15"/>
  <c r="T184" i="15"/>
  <c r="Q187" i="15"/>
  <c r="Q195" i="15"/>
  <c r="Q186" i="15"/>
  <c r="Q196" i="15"/>
  <c r="U184" i="15"/>
  <c r="Q193" i="15"/>
  <c r="Q189" i="15"/>
  <c r="Y495" i="15"/>
  <c r="X494" i="15"/>
  <c r="T189" i="16"/>
  <c r="S189" i="16"/>
  <c r="S182" i="16"/>
  <c r="T182" i="16"/>
  <c r="T175" i="15"/>
  <c r="U175" i="15"/>
  <c r="T179" i="16"/>
  <c r="S179" i="16"/>
  <c r="T178" i="15"/>
  <c r="U178" i="15"/>
  <c r="S180" i="16"/>
  <c r="T180" i="16"/>
  <c r="U183" i="15"/>
  <c r="T183" i="15"/>
  <c r="U179" i="15"/>
  <c r="T179" i="15"/>
  <c r="T183" i="16"/>
  <c r="S183" i="16"/>
  <c r="U174" i="15"/>
  <c r="T174" i="15"/>
  <c r="V508" i="15"/>
  <c r="S194" i="16" l="1"/>
  <c r="T194" i="16"/>
  <c r="S196" i="16"/>
  <c r="T196" i="16"/>
  <c r="T190" i="15"/>
  <c r="U190" i="15"/>
  <c r="T201" i="16"/>
  <c r="S201" i="16"/>
  <c r="U191" i="15"/>
  <c r="T191" i="15"/>
  <c r="T188" i="15"/>
  <c r="U188" i="15"/>
  <c r="T191" i="16"/>
  <c r="S191" i="16"/>
  <c r="T195" i="16"/>
  <c r="S195" i="16"/>
  <c r="U192" i="15"/>
  <c r="T192" i="15"/>
  <c r="U189" i="15"/>
  <c r="T189" i="15"/>
  <c r="U185" i="15"/>
  <c r="T185" i="15"/>
  <c r="S197" i="16"/>
  <c r="T197" i="16"/>
  <c r="Y483" i="15"/>
  <c r="X482" i="15"/>
  <c r="Y494" i="15"/>
  <c r="X493" i="15"/>
  <c r="T193" i="15"/>
  <c r="U193" i="15"/>
  <c r="U194" i="15"/>
  <c r="T194" i="15"/>
  <c r="S202" i="16"/>
  <c r="P214" i="16"/>
  <c r="P209" i="16"/>
  <c r="P208" i="16"/>
  <c r="T202" i="16"/>
  <c r="P213" i="16"/>
  <c r="P207" i="16"/>
  <c r="P206" i="16"/>
  <c r="P205" i="16"/>
  <c r="P212" i="16"/>
  <c r="P204" i="16"/>
  <c r="P211" i="16"/>
  <c r="P203" i="16"/>
  <c r="P210" i="16"/>
  <c r="S192" i="16"/>
  <c r="T192" i="16"/>
  <c r="Y472" i="15"/>
  <c r="X471" i="15"/>
  <c r="X460" i="15"/>
  <c r="Q206" i="15"/>
  <c r="Q197" i="15"/>
  <c r="Q200" i="15"/>
  <c r="Q199" i="15"/>
  <c r="Q208" i="15"/>
  <c r="Q201" i="15"/>
  <c r="U196" i="15"/>
  <c r="Q207" i="15"/>
  <c r="Q204" i="15"/>
  <c r="Q203" i="15"/>
  <c r="Q202" i="15"/>
  <c r="Q198" i="15"/>
  <c r="Q205" i="15"/>
  <c r="T196" i="15"/>
  <c r="T193" i="16"/>
  <c r="S193" i="16"/>
  <c r="U186" i="15"/>
  <c r="T186" i="15"/>
  <c r="S198" i="16"/>
  <c r="T198" i="16"/>
  <c r="V506" i="15"/>
  <c r="V498" i="15"/>
  <c r="V503" i="15"/>
  <c r="W508" i="15"/>
  <c r="V500" i="15"/>
  <c r="V505" i="15"/>
  <c r="V497" i="15"/>
  <c r="V502" i="15"/>
  <c r="V504" i="15"/>
  <c r="V507" i="15"/>
  <c r="V501" i="15"/>
  <c r="V496" i="15"/>
  <c r="V499" i="15"/>
  <c r="U195" i="15"/>
  <c r="T195" i="15"/>
  <c r="T199" i="16"/>
  <c r="S199" i="16"/>
  <c r="T187" i="15"/>
  <c r="U187" i="15"/>
  <c r="S200" i="16"/>
  <c r="T200" i="16"/>
  <c r="U204" i="15" l="1"/>
  <c r="T204" i="15"/>
  <c r="T211" i="16"/>
  <c r="S211" i="16"/>
  <c r="U207" i="15"/>
  <c r="T207" i="15"/>
  <c r="S204" i="16"/>
  <c r="T204" i="16"/>
  <c r="S212" i="16"/>
  <c r="T212" i="16"/>
  <c r="U201" i="15"/>
  <c r="T201" i="15"/>
  <c r="T205" i="16"/>
  <c r="S205" i="16"/>
  <c r="Q218" i="15"/>
  <c r="Q209" i="15"/>
  <c r="Q212" i="15"/>
  <c r="Q213" i="15"/>
  <c r="U208" i="15"/>
  <c r="Q215" i="15"/>
  <c r="T208" i="15"/>
  <c r="Q217" i="15"/>
  <c r="Q210" i="15"/>
  <c r="Q219" i="15"/>
  <c r="Q211" i="15"/>
  <c r="Q214" i="15"/>
  <c r="Q220" i="15"/>
  <c r="Q216" i="15"/>
  <c r="S206" i="16"/>
  <c r="T206" i="16"/>
  <c r="T207" i="16"/>
  <c r="S207" i="16"/>
  <c r="Y493" i="15"/>
  <c r="X492" i="15"/>
  <c r="T200" i="15"/>
  <c r="U200" i="15"/>
  <c r="S213" i="16"/>
  <c r="T213" i="16"/>
  <c r="Y482" i="15"/>
  <c r="X481" i="15"/>
  <c r="T199" i="15"/>
  <c r="U199" i="15"/>
  <c r="U197" i="15"/>
  <c r="T197" i="15"/>
  <c r="W507" i="15"/>
  <c r="W505" i="15"/>
  <c r="W503" i="15"/>
  <c r="W501" i="15"/>
  <c r="W499" i="15"/>
  <c r="W497" i="15"/>
  <c r="W500" i="15"/>
  <c r="W506" i="15"/>
  <c r="W502" i="15"/>
  <c r="W498" i="15"/>
  <c r="W504" i="15"/>
  <c r="T205" i="15"/>
  <c r="U205" i="15"/>
  <c r="T206" i="15"/>
  <c r="U206" i="15"/>
  <c r="S208" i="16"/>
  <c r="T208" i="16"/>
  <c r="T209" i="16"/>
  <c r="S209" i="16"/>
  <c r="U198" i="15"/>
  <c r="T198" i="15"/>
  <c r="Y460" i="15"/>
  <c r="X448" i="15" s="1"/>
  <c r="X459" i="15"/>
  <c r="T202" i="15"/>
  <c r="U202" i="15"/>
  <c r="Y471" i="15"/>
  <c r="X470" i="15"/>
  <c r="S210" i="16"/>
  <c r="T210" i="16"/>
  <c r="S214" i="16"/>
  <c r="P225" i="16"/>
  <c r="P224" i="16"/>
  <c r="P218" i="16"/>
  <c r="P223" i="16"/>
  <c r="P222" i="16"/>
  <c r="P217" i="16"/>
  <c r="P215" i="16"/>
  <c r="T214" i="16"/>
  <c r="P221" i="16"/>
  <c r="P220" i="16"/>
  <c r="P226" i="16"/>
  <c r="P219" i="16"/>
  <c r="P216" i="16"/>
  <c r="V495" i="15"/>
  <c r="V484" i="15"/>
  <c r="W496" i="15"/>
  <c r="U203" i="15"/>
  <c r="T203" i="15"/>
  <c r="T203" i="16"/>
  <c r="S203" i="16"/>
  <c r="Y448" i="15" l="1"/>
  <c r="X447" i="15"/>
  <c r="X436" i="15"/>
  <c r="W484" i="15"/>
  <c r="V472" i="15" s="1"/>
  <c r="V483" i="15"/>
  <c r="T219" i="16"/>
  <c r="S219" i="16"/>
  <c r="Y481" i="15"/>
  <c r="X480" i="15"/>
  <c r="W495" i="15"/>
  <c r="V494" i="15"/>
  <c r="S226" i="16"/>
  <c r="P230" i="16"/>
  <c r="P234" i="16"/>
  <c r="P229" i="16"/>
  <c r="P238" i="16"/>
  <c r="P233" i="16"/>
  <c r="P232" i="16"/>
  <c r="P231" i="16"/>
  <c r="P228" i="16"/>
  <c r="P237" i="16"/>
  <c r="P236" i="16"/>
  <c r="P235" i="16"/>
  <c r="T226" i="16"/>
  <c r="P227" i="16"/>
  <c r="T215" i="15"/>
  <c r="U215" i="15"/>
  <c r="S220" i="16"/>
  <c r="T220" i="16"/>
  <c r="T221" i="16"/>
  <c r="S221" i="16"/>
  <c r="Y492" i="15"/>
  <c r="X491" i="15"/>
  <c r="U213" i="15"/>
  <c r="T213" i="15"/>
  <c r="Y470" i="15"/>
  <c r="X469" i="15"/>
  <c r="U212" i="15"/>
  <c r="T212" i="15"/>
  <c r="T215" i="16"/>
  <c r="S215" i="16"/>
  <c r="U216" i="15"/>
  <c r="T216" i="15"/>
  <c r="U209" i="15"/>
  <c r="T209" i="15"/>
  <c r="S218" i="16"/>
  <c r="T218" i="16"/>
  <c r="T217" i="16"/>
  <c r="S217" i="16"/>
  <c r="Q230" i="15"/>
  <c r="Q221" i="15"/>
  <c r="Q224" i="15"/>
  <c r="Q222" i="15"/>
  <c r="Q231" i="15"/>
  <c r="Q226" i="15"/>
  <c r="Q223" i="15"/>
  <c r="Q227" i="15"/>
  <c r="Q229" i="15"/>
  <c r="Q225" i="15"/>
  <c r="Q232" i="15"/>
  <c r="U220" i="15"/>
  <c r="T220" i="15"/>
  <c r="Q228" i="15"/>
  <c r="U218" i="15"/>
  <c r="T218" i="15"/>
  <c r="S222" i="16"/>
  <c r="T222" i="16"/>
  <c r="T214" i="15"/>
  <c r="U214" i="15"/>
  <c r="T223" i="16"/>
  <c r="S223" i="16"/>
  <c r="T211" i="15"/>
  <c r="U211" i="15"/>
  <c r="U219" i="15"/>
  <c r="T219" i="15"/>
  <c r="S224" i="16"/>
  <c r="T224" i="16"/>
  <c r="U210" i="15"/>
  <c r="T210" i="15"/>
  <c r="S216" i="16"/>
  <c r="T216" i="16"/>
  <c r="S225" i="16"/>
  <c r="T225" i="16"/>
  <c r="Y459" i="15"/>
  <c r="X458" i="15"/>
  <c r="T217" i="15"/>
  <c r="U217" i="15"/>
  <c r="W472" i="15" l="1"/>
  <c r="V460" i="15" s="1"/>
  <c r="V471" i="15"/>
  <c r="T227" i="15"/>
  <c r="U227" i="15"/>
  <c r="S232" i="16"/>
  <c r="T232" i="16"/>
  <c r="Y458" i="15"/>
  <c r="X457" i="15"/>
  <c r="T229" i="15"/>
  <c r="U229" i="15"/>
  <c r="T223" i="15"/>
  <c r="U223" i="15"/>
  <c r="T233" i="16"/>
  <c r="S233" i="16"/>
  <c r="T231" i="16"/>
  <c r="S231" i="16"/>
  <c r="T226" i="15"/>
  <c r="U226" i="15"/>
  <c r="Y491" i="15"/>
  <c r="X490" i="15"/>
  <c r="S238" i="16"/>
  <c r="P246" i="16"/>
  <c r="P241" i="16"/>
  <c r="P240" i="16"/>
  <c r="P250" i="16"/>
  <c r="P245" i="16"/>
  <c r="P239" i="16"/>
  <c r="P249" i="16"/>
  <c r="P242" i="16"/>
  <c r="P248" i="16"/>
  <c r="T238" i="16"/>
  <c r="P247" i="16"/>
  <c r="P244" i="16"/>
  <c r="P243" i="16"/>
  <c r="U231" i="15"/>
  <c r="T231" i="15"/>
  <c r="S229" i="16"/>
  <c r="T229" i="16"/>
  <c r="U222" i="15"/>
  <c r="T222" i="15"/>
  <c r="S234" i="16"/>
  <c r="T234" i="16"/>
  <c r="Y480" i="15"/>
  <c r="X479" i="15"/>
  <c r="Y436" i="15"/>
  <c r="X435" i="15"/>
  <c r="U224" i="15"/>
  <c r="T224" i="15"/>
  <c r="T227" i="16"/>
  <c r="S227" i="16"/>
  <c r="S230" i="16"/>
  <c r="T230" i="16"/>
  <c r="Y447" i="15"/>
  <c r="X446" i="15"/>
  <c r="U225" i="15"/>
  <c r="T225" i="15"/>
  <c r="U228" i="15"/>
  <c r="T228" i="15"/>
  <c r="U221" i="15"/>
  <c r="T221" i="15"/>
  <c r="Y469" i="15"/>
  <c r="X468" i="15"/>
  <c r="U230" i="15"/>
  <c r="T230" i="15"/>
  <c r="T235" i="16"/>
  <c r="S235" i="16"/>
  <c r="W483" i="15"/>
  <c r="V482" i="15"/>
  <c r="S228" i="16"/>
  <c r="T228" i="16"/>
  <c r="S236" i="16"/>
  <c r="T236" i="16"/>
  <c r="Q242" i="15"/>
  <c r="Q233" i="15"/>
  <c r="Q236" i="15"/>
  <c r="Q238" i="15"/>
  <c r="Q240" i="15"/>
  <c r="Q239" i="15"/>
  <c r="T232" i="15"/>
  <c r="Q243" i="15"/>
  <c r="Q234" i="15"/>
  <c r="Q241" i="15"/>
  <c r="Q237" i="15"/>
  <c r="Q235" i="15"/>
  <c r="Q244" i="15"/>
  <c r="U232" i="15"/>
  <c r="T237" i="16"/>
  <c r="S237" i="16"/>
  <c r="W494" i="15"/>
  <c r="V493" i="15"/>
  <c r="W460" i="15" l="1"/>
  <c r="V448" i="15"/>
  <c r="V459" i="15"/>
  <c r="U234" i="15"/>
  <c r="T234" i="15"/>
  <c r="T249" i="16"/>
  <c r="S249" i="16"/>
  <c r="W493" i="15"/>
  <c r="V492" i="15"/>
  <c r="S245" i="16"/>
  <c r="T245" i="16"/>
  <c r="Y446" i="15"/>
  <c r="X445" i="15"/>
  <c r="S250" i="16"/>
  <c r="P262" i="16"/>
  <c r="P257" i="16"/>
  <c r="P256" i="16"/>
  <c r="T250" i="16"/>
  <c r="P261" i="16"/>
  <c r="P255" i="16"/>
  <c r="P254" i="16"/>
  <c r="P260" i="16"/>
  <c r="P252" i="16"/>
  <c r="P259" i="16"/>
  <c r="P251" i="16"/>
  <c r="P258" i="16"/>
  <c r="P253" i="16"/>
  <c r="U240" i="15"/>
  <c r="T240" i="15"/>
  <c r="V481" i="15"/>
  <c r="W482" i="15"/>
  <c r="Y479" i="15"/>
  <c r="X478" i="15"/>
  <c r="S240" i="16"/>
  <c r="T240" i="16"/>
  <c r="W471" i="15"/>
  <c r="V470" i="15"/>
  <c r="T238" i="15"/>
  <c r="U238" i="15"/>
  <c r="T241" i="16"/>
  <c r="S241" i="16"/>
  <c r="U239" i="15"/>
  <c r="T239" i="15"/>
  <c r="U236" i="15"/>
  <c r="T236" i="15"/>
  <c r="T243" i="16"/>
  <c r="S243" i="16"/>
  <c r="S246" i="16"/>
  <c r="T246" i="16"/>
  <c r="U233" i="15"/>
  <c r="T233" i="15"/>
  <c r="S244" i="16"/>
  <c r="T244" i="16"/>
  <c r="U243" i="15"/>
  <c r="T243" i="15"/>
  <c r="T247" i="16"/>
  <c r="S247" i="16"/>
  <c r="T239" i="16"/>
  <c r="S239" i="16"/>
  <c r="Q254" i="15"/>
  <c r="Q245" i="15"/>
  <c r="Q248" i="15"/>
  <c r="Q247" i="15"/>
  <c r="Q256" i="15"/>
  <c r="Q249" i="15"/>
  <c r="U244" i="15"/>
  <c r="Q255" i="15"/>
  <c r="Q250" i="15"/>
  <c r="Q246" i="15"/>
  <c r="Q253" i="15"/>
  <c r="T244" i="15"/>
  <c r="Q252" i="15"/>
  <c r="Q251" i="15"/>
  <c r="U242" i="15"/>
  <c r="T242" i="15"/>
  <c r="T235" i="15"/>
  <c r="U235" i="15"/>
  <c r="U237" i="15"/>
  <c r="T237" i="15"/>
  <c r="Y435" i="15"/>
  <c r="X434" i="15"/>
  <c r="S248" i="16"/>
  <c r="T248" i="16"/>
  <c r="Y490" i="15"/>
  <c r="X489" i="15"/>
  <c r="T241" i="15"/>
  <c r="U241" i="15"/>
  <c r="Y468" i="15"/>
  <c r="X467" i="15"/>
  <c r="S242" i="16"/>
  <c r="T242" i="16"/>
  <c r="Y457" i="15"/>
  <c r="X456" i="15"/>
  <c r="U246" i="15" l="1"/>
  <c r="T246" i="15"/>
  <c r="S260" i="16"/>
  <c r="T260" i="16"/>
  <c r="S252" i="16"/>
  <c r="T252" i="16"/>
  <c r="Y489" i="15"/>
  <c r="X488" i="15"/>
  <c r="T250" i="15"/>
  <c r="U250" i="15"/>
  <c r="S254" i="16"/>
  <c r="T254" i="16"/>
  <c r="U255" i="15"/>
  <c r="T255" i="15"/>
  <c r="T255" i="16"/>
  <c r="S255" i="16"/>
  <c r="W492" i="15"/>
  <c r="V491" i="15"/>
  <c r="T253" i="15"/>
  <c r="U253" i="15"/>
  <c r="S261" i="16"/>
  <c r="T261" i="16"/>
  <c r="U249" i="15"/>
  <c r="T249" i="15"/>
  <c r="W459" i="15"/>
  <c r="V458" i="15"/>
  <c r="Y467" i="15"/>
  <c r="X466" i="15"/>
  <c r="Q266" i="15"/>
  <c r="Q257" i="15"/>
  <c r="Q260" i="15"/>
  <c r="Q261" i="15"/>
  <c r="U256" i="15"/>
  <c r="Q263" i="15"/>
  <c r="T256" i="15"/>
  <c r="Q265" i="15"/>
  <c r="Q258" i="15"/>
  <c r="Q262" i="15"/>
  <c r="Q264" i="15"/>
  <c r="Q259" i="15"/>
  <c r="Q268" i="15"/>
  <c r="Q267" i="15"/>
  <c r="S256" i="16"/>
  <c r="T256" i="16"/>
  <c r="V436" i="15"/>
  <c r="V447" i="15"/>
  <c r="W448" i="15"/>
  <c r="T247" i="15"/>
  <c r="U247" i="15"/>
  <c r="W481" i="15"/>
  <c r="V480" i="15"/>
  <c r="T257" i="16"/>
  <c r="S257" i="16"/>
  <c r="T248" i="15"/>
  <c r="U248" i="15"/>
  <c r="Y478" i="15"/>
  <c r="X477" i="15"/>
  <c r="T253" i="16"/>
  <c r="S253" i="16"/>
  <c r="S262" i="16"/>
  <c r="P273" i="16"/>
  <c r="P272" i="16"/>
  <c r="P266" i="16"/>
  <c r="P271" i="16"/>
  <c r="P270" i="16"/>
  <c r="P265" i="16"/>
  <c r="P269" i="16"/>
  <c r="P268" i="16"/>
  <c r="P267" i="16"/>
  <c r="P274" i="16"/>
  <c r="P264" i="16"/>
  <c r="P263" i="16"/>
  <c r="T262" i="16"/>
  <c r="Y445" i="15"/>
  <c r="X444" i="15"/>
  <c r="X433" i="15"/>
  <c r="Y434" i="15"/>
  <c r="Y456" i="15"/>
  <c r="X455" i="15"/>
  <c r="U251" i="15"/>
  <c r="T251" i="15"/>
  <c r="U245" i="15"/>
  <c r="T245" i="15"/>
  <c r="W470" i="15"/>
  <c r="V469" i="15"/>
  <c r="S258" i="16"/>
  <c r="T258" i="16"/>
  <c r="U252" i="15"/>
  <c r="T252" i="15"/>
  <c r="T254" i="15"/>
  <c r="U254" i="15"/>
  <c r="T251" i="16"/>
  <c r="S251" i="16"/>
  <c r="T259" i="16"/>
  <c r="S259" i="16"/>
  <c r="Y455" i="15" l="1"/>
  <c r="X454" i="15"/>
  <c r="W436" i="15"/>
  <c r="V435" i="15"/>
  <c r="S274" i="16"/>
  <c r="P278" i="16"/>
  <c r="P282" i="16"/>
  <c r="P277" i="16"/>
  <c r="P286" i="16"/>
  <c r="P281" i="16"/>
  <c r="P279" i="16"/>
  <c r="P276" i="16"/>
  <c r="P285" i="16"/>
  <c r="P275" i="16"/>
  <c r="T274" i="16"/>
  <c r="P284" i="16"/>
  <c r="P280" i="16"/>
  <c r="P283" i="16"/>
  <c r="U267" i="15"/>
  <c r="T267" i="15"/>
  <c r="U257" i="15"/>
  <c r="T257" i="15"/>
  <c r="Q278" i="15"/>
  <c r="Q269" i="15"/>
  <c r="Q274" i="15"/>
  <c r="Q272" i="15"/>
  <c r="Q275" i="15"/>
  <c r="Q270" i="15"/>
  <c r="Q280" i="15"/>
  <c r="Q277" i="15"/>
  <c r="Q271" i="15"/>
  <c r="Q273" i="15"/>
  <c r="U268" i="15"/>
  <c r="T268" i="15"/>
  <c r="Q279" i="15"/>
  <c r="Q276" i="15"/>
  <c r="U266" i="15"/>
  <c r="T266" i="15"/>
  <c r="Y466" i="15"/>
  <c r="X465" i="15"/>
  <c r="S268" i="16"/>
  <c r="T268" i="16"/>
  <c r="T259" i="15"/>
  <c r="U259" i="15"/>
  <c r="Y433" i="15"/>
  <c r="X432" i="15"/>
  <c r="T269" i="16"/>
  <c r="S269" i="16"/>
  <c r="V479" i="15"/>
  <c r="W480" i="15"/>
  <c r="U264" i="15"/>
  <c r="T264" i="15"/>
  <c r="T265" i="16"/>
  <c r="S265" i="16"/>
  <c r="Y477" i="15"/>
  <c r="X476" i="15"/>
  <c r="T262" i="15"/>
  <c r="U262" i="15"/>
  <c r="S270" i="16"/>
  <c r="T270" i="16"/>
  <c r="U258" i="15"/>
  <c r="T258" i="15"/>
  <c r="W491" i="15"/>
  <c r="V490" i="15"/>
  <c r="T267" i="16"/>
  <c r="S267" i="16"/>
  <c r="Y444" i="15"/>
  <c r="X443" i="15"/>
  <c r="T271" i="16"/>
  <c r="S271" i="16"/>
  <c r="T265" i="15"/>
  <c r="U265" i="15"/>
  <c r="S266" i="16"/>
  <c r="T266" i="16"/>
  <c r="W469" i="15"/>
  <c r="V468" i="15"/>
  <c r="S272" i="16"/>
  <c r="T272" i="16"/>
  <c r="T263" i="15"/>
  <c r="U263" i="15"/>
  <c r="T273" i="16"/>
  <c r="S273" i="16"/>
  <c r="V457" i="15"/>
  <c r="W458" i="15"/>
  <c r="T263" i="16"/>
  <c r="S263" i="16"/>
  <c r="W447" i="15"/>
  <c r="V446" i="15"/>
  <c r="U261" i="15"/>
  <c r="T261" i="15"/>
  <c r="Y488" i="15"/>
  <c r="X487" i="15"/>
  <c r="S264" i="16"/>
  <c r="T264" i="16"/>
  <c r="U260" i="15"/>
  <c r="T260" i="15"/>
  <c r="U270" i="15" l="1"/>
  <c r="T270" i="15"/>
  <c r="T283" i="16"/>
  <c r="S283" i="16"/>
  <c r="S278" i="16"/>
  <c r="T278" i="16"/>
  <c r="U272" i="15"/>
  <c r="T272" i="15"/>
  <c r="S284" i="16"/>
  <c r="T284" i="16"/>
  <c r="V445" i="15"/>
  <c r="W446" i="15"/>
  <c r="W468" i="15"/>
  <c r="V467" i="15"/>
  <c r="V489" i="15"/>
  <c r="W490" i="15"/>
  <c r="T274" i="15"/>
  <c r="U274" i="15"/>
  <c r="Y487" i="15"/>
  <c r="X486" i="15"/>
  <c r="U276" i="15"/>
  <c r="T276" i="15"/>
  <c r="U269" i="15"/>
  <c r="T269" i="15"/>
  <c r="T275" i="16"/>
  <c r="S275" i="16"/>
  <c r="U279" i="15"/>
  <c r="T279" i="15"/>
  <c r="U278" i="15"/>
  <c r="T278" i="15"/>
  <c r="T285" i="16"/>
  <c r="S285" i="16"/>
  <c r="Y454" i="15"/>
  <c r="X453" i="15"/>
  <c r="S276" i="16"/>
  <c r="T276" i="16"/>
  <c r="Y476" i="15"/>
  <c r="X475" i="15"/>
  <c r="T279" i="16"/>
  <c r="S279" i="16"/>
  <c r="U273" i="15"/>
  <c r="T273" i="15"/>
  <c r="T281" i="16"/>
  <c r="S281" i="16"/>
  <c r="W457" i="15"/>
  <c r="V456" i="15"/>
  <c r="Y443" i="15"/>
  <c r="X442" i="15"/>
  <c r="T271" i="15"/>
  <c r="U271" i="15"/>
  <c r="S286" i="16"/>
  <c r="P294" i="16"/>
  <c r="P289" i="16"/>
  <c r="P288" i="16"/>
  <c r="P298" i="16"/>
  <c r="P293" i="16"/>
  <c r="P287" i="16"/>
  <c r="P297" i="16"/>
  <c r="P296" i="16"/>
  <c r="T286" i="16"/>
  <c r="P295" i="16"/>
  <c r="P292" i="16"/>
  <c r="P291" i="16"/>
  <c r="P290" i="16"/>
  <c r="U275" i="15"/>
  <c r="T275" i="15"/>
  <c r="S280" i="16"/>
  <c r="T280" i="16"/>
  <c r="T277" i="15"/>
  <c r="U277" i="15"/>
  <c r="S277" i="16"/>
  <c r="T277" i="16"/>
  <c r="W435" i="15"/>
  <c r="V434" i="15"/>
  <c r="W479" i="15"/>
  <c r="V478" i="15"/>
  <c r="X431" i="15"/>
  <c r="Y432" i="15"/>
  <c r="Y465" i="15"/>
  <c r="X464" i="15"/>
  <c r="Q290" i="15"/>
  <c r="Q281" i="15"/>
  <c r="Q286" i="15"/>
  <c r="Q284" i="15"/>
  <c r="Q288" i="15"/>
  <c r="T280" i="15"/>
  <c r="Q285" i="15"/>
  <c r="Q282" i="15"/>
  <c r="Q292" i="15"/>
  <c r="Q287" i="15"/>
  <c r="Q283" i="15"/>
  <c r="Q291" i="15"/>
  <c r="U280" i="15"/>
  <c r="Q289" i="15"/>
  <c r="S282" i="16"/>
  <c r="T282" i="16"/>
  <c r="T287" i="16" l="1"/>
  <c r="S287" i="16"/>
  <c r="T283" i="15"/>
  <c r="U283" i="15"/>
  <c r="Y431" i="15"/>
  <c r="X430" i="15"/>
  <c r="T297" i="16"/>
  <c r="S297" i="16"/>
  <c r="U282" i="15"/>
  <c r="T282" i="15"/>
  <c r="S298" i="16"/>
  <c r="P310" i="16"/>
  <c r="P305" i="16"/>
  <c r="P304" i="16"/>
  <c r="T298" i="16"/>
  <c r="P309" i="16"/>
  <c r="P303" i="16"/>
  <c r="P302" i="16"/>
  <c r="P306" i="16"/>
  <c r="P307" i="16"/>
  <c r="P308" i="16"/>
  <c r="P301" i="16"/>
  <c r="P300" i="16"/>
  <c r="P299" i="16"/>
  <c r="Y475" i="15"/>
  <c r="X474" i="15"/>
  <c r="U285" i="15"/>
  <c r="T285" i="15"/>
  <c r="S288" i="16"/>
  <c r="T288" i="16"/>
  <c r="S289" i="16"/>
  <c r="T289" i="16"/>
  <c r="W478" i="15"/>
  <c r="V477" i="15"/>
  <c r="U288" i="15"/>
  <c r="T288" i="15"/>
  <c r="W434" i="15"/>
  <c r="V433" i="15"/>
  <c r="S290" i="16"/>
  <c r="T290" i="16"/>
  <c r="S294" i="16"/>
  <c r="T294" i="16"/>
  <c r="W456" i="15"/>
  <c r="V455" i="15"/>
  <c r="Y486" i="15"/>
  <c r="X485" i="15"/>
  <c r="Y485" i="15" s="1"/>
  <c r="S293" i="16"/>
  <c r="T293" i="16"/>
  <c r="U284" i="15"/>
  <c r="T284" i="15"/>
  <c r="T291" i="16"/>
  <c r="S291" i="16"/>
  <c r="W467" i="15"/>
  <c r="V466" i="15"/>
  <c r="T286" i="15"/>
  <c r="U286" i="15"/>
  <c r="S292" i="16"/>
  <c r="T292" i="16"/>
  <c r="U287" i="15"/>
  <c r="T287" i="15"/>
  <c r="T289" i="15"/>
  <c r="U289" i="15"/>
  <c r="U281" i="15"/>
  <c r="T281" i="15"/>
  <c r="T295" i="16"/>
  <c r="S295" i="16"/>
  <c r="W489" i="15"/>
  <c r="V488" i="15"/>
  <c r="Y442" i="15"/>
  <c r="X441" i="15"/>
  <c r="Q302" i="15"/>
  <c r="Q300" i="15"/>
  <c r="Q293" i="15"/>
  <c r="Q298" i="15"/>
  <c r="Q296" i="15"/>
  <c r="Q304" i="15"/>
  <c r="Q303" i="15"/>
  <c r="Q295" i="15"/>
  <c r="U292" i="15"/>
  <c r="Q294" i="15"/>
  <c r="Q301" i="15"/>
  <c r="Q299" i="15"/>
  <c r="Q297" i="15"/>
  <c r="T292" i="15"/>
  <c r="U290" i="15"/>
  <c r="T290" i="15"/>
  <c r="U291" i="15"/>
  <c r="T291" i="15"/>
  <c r="Y464" i="15"/>
  <c r="X463" i="15"/>
  <c r="S296" i="16"/>
  <c r="T296" i="16"/>
  <c r="Y453" i="15"/>
  <c r="X452" i="15"/>
  <c r="W445" i="15"/>
  <c r="V444" i="15"/>
  <c r="T295" i="15" l="1"/>
  <c r="U295" i="15"/>
  <c r="T293" i="15"/>
  <c r="U293" i="15"/>
  <c r="S306" i="16"/>
  <c r="T306" i="16"/>
  <c r="S302" i="16"/>
  <c r="T302" i="16"/>
  <c r="T303" i="16"/>
  <c r="S303" i="16"/>
  <c r="V487" i="15"/>
  <c r="W488" i="15"/>
  <c r="Y463" i="15"/>
  <c r="X462" i="15"/>
  <c r="T299" i="15"/>
  <c r="U299" i="15"/>
  <c r="Y441" i="15"/>
  <c r="X440" i="15"/>
  <c r="S309" i="16"/>
  <c r="T309" i="16"/>
  <c r="U300" i="15"/>
  <c r="T300" i="15"/>
  <c r="T301" i="15"/>
  <c r="U301" i="15"/>
  <c r="V465" i="15"/>
  <c r="W466" i="15"/>
  <c r="U297" i="15"/>
  <c r="T297" i="15"/>
  <c r="U302" i="15"/>
  <c r="T302" i="15"/>
  <c r="U294" i="15"/>
  <c r="T294" i="15"/>
  <c r="S304" i="16"/>
  <c r="T304" i="16"/>
  <c r="W477" i="15"/>
  <c r="V476" i="15"/>
  <c r="T305" i="16"/>
  <c r="S305" i="16"/>
  <c r="T299" i="16"/>
  <c r="S299" i="16"/>
  <c r="S310" i="16"/>
  <c r="P321" i="16"/>
  <c r="P320" i="16"/>
  <c r="P314" i="16"/>
  <c r="P319" i="16"/>
  <c r="P318" i="16"/>
  <c r="P313" i="16"/>
  <c r="P316" i="16"/>
  <c r="P315" i="16"/>
  <c r="P322" i="16"/>
  <c r="P312" i="16"/>
  <c r="P311" i="16"/>
  <c r="P317" i="16"/>
  <c r="T310" i="16"/>
  <c r="X429" i="15"/>
  <c r="Y430" i="15"/>
  <c r="W433" i="15"/>
  <c r="V432" i="15"/>
  <c r="Y452" i="15"/>
  <c r="X451" i="15"/>
  <c r="U303" i="15"/>
  <c r="T303" i="15"/>
  <c r="Y474" i="15"/>
  <c r="X473" i="15"/>
  <c r="Y473" i="15" s="1"/>
  <c r="S300" i="16"/>
  <c r="T300" i="16"/>
  <c r="Q314" i="15"/>
  <c r="Q312" i="15"/>
  <c r="Q305" i="15"/>
  <c r="Q310" i="15"/>
  <c r="Q308" i="15"/>
  <c r="Q307" i="15"/>
  <c r="Q315" i="15"/>
  <c r="Q306" i="15"/>
  <c r="Q311" i="15"/>
  <c r="Q316" i="15"/>
  <c r="Q309" i="15"/>
  <c r="U304" i="15"/>
  <c r="T304" i="15"/>
  <c r="Q313" i="15"/>
  <c r="T301" i="16"/>
  <c r="S301" i="16"/>
  <c r="W444" i="15"/>
  <c r="V443" i="15"/>
  <c r="U296" i="15"/>
  <c r="T296" i="15"/>
  <c r="S308" i="16"/>
  <c r="T308" i="16"/>
  <c r="T298" i="15"/>
  <c r="U298" i="15"/>
  <c r="W455" i="15"/>
  <c r="V454" i="15"/>
  <c r="T307" i="16"/>
  <c r="S307" i="16"/>
  <c r="U308" i="15" l="1"/>
  <c r="T308" i="15"/>
  <c r="S320" i="16"/>
  <c r="T320" i="16"/>
  <c r="U310" i="15"/>
  <c r="T310" i="15"/>
  <c r="T321" i="16"/>
  <c r="S321" i="16"/>
  <c r="W476" i="15"/>
  <c r="V475" i="15"/>
  <c r="Y462" i="15"/>
  <c r="X461" i="15"/>
  <c r="Y461" i="15" s="1"/>
  <c r="W443" i="15"/>
  <c r="V442" i="15"/>
  <c r="T305" i="15"/>
  <c r="U305" i="15"/>
  <c r="Y429" i="15"/>
  <c r="X428" i="15"/>
  <c r="T317" i="16"/>
  <c r="S317" i="16"/>
  <c r="T313" i="15"/>
  <c r="U313" i="15"/>
  <c r="U312" i="15"/>
  <c r="T312" i="15"/>
  <c r="T311" i="16"/>
  <c r="S311" i="16"/>
  <c r="W454" i="15"/>
  <c r="V453" i="15"/>
  <c r="T314" i="15"/>
  <c r="U314" i="15"/>
  <c r="S312" i="16"/>
  <c r="T312" i="16"/>
  <c r="S322" i="16"/>
  <c r="P326" i="16"/>
  <c r="P330" i="16"/>
  <c r="P325" i="16"/>
  <c r="P334" i="16"/>
  <c r="P329" i="16"/>
  <c r="P324" i="16"/>
  <c r="P333" i="16"/>
  <c r="P323" i="16"/>
  <c r="T322" i="16"/>
  <c r="P332" i="16"/>
  <c r="P331" i="16"/>
  <c r="P328" i="16"/>
  <c r="P327" i="16"/>
  <c r="U309" i="15"/>
  <c r="T309" i="15"/>
  <c r="T315" i="16"/>
  <c r="S315" i="16"/>
  <c r="Q326" i="15"/>
  <c r="Q324" i="15"/>
  <c r="Q317" i="15"/>
  <c r="Q322" i="15"/>
  <c r="Q320" i="15"/>
  <c r="Q327" i="15"/>
  <c r="Q318" i="15"/>
  <c r="Q321" i="15"/>
  <c r="U316" i="15"/>
  <c r="T316" i="15"/>
  <c r="Q325" i="15"/>
  <c r="Q319" i="15"/>
  <c r="Q323" i="15"/>
  <c r="Q328" i="15"/>
  <c r="S316" i="16"/>
  <c r="T316" i="16"/>
  <c r="W465" i="15"/>
  <c r="V464" i="15"/>
  <c r="T311" i="15"/>
  <c r="U311" i="15"/>
  <c r="V431" i="15"/>
  <c r="W432" i="15"/>
  <c r="T313" i="16"/>
  <c r="S313" i="16"/>
  <c r="Y440" i="15"/>
  <c r="X439" i="15"/>
  <c r="W487" i="15"/>
  <c r="V486" i="15"/>
  <c r="U306" i="15"/>
  <c r="T306" i="15"/>
  <c r="S318" i="16"/>
  <c r="T318" i="16"/>
  <c r="U315" i="15"/>
  <c r="T315" i="15"/>
  <c r="T319" i="16"/>
  <c r="S319" i="16"/>
  <c r="T307" i="15"/>
  <c r="U307" i="15"/>
  <c r="Y451" i="15"/>
  <c r="X450" i="15"/>
  <c r="S314" i="16"/>
  <c r="T314" i="16"/>
  <c r="T325" i="15" l="1"/>
  <c r="U325" i="15"/>
  <c r="S324" i="16"/>
  <c r="T324" i="16"/>
  <c r="W453" i="15"/>
  <c r="V452" i="15"/>
  <c r="Y439" i="15"/>
  <c r="X438" i="15"/>
  <c r="W464" i="15"/>
  <c r="V463" i="15"/>
  <c r="U321" i="15"/>
  <c r="T321" i="15"/>
  <c r="S325" i="16"/>
  <c r="T325" i="16"/>
  <c r="T329" i="16"/>
  <c r="S329" i="16"/>
  <c r="U318" i="15"/>
  <c r="T318" i="15"/>
  <c r="S330" i="16"/>
  <c r="T330" i="16"/>
  <c r="U327" i="15"/>
  <c r="T327" i="15"/>
  <c r="T327" i="16"/>
  <c r="S327" i="16"/>
  <c r="S326" i="16"/>
  <c r="T326" i="16"/>
  <c r="U320" i="15"/>
  <c r="T320" i="15"/>
  <c r="S328" i="16"/>
  <c r="T328" i="16"/>
  <c r="U322" i="15"/>
  <c r="T322" i="15"/>
  <c r="T331" i="16"/>
  <c r="S331" i="16"/>
  <c r="T317" i="15"/>
  <c r="U317" i="15"/>
  <c r="S332" i="16"/>
  <c r="T332" i="16"/>
  <c r="V441" i="15"/>
  <c r="W442" i="15"/>
  <c r="W431" i="15"/>
  <c r="V430" i="15"/>
  <c r="Q338" i="15"/>
  <c r="Q336" i="15"/>
  <c r="Q329" i="15"/>
  <c r="Q334" i="15"/>
  <c r="Q332" i="15"/>
  <c r="Q339" i="15"/>
  <c r="Q330" i="15"/>
  <c r="Q333" i="15"/>
  <c r="Q331" i="15"/>
  <c r="Q335" i="15"/>
  <c r="Q340" i="15"/>
  <c r="U328" i="15"/>
  <c r="Q337" i="15"/>
  <c r="T328" i="15"/>
  <c r="U324" i="15"/>
  <c r="T324" i="15"/>
  <c r="U323" i="15"/>
  <c r="T323" i="15"/>
  <c r="U326" i="15"/>
  <c r="T326" i="15"/>
  <c r="T323" i="16"/>
  <c r="S323" i="16"/>
  <c r="W475" i="15"/>
  <c r="V474" i="15"/>
  <c r="S334" i="16"/>
  <c r="P342" i="16"/>
  <c r="P337" i="16"/>
  <c r="P336" i="16"/>
  <c r="P346" i="16"/>
  <c r="P341" i="16"/>
  <c r="P335" i="16"/>
  <c r="P345" i="16"/>
  <c r="P343" i="16"/>
  <c r="P340" i="16"/>
  <c r="P339" i="16"/>
  <c r="P338" i="16"/>
  <c r="P344" i="16"/>
  <c r="T334" i="16"/>
  <c r="Y450" i="15"/>
  <c r="X449" i="15"/>
  <c r="Y449" i="15" s="1"/>
  <c r="W486" i="15"/>
  <c r="V485" i="15"/>
  <c r="T319" i="15"/>
  <c r="U319" i="15"/>
  <c r="T333" i="16"/>
  <c r="S333" i="16"/>
  <c r="Y428" i="15"/>
  <c r="X427" i="15"/>
  <c r="T339" i="16" l="1"/>
  <c r="S339" i="16"/>
  <c r="T343" i="16"/>
  <c r="S343" i="16"/>
  <c r="U336" i="15"/>
  <c r="T336" i="15"/>
  <c r="W485" i="15"/>
  <c r="T335" i="16"/>
  <c r="S335" i="16"/>
  <c r="S341" i="16"/>
  <c r="T341" i="16"/>
  <c r="V473" i="15"/>
  <c r="W474" i="15"/>
  <c r="W441" i="15"/>
  <c r="V440" i="15"/>
  <c r="S346" i="16"/>
  <c r="P358" i="16"/>
  <c r="P353" i="16"/>
  <c r="P352" i="16"/>
  <c r="T346" i="16"/>
  <c r="P357" i="16"/>
  <c r="P351" i="16"/>
  <c r="P350" i="16"/>
  <c r="P349" i="16"/>
  <c r="P356" i="16"/>
  <c r="P348" i="16"/>
  <c r="P347" i="16"/>
  <c r="P355" i="16"/>
  <c r="P354" i="16"/>
  <c r="U335" i="15"/>
  <c r="T335" i="15"/>
  <c r="S336" i="16"/>
  <c r="T336" i="16"/>
  <c r="T331" i="15"/>
  <c r="U331" i="15"/>
  <c r="Q350" i="15"/>
  <c r="Q348" i="15"/>
  <c r="Q341" i="15"/>
  <c r="Q346" i="15"/>
  <c r="Q344" i="15"/>
  <c r="Q342" i="15"/>
  <c r="Q345" i="15"/>
  <c r="Q349" i="15"/>
  <c r="U340" i="15"/>
  <c r="Q351" i="15"/>
  <c r="T340" i="15"/>
  <c r="Q352" i="15"/>
  <c r="Q347" i="15"/>
  <c r="Q343" i="15"/>
  <c r="S337" i="16"/>
  <c r="T337" i="16"/>
  <c r="U333" i="15"/>
  <c r="T333" i="15"/>
  <c r="S342" i="16"/>
  <c r="T342" i="16"/>
  <c r="U330" i="15"/>
  <c r="T330" i="15"/>
  <c r="S344" i="16"/>
  <c r="T344" i="16"/>
  <c r="U339" i="15"/>
  <c r="T339" i="15"/>
  <c r="T337" i="15"/>
  <c r="U337" i="15"/>
  <c r="U338" i="15"/>
  <c r="T338" i="15"/>
  <c r="W430" i="15"/>
  <c r="V429" i="15"/>
  <c r="S338" i="16"/>
  <c r="T338" i="16"/>
  <c r="U332" i="15"/>
  <c r="T332" i="15"/>
  <c r="T345" i="16"/>
  <c r="S345" i="16"/>
  <c r="U334" i="15"/>
  <c r="T334" i="15"/>
  <c r="W452" i="15"/>
  <c r="V451" i="15"/>
  <c r="Y427" i="15"/>
  <c r="X426" i="15"/>
  <c r="S340" i="16"/>
  <c r="T340" i="16"/>
  <c r="T329" i="15"/>
  <c r="U329" i="15"/>
  <c r="W463" i="15"/>
  <c r="V462" i="15"/>
  <c r="Y438" i="15"/>
  <c r="X437" i="15"/>
  <c r="Y437" i="15" s="1"/>
  <c r="U346" i="15" l="1"/>
  <c r="T346" i="15"/>
  <c r="T347" i="16"/>
  <c r="S347" i="16"/>
  <c r="T343" i="15"/>
  <c r="U343" i="15"/>
  <c r="U348" i="15"/>
  <c r="T348" i="15"/>
  <c r="S356" i="16"/>
  <c r="T356" i="16"/>
  <c r="U347" i="15"/>
  <c r="T347" i="15"/>
  <c r="U350" i="15"/>
  <c r="T350" i="15"/>
  <c r="T349" i="16"/>
  <c r="S349" i="16"/>
  <c r="W440" i="15"/>
  <c r="V439" i="15"/>
  <c r="W473" i="15"/>
  <c r="Q362" i="15"/>
  <c r="Q360" i="15"/>
  <c r="Q353" i="15"/>
  <c r="Q358" i="15"/>
  <c r="Q356" i="15"/>
  <c r="Q357" i="15"/>
  <c r="Q359" i="15"/>
  <c r="Q364" i="15"/>
  <c r="T352" i="15"/>
  <c r="Q361" i="15"/>
  <c r="Q355" i="15"/>
  <c r="Q354" i="15"/>
  <c r="U352" i="15"/>
  <c r="Q363" i="15"/>
  <c r="S350" i="16"/>
  <c r="T350" i="16"/>
  <c r="Y426" i="15"/>
  <c r="X425" i="15"/>
  <c r="Y425" i="15" s="1"/>
  <c r="W451" i="15"/>
  <c r="V450" i="15"/>
  <c r="T351" i="16"/>
  <c r="S351" i="16"/>
  <c r="U351" i="15"/>
  <c r="T351" i="15"/>
  <c r="S357" i="16"/>
  <c r="T357" i="16"/>
  <c r="W429" i="15"/>
  <c r="V428" i="15"/>
  <c r="T349" i="15"/>
  <c r="U349" i="15"/>
  <c r="S352" i="16"/>
  <c r="T352" i="16"/>
  <c r="T341" i="15"/>
  <c r="U341" i="15"/>
  <c r="S348" i="16"/>
  <c r="T348" i="16"/>
  <c r="T345" i="15"/>
  <c r="U345" i="15"/>
  <c r="S353" i="16"/>
  <c r="T353" i="16"/>
  <c r="U342" i="15"/>
  <c r="T342" i="15"/>
  <c r="S354" i="16"/>
  <c r="T354" i="16"/>
  <c r="S358" i="16"/>
  <c r="P369" i="16"/>
  <c r="P368" i="16"/>
  <c r="P362" i="16"/>
  <c r="P367" i="16"/>
  <c r="P366" i="16"/>
  <c r="P361" i="16"/>
  <c r="P370" i="16"/>
  <c r="P360" i="16"/>
  <c r="P359" i="16"/>
  <c r="T358" i="16"/>
  <c r="P363" i="16"/>
  <c r="P365" i="16"/>
  <c r="P364" i="16"/>
  <c r="V461" i="15"/>
  <c r="W462" i="15"/>
  <c r="U344" i="15"/>
  <c r="T344" i="15"/>
  <c r="T355" i="16"/>
  <c r="S355" i="16"/>
  <c r="T359" i="16" l="1"/>
  <c r="S359" i="16"/>
  <c r="U359" i="15"/>
  <c r="T359" i="15"/>
  <c r="T357" i="15"/>
  <c r="U357" i="15"/>
  <c r="W439" i="15"/>
  <c r="V438" i="15"/>
  <c r="S370" i="16"/>
  <c r="P374" i="16"/>
  <c r="P378" i="16"/>
  <c r="P373" i="16"/>
  <c r="P382" i="16"/>
  <c r="P377" i="16"/>
  <c r="T370" i="16"/>
  <c r="P380" i="16"/>
  <c r="P379" i="16"/>
  <c r="P376" i="16"/>
  <c r="P375" i="16"/>
  <c r="P372" i="16"/>
  <c r="P371" i="16"/>
  <c r="P381" i="16"/>
  <c r="V449" i="15"/>
  <c r="W450" i="15"/>
  <c r="U356" i="15"/>
  <c r="T356" i="15"/>
  <c r="T361" i="16"/>
  <c r="S361" i="16"/>
  <c r="U358" i="15"/>
  <c r="T358" i="15"/>
  <c r="T361" i="15"/>
  <c r="U361" i="15"/>
  <c r="S360" i="16"/>
  <c r="T360" i="16"/>
  <c r="W461" i="15"/>
  <c r="S366" i="16"/>
  <c r="T366" i="16"/>
  <c r="T353" i="15"/>
  <c r="U353" i="15"/>
  <c r="T367" i="16"/>
  <c r="S367" i="16"/>
  <c r="U363" i="15"/>
  <c r="T363" i="15"/>
  <c r="U360" i="15"/>
  <c r="T360" i="15"/>
  <c r="S362" i="16"/>
  <c r="T362" i="16"/>
  <c r="U362" i="15"/>
  <c r="T362" i="15"/>
  <c r="S368" i="16"/>
  <c r="T368" i="16"/>
  <c r="U354" i="15"/>
  <c r="T354" i="15"/>
  <c r="S364" i="16"/>
  <c r="T364" i="16"/>
  <c r="T369" i="16"/>
  <c r="S369" i="16"/>
  <c r="W428" i="15"/>
  <c r="V427" i="15"/>
  <c r="T355" i="15"/>
  <c r="U355" i="15"/>
  <c r="T363" i="16"/>
  <c r="S363" i="16"/>
  <c r="T365" i="16"/>
  <c r="S365" i="16"/>
  <c r="Q374" i="15"/>
  <c r="Q372" i="15"/>
  <c r="Q365" i="15"/>
  <c r="Q370" i="15"/>
  <c r="Q368" i="15"/>
  <c r="Q371" i="15"/>
  <c r="Q367" i="15"/>
  <c r="Q376" i="15"/>
  <c r="Q366" i="15"/>
  <c r="Q375" i="15"/>
  <c r="U364" i="15"/>
  <c r="T364" i="15"/>
  <c r="Q369" i="15"/>
  <c r="Q373" i="15"/>
  <c r="U368" i="15" l="1"/>
  <c r="T368" i="15"/>
  <c r="S376" i="16"/>
  <c r="T376" i="16"/>
  <c r="U370" i="15"/>
  <c r="T370" i="15"/>
  <c r="T379" i="16"/>
  <c r="S379" i="16"/>
  <c r="T365" i="15"/>
  <c r="U365" i="15"/>
  <c r="S380" i="16"/>
  <c r="T380" i="16"/>
  <c r="U369" i="15"/>
  <c r="T369" i="15"/>
  <c r="U374" i="15"/>
  <c r="T374" i="15"/>
  <c r="W449" i="15"/>
  <c r="T377" i="16"/>
  <c r="S377" i="16"/>
  <c r="S382" i="16"/>
  <c r="P390" i="16"/>
  <c r="P385" i="16"/>
  <c r="P384" i="16"/>
  <c r="P394" i="16"/>
  <c r="P389" i="16"/>
  <c r="P383" i="16"/>
  <c r="P393" i="16"/>
  <c r="P388" i="16"/>
  <c r="P387" i="16"/>
  <c r="P386" i="16"/>
  <c r="P391" i="16"/>
  <c r="T382" i="16"/>
  <c r="P392" i="16"/>
  <c r="S373" i="16"/>
  <c r="T373" i="16"/>
  <c r="T373" i="15"/>
  <c r="U373" i="15"/>
  <c r="U372" i="15"/>
  <c r="T372" i="15"/>
  <c r="W427" i="15"/>
  <c r="V426" i="15"/>
  <c r="S378" i="16"/>
  <c r="T378" i="16"/>
  <c r="U375" i="15"/>
  <c r="T375" i="15"/>
  <c r="U366" i="15"/>
  <c r="T366" i="15"/>
  <c r="T381" i="16"/>
  <c r="S381" i="16"/>
  <c r="S374" i="16"/>
  <c r="T374" i="16"/>
  <c r="T371" i="16"/>
  <c r="S371" i="16"/>
  <c r="T367" i="15"/>
  <c r="U367" i="15"/>
  <c r="S372" i="16"/>
  <c r="T372" i="16"/>
  <c r="Q386" i="15"/>
  <c r="Q384" i="15"/>
  <c r="Q377" i="15"/>
  <c r="Q382" i="15"/>
  <c r="Q380" i="15"/>
  <c r="Q383" i="15"/>
  <c r="U376" i="15"/>
  <c r="T376" i="15"/>
  <c r="Q385" i="15"/>
  <c r="Q381" i="15"/>
  <c r="Q379" i="15"/>
  <c r="Q387" i="15"/>
  <c r="Q378" i="15"/>
  <c r="Q388" i="15"/>
  <c r="U371" i="15"/>
  <c r="T371" i="15"/>
  <c r="T375" i="16"/>
  <c r="S375" i="16"/>
  <c r="W438" i="15"/>
  <c r="V437" i="15"/>
  <c r="T385" i="15" l="1"/>
  <c r="U385" i="15"/>
  <c r="S388" i="16"/>
  <c r="T388" i="16"/>
  <c r="W437" i="15"/>
  <c r="T393" i="16"/>
  <c r="S393" i="16"/>
  <c r="T383" i="16"/>
  <c r="S383" i="16"/>
  <c r="T383" i="15"/>
  <c r="U383" i="15"/>
  <c r="S389" i="16"/>
  <c r="T389" i="16"/>
  <c r="S394" i="16"/>
  <c r="P406" i="16"/>
  <c r="P401" i="16"/>
  <c r="P400" i="16"/>
  <c r="T394" i="16"/>
  <c r="P405" i="16"/>
  <c r="P399" i="16"/>
  <c r="P398" i="16"/>
  <c r="P397" i="16"/>
  <c r="P404" i="16"/>
  <c r="P396" i="16"/>
  <c r="P403" i="16"/>
  <c r="P395" i="16"/>
  <c r="P402" i="16"/>
  <c r="U380" i="15"/>
  <c r="T380" i="15"/>
  <c r="U382" i="15"/>
  <c r="T382" i="15"/>
  <c r="S384" i="16"/>
  <c r="T384" i="16"/>
  <c r="T385" i="16"/>
  <c r="S385" i="16"/>
  <c r="T377" i="15"/>
  <c r="U377" i="15"/>
  <c r="Q398" i="15"/>
  <c r="Q396" i="15"/>
  <c r="Q389" i="15"/>
  <c r="Q394" i="15"/>
  <c r="Q392" i="15"/>
  <c r="Q395" i="15"/>
  <c r="Q397" i="15"/>
  <c r="U388" i="15"/>
  <c r="Q399" i="15"/>
  <c r="Q391" i="15"/>
  <c r="Q400" i="15"/>
  <c r="Q390" i="15"/>
  <c r="Q393" i="15"/>
  <c r="T388" i="15"/>
  <c r="U384" i="15"/>
  <c r="T384" i="15"/>
  <c r="S392" i="16"/>
  <c r="T392" i="16"/>
  <c r="S390" i="16"/>
  <c r="T390" i="16"/>
  <c r="U378" i="15"/>
  <c r="T378" i="15"/>
  <c r="U386" i="15"/>
  <c r="T386" i="15"/>
  <c r="U387" i="15"/>
  <c r="T387" i="15"/>
  <c r="T391" i="16"/>
  <c r="S391" i="16"/>
  <c r="W426" i="15"/>
  <c r="V425" i="15"/>
  <c r="S386" i="16"/>
  <c r="T386" i="16"/>
  <c r="T379" i="15"/>
  <c r="U379" i="15"/>
  <c r="U381" i="15"/>
  <c r="T381" i="15"/>
  <c r="T387" i="16"/>
  <c r="S387" i="16"/>
  <c r="W425" i="15" l="1"/>
  <c r="T397" i="15"/>
  <c r="U397" i="15"/>
  <c r="S404" i="16"/>
  <c r="T404" i="16"/>
  <c r="U394" i="15"/>
  <c r="T394" i="15"/>
  <c r="T399" i="16"/>
  <c r="S399" i="16"/>
  <c r="T397" i="16"/>
  <c r="S397" i="16"/>
  <c r="T389" i="15"/>
  <c r="U389" i="15"/>
  <c r="S405" i="16"/>
  <c r="T405" i="16"/>
  <c r="U396" i="15"/>
  <c r="T396" i="15"/>
  <c r="U393" i="15"/>
  <c r="T393" i="15"/>
  <c r="T398" i="15"/>
  <c r="U398" i="15"/>
  <c r="S400" i="16"/>
  <c r="T400" i="16"/>
  <c r="U395" i="15"/>
  <c r="T395" i="15"/>
  <c r="S398" i="16"/>
  <c r="T398" i="16"/>
  <c r="U390" i="15"/>
  <c r="T390" i="15"/>
  <c r="T401" i="16"/>
  <c r="S401" i="16"/>
  <c r="Q410" i="15"/>
  <c r="Q409" i="15"/>
  <c r="Q405" i="15"/>
  <c r="Q403" i="15"/>
  <c r="Q401" i="15"/>
  <c r="Q408" i="15"/>
  <c r="Q404" i="15"/>
  <c r="Q407" i="15"/>
  <c r="U400" i="15"/>
  <c r="T400" i="15"/>
  <c r="Q402" i="15"/>
  <c r="Q412" i="15"/>
  <c r="Q406" i="15"/>
  <c r="Q411" i="15"/>
  <c r="S402" i="16"/>
  <c r="T402" i="16"/>
  <c r="S406" i="16"/>
  <c r="P417" i="16"/>
  <c r="P416" i="16"/>
  <c r="P410" i="16"/>
  <c r="P415" i="16"/>
  <c r="P414" i="16"/>
  <c r="P409" i="16"/>
  <c r="P407" i="16"/>
  <c r="T406" i="16"/>
  <c r="P413" i="16"/>
  <c r="P412" i="16"/>
  <c r="P418" i="16"/>
  <c r="P411" i="16"/>
  <c r="P408" i="16"/>
  <c r="T391" i="15"/>
  <c r="U391" i="15"/>
  <c r="T395" i="16"/>
  <c r="S395" i="16"/>
  <c r="U392" i="15"/>
  <c r="T392" i="15"/>
  <c r="U399" i="15"/>
  <c r="T399" i="15"/>
  <c r="T403" i="16"/>
  <c r="S403" i="16"/>
  <c r="S396" i="16"/>
  <c r="T396" i="16"/>
  <c r="S418" i="16" l="1"/>
  <c r="P422" i="16"/>
  <c r="P426" i="16"/>
  <c r="P421" i="16"/>
  <c r="P430" i="16"/>
  <c r="P425" i="16"/>
  <c r="P424" i="16"/>
  <c r="P423" i="16"/>
  <c r="P420" i="16"/>
  <c r="P429" i="16"/>
  <c r="P428" i="16"/>
  <c r="P427" i="16"/>
  <c r="T418" i="16"/>
  <c r="P419" i="16"/>
  <c r="T403" i="15"/>
  <c r="U403" i="15"/>
  <c r="S412" i="16"/>
  <c r="T412" i="16"/>
  <c r="U405" i="15"/>
  <c r="T405" i="15"/>
  <c r="T413" i="16"/>
  <c r="S413" i="16"/>
  <c r="U411" i="15"/>
  <c r="T411" i="15"/>
  <c r="U409" i="15"/>
  <c r="T409" i="15"/>
  <c r="T406" i="15"/>
  <c r="U406" i="15"/>
  <c r="U410" i="15"/>
  <c r="T410" i="15"/>
  <c r="T407" i="16"/>
  <c r="S407" i="16"/>
  <c r="Q424" i="15"/>
  <c r="Q422" i="15"/>
  <c r="U412" i="15"/>
  <c r="Q420" i="15"/>
  <c r="Q418" i="15"/>
  <c r="Q416" i="15"/>
  <c r="Q414" i="15"/>
  <c r="T412" i="15"/>
  <c r="Q421" i="15"/>
  <c r="Q417" i="15"/>
  <c r="Q413" i="15"/>
  <c r="Q419" i="15"/>
  <c r="Q415" i="15"/>
  <c r="Q423" i="15"/>
  <c r="T409" i="16"/>
  <c r="S409" i="16"/>
  <c r="T402" i="15"/>
  <c r="U402" i="15"/>
  <c r="S414" i="16"/>
  <c r="T414" i="16"/>
  <c r="T415" i="16"/>
  <c r="S415" i="16"/>
  <c r="S410" i="16"/>
  <c r="T410" i="16"/>
  <c r="T407" i="15"/>
  <c r="U407" i="15"/>
  <c r="S416" i="16"/>
  <c r="T416" i="16"/>
  <c r="U404" i="15"/>
  <c r="T404" i="15"/>
  <c r="T411" i="16"/>
  <c r="S411" i="16"/>
  <c r="T401" i="15"/>
  <c r="U401" i="15"/>
  <c r="S408" i="16"/>
  <c r="T408" i="16"/>
  <c r="S417" i="16"/>
  <c r="T417" i="16"/>
  <c r="U408" i="15"/>
  <c r="T408" i="15"/>
  <c r="U418" i="15" l="1"/>
  <c r="T418" i="15"/>
  <c r="T423" i="16"/>
  <c r="S423" i="16"/>
  <c r="T425" i="16"/>
  <c r="S425" i="16"/>
  <c r="U423" i="15"/>
  <c r="T423" i="15"/>
  <c r="U422" i="15"/>
  <c r="T422" i="15"/>
  <c r="S430" i="16"/>
  <c r="T430" i="16"/>
  <c r="T415" i="15"/>
  <c r="U415" i="15"/>
  <c r="U424" i="15"/>
  <c r="T424" i="15"/>
  <c r="S421" i="16"/>
  <c r="T421" i="16"/>
  <c r="T419" i="15"/>
  <c r="U419" i="15"/>
  <c r="S426" i="16"/>
  <c r="T426" i="16"/>
  <c r="U413" i="15"/>
  <c r="T413" i="15"/>
  <c r="AZ91" i="14" s="1"/>
  <c r="T419" i="16"/>
  <c r="S419" i="16"/>
  <c r="S422" i="16"/>
  <c r="T422" i="16"/>
  <c r="T417" i="15"/>
  <c r="U417" i="15"/>
  <c r="S424" i="16"/>
  <c r="T424" i="16"/>
  <c r="U421" i="15"/>
  <c r="T421" i="15"/>
  <c r="T427" i="16"/>
  <c r="S427" i="16"/>
  <c r="U420" i="15"/>
  <c r="T420" i="15"/>
  <c r="DM10" i="3"/>
  <c r="AV55" i="14"/>
  <c r="S428" i="16"/>
  <c r="T428" i="16"/>
  <c r="BA54" i="14"/>
  <c r="U414" i="15"/>
  <c r="T414" i="15"/>
  <c r="DM130" i="2" s="1"/>
  <c r="T429" i="16"/>
  <c r="S429" i="16"/>
  <c r="AT10" i="14"/>
  <c r="U416" i="15"/>
  <c r="T416" i="15"/>
  <c r="DL12" i="3"/>
  <c r="S420" i="16"/>
  <c r="T420" i="16"/>
  <c r="BA197" i="14" l="1"/>
  <c r="AV124" i="14"/>
  <c r="BA188" i="14"/>
  <c r="DM87" i="3"/>
  <c r="DM6" i="1"/>
  <c r="AU82" i="14"/>
  <c r="DM7" i="3"/>
  <c r="DM120" i="1"/>
  <c r="AV229" i="14"/>
  <c r="AZ206" i="14"/>
  <c r="AZ14" i="14"/>
  <c r="DM72" i="3"/>
  <c r="DM194" i="3"/>
  <c r="AT36" i="14"/>
  <c r="DM201" i="1"/>
  <c r="AV58" i="14"/>
  <c r="AY36" i="14"/>
  <c r="AU10" i="14"/>
  <c r="DL119" i="3"/>
  <c r="AY91" i="14"/>
  <c r="DM120" i="2"/>
  <c r="BA134" i="14"/>
  <c r="AU134" i="14"/>
  <c r="BA206" i="14"/>
  <c r="DJ18" i="1"/>
  <c r="DJ216" i="1"/>
  <c r="DJ131" i="3"/>
  <c r="DJ175" i="3"/>
  <c r="DJ210" i="3"/>
  <c r="DJ18" i="2"/>
  <c r="DJ64" i="2"/>
  <c r="DJ209" i="2"/>
  <c r="DJ179" i="1"/>
  <c r="DJ19" i="2"/>
  <c r="W11" i="14"/>
  <c r="DJ63" i="3"/>
  <c r="DJ129" i="1"/>
  <c r="DJ18" i="3"/>
  <c r="DJ33" i="1"/>
  <c r="DJ58" i="1"/>
  <c r="DJ123" i="1"/>
  <c r="DJ122" i="3"/>
  <c r="DJ212" i="3"/>
  <c r="DJ49" i="2"/>
  <c r="DJ7" i="1"/>
  <c r="DJ28" i="2"/>
  <c r="DJ93" i="1"/>
  <c r="DJ85" i="2"/>
  <c r="DJ28" i="3"/>
  <c r="DJ82" i="2"/>
  <c r="DJ136" i="2"/>
  <c r="DJ48" i="3"/>
  <c r="X121" i="14"/>
  <c r="DJ111" i="2"/>
  <c r="DJ132" i="2"/>
  <c r="Y118" i="14"/>
  <c r="DJ34" i="2"/>
  <c r="DJ135" i="3"/>
  <c r="DJ19" i="1"/>
  <c r="X118" i="14"/>
  <c r="Y121" i="14"/>
  <c r="Y86" i="14"/>
  <c r="DJ110" i="3"/>
  <c r="DJ63" i="1"/>
  <c r="DJ105" i="1"/>
  <c r="DJ34" i="1"/>
  <c r="Y133" i="14"/>
  <c r="Y17" i="14"/>
  <c r="DJ55" i="3"/>
  <c r="DJ219" i="1"/>
  <c r="W91" i="14"/>
  <c r="DJ133" i="2"/>
  <c r="DJ69" i="2"/>
  <c r="DJ99" i="1"/>
  <c r="DJ57" i="3"/>
  <c r="DJ137" i="2"/>
  <c r="DJ136" i="3"/>
  <c r="DJ52" i="2"/>
  <c r="DJ7" i="2"/>
  <c r="DJ119" i="3"/>
  <c r="DJ22" i="2"/>
  <c r="DJ205" i="1"/>
  <c r="DJ37" i="1"/>
  <c r="DJ95" i="3"/>
  <c r="DJ213" i="1"/>
  <c r="DJ28" i="1"/>
  <c r="DJ32" i="1"/>
  <c r="DJ90" i="1"/>
  <c r="DJ36" i="3"/>
  <c r="DJ99" i="2"/>
  <c r="DJ25" i="1"/>
  <c r="DJ87" i="1"/>
  <c r="DJ202" i="3"/>
  <c r="DJ13" i="2"/>
  <c r="DJ96" i="1"/>
  <c r="DJ9" i="1"/>
  <c r="X13" i="14"/>
  <c r="DJ10" i="1"/>
  <c r="DJ39" i="1"/>
  <c r="DJ204" i="2"/>
  <c r="DJ9" i="3"/>
  <c r="Y11" i="14"/>
  <c r="W121" i="14"/>
  <c r="DJ152" i="2"/>
  <c r="DJ206" i="2"/>
  <c r="DJ86" i="3"/>
  <c r="DJ153" i="1"/>
  <c r="DJ13" i="1"/>
  <c r="DJ22" i="1"/>
  <c r="DJ51" i="3"/>
  <c r="DJ56" i="1"/>
  <c r="W26" i="14"/>
  <c r="DJ104" i="3"/>
  <c r="DJ32" i="3"/>
  <c r="DJ37" i="2"/>
  <c r="DJ132" i="1"/>
  <c r="DJ96" i="2"/>
  <c r="DJ7" i="3"/>
  <c r="DJ33" i="3"/>
  <c r="DJ120" i="2"/>
  <c r="X11" i="14"/>
  <c r="DJ89" i="3"/>
  <c r="DJ123" i="2"/>
  <c r="DJ133" i="1"/>
  <c r="DJ120" i="1"/>
  <c r="DJ49" i="1"/>
  <c r="DJ10" i="3"/>
  <c r="DJ9" i="2"/>
  <c r="DJ69" i="1"/>
  <c r="DJ33" i="2"/>
  <c r="DJ111" i="1"/>
  <c r="Y56" i="14"/>
  <c r="Y109" i="14"/>
  <c r="W89" i="14"/>
  <c r="Y67" i="14"/>
  <c r="Y41" i="14"/>
  <c r="W67" i="14"/>
  <c r="X43" i="14"/>
  <c r="DO1" i="3"/>
  <c r="W157" i="14"/>
  <c r="DJ87" i="2"/>
  <c r="Y94" i="14"/>
  <c r="W29" i="14"/>
  <c r="DJ137" i="1"/>
  <c r="W136" i="14"/>
  <c r="Y115" i="14"/>
  <c r="W73" i="14"/>
  <c r="Y14" i="14"/>
  <c r="W90" i="14"/>
  <c r="Y60" i="14"/>
  <c r="W32" i="14"/>
  <c r="X91" i="14"/>
  <c r="Y32" i="14"/>
  <c r="Y29" i="14"/>
  <c r="X124" i="14"/>
  <c r="X86" i="14"/>
  <c r="Y157" i="14"/>
  <c r="X183" i="14"/>
  <c r="DO1" i="1"/>
  <c r="DJ102" i="1"/>
  <c r="W103" i="14"/>
  <c r="W115" i="14"/>
  <c r="X22" i="14"/>
  <c r="W183" i="14"/>
  <c r="W124" i="14"/>
  <c r="X136" i="14"/>
  <c r="X89" i="14"/>
  <c r="W62" i="14"/>
  <c r="W127" i="14"/>
  <c r="DJ63" i="2"/>
  <c r="X141" i="14"/>
  <c r="DJ38" i="3"/>
  <c r="DJ56" i="2"/>
  <c r="DJ84" i="3"/>
  <c r="DJ132" i="3"/>
  <c r="W68" i="14"/>
  <c r="DJ10" i="2"/>
  <c r="DJ214" i="3"/>
  <c r="W118" i="14"/>
  <c r="DJ13" i="3"/>
  <c r="X225" i="14"/>
  <c r="W43" i="14"/>
  <c r="Y37" i="14"/>
  <c r="X29" i="14"/>
  <c r="X14" i="14"/>
  <c r="W13" i="14"/>
  <c r="DJ68" i="3"/>
  <c r="DJ19" i="3"/>
  <c r="W36" i="14"/>
  <c r="DJ101" i="3"/>
  <c r="X41" i="14"/>
  <c r="DJ32" i="2"/>
  <c r="W60" i="14"/>
  <c r="W142" i="14"/>
  <c r="W97" i="14"/>
  <c r="Y142" i="14"/>
  <c r="W53" i="14"/>
  <c r="DJ105" i="2"/>
  <c r="W41" i="14"/>
  <c r="DJ25" i="2"/>
  <c r="Y43" i="14"/>
  <c r="Y62" i="14"/>
  <c r="W222" i="14"/>
  <c r="X36" i="14"/>
  <c r="W225" i="14"/>
  <c r="DO1" i="2"/>
  <c r="W94" i="14"/>
  <c r="X26" i="14"/>
  <c r="X23" i="14"/>
  <c r="W106" i="14"/>
  <c r="W38" i="14"/>
  <c r="DJ25" i="3"/>
  <c r="X53" i="14"/>
  <c r="W37" i="14"/>
  <c r="X94" i="14"/>
  <c r="Y53" i="14"/>
  <c r="Y222" i="14"/>
  <c r="Y68" i="14"/>
  <c r="Y89" i="14"/>
  <c r="DJ113" i="3"/>
  <c r="W56" i="14"/>
  <c r="DJ62" i="3"/>
  <c r="W100" i="14"/>
  <c r="Y183" i="14"/>
  <c r="DJ117" i="2"/>
  <c r="X137" i="14"/>
  <c r="X32" i="14"/>
  <c r="DJ116" i="3"/>
  <c r="Y210" i="14"/>
  <c r="X106" i="14"/>
  <c r="X219" i="14"/>
  <c r="DJ129" i="2"/>
  <c r="W219" i="14"/>
  <c r="DJ92" i="3"/>
  <c r="W17" i="14"/>
  <c r="Y73" i="14"/>
  <c r="DJ82" i="1"/>
  <c r="Y106" i="14"/>
  <c r="X34" i="14"/>
  <c r="Y141" i="14"/>
  <c r="DJ90" i="2"/>
  <c r="DJ64" i="1"/>
  <c r="DJ52" i="1"/>
  <c r="X67" i="14"/>
  <c r="W133" i="14"/>
  <c r="X210" i="14"/>
  <c r="DJ102" i="2"/>
  <c r="DJ22" i="3"/>
  <c r="Y36" i="14"/>
  <c r="DJ138" i="1"/>
  <c r="Y23" i="14"/>
  <c r="DJ85" i="1"/>
  <c r="W137" i="14"/>
  <c r="X142" i="14"/>
  <c r="X73" i="14"/>
  <c r="DJ93" i="2"/>
  <c r="W109" i="14"/>
  <c r="X157" i="14"/>
  <c r="X60" i="14"/>
  <c r="X38" i="14"/>
  <c r="Y225" i="14"/>
  <c r="X62" i="14"/>
  <c r="W141" i="14"/>
  <c r="X97" i="14"/>
  <c r="Y103" i="14"/>
  <c r="X17" i="14"/>
  <c r="DJ151" i="3"/>
  <c r="B2" i="14"/>
  <c r="DJ98" i="3"/>
  <c r="X115" i="14"/>
  <c r="DJ178" i="2"/>
  <c r="X127" i="14"/>
  <c r="DJ58" i="2"/>
  <c r="X100" i="14"/>
  <c r="DJ114" i="1"/>
  <c r="Y22" i="14"/>
  <c r="Y97" i="14"/>
  <c r="X68" i="14"/>
  <c r="DJ39" i="2"/>
  <c r="X56" i="14"/>
  <c r="Y91" i="14"/>
  <c r="DJ117" i="1"/>
  <c r="Y137" i="14"/>
  <c r="DJ81" i="3"/>
  <c r="W210" i="14"/>
  <c r="Y13" i="14"/>
  <c r="W23" i="14"/>
  <c r="Y120" i="14"/>
  <c r="X54" i="14"/>
  <c r="DJ221" i="1"/>
  <c r="Y20" i="14"/>
  <c r="DJ188" i="1"/>
  <c r="X212" i="14"/>
  <c r="DJ75" i="1"/>
  <c r="X30" i="14"/>
  <c r="DJ21" i="1"/>
  <c r="DJ74" i="1"/>
  <c r="Y38" i="14"/>
  <c r="Y219" i="14"/>
  <c r="DJ60" i="1"/>
  <c r="Y77" i="14"/>
  <c r="Y107" i="14"/>
  <c r="Y34" i="14"/>
  <c r="X78" i="14"/>
  <c r="DJ97" i="1"/>
  <c r="X75" i="14"/>
  <c r="W85" i="14"/>
  <c r="X148" i="14"/>
  <c r="X126" i="14"/>
  <c r="DJ88" i="1"/>
  <c r="DJ127" i="1"/>
  <c r="X154" i="14"/>
  <c r="Y46" i="14"/>
  <c r="Y220" i="14"/>
  <c r="Y25" i="14"/>
  <c r="Y205" i="14"/>
  <c r="DJ144" i="1"/>
  <c r="Y58" i="14"/>
  <c r="X221" i="14"/>
  <c r="Y108" i="14"/>
  <c r="W80" i="14"/>
  <c r="DJ91" i="1"/>
  <c r="DJ77" i="1"/>
  <c r="Y135" i="14"/>
  <c r="W78" i="14"/>
  <c r="Y221" i="14"/>
  <c r="W107" i="14"/>
  <c r="Y72" i="14"/>
  <c r="W98" i="14"/>
  <c r="Y128" i="14"/>
  <c r="Y152" i="14"/>
  <c r="Y19" i="14"/>
  <c r="Y31" i="14"/>
  <c r="X227" i="14"/>
  <c r="Y180" i="14"/>
  <c r="DJ50" i="1"/>
  <c r="DJ140" i="1"/>
  <c r="Y114" i="14"/>
  <c r="X33" i="14"/>
  <c r="W226" i="14"/>
  <c r="DJ61" i="2"/>
  <c r="W132" i="14"/>
  <c r="Y95" i="14"/>
  <c r="DJ115" i="1"/>
  <c r="Y218" i="14"/>
  <c r="X19" i="14"/>
  <c r="W197" i="14"/>
  <c r="Y24" i="14"/>
  <c r="W30" i="14"/>
  <c r="X40" i="14"/>
  <c r="X99" i="14"/>
  <c r="W74" i="14"/>
  <c r="W119" i="14"/>
  <c r="DJ150" i="1"/>
  <c r="Y78" i="14"/>
  <c r="X82" i="14"/>
  <c r="Y12" i="14"/>
  <c r="Y26" i="14"/>
  <c r="Y39" i="14"/>
  <c r="DJ165" i="1"/>
  <c r="X57" i="14"/>
  <c r="W128" i="14"/>
  <c r="X37" i="14"/>
  <c r="W45" i="14"/>
  <c r="Y74" i="14"/>
  <c r="X55" i="14"/>
  <c r="DJ16" i="1"/>
  <c r="X79" i="14"/>
  <c r="W15" i="14"/>
  <c r="Y139" i="14"/>
  <c r="Y132" i="14"/>
  <c r="X61" i="14"/>
  <c r="W202" i="14"/>
  <c r="DJ51" i="1"/>
  <c r="Y110" i="14"/>
  <c r="X120" i="14"/>
  <c r="Y16" i="14"/>
  <c r="X98" i="14"/>
  <c r="Y85" i="14"/>
  <c r="DJ24" i="1"/>
  <c r="W65" i="14"/>
  <c r="W135" i="14"/>
  <c r="Y96" i="14"/>
  <c r="W86" i="14"/>
  <c r="DJ130" i="1"/>
  <c r="Y59" i="14"/>
  <c r="DJ6" i="1"/>
  <c r="X144" i="14"/>
  <c r="Y202" i="14"/>
  <c r="X218" i="14"/>
  <c r="W108" i="14"/>
  <c r="X155" i="14"/>
  <c r="DJ215" i="1"/>
  <c r="W156" i="14"/>
  <c r="Y188" i="14"/>
  <c r="W81" i="14"/>
  <c r="Y160" i="14"/>
  <c r="DJ135" i="1"/>
  <c r="Y80" i="14"/>
  <c r="X58" i="14"/>
  <c r="Y227" i="14"/>
  <c r="W61" i="14"/>
  <c r="W39" i="14"/>
  <c r="DJ42" i="1"/>
  <c r="DJ70" i="1"/>
  <c r="W104" i="14"/>
  <c r="DJ151" i="1"/>
  <c r="W155" i="14"/>
  <c r="DJ95" i="2"/>
  <c r="DJ103" i="1"/>
  <c r="DJ92" i="1"/>
  <c r="W114" i="14"/>
  <c r="W58" i="14"/>
  <c r="X197" i="14"/>
  <c r="X39" i="14"/>
  <c r="W190" i="14"/>
  <c r="X65" i="14"/>
  <c r="Y136" i="14"/>
  <c r="Y104" i="14"/>
  <c r="W139" i="14"/>
  <c r="X28" i="14"/>
  <c r="Y64" i="14"/>
  <c r="Y33" i="14"/>
  <c r="Y15" i="14"/>
  <c r="W101" i="14"/>
  <c r="DJ26" i="1"/>
  <c r="Y124" i="14"/>
  <c r="DJ114" i="2"/>
  <c r="W18" i="14"/>
  <c r="DJ29" i="1"/>
  <c r="X122" i="14"/>
  <c r="DJ41" i="1"/>
  <c r="Y156" i="14"/>
  <c r="DJ104" i="1"/>
  <c r="X27" i="14"/>
  <c r="DJ197" i="1"/>
  <c r="DJ20" i="1"/>
  <c r="DJ220" i="1"/>
  <c r="W71" i="14"/>
  <c r="X95" i="14"/>
  <c r="Y154" i="14"/>
  <c r="X139" i="14"/>
  <c r="W99" i="14"/>
  <c r="Y10" i="14"/>
  <c r="DJ14" i="1"/>
  <c r="W153" i="14"/>
  <c r="X64" i="14"/>
  <c r="X132" i="14"/>
  <c r="DJ146" i="3"/>
  <c r="DJ71" i="1"/>
  <c r="W105" i="14"/>
  <c r="Y55" i="14"/>
  <c r="X206" i="14"/>
  <c r="W193" i="14"/>
  <c r="Y190" i="14"/>
  <c r="W79" i="14"/>
  <c r="W16" i="14"/>
  <c r="Y134" i="14"/>
  <c r="W77" i="14"/>
  <c r="DJ216" i="3"/>
  <c r="Y93" i="14"/>
  <c r="Y61" i="14"/>
  <c r="X222" i="14"/>
  <c r="X105" i="14"/>
  <c r="X202" i="14"/>
  <c r="W229" i="14"/>
  <c r="X128" i="14"/>
  <c r="W64" i="14"/>
  <c r="Y169" i="14"/>
  <c r="DJ212" i="1"/>
  <c r="Y65" i="14"/>
  <c r="Y92" i="14"/>
  <c r="Y226" i="14"/>
  <c r="W205" i="14"/>
  <c r="X119" i="14"/>
  <c r="Y27" i="14"/>
  <c r="DJ65" i="1"/>
  <c r="X103" i="14"/>
  <c r="Y127" i="14"/>
  <c r="DJ57" i="1"/>
  <c r="Y63" i="14"/>
  <c r="DJ201" i="1"/>
  <c r="Y153" i="14"/>
  <c r="DJ192" i="1"/>
  <c r="Y75" i="14"/>
  <c r="Y54" i="14"/>
  <c r="W152" i="14"/>
  <c r="DJ156" i="1"/>
  <c r="X18" i="14"/>
  <c r="W55" i="14"/>
  <c r="Y90" i="14"/>
  <c r="DJ81" i="1"/>
  <c r="X138" i="14"/>
  <c r="X193" i="14"/>
  <c r="DJ61" i="1"/>
  <c r="W154" i="14"/>
  <c r="Y101" i="14"/>
  <c r="DJ84" i="1"/>
  <c r="W72" i="14"/>
  <c r="Y100" i="14"/>
  <c r="X109" i="14"/>
  <c r="X15" i="14"/>
  <c r="X107" i="14"/>
  <c r="DJ214" i="1"/>
  <c r="DJ106" i="1"/>
  <c r="Y57" i="14"/>
  <c r="Y144" i="14"/>
  <c r="X31" i="14"/>
  <c r="X229" i="14"/>
  <c r="DJ59" i="1"/>
  <c r="DJ101" i="1"/>
  <c r="W10" i="14"/>
  <c r="W95" i="14"/>
  <c r="DJ200" i="1"/>
  <c r="DJ183" i="1"/>
  <c r="X74" i="14"/>
  <c r="DJ76" i="1"/>
  <c r="W188" i="14"/>
  <c r="W144" i="14"/>
  <c r="Y98" i="14"/>
  <c r="W120" i="14"/>
  <c r="Y119" i="14"/>
  <c r="W227" i="14"/>
  <c r="W218" i="14"/>
  <c r="DJ146" i="1"/>
  <c r="DJ185" i="1"/>
  <c r="W31" i="14"/>
  <c r="X153" i="14"/>
  <c r="X72" i="14"/>
  <c r="X10" i="14"/>
  <c r="X88" i="14"/>
  <c r="Y28" i="14"/>
  <c r="Y30" i="14"/>
  <c r="X71" i="14"/>
  <c r="X16" i="14"/>
  <c r="DJ36" i="1"/>
  <c r="W122" i="14"/>
  <c r="X169" i="14"/>
  <c r="X160" i="14"/>
  <c r="DJ8" i="1"/>
  <c r="X96" i="14"/>
  <c r="X90" i="14"/>
  <c r="Y69" i="14"/>
  <c r="X131" i="14"/>
  <c r="DJ118" i="1"/>
  <c r="W131" i="14"/>
  <c r="X188" i="14"/>
  <c r="DJ176" i="1"/>
  <c r="X80" i="14"/>
  <c r="W40" i="14"/>
  <c r="X104" i="14"/>
  <c r="Y193" i="14"/>
  <c r="DJ152" i="1"/>
  <c r="W206" i="14"/>
  <c r="W143" i="14"/>
  <c r="Y18" i="14"/>
  <c r="W34" i="14"/>
  <c r="W82" i="14"/>
  <c r="X63" i="14"/>
  <c r="W180" i="14"/>
  <c r="X69" i="14"/>
  <c r="X180" i="14"/>
  <c r="DJ89" i="1"/>
  <c r="DJ86" i="1"/>
  <c r="DJ128" i="3"/>
  <c r="X143" i="14"/>
  <c r="W148" i="14"/>
  <c r="Y122" i="14"/>
  <c r="X114" i="14"/>
  <c r="X85" i="14"/>
  <c r="X205" i="14"/>
  <c r="Y71" i="14"/>
  <c r="W63" i="14"/>
  <c r="X93" i="14"/>
  <c r="X220" i="14"/>
  <c r="X152" i="14"/>
  <c r="X12" i="14"/>
  <c r="Y206" i="14"/>
  <c r="W160" i="14"/>
  <c r="Y212" i="14"/>
  <c r="X59" i="14"/>
  <c r="Y45" i="14"/>
  <c r="W93" i="14"/>
  <c r="X133" i="14"/>
  <c r="W54" i="14"/>
  <c r="DJ60" i="3"/>
  <c r="Y229" i="14"/>
  <c r="W14" i="14"/>
  <c r="Y99" i="14"/>
  <c r="DJ110" i="1"/>
  <c r="X108" i="14"/>
  <c r="W24" i="14"/>
  <c r="DJ15" i="1"/>
  <c r="DJ131" i="1"/>
  <c r="DJ67" i="1"/>
  <c r="W110" i="14"/>
  <c r="DJ124" i="1"/>
  <c r="W33" i="14"/>
  <c r="DJ23" i="1"/>
  <c r="DJ122" i="1"/>
  <c r="DJ147" i="2"/>
  <c r="W220" i="14"/>
  <c r="DJ100" i="1"/>
  <c r="Y143" i="14"/>
  <c r="Y148" i="14"/>
  <c r="X81" i="14"/>
  <c r="W28" i="14"/>
  <c r="DJ113" i="1"/>
  <c r="W169" i="14"/>
  <c r="DJ164" i="2"/>
  <c r="X46" i="14"/>
  <c r="DJ71" i="2"/>
  <c r="Y131" i="14"/>
  <c r="DJ54" i="3"/>
  <c r="Y105" i="14"/>
  <c r="W69" i="14"/>
  <c r="DJ65" i="2"/>
  <c r="DJ90" i="3"/>
  <c r="Y138" i="14"/>
  <c r="DJ218" i="3"/>
  <c r="W20" i="14"/>
  <c r="W46" i="14"/>
  <c r="DJ59" i="3"/>
  <c r="DJ68" i="1"/>
  <c r="DJ185" i="2"/>
  <c r="DJ55" i="1"/>
  <c r="DJ122" i="2"/>
  <c r="DJ126" i="3"/>
  <c r="Y81" i="14"/>
  <c r="DJ36" i="2"/>
  <c r="DJ6" i="3"/>
  <c r="DJ192" i="2"/>
  <c r="DJ105" i="3"/>
  <c r="DJ124" i="2"/>
  <c r="DJ35" i="1"/>
  <c r="DJ35" i="3"/>
  <c r="DJ74" i="3"/>
  <c r="DJ215" i="3"/>
  <c r="DJ8" i="2"/>
  <c r="DJ92" i="2"/>
  <c r="DJ100" i="2"/>
  <c r="DJ121" i="3"/>
  <c r="DJ118" i="2"/>
  <c r="X135" i="14"/>
  <c r="W12" i="14"/>
  <c r="W221" i="14"/>
  <c r="DJ78" i="1"/>
  <c r="DJ60" i="2"/>
  <c r="DJ50" i="2"/>
  <c r="DJ139" i="2"/>
  <c r="Y155" i="14"/>
  <c r="W92" i="14"/>
  <c r="Y40" i="14"/>
  <c r="Y197" i="14"/>
  <c r="DJ134" i="2"/>
  <c r="DJ115" i="3"/>
  <c r="DJ128" i="1"/>
  <c r="DJ53" i="3"/>
  <c r="DJ106" i="2"/>
  <c r="DJ100" i="3"/>
  <c r="DJ147" i="3"/>
  <c r="DJ91" i="2"/>
  <c r="DJ207" i="1"/>
  <c r="W117" i="14"/>
  <c r="DJ139" i="1"/>
  <c r="DJ21" i="2"/>
  <c r="DJ151" i="2"/>
  <c r="DJ175" i="2"/>
  <c r="DJ29" i="2"/>
  <c r="X226" i="14"/>
  <c r="Y88" i="14"/>
  <c r="X45" i="14"/>
  <c r="DJ53" i="1"/>
  <c r="W59" i="14"/>
  <c r="W88" i="14"/>
  <c r="DJ12" i="3"/>
  <c r="DJ77" i="3"/>
  <c r="DJ149" i="3"/>
  <c r="DJ11" i="1"/>
  <c r="DJ148" i="2"/>
  <c r="DJ94" i="1"/>
  <c r="DJ50" i="3"/>
  <c r="DJ185" i="3"/>
  <c r="Y42" i="14"/>
  <c r="DJ70" i="3"/>
  <c r="DJ24" i="3"/>
  <c r="DJ110" i="2"/>
  <c r="DJ137" i="3"/>
  <c r="W126" i="14"/>
  <c r="DJ23" i="2"/>
  <c r="DJ24" i="2"/>
  <c r="DJ150" i="2"/>
  <c r="DJ138" i="2"/>
  <c r="DJ73" i="1"/>
  <c r="DJ148" i="3"/>
  <c r="DJ134" i="1"/>
  <c r="DJ204" i="3"/>
  <c r="DJ211" i="2"/>
  <c r="W27" i="14"/>
  <c r="DJ68" i="2"/>
  <c r="X134" i="14"/>
  <c r="DJ12" i="1"/>
  <c r="DJ96" i="3"/>
  <c r="DJ103" i="3"/>
  <c r="DJ26" i="3"/>
  <c r="DJ155" i="2"/>
  <c r="X24" i="14"/>
  <c r="DJ51" i="2"/>
  <c r="DJ91" i="3"/>
  <c r="DJ104" i="2"/>
  <c r="W96" i="14"/>
  <c r="DJ77" i="2"/>
  <c r="DJ197" i="3"/>
  <c r="X150" i="14"/>
  <c r="DJ212" i="2"/>
  <c r="DJ113" i="2"/>
  <c r="DJ188" i="2"/>
  <c r="DJ29" i="3"/>
  <c r="DJ52" i="3"/>
  <c r="DJ64" i="3"/>
  <c r="DJ115" i="2"/>
  <c r="DJ148" i="1"/>
  <c r="DJ80" i="3"/>
  <c r="X20" i="14"/>
  <c r="X117" i="14"/>
  <c r="DJ127" i="3"/>
  <c r="DJ180" i="3"/>
  <c r="DJ114" i="3"/>
  <c r="W42" i="14"/>
  <c r="DJ14" i="2"/>
  <c r="DJ30" i="2"/>
  <c r="W22" i="14"/>
  <c r="DJ194" i="3"/>
  <c r="DJ95" i="1"/>
  <c r="DJ183" i="2"/>
  <c r="DJ12" i="2"/>
  <c r="DJ211" i="3"/>
  <c r="X42" i="14"/>
  <c r="DJ94" i="2"/>
  <c r="X25" i="14"/>
  <c r="Y126" i="14"/>
  <c r="W134" i="14"/>
  <c r="DJ54" i="1"/>
  <c r="W138" i="14"/>
  <c r="DJ84" i="2"/>
  <c r="DJ145" i="2"/>
  <c r="DJ117" i="3"/>
  <c r="DJ86" i="2"/>
  <c r="DJ149" i="1"/>
  <c r="DJ101" i="2"/>
  <c r="DJ189" i="3"/>
  <c r="DJ76" i="3"/>
  <c r="DJ56" i="3"/>
  <c r="DJ200" i="2"/>
  <c r="DJ78" i="2"/>
  <c r="Y79" i="14"/>
  <c r="DJ87" i="3"/>
  <c r="DJ57" i="2"/>
  <c r="Y150" i="14"/>
  <c r="X156" i="14"/>
  <c r="DJ89" i="2"/>
  <c r="DJ55" i="2"/>
  <c r="DJ130" i="2"/>
  <c r="DJ75" i="3"/>
  <c r="DJ143" i="2"/>
  <c r="DJ205" i="2"/>
  <c r="DJ85" i="3"/>
  <c r="DJ21" i="3"/>
  <c r="DJ34" i="3"/>
  <c r="DJ144" i="3"/>
  <c r="DJ53" i="2"/>
  <c r="DJ163" i="3"/>
  <c r="DJ67" i="2"/>
  <c r="DJ58" i="3"/>
  <c r="X190" i="14"/>
  <c r="DJ27" i="2"/>
  <c r="W19" i="14"/>
  <c r="X77" i="14"/>
  <c r="DJ81" i="2"/>
  <c r="DJ26" i="2"/>
  <c r="DJ102" i="3"/>
  <c r="DJ74" i="2"/>
  <c r="Y82" i="14"/>
  <c r="DJ198" i="3"/>
  <c r="DJ88" i="3"/>
  <c r="DJ38" i="1"/>
  <c r="DJ116" i="1"/>
  <c r="DJ116" i="2"/>
  <c r="W75" i="14"/>
  <c r="DJ210" i="2"/>
  <c r="W57" i="14"/>
  <c r="DJ109" i="3"/>
  <c r="DJ149" i="2"/>
  <c r="DJ76" i="2"/>
  <c r="DJ66" i="3"/>
  <c r="DJ129" i="3"/>
  <c r="DJ49" i="3"/>
  <c r="Y117" i="14"/>
  <c r="DJ130" i="3"/>
  <c r="DJ123" i="3"/>
  <c r="W25" i="14"/>
  <c r="X101" i="14"/>
  <c r="DJ128" i="2"/>
  <c r="DJ27" i="1"/>
  <c r="DJ42" i="2"/>
  <c r="DJ94" i="3"/>
  <c r="DJ67" i="3"/>
  <c r="DJ11" i="2"/>
  <c r="DJ209" i="3"/>
  <c r="X110" i="14"/>
  <c r="DJ88" i="2"/>
  <c r="DJ14" i="3"/>
  <c r="DJ40" i="3"/>
  <c r="DJ30" i="3"/>
  <c r="DJ70" i="2"/>
  <c r="DJ197" i="2"/>
  <c r="W212" i="14"/>
  <c r="DJ23" i="3"/>
  <c r="DJ15" i="2"/>
  <c r="DJ15" i="3"/>
  <c r="DJ16" i="3"/>
  <c r="DJ38" i="2"/>
  <c r="DJ142" i="3"/>
  <c r="DJ16" i="2"/>
  <c r="DJ30" i="1"/>
  <c r="DJ72" i="3"/>
  <c r="DJ11" i="3"/>
  <c r="DJ41" i="3"/>
  <c r="DJ35" i="2"/>
  <c r="W150" i="14"/>
  <c r="DJ103" i="2"/>
  <c r="DJ8" i="3"/>
  <c r="DJ173" i="3"/>
  <c r="DJ99" i="3"/>
  <c r="DJ69" i="3"/>
  <c r="DJ133" i="3"/>
  <c r="DJ131" i="2"/>
  <c r="DJ112" i="3"/>
  <c r="DJ41" i="2"/>
  <c r="DJ93" i="3"/>
  <c r="DJ138" i="3"/>
  <c r="DJ20" i="3"/>
  <c r="DJ73" i="3"/>
  <c r="DJ83" i="3"/>
  <c r="DJ201" i="2"/>
  <c r="DJ20" i="2"/>
  <c r="DJ75" i="2"/>
  <c r="DJ73" i="2"/>
  <c r="DJ154" i="3"/>
  <c r="DJ54" i="2"/>
  <c r="DJ59" i="2"/>
  <c r="DJ127" i="2"/>
  <c r="X92" i="14"/>
  <c r="DJ37" i="3"/>
  <c r="DJ6" i="2"/>
  <c r="DJ182" i="3"/>
  <c r="DJ27" i="3"/>
  <c r="DJ150" i="3"/>
  <c r="DJ97" i="2"/>
  <c r="X424" i="15"/>
  <c r="V424" i="15"/>
  <c r="AU229" i="14"/>
  <c r="AZ36" i="14"/>
  <c r="DK102" i="2"/>
  <c r="DK22" i="2"/>
  <c r="DK138" i="1"/>
  <c r="DK63" i="2"/>
  <c r="DK111" i="1"/>
  <c r="DK58" i="1"/>
  <c r="DK69" i="1"/>
  <c r="DK87" i="2"/>
  <c r="DK114" i="2"/>
  <c r="DK99" i="1"/>
  <c r="DK25" i="2"/>
  <c r="DK123" i="1"/>
  <c r="DK55" i="3"/>
  <c r="DK37" i="1"/>
  <c r="DK34" i="2"/>
  <c r="DK117" i="1"/>
  <c r="DK133" i="2"/>
  <c r="DK204" i="2"/>
  <c r="DK152" i="2"/>
  <c r="DK10" i="1"/>
  <c r="DK137" i="2"/>
  <c r="AD17" i="14"/>
  <c r="DK28" i="1"/>
  <c r="DK18" i="1"/>
  <c r="AB11" i="14"/>
  <c r="DK110" i="3"/>
  <c r="DK68" i="3"/>
  <c r="DK132" i="2"/>
  <c r="DK93" i="2"/>
  <c r="DK98" i="3"/>
  <c r="AD11" i="14"/>
  <c r="DK136" i="2"/>
  <c r="DK116" i="3"/>
  <c r="DK7" i="3"/>
  <c r="DK37" i="2"/>
  <c r="DK132" i="1"/>
  <c r="DK28" i="2"/>
  <c r="DK38" i="3"/>
  <c r="DK120" i="2"/>
  <c r="DK137" i="1"/>
  <c r="DK93" i="1"/>
  <c r="DK135" i="3"/>
  <c r="DK86" i="3"/>
  <c r="DK120" i="1"/>
  <c r="DK33" i="1"/>
  <c r="DK49" i="2"/>
  <c r="DK28" i="3"/>
  <c r="DK18" i="2"/>
  <c r="DK33" i="2"/>
  <c r="DK202" i="3"/>
  <c r="DK7" i="1"/>
  <c r="DK57" i="3"/>
  <c r="DK49" i="1"/>
  <c r="AD133" i="14"/>
  <c r="DK213" i="1"/>
  <c r="DK10" i="2"/>
  <c r="DK62" i="3"/>
  <c r="AC225" i="14"/>
  <c r="DK123" i="2"/>
  <c r="DK7" i="2"/>
  <c r="DK128" i="3"/>
  <c r="DK22" i="1"/>
  <c r="DK13" i="1"/>
  <c r="DK48" i="3"/>
  <c r="DK36" i="3"/>
  <c r="DK25" i="1"/>
  <c r="DK64" i="1"/>
  <c r="DK52" i="2"/>
  <c r="DK87" i="1"/>
  <c r="DK19" i="1"/>
  <c r="DK85" i="2"/>
  <c r="DK153" i="1"/>
  <c r="DK219" i="1"/>
  <c r="AD62" i="14"/>
  <c r="DK32" i="3"/>
  <c r="DK105" i="1"/>
  <c r="DK32" i="2"/>
  <c r="DK119" i="3"/>
  <c r="DK56" i="2"/>
  <c r="DK10" i="3"/>
  <c r="DK81" i="3"/>
  <c r="DK13" i="3"/>
  <c r="DK133" i="1"/>
  <c r="DK58" i="2"/>
  <c r="DK52" i="1"/>
  <c r="DK82" i="1"/>
  <c r="DK56" i="1"/>
  <c r="DK205" i="1"/>
  <c r="DK39" i="1"/>
  <c r="DK129" i="2"/>
  <c r="DK63" i="1"/>
  <c r="AB118" i="14"/>
  <c r="AD29" i="14"/>
  <c r="DK214" i="3"/>
  <c r="AB23" i="14"/>
  <c r="DK114" i="1"/>
  <c r="DK104" i="3"/>
  <c r="AB56" i="14"/>
  <c r="AD67" i="14"/>
  <c r="AB60" i="14"/>
  <c r="AB183" i="14"/>
  <c r="AB142" i="14"/>
  <c r="AB17" i="14"/>
  <c r="AB141" i="14"/>
  <c r="AD97" i="14"/>
  <c r="DQ1" i="1"/>
  <c r="AD222" i="14"/>
  <c r="DQ1" i="3"/>
  <c r="AD22" i="14"/>
  <c r="AC106" i="14"/>
  <c r="DK101" i="3"/>
  <c r="AD41" i="14"/>
  <c r="DK64" i="2"/>
  <c r="AB210" i="14"/>
  <c r="DK63" i="3"/>
  <c r="DK132" i="3"/>
  <c r="DK69" i="2"/>
  <c r="DK95" i="3"/>
  <c r="DK89" i="3"/>
  <c r="AC14" i="14"/>
  <c r="AC32" i="14"/>
  <c r="DK32" i="1"/>
  <c r="AD115" i="14"/>
  <c r="AD127" i="14"/>
  <c r="AB115" i="14"/>
  <c r="AC29" i="14"/>
  <c r="DK129" i="1"/>
  <c r="DK25" i="3"/>
  <c r="AB68" i="14"/>
  <c r="AD68" i="14"/>
  <c r="AC157" i="14"/>
  <c r="DK122" i="3"/>
  <c r="DK90" i="2"/>
  <c r="AC127" i="14"/>
  <c r="AB106" i="14"/>
  <c r="AB36" i="14"/>
  <c r="AB100" i="14"/>
  <c r="AC222" i="14"/>
  <c r="AD13" i="14"/>
  <c r="DK105" i="2"/>
  <c r="AB91" i="14"/>
  <c r="DK209" i="2"/>
  <c r="AD210" i="14"/>
  <c r="AC103" i="14"/>
  <c r="DK178" i="2"/>
  <c r="AD14" i="14"/>
  <c r="AD141" i="14"/>
  <c r="AC86" i="14"/>
  <c r="AC43" i="14"/>
  <c r="DK51" i="3"/>
  <c r="AB137" i="14"/>
  <c r="AD106" i="14"/>
  <c r="DK96" i="1"/>
  <c r="AC97" i="14"/>
  <c r="AD36" i="14"/>
  <c r="AB32" i="14"/>
  <c r="DK39" i="2"/>
  <c r="AD103" i="14"/>
  <c r="AB157" i="14"/>
  <c r="DK212" i="3"/>
  <c r="AC56" i="14"/>
  <c r="DK19" i="2"/>
  <c r="AC89" i="14"/>
  <c r="AB86" i="14"/>
  <c r="AB109" i="14"/>
  <c r="DK19" i="3"/>
  <c r="DK90" i="1"/>
  <c r="AC121" i="14"/>
  <c r="AB222" i="14"/>
  <c r="AB41" i="14"/>
  <c r="DK9" i="3"/>
  <c r="AC57" i="14"/>
  <c r="AC38" i="14"/>
  <c r="AC133" i="14"/>
  <c r="AC68" i="14"/>
  <c r="AC183" i="14"/>
  <c r="DK102" i="1"/>
  <c r="AB89" i="14"/>
  <c r="DK92" i="3"/>
  <c r="AC118" i="14"/>
  <c r="AB133" i="14"/>
  <c r="DK210" i="3"/>
  <c r="DK131" i="3"/>
  <c r="AD79" i="14"/>
  <c r="AD157" i="14"/>
  <c r="AB127" i="14"/>
  <c r="AB99" i="14"/>
  <c r="DK34" i="1"/>
  <c r="AD56" i="14"/>
  <c r="AB37" i="14"/>
  <c r="DK18" i="3"/>
  <c r="AB62" i="14"/>
  <c r="AD23" i="14"/>
  <c r="AD73" i="14"/>
  <c r="AC210" i="14"/>
  <c r="AD43" i="14"/>
  <c r="AB225" i="14"/>
  <c r="AD219" i="14"/>
  <c r="AC11" i="14"/>
  <c r="AD107" i="14"/>
  <c r="AD225" i="14"/>
  <c r="AC73" i="14"/>
  <c r="DK113" i="3"/>
  <c r="DK111" i="2"/>
  <c r="AD53" i="14"/>
  <c r="AC142" i="14"/>
  <c r="AC60" i="14"/>
  <c r="AD37" i="14"/>
  <c r="AD124" i="14"/>
  <c r="AC136" i="14"/>
  <c r="AC219" i="14"/>
  <c r="AB67" i="14"/>
  <c r="DK82" i="2"/>
  <c r="AC23" i="14"/>
  <c r="DK216" i="1"/>
  <c r="AD142" i="14"/>
  <c r="AC91" i="14"/>
  <c r="AC26" i="14"/>
  <c r="AD137" i="14"/>
  <c r="DK85" i="1"/>
  <c r="AB14" i="14"/>
  <c r="AB38" i="14"/>
  <c r="AC37" i="14"/>
  <c r="AC22" i="14"/>
  <c r="AB22" i="14"/>
  <c r="AB103" i="14"/>
  <c r="B3" i="14"/>
  <c r="AB121" i="14"/>
  <c r="AD136" i="14"/>
  <c r="AB136" i="14"/>
  <c r="DK84" i="3"/>
  <c r="DK22" i="3"/>
  <c r="AC100" i="14"/>
  <c r="AC141" i="14"/>
  <c r="AD109" i="14"/>
  <c r="AD94" i="14"/>
  <c r="DK99" i="2"/>
  <c r="DK9" i="1"/>
  <c r="AB26" i="14"/>
  <c r="AD121" i="14"/>
  <c r="AC78" i="14"/>
  <c r="AD45" i="14"/>
  <c r="AC135" i="14"/>
  <c r="AC152" i="14"/>
  <c r="AD31" i="14"/>
  <c r="AB69" i="14"/>
  <c r="AD19" i="14"/>
  <c r="AB75" i="14"/>
  <c r="DK220" i="1"/>
  <c r="AB104" i="14"/>
  <c r="AD104" i="14"/>
  <c r="AD92" i="14"/>
  <c r="AC169" i="14"/>
  <c r="DK42" i="1"/>
  <c r="AB77" i="14"/>
  <c r="AB227" i="14"/>
  <c r="AB139" i="14"/>
  <c r="AD39" i="14"/>
  <c r="DK50" i="1"/>
  <c r="DK81" i="1"/>
  <c r="DK139" i="1"/>
  <c r="DK95" i="1"/>
  <c r="AC19" i="14"/>
  <c r="AD26" i="14"/>
  <c r="AC137" i="14"/>
  <c r="AD150" i="14"/>
  <c r="DK76" i="1"/>
  <c r="AC132" i="14"/>
  <c r="DK92" i="1"/>
  <c r="AD226" i="14"/>
  <c r="AC227" i="14"/>
  <c r="AC63" i="14"/>
  <c r="DK115" i="1"/>
  <c r="AC65" i="14"/>
  <c r="AB114" i="14"/>
  <c r="AD82" i="14"/>
  <c r="AD74" i="14"/>
  <c r="DK54" i="1"/>
  <c r="AB63" i="14"/>
  <c r="AB82" i="14"/>
  <c r="AB105" i="14"/>
  <c r="DK29" i="1"/>
  <c r="AB92" i="14"/>
  <c r="DK147" i="2"/>
  <c r="AC212" i="14"/>
  <c r="DK206" i="2"/>
  <c r="DQ1" i="2"/>
  <c r="AB97" i="14"/>
  <c r="AC90" i="14"/>
  <c r="AD152" i="14"/>
  <c r="AB96" i="14"/>
  <c r="AD218" i="14"/>
  <c r="AD75" i="14"/>
  <c r="AD144" i="14"/>
  <c r="AC143" i="14"/>
  <c r="AC220" i="14"/>
  <c r="AB33" i="14"/>
  <c r="AB43" i="14"/>
  <c r="AD95" i="14"/>
  <c r="DK91" i="1"/>
  <c r="AD148" i="14"/>
  <c r="AC46" i="14"/>
  <c r="AC126" i="14"/>
  <c r="AD64" i="14"/>
  <c r="DK154" i="3"/>
  <c r="DK216" i="3"/>
  <c r="DK15" i="1"/>
  <c r="AC101" i="14"/>
  <c r="AC105" i="14"/>
  <c r="AD135" i="14"/>
  <c r="AC120" i="14"/>
  <c r="AD114" i="14"/>
  <c r="DK150" i="1"/>
  <c r="DK96" i="2"/>
  <c r="DK13" i="2"/>
  <c r="DK183" i="1"/>
  <c r="DK55" i="1"/>
  <c r="AB144" i="14"/>
  <c r="AB73" i="14"/>
  <c r="DK131" i="1"/>
  <c r="DK221" i="1"/>
  <c r="AC154" i="14"/>
  <c r="AB24" i="14"/>
  <c r="AD169" i="14"/>
  <c r="AC18" i="14"/>
  <c r="DK6" i="1"/>
  <c r="DK197" i="1"/>
  <c r="AC139" i="14"/>
  <c r="AC124" i="14"/>
  <c r="DK101" i="1"/>
  <c r="AB138" i="14"/>
  <c r="AD98" i="14"/>
  <c r="AD131" i="14"/>
  <c r="AB219" i="14"/>
  <c r="AD69" i="14"/>
  <c r="AB15" i="14"/>
  <c r="DK192" i="1"/>
  <c r="AB39" i="14"/>
  <c r="AB134" i="14"/>
  <c r="AC15" i="14"/>
  <c r="AD122" i="14"/>
  <c r="AB59" i="14"/>
  <c r="AD89" i="14"/>
  <c r="AD118" i="14"/>
  <c r="AB65" i="14"/>
  <c r="AD202" i="14"/>
  <c r="AB180" i="14"/>
  <c r="AB27" i="14"/>
  <c r="AC30" i="14"/>
  <c r="AC71" i="14"/>
  <c r="DK33" i="3"/>
  <c r="AD128" i="14"/>
  <c r="DK26" i="1"/>
  <c r="AD15" i="14"/>
  <c r="AB220" i="14"/>
  <c r="AC153" i="14"/>
  <c r="AD143" i="14"/>
  <c r="AD16" i="14"/>
  <c r="DK136" i="3"/>
  <c r="AB150" i="14"/>
  <c r="AB156" i="14"/>
  <c r="AB30" i="14"/>
  <c r="AC28" i="14"/>
  <c r="AD99" i="14"/>
  <c r="AD188" i="14"/>
  <c r="AC122" i="14"/>
  <c r="AC144" i="14"/>
  <c r="AB169" i="14"/>
  <c r="AB154" i="14"/>
  <c r="DK53" i="1"/>
  <c r="AD212" i="14"/>
  <c r="AD96" i="14"/>
  <c r="AC134" i="14"/>
  <c r="AB20" i="14"/>
  <c r="AC81" i="14"/>
  <c r="DK117" i="2"/>
  <c r="AB53" i="14"/>
  <c r="DK8" i="1"/>
  <c r="AB197" i="14"/>
  <c r="AC93" i="14"/>
  <c r="AC229" i="14"/>
  <c r="AC98" i="14"/>
  <c r="AD77" i="14"/>
  <c r="AD58" i="14"/>
  <c r="AC10" i="14"/>
  <c r="DK103" i="1"/>
  <c r="DK135" i="1"/>
  <c r="DK20" i="1"/>
  <c r="AB79" i="14"/>
  <c r="AC188" i="14"/>
  <c r="AD119" i="14"/>
  <c r="AC75" i="14"/>
  <c r="AC24" i="14"/>
  <c r="AC85" i="14"/>
  <c r="AD28" i="14"/>
  <c r="AD155" i="14"/>
  <c r="DK9" i="2"/>
  <c r="AB94" i="14"/>
  <c r="AC67" i="14"/>
  <c r="AD32" i="14"/>
  <c r="AB29" i="14"/>
  <c r="AC25" i="14"/>
  <c r="AB90" i="14"/>
  <c r="AC96" i="14"/>
  <c r="AB19" i="14"/>
  <c r="AD91" i="14"/>
  <c r="AC62" i="14"/>
  <c r="AB45" i="14"/>
  <c r="DK86" i="1"/>
  <c r="DK118" i="1"/>
  <c r="DK144" i="1"/>
  <c r="AD34" i="14"/>
  <c r="AB155" i="14"/>
  <c r="DK127" i="1"/>
  <c r="AB57" i="14"/>
  <c r="AB12" i="14"/>
  <c r="AC160" i="14"/>
  <c r="DK89" i="1"/>
  <c r="DK65" i="1"/>
  <c r="AD229" i="14"/>
  <c r="AC128" i="14"/>
  <c r="AC190" i="14"/>
  <c r="AC55" i="14"/>
  <c r="AB61" i="14"/>
  <c r="AC36" i="14"/>
  <c r="AB71" i="14"/>
  <c r="DK156" i="1"/>
  <c r="AC33" i="14"/>
  <c r="DK201" i="1"/>
  <c r="AC34" i="14"/>
  <c r="DK122" i="1"/>
  <c r="AD33" i="14"/>
  <c r="DK41" i="1"/>
  <c r="AD12" i="14"/>
  <c r="AB122" i="14"/>
  <c r="AC80" i="14"/>
  <c r="AC12" i="14"/>
  <c r="AD120" i="14"/>
  <c r="AD183" i="14"/>
  <c r="AD10" i="14"/>
  <c r="DK23" i="1"/>
  <c r="AD126" i="14"/>
  <c r="AC95" i="14"/>
  <c r="AD60" i="14"/>
  <c r="AD57" i="14"/>
  <c r="DK36" i="1"/>
  <c r="AD65" i="14"/>
  <c r="AD205" i="14"/>
  <c r="DK146" i="3"/>
  <c r="AC17" i="14"/>
  <c r="AB98" i="14"/>
  <c r="DK88" i="1"/>
  <c r="AB85" i="14"/>
  <c r="DK152" i="1"/>
  <c r="AC150" i="14"/>
  <c r="AD160" i="14"/>
  <c r="AC218" i="14"/>
  <c r="AC221" i="14"/>
  <c r="AB229" i="14"/>
  <c r="AC39" i="14"/>
  <c r="AD59" i="14"/>
  <c r="DK84" i="1"/>
  <c r="AC94" i="14"/>
  <c r="DK95" i="2"/>
  <c r="AD117" i="14"/>
  <c r="DK68" i="1"/>
  <c r="AD61" i="14"/>
  <c r="AC20" i="14"/>
  <c r="AD30" i="14"/>
  <c r="DK151" i="3"/>
  <c r="AB205" i="14"/>
  <c r="DK57" i="1"/>
  <c r="DK24" i="1"/>
  <c r="AD63" i="14"/>
  <c r="AB58" i="14"/>
  <c r="AD85" i="14"/>
  <c r="AC16" i="14"/>
  <c r="AB117" i="14"/>
  <c r="AB55" i="14"/>
  <c r="AD78" i="14"/>
  <c r="DK179" i="1"/>
  <c r="AC193" i="14"/>
  <c r="AC53" i="14"/>
  <c r="AD40" i="14"/>
  <c r="DK71" i="1"/>
  <c r="AB226" i="14"/>
  <c r="AD24" i="14"/>
  <c r="DK94" i="3"/>
  <c r="AC104" i="14"/>
  <c r="DK175" i="3"/>
  <c r="AD86" i="14"/>
  <c r="AC92" i="14"/>
  <c r="AB206" i="14"/>
  <c r="AD180" i="14"/>
  <c r="AD38" i="14"/>
  <c r="AD55" i="14"/>
  <c r="AB190" i="14"/>
  <c r="AC226" i="14"/>
  <c r="AB34" i="14"/>
  <c r="DK11" i="1"/>
  <c r="DK35" i="1"/>
  <c r="AC54" i="14"/>
  <c r="AC117" i="14"/>
  <c r="AD18" i="14"/>
  <c r="DK116" i="1"/>
  <c r="AC45" i="14"/>
  <c r="AD100" i="14"/>
  <c r="AC115" i="14"/>
  <c r="AC180" i="14"/>
  <c r="AB10" i="14"/>
  <c r="AC148" i="14"/>
  <c r="AD154" i="14"/>
  <c r="AB13" i="14"/>
  <c r="AC42" i="14"/>
  <c r="DK146" i="1"/>
  <c r="AD105" i="14"/>
  <c r="DK218" i="3"/>
  <c r="AB78" i="14"/>
  <c r="DK104" i="1"/>
  <c r="DK84" i="2"/>
  <c r="DK140" i="1"/>
  <c r="AC197" i="14"/>
  <c r="DK41" i="2"/>
  <c r="AD227" i="14"/>
  <c r="DK215" i="3"/>
  <c r="DK75" i="2"/>
  <c r="DK113" i="1"/>
  <c r="AC108" i="14"/>
  <c r="AD72" i="14"/>
  <c r="AB188" i="14"/>
  <c r="AC61" i="14"/>
  <c r="DK130" i="1"/>
  <c r="DK131" i="2"/>
  <c r="DK150" i="2"/>
  <c r="AB119" i="14"/>
  <c r="AB95" i="14"/>
  <c r="DK209" i="3"/>
  <c r="DK27" i="3"/>
  <c r="DK23" i="3"/>
  <c r="DK200" i="1"/>
  <c r="DK69" i="3"/>
  <c r="AC114" i="14"/>
  <c r="DK97" i="2"/>
  <c r="AC64" i="14"/>
  <c r="DK115" i="3"/>
  <c r="DK104" i="2"/>
  <c r="DK212" i="2"/>
  <c r="DK12" i="1"/>
  <c r="DK14" i="1"/>
  <c r="AC99" i="14"/>
  <c r="DK53" i="2"/>
  <c r="DK201" i="2"/>
  <c r="AD206" i="14"/>
  <c r="DK110" i="1"/>
  <c r="DK149" i="1"/>
  <c r="DK183" i="2"/>
  <c r="DK60" i="3"/>
  <c r="AB64" i="14"/>
  <c r="AD25" i="14"/>
  <c r="DK91" i="3"/>
  <c r="AC155" i="14"/>
  <c r="AB25" i="14"/>
  <c r="DK100" i="1"/>
  <c r="AC107" i="14"/>
  <c r="DK188" i="2"/>
  <c r="AB31" i="14"/>
  <c r="DK130" i="3"/>
  <c r="DK20" i="2"/>
  <c r="DK77" i="2"/>
  <c r="DK128" i="2"/>
  <c r="AC79" i="14"/>
  <c r="DK117" i="3"/>
  <c r="DK121" i="3"/>
  <c r="DK129" i="3"/>
  <c r="DK77" i="1"/>
  <c r="AB80" i="14"/>
  <c r="DK150" i="3"/>
  <c r="AD156" i="14"/>
  <c r="AD20" i="14"/>
  <c r="AC110" i="14"/>
  <c r="DK210" i="2"/>
  <c r="AC77" i="14"/>
  <c r="DK198" i="3"/>
  <c r="AC109" i="14"/>
  <c r="AD42" i="14"/>
  <c r="AB72" i="14"/>
  <c r="DK163" i="3"/>
  <c r="DK16" i="1"/>
  <c r="DK24" i="3"/>
  <c r="DK68" i="2"/>
  <c r="AD138" i="14"/>
  <c r="DK103" i="2"/>
  <c r="AC72" i="14"/>
  <c r="DK59" i="1"/>
  <c r="AB28" i="14"/>
  <c r="AC74" i="14"/>
  <c r="DK134" i="1"/>
  <c r="DK182" i="3"/>
  <c r="AB108" i="14"/>
  <c r="DK88" i="3"/>
  <c r="AB18" i="14"/>
  <c r="DK16" i="2"/>
  <c r="AB131" i="14"/>
  <c r="DK50" i="2"/>
  <c r="DK145" i="2"/>
  <c r="AD80" i="14"/>
  <c r="DK66" i="3"/>
  <c r="DK75" i="1"/>
  <c r="DK90" i="3"/>
  <c r="DK197" i="3"/>
  <c r="DK106" i="1"/>
  <c r="DK110" i="2"/>
  <c r="AB46" i="14"/>
  <c r="AC156" i="14"/>
  <c r="DK109" i="3"/>
  <c r="AB212" i="14"/>
  <c r="AC138" i="14"/>
  <c r="AB152" i="14"/>
  <c r="AB128" i="14"/>
  <c r="AC205" i="14"/>
  <c r="DK11" i="2"/>
  <c r="DK155" i="2"/>
  <c r="AB54" i="14"/>
  <c r="DK73" i="3"/>
  <c r="DK115" i="2"/>
  <c r="DK53" i="3"/>
  <c r="AB110" i="14"/>
  <c r="AB16" i="14"/>
  <c r="AC69" i="14"/>
  <c r="DK151" i="1"/>
  <c r="DK123" i="3"/>
  <c r="DK50" i="3"/>
  <c r="DK67" i="1"/>
  <c r="DK35" i="2"/>
  <c r="DK207" i="1"/>
  <c r="DK30" i="2"/>
  <c r="AD71" i="14"/>
  <c r="DK52" i="3"/>
  <c r="AD197" i="14"/>
  <c r="DK11" i="3"/>
  <c r="DK188" i="1"/>
  <c r="DK74" i="3"/>
  <c r="AD139" i="14"/>
  <c r="AD190" i="14"/>
  <c r="DK70" i="3"/>
  <c r="AB101" i="14"/>
  <c r="DK87" i="3"/>
  <c r="AC13" i="14"/>
  <c r="DK73" i="1"/>
  <c r="DK151" i="2"/>
  <c r="DK214" i="1"/>
  <c r="DK77" i="3"/>
  <c r="DK59" i="3"/>
  <c r="DK147" i="3"/>
  <c r="DK8" i="3"/>
  <c r="AC131" i="14"/>
  <c r="AB88" i="14"/>
  <c r="DK59" i="2"/>
  <c r="AB93" i="14"/>
  <c r="AD46" i="14"/>
  <c r="DK175" i="2"/>
  <c r="DK85" i="3"/>
  <c r="DK126" i="3"/>
  <c r="AB81" i="14"/>
  <c r="DK35" i="3"/>
  <c r="AB124" i="14"/>
  <c r="DK16" i="3"/>
  <c r="AB40" i="14"/>
  <c r="DK49" i="3"/>
  <c r="AB153" i="14"/>
  <c r="DK211" i="3"/>
  <c r="DK6" i="2"/>
  <c r="AC40" i="14"/>
  <c r="DK42" i="2"/>
  <c r="AD81" i="14"/>
  <c r="AB218" i="14"/>
  <c r="AD193" i="14"/>
  <c r="DK51" i="1"/>
  <c r="DK27" i="1"/>
  <c r="AB148" i="14"/>
  <c r="DK185" i="1"/>
  <c r="DK138" i="3"/>
  <c r="DK205" i="2"/>
  <c r="DK26" i="2"/>
  <c r="DK134" i="2"/>
  <c r="DK29" i="3"/>
  <c r="DK149" i="2"/>
  <c r="DK78" i="1"/>
  <c r="DK165" i="1"/>
  <c r="DK114" i="3"/>
  <c r="AC82" i="14"/>
  <c r="DK41" i="3"/>
  <c r="AB120" i="14"/>
  <c r="DK211" i="2"/>
  <c r="DK83" i="3"/>
  <c r="AC41" i="14"/>
  <c r="DK78" i="2"/>
  <c r="DK94" i="2"/>
  <c r="DK97" i="1"/>
  <c r="AB143" i="14"/>
  <c r="DK102" i="3"/>
  <c r="AB202" i="14"/>
  <c r="DK51" i="2"/>
  <c r="DK212" i="1"/>
  <c r="DK34" i="3"/>
  <c r="AD90" i="14"/>
  <c r="DK137" i="3"/>
  <c r="DK180" i="3"/>
  <c r="DK61" i="1"/>
  <c r="DK6" i="3"/>
  <c r="DK21" i="3"/>
  <c r="AC59" i="14"/>
  <c r="DK176" i="1"/>
  <c r="AB42" i="14"/>
  <c r="DK24" i="2"/>
  <c r="DK112" i="3"/>
  <c r="DK204" i="3"/>
  <c r="DK215" i="1"/>
  <c r="AB221" i="14"/>
  <c r="DK80" i="3"/>
  <c r="AC206" i="14"/>
  <c r="DK164" i="2"/>
  <c r="AB160" i="14"/>
  <c r="DK144" i="3"/>
  <c r="DK74" i="2"/>
  <c r="DK70" i="1"/>
  <c r="DK58" i="3"/>
  <c r="DK8" i="2"/>
  <c r="AD54" i="14"/>
  <c r="DK21" i="1"/>
  <c r="AC31" i="14"/>
  <c r="DK133" i="3"/>
  <c r="DK185" i="2"/>
  <c r="DK149" i="3"/>
  <c r="DK124" i="1"/>
  <c r="AC58" i="14"/>
  <c r="AC27" i="14"/>
  <c r="AD132" i="14"/>
  <c r="AB107" i="14"/>
  <c r="AB193" i="14"/>
  <c r="AD101" i="14"/>
  <c r="AD153" i="14"/>
  <c r="AD221" i="14"/>
  <c r="AD220" i="14"/>
  <c r="DK55" i="2"/>
  <c r="AD108" i="14"/>
  <c r="DK73" i="2"/>
  <c r="AB135" i="14"/>
  <c r="DK88" i="2"/>
  <c r="DK127" i="2"/>
  <c r="DK12" i="2"/>
  <c r="DK23" i="2"/>
  <c r="DK61" i="2"/>
  <c r="DK142" i="3"/>
  <c r="DK185" i="3"/>
  <c r="DK74" i="1"/>
  <c r="DK36" i="2"/>
  <c r="DK148" i="2"/>
  <c r="AD88" i="14"/>
  <c r="AB74" i="14"/>
  <c r="DK100" i="3"/>
  <c r="DK200" i="2"/>
  <c r="AC119" i="14"/>
  <c r="DK99" i="3"/>
  <c r="DK91" i="2"/>
  <c r="DK189" i="3"/>
  <c r="DK81" i="2"/>
  <c r="DK67" i="2"/>
  <c r="DK96" i="3"/>
  <c r="DK54" i="2"/>
  <c r="DK71" i="2"/>
  <c r="DK27" i="2"/>
  <c r="AC202" i="14"/>
  <c r="DK130" i="2"/>
  <c r="DK106" i="2"/>
  <c r="AD27" i="14"/>
  <c r="DK124" i="2"/>
  <c r="DK75" i="3"/>
  <c r="DK127" i="3"/>
  <c r="DK92" i="2"/>
  <c r="DK128" i="1"/>
  <c r="DK70" i="2"/>
  <c r="AB132" i="14"/>
  <c r="DK192" i="2"/>
  <c r="DK65" i="2"/>
  <c r="DK105" i="3"/>
  <c r="DK194" i="3"/>
  <c r="DK20" i="3"/>
  <c r="DK139" i="2"/>
  <c r="DK54" i="3"/>
  <c r="DK93" i="3"/>
  <c r="DK173" i="3"/>
  <c r="DK101" i="2"/>
  <c r="DK15" i="3"/>
  <c r="AD93" i="14"/>
  <c r="DK103" i="3"/>
  <c r="DK143" i="2"/>
  <c r="AC88" i="14"/>
  <c r="DK40" i="3"/>
  <c r="DK148" i="3"/>
  <c r="AD134" i="14"/>
  <c r="AB126" i="14"/>
  <c r="DK60" i="1"/>
  <c r="DK122" i="2"/>
  <c r="DK57" i="2"/>
  <c r="DK89" i="2"/>
  <c r="DK14" i="2"/>
  <c r="DK38" i="1"/>
  <c r="DK72" i="3"/>
  <c r="DK118" i="2"/>
  <c r="DK56" i="3"/>
  <c r="DK116" i="2"/>
  <c r="DK64" i="3"/>
  <c r="DK138" i="2"/>
  <c r="DK197" i="2"/>
  <c r="DK76" i="2"/>
  <c r="DK100" i="2"/>
  <c r="DK148" i="1"/>
  <c r="DK14" i="3"/>
  <c r="DK86" i="2"/>
  <c r="DK38" i="2"/>
  <c r="DK12" i="3"/>
  <c r="DK67" i="3"/>
  <c r="DK29" i="2"/>
  <c r="DK26" i="3"/>
  <c r="DK30" i="1"/>
  <c r="AD110" i="14"/>
  <c r="DK15" i="2"/>
  <c r="DK30" i="3"/>
  <c r="DK21" i="2"/>
  <c r="DK113" i="2"/>
  <c r="DK60" i="2"/>
  <c r="DK76" i="3"/>
  <c r="DK94" i="1"/>
  <c r="DK37" i="3"/>
  <c r="AT206" i="14"/>
  <c r="AU14" i="14"/>
  <c r="AT124" i="14"/>
  <c r="AZ202" i="14"/>
  <c r="DM12" i="3"/>
  <c r="AV11" i="14"/>
  <c r="AY82" i="14"/>
  <c r="AZ10" i="14"/>
  <c r="AY206" i="14"/>
  <c r="DL23" i="3"/>
  <c r="AV77" i="14"/>
  <c r="AV60" i="14"/>
  <c r="AV14" i="14"/>
  <c r="DM77" i="3"/>
  <c r="BA60" i="14"/>
  <c r="BA77" i="14"/>
  <c r="AU124" i="14"/>
  <c r="AU91" i="14"/>
  <c r="DL77" i="3"/>
  <c r="DL6" i="1"/>
  <c r="DL218" i="3"/>
  <c r="AZ39" i="14"/>
  <c r="AV134" i="14"/>
  <c r="AZ92" i="14"/>
  <c r="DL35" i="2"/>
  <c r="DM183" i="2"/>
  <c r="DM87" i="1"/>
  <c r="DL78" i="1"/>
  <c r="DM35" i="2"/>
  <c r="DM32" i="1"/>
  <c r="BA39" i="14"/>
  <c r="AU60" i="14"/>
  <c r="AV39" i="14"/>
  <c r="DL50" i="3"/>
  <c r="AV54" i="14"/>
  <c r="AZ229" i="14"/>
  <c r="DM180" i="3"/>
  <c r="DM23" i="3"/>
  <c r="AT91" i="14"/>
  <c r="DM218" i="3"/>
  <c r="AV91" i="14"/>
  <c r="AT229" i="14"/>
  <c r="AV206" i="14"/>
  <c r="AU39" i="14"/>
  <c r="DL129" i="3"/>
  <c r="DL32" i="2"/>
  <c r="AY124" i="14"/>
  <c r="AM92" i="14" l="1"/>
  <c r="DO35" i="2"/>
  <c r="EC35" i="2" s="1"/>
  <c r="I36" i="21" s="1"/>
  <c r="DN35" i="2"/>
  <c r="EB35" i="2" s="1"/>
  <c r="F36" i="21" s="1"/>
  <c r="DO87" i="3"/>
  <c r="EC87" i="3" s="1"/>
  <c r="J89" i="21" s="1"/>
  <c r="DO194" i="3"/>
  <c r="EC194" i="3" s="1"/>
  <c r="J199" i="21" s="1"/>
  <c r="AN77" i="14"/>
  <c r="AI77" i="14"/>
  <c r="AM36" i="14"/>
  <c r="DO32" i="2"/>
  <c r="DN32" i="2"/>
  <c r="DO120" i="2"/>
  <c r="DN120" i="2"/>
  <c r="DN78" i="1"/>
  <c r="EB78" i="1" s="1"/>
  <c r="E79" i="21" s="1"/>
  <c r="AI229" i="14"/>
  <c r="AN188" i="14"/>
  <c r="AN39" i="14"/>
  <c r="AI39" i="14"/>
  <c r="AH124" i="14"/>
  <c r="AM124" i="14"/>
  <c r="AG91" i="14"/>
  <c r="AL91" i="14"/>
  <c r="DO72" i="3"/>
  <c r="EC72" i="3" s="1"/>
  <c r="J74" i="21" s="1"/>
  <c r="DN72" i="3"/>
  <c r="EB72" i="3" s="1"/>
  <c r="G74" i="21" s="1"/>
  <c r="DN50" i="3"/>
  <c r="EB50" i="3" s="1"/>
  <c r="G52" i="21" s="1"/>
  <c r="AG229" i="14"/>
  <c r="DO7" i="3"/>
  <c r="W424" i="15"/>
  <c r="V412" i="15" s="1"/>
  <c r="V423" i="15"/>
  <c r="DL87" i="3"/>
  <c r="DN87" i="3" s="1"/>
  <c r="EB87" i="3" s="1"/>
  <c r="G89" i="21" s="1"/>
  <c r="DL87" i="2"/>
  <c r="DL49" i="3"/>
  <c r="AU92" i="14"/>
  <c r="AH92" i="14" s="1"/>
  <c r="DL72" i="3"/>
  <c r="DL6" i="3"/>
  <c r="AV202" i="14"/>
  <c r="DL197" i="2"/>
  <c r="DN197" i="2" s="1"/>
  <c r="EB197" i="2" s="1"/>
  <c r="F199" i="21" s="1"/>
  <c r="AV188" i="14"/>
  <c r="AI188" i="14" s="1"/>
  <c r="DL212" i="2"/>
  <c r="DL32" i="1"/>
  <c r="DL120" i="1"/>
  <c r="DL55" i="3"/>
  <c r="DL88" i="2"/>
  <c r="DN88" i="2" s="1"/>
  <c r="EB88" i="2" s="1"/>
  <c r="F89" i="21" s="1"/>
  <c r="H89" i="20" s="1"/>
  <c r="AV92" i="14"/>
  <c r="DL34" i="3"/>
  <c r="DN34" i="3" s="1"/>
  <c r="EB34" i="3" s="1"/>
  <c r="G36" i="21" s="1"/>
  <c r="DL201" i="1"/>
  <c r="AV27" i="14"/>
  <c r="DL180" i="3"/>
  <c r="DL128" i="3"/>
  <c r="DN128" i="3" s="1"/>
  <c r="EB128" i="3" s="1"/>
  <c r="G130" i="21" s="1"/>
  <c r="DL189" i="3"/>
  <c r="AV82" i="14"/>
  <c r="DL10" i="3"/>
  <c r="DL130" i="2"/>
  <c r="DL198" i="3"/>
  <c r="AV197" i="14"/>
  <c r="DL120" i="2"/>
  <c r="DL78" i="2"/>
  <c r="DN78" i="2" s="1"/>
  <c r="EB78" i="2" s="1"/>
  <c r="F79" i="21" s="1"/>
  <c r="H79" i="20" s="1"/>
  <c r="AV133" i="14"/>
  <c r="AI133" i="14" s="1"/>
  <c r="AV36" i="14"/>
  <c r="DL183" i="2"/>
  <c r="AU206" i="14"/>
  <c r="AH206" i="14" s="1"/>
  <c r="AV10" i="14"/>
  <c r="AI10" i="14" s="1"/>
  <c r="DL201" i="2"/>
  <c r="DN201" i="2" s="1"/>
  <c r="EB201" i="2" s="1"/>
  <c r="F203" i="21" s="1"/>
  <c r="H203" i="20" s="1"/>
  <c r="AU188" i="14"/>
  <c r="DL87" i="1"/>
  <c r="DL86" i="3"/>
  <c r="DN86" i="3" s="1"/>
  <c r="EB86" i="3" s="1"/>
  <c r="G88" i="21" s="1"/>
  <c r="DL53" i="3"/>
  <c r="DN53" i="3" s="1"/>
  <c r="EB53" i="3" s="1"/>
  <c r="G55" i="21" s="1"/>
  <c r="AU202" i="14"/>
  <c r="AU36" i="14"/>
  <c r="AH36" i="14" s="1"/>
  <c r="DL10" i="2"/>
  <c r="DN10" i="2" s="1"/>
  <c r="EB10" i="2" s="1"/>
  <c r="F11" i="21" s="1"/>
  <c r="DL7" i="3"/>
  <c r="DN7" i="3" s="1"/>
  <c r="AT82" i="14"/>
  <c r="DL194" i="3"/>
  <c r="DN194" i="3" s="1"/>
  <c r="EB194" i="3" s="1"/>
  <c r="G199" i="21" s="1"/>
  <c r="DL6" i="2"/>
  <c r="AV16" i="14"/>
  <c r="AH202" i="14"/>
  <c r="AM202" i="14"/>
  <c r="AM206" i="14"/>
  <c r="AI36" i="14"/>
  <c r="AG36" i="14"/>
  <c r="AL36" i="14"/>
  <c r="DO10" i="2"/>
  <c r="EC10" i="2" s="1"/>
  <c r="I11" i="21" s="1"/>
  <c r="AG124" i="14"/>
  <c r="AL124" i="14"/>
  <c r="DN87" i="2"/>
  <c r="EB87" i="2" s="1"/>
  <c r="F88" i="21" s="1"/>
  <c r="DN55" i="3"/>
  <c r="EB55" i="3" s="1"/>
  <c r="G57" i="21" s="1"/>
  <c r="X423" i="15"/>
  <c r="Y424" i="15"/>
  <c r="X412" i="15"/>
  <c r="DM6" i="3"/>
  <c r="DM88" i="2"/>
  <c r="AY229" i="14"/>
  <c r="AL229" i="14" s="1"/>
  <c r="DM78" i="2"/>
  <c r="DO78" i="2" s="1"/>
  <c r="EC78" i="2" s="1"/>
  <c r="I79" i="21" s="1"/>
  <c r="I79" i="20" s="1"/>
  <c r="AY10" i="14"/>
  <c r="AL10" i="14" s="1"/>
  <c r="DM212" i="2"/>
  <c r="DM6" i="2"/>
  <c r="DO6" i="2" s="1"/>
  <c r="EC6" i="2" s="1"/>
  <c r="I7" i="21" s="1"/>
  <c r="I7" i="20" s="1"/>
  <c r="BA202" i="14"/>
  <c r="DM56" i="2"/>
  <c r="BA92" i="14"/>
  <c r="AN92" i="14" s="1"/>
  <c r="DM53" i="3"/>
  <c r="DO53" i="3" s="1"/>
  <c r="EC53" i="3" s="1"/>
  <c r="J55" i="21" s="1"/>
  <c r="BA16" i="14"/>
  <c r="DM119" i="3"/>
  <c r="DM197" i="2"/>
  <c r="DO197" i="2" s="1"/>
  <c r="EC197" i="2" s="1"/>
  <c r="I199" i="21" s="1"/>
  <c r="I199" i="20" s="1"/>
  <c r="DM50" i="3"/>
  <c r="DO50" i="3" s="1"/>
  <c r="EC50" i="3" s="1"/>
  <c r="J52" i="21" s="1"/>
  <c r="AZ60" i="14"/>
  <c r="AM60" i="14" s="1"/>
  <c r="AZ82" i="14"/>
  <c r="AM82" i="14" s="1"/>
  <c r="BA27" i="14"/>
  <c r="BA58" i="14"/>
  <c r="BA14" i="14"/>
  <c r="DM201" i="2"/>
  <c r="DO201" i="2" s="1"/>
  <c r="EC201" i="2" s="1"/>
  <c r="I203" i="21" s="1"/>
  <c r="I203" i="20" s="1"/>
  <c r="BA10" i="14"/>
  <c r="AN10" i="14" s="1"/>
  <c r="BA229" i="14"/>
  <c r="AN229" i="14" s="1"/>
  <c r="DM78" i="1"/>
  <c r="DO78" i="1" s="1"/>
  <c r="EC78" i="1" s="1"/>
  <c r="H79" i="21" s="1"/>
  <c r="AZ134" i="14"/>
  <c r="AM134" i="14" s="1"/>
  <c r="BA82" i="14"/>
  <c r="DM34" i="3"/>
  <c r="DO34" i="3" s="1"/>
  <c r="EC34" i="3" s="1"/>
  <c r="J36" i="21" s="1"/>
  <c r="DM49" i="3"/>
  <c r="DM10" i="2"/>
  <c r="BA55" i="14"/>
  <c r="AZ124" i="14"/>
  <c r="DM129" i="3"/>
  <c r="BA11" i="14"/>
  <c r="AN11" i="14" s="1"/>
  <c r="DM198" i="3"/>
  <c r="BA36" i="14"/>
  <c r="AN36" i="14" s="1"/>
  <c r="DM55" i="3"/>
  <c r="DO55" i="3" s="1"/>
  <c r="EC55" i="3" s="1"/>
  <c r="J57" i="21" s="1"/>
  <c r="DM87" i="2"/>
  <c r="DO87" i="2" s="1"/>
  <c r="EC87" i="2" s="1"/>
  <c r="I88" i="21" s="1"/>
  <c r="I88" i="20" s="1"/>
  <c r="BA91" i="14"/>
  <c r="DM189" i="3"/>
  <c r="DM128" i="3"/>
  <c r="DO128" i="3" s="1"/>
  <c r="EC128" i="3" s="1"/>
  <c r="J130" i="21" s="1"/>
  <c r="DM86" i="3"/>
  <c r="DO86" i="3" s="1"/>
  <c r="EC86" i="3" s="1"/>
  <c r="J88" i="21" s="1"/>
  <c r="AZ188" i="14"/>
  <c r="AM188" i="14" s="1"/>
  <c r="BA124" i="14"/>
  <c r="DM32" i="2"/>
  <c r="DO218" i="3"/>
  <c r="EC218" i="3" s="1"/>
  <c r="J226" i="21" s="1"/>
  <c r="DN218" i="3"/>
  <c r="EB218" i="3" s="1"/>
  <c r="G226" i="21" s="1"/>
  <c r="AG10" i="14"/>
  <c r="AN27" i="14"/>
  <c r="AI27" i="14"/>
  <c r="AI55" i="14"/>
  <c r="AN55" i="14"/>
  <c r="AH82" i="14"/>
  <c r="AH91" i="14"/>
  <c r="AM91" i="14"/>
  <c r="DO87" i="1"/>
  <c r="EC87" i="1" s="1"/>
  <c r="H88" i="21" s="1"/>
  <c r="DN87" i="1"/>
  <c r="EB87" i="1" s="1"/>
  <c r="E88" i="21" s="1"/>
  <c r="DO119" i="3"/>
  <c r="DN119" i="3"/>
  <c r="DL56" i="2"/>
  <c r="DN56" i="2" s="1"/>
  <c r="EB56" i="2" s="1"/>
  <c r="F57" i="21" s="1"/>
  <c r="DO88" i="2"/>
  <c r="EC88" i="2" s="1"/>
  <c r="I89" i="21" s="1"/>
  <c r="I89" i="20" s="1"/>
  <c r="DO130" i="2"/>
  <c r="EC130" i="2" s="1"/>
  <c r="I131" i="21" s="1"/>
  <c r="DN130" i="2"/>
  <c r="EB130" i="2" s="1"/>
  <c r="F131" i="21" s="1"/>
  <c r="DO189" i="3"/>
  <c r="DN189" i="3"/>
  <c r="DO180" i="3"/>
  <c r="EC180" i="3" s="1"/>
  <c r="J185" i="21" s="1"/>
  <c r="DN180" i="3"/>
  <c r="EB180" i="3" s="1"/>
  <c r="G185" i="21" s="1"/>
  <c r="DO212" i="2"/>
  <c r="EC212" i="2" s="1"/>
  <c r="I226" i="21" s="1"/>
  <c r="DN212" i="2"/>
  <c r="EB212" i="2" s="1"/>
  <c r="F226" i="21" s="1"/>
  <c r="DO6" i="3"/>
  <c r="EC6" i="3" s="1"/>
  <c r="J7" i="21" s="1"/>
  <c r="DN6" i="3"/>
  <c r="EB6" i="3" s="1"/>
  <c r="G7" i="21" s="1"/>
  <c r="AH188" i="14"/>
  <c r="AN124" i="14"/>
  <c r="AI124" i="14"/>
  <c r="AM39" i="14"/>
  <c r="AH39" i="14"/>
  <c r="AH60" i="14"/>
  <c r="DQ215" i="3"/>
  <c r="ED215" i="3" s="1"/>
  <c r="M223" i="21" s="1"/>
  <c r="DQ209" i="3"/>
  <c r="ED209" i="3" s="1"/>
  <c r="M215" i="21" s="1"/>
  <c r="DQ218" i="3"/>
  <c r="ED218" i="3" s="1"/>
  <c r="M226" i="21" s="1"/>
  <c r="DQ211" i="3"/>
  <c r="ED211" i="3" s="1"/>
  <c r="M217" i="21" s="1"/>
  <c r="DT214" i="3"/>
  <c r="EE214" i="3" s="1"/>
  <c r="P222" i="21" s="1"/>
  <c r="DT194" i="3"/>
  <c r="EE194" i="3" s="1"/>
  <c r="P199" i="21" s="1"/>
  <c r="DQ185" i="3"/>
  <c r="ED185" i="3" s="1"/>
  <c r="M190" i="21" s="1"/>
  <c r="DQ116" i="3"/>
  <c r="ED116" i="3" s="1"/>
  <c r="M118" i="21" s="1"/>
  <c r="DQ105" i="3"/>
  <c r="ED105" i="3" s="1"/>
  <c r="M107" i="21" s="1"/>
  <c r="DQ92" i="3"/>
  <c r="ED92" i="3" s="1"/>
  <c r="M94" i="21" s="1"/>
  <c r="DT126" i="3"/>
  <c r="EE126" i="3" s="1"/>
  <c r="P128" i="21" s="1"/>
  <c r="DT151" i="3"/>
  <c r="EE151" i="3" s="1"/>
  <c r="P154" i="21" s="1"/>
  <c r="DQ102" i="3"/>
  <c r="ED102" i="3" s="1"/>
  <c r="M104" i="21" s="1"/>
  <c r="DT147" i="3"/>
  <c r="EE147" i="3" s="1"/>
  <c r="P150" i="21" s="1"/>
  <c r="DQ130" i="3"/>
  <c r="DQ122" i="3"/>
  <c r="ED122" i="3" s="1"/>
  <c r="M124" i="21" s="1"/>
  <c r="DQ85" i="3"/>
  <c r="ED85" i="3" s="1"/>
  <c r="M87" i="21" s="1"/>
  <c r="DQ197" i="3"/>
  <c r="ED197" i="3" s="1"/>
  <c r="M202" i="21" s="1"/>
  <c r="DT103" i="3"/>
  <c r="EE103" i="3" s="1"/>
  <c r="P105" i="21" s="1"/>
  <c r="DQ89" i="3"/>
  <c r="ED89" i="3" s="1"/>
  <c r="M91" i="21" s="1"/>
  <c r="DQ149" i="3"/>
  <c r="ED149" i="3" s="1"/>
  <c r="M152" i="21" s="1"/>
  <c r="DQ194" i="3"/>
  <c r="ED194" i="3" s="1"/>
  <c r="M199" i="21" s="1"/>
  <c r="DT90" i="3"/>
  <c r="EE90" i="3" s="1"/>
  <c r="P92" i="21" s="1"/>
  <c r="DQ72" i="3"/>
  <c r="ED72" i="3" s="1"/>
  <c r="M74" i="21" s="1"/>
  <c r="DQ67" i="3"/>
  <c r="ED67" i="3" s="1"/>
  <c r="M69" i="21" s="1"/>
  <c r="DT64" i="3"/>
  <c r="EE64" i="3" s="1"/>
  <c r="P66" i="21" s="1"/>
  <c r="DQ76" i="3"/>
  <c r="ED76" i="3" s="1"/>
  <c r="M78" i="21" s="1"/>
  <c r="DT73" i="3"/>
  <c r="EE73" i="3" s="1"/>
  <c r="P75" i="21" s="1"/>
  <c r="DQ117" i="3"/>
  <c r="ED117" i="3" s="1"/>
  <c r="M119" i="21" s="1"/>
  <c r="DQ93" i="3"/>
  <c r="ED93" i="3" s="1"/>
  <c r="M95" i="21" s="1"/>
  <c r="DQ98" i="3"/>
  <c r="ED98" i="3" s="1"/>
  <c r="M100" i="21" s="1"/>
  <c r="DQ28" i="3"/>
  <c r="ED28" i="3" s="1"/>
  <c r="M29" i="21" s="1"/>
  <c r="DT25" i="3"/>
  <c r="EE25" i="3" s="1"/>
  <c r="P26" i="21" s="1"/>
  <c r="DQ70" i="3"/>
  <c r="ED70" i="3" s="1"/>
  <c r="M72" i="21" s="1"/>
  <c r="DQ77" i="3"/>
  <c r="ED77" i="3" s="1"/>
  <c r="M79" i="21" s="1"/>
  <c r="DT55" i="3"/>
  <c r="EE55" i="3" s="1"/>
  <c r="P57" i="21" s="1"/>
  <c r="DT22" i="3"/>
  <c r="EE22" i="3" s="1"/>
  <c r="P23" i="21" s="1"/>
  <c r="DQ58" i="3"/>
  <c r="ED58" i="3" s="1"/>
  <c r="M60" i="21" s="1"/>
  <c r="DQ40" i="3"/>
  <c r="ED40" i="3" s="1"/>
  <c r="M42" i="21" s="1"/>
  <c r="DQ22" i="3"/>
  <c r="ED22" i="3" s="1"/>
  <c r="M23" i="21" s="1"/>
  <c r="DQ10" i="3"/>
  <c r="ED10" i="3" s="1"/>
  <c r="M11" i="21" s="1"/>
  <c r="DQ75" i="3"/>
  <c r="ED75" i="3" s="1"/>
  <c r="M77" i="21" s="1"/>
  <c r="DQ54" i="3"/>
  <c r="ED54" i="3" s="1"/>
  <c r="M56" i="21" s="1"/>
  <c r="DT114" i="3"/>
  <c r="EE114" i="3" s="1"/>
  <c r="P116" i="21" s="1"/>
  <c r="DQ52" i="3"/>
  <c r="ED52" i="3" s="1"/>
  <c r="M54" i="21" s="1"/>
  <c r="DT49" i="3"/>
  <c r="EE49" i="3" s="1"/>
  <c r="P51" i="21" s="1"/>
  <c r="DT37" i="3"/>
  <c r="EE37" i="3" s="1"/>
  <c r="P39" i="21" s="1"/>
  <c r="DT28" i="3"/>
  <c r="EE28" i="3" s="1"/>
  <c r="P29" i="21" s="1"/>
  <c r="DQ8" i="3"/>
  <c r="ED8" i="3" s="1"/>
  <c r="M9" i="21" s="1"/>
  <c r="DT52" i="3"/>
  <c r="EE52" i="3" s="1"/>
  <c r="P54" i="21" s="1"/>
  <c r="DT19" i="3"/>
  <c r="EE19" i="3" s="1"/>
  <c r="P20" i="21" s="1"/>
  <c r="DQ55" i="3"/>
  <c r="ED55" i="3" s="1"/>
  <c r="M57" i="21" s="1"/>
  <c r="DT31" i="3"/>
  <c r="DT14" i="3"/>
  <c r="EE14" i="3" s="1"/>
  <c r="P15" i="21" s="1"/>
  <c r="DQ69" i="3"/>
  <c r="ED69" i="3" s="1"/>
  <c r="M71" i="21" s="1"/>
  <c r="DQ137" i="3"/>
  <c r="ED137" i="3" s="1"/>
  <c r="M140" i="21" s="1"/>
  <c r="DT91" i="3"/>
  <c r="EE91" i="3" s="1"/>
  <c r="P93" i="21" s="1"/>
  <c r="DT92" i="3"/>
  <c r="EE92" i="3" s="1"/>
  <c r="P94" i="21" s="1"/>
  <c r="DT75" i="3"/>
  <c r="EE75" i="3" s="1"/>
  <c r="P77" i="21" s="1"/>
  <c r="DT8" i="3"/>
  <c r="EE8" i="3" s="1"/>
  <c r="P9" i="21" s="1"/>
  <c r="DQ6" i="3"/>
  <c r="ED6" i="3" s="1"/>
  <c r="M7" i="21" s="1"/>
  <c r="DT70" i="3"/>
  <c r="EE70" i="3" s="1"/>
  <c r="P72" i="21" s="1"/>
  <c r="DQ56" i="3"/>
  <c r="ED56" i="3" s="1"/>
  <c r="M58" i="21" s="1"/>
  <c r="DT53" i="3"/>
  <c r="EE53" i="3" s="1"/>
  <c r="P55" i="21" s="1"/>
  <c r="DT57" i="3"/>
  <c r="EE57" i="3" s="1"/>
  <c r="P59" i="21" s="1"/>
  <c r="DT81" i="3"/>
  <c r="EE81" i="3" s="1"/>
  <c r="P83" i="21" s="1"/>
  <c r="DQ24" i="3"/>
  <c r="ED24" i="3" s="1"/>
  <c r="M25" i="21" s="1"/>
  <c r="DQ80" i="3"/>
  <c r="ED80" i="3" s="1"/>
  <c r="M82" i="21" s="1"/>
  <c r="DT97" i="3"/>
  <c r="DT112" i="3"/>
  <c r="EE112" i="3" s="1"/>
  <c r="P114" i="21" s="1"/>
  <c r="DQ150" i="3"/>
  <c r="DT98" i="3"/>
  <c r="EE98" i="3" s="1"/>
  <c r="P100" i="21" s="1"/>
  <c r="DT133" i="3"/>
  <c r="EE133" i="3" s="1"/>
  <c r="P136" i="21" s="1"/>
  <c r="DT204" i="3"/>
  <c r="EE204" i="3" s="1"/>
  <c r="P209" i="21" s="1"/>
  <c r="DT18" i="3"/>
  <c r="EE18" i="3" s="1"/>
  <c r="P19" i="21" s="1"/>
  <c r="DT66" i="3"/>
  <c r="EE66" i="3" s="1"/>
  <c r="P68" i="21" s="1"/>
  <c r="DT40" i="3"/>
  <c r="EE40" i="3" s="1"/>
  <c r="P42" i="21" s="1"/>
  <c r="DT36" i="3"/>
  <c r="EE36" i="3" s="1"/>
  <c r="P38" i="21" s="1"/>
  <c r="DQ41" i="3"/>
  <c r="ED41" i="3" s="1"/>
  <c r="M43" i="21" s="1"/>
  <c r="DQ119" i="3"/>
  <c r="DT116" i="3"/>
  <c r="EE116" i="3" s="1"/>
  <c r="P118" i="21" s="1"/>
  <c r="DT89" i="3"/>
  <c r="EE89" i="3" s="1"/>
  <c r="P91" i="21" s="1"/>
  <c r="DQ136" i="3"/>
  <c r="ED136" i="3" s="1"/>
  <c r="M139" i="21" s="1"/>
  <c r="DY88" i="3"/>
  <c r="EF88" i="3" s="1"/>
  <c r="S90" i="21" s="1"/>
  <c r="DT67" i="3"/>
  <c r="EE67" i="3" s="1"/>
  <c r="P69" i="21" s="1"/>
  <c r="DQ32" i="3"/>
  <c r="ED32" i="3" s="1"/>
  <c r="M34" i="21" s="1"/>
  <c r="DT34" i="3"/>
  <c r="EE34" i="3" s="1"/>
  <c r="P36" i="21" s="1"/>
  <c r="DT74" i="3"/>
  <c r="EE74" i="3" s="1"/>
  <c r="P76" i="21" s="1"/>
  <c r="DT88" i="3"/>
  <c r="EE88" i="3" s="1"/>
  <c r="P90" i="21" s="1"/>
  <c r="DT96" i="3"/>
  <c r="EE96" i="3" s="1"/>
  <c r="P98" i="21" s="1"/>
  <c r="DQ131" i="3"/>
  <c r="ED131" i="3" s="1"/>
  <c r="M133" i="21" s="1"/>
  <c r="DT141" i="3"/>
  <c r="DT198" i="3"/>
  <c r="EE198" i="3" s="1"/>
  <c r="P203" i="21" s="1"/>
  <c r="DT21" i="3"/>
  <c r="EE21" i="3" s="1"/>
  <c r="P22" i="21" s="1"/>
  <c r="DQ30" i="3"/>
  <c r="ED30" i="3" s="1"/>
  <c r="M31" i="21" s="1"/>
  <c r="DQ12" i="3"/>
  <c r="ED12" i="3" s="1"/>
  <c r="M13" i="21" s="1"/>
  <c r="DQ36" i="3"/>
  <c r="ED36" i="3" s="1"/>
  <c r="M38" i="21" s="1"/>
  <c r="DQ110" i="3"/>
  <c r="DT113" i="3"/>
  <c r="EE113" i="3" s="1"/>
  <c r="P115" i="21" s="1"/>
  <c r="DQ87" i="3"/>
  <c r="ED87" i="3" s="1"/>
  <c r="M89" i="21" s="1"/>
  <c r="DQ50" i="3"/>
  <c r="ED50" i="3" s="1"/>
  <c r="M52" i="21" s="1"/>
  <c r="DT118" i="3"/>
  <c r="DQ90" i="3"/>
  <c r="ED90" i="3" s="1"/>
  <c r="M92" i="21" s="1"/>
  <c r="DQ115" i="3"/>
  <c r="ED115" i="3" s="1"/>
  <c r="M117" i="21" s="1"/>
  <c r="DT110" i="3"/>
  <c r="DQ142" i="3"/>
  <c r="ED142" i="3" s="1"/>
  <c r="M145" i="21" s="1"/>
  <c r="DQ129" i="3"/>
  <c r="ED129" i="3" s="1"/>
  <c r="M131" i="21" s="1"/>
  <c r="DT209" i="3"/>
  <c r="EE209" i="3" s="1"/>
  <c r="P215" i="21" s="1"/>
  <c r="DY22" i="3"/>
  <c r="EF22" i="3" s="1"/>
  <c r="S23" i="21" s="1"/>
  <c r="DT16" i="3"/>
  <c r="EE16" i="3" s="1"/>
  <c r="P17" i="21" s="1"/>
  <c r="DT9" i="3"/>
  <c r="DT68" i="3"/>
  <c r="EE68" i="3" s="1"/>
  <c r="P70" i="21" s="1"/>
  <c r="DQ53" i="3"/>
  <c r="ED53" i="3" s="1"/>
  <c r="M55" i="21" s="1"/>
  <c r="DT58" i="3"/>
  <c r="EE58" i="3" s="1"/>
  <c r="P60" i="21" s="1"/>
  <c r="DT149" i="3"/>
  <c r="EE149" i="3" s="1"/>
  <c r="P152" i="21" s="1"/>
  <c r="DQ198" i="3"/>
  <c r="ED198" i="3" s="1"/>
  <c r="M203" i="21" s="1"/>
  <c r="DT142" i="3"/>
  <c r="EE142" i="3" s="1"/>
  <c r="P145" i="21" s="1"/>
  <c r="DT41" i="3"/>
  <c r="EE41" i="3" s="1"/>
  <c r="P43" i="21" s="1"/>
  <c r="DT7" i="3"/>
  <c r="DT13" i="3"/>
  <c r="EE13" i="3" s="1"/>
  <c r="P14" i="21" s="1"/>
  <c r="DQ29" i="3"/>
  <c r="ED29" i="3" s="1"/>
  <c r="M30" i="21" s="1"/>
  <c r="DQ68" i="3"/>
  <c r="ED68" i="3" s="1"/>
  <c r="M70" i="21" s="1"/>
  <c r="DQ18" i="3"/>
  <c r="ED18" i="3" s="1"/>
  <c r="M19" i="21" s="1"/>
  <c r="DQ7" i="3"/>
  <c r="DQ9" i="3"/>
  <c r="DT30" i="3"/>
  <c r="EE30" i="3" s="1"/>
  <c r="P31" i="21" s="1"/>
  <c r="DT72" i="3"/>
  <c r="EE72" i="3" s="1"/>
  <c r="P74" i="21" s="1"/>
  <c r="DT11" i="3"/>
  <c r="EE11" i="3" s="1"/>
  <c r="P12" i="21" s="1"/>
  <c r="DQ48" i="3"/>
  <c r="ED48" i="3" s="1"/>
  <c r="M50" i="21" s="1"/>
  <c r="DQ60" i="3"/>
  <c r="DT105" i="3"/>
  <c r="EE105" i="3" s="1"/>
  <c r="P107" i="21" s="1"/>
  <c r="DT121" i="3"/>
  <c r="EE121" i="3" s="1"/>
  <c r="P123" i="21" s="1"/>
  <c r="DT135" i="3"/>
  <c r="EE135" i="3" s="1"/>
  <c r="P138" i="21" s="1"/>
  <c r="DQ212" i="3"/>
  <c r="ED212" i="3" s="1"/>
  <c r="M219" i="21" s="1"/>
  <c r="DQ189" i="3"/>
  <c r="DQ204" i="3"/>
  <c r="ED204" i="3" s="1"/>
  <c r="M209" i="21" s="1"/>
  <c r="DQ13" i="3"/>
  <c r="ED13" i="3" s="1"/>
  <c r="M14" i="21" s="1"/>
  <c r="DT6" i="3"/>
  <c r="EE6" i="3" s="1"/>
  <c r="P7" i="21" s="1"/>
  <c r="DQ16" i="3"/>
  <c r="ED16" i="3" s="1"/>
  <c r="M17" i="21" s="1"/>
  <c r="DT12" i="3"/>
  <c r="EE12" i="3" s="1"/>
  <c r="P13" i="21" s="1"/>
  <c r="DT33" i="3"/>
  <c r="EE33" i="3" s="1"/>
  <c r="P35" i="21" s="1"/>
  <c r="DQ26" i="3"/>
  <c r="ED26" i="3" s="1"/>
  <c r="M27" i="21" s="1"/>
  <c r="DT69" i="3"/>
  <c r="EE69" i="3" s="1"/>
  <c r="P71" i="21" s="1"/>
  <c r="DT29" i="3"/>
  <c r="EE29" i="3" s="1"/>
  <c r="P30" i="21" s="1"/>
  <c r="DT104" i="3"/>
  <c r="EE104" i="3" s="1"/>
  <c r="P106" i="21" s="1"/>
  <c r="DT71" i="3"/>
  <c r="DQ121" i="3"/>
  <c r="ED121" i="3" s="1"/>
  <c r="M123" i="21" s="1"/>
  <c r="DQ126" i="3"/>
  <c r="ED126" i="3" s="1"/>
  <c r="M128" i="21" s="1"/>
  <c r="DT150" i="3"/>
  <c r="DQ175" i="3"/>
  <c r="ED175" i="3" s="1"/>
  <c r="M180" i="21" s="1"/>
  <c r="DT196" i="3"/>
  <c r="DQ38" i="3"/>
  <c r="ED38" i="3" s="1"/>
  <c r="M40" i="21" s="1"/>
  <c r="DT4" i="3"/>
  <c r="DQ15" i="3"/>
  <c r="ED15" i="3" s="1"/>
  <c r="M16" i="21" s="1"/>
  <c r="DT61" i="3"/>
  <c r="DT101" i="3"/>
  <c r="EE101" i="3" s="1"/>
  <c r="P103" i="21" s="1"/>
  <c r="DT115" i="3"/>
  <c r="EE115" i="3" s="1"/>
  <c r="P117" i="21" s="1"/>
  <c r="DT217" i="3"/>
  <c r="DT108" i="3"/>
  <c r="DT139" i="3"/>
  <c r="DT212" i="3"/>
  <c r="EE212" i="3" s="1"/>
  <c r="P219" i="21" s="1"/>
  <c r="DT197" i="3"/>
  <c r="EE197" i="3" s="1"/>
  <c r="P202" i="21" s="1"/>
  <c r="DQ180" i="3"/>
  <c r="ED180" i="3" s="1"/>
  <c r="M185" i="21" s="1"/>
  <c r="DT27" i="3"/>
  <c r="EE27" i="3" s="1"/>
  <c r="P28" i="21" s="1"/>
  <c r="DQ34" i="3"/>
  <c r="ED34" i="3" s="1"/>
  <c r="M36" i="21" s="1"/>
  <c r="DT51" i="3"/>
  <c r="EE51" i="3" s="1"/>
  <c r="P53" i="21" s="1"/>
  <c r="DT48" i="3"/>
  <c r="EE48" i="3" s="1"/>
  <c r="P50" i="21" s="1"/>
  <c r="DT63" i="3"/>
  <c r="EE63" i="3" s="1"/>
  <c r="P65" i="21" s="1"/>
  <c r="DT95" i="3"/>
  <c r="EE95" i="3" s="1"/>
  <c r="P97" i="21" s="1"/>
  <c r="DQ140" i="3"/>
  <c r="DQ148" i="3"/>
  <c r="ED148" i="3" s="1"/>
  <c r="M151" i="21" s="1"/>
  <c r="DT163" i="3"/>
  <c r="EE163" i="3" s="1"/>
  <c r="P166" i="21" s="1"/>
  <c r="DT215" i="3"/>
  <c r="EE215" i="3" s="1"/>
  <c r="P223" i="21" s="1"/>
  <c r="DT56" i="3"/>
  <c r="EE56" i="3" s="1"/>
  <c r="P58" i="21" s="1"/>
  <c r="DT76" i="3"/>
  <c r="EE76" i="3" s="1"/>
  <c r="P78" i="21" s="1"/>
  <c r="DQ182" i="3"/>
  <c r="DT93" i="3"/>
  <c r="EE93" i="3" s="1"/>
  <c r="P95" i="21" s="1"/>
  <c r="DQ138" i="3"/>
  <c r="ED138" i="3" s="1"/>
  <c r="M141" i="21" s="1"/>
  <c r="DT109" i="3"/>
  <c r="EE109" i="3" s="1"/>
  <c r="P111" i="21" s="1"/>
  <c r="DT144" i="3"/>
  <c r="EE144" i="3" s="1"/>
  <c r="P147" i="21" s="1"/>
  <c r="DQ109" i="3"/>
  <c r="ED109" i="3" s="1"/>
  <c r="M111" i="21" s="1"/>
  <c r="DT128" i="3"/>
  <c r="EE128" i="3" s="1"/>
  <c r="P130" i="21" s="1"/>
  <c r="DQ88" i="3"/>
  <c r="ED88" i="3" s="1"/>
  <c r="M90" i="21" s="1"/>
  <c r="DT123" i="3"/>
  <c r="EE123" i="3" s="1"/>
  <c r="P125" i="21" s="1"/>
  <c r="DY197" i="3"/>
  <c r="EF197" i="3" s="1"/>
  <c r="S202" i="21" s="1"/>
  <c r="DT83" i="3"/>
  <c r="EE83" i="3" s="1"/>
  <c r="P85" i="21" s="1"/>
  <c r="DQ151" i="3"/>
  <c r="ED151" i="3" s="1"/>
  <c r="M154" i="21" s="1"/>
  <c r="DQ163" i="3"/>
  <c r="ED163" i="3" s="1"/>
  <c r="M166" i="21" s="1"/>
  <c r="DT137" i="3"/>
  <c r="EE137" i="3" s="1"/>
  <c r="P140" i="21" s="1"/>
  <c r="DT130" i="3"/>
  <c r="DQ173" i="3"/>
  <c r="DT32" i="3"/>
  <c r="EE32" i="3" s="1"/>
  <c r="P34" i="21" s="1"/>
  <c r="DQ108" i="3"/>
  <c r="DQ104" i="3"/>
  <c r="ED104" i="3" s="1"/>
  <c r="M106" i="21" s="1"/>
  <c r="DT180" i="3"/>
  <c r="EE180" i="3" s="1"/>
  <c r="P185" i="21" s="1"/>
  <c r="DT136" i="3"/>
  <c r="EE136" i="3" s="1"/>
  <c r="P139" i="21" s="1"/>
  <c r="DQ210" i="3"/>
  <c r="ED210" i="3" s="1"/>
  <c r="M216" i="21" s="1"/>
  <c r="DQ118" i="3"/>
  <c r="DT218" i="3"/>
  <c r="EE218" i="3" s="1"/>
  <c r="P226" i="21" s="1"/>
  <c r="DY204" i="3"/>
  <c r="EF204" i="3" s="1"/>
  <c r="S209" i="21" s="1"/>
  <c r="DY72" i="3"/>
  <c r="EF72" i="3" s="1"/>
  <c r="S74" i="21" s="1"/>
  <c r="DT80" i="3"/>
  <c r="EE80" i="3" s="1"/>
  <c r="P82" i="21" s="1"/>
  <c r="DY35" i="3"/>
  <c r="EF35" i="3" s="1"/>
  <c r="S37" i="21" s="1"/>
  <c r="DY69" i="3"/>
  <c r="EF69" i="3" s="1"/>
  <c r="S71" i="21" s="1"/>
  <c r="DT87" i="3"/>
  <c r="EE87" i="3" s="1"/>
  <c r="P89" i="21" s="1"/>
  <c r="DY37" i="3"/>
  <c r="EF37" i="3" s="1"/>
  <c r="S39" i="21" s="1"/>
  <c r="DY185" i="3"/>
  <c r="EF185" i="3" s="1"/>
  <c r="S190" i="21" s="1"/>
  <c r="DQ133" i="3"/>
  <c r="ED133" i="3" s="1"/>
  <c r="M136" i="21" s="1"/>
  <c r="DY104" i="3"/>
  <c r="EF104" i="3" s="1"/>
  <c r="S106" i="21" s="1"/>
  <c r="DQ127" i="3"/>
  <c r="ED127" i="3" s="1"/>
  <c r="M129" i="21" s="1"/>
  <c r="DT140" i="3"/>
  <c r="DQ123" i="3"/>
  <c r="ED123" i="3" s="1"/>
  <c r="M125" i="21" s="1"/>
  <c r="DY96" i="3"/>
  <c r="EF96" i="3" s="1"/>
  <c r="S98" i="21" s="1"/>
  <c r="DT20" i="3"/>
  <c r="EE20" i="3" s="1"/>
  <c r="P21" i="21" s="1"/>
  <c r="DT10" i="3"/>
  <c r="EE10" i="3" s="1"/>
  <c r="P11" i="21" s="1"/>
  <c r="DQ101" i="3"/>
  <c r="ED101" i="3" s="1"/>
  <c r="M103" i="21" s="1"/>
  <c r="DQ33" i="3"/>
  <c r="ED33" i="3" s="1"/>
  <c r="M35" i="21" s="1"/>
  <c r="DT148" i="3"/>
  <c r="EE148" i="3" s="1"/>
  <c r="P151" i="21" s="1"/>
  <c r="DY109" i="3"/>
  <c r="EF109" i="3" s="1"/>
  <c r="S111" i="21" s="1"/>
  <c r="DQ91" i="3"/>
  <c r="ED91" i="3" s="1"/>
  <c r="M93" i="21" s="1"/>
  <c r="DQ214" i="3"/>
  <c r="ED214" i="3" s="1"/>
  <c r="M222" i="21" s="1"/>
  <c r="DY142" i="3"/>
  <c r="EF142" i="3" s="1"/>
  <c r="S145" i="21" s="1"/>
  <c r="DY136" i="3"/>
  <c r="EF136" i="3" s="1"/>
  <c r="S139" i="21" s="1"/>
  <c r="DY74" i="3"/>
  <c r="EF74" i="3" s="1"/>
  <c r="S76" i="21" s="1"/>
  <c r="DY129" i="3"/>
  <c r="EF129" i="3" s="1"/>
  <c r="S131" i="21" s="1"/>
  <c r="DQ99" i="3"/>
  <c r="ED99" i="3" s="1"/>
  <c r="M101" i="21" s="1"/>
  <c r="DY85" i="3"/>
  <c r="EF85" i="3" s="1"/>
  <c r="S87" i="21" s="1"/>
  <c r="DY26" i="3"/>
  <c r="EF26" i="3" s="1"/>
  <c r="S27" i="21" s="1"/>
  <c r="DY131" i="3"/>
  <c r="EF131" i="3" s="1"/>
  <c r="S133" i="21" s="1"/>
  <c r="DT111" i="3"/>
  <c r="DY133" i="3"/>
  <c r="EF133" i="3" s="1"/>
  <c r="S136" i="21" s="1"/>
  <c r="DT24" i="3"/>
  <c r="EE24" i="3" s="1"/>
  <c r="P25" i="21" s="1"/>
  <c r="DQ141" i="3"/>
  <c r="DY113" i="3"/>
  <c r="EF113" i="3" s="1"/>
  <c r="S115" i="21" s="1"/>
  <c r="DT201" i="3"/>
  <c r="DY14" i="3"/>
  <c r="EF14" i="3" s="1"/>
  <c r="S15" i="21" s="1"/>
  <c r="DY147" i="3"/>
  <c r="EF147" i="3" s="1"/>
  <c r="S150" i="21" s="1"/>
  <c r="DY55" i="3"/>
  <c r="EF55" i="3" s="1"/>
  <c r="S57" i="21" s="1"/>
  <c r="DQ100" i="3"/>
  <c r="DY28" i="3"/>
  <c r="EF28" i="3" s="1"/>
  <c r="S29" i="21" s="1"/>
  <c r="DY64" i="3"/>
  <c r="EF64" i="3" s="1"/>
  <c r="S66" i="21" s="1"/>
  <c r="DY102" i="3"/>
  <c r="EF102" i="3" s="1"/>
  <c r="S104" i="21" s="1"/>
  <c r="DY11" i="3"/>
  <c r="EF11" i="3" s="1"/>
  <c r="S12" i="21" s="1"/>
  <c r="DQ62" i="3"/>
  <c r="ED62" i="3" s="1"/>
  <c r="M64" i="21" s="1"/>
  <c r="DY67" i="3"/>
  <c r="EF67" i="3" s="1"/>
  <c r="S69" i="21" s="1"/>
  <c r="DY111" i="3"/>
  <c r="DT131" i="3"/>
  <c r="EE131" i="3" s="1"/>
  <c r="P133" i="21" s="1"/>
  <c r="DQ83" i="3"/>
  <c r="ED83" i="3" s="1"/>
  <c r="M85" i="21" s="1"/>
  <c r="DQ132" i="3"/>
  <c r="ED132" i="3" s="1"/>
  <c r="M134" i="21" s="1"/>
  <c r="DQ20" i="3"/>
  <c r="ED20" i="3" s="1"/>
  <c r="M21" i="21" s="1"/>
  <c r="DQ14" i="3"/>
  <c r="ED14" i="3" s="1"/>
  <c r="M15" i="21" s="1"/>
  <c r="DQ128" i="3"/>
  <c r="ED128" i="3" s="1"/>
  <c r="M130" i="21" s="1"/>
  <c r="DQ74" i="3"/>
  <c r="ED74" i="3" s="1"/>
  <c r="M76" i="21" s="1"/>
  <c r="DT50" i="3"/>
  <c r="EE50" i="3" s="1"/>
  <c r="P52" i="21" s="1"/>
  <c r="DQ63" i="3"/>
  <c r="ED63" i="3" s="1"/>
  <c r="M65" i="21" s="1"/>
  <c r="DY117" i="3"/>
  <c r="EF117" i="3" s="1"/>
  <c r="S119" i="21" s="1"/>
  <c r="DT129" i="3"/>
  <c r="EE129" i="3" s="1"/>
  <c r="P131" i="21" s="1"/>
  <c r="DY63" i="3"/>
  <c r="EF63" i="3" s="1"/>
  <c r="S65" i="21" s="1"/>
  <c r="DY27" i="3"/>
  <c r="EF27" i="3" s="1"/>
  <c r="S28" i="21" s="1"/>
  <c r="DQ19" i="3"/>
  <c r="ED19" i="3" s="1"/>
  <c r="M20" i="21" s="1"/>
  <c r="DQ86" i="3"/>
  <c r="ED86" i="3" s="1"/>
  <c r="M88" i="21" s="1"/>
  <c r="DY7" i="3"/>
  <c r="DY34" i="3"/>
  <c r="EF34" i="3" s="1"/>
  <c r="S36" i="21" s="1"/>
  <c r="DY81" i="3"/>
  <c r="EF81" i="3" s="1"/>
  <c r="S83" i="21" s="1"/>
  <c r="DY128" i="3"/>
  <c r="EF128" i="3" s="1"/>
  <c r="S130" i="21" s="1"/>
  <c r="DY76" i="3"/>
  <c r="EF76" i="3" s="1"/>
  <c r="S78" i="21" s="1"/>
  <c r="DT35" i="3"/>
  <c r="EE35" i="3" s="1"/>
  <c r="P37" i="21" s="1"/>
  <c r="DT132" i="3"/>
  <c r="EE132" i="3" s="1"/>
  <c r="P134" i="21" s="1"/>
  <c r="DT99" i="3"/>
  <c r="EE99" i="3" s="1"/>
  <c r="P101" i="21" s="1"/>
  <c r="DY50" i="3"/>
  <c r="EF50" i="3" s="1"/>
  <c r="S52" i="21" s="1"/>
  <c r="DQ202" i="3"/>
  <c r="ED202" i="3" s="1"/>
  <c r="M207" i="21" s="1"/>
  <c r="DT38" i="3"/>
  <c r="EE38" i="3" s="1"/>
  <c r="P40" i="21" s="1"/>
  <c r="DQ73" i="3"/>
  <c r="ED73" i="3" s="1"/>
  <c r="M75" i="21" s="1"/>
  <c r="DY94" i="3"/>
  <c r="DT127" i="3"/>
  <c r="EE127" i="3" s="1"/>
  <c r="P129" i="21" s="1"/>
  <c r="DY49" i="3"/>
  <c r="EF49" i="3" s="1"/>
  <c r="S51" i="21" s="1"/>
  <c r="DY216" i="3"/>
  <c r="DY6" i="3"/>
  <c r="EF6" i="3" s="1"/>
  <c r="S7" i="21" s="1"/>
  <c r="DY75" i="3"/>
  <c r="EF75" i="3" s="1"/>
  <c r="S77" i="21" s="1"/>
  <c r="DQ59" i="3"/>
  <c r="ED59" i="3" s="1"/>
  <c r="M61" i="21" s="1"/>
  <c r="DT59" i="3"/>
  <c r="EE59" i="3" s="1"/>
  <c r="P61" i="21" s="1"/>
  <c r="DT211" i="3"/>
  <c r="EE211" i="3" s="1"/>
  <c r="P217" i="21" s="1"/>
  <c r="DY29" i="3"/>
  <c r="EF29" i="3" s="1"/>
  <c r="S30" i="21" s="1"/>
  <c r="DY52" i="3"/>
  <c r="EF52" i="3" s="1"/>
  <c r="S54" i="21" s="1"/>
  <c r="DQ216" i="3"/>
  <c r="DQ124" i="3"/>
  <c r="DT202" i="3"/>
  <c r="EE202" i="3" s="1"/>
  <c r="P207" i="21" s="1"/>
  <c r="DQ94" i="3"/>
  <c r="DT146" i="3"/>
  <c r="DY121" i="3"/>
  <c r="EF121" i="3" s="1"/>
  <c r="S123" i="21" s="1"/>
  <c r="DQ49" i="3"/>
  <c r="ED49" i="3" s="1"/>
  <c r="M51" i="21" s="1"/>
  <c r="DT165" i="3"/>
  <c r="DY218" i="3"/>
  <c r="EF218" i="3" s="1"/>
  <c r="S226" i="21" s="1"/>
  <c r="DY105" i="3"/>
  <c r="EF105" i="3" s="1"/>
  <c r="S107" i="21" s="1"/>
  <c r="DT216" i="3"/>
  <c r="DY16" i="3"/>
  <c r="EF16" i="3" s="1"/>
  <c r="S17" i="21" s="1"/>
  <c r="DY40" i="3"/>
  <c r="EF40" i="3" s="1"/>
  <c r="S42" i="21" s="1"/>
  <c r="DY18" i="3"/>
  <c r="EF18" i="3" s="1"/>
  <c r="S19" i="21" s="1"/>
  <c r="DQ37" i="3"/>
  <c r="ED37" i="3" s="1"/>
  <c r="M39" i="21" s="1"/>
  <c r="DQ66" i="3"/>
  <c r="ED66" i="3" s="1"/>
  <c r="M68" i="21" s="1"/>
  <c r="DQ35" i="3"/>
  <c r="ED35" i="3" s="1"/>
  <c r="M37" i="21" s="1"/>
  <c r="DQ114" i="3"/>
  <c r="ED114" i="3" s="1"/>
  <c r="M116" i="21" s="1"/>
  <c r="DT175" i="3"/>
  <c r="EE175" i="3" s="1"/>
  <c r="P180" i="21" s="1"/>
  <c r="DQ27" i="3"/>
  <c r="ED27" i="3" s="1"/>
  <c r="M28" i="21" s="1"/>
  <c r="DY108" i="3"/>
  <c r="DQ111" i="3"/>
  <c r="DQ64" i="3"/>
  <c r="ED64" i="3" s="1"/>
  <c r="M66" i="21" s="1"/>
  <c r="DT15" i="3"/>
  <c r="EE15" i="3" s="1"/>
  <c r="P16" i="21" s="1"/>
  <c r="DQ96" i="3"/>
  <c r="ED96" i="3" s="1"/>
  <c r="M98" i="21" s="1"/>
  <c r="DT117" i="3"/>
  <c r="EE117" i="3" s="1"/>
  <c r="P119" i="21" s="1"/>
  <c r="DY57" i="3"/>
  <c r="EF57" i="3" s="1"/>
  <c r="S59" i="21" s="1"/>
  <c r="DY95" i="3"/>
  <c r="EF95" i="3" s="1"/>
  <c r="S97" i="21" s="1"/>
  <c r="DY70" i="3"/>
  <c r="EF70" i="3" s="1"/>
  <c r="S72" i="21" s="1"/>
  <c r="DT189" i="3"/>
  <c r="DY54" i="3"/>
  <c r="EF54" i="3" s="1"/>
  <c r="S56" i="21" s="1"/>
  <c r="DT120" i="3"/>
  <c r="DY59" i="3"/>
  <c r="EF59" i="3" s="1"/>
  <c r="S61" i="21" s="1"/>
  <c r="DQ146" i="3"/>
  <c r="DY53" i="3"/>
  <c r="EF53" i="3" s="1"/>
  <c r="S55" i="21" s="1"/>
  <c r="DY15" i="3"/>
  <c r="EF15" i="3" s="1"/>
  <c r="S16" i="21" s="1"/>
  <c r="DT210" i="3"/>
  <c r="EE210" i="3" s="1"/>
  <c r="P216" i="21" s="1"/>
  <c r="DQ11" i="3"/>
  <c r="ED11" i="3" s="1"/>
  <c r="M12" i="21" s="1"/>
  <c r="DQ23" i="3"/>
  <c r="ED23" i="3" s="1"/>
  <c r="M24" i="21" s="1"/>
  <c r="DY58" i="3"/>
  <c r="EF58" i="3" s="1"/>
  <c r="S60" i="21" s="1"/>
  <c r="DY123" i="3"/>
  <c r="EF123" i="3" s="1"/>
  <c r="S125" i="21" s="1"/>
  <c r="DY19" i="3"/>
  <c r="EF19" i="3" s="1"/>
  <c r="S20" i="21" s="1"/>
  <c r="DY90" i="3"/>
  <c r="EF90" i="3" s="1"/>
  <c r="S92" i="21" s="1"/>
  <c r="DT85" i="3"/>
  <c r="EE85" i="3" s="1"/>
  <c r="P87" i="21" s="1"/>
  <c r="DT84" i="3"/>
  <c r="DQ147" i="3"/>
  <c r="ED147" i="3" s="1"/>
  <c r="M150" i="21" s="1"/>
  <c r="DQ81" i="3"/>
  <c r="ED81" i="3" s="1"/>
  <c r="M83" i="21" s="1"/>
  <c r="DY154" i="3"/>
  <c r="EF154" i="3" s="1"/>
  <c r="S157" i="21" s="1"/>
  <c r="DY214" i="3"/>
  <c r="EF214" i="3" s="1"/>
  <c r="S222" i="21" s="1"/>
  <c r="DY132" i="3"/>
  <c r="EF132" i="3" s="1"/>
  <c r="S134" i="21" s="1"/>
  <c r="DT173" i="3"/>
  <c r="DQ21" i="3"/>
  <c r="ED21" i="3" s="1"/>
  <c r="M22" i="21" s="1"/>
  <c r="DQ113" i="3"/>
  <c r="ED113" i="3" s="1"/>
  <c r="M115" i="21" s="1"/>
  <c r="DQ25" i="3"/>
  <c r="ED25" i="3" s="1"/>
  <c r="M26" i="21" s="1"/>
  <c r="DY87" i="3"/>
  <c r="EF87" i="3" s="1"/>
  <c r="S89" i="21" s="1"/>
  <c r="DT102" i="3"/>
  <c r="EE102" i="3" s="1"/>
  <c r="P104" i="21" s="1"/>
  <c r="DY212" i="3"/>
  <c r="EF212" i="3" s="1"/>
  <c r="S219" i="21" s="1"/>
  <c r="DT195" i="3"/>
  <c r="DQ51" i="3"/>
  <c r="ED51" i="3" s="1"/>
  <c r="M53" i="21" s="1"/>
  <c r="DT106" i="3"/>
  <c r="DY215" i="3"/>
  <c r="EF215" i="3" s="1"/>
  <c r="S223" i="21" s="1"/>
  <c r="DY51" i="3"/>
  <c r="EF51" i="3" s="1"/>
  <c r="S53" i="21" s="1"/>
  <c r="DY137" i="3"/>
  <c r="EF137" i="3" s="1"/>
  <c r="S140" i="21" s="1"/>
  <c r="DT54" i="3"/>
  <c r="EE54" i="3" s="1"/>
  <c r="P56" i="21" s="1"/>
  <c r="DY8" i="3"/>
  <c r="EF8" i="3" s="1"/>
  <c r="S9" i="21" s="1"/>
  <c r="DY92" i="3"/>
  <c r="EF92" i="3" s="1"/>
  <c r="S94" i="21" s="1"/>
  <c r="DY9" i="3"/>
  <c r="DY98" i="3"/>
  <c r="EF98" i="3" s="1"/>
  <c r="S100" i="21" s="1"/>
  <c r="DY209" i="3"/>
  <c r="EF209" i="3" s="1"/>
  <c r="S215" i="21" s="1"/>
  <c r="DY13" i="3"/>
  <c r="EF13" i="3" s="1"/>
  <c r="S14" i="21" s="1"/>
  <c r="DT77" i="3"/>
  <c r="EE77" i="3" s="1"/>
  <c r="P79" i="21" s="1"/>
  <c r="DT23" i="3"/>
  <c r="EE23" i="3" s="1"/>
  <c r="P24" i="21" s="1"/>
  <c r="DY130" i="3"/>
  <c r="DT185" i="3"/>
  <c r="EE185" i="3" s="1"/>
  <c r="P190" i="21" s="1"/>
  <c r="DY80" i="3"/>
  <c r="EF80" i="3" s="1"/>
  <c r="S82" i="21" s="1"/>
  <c r="DY77" i="3"/>
  <c r="EF77" i="3" s="1"/>
  <c r="S79" i="21" s="1"/>
  <c r="DY93" i="3"/>
  <c r="EF93" i="3" s="1"/>
  <c r="S95" i="21" s="1"/>
  <c r="DY211" i="3"/>
  <c r="EF211" i="3" s="1"/>
  <c r="S217" i="21" s="1"/>
  <c r="DY73" i="3"/>
  <c r="EF73" i="3" s="1"/>
  <c r="S75" i="21" s="1"/>
  <c r="DT86" i="3"/>
  <c r="EE86" i="3" s="1"/>
  <c r="P88" i="21" s="1"/>
  <c r="DT26" i="3"/>
  <c r="EE26" i="3" s="1"/>
  <c r="P27" i="21" s="1"/>
  <c r="DT5" i="3"/>
  <c r="DT187" i="3"/>
  <c r="DQ112" i="3"/>
  <c r="ED112" i="3" s="1"/>
  <c r="M114" i="21" s="1"/>
  <c r="DY83" i="3"/>
  <c r="EF83" i="3" s="1"/>
  <c r="S85" i="21" s="1"/>
  <c r="DY127" i="3"/>
  <c r="EF127" i="3" s="1"/>
  <c r="S129" i="21" s="1"/>
  <c r="DT3" i="3"/>
  <c r="DT62" i="3"/>
  <c r="EE62" i="3" s="1"/>
  <c r="P64" i="21" s="1"/>
  <c r="DY115" i="3"/>
  <c r="EF115" i="3" s="1"/>
  <c r="S117" i="21" s="1"/>
  <c r="DY60" i="3"/>
  <c r="DY146" i="3"/>
  <c r="DY56" i="3"/>
  <c r="EF56" i="3" s="1"/>
  <c r="S58" i="21" s="1"/>
  <c r="DY180" i="3"/>
  <c r="EF180" i="3" s="1"/>
  <c r="S185" i="21" s="1"/>
  <c r="DQ84" i="3"/>
  <c r="DY122" i="3"/>
  <c r="EF122" i="3" s="1"/>
  <c r="S124" i="21" s="1"/>
  <c r="DY151" i="3"/>
  <c r="EF151" i="3" s="1"/>
  <c r="S154" i="21" s="1"/>
  <c r="DQ103" i="3"/>
  <c r="ED103" i="3" s="1"/>
  <c r="M105" i="21" s="1"/>
  <c r="DY41" i="3"/>
  <c r="EF41" i="3" s="1"/>
  <c r="S43" i="21" s="1"/>
  <c r="DY210" i="3"/>
  <c r="EF210" i="3" s="1"/>
  <c r="S216" i="21" s="1"/>
  <c r="DY135" i="3"/>
  <c r="EF135" i="3" s="1"/>
  <c r="S138" i="21" s="1"/>
  <c r="DY101" i="3"/>
  <c r="EF101" i="3" s="1"/>
  <c r="S103" i="21" s="1"/>
  <c r="DY23" i="3"/>
  <c r="EF23" i="3" s="1"/>
  <c r="S24" i="21" s="1"/>
  <c r="DT154" i="3"/>
  <c r="EE154" i="3" s="1"/>
  <c r="P157" i="21" s="1"/>
  <c r="DQ154" i="3"/>
  <c r="ED154" i="3" s="1"/>
  <c r="M157" i="21" s="1"/>
  <c r="DQ144" i="3"/>
  <c r="ED144" i="3" s="1"/>
  <c r="M147" i="21" s="1"/>
  <c r="DT60" i="3"/>
  <c r="DQ57" i="3"/>
  <c r="ED57" i="3" s="1"/>
  <c r="M59" i="21" s="1"/>
  <c r="DT138" i="3"/>
  <c r="EE138" i="3" s="1"/>
  <c r="P141" i="21" s="1"/>
  <c r="DQ135" i="3"/>
  <c r="ED135" i="3" s="1"/>
  <c r="M138" i="21" s="1"/>
  <c r="DT122" i="3"/>
  <c r="EE122" i="3" s="1"/>
  <c r="P124" i="21" s="1"/>
  <c r="DQ95" i="3"/>
  <c r="ED95" i="3" s="1"/>
  <c r="M97" i="21" s="1"/>
  <c r="DT94" i="3"/>
  <c r="DY20" i="3"/>
  <c r="EF20" i="3" s="1"/>
  <c r="S21" i="21" s="1"/>
  <c r="DY21" i="3"/>
  <c r="EF21" i="3" s="1"/>
  <c r="S22" i="21" s="1"/>
  <c r="DY175" i="3"/>
  <c r="EF175" i="3" s="1"/>
  <c r="S180" i="21" s="1"/>
  <c r="DY202" i="3"/>
  <c r="EF202" i="3" s="1"/>
  <c r="S207" i="21" s="1"/>
  <c r="DY68" i="3"/>
  <c r="EF68" i="3" s="1"/>
  <c r="S70" i="21" s="1"/>
  <c r="DY30" i="3"/>
  <c r="EF30" i="3" s="1"/>
  <c r="S31" i="21" s="1"/>
  <c r="DY103" i="3"/>
  <c r="EF103" i="3" s="1"/>
  <c r="S105" i="21" s="1"/>
  <c r="DY48" i="3"/>
  <c r="EF48" i="3" s="1"/>
  <c r="S50" i="21" s="1"/>
  <c r="DY86" i="3"/>
  <c r="EF86" i="3" s="1"/>
  <c r="S88" i="21" s="1"/>
  <c r="DY38" i="3"/>
  <c r="EF38" i="3" s="1"/>
  <c r="S40" i="21" s="1"/>
  <c r="DY144" i="3"/>
  <c r="EF144" i="3" s="1"/>
  <c r="S147" i="21" s="1"/>
  <c r="DY89" i="3"/>
  <c r="EF89" i="3" s="1"/>
  <c r="S91" i="21" s="1"/>
  <c r="DY24" i="3"/>
  <c r="EF24" i="3" s="1"/>
  <c r="S25" i="21" s="1"/>
  <c r="DY194" i="3"/>
  <c r="EF194" i="3" s="1"/>
  <c r="S199" i="21" s="1"/>
  <c r="DY126" i="3"/>
  <c r="EF126" i="3" s="1"/>
  <c r="S128" i="21" s="1"/>
  <c r="DY99" i="3"/>
  <c r="EF99" i="3" s="1"/>
  <c r="S101" i="21" s="1"/>
  <c r="DY10" i="3"/>
  <c r="EF10" i="3" s="1"/>
  <c r="S11" i="21" s="1"/>
  <c r="DY189" i="3"/>
  <c r="DY62" i="3"/>
  <c r="EF62" i="3" s="1"/>
  <c r="S64" i="21" s="1"/>
  <c r="DY114" i="3"/>
  <c r="EF114" i="3" s="1"/>
  <c r="S116" i="21" s="1"/>
  <c r="DY36" i="3"/>
  <c r="EF36" i="3" s="1"/>
  <c r="S38" i="21" s="1"/>
  <c r="DY33" i="3"/>
  <c r="EF33" i="3" s="1"/>
  <c r="S35" i="21" s="1"/>
  <c r="DY84" i="3"/>
  <c r="DY112" i="3"/>
  <c r="EF112" i="3" s="1"/>
  <c r="S114" i="21" s="1"/>
  <c r="DY198" i="3"/>
  <c r="EF198" i="3" s="1"/>
  <c r="S203" i="21" s="1"/>
  <c r="DY163" i="3"/>
  <c r="EF163" i="3" s="1"/>
  <c r="S166" i="21" s="1"/>
  <c r="DY91" i="3"/>
  <c r="EF91" i="3" s="1"/>
  <c r="S93" i="21" s="1"/>
  <c r="DY32" i="3"/>
  <c r="EF32" i="3" s="1"/>
  <c r="S34" i="21" s="1"/>
  <c r="DY12" i="3"/>
  <c r="EF12" i="3" s="1"/>
  <c r="S13" i="21" s="1"/>
  <c r="DY25" i="3"/>
  <c r="EF25" i="3" s="1"/>
  <c r="S26" i="21" s="1"/>
  <c r="DY150" i="3"/>
  <c r="DY66" i="3"/>
  <c r="EF66" i="3" s="1"/>
  <c r="S68" i="21" s="1"/>
  <c r="DY148" i="3"/>
  <c r="EF148" i="3" s="1"/>
  <c r="S151" i="21" s="1"/>
  <c r="DY138" i="3"/>
  <c r="EF138" i="3" s="1"/>
  <c r="S141" i="21" s="1"/>
  <c r="DY149" i="3"/>
  <c r="EF149" i="3" s="1"/>
  <c r="S152" i="21" s="1"/>
  <c r="DY116" i="3"/>
  <c r="EF116" i="3" s="1"/>
  <c r="S118" i="21" s="1"/>
  <c r="DO10" i="3"/>
  <c r="EC10" i="3" s="1"/>
  <c r="J11" i="21" s="1"/>
  <c r="DN10" i="3"/>
  <c r="EB10" i="3" s="1"/>
  <c r="G11" i="21" s="1"/>
  <c r="AN197" i="14"/>
  <c r="AI197" i="14"/>
  <c r="AG82" i="14"/>
  <c r="AL82" i="14"/>
  <c r="AI54" i="14"/>
  <c r="AN54" i="14"/>
  <c r="AN58" i="14"/>
  <c r="AI58" i="14"/>
  <c r="AI60" i="14"/>
  <c r="AN60" i="14"/>
  <c r="AI11" i="14"/>
  <c r="DO49" i="3"/>
  <c r="EC49" i="3" s="1"/>
  <c r="J51" i="21" s="1"/>
  <c r="DN49" i="3"/>
  <c r="EB49" i="3" s="1"/>
  <c r="G51" i="21" s="1"/>
  <c r="AH134" i="14"/>
  <c r="DO77" i="3"/>
  <c r="EC77" i="3" s="1"/>
  <c r="J79" i="21" s="1"/>
  <c r="DN77" i="3"/>
  <c r="EB77" i="3" s="1"/>
  <c r="G79" i="21" s="1"/>
  <c r="AH229" i="14"/>
  <c r="AM229" i="14"/>
  <c r="AI202" i="14"/>
  <c r="AN202" i="14"/>
  <c r="AN16" i="14"/>
  <c r="AI16" i="14"/>
  <c r="AI91" i="14"/>
  <c r="AN91" i="14"/>
  <c r="AM14" i="14"/>
  <c r="AH14" i="14"/>
  <c r="DO56" i="2"/>
  <c r="EC56" i="2" s="1"/>
  <c r="I57" i="21" s="1"/>
  <c r="DN120" i="1"/>
  <c r="DO120" i="1"/>
  <c r="DN129" i="3"/>
  <c r="EB129" i="3" s="1"/>
  <c r="G131" i="21" s="1"/>
  <c r="DO129" i="3"/>
  <c r="EC129" i="3" s="1"/>
  <c r="J131" i="21" s="1"/>
  <c r="DO198" i="3"/>
  <c r="EC198" i="3" s="1"/>
  <c r="J203" i="21" s="1"/>
  <c r="DN198" i="3"/>
  <c r="EB198" i="3" s="1"/>
  <c r="G203" i="21" s="1"/>
  <c r="DO12" i="3"/>
  <c r="EC12" i="3" s="1"/>
  <c r="J13" i="21" s="1"/>
  <c r="DN12" i="3"/>
  <c r="EB12" i="3" s="1"/>
  <c r="G13" i="21" s="1"/>
  <c r="AI92" i="14"/>
  <c r="AN14" i="14"/>
  <c r="AI14" i="14"/>
  <c r="DN6" i="2"/>
  <c r="EB6" i="2" s="1"/>
  <c r="F7" i="21" s="1"/>
  <c r="H7" i="20" s="1"/>
  <c r="AN82" i="14"/>
  <c r="AI82" i="14"/>
  <c r="DN183" i="2"/>
  <c r="EB183" i="2" s="1"/>
  <c r="F185" i="21" s="1"/>
  <c r="DO183" i="2"/>
  <c r="EC183" i="2" s="1"/>
  <c r="I185" i="21" s="1"/>
  <c r="I185" i="20" s="1"/>
  <c r="DN6" i="1"/>
  <c r="EB6" i="1" s="1"/>
  <c r="E7" i="21" s="1"/>
  <c r="DO6" i="1"/>
  <c r="EC6" i="1" s="1"/>
  <c r="H7" i="21" s="1"/>
  <c r="DT205" i="1"/>
  <c r="EE205" i="1" s="1"/>
  <c r="N207" i="21" s="1"/>
  <c r="DQ117" i="1"/>
  <c r="ED117" i="1" s="1"/>
  <c r="K118" i="21" s="1"/>
  <c r="DQ105" i="1"/>
  <c r="ED105" i="1" s="1"/>
  <c r="K106" i="21" s="1"/>
  <c r="DQ89" i="1"/>
  <c r="ED89" i="1" s="1"/>
  <c r="K90" i="21" s="1"/>
  <c r="DT144" i="1"/>
  <c r="EE144" i="1" s="1"/>
  <c r="N145" i="21" s="1"/>
  <c r="DQ212" i="1"/>
  <c r="ED212" i="1" s="1"/>
  <c r="K215" i="21" s="1"/>
  <c r="DQ78" i="1"/>
  <c r="ED78" i="1" s="1"/>
  <c r="K79" i="21" s="1"/>
  <c r="DQ67" i="1"/>
  <c r="ED67" i="1" s="1"/>
  <c r="K68" i="21" s="1"/>
  <c r="DQ70" i="1"/>
  <c r="ED70" i="1" s="1"/>
  <c r="K71" i="21" s="1"/>
  <c r="DQ95" i="1"/>
  <c r="DQ90" i="1"/>
  <c r="ED90" i="1" s="1"/>
  <c r="K91" i="21" s="1"/>
  <c r="DT146" i="1"/>
  <c r="EE146" i="1" s="1"/>
  <c r="N147" i="21" s="1"/>
  <c r="DQ106" i="1"/>
  <c r="ED106" i="1" s="1"/>
  <c r="K107" i="21" s="1"/>
  <c r="DT87" i="1"/>
  <c r="EE87" i="1" s="1"/>
  <c r="N88" i="21" s="1"/>
  <c r="DQ82" i="1"/>
  <c r="ED82" i="1" s="1"/>
  <c r="K83" i="21" s="1"/>
  <c r="DT183" i="1"/>
  <c r="EE183" i="1" s="1"/>
  <c r="N185" i="21" s="1"/>
  <c r="DT127" i="1"/>
  <c r="EE127" i="1" s="1"/>
  <c r="N128" i="21" s="1"/>
  <c r="DT75" i="1"/>
  <c r="EE75" i="1" s="1"/>
  <c r="N76" i="21" s="1"/>
  <c r="DQ118" i="1"/>
  <c r="ED118" i="1" s="1"/>
  <c r="K119" i="21" s="1"/>
  <c r="DT103" i="1"/>
  <c r="EE103" i="1" s="1"/>
  <c r="N104" i="21" s="1"/>
  <c r="DT63" i="1"/>
  <c r="EE63" i="1" s="1"/>
  <c r="N64" i="21" s="1"/>
  <c r="DQ53" i="1"/>
  <c r="ED53" i="1" s="1"/>
  <c r="K54" i="21" s="1"/>
  <c r="DT116" i="1"/>
  <c r="EE116" i="1" s="1"/>
  <c r="N117" i="21" s="1"/>
  <c r="DQ12" i="1"/>
  <c r="ED12" i="1" s="1"/>
  <c r="K13" i="21" s="1"/>
  <c r="DQ13" i="1"/>
  <c r="ED13" i="1" s="1"/>
  <c r="K14" i="21" s="1"/>
  <c r="DQ134" i="1"/>
  <c r="ED134" i="1" s="1"/>
  <c r="K135" i="21" s="1"/>
  <c r="DT21" i="1"/>
  <c r="EE21" i="1" s="1"/>
  <c r="N22" i="21" s="1"/>
  <c r="DQ93" i="1"/>
  <c r="ED93" i="1" s="1"/>
  <c r="K94" i="21" s="1"/>
  <c r="DQ54" i="1"/>
  <c r="DQ30" i="1"/>
  <c r="ED30" i="1" s="1"/>
  <c r="K31" i="21" s="1"/>
  <c r="DQ133" i="1"/>
  <c r="ED133" i="1" s="1"/>
  <c r="K134" i="21" s="1"/>
  <c r="DT91" i="1"/>
  <c r="EE91" i="1" s="1"/>
  <c r="N92" i="21" s="1"/>
  <c r="DQ24" i="1"/>
  <c r="ED24" i="1" s="1"/>
  <c r="K25" i="21" s="1"/>
  <c r="DT55" i="1"/>
  <c r="EE55" i="1" s="1"/>
  <c r="N56" i="21" s="1"/>
  <c r="DQ26" i="1"/>
  <c r="ED26" i="1" s="1"/>
  <c r="K27" i="21" s="1"/>
  <c r="DT22" i="1"/>
  <c r="EE22" i="1" s="1"/>
  <c r="N23" i="21" s="1"/>
  <c r="DT52" i="1"/>
  <c r="EE52" i="1" s="1"/>
  <c r="N53" i="21" s="1"/>
  <c r="DQ16" i="1"/>
  <c r="ED16" i="1" s="1"/>
  <c r="K17" i="21" s="1"/>
  <c r="DT39" i="1"/>
  <c r="EE39" i="1" s="1"/>
  <c r="N40" i="21" s="1"/>
  <c r="DT36" i="1"/>
  <c r="EE36" i="1" s="1"/>
  <c r="N37" i="21" s="1"/>
  <c r="DQ151" i="1"/>
  <c r="ED151" i="1" s="1"/>
  <c r="K152" i="21" s="1"/>
  <c r="DT42" i="1"/>
  <c r="EE42" i="1" s="1"/>
  <c r="N43" i="21" s="1"/>
  <c r="DQ137" i="1"/>
  <c r="ED137" i="1" s="1"/>
  <c r="K138" i="21" s="1"/>
  <c r="DQ123" i="1"/>
  <c r="ED123" i="1" s="1"/>
  <c r="K124" i="21" s="1"/>
  <c r="DQ139" i="1"/>
  <c r="ED139" i="1" s="1"/>
  <c r="K140" i="21" s="1"/>
  <c r="DT23" i="1"/>
  <c r="EE23" i="1" s="1"/>
  <c r="N24" i="21" s="1"/>
  <c r="DT10" i="1"/>
  <c r="EE10" i="1" s="1"/>
  <c r="N11" i="21" s="1"/>
  <c r="DQ35" i="1"/>
  <c r="ED35" i="1" s="1"/>
  <c r="K36" i="21" s="1"/>
  <c r="DT151" i="1"/>
  <c r="EE151" i="1" s="1"/>
  <c r="N152" i="21" s="1"/>
  <c r="DT149" i="1"/>
  <c r="EE149" i="1" s="1"/>
  <c r="N150" i="21" s="1"/>
  <c r="DQ88" i="1"/>
  <c r="ED88" i="1" s="1"/>
  <c r="K89" i="21" s="1"/>
  <c r="DT11" i="1"/>
  <c r="EE11" i="1" s="1"/>
  <c r="N12" i="21" s="1"/>
  <c r="DQ15" i="1"/>
  <c r="DT53" i="1"/>
  <c r="EE53" i="1" s="1"/>
  <c r="N54" i="21" s="1"/>
  <c r="DT64" i="1"/>
  <c r="EE64" i="1" s="1"/>
  <c r="N65" i="21" s="1"/>
  <c r="DQ41" i="1"/>
  <c r="ED41" i="1" s="1"/>
  <c r="K42" i="21" s="1"/>
  <c r="DT105" i="1"/>
  <c r="EE105" i="1" s="1"/>
  <c r="N106" i="21" s="1"/>
  <c r="DT15" i="1"/>
  <c r="DT35" i="1"/>
  <c r="EE35" i="1" s="1"/>
  <c r="N36" i="21" s="1"/>
  <c r="DT27" i="1"/>
  <c r="EE27" i="1" s="1"/>
  <c r="N28" i="21" s="1"/>
  <c r="DT82" i="1"/>
  <c r="EE82" i="1" s="1"/>
  <c r="N83" i="21" s="1"/>
  <c r="DQ114" i="1"/>
  <c r="ED114" i="1" s="1"/>
  <c r="K115" i="21" s="1"/>
  <c r="DT156" i="1"/>
  <c r="EE156" i="1" s="1"/>
  <c r="N157" i="21" s="1"/>
  <c r="DT129" i="1"/>
  <c r="EE129" i="1" s="1"/>
  <c r="N130" i="21" s="1"/>
  <c r="DT81" i="1"/>
  <c r="EE81" i="1" s="1"/>
  <c r="N82" i="21" s="1"/>
  <c r="DT212" i="1"/>
  <c r="EE212" i="1" s="1"/>
  <c r="N215" i="21" s="1"/>
  <c r="DQ176" i="1"/>
  <c r="DT168" i="1"/>
  <c r="DT199" i="1"/>
  <c r="DQ42" i="1"/>
  <c r="ED42" i="1" s="1"/>
  <c r="K43" i="21" s="1"/>
  <c r="DQ25" i="1"/>
  <c r="ED25" i="1" s="1"/>
  <c r="K26" i="21" s="1"/>
  <c r="DT115" i="1"/>
  <c r="EE115" i="1" s="1"/>
  <c r="N116" i="21" s="1"/>
  <c r="DQ28" i="1"/>
  <c r="ED28" i="1" s="1"/>
  <c r="K29" i="21" s="1"/>
  <c r="DT89" i="1"/>
  <c r="EE89" i="1" s="1"/>
  <c r="N90" i="21" s="1"/>
  <c r="DQ21" i="1"/>
  <c r="ED21" i="1" s="1"/>
  <c r="K22" i="21" s="1"/>
  <c r="DQ8" i="1"/>
  <c r="ED8" i="1" s="1"/>
  <c r="K9" i="21" s="1"/>
  <c r="DY55" i="1"/>
  <c r="EF55" i="1" s="1"/>
  <c r="Q56" i="21" s="1"/>
  <c r="DT134" i="1"/>
  <c r="EE134" i="1" s="1"/>
  <c r="N135" i="21" s="1"/>
  <c r="DQ96" i="1"/>
  <c r="ED96" i="1" s="1"/>
  <c r="K97" i="21" s="1"/>
  <c r="DQ135" i="1"/>
  <c r="ED135" i="1" s="1"/>
  <c r="K136" i="21" s="1"/>
  <c r="DQ77" i="1"/>
  <c r="ED77" i="1" s="1"/>
  <c r="K78" i="21" s="1"/>
  <c r="DQ81" i="1"/>
  <c r="ED81" i="1" s="1"/>
  <c r="K82" i="21" s="1"/>
  <c r="DT106" i="1"/>
  <c r="EE106" i="1" s="1"/>
  <c r="N107" i="21" s="1"/>
  <c r="DQ116" i="1"/>
  <c r="ED116" i="1" s="1"/>
  <c r="K117" i="21" s="1"/>
  <c r="DT188" i="1"/>
  <c r="EE188" i="1" s="1"/>
  <c r="N190" i="21" s="1"/>
  <c r="DT20" i="1"/>
  <c r="EE20" i="1" s="1"/>
  <c r="N21" i="21" s="1"/>
  <c r="DQ56" i="1"/>
  <c r="ED56" i="1" s="1"/>
  <c r="K57" i="21" s="1"/>
  <c r="DQ91" i="1"/>
  <c r="ED91" i="1" s="1"/>
  <c r="K92" i="21" s="1"/>
  <c r="DT50" i="1"/>
  <c r="EE50" i="1" s="1"/>
  <c r="N51" i="21" s="1"/>
  <c r="DT135" i="1"/>
  <c r="EE135" i="1" s="1"/>
  <c r="N136" i="21" s="1"/>
  <c r="DT221" i="1"/>
  <c r="EE221" i="1" s="1"/>
  <c r="N224" i="21" s="1"/>
  <c r="DT26" i="1"/>
  <c r="EE26" i="1" s="1"/>
  <c r="N27" i="21" s="1"/>
  <c r="DT117" i="1"/>
  <c r="EE117" i="1" s="1"/>
  <c r="N118" i="21" s="1"/>
  <c r="DQ188" i="1"/>
  <c r="ED188" i="1" s="1"/>
  <c r="K190" i="21" s="1"/>
  <c r="DT152" i="1"/>
  <c r="DT61" i="1"/>
  <c r="DQ214" i="1"/>
  <c r="ED214" i="1" s="1"/>
  <c r="K217" i="21" s="1"/>
  <c r="DQ183" i="1"/>
  <c r="ED183" i="1" s="1"/>
  <c r="K185" i="21" s="1"/>
  <c r="DQ34" i="1"/>
  <c r="ED34" i="1" s="1"/>
  <c r="K35" i="21" s="1"/>
  <c r="DT31" i="1"/>
  <c r="DT25" i="1"/>
  <c r="EE25" i="1" s="1"/>
  <c r="N26" i="21" s="1"/>
  <c r="DQ119" i="1"/>
  <c r="DT77" i="1"/>
  <c r="EE77" i="1" s="1"/>
  <c r="N78" i="21" s="1"/>
  <c r="DQ128" i="1"/>
  <c r="ED128" i="1" s="1"/>
  <c r="K129" i="21" s="1"/>
  <c r="DT104" i="1"/>
  <c r="EE104" i="1" s="1"/>
  <c r="N105" i="21" s="1"/>
  <c r="DQ22" i="1"/>
  <c r="ED22" i="1" s="1"/>
  <c r="K23" i="21" s="1"/>
  <c r="DT51" i="1"/>
  <c r="EE51" i="1" s="1"/>
  <c r="N52" i="21" s="1"/>
  <c r="DT3" i="1"/>
  <c r="DT58" i="1"/>
  <c r="EE58" i="1" s="1"/>
  <c r="N59" i="21" s="1"/>
  <c r="DQ69" i="1"/>
  <c r="ED69" i="1" s="1"/>
  <c r="K70" i="21" s="1"/>
  <c r="DT94" i="1"/>
  <c r="EE94" i="1" s="1"/>
  <c r="N95" i="21" s="1"/>
  <c r="DQ64" i="1"/>
  <c r="ED64" i="1" s="1"/>
  <c r="K65" i="21" s="1"/>
  <c r="DQ86" i="1"/>
  <c r="ED86" i="1" s="1"/>
  <c r="K87" i="21" s="1"/>
  <c r="DQ221" i="1"/>
  <c r="ED221" i="1" s="1"/>
  <c r="K224" i="21" s="1"/>
  <c r="DQ207" i="1"/>
  <c r="ED207" i="1" s="1"/>
  <c r="K209" i="21" s="1"/>
  <c r="DT138" i="1"/>
  <c r="EE138" i="1" s="1"/>
  <c r="N139" i="21" s="1"/>
  <c r="DQ14" i="1"/>
  <c r="ED14" i="1" s="1"/>
  <c r="K15" i="21" s="1"/>
  <c r="DT78" i="1"/>
  <c r="EE78" i="1" s="1"/>
  <c r="N79" i="21" s="1"/>
  <c r="DT107" i="1"/>
  <c r="DT92" i="1"/>
  <c r="DQ51" i="1"/>
  <c r="ED51" i="1" s="1"/>
  <c r="K52" i="21" s="1"/>
  <c r="DQ39" i="1"/>
  <c r="ED39" i="1" s="1"/>
  <c r="K40" i="21" s="1"/>
  <c r="DT65" i="1"/>
  <c r="EE65" i="1" s="1"/>
  <c r="N66" i="21" s="1"/>
  <c r="DT122" i="1"/>
  <c r="EE122" i="1" s="1"/>
  <c r="N123" i="21" s="1"/>
  <c r="DT148" i="1"/>
  <c r="DT220" i="1"/>
  <c r="EE220" i="1" s="1"/>
  <c r="N223" i="21" s="1"/>
  <c r="DT143" i="1"/>
  <c r="DT176" i="1"/>
  <c r="DT41" i="1"/>
  <c r="EE41" i="1" s="1"/>
  <c r="N42" i="21" s="1"/>
  <c r="DQ57" i="1"/>
  <c r="ED57" i="1" s="1"/>
  <c r="K58" i="21" s="1"/>
  <c r="DT88" i="1"/>
  <c r="EE88" i="1" s="1"/>
  <c r="N89" i="21" s="1"/>
  <c r="DQ130" i="1"/>
  <c r="ED130" i="1" s="1"/>
  <c r="K131" i="21" s="1"/>
  <c r="DY56" i="1"/>
  <c r="EF56" i="1" s="1"/>
  <c r="Q57" i="21" s="1"/>
  <c r="DT90" i="1"/>
  <c r="EE90" i="1" s="1"/>
  <c r="N91" i="21" s="1"/>
  <c r="DT76" i="1"/>
  <c r="EE76" i="1" s="1"/>
  <c r="N77" i="21" s="1"/>
  <c r="DT128" i="1"/>
  <c r="EE128" i="1" s="1"/>
  <c r="N129" i="21" s="1"/>
  <c r="DT13" i="1"/>
  <c r="EE13" i="1" s="1"/>
  <c r="N14" i="21" s="1"/>
  <c r="DT118" i="1"/>
  <c r="EE118" i="1" s="1"/>
  <c r="N119" i="21" s="1"/>
  <c r="DT69" i="1"/>
  <c r="EE69" i="1" s="1"/>
  <c r="N70" i="21" s="1"/>
  <c r="DT98" i="1"/>
  <c r="DT68" i="1"/>
  <c r="EE68" i="1" s="1"/>
  <c r="N69" i="21" s="1"/>
  <c r="DQ102" i="1"/>
  <c r="ED102" i="1" s="1"/>
  <c r="K103" i="21" s="1"/>
  <c r="DT85" i="1"/>
  <c r="EE85" i="1" s="1"/>
  <c r="N86" i="21" s="1"/>
  <c r="DT70" i="1"/>
  <c r="EE70" i="1" s="1"/>
  <c r="N71" i="21" s="1"/>
  <c r="DQ213" i="1"/>
  <c r="ED213" i="1" s="1"/>
  <c r="K216" i="21" s="1"/>
  <c r="DT197" i="1"/>
  <c r="EE197" i="1" s="1"/>
  <c r="N199" i="21" s="1"/>
  <c r="DT29" i="1"/>
  <c r="EE29" i="1" s="1"/>
  <c r="N30" i="21" s="1"/>
  <c r="DQ92" i="1"/>
  <c r="DT34" i="1"/>
  <c r="EE34" i="1" s="1"/>
  <c r="N35" i="21" s="1"/>
  <c r="DQ11" i="1"/>
  <c r="ED11" i="1" s="1"/>
  <c r="K12" i="21" s="1"/>
  <c r="DQ146" i="1"/>
  <c r="ED146" i="1" s="1"/>
  <c r="K147" i="21" s="1"/>
  <c r="DQ52" i="1"/>
  <c r="ED52" i="1" s="1"/>
  <c r="K53" i="21" s="1"/>
  <c r="DQ74" i="1"/>
  <c r="ED74" i="1" s="1"/>
  <c r="K75" i="21" s="1"/>
  <c r="DT200" i="1"/>
  <c r="EE200" i="1" s="1"/>
  <c r="N202" i="21" s="1"/>
  <c r="DT109" i="1"/>
  <c r="EE109" i="1" s="1"/>
  <c r="N110" i="21" s="1"/>
  <c r="DT132" i="1"/>
  <c r="EE132" i="1" s="1"/>
  <c r="N133" i="21" s="1"/>
  <c r="DQ219" i="1"/>
  <c r="ED219" i="1" s="1"/>
  <c r="K222" i="21" s="1"/>
  <c r="DT137" i="1"/>
  <c r="EE137" i="1" s="1"/>
  <c r="N138" i="21" s="1"/>
  <c r="DT96" i="1"/>
  <c r="EE96" i="1" s="1"/>
  <c r="N97" i="21" s="1"/>
  <c r="DQ20" i="1"/>
  <c r="ED20" i="1" s="1"/>
  <c r="K21" i="21" s="1"/>
  <c r="DT14" i="1"/>
  <c r="EE14" i="1" s="1"/>
  <c r="N15" i="21" s="1"/>
  <c r="DT73" i="1"/>
  <c r="EE73" i="1" s="1"/>
  <c r="N74" i="21" s="1"/>
  <c r="DQ94" i="1"/>
  <c r="ED94" i="1" s="1"/>
  <c r="K95" i="21" s="1"/>
  <c r="DQ97" i="1"/>
  <c r="DQ99" i="1"/>
  <c r="ED99" i="1" s="1"/>
  <c r="K100" i="21" s="1"/>
  <c r="DQ76" i="1"/>
  <c r="ED76" i="1" s="1"/>
  <c r="K77" i="21" s="1"/>
  <c r="DQ150" i="1"/>
  <c r="ED150" i="1" s="1"/>
  <c r="K151" i="21" s="1"/>
  <c r="DQ65" i="1"/>
  <c r="ED65" i="1" s="1"/>
  <c r="K66" i="21" s="1"/>
  <c r="DT141" i="1"/>
  <c r="DQ152" i="1"/>
  <c r="DT204" i="1"/>
  <c r="DQ205" i="1"/>
  <c r="ED205" i="1" s="1"/>
  <c r="K207" i="21" s="1"/>
  <c r="DQ71" i="1"/>
  <c r="ED71" i="1" s="1"/>
  <c r="K72" i="21" s="1"/>
  <c r="DQ200" i="1"/>
  <c r="ED200" i="1" s="1"/>
  <c r="K202" i="21" s="1"/>
  <c r="DQ220" i="1"/>
  <c r="ED220" i="1" s="1"/>
  <c r="K223" i="21" s="1"/>
  <c r="DT133" i="1"/>
  <c r="EE133" i="1" s="1"/>
  <c r="N134" i="21" s="1"/>
  <c r="DT192" i="1"/>
  <c r="DQ144" i="1"/>
  <c r="ED144" i="1" s="1"/>
  <c r="K145" i="21" s="1"/>
  <c r="DQ27" i="1"/>
  <c r="ED27" i="1" s="1"/>
  <c r="K28" i="21" s="1"/>
  <c r="DT150" i="1"/>
  <c r="EE150" i="1" s="1"/>
  <c r="N151" i="21" s="1"/>
  <c r="DQ10" i="1"/>
  <c r="ED10" i="1" s="1"/>
  <c r="K11" i="21" s="1"/>
  <c r="DQ104" i="1"/>
  <c r="ED104" i="1" s="1"/>
  <c r="K105" i="21" s="1"/>
  <c r="DT131" i="1"/>
  <c r="DT113" i="1"/>
  <c r="DQ109" i="1"/>
  <c r="ED109" i="1" s="1"/>
  <c r="K110" i="21" s="1"/>
  <c r="DQ59" i="1"/>
  <c r="ED59" i="1" s="1"/>
  <c r="K60" i="21" s="1"/>
  <c r="DT54" i="1"/>
  <c r="DT9" i="1"/>
  <c r="DT213" i="1"/>
  <c r="EE213" i="1" s="1"/>
  <c r="N216" i="21" s="1"/>
  <c r="DT56" i="1"/>
  <c r="EE56" i="1" s="1"/>
  <c r="N57" i="21" s="1"/>
  <c r="DY95" i="1"/>
  <c r="DT6" i="1"/>
  <c r="EE6" i="1" s="1"/>
  <c r="N7" i="21" s="1"/>
  <c r="DY131" i="1"/>
  <c r="DY113" i="1"/>
  <c r="DT49" i="1"/>
  <c r="EE49" i="1" s="1"/>
  <c r="N50" i="21" s="1"/>
  <c r="DT139" i="1"/>
  <c r="EE139" i="1" s="1"/>
  <c r="N140" i="21" s="1"/>
  <c r="DT8" i="1"/>
  <c r="EE8" i="1" s="1"/>
  <c r="N9" i="21" s="1"/>
  <c r="DT24" i="1"/>
  <c r="EE24" i="1" s="1"/>
  <c r="N25" i="21" s="1"/>
  <c r="DT95" i="1"/>
  <c r="DT37" i="1"/>
  <c r="EE37" i="1" s="1"/>
  <c r="N38" i="21" s="1"/>
  <c r="DQ100" i="1"/>
  <c r="ED100" i="1" s="1"/>
  <c r="K101" i="21" s="1"/>
  <c r="DY58" i="1"/>
  <c r="EF58" i="1" s="1"/>
  <c r="Q59" i="21" s="1"/>
  <c r="DY28" i="1"/>
  <c r="EF28" i="1" s="1"/>
  <c r="Q29" i="21" s="1"/>
  <c r="DQ7" i="1"/>
  <c r="DT16" i="1"/>
  <c r="EE16" i="1" s="1"/>
  <c r="N17" i="21" s="1"/>
  <c r="DY148" i="1"/>
  <c r="DY68" i="1"/>
  <c r="EF68" i="1" s="1"/>
  <c r="Q69" i="21" s="1"/>
  <c r="DY50" i="1"/>
  <c r="EF50" i="1" s="1"/>
  <c r="Q51" i="21" s="1"/>
  <c r="DQ23" i="1"/>
  <c r="ED23" i="1" s="1"/>
  <c r="K24" i="21" s="1"/>
  <c r="DY151" i="1"/>
  <c r="EF151" i="1" s="1"/>
  <c r="Q152" i="21" s="1"/>
  <c r="DT57" i="1"/>
  <c r="EE57" i="1" s="1"/>
  <c r="N58" i="21" s="1"/>
  <c r="DQ215" i="1"/>
  <c r="ED215" i="1" s="1"/>
  <c r="K218" i="21" s="1"/>
  <c r="DY150" i="1"/>
  <c r="EF150" i="1" s="1"/>
  <c r="Q151" i="21" s="1"/>
  <c r="DY92" i="1"/>
  <c r="DY81" i="1"/>
  <c r="EF81" i="1" s="1"/>
  <c r="Q82" i="21" s="1"/>
  <c r="DQ18" i="1"/>
  <c r="ED18" i="1" s="1"/>
  <c r="K19" i="21" s="1"/>
  <c r="DY9" i="1"/>
  <c r="DY67" i="1"/>
  <c r="EF67" i="1" s="1"/>
  <c r="Q68" i="21" s="1"/>
  <c r="DT112" i="1"/>
  <c r="DY96" i="1"/>
  <c r="EF96" i="1" s="1"/>
  <c r="Q97" i="21" s="1"/>
  <c r="DQ50" i="1"/>
  <c r="ED50" i="1" s="1"/>
  <c r="K51" i="21" s="1"/>
  <c r="DQ132" i="1"/>
  <c r="ED132" i="1" s="1"/>
  <c r="K133" i="21" s="1"/>
  <c r="DT121" i="1"/>
  <c r="DT119" i="1"/>
  <c r="DQ125" i="1"/>
  <c r="DQ61" i="1"/>
  <c r="DQ127" i="1"/>
  <c r="ED127" i="1" s="1"/>
  <c r="K128" i="21" s="1"/>
  <c r="DQ197" i="1"/>
  <c r="ED197" i="1" s="1"/>
  <c r="K199" i="21" s="1"/>
  <c r="DQ129" i="1"/>
  <c r="ED129" i="1" s="1"/>
  <c r="K130" i="21" s="1"/>
  <c r="DY53" i="1"/>
  <c r="EF53" i="1" s="1"/>
  <c r="Q54" i="21" s="1"/>
  <c r="DY201" i="1"/>
  <c r="EF201" i="1" s="1"/>
  <c r="Q203" i="21" s="1"/>
  <c r="DT100" i="1"/>
  <c r="EE100" i="1" s="1"/>
  <c r="N101" i="21" s="1"/>
  <c r="DT7" i="1"/>
  <c r="DT216" i="1"/>
  <c r="EE216" i="1" s="1"/>
  <c r="N219" i="21" s="1"/>
  <c r="DY213" i="1"/>
  <c r="EF213" i="1" s="1"/>
  <c r="Q216" i="21" s="1"/>
  <c r="DY123" i="1"/>
  <c r="EF123" i="1" s="1"/>
  <c r="Q124" i="21" s="1"/>
  <c r="DY65" i="1"/>
  <c r="EF65" i="1" s="1"/>
  <c r="Q66" i="21" s="1"/>
  <c r="DY116" i="1"/>
  <c r="EF116" i="1" s="1"/>
  <c r="Q117" i="21" s="1"/>
  <c r="DT4" i="1"/>
  <c r="DQ122" i="1"/>
  <c r="ED122" i="1" s="1"/>
  <c r="K123" i="21" s="1"/>
  <c r="DT71" i="1"/>
  <c r="EE71" i="1" s="1"/>
  <c r="N72" i="21" s="1"/>
  <c r="DQ140" i="1"/>
  <c r="ED140" i="1" s="1"/>
  <c r="K141" i="21" s="1"/>
  <c r="DT33" i="1"/>
  <c r="EE33" i="1" s="1"/>
  <c r="N34" i="21" s="1"/>
  <c r="DT67" i="1"/>
  <c r="EE67" i="1" s="1"/>
  <c r="N68" i="21" s="1"/>
  <c r="DT130" i="1"/>
  <c r="EE130" i="1" s="1"/>
  <c r="N131" i="21" s="1"/>
  <c r="DQ131" i="1"/>
  <c r="DY88" i="1"/>
  <c r="EF88" i="1" s="1"/>
  <c r="Q89" i="21" s="1"/>
  <c r="DQ6" i="1"/>
  <c r="ED6" i="1" s="1"/>
  <c r="K7" i="21" s="1"/>
  <c r="DQ153" i="1"/>
  <c r="ED153" i="1" s="1"/>
  <c r="K154" i="21" s="1"/>
  <c r="DY86" i="1"/>
  <c r="EF86" i="1" s="1"/>
  <c r="Q87" i="21" s="1"/>
  <c r="DY114" i="1"/>
  <c r="EF114" i="1" s="1"/>
  <c r="Q115" i="21" s="1"/>
  <c r="DY35" i="1"/>
  <c r="EF35" i="1" s="1"/>
  <c r="Q36" i="21" s="1"/>
  <c r="DY122" i="1"/>
  <c r="EF122" i="1" s="1"/>
  <c r="Q123" i="21" s="1"/>
  <c r="DY94" i="1"/>
  <c r="EF94" i="1" s="1"/>
  <c r="Q95" i="21" s="1"/>
  <c r="DT140" i="1"/>
  <c r="EE140" i="1" s="1"/>
  <c r="N141" i="21" s="1"/>
  <c r="DY128" i="1"/>
  <c r="EF128" i="1" s="1"/>
  <c r="Q129" i="21" s="1"/>
  <c r="DQ19" i="1"/>
  <c r="ED19" i="1" s="1"/>
  <c r="K20" i="21" s="1"/>
  <c r="DT114" i="1"/>
  <c r="EE114" i="1" s="1"/>
  <c r="N115" i="21" s="1"/>
  <c r="DY52" i="1"/>
  <c r="EF52" i="1" s="1"/>
  <c r="Q53" i="21" s="1"/>
  <c r="DY127" i="1"/>
  <c r="EF127" i="1" s="1"/>
  <c r="Q128" i="21" s="1"/>
  <c r="DT28" i="1"/>
  <c r="EE28" i="1" s="1"/>
  <c r="N29" i="21" s="1"/>
  <c r="DQ165" i="1"/>
  <c r="ED165" i="1" s="1"/>
  <c r="K166" i="21" s="1"/>
  <c r="DY10" i="1"/>
  <c r="EF10" i="1" s="1"/>
  <c r="Q11" i="21" s="1"/>
  <c r="DY197" i="1"/>
  <c r="EF197" i="1" s="1"/>
  <c r="Q199" i="21" s="1"/>
  <c r="DQ49" i="1"/>
  <c r="ED49" i="1" s="1"/>
  <c r="K50" i="21" s="1"/>
  <c r="DY78" i="1"/>
  <c r="EF78" i="1" s="1"/>
  <c r="Q79" i="21" s="1"/>
  <c r="DQ148" i="1"/>
  <c r="DY25" i="1"/>
  <c r="EF25" i="1" s="1"/>
  <c r="Q26" i="21" s="1"/>
  <c r="DT84" i="1"/>
  <c r="EE84" i="1" s="1"/>
  <c r="N85" i="21" s="1"/>
  <c r="DY16" i="1"/>
  <c r="EF16" i="1" s="1"/>
  <c r="Q17" i="21" s="1"/>
  <c r="DT153" i="1"/>
  <c r="EE153" i="1" s="1"/>
  <c r="N154" i="21" s="1"/>
  <c r="DY105" i="1"/>
  <c r="EF105" i="1" s="1"/>
  <c r="Q106" i="21" s="1"/>
  <c r="DQ110" i="1"/>
  <c r="ED110" i="1" s="1"/>
  <c r="K111" i="21" s="1"/>
  <c r="DY64" i="1"/>
  <c r="EF64" i="1" s="1"/>
  <c r="Q65" i="21" s="1"/>
  <c r="DQ73" i="1"/>
  <c r="ED73" i="1" s="1"/>
  <c r="K74" i="21" s="1"/>
  <c r="DY73" i="1"/>
  <c r="EF73" i="1" s="1"/>
  <c r="Q74" i="21" s="1"/>
  <c r="DY91" i="1"/>
  <c r="EF91" i="1" s="1"/>
  <c r="Q92" i="21" s="1"/>
  <c r="DY89" i="1"/>
  <c r="EF89" i="1" s="1"/>
  <c r="Q90" i="21" s="1"/>
  <c r="DY87" i="1"/>
  <c r="EF87" i="1" s="1"/>
  <c r="Q88" i="21" s="1"/>
  <c r="DQ87" i="1"/>
  <c r="ED87" i="1" s="1"/>
  <c r="K88" i="21" s="1"/>
  <c r="DQ60" i="1"/>
  <c r="ED60" i="1" s="1"/>
  <c r="K61" i="21" s="1"/>
  <c r="DQ63" i="1"/>
  <c r="ED63" i="1" s="1"/>
  <c r="K64" i="21" s="1"/>
  <c r="DQ113" i="1"/>
  <c r="DT30" i="1"/>
  <c r="EE30" i="1" s="1"/>
  <c r="N31" i="21" s="1"/>
  <c r="DY29" i="1"/>
  <c r="EF29" i="1" s="1"/>
  <c r="Q30" i="21" s="1"/>
  <c r="DQ101" i="1"/>
  <c r="DY22" i="1"/>
  <c r="EF22" i="1" s="1"/>
  <c r="Q23" i="21" s="1"/>
  <c r="DY149" i="1"/>
  <c r="EF149" i="1" s="1"/>
  <c r="Q150" i="21" s="1"/>
  <c r="DY70" i="1"/>
  <c r="EF70" i="1" s="1"/>
  <c r="Q71" i="21" s="1"/>
  <c r="DY42" i="1"/>
  <c r="EF42" i="1" s="1"/>
  <c r="Q43" i="21" s="1"/>
  <c r="DY103" i="1"/>
  <c r="EF103" i="1" s="1"/>
  <c r="Q104" i="21" s="1"/>
  <c r="DY104" i="1"/>
  <c r="EF104" i="1" s="1"/>
  <c r="Q105" i="21" s="1"/>
  <c r="DY33" i="1"/>
  <c r="EF33" i="1" s="1"/>
  <c r="Q34" i="21" s="1"/>
  <c r="DY38" i="1"/>
  <c r="EF38" i="1" s="1"/>
  <c r="Q39" i="21" s="1"/>
  <c r="DY61" i="1"/>
  <c r="DY85" i="1"/>
  <c r="EF85" i="1" s="1"/>
  <c r="Q86" i="21" s="1"/>
  <c r="DY82" i="1"/>
  <c r="EF82" i="1" s="1"/>
  <c r="Q83" i="21" s="1"/>
  <c r="DT215" i="1"/>
  <c r="EE215" i="1" s="1"/>
  <c r="N218" i="21" s="1"/>
  <c r="DT38" i="1"/>
  <c r="EE38" i="1" s="1"/>
  <c r="N39" i="21" s="1"/>
  <c r="DT165" i="1"/>
  <c r="EE165" i="1" s="1"/>
  <c r="N166" i="21" s="1"/>
  <c r="DT74" i="1"/>
  <c r="EE74" i="1" s="1"/>
  <c r="N75" i="21" s="1"/>
  <c r="DY15" i="1"/>
  <c r="DQ33" i="1"/>
  <c r="ED33" i="1" s="1"/>
  <c r="K34" i="21" s="1"/>
  <c r="DQ29" i="1"/>
  <c r="ED29" i="1" s="1"/>
  <c r="K30" i="21" s="1"/>
  <c r="DT60" i="1"/>
  <c r="EE60" i="1" s="1"/>
  <c r="N61" i="21" s="1"/>
  <c r="DT99" i="1"/>
  <c r="EE99" i="1" s="1"/>
  <c r="N100" i="21" s="1"/>
  <c r="DT5" i="1"/>
  <c r="DT207" i="1"/>
  <c r="EE207" i="1" s="1"/>
  <c r="N209" i="21" s="1"/>
  <c r="DQ84" i="1"/>
  <c r="ED84" i="1" s="1"/>
  <c r="K85" i="21" s="1"/>
  <c r="DQ9" i="1"/>
  <c r="DT179" i="1"/>
  <c r="EE179" i="1" s="1"/>
  <c r="N180" i="21" s="1"/>
  <c r="DQ36" i="1"/>
  <c r="ED36" i="1" s="1"/>
  <c r="K37" i="21" s="1"/>
  <c r="DQ37" i="1"/>
  <c r="ED37" i="1" s="1"/>
  <c r="K38" i="21" s="1"/>
  <c r="DY219" i="1"/>
  <c r="EF219" i="1" s="1"/>
  <c r="Q222" i="21" s="1"/>
  <c r="DQ112" i="1"/>
  <c r="DY14" i="1"/>
  <c r="EF14" i="1" s="1"/>
  <c r="Q15" i="21" s="1"/>
  <c r="DQ216" i="1"/>
  <c r="ED216" i="1" s="1"/>
  <c r="K219" i="21" s="1"/>
  <c r="DY221" i="1"/>
  <c r="EF221" i="1" s="1"/>
  <c r="Q224" i="21" s="1"/>
  <c r="DY115" i="1"/>
  <c r="EF115" i="1" s="1"/>
  <c r="Q116" i="21" s="1"/>
  <c r="DT97" i="1"/>
  <c r="DQ75" i="1"/>
  <c r="ED75" i="1" s="1"/>
  <c r="K76" i="21" s="1"/>
  <c r="DT219" i="1"/>
  <c r="EE219" i="1" s="1"/>
  <c r="N222" i="21" s="1"/>
  <c r="DQ68" i="1"/>
  <c r="ED68" i="1" s="1"/>
  <c r="K69" i="21" s="1"/>
  <c r="DQ156" i="1"/>
  <c r="ED156" i="1" s="1"/>
  <c r="K157" i="21" s="1"/>
  <c r="DQ179" i="1"/>
  <c r="ED179" i="1" s="1"/>
  <c r="K180" i="21" s="1"/>
  <c r="DT86" i="1"/>
  <c r="EE86" i="1" s="1"/>
  <c r="N87" i="21" s="1"/>
  <c r="DQ201" i="1"/>
  <c r="ED201" i="1" s="1"/>
  <c r="K203" i="21" s="1"/>
  <c r="DQ138" i="1"/>
  <c r="ED138" i="1" s="1"/>
  <c r="K139" i="21" s="1"/>
  <c r="DT102" i="1"/>
  <c r="EE102" i="1" s="1"/>
  <c r="N103" i="21" s="1"/>
  <c r="DT59" i="1"/>
  <c r="EE59" i="1" s="1"/>
  <c r="N60" i="21" s="1"/>
  <c r="DY69" i="1"/>
  <c r="EF69" i="1" s="1"/>
  <c r="Q70" i="21" s="1"/>
  <c r="DQ192" i="1"/>
  <c r="DQ111" i="1"/>
  <c r="DY76" i="1"/>
  <c r="EF76" i="1" s="1"/>
  <c r="Q77" i="21" s="1"/>
  <c r="DQ149" i="1"/>
  <c r="ED149" i="1" s="1"/>
  <c r="K150" i="21" s="1"/>
  <c r="DT142" i="1"/>
  <c r="DT18" i="1"/>
  <c r="EE18" i="1" s="1"/>
  <c r="N19" i="21" s="1"/>
  <c r="DY144" i="1"/>
  <c r="EF144" i="1" s="1"/>
  <c r="Q145" i="21" s="1"/>
  <c r="DY27" i="1"/>
  <c r="EF27" i="1" s="1"/>
  <c r="Q28" i="21" s="1"/>
  <c r="DQ185" i="1"/>
  <c r="DT72" i="1"/>
  <c r="DT19" i="1"/>
  <c r="EE19" i="1" s="1"/>
  <c r="N20" i="21" s="1"/>
  <c r="DY54" i="1"/>
  <c r="DQ115" i="1"/>
  <c r="ED115" i="1" s="1"/>
  <c r="K116" i="21" s="1"/>
  <c r="DY212" i="1"/>
  <c r="EF212" i="1" s="1"/>
  <c r="Q215" i="21" s="1"/>
  <c r="DY124" i="1"/>
  <c r="EF124" i="1" s="1"/>
  <c r="Q125" i="21" s="1"/>
  <c r="DT110" i="1"/>
  <c r="EE110" i="1" s="1"/>
  <c r="N111" i="21" s="1"/>
  <c r="DQ85" i="1"/>
  <c r="ED85" i="1" s="1"/>
  <c r="K86" i="21" s="1"/>
  <c r="DQ58" i="1"/>
  <c r="ED58" i="1" s="1"/>
  <c r="K59" i="21" s="1"/>
  <c r="DQ55" i="1"/>
  <c r="ED55" i="1" s="1"/>
  <c r="K56" i="21" s="1"/>
  <c r="DT111" i="1"/>
  <c r="DQ103" i="1"/>
  <c r="ED103" i="1" s="1"/>
  <c r="K104" i="21" s="1"/>
  <c r="DT12" i="1"/>
  <c r="EE12" i="1" s="1"/>
  <c r="N13" i="21" s="1"/>
  <c r="DT214" i="1"/>
  <c r="EE214" i="1" s="1"/>
  <c r="N217" i="21" s="1"/>
  <c r="DT62" i="1"/>
  <c r="DT93" i="1"/>
  <c r="EE93" i="1" s="1"/>
  <c r="N94" i="21" s="1"/>
  <c r="DY41" i="1"/>
  <c r="EF41" i="1" s="1"/>
  <c r="Q42" i="21" s="1"/>
  <c r="DQ124" i="1"/>
  <c r="ED124" i="1" s="1"/>
  <c r="K125" i="21" s="1"/>
  <c r="DQ38" i="1"/>
  <c r="ED38" i="1" s="1"/>
  <c r="K39" i="21" s="1"/>
  <c r="DT124" i="1"/>
  <c r="EE124" i="1" s="1"/>
  <c r="N125" i="21" s="1"/>
  <c r="DT123" i="1"/>
  <c r="EE123" i="1" s="1"/>
  <c r="N124" i="21" s="1"/>
  <c r="DT201" i="1"/>
  <c r="EE201" i="1" s="1"/>
  <c r="N203" i="21" s="1"/>
  <c r="DY130" i="1"/>
  <c r="EF130" i="1" s="1"/>
  <c r="Q131" i="21" s="1"/>
  <c r="DY63" i="1"/>
  <c r="EF63" i="1" s="1"/>
  <c r="Q64" i="21" s="1"/>
  <c r="DY34" i="1"/>
  <c r="EF34" i="1" s="1"/>
  <c r="Q35" i="21" s="1"/>
  <c r="DY140" i="1"/>
  <c r="EF140" i="1" s="1"/>
  <c r="Q141" i="21" s="1"/>
  <c r="DY20" i="1"/>
  <c r="EF20" i="1" s="1"/>
  <c r="Q21" i="21" s="1"/>
  <c r="DY84" i="1"/>
  <c r="EF84" i="1" s="1"/>
  <c r="Q85" i="21" s="1"/>
  <c r="DY99" i="1"/>
  <c r="EF99" i="1" s="1"/>
  <c r="Q100" i="21" s="1"/>
  <c r="DY71" i="1"/>
  <c r="EF71" i="1" s="1"/>
  <c r="Q72" i="21" s="1"/>
  <c r="DY75" i="1"/>
  <c r="EF75" i="1" s="1"/>
  <c r="Q76" i="21" s="1"/>
  <c r="DY132" i="1"/>
  <c r="EF132" i="1" s="1"/>
  <c r="Q133" i="21" s="1"/>
  <c r="DY74" i="1"/>
  <c r="EF74" i="1" s="1"/>
  <c r="Q75" i="21" s="1"/>
  <c r="DY134" i="1"/>
  <c r="EF134" i="1" s="1"/>
  <c r="Q135" i="21" s="1"/>
  <c r="DY51" i="1"/>
  <c r="EF51" i="1" s="1"/>
  <c r="Q52" i="21" s="1"/>
  <c r="DY215" i="1"/>
  <c r="EF215" i="1" s="1"/>
  <c r="Q218" i="21" s="1"/>
  <c r="DY138" i="1"/>
  <c r="EF138" i="1" s="1"/>
  <c r="Q139" i="21" s="1"/>
  <c r="DY214" i="1"/>
  <c r="EF214" i="1" s="1"/>
  <c r="Q217" i="21" s="1"/>
  <c r="DY97" i="1"/>
  <c r="DY200" i="1"/>
  <c r="EF200" i="1" s="1"/>
  <c r="Q202" i="21" s="1"/>
  <c r="DY90" i="1"/>
  <c r="EF90" i="1" s="1"/>
  <c r="Q91" i="21" s="1"/>
  <c r="DY23" i="1"/>
  <c r="EF23" i="1" s="1"/>
  <c r="Q24" i="21" s="1"/>
  <c r="DY165" i="1"/>
  <c r="EF165" i="1" s="1"/>
  <c r="Q166" i="21" s="1"/>
  <c r="DY112" i="1"/>
  <c r="DY60" i="1"/>
  <c r="EF60" i="1" s="1"/>
  <c r="Q61" i="21" s="1"/>
  <c r="DY192" i="1"/>
  <c r="DY106" i="1"/>
  <c r="EF106" i="1" s="1"/>
  <c r="Q107" i="21" s="1"/>
  <c r="DY49" i="1"/>
  <c r="EF49" i="1" s="1"/>
  <c r="Q50" i="21" s="1"/>
  <c r="DY152" i="1"/>
  <c r="DY110" i="1"/>
  <c r="EF110" i="1" s="1"/>
  <c r="Q111" i="21" s="1"/>
  <c r="DY153" i="1"/>
  <c r="EF153" i="1" s="1"/>
  <c r="Q154" i="21" s="1"/>
  <c r="DY188" i="1"/>
  <c r="EF188" i="1" s="1"/>
  <c r="Q190" i="21" s="1"/>
  <c r="DY205" i="1"/>
  <c r="EF205" i="1" s="1"/>
  <c r="Q207" i="21" s="1"/>
  <c r="DY57" i="1"/>
  <c r="EF57" i="1" s="1"/>
  <c r="Q58" i="21" s="1"/>
  <c r="DY37" i="1"/>
  <c r="EF37" i="1" s="1"/>
  <c r="Q38" i="21" s="1"/>
  <c r="DY135" i="1"/>
  <c r="EF135" i="1" s="1"/>
  <c r="Q136" i="21" s="1"/>
  <c r="DY59" i="1"/>
  <c r="EF59" i="1" s="1"/>
  <c r="Q60" i="21" s="1"/>
  <c r="DY207" i="1"/>
  <c r="EF207" i="1" s="1"/>
  <c r="Q209" i="21" s="1"/>
  <c r="DY100" i="1"/>
  <c r="EF100" i="1" s="1"/>
  <c r="Q101" i="21" s="1"/>
  <c r="DY220" i="1"/>
  <c r="EF220" i="1" s="1"/>
  <c r="Q223" i="21" s="1"/>
  <c r="DY216" i="1"/>
  <c r="EF216" i="1" s="1"/>
  <c r="Q219" i="21" s="1"/>
  <c r="DY183" i="1"/>
  <c r="EF183" i="1" s="1"/>
  <c r="Q185" i="21" s="1"/>
  <c r="DY36" i="1"/>
  <c r="EF36" i="1" s="1"/>
  <c r="Q37" i="21" s="1"/>
  <c r="DY93" i="1"/>
  <c r="EF93" i="1" s="1"/>
  <c r="Q94" i="21" s="1"/>
  <c r="DY137" i="1"/>
  <c r="EF137" i="1" s="1"/>
  <c r="Q138" i="21" s="1"/>
  <c r="DY179" i="1"/>
  <c r="EF179" i="1" s="1"/>
  <c r="Q180" i="21" s="1"/>
  <c r="DY139" i="1"/>
  <c r="EF139" i="1" s="1"/>
  <c r="Q140" i="21" s="1"/>
  <c r="DY39" i="1"/>
  <c r="EF39" i="1" s="1"/>
  <c r="Q40" i="21" s="1"/>
  <c r="DY156" i="1"/>
  <c r="EF156" i="1" s="1"/>
  <c r="Q157" i="21" s="1"/>
  <c r="DY26" i="1"/>
  <c r="EF26" i="1" s="1"/>
  <c r="Q27" i="21" s="1"/>
  <c r="DY24" i="1"/>
  <c r="EF24" i="1" s="1"/>
  <c r="Q25" i="21" s="1"/>
  <c r="DY118" i="1"/>
  <c r="EF118" i="1" s="1"/>
  <c r="Q119" i="21" s="1"/>
  <c r="DY19" i="1"/>
  <c r="EF19" i="1" s="1"/>
  <c r="Q20" i="21" s="1"/>
  <c r="DY21" i="1"/>
  <c r="EF21" i="1" s="1"/>
  <c r="Q22" i="21" s="1"/>
  <c r="DY30" i="1"/>
  <c r="EF30" i="1" s="1"/>
  <c r="Q31" i="21" s="1"/>
  <c r="DY102" i="1"/>
  <c r="EF102" i="1" s="1"/>
  <c r="Q103" i="21" s="1"/>
  <c r="DY133" i="1"/>
  <c r="EF133" i="1" s="1"/>
  <c r="Q134" i="21" s="1"/>
  <c r="DY12" i="1"/>
  <c r="EF12" i="1" s="1"/>
  <c r="Q13" i="21" s="1"/>
  <c r="DY146" i="1"/>
  <c r="EF146" i="1" s="1"/>
  <c r="Q147" i="21" s="1"/>
  <c r="DY13" i="1"/>
  <c r="EF13" i="1" s="1"/>
  <c r="Q14" i="21" s="1"/>
  <c r="DY7" i="1"/>
  <c r="DY129" i="1"/>
  <c r="EF129" i="1" s="1"/>
  <c r="Q130" i="21" s="1"/>
  <c r="DY8" i="1"/>
  <c r="EF8" i="1" s="1"/>
  <c r="Q9" i="21" s="1"/>
  <c r="DY77" i="1"/>
  <c r="EF77" i="1" s="1"/>
  <c r="Q78" i="21" s="1"/>
  <c r="DY11" i="1"/>
  <c r="EF11" i="1" s="1"/>
  <c r="Q12" i="21" s="1"/>
  <c r="DY117" i="1"/>
  <c r="EF117" i="1" s="1"/>
  <c r="Q118" i="21" s="1"/>
  <c r="DY18" i="1"/>
  <c r="EF18" i="1" s="1"/>
  <c r="Q19" i="21" s="1"/>
  <c r="DY6" i="1"/>
  <c r="EF6" i="1" s="1"/>
  <c r="Q7" i="21" s="1"/>
  <c r="DO32" i="1"/>
  <c r="DN32" i="1"/>
  <c r="DO23" i="3"/>
  <c r="EC23" i="3" s="1"/>
  <c r="J24" i="21" s="1"/>
  <c r="DN23" i="3"/>
  <c r="EB23" i="3" s="1"/>
  <c r="G24" i="21" s="1"/>
  <c r="AN206" i="14"/>
  <c r="AI206" i="14"/>
  <c r="AL206" i="14"/>
  <c r="AG206" i="14"/>
  <c r="AM10" i="14"/>
  <c r="AH10" i="14"/>
  <c r="DO201" i="1"/>
  <c r="EC201" i="1" s="1"/>
  <c r="H203" i="21" s="1"/>
  <c r="DN201" i="1"/>
  <c r="EB201" i="1" s="1"/>
  <c r="E203" i="21" s="1"/>
  <c r="AN134" i="14"/>
  <c r="AI134" i="14"/>
  <c r="DQ139" i="2"/>
  <c r="ED139" i="2" s="1"/>
  <c r="L141" i="21" s="1"/>
  <c r="J141" i="20" s="1"/>
  <c r="DT138" i="2"/>
  <c r="EE138" i="2" s="1"/>
  <c r="O140" i="21" s="1"/>
  <c r="DQ147" i="2"/>
  <c r="DT124" i="2"/>
  <c r="EE124" i="2" s="1"/>
  <c r="O125" i="21" s="1"/>
  <c r="K125" i="20" s="1"/>
  <c r="DT112" i="2"/>
  <c r="DT100" i="2"/>
  <c r="EE100" i="2" s="1"/>
  <c r="O101" i="21" s="1"/>
  <c r="K101" i="20" s="1"/>
  <c r="DT85" i="2"/>
  <c r="DT72" i="2"/>
  <c r="DQ101" i="2"/>
  <c r="DQ86" i="2"/>
  <c r="ED86" i="2" s="1"/>
  <c r="L87" i="21" s="1"/>
  <c r="J87" i="20" s="1"/>
  <c r="DQ74" i="2"/>
  <c r="ED74" i="2" s="1"/>
  <c r="L75" i="21" s="1"/>
  <c r="DQ59" i="2"/>
  <c r="ED59" i="2" s="1"/>
  <c r="L60" i="21" s="1"/>
  <c r="J60" i="20" s="1"/>
  <c r="DQ70" i="2"/>
  <c r="ED70" i="2" s="1"/>
  <c r="L71" i="21" s="1"/>
  <c r="J71" i="20" s="1"/>
  <c r="DT143" i="2"/>
  <c r="EE143" i="2" s="1"/>
  <c r="O145" i="21" s="1"/>
  <c r="DT95" i="2"/>
  <c r="DT81" i="2"/>
  <c r="EE81" i="2" s="1"/>
  <c r="O82" i="21" s="1"/>
  <c r="K82" i="20" s="1"/>
  <c r="DQ123" i="2"/>
  <c r="ED123" i="2" s="1"/>
  <c r="L124" i="21" s="1"/>
  <c r="J124" i="20" s="1"/>
  <c r="DQ110" i="2"/>
  <c r="ED110" i="2" s="1"/>
  <c r="L111" i="21" s="1"/>
  <c r="J111" i="20" s="1"/>
  <c r="DQ56" i="2"/>
  <c r="ED56" i="2" s="1"/>
  <c r="L57" i="21" s="1"/>
  <c r="DQ36" i="2"/>
  <c r="ED36" i="2" s="1"/>
  <c r="L37" i="21" s="1"/>
  <c r="J37" i="20" s="1"/>
  <c r="DQ71" i="2"/>
  <c r="ED71" i="2" s="1"/>
  <c r="L72" i="21" s="1"/>
  <c r="J72" i="20" s="1"/>
  <c r="DT58" i="2"/>
  <c r="EE58" i="2" s="1"/>
  <c r="O59" i="21" s="1"/>
  <c r="K59" i="20" s="1"/>
  <c r="DQ24" i="2"/>
  <c r="ED24" i="2" s="1"/>
  <c r="L25" i="21" s="1"/>
  <c r="J25" i="20" s="1"/>
  <c r="DQ34" i="2"/>
  <c r="ED34" i="2" s="1"/>
  <c r="L35" i="21" s="1"/>
  <c r="DQ18" i="2"/>
  <c r="ED18" i="2" s="1"/>
  <c r="L19" i="21" s="1"/>
  <c r="J19" i="20" s="1"/>
  <c r="DQ122" i="2"/>
  <c r="ED122" i="2" s="1"/>
  <c r="L123" i="21" s="1"/>
  <c r="J123" i="20" s="1"/>
  <c r="DQ20" i="2"/>
  <c r="ED20" i="2" s="1"/>
  <c r="L21" i="21" s="1"/>
  <c r="J21" i="20" s="1"/>
  <c r="DQ84" i="2"/>
  <c r="ED84" i="2" s="1"/>
  <c r="L85" i="21" s="1"/>
  <c r="J85" i="20" s="1"/>
  <c r="DQ22" i="2"/>
  <c r="ED22" i="2" s="1"/>
  <c r="L23" i="21" s="1"/>
  <c r="J23" i="20" s="1"/>
  <c r="DT55" i="2"/>
  <c r="EE55" i="2" s="1"/>
  <c r="O56" i="21" s="1"/>
  <c r="DQ28" i="2"/>
  <c r="ED28" i="2" s="1"/>
  <c r="L29" i="21" s="1"/>
  <c r="J29" i="20" s="1"/>
  <c r="DQ25" i="2"/>
  <c r="ED25" i="2" s="1"/>
  <c r="L26" i="21" s="1"/>
  <c r="J26" i="20" s="1"/>
  <c r="DQ12" i="2"/>
  <c r="ED12" i="2" s="1"/>
  <c r="L13" i="21" s="1"/>
  <c r="DQ171" i="2"/>
  <c r="DT150" i="2"/>
  <c r="EE150" i="2" s="1"/>
  <c r="O152" i="21" s="1"/>
  <c r="K152" i="20" s="1"/>
  <c r="DT31" i="2"/>
  <c r="DQ27" i="2"/>
  <c r="ED27" i="2" s="1"/>
  <c r="L28" i="21" s="1"/>
  <c r="J28" i="20" s="1"/>
  <c r="DQ67" i="2"/>
  <c r="ED67" i="2" s="1"/>
  <c r="L68" i="21" s="1"/>
  <c r="DQ6" i="2"/>
  <c r="ED6" i="2" s="1"/>
  <c r="L7" i="21" s="1"/>
  <c r="J7" i="20" s="1"/>
  <c r="DT67" i="2"/>
  <c r="EE67" i="2" s="1"/>
  <c r="O68" i="21" s="1"/>
  <c r="K68" i="20" s="1"/>
  <c r="DQ99" i="2"/>
  <c r="ED99" i="2" s="1"/>
  <c r="L100" i="21" s="1"/>
  <c r="DQ7" i="2"/>
  <c r="DQ90" i="2"/>
  <c r="ED90" i="2" s="1"/>
  <c r="L91" i="21" s="1"/>
  <c r="J91" i="20" s="1"/>
  <c r="DQ37" i="2"/>
  <c r="ED37" i="2" s="1"/>
  <c r="L38" i="21" s="1"/>
  <c r="J38" i="20" s="1"/>
  <c r="DT84" i="2"/>
  <c r="EE84" i="2" s="1"/>
  <c r="O85" i="21" s="1"/>
  <c r="K85" i="20" s="1"/>
  <c r="DT36" i="2"/>
  <c r="EE36" i="2" s="1"/>
  <c r="O37" i="21" s="1"/>
  <c r="K37" i="20" s="1"/>
  <c r="DT111" i="2"/>
  <c r="DQ148" i="2"/>
  <c r="ED148" i="2" s="1"/>
  <c r="L150" i="21" s="1"/>
  <c r="J150" i="20" s="1"/>
  <c r="DT116" i="2"/>
  <c r="EE116" i="2" s="1"/>
  <c r="O117" i="21" s="1"/>
  <c r="K117" i="20" s="1"/>
  <c r="DT141" i="2"/>
  <c r="DQ106" i="2"/>
  <c r="ED106" i="2" s="1"/>
  <c r="L107" i="21" s="1"/>
  <c r="J107" i="20" s="1"/>
  <c r="DT86" i="2"/>
  <c r="EE86" i="2" s="1"/>
  <c r="O87" i="21" s="1"/>
  <c r="K87" i="20" s="1"/>
  <c r="DQ13" i="2"/>
  <c r="ED13" i="2" s="1"/>
  <c r="L14" i="21" s="1"/>
  <c r="J14" i="20" s="1"/>
  <c r="DT69" i="2"/>
  <c r="EE69" i="2" s="1"/>
  <c r="O70" i="21" s="1"/>
  <c r="K70" i="20" s="1"/>
  <c r="DT93" i="2"/>
  <c r="EE93" i="2" s="1"/>
  <c r="O94" i="21" s="1"/>
  <c r="K94" i="20" s="1"/>
  <c r="DQ53" i="2"/>
  <c r="ED53" i="2" s="1"/>
  <c r="L54" i="21" s="1"/>
  <c r="DT106" i="2"/>
  <c r="EE106" i="2" s="1"/>
  <c r="O107" i="21" s="1"/>
  <c r="K107" i="20" s="1"/>
  <c r="DQ68" i="2"/>
  <c r="ED68" i="2" s="1"/>
  <c r="L69" i="21" s="1"/>
  <c r="J69" i="20" s="1"/>
  <c r="DQ95" i="2"/>
  <c r="DT10" i="2"/>
  <c r="EE10" i="2" s="1"/>
  <c r="O11" i="21" s="1"/>
  <c r="DQ69" i="2"/>
  <c r="ED69" i="2" s="1"/>
  <c r="L70" i="21" s="1"/>
  <c r="J70" i="20" s="1"/>
  <c r="DQ94" i="2"/>
  <c r="ED94" i="2" s="1"/>
  <c r="L95" i="21" s="1"/>
  <c r="J95" i="20" s="1"/>
  <c r="DT7" i="2"/>
  <c r="DT8" i="2"/>
  <c r="EE8" i="2" s="1"/>
  <c r="O9" i="21" s="1"/>
  <c r="K9" i="20" s="1"/>
  <c r="DQ29" i="2"/>
  <c r="ED29" i="2" s="1"/>
  <c r="L30" i="21" s="1"/>
  <c r="J30" i="20" s="1"/>
  <c r="DQ30" i="2"/>
  <c r="ED30" i="2" s="1"/>
  <c r="L31" i="21" s="1"/>
  <c r="J31" i="20" s="1"/>
  <c r="DT118" i="2"/>
  <c r="EE118" i="2" s="1"/>
  <c r="O119" i="21" s="1"/>
  <c r="K119" i="20" s="1"/>
  <c r="DT122" i="2"/>
  <c r="EE122" i="2" s="1"/>
  <c r="O123" i="21" s="1"/>
  <c r="DT9" i="2"/>
  <c r="DQ57" i="2"/>
  <c r="ED57" i="2" s="1"/>
  <c r="L58" i="21" s="1"/>
  <c r="J58" i="20" s="1"/>
  <c r="DT59" i="2"/>
  <c r="EE59" i="2" s="1"/>
  <c r="O60" i="21" s="1"/>
  <c r="K60" i="20" s="1"/>
  <c r="DT62" i="2"/>
  <c r="DQ96" i="2"/>
  <c r="ED96" i="2" s="1"/>
  <c r="L97" i="21" s="1"/>
  <c r="J97" i="20" s="1"/>
  <c r="DT35" i="2"/>
  <c r="EE35" i="2" s="1"/>
  <c r="O36" i="21" s="1"/>
  <c r="K36" i="20" s="1"/>
  <c r="DT20" i="2"/>
  <c r="EE20" i="2" s="1"/>
  <c r="O21" i="21" s="1"/>
  <c r="K21" i="20" s="1"/>
  <c r="DT89" i="2"/>
  <c r="EE89" i="2" s="1"/>
  <c r="O90" i="21" s="1"/>
  <c r="K90" i="20" s="1"/>
  <c r="DT11" i="2"/>
  <c r="EE11" i="2" s="1"/>
  <c r="O12" i="21" s="1"/>
  <c r="K12" i="20" s="1"/>
  <c r="DT78" i="2"/>
  <c r="EE78" i="2" s="1"/>
  <c r="O79" i="21" s="1"/>
  <c r="K79" i="20" s="1"/>
  <c r="DQ58" i="2"/>
  <c r="ED58" i="2" s="1"/>
  <c r="L59" i="21" s="1"/>
  <c r="J59" i="20" s="1"/>
  <c r="DQ132" i="2"/>
  <c r="ED132" i="2" s="1"/>
  <c r="L133" i="21" s="1"/>
  <c r="J133" i="20" s="1"/>
  <c r="DT96" i="2"/>
  <c r="EE96" i="2" s="1"/>
  <c r="O97" i="21" s="1"/>
  <c r="K97" i="20" s="1"/>
  <c r="DT23" i="2"/>
  <c r="EE23" i="2" s="1"/>
  <c r="O24" i="21" s="1"/>
  <c r="K24" i="20" s="1"/>
  <c r="DT38" i="2"/>
  <c r="EE38" i="2" s="1"/>
  <c r="O39" i="21" s="1"/>
  <c r="K39" i="20" s="1"/>
  <c r="DQ112" i="2"/>
  <c r="DQ10" i="2"/>
  <c r="ED10" i="2" s="1"/>
  <c r="L11" i="21" s="1"/>
  <c r="DT136" i="2"/>
  <c r="EE136" i="2" s="1"/>
  <c r="O138" i="21" s="1"/>
  <c r="K138" i="20" s="1"/>
  <c r="DT6" i="2"/>
  <c r="EE6" i="2" s="1"/>
  <c r="O7" i="21" s="1"/>
  <c r="K7" i="20" s="1"/>
  <c r="DT121" i="2"/>
  <c r="DT39" i="2"/>
  <c r="EE39" i="2" s="1"/>
  <c r="O40" i="21" s="1"/>
  <c r="K40" i="20" s="1"/>
  <c r="DQ26" i="2"/>
  <c r="ED26" i="2" s="1"/>
  <c r="L27" i="21" s="1"/>
  <c r="J27" i="20" s="1"/>
  <c r="DQ111" i="2"/>
  <c r="DT70" i="2"/>
  <c r="EE70" i="2" s="1"/>
  <c r="O71" i="21" s="1"/>
  <c r="K71" i="20" s="1"/>
  <c r="DQ133" i="2"/>
  <c r="ED133" i="2" s="1"/>
  <c r="L134" i="21" s="1"/>
  <c r="DT139" i="2"/>
  <c r="EE139" i="2" s="1"/>
  <c r="O141" i="21" s="1"/>
  <c r="K141" i="20" s="1"/>
  <c r="DQ16" i="2"/>
  <c r="ED16" i="2" s="1"/>
  <c r="L17" i="21" s="1"/>
  <c r="J17" i="20" s="1"/>
  <c r="DT19" i="2"/>
  <c r="EE19" i="2" s="1"/>
  <c r="O20" i="21" s="1"/>
  <c r="K20" i="20" s="1"/>
  <c r="DT4" i="2"/>
  <c r="DT61" i="2"/>
  <c r="DT130" i="2"/>
  <c r="EE130" i="2" s="1"/>
  <c r="O131" i="21" s="1"/>
  <c r="K131" i="20" s="1"/>
  <c r="DT3" i="2"/>
  <c r="DQ124" i="2"/>
  <c r="ED124" i="2" s="1"/>
  <c r="L125" i="21" s="1"/>
  <c r="J125" i="20" s="1"/>
  <c r="DT71" i="2"/>
  <c r="EE71" i="2" s="1"/>
  <c r="O72" i="21" s="1"/>
  <c r="K72" i="20" s="1"/>
  <c r="DT90" i="2"/>
  <c r="EE90" i="2" s="1"/>
  <c r="O91" i="21" s="1"/>
  <c r="K91" i="20" s="1"/>
  <c r="DQ23" i="2"/>
  <c r="ED23" i="2" s="1"/>
  <c r="L24" i="21" s="1"/>
  <c r="J24" i="20" s="1"/>
  <c r="DQ119" i="2"/>
  <c r="DT206" i="2"/>
  <c r="EE206" i="2" s="1"/>
  <c r="O219" i="21" s="1"/>
  <c r="DQ113" i="2"/>
  <c r="DT110" i="2"/>
  <c r="EE110" i="2" s="1"/>
  <c r="O111" i="21" s="1"/>
  <c r="K111" i="20" s="1"/>
  <c r="DT137" i="2"/>
  <c r="EE137" i="2" s="1"/>
  <c r="O139" i="21" s="1"/>
  <c r="K139" i="20" s="1"/>
  <c r="DQ82" i="2"/>
  <c r="ED82" i="2" s="1"/>
  <c r="L83" i="21" s="1"/>
  <c r="J83" i="20" s="1"/>
  <c r="DT28" i="2"/>
  <c r="EE28" i="2" s="1"/>
  <c r="O29" i="21" s="1"/>
  <c r="DT97" i="2"/>
  <c r="EE97" i="2" s="1"/>
  <c r="O98" i="21" s="1"/>
  <c r="K98" i="20" s="1"/>
  <c r="DT204" i="2"/>
  <c r="EE204" i="2" s="1"/>
  <c r="O216" i="21" s="1"/>
  <c r="DT57" i="2"/>
  <c r="EE57" i="2" s="1"/>
  <c r="O58" i="21" s="1"/>
  <c r="K58" i="20" s="1"/>
  <c r="DQ85" i="2"/>
  <c r="DT178" i="2"/>
  <c r="EE178" i="2" s="1"/>
  <c r="O180" i="21" s="1"/>
  <c r="K180" i="20" s="1"/>
  <c r="DT167" i="2"/>
  <c r="DT33" i="2"/>
  <c r="EE33" i="2" s="1"/>
  <c r="O34" i="21" s="1"/>
  <c r="DT105" i="2"/>
  <c r="EE105" i="2" s="1"/>
  <c r="O106" i="21" s="1"/>
  <c r="K106" i="20" s="1"/>
  <c r="DQ183" i="2"/>
  <c r="ED183" i="2" s="1"/>
  <c r="L185" i="21" s="1"/>
  <c r="J185" i="20" s="1"/>
  <c r="DT210" i="2"/>
  <c r="EE210" i="2" s="1"/>
  <c r="O223" i="21" s="1"/>
  <c r="K223" i="20" s="1"/>
  <c r="DQ211" i="2"/>
  <c r="ED211" i="2" s="1"/>
  <c r="L224" i="21" s="1"/>
  <c r="DQ212" i="2"/>
  <c r="ED212" i="2" s="1"/>
  <c r="L226" i="21" s="1"/>
  <c r="DT140" i="2"/>
  <c r="DQ73" i="2"/>
  <c r="ED73" i="2" s="1"/>
  <c r="L74" i="21" s="1"/>
  <c r="DQ91" i="2"/>
  <c r="ED91" i="2" s="1"/>
  <c r="L92" i="21" s="1"/>
  <c r="J92" i="20" s="1"/>
  <c r="DT128" i="2"/>
  <c r="EE128" i="2" s="1"/>
  <c r="O129" i="21" s="1"/>
  <c r="K129" i="20" s="1"/>
  <c r="DT211" i="2"/>
  <c r="EE211" i="2" s="1"/>
  <c r="O224" i="21" s="1"/>
  <c r="DT209" i="2"/>
  <c r="EE209" i="2" s="1"/>
  <c r="O222" i="21" s="1"/>
  <c r="DQ192" i="2"/>
  <c r="DQ209" i="2"/>
  <c r="ED209" i="2" s="1"/>
  <c r="L222" i="21" s="1"/>
  <c r="DT18" i="2"/>
  <c r="EE18" i="2" s="1"/>
  <c r="O19" i="21" s="1"/>
  <c r="K19" i="20" s="1"/>
  <c r="DT113" i="2"/>
  <c r="DQ92" i="2"/>
  <c r="ED92" i="2" s="1"/>
  <c r="L93" i="21" s="1"/>
  <c r="J93" i="20" s="1"/>
  <c r="DQ54" i="2"/>
  <c r="ED54" i="2" s="1"/>
  <c r="L55" i="21" s="1"/>
  <c r="J55" i="20" s="1"/>
  <c r="DQ105" i="2"/>
  <c r="ED105" i="2" s="1"/>
  <c r="L106" i="21" s="1"/>
  <c r="J106" i="20" s="1"/>
  <c r="DT131" i="2"/>
  <c r="DQ150" i="2"/>
  <c r="ED150" i="2" s="1"/>
  <c r="L152" i="21" s="1"/>
  <c r="J152" i="20" s="1"/>
  <c r="DT77" i="2"/>
  <c r="EE77" i="2" s="1"/>
  <c r="O78" i="21" s="1"/>
  <c r="K78" i="20" s="1"/>
  <c r="DT73" i="2"/>
  <c r="EE73" i="2" s="1"/>
  <c r="O74" i="21" s="1"/>
  <c r="K74" i="20" s="1"/>
  <c r="DQ210" i="2"/>
  <c r="ED210" i="2" s="1"/>
  <c r="L223" i="21" s="1"/>
  <c r="J223" i="20" s="1"/>
  <c r="DT155" i="2"/>
  <c r="EE155" i="2" s="1"/>
  <c r="O157" i="21" s="1"/>
  <c r="K157" i="20" s="1"/>
  <c r="DT190" i="2"/>
  <c r="DT34" i="2"/>
  <c r="EE34" i="2" s="1"/>
  <c r="O35" i="21" s="1"/>
  <c r="DT99" i="2"/>
  <c r="EE99" i="2" s="1"/>
  <c r="O100" i="21" s="1"/>
  <c r="DQ117" i="2"/>
  <c r="ED117" i="2" s="1"/>
  <c r="L118" i="21" s="1"/>
  <c r="J118" i="20" s="1"/>
  <c r="DT51" i="2"/>
  <c r="EE51" i="2" s="1"/>
  <c r="O52" i="21" s="1"/>
  <c r="K52" i="20" s="1"/>
  <c r="DT117" i="2"/>
  <c r="EE117" i="2" s="1"/>
  <c r="O118" i="21" s="1"/>
  <c r="K118" i="20" s="1"/>
  <c r="DQ125" i="2"/>
  <c r="DQ109" i="2"/>
  <c r="DQ131" i="2"/>
  <c r="DT183" i="2"/>
  <c r="EE183" i="2" s="1"/>
  <c r="O185" i="21" s="1"/>
  <c r="K185" i="20" s="1"/>
  <c r="DQ93" i="2"/>
  <c r="ED93" i="2" s="1"/>
  <c r="L94" i="21" s="1"/>
  <c r="J94" i="20" s="1"/>
  <c r="DQ142" i="2"/>
  <c r="DQ197" i="2"/>
  <c r="ED197" i="2" s="1"/>
  <c r="L199" i="21" s="1"/>
  <c r="J199" i="20" s="1"/>
  <c r="DQ205" i="2"/>
  <c r="ED205" i="2" s="1"/>
  <c r="L217" i="21" s="1"/>
  <c r="J217" i="20" s="1"/>
  <c r="DT50" i="2"/>
  <c r="EE50" i="2" s="1"/>
  <c r="O51" i="21" s="1"/>
  <c r="K51" i="20" s="1"/>
  <c r="DQ130" i="2"/>
  <c r="ED130" i="2" s="1"/>
  <c r="L131" i="21" s="1"/>
  <c r="J131" i="20" s="1"/>
  <c r="DQ60" i="2"/>
  <c r="ED60" i="2" s="1"/>
  <c r="L61" i="21" s="1"/>
  <c r="J61" i="20" s="1"/>
  <c r="DT149" i="2"/>
  <c r="EE149" i="2" s="1"/>
  <c r="O151" i="21" s="1"/>
  <c r="K151" i="20" s="1"/>
  <c r="DQ145" i="2"/>
  <c r="ED145" i="2" s="1"/>
  <c r="L147" i="21" s="1"/>
  <c r="J147" i="20" s="1"/>
  <c r="DQ81" i="2"/>
  <c r="ED81" i="2" s="1"/>
  <c r="L82" i="21" s="1"/>
  <c r="J82" i="20" s="1"/>
  <c r="DT123" i="2"/>
  <c r="EE123" i="2" s="1"/>
  <c r="O124" i="21" s="1"/>
  <c r="K124" i="20" s="1"/>
  <c r="DQ141" i="2"/>
  <c r="DQ185" i="2"/>
  <c r="DQ61" i="2"/>
  <c r="DQ155" i="2"/>
  <c r="ED155" i="2" s="1"/>
  <c r="L157" i="21" s="1"/>
  <c r="J157" i="20" s="1"/>
  <c r="DQ100" i="2"/>
  <c r="ED100" i="2" s="1"/>
  <c r="L101" i="21" s="1"/>
  <c r="J101" i="20" s="1"/>
  <c r="DQ35" i="2"/>
  <c r="ED35" i="2" s="1"/>
  <c r="L36" i="21" s="1"/>
  <c r="J36" i="20" s="1"/>
  <c r="DQ52" i="2"/>
  <c r="ED52" i="2" s="1"/>
  <c r="L53" i="21" s="1"/>
  <c r="J53" i="20" s="1"/>
  <c r="DT82" i="2"/>
  <c r="EE82" i="2" s="1"/>
  <c r="O83" i="21" s="1"/>
  <c r="K83" i="20" s="1"/>
  <c r="DT24" i="2"/>
  <c r="EE24" i="2" s="1"/>
  <c r="O25" i="21" s="1"/>
  <c r="K25" i="20" s="1"/>
  <c r="DT65" i="2"/>
  <c r="EE65" i="2" s="1"/>
  <c r="O66" i="21" s="1"/>
  <c r="K66" i="20" s="1"/>
  <c r="DT104" i="2"/>
  <c r="EE104" i="2" s="1"/>
  <c r="O105" i="21" s="1"/>
  <c r="DQ143" i="2"/>
  <c r="ED143" i="2" s="1"/>
  <c r="L145" i="21" s="1"/>
  <c r="J145" i="20" s="1"/>
  <c r="DT134" i="2"/>
  <c r="EE134" i="2" s="1"/>
  <c r="O136" i="21" s="1"/>
  <c r="K136" i="20" s="1"/>
  <c r="DT91" i="2"/>
  <c r="EE91" i="2" s="1"/>
  <c r="O92" i="21" s="1"/>
  <c r="K92" i="20" s="1"/>
  <c r="DT74" i="2"/>
  <c r="EE74" i="2" s="1"/>
  <c r="O75" i="21" s="1"/>
  <c r="K75" i="20" s="1"/>
  <c r="DT205" i="2"/>
  <c r="EE205" i="2" s="1"/>
  <c r="O217" i="21" s="1"/>
  <c r="K217" i="20" s="1"/>
  <c r="DQ204" i="2"/>
  <c r="ED204" i="2" s="1"/>
  <c r="L216" i="21" s="1"/>
  <c r="J216" i="20" s="1"/>
  <c r="DQ51" i="2"/>
  <c r="ED51" i="2" s="1"/>
  <c r="L52" i="21" s="1"/>
  <c r="J52" i="20" s="1"/>
  <c r="DT42" i="2"/>
  <c r="EE42" i="2" s="1"/>
  <c r="O43" i="21" s="1"/>
  <c r="K43" i="20" s="1"/>
  <c r="DT53" i="2"/>
  <c r="EE53" i="2" s="1"/>
  <c r="O54" i="21" s="1"/>
  <c r="K54" i="20" s="1"/>
  <c r="DT52" i="2"/>
  <c r="EE52" i="2" s="1"/>
  <c r="O53" i="21" s="1"/>
  <c r="K53" i="20" s="1"/>
  <c r="DQ97" i="2"/>
  <c r="ED97" i="2" s="1"/>
  <c r="L98" i="21" s="1"/>
  <c r="DQ129" i="2"/>
  <c r="ED129" i="2" s="1"/>
  <c r="L130" i="21" s="1"/>
  <c r="DT92" i="2"/>
  <c r="EE92" i="2" s="1"/>
  <c r="O93" i="21" s="1"/>
  <c r="K93" i="20" s="1"/>
  <c r="DQ78" i="2"/>
  <c r="ED78" i="2" s="1"/>
  <c r="L79" i="21" s="1"/>
  <c r="J79" i="20" s="1"/>
  <c r="DQ118" i="2"/>
  <c r="ED118" i="2" s="1"/>
  <c r="L119" i="21" s="1"/>
  <c r="J119" i="20" s="1"/>
  <c r="DQ138" i="2"/>
  <c r="ED138" i="2" s="1"/>
  <c r="L140" i="21" s="1"/>
  <c r="J140" i="20" s="1"/>
  <c r="DT197" i="2"/>
  <c r="EE197" i="2" s="1"/>
  <c r="O199" i="21" s="1"/>
  <c r="K199" i="20" s="1"/>
  <c r="DT192" i="2"/>
  <c r="DT201" i="2"/>
  <c r="EE201" i="2" s="1"/>
  <c r="O203" i="21" s="1"/>
  <c r="K203" i="20" s="1"/>
  <c r="DY211" i="2"/>
  <c r="EF211" i="2" s="1"/>
  <c r="R224" i="21" s="1"/>
  <c r="DT114" i="2"/>
  <c r="EE114" i="2" s="1"/>
  <c r="O115" i="21" s="1"/>
  <c r="K115" i="20" s="1"/>
  <c r="DT188" i="2"/>
  <c r="EE188" i="2" s="1"/>
  <c r="O190" i="21" s="1"/>
  <c r="K190" i="20" s="1"/>
  <c r="DQ151" i="2"/>
  <c r="DY34" i="2"/>
  <c r="EF34" i="2" s="1"/>
  <c r="R35" i="21" s="1"/>
  <c r="DT109" i="2"/>
  <c r="DQ77" i="2"/>
  <c r="ED77" i="2" s="1"/>
  <c r="L78" i="21" s="1"/>
  <c r="J78" i="20" s="1"/>
  <c r="DQ115" i="2"/>
  <c r="ED115" i="2" s="1"/>
  <c r="L116" i="21" s="1"/>
  <c r="J116" i="20" s="1"/>
  <c r="DQ64" i="2"/>
  <c r="ED64" i="2" s="1"/>
  <c r="L65" i="21" s="1"/>
  <c r="J65" i="20" s="1"/>
  <c r="DQ103" i="2"/>
  <c r="ED103" i="2" s="1"/>
  <c r="L104" i="21" s="1"/>
  <c r="J104" i="20" s="1"/>
  <c r="DQ116" i="2"/>
  <c r="ED116" i="2" s="1"/>
  <c r="L117" i="21" s="1"/>
  <c r="J117" i="20" s="1"/>
  <c r="DT13" i="2"/>
  <c r="EE13" i="2" s="1"/>
  <c r="O14" i="21" s="1"/>
  <c r="DY139" i="2"/>
  <c r="EF139" i="2" s="1"/>
  <c r="R141" i="21" s="1"/>
  <c r="L141" i="20" s="1"/>
  <c r="DY130" i="2"/>
  <c r="EF130" i="2" s="1"/>
  <c r="R131" i="21" s="1"/>
  <c r="DY178" i="2"/>
  <c r="EF178" i="2" s="1"/>
  <c r="R180" i="21" s="1"/>
  <c r="L180" i="20" s="1"/>
  <c r="DQ38" i="2"/>
  <c r="ED38" i="2" s="1"/>
  <c r="L39" i="21" s="1"/>
  <c r="J39" i="20" s="1"/>
  <c r="DT212" i="2"/>
  <c r="EE212" i="2" s="1"/>
  <c r="O226" i="21" s="1"/>
  <c r="DY38" i="2"/>
  <c r="EF38" i="2" s="1"/>
  <c r="R39" i="21" s="1"/>
  <c r="L39" i="20" s="1"/>
  <c r="DT49" i="2"/>
  <c r="EE49" i="2" s="1"/>
  <c r="O50" i="21" s="1"/>
  <c r="K50" i="20" s="1"/>
  <c r="DQ200" i="2"/>
  <c r="ED200" i="2" s="1"/>
  <c r="L202" i="21" s="1"/>
  <c r="J202" i="20" s="1"/>
  <c r="DQ128" i="2"/>
  <c r="ED128" i="2" s="1"/>
  <c r="L129" i="21" s="1"/>
  <c r="J129" i="20" s="1"/>
  <c r="DY109" i="2"/>
  <c r="DY124" i="2"/>
  <c r="EF124" i="2" s="1"/>
  <c r="R125" i="21" s="1"/>
  <c r="L125" i="20" s="1"/>
  <c r="DQ137" i="2"/>
  <c r="ED137" i="2" s="1"/>
  <c r="L139" i="21" s="1"/>
  <c r="J139" i="20" s="1"/>
  <c r="DQ102" i="2"/>
  <c r="ED102" i="2" s="1"/>
  <c r="L103" i="21" s="1"/>
  <c r="DQ127" i="2"/>
  <c r="ED127" i="2" s="1"/>
  <c r="L128" i="21" s="1"/>
  <c r="J128" i="20" s="1"/>
  <c r="DQ134" i="2"/>
  <c r="ED134" i="2" s="1"/>
  <c r="L136" i="21" s="1"/>
  <c r="J136" i="20" s="1"/>
  <c r="DY200" i="2"/>
  <c r="EF200" i="2" s="1"/>
  <c r="R202" i="21" s="1"/>
  <c r="L202" i="20" s="1"/>
  <c r="DY188" i="2"/>
  <c r="EF188" i="2" s="1"/>
  <c r="R190" i="21" s="1"/>
  <c r="L190" i="20" s="1"/>
  <c r="DQ136" i="2"/>
  <c r="ED136" i="2" s="1"/>
  <c r="L138" i="21" s="1"/>
  <c r="DQ75" i="2"/>
  <c r="ED75" i="2" s="1"/>
  <c r="L76" i="21" s="1"/>
  <c r="J76" i="20" s="1"/>
  <c r="DT76" i="2"/>
  <c r="EE76" i="2" s="1"/>
  <c r="O77" i="21" s="1"/>
  <c r="K77" i="20" s="1"/>
  <c r="DT151" i="2"/>
  <c r="DT152" i="2"/>
  <c r="EE152" i="2" s="1"/>
  <c r="O154" i="21" s="1"/>
  <c r="DY147" i="2"/>
  <c r="DT200" i="2"/>
  <c r="EE200" i="2" s="1"/>
  <c r="O202" i="21" s="1"/>
  <c r="K202" i="20" s="1"/>
  <c r="DQ178" i="2"/>
  <c r="ED178" i="2" s="1"/>
  <c r="L180" i="21" s="1"/>
  <c r="J180" i="20" s="1"/>
  <c r="DT145" i="2"/>
  <c r="EE145" i="2" s="1"/>
  <c r="O147" i="21" s="1"/>
  <c r="DY75" i="2"/>
  <c r="EF75" i="2" s="1"/>
  <c r="R76" i="21" s="1"/>
  <c r="L76" i="20" s="1"/>
  <c r="DY110" i="2"/>
  <c r="EF110" i="2" s="1"/>
  <c r="R111" i="21" s="1"/>
  <c r="L111" i="20" s="1"/>
  <c r="DT30" i="2"/>
  <c r="EE30" i="2" s="1"/>
  <c r="O31" i="21" s="1"/>
  <c r="K31" i="20" s="1"/>
  <c r="DY113" i="2"/>
  <c r="DT41" i="2"/>
  <c r="EE41" i="2" s="1"/>
  <c r="O42" i="21" s="1"/>
  <c r="K42" i="20" s="1"/>
  <c r="DQ88" i="2"/>
  <c r="ED88" i="2" s="1"/>
  <c r="L89" i="21" s="1"/>
  <c r="J89" i="20" s="1"/>
  <c r="DT175" i="2"/>
  <c r="DY210" i="2"/>
  <c r="EF210" i="2" s="1"/>
  <c r="R223" i="21" s="1"/>
  <c r="DY201" i="2"/>
  <c r="EF201" i="2" s="1"/>
  <c r="R203" i="21" s="1"/>
  <c r="L203" i="20" s="1"/>
  <c r="DY152" i="2"/>
  <c r="EF152" i="2" s="1"/>
  <c r="R154" i="21" s="1"/>
  <c r="DY86" i="2"/>
  <c r="EF86" i="2" s="1"/>
  <c r="R87" i="21" s="1"/>
  <c r="L87" i="20" s="1"/>
  <c r="DT119" i="2"/>
  <c r="DT199" i="2"/>
  <c r="DY84" i="2"/>
  <c r="EF84" i="2" s="1"/>
  <c r="R85" i="21" s="1"/>
  <c r="DQ8" i="2"/>
  <c r="ED8" i="2" s="1"/>
  <c r="L9" i="21" s="1"/>
  <c r="J9" i="20" s="1"/>
  <c r="DT88" i="2"/>
  <c r="EE88" i="2" s="1"/>
  <c r="O89" i="21" s="1"/>
  <c r="K89" i="20" s="1"/>
  <c r="DT98" i="2"/>
  <c r="DQ65" i="2"/>
  <c r="ED65" i="2" s="1"/>
  <c r="L66" i="21" s="1"/>
  <c r="J66" i="20" s="1"/>
  <c r="DT102" i="2"/>
  <c r="EE102" i="2" s="1"/>
  <c r="O103" i="21" s="1"/>
  <c r="DQ201" i="2"/>
  <c r="ED201" i="2" s="1"/>
  <c r="L203" i="21" s="1"/>
  <c r="J203" i="20" s="1"/>
  <c r="DY164" i="2"/>
  <c r="EF164" i="2" s="1"/>
  <c r="R166" i="21" s="1"/>
  <c r="L166" i="20" s="1"/>
  <c r="DQ206" i="2"/>
  <c r="ED206" i="2" s="1"/>
  <c r="L219" i="21" s="1"/>
  <c r="DY16" i="2"/>
  <c r="EF16" i="2" s="1"/>
  <c r="R17" i="21" s="1"/>
  <c r="L17" i="20" s="1"/>
  <c r="DT107" i="2"/>
  <c r="DT103" i="2"/>
  <c r="EE103" i="2" s="1"/>
  <c r="O104" i="21" s="1"/>
  <c r="K104" i="20" s="1"/>
  <c r="DQ63" i="2"/>
  <c r="ED63" i="2" s="1"/>
  <c r="L64" i="21" s="1"/>
  <c r="J64" i="20" s="1"/>
  <c r="DT147" i="2"/>
  <c r="DY115" i="2"/>
  <c r="EF115" i="2" s="1"/>
  <c r="R116" i="21" s="1"/>
  <c r="L116" i="20" s="1"/>
  <c r="DQ49" i="2"/>
  <c r="ED49" i="2" s="1"/>
  <c r="L50" i="21" s="1"/>
  <c r="J50" i="20" s="1"/>
  <c r="DY21" i="2"/>
  <c r="EF21" i="2" s="1"/>
  <c r="R22" i="21" s="1"/>
  <c r="L22" i="20" s="1"/>
  <c r="DY27" i="2"/>
  <c r="EF27" i="2" s="1"/>
  <c r="R28" i="21" s="1"/>
  <c r="L28" i="20" s="1"/>
  <c r="DY137" i="2"/>
  <c r="EF137" i="2" s="1"/>
  <c r="R139" i="21" s="1"/>
  <c r="L139" i="20" s="1"/>
  <c r="DT87" i="2"/>
  <c r="EE87" i="2" s="1"/>
  <c r="O88" i="21" s="1"/>
  <c r="K88" i="20" s="1"/>
  <c r="DQ149" i="2"/>
  <c r="ED149" i="2" s="1"/>
  <c r="L151" i="21" s="1"/>
  <c r="J151" i="20" s="1"/>
  <c r="DT5" i="2"/>
  <c r="DT16" i="2"/>
  <c r="EE16" i="2" s="1"/>
  <c r="O17" i="21" s="1"/>
  <c r="K17" i="20" s="1"/>
  <c r="DQ9" i="2"/>
  <c r="DQ41" i="2"/>
  <c r="ED41" i="2" s="1"/>
  <c r="L42" i="21" s="1"/>
  <c r="J42" i="20" s="1"/>
  <c r="DT164" i="2"/>
  <c r="EE164" i="2" s="1"/>
  <c r="O166" i="21" s="1"/>
  <c r="K166" i="20" s="1"/>
  <c r="DT132" i="2"/>
  <c r="EE132" i="2" s="1"/>
  <c r="O133" i="21" s="1"/>
  <c r="K133" i="20" s="1"/>
  <c r="DQ21" i="2"/>
  <c r="ED21" i="2" s="1"/>
  <c r="L22" i="21" s="1"/>
  <c r="DY71" i="2"/>
  <c r="EF71" i="2" s="1"/>
  <c r="R72" i="21" s="1"/>
  <c r="L72" i="20" s="1"/>
  <c r="DY114" i="2"/>
  <c r="EF114" i="2" s="1"/>
  <c r="R115" i="21" s="1"/>
  <c r="L115" i="20" s="1"/>
  <c r="DY14" i="2"/>
  <c r="EF14" i="2" s="1"/>
  <c r="R15" i="21" s="1"/>
  <c r="L15" i="20" s="1"/>
  <c r="DY96" i="2"/>
  <c r="EF96" i="2" s="1"/>
  <c r="R97" i="21" s="1"/>
  <c r="DY22" i="2"/>
  <c r="EF22" i="2" s="1"/>
  <c r="R23" i="21" s="1"/>
  <c r="L23" i="20" s="1"/>
  <c r="DT63" i="2"/>
  <c r="EE63" i="2" s="1"/>
  <c r="O64" i="21" s="1"/>
  <c r="DY35" i="2"/>
  <c r="EF35" i="2" s="1"/>
  <c r="R36" i="21" s="1"/>
  <c r="L36" i="20" s="1"/>
  <c r="DY24" i="2"/>
  <c r="EF24" i="2" s="1"/>
  <c r="R25" i="21" s="1"/>
  <c r="L25" i="20" s="1"/>
  <c r="DT94" i="2"/>
  <c r="EE94" i="2" s="1"/>
  <c r="O95" i="21" s="1"/>
  <c r="K95" i="20" s="1"/>
  <c r="DQ175" i="2"/>
  <c r="DT60" i="2"/>
  <c r="EE60" i="2" s="1"/>
  <c r="O61" i="21" s="1"/>
  <c r="K61" i="20" s="1"/>
  <c r="DT133" i="2"/>
  <c r="EE133" i="2" s="1"/>
  <c r="O134" i="21" s="1"/>
  <c r="K134" i="20" s="1"/>
  <c r="DY122" i="2"/>
  <c r="EF122" i="2" s="1"/>
  <c r="R123" i="21" s="1"/>
  <c r="L123" i="20" s="1"/>
  <c r="DQ19" i="2"/>
  <c r="ED19" i="2" s="1"/>
  <c r="L20" i="21" s="1"/>
  <c r="J20" i="20" s="1"/>
  <c r="DT22" i="2"/>
  <c r="EE22" i="2" s="1"/>
  <c r="O23" i="21" s="1"/>
  <c r="K23" i="20" s="1"/>
  <c r="DY28" i="2"/>
  <c r="EF28" i="2" s="1"/>
  <c r="R29" i="21" s="1"/>
  <c r="DY150" i="2"/>
  <c r="EF150" i="2" s="1"/>
  <c r="R152" i="21" s="1"/>
  <c r="L152" i="20" s="1"/>
  <c r="DY15" i="2"/>
  <c r="DT27" i="2"/>
  <c r="EE27" i="2" s="1"/>
  <c r="O28" i="21" s="1"/>
  <c r="K28" i="20" s="1"/>
  <c r="DT148" i="2"/>
  <c r="EE148" i="2" s="1"/>
  <c r="O150" i="21" s="1"/>
  <c r="K150" i="20" s="1"/>
  <c r="DQ55" i="2"/>
  <c r="ED55" i="2" s="1"/>
  <c r="L56" i="21" s="1"/>
  <c r="J56" i="20" s="1"/>
  <c r="DQ87" i="2"/>
  <c r="ED87" i="2" s="1"/>
  <c r="L88" i="21" s="1"/>
  <c r="J88" i="20" s="1"/>
  <c r="DT56" i="2"/>
  <c r="EE56" i="2" s="1"/>
  <c r="O57" i="21" s="1"/>
  <c r="DT26" i="2"/>
  <c r="EE26" i="2" s="1"/>
  <c r="O27" i="21" s="1"/>
  <c r="K27" i="20" s="1"/>
  <c r="DY70" i="2"/>
  <c r="EF70" i="2" s="1"/>
  <c r="R71" i="21" s="1"/>
  <c r="DY127" i="2"/>
  <c r="EF127" i="2" s="1"/>
  <c r="R128" i="21" s="1"/>
  <c r="L128" i="20" s="1"/>
  <c r="DY197" i="2"/>
  <c r="EF197" i="2" s="1"/>
  <c r="R199" i="21" s="1"/>
  <c r="L199" i="20" s="1"/>
  <c r="DY57" i="2"/>
  <c r="EF57" i="2" s="1"/>
  <c r="R58" i="21" s="1"/>
  <c r="L58" i="20" s="1"/>
  <c r="DY183" i="2"/>
  <c r="EF183" i="2" s="1"/>
  <c r="R185" i="21" s="1"/>
  <c r="L185" i="20" s="1"/>
  <c r="DT37" i="2"/>
  <c r="EE37" i="2" s="1"/>
  <c r="O38" i="21" s="1"/>
  <c r="K38" i="20" s="1"/>
  <c r="DT68" i="2"/>
  <c r="EE68" i="2" s="1"/>
  <c r="O69" i="21" s="1"/>
  <c r="K69" i="20" s="1"/>
  <c r="DQ164" i="2"/>
  <c r="ED164" i="2" s="1"/>
  <c r="L166" i="21" s="1"/>
  <c r="J166" i="20" s="1"/>
  <c r="DY100" i="2"/>
  <c r="EF100" i="2" s="1"/>
  <c r="R101" i="21" s="1"/>
  <c r="L101" i="20" s="1"/>
  <c r="DQ188" i="2"/>
  <c r="ED188" i="2" s="1"/>
  <c r="L190" i="21" s="1"/>
  <c r="J190" i="20" s="1"/>
  <c r="DT129" i="2"/>
  <c r="EE129" i="2" s="1"/>
  <c r="O130" i="21" s="1"/>
  <c r="K130" i="20" s="1"/>
  <c r="DY87" i="2"/>
  <c r="EF87" i="2" s="1"/>
  <c r="R88" i="21" s="1"/>
  <c r="DQ152" i="2"/>
  <c r="ED152" i="2" s="1"/>
  <c r="L154" i="21" s="1"/>
  <c r="DY9" i="2"/>
  <c r="DY63" i="2"/>
  <c r="EF63" i="2" s="1"/>
  <c r="R64" i="21" s="1"/>
  <c r="L64" i="20" s="1"/>
  <c r="DY92" i="2"/>
  <c r="EF92" i="2" s="1"/>
  <c r="R93" i="21" s="1"/>
  <c r="L93" i="20" s="1"/>
  <c r="DY204" i="2"/>
  <c r="EF204" i="2" s="1"/>
  <c r="R216" i="21" s="1"/>
  <c r="L216" i="20" s="1"/>
  <c r="DY212" i="2"/>
  <c r="EF212" i="2" s="1"/>
  <c r="R226" i="21" s="1"/>
  <c r="DY41" i="2"/>
  <c r="EF41" i="2" s="1"/>
  <c r="R42" i="21" s="1"/>
  <c r="DQ50" i="2"/>
  <c r="ED50" i="2" s="1"/>
  <c r="L51" i="21" s="1"/>
  <c r="J51" i="20" s="1"/>
  <c r="DY7" i="2"/>
  <c r="DY145" i="2"/>
  <c r="EF145" i="2" s="1"/>
  <c r="R147" i="21" s="1"/>
  <c r="L147" i="20" s="1"/>
  <c r="DQ39" i="2"/>
  <c r="ED39" i="2" s="1"/>
  <c r="L40" i="21" s="1"/>
  <c r="J40" i="20" s="1"/>
  <c r="DT142" i="2"/>
  <c r="DY149" i="2"/>
  <c r="EF149" i="2" s="1"/>
  <c r="R151" i="21" s="1"/>
  <c r="DT64" i="2"/>
  <c r="EE64" i="2" s="1"/>
  <c r="O65" i="21" s="1"/>
  <c r="DQ15" i="2"/>
  <c r="DY50" i="2"/>
  <c r="EF50" i="2" s="1"/>
  <c r="R51" i="21" s="1"/>
  <c r="DY36" i="2"/>
  <c r="EF36" i="2" s="1"/>
  <c r="R37" i="21" s="1"/>
  <c r="L37" i="20" s="1"/>
  <c r="DQ104" i="2"/>
  <c r="ED104" i="2" s="1"/>
  <c r="L105" i="21" s="1"/>
  <c r="DY39" i="2"/>
  <c r="EF39" i="2" s="1"/>
  <c r="R40" i="21" s="1"/>
  <c r="L40" i="20" s="1"/>
  <c r="DY49" i="2"/>
  <c r="EF49" i="2" s="1"/>
  <c r="R50" i="21" s="1"/>
  <c r="L50" i="20" s="1"/>
  <c r="DY138" i="2"/>
  <c r="EF138" i="2" s="1"/>
  <c r="R140" i="21" s="1"/>
  <c r="L140" i="20" s="1"/>
  <c r="DY23" i="2"/>
  <c r="EF23" i="2" s="1"/>
  <c r="R24" i="21" s="1"/>
  <c r="L24" i="20" s="1"/>
  <c r="DY60" i="2"/>
  <c r="EF60" i="2" s="1"/>
  <c r="R61" i="21" s="1"/>
  <c r="L61" i="20" s="1"/>
  <c r="DY206" i="2"/>
  <c r="EF206" i="2" s="1"/>
  <c r="R219" i="21" s="1"/>
  <c r="DY61" i="2"/>
  <c r="DY134" i="2"/>
  <c r="EF134" i="2" s="1"/>
  <c r="R136" i="21" s="1"/>
  <c r="L136" i="20" s="1"/>
  <c r="DY73" i="2"/>
  <c r="EF73" i="2" s="1"/>
  <c r="R74" i="21" s="1"/>
  <c r="L74" i="20" s="1"/>
  <c r="DY148" i="2"/>
  <c r="EF148" i="2" s="1"/>
  <c r="R150" i="21" s="1"/>
  <c r="L150" i="20" s="1"/>
  <c r="DY74" i="2"/>
  <c r="EF74" i="2" s="1"/>
  <c r="R75" i="21" s="1"/>
  <c r="L75" i="20" s="1"/>
  <c r="DY58" i="2"/>
  <c r="EF58" i="2" s="1"/>
  <c r="R59" i="21" s="1"/>
  <c r="L59" i="20" s="1"/>
  <c r="DY81" i="2"/>
  <c r="EF81" i="2" s="1"/>
  <c r="R82" i="21" s="1"/>
  <c r="L82" i="20" s="1"/>
  <c r="DQ76" i="2"/>
  <c r="ED76" i="2" s="1"/>
  <c r="L77" i="21" s="1"/>
  <c r="J77" i="20" s="1"/>
  <c r="DY129" i="2"/>
  <c r="EF129" i="2" s="1"/>
  <c r="R130" i="21" s="1"/>
  <c r="L130" i="20" s="1"/>
  <c r="DQ11" i="2"/>
  <c r="ED11" i="2" s="1"/>
  <c r="L12" i="21" s="1"/>
  <c r="J12" i="20" s="1"/>
  <c r="DQ42" i="2"/>
  <c r="ED42" i="2" s="1"/>
  <c r="L43" i="21" s="1"/>
  <c r="J43" i="20" s="1"/>
  <c r="DT12" i="2"/>
  <c r="EE12" i="2" s="1"/>
  <c r="O13" i="21" s="1"/>
  <c r="K13" i="20" s="1"/>
  <c r="DQ14" i="2"/>
  <c r="ED14" i="2" s="1"/>
  <c r="L15" i="21" s="1"/>
  <c r="J15" i="20" s="1"/>
  <c r="DT21" i="2"/>
  <c r="EE21" i="2" s="1"/>
  <c r="O22" i="21" s="1"/>
  <c r="K22" i="20" s="1"/>
  <c r="DY151" i="2"/>
  <c r="DQ114" i="2"/>
  <c r="ED114" i="2" s="1"/>
  <c r="L115" i="21" s="1"/>
  <c r="J115" i="20" s="1"/>
  <c r="DY205" i="2"/>
  <c r="EF205" i="2" s="1"/>
  <c r="R217" i="21" s="1"/>
  <c r="L217" i="20" s="1"/>
  <c r="DY42" i="2"/>
  <c r="EF42" i="2" s="1"/>
  <c r="R43" i="21" s="1"/>
  <c r="L43" i="20" s="1"/>
  <c r="DY106" i="2"/>
  <c r="EF106" i="2" s="1"/>
  <c r="R107" i="21" s="1"/>
  <c r="L107" i="20" s="1"/>
  <c r="DY143" i="2"/>
  <c r="EF143" i="2" s="1"/>
  <c r="R145" i="21" s="1"/>
  <c r="L145" i="20" s="1"/>
  <c r="DQ33" i="2"/>
  <c r="ED33" i="2" s="1"/>
  <c r="L34" i="21" s="1"/>
  <c r="J34" i="20" s="1"/>
  <c r="DY94" i="2"/>
  <c r="EF94" i="2" s="1"/>
  <c r="R95" i="21" s="1"/>
  <c r="L95" i="20" s="1"/>
  <c r="DT25" i="2"/>
  <c r="EE25" i="2" s="1"/>
  <c r="O26" i="21" s="1"/>
  <c r="K26" i="20" s="1"/>
  <c r="DT127" i="2"/>
  <c r="EE127" i="2" s="1"/>
  <c r="O128" i="21" s="1"/>
  <c r="K128" i="20" s="1"/>
  <c r="DT15" i="2"/>
  <c r="DY112" i="2"/>
  <c r="DT54" i="2"/>
  <c r="EE54" i="2" s="1"/>
  <c r="O55" i="21" s="1"/>
  <c r="K55" i="20" s="1"/>
  <c r="DY13" i="2"/>
  <c r="EF13" i="2" s="1"/>
  <c r="R14" i="21" s="1"/>
  <c r="L14" i="20" s="1"/>
  <c r="DY102" i="2"/>
  <c r="EF102" i="2" s="1"/>
  <c r="R103" i="21" s="1"/>
  <c r="L103" i="20" s="1"/>
  <c r="DQ89" i="2"/>
  <c r="ED89" i="2" s="1"/>
  <c r="L90" i="21" s="1"/>
  <c r="J90" i="20" s="1"/>
  <c r="DT75" i="2"/>
  <c r="EE75" i="2" s="1"/>
  <c r="O76" i="21" s="1"/>
  <c r="K76" i="20" s="1"/>
  <c r="DT115" i="2"/>
  <c r="EE115" i="2" s="1"/>
  <c r="O116" i="21" s="1"/>
  <c r="K116" i="20" s="1"/>
  <c r="DT29" i="2"/>
  <c r="EE29" i="2" s="1"/>
  <c r="O30" i="21" s="1"/>
  <c r="DY12" i="2"/>
  <c r="EF12" i="2" s="1"/>
  <c r="R13" i="21" s="1"/>
  <c r="L13" i="20" s="1"/>
  <c r="DT14" i="2"/>
  <c r="EE14" i="2" s="1"/>
  <c r="O15" i="21" s="1"/>
  <c r="K15" i="20" s="1"/>
  <c r="DY85" i="2"/>
  <c r="DY54" i="2"/>
  <c r="EF54" i="2" s="1"/>
  <c r="R55" i="21" s="1"/>
  <c r="L55" i="20" s="1"/>
  <c r="DY128" i="2"/>
  <c r="EF128" i="2" s="1"/>
  <c r="R129" i="21" s="1"/>
  <c r="L129" i="20" s="1"/>
  <c r="DY59" i="2"/>
  <c r="EF59" i="2" s="1"/>
  <c r="R60" i="21" s="1"/>
  <c r="DY10" i="2"/>
  <c r="EF10" i="2" s="1"/>
  <c r="R11" i="21" s="1"/>
  <c r="DY123" i="2"/>
  <c r="EF123" i="2" s="1"/>
  <c r="R124" i="21" s="1"/>
  <c r="L124" i="20" s="1"/>
  <c r="DY117" i="2"/>
  <c r="EF117" i="2" s="1"/>
  <c r="R118" i="21" s="1"/>
  <c r="DY116" i="2"/>
  <c r="EF116" i="2" s="1"/>
  <c r="R117" i="21" s="1"/>
  <c r="L117" i="20" s="1"/>
  <c r="DY77" i="2"/>
  <c r="EF77" i="2" s="1"/>
  <c r="R78" i="21" s="1"/>
  <c r="L78" i="20" s="1"/>
  <c r="DY133" i="2"/>
  <c r="EF133" i="2" s="1"/>
  <c r="R134" i="21" s="1"/>
  <c r="L134" i="20" s="1"/>
  <c r="DY99" i="2"/>
  <c r="EF99" i="2" s="1"/>
  <c r="R100" i="21" s="1"/>
  <c r="DY131" i="2"/>
  <c r="DY30" i="2"/>
  <c r="EF30" i="2" s="1"/>
  <c r="R31" i="21" s="1"/>
  <c r="L31" i="20" s="1"/>
  <c r="DY88" i="2"/>
  <c r="EF88" i="2" s="1"/>
  <c r="R89" i="21" s="1"/>
  <c r="L89" i="20" s="1"/>
  <c r="DY105" i="2"/>
  <c r="EF105" i="2" s="1"/>
  <c r="R106" i="21" s="1"/>
  <c r="L106" i="20" s="1"/>
  <c r="DY19" i="2"/>
  <c r="EF19" i="2" s="1"/>
  <c r="R20" i="21" s="1"/>
  <c r="L20" i="20" s="1"/>
  <c r="DY20" i="2"/>
  <c r="EF20" i="2" s="1"/>
  <c r="R21" i="21" s="1"/>
  <c r="L21" i="20" s="1"/>
  <c r="DY26" i="2"/>
  <c r="EF26" i="2" s="1"/>
  <c r="R27" i="21" s="1"/>
  <c r="DY65" i="2"/>
  <c r="EF65" i="2" s="1"/>
  <c r="R66" i="21" s="1"/>
  <c r="L66" i="20" s="1"/>
  <c r="DY104" i="2"/>
  <c r="EF104" i="2" s="1"/>
  <c r="R105" i="21" s="1"/>
  <c r="DY8" i="2"/>
  <c r="EF8" i="2" s="1"/>
  <c r="R9" i="21" s="1"/>
  <c r="L9" i="20" s="1"/>
  <c r="DY51" i="2"/>
  <c r="EF51" i="2" s="1"/>
  <c r="R52" i="21" s="1"/>
  <c r="L52" i="20" s="1"/>
  <c r="DY67" i="2"/>
  <c r="EF67" i="2" s="1"/>
  <c r="R68" i="21" s="1"/>
  <c r="L68" i="20" s="1"/>
  <c r="DY55" i="2"/>
  <c r="EF55" i="2" s="1"/>
  <c r="R56" i="21" s="1"/>
  <c r="L56" i="20" s="1"/>
  <c r="DY192" i="2"/>
  <c r="DY97" i="2"/>
  <c r="EF97" i="2" s="1"/>
  <c r="R98" i="21" s="1"/>
  <c r="L98" i="20" s="1"/>
  <c r="DY56" i="2"/>
  <c r="EF56" i="2" s="1"/>
  <c r="R57" i="21" s="1"/>
  <c r="DY90" i="2"/>
  <c r="EF90" i="2" s="1"/>
  <c r="R91" i="21" s="1"/>
  <c r="DY25" i="2"/>
  <c r="EF25" i="2" s="1"/>
  <c r="R26" i="21" s="1"/>
  <c r="L26" i="20" s="1"/>
  <c r="DY136" i="2"/>
  <c r="EF136" i="2" s="1"/>
  <c r="R138" i="21" s="1"/>
  <c r="DY68" i="2"/>
  <c r="EF68" i="2" s="1"/>
  <c r="R69" i="21" s="1"/>
  <c r="L69" i="20" s="1"/>
  <c r="DY95" i="2"/>
  <c r="DY91" i="2"/>
  <c r="EF91" i="2" s="1"/>
  <c r="R92" i="21" s="1"/>
  <c r="L92" i="20" s="1"/>
  <c r="DY78" i="2"/>
  <c r="EF78" i="2" s="1"/>
  <c r="R79" i="21" s="1"/>
  <c r="DY209" i="2"/>
  <c r="EF209" i="2" s="1"/>
  <c r="R222" i="21" s="1"/>
  <c r="DY76" i="2"/>
  <c r="EF76" i="2" s="1"/>
  <c r="R77" i="21" s="1"/>
  <c r="L77" i="20" s="1"/>
  <c r="DY18" i="2"/>
  <c r="EF18" i="2" s="1"/>
  <c r="R19" i="21" s="1"/>
  <c r="L19" i="20" s="1"/>
  <c r="DY29" i="2"/>
  <c r="EF29" i="2" s="1"/>
  <c r="R30" i="21" s="1"/>
  <c r="L30" i="20" s="1"/>
  <c r="DY53" i="2"/>
  <c r="EF53" i="2" s="1"/>
  <c r="R54" i="21" s="1"/>
  <c r="L54" i="20" s="1"/>
  <c r="DY155" i="2"/>
  <c r="EF155" i="2" s="1"/>
  <c r="R157" i="21" s="1"/>
  <c r="L157" i="20" s="1"/>
  <c r="DY33" i="2"/>
  <c r="EF33" i="2" s="1"/>
  <c r="R34" i="21" s="1"/>
  <c r="L34" i="20" s="1"/>
  <c r="DY89" i="2"/>
  <c r="EF89" i="2" s="1"/>
  <c r="R90" i="21" s="1"/>
  <c r="L90" i="20" s="1"/>
  <c r="DY11" i="2"/>
  <c r="EF11" i="2" s="1"/>
  <c r="R12" i="21" s="1"/>
  <c r="L12" i="20" s="1"/>
  <c r="DY118" i="2"/>
  <c r="EF118" i="2" s="1"/>
  <c r="R119" i="21" s="1"/>
  <c r="L119" i="20" s="1"/>
  <c r="DY103" i="2"/>
  <c r="EF103" i="2" s="1"/>
  <c r="R104" i="21" s="1"/>
  <c r="L104" i="20" s="1"/>
  <c r="DY52" i="2"/>
  <c r="EF52" i="2" s="1"/>
  <c r="R53" i="21" s="1"/>
  <c r="L53" i="20" s="1"/>
  <c r="DY6" i="2"/>
  <c r="EF6" i="2" s="1"/>
  <c r="R7" i="21" s="1"/>
  <c r="L7" i="20" s="1"/>
  <c r="DY93" i="2"/>
  <c r="EF93" i="2" s="1"/>
  <c r="R94" i="21" s="1"/>
  <c r="L94" i="20" s="1"/>
  <c r="DY69" i="2"/>
  <c r="EF69" i="2" s="1"/>
  <c r="R70" i="21" s="1"/>
  <c r="L70" i="20" s="1"/>
  <c r="DY82" i="2"/>
  <c r="EF82" i="2" s="1"/>
  <c r="R83" i="21" s="1"/>
  <c r="DY37" i="2"/>
  <c r="EF37" i="2" s="1"/>
  <c r="R38" i="21" s="1"/>
  <c r="DY64" i="2"/>
  <c r="EF64" i="2" s="1"/>
  <c r="R65" i="21" s="1"/>
  <c r="L65" i="20" s="1"/>
  <c r="DY132" i="2"/>
  <c r="EF132" i="2" s="1"/>
  <c r="R133" i="21" s="1"/>
  <c r="L133" i="20" s="1"/>
  <c r="H199" i="20" l="1"/>
  <c r="V400" i="15"/>
  <c r="W412" i="15"/>
  <c r="V411" i="15"/>
  <c r="AU27" i="14"/>
  <c r="AH27" i="14" s="1"/>
  <c r="DL89" i="3"/>
  <c r="DN89" i="3" s="1"/>
  <c r="EB89" i="3" s="1"/>
  <c r="G91" i="21" s="1"/>
  <c r="DL56" i="1"/>
  <c r="DN56" i="1" s="1"/>
  <c r="EB56" i="1" s="1"/>
  <c r="E57" i="21" s="1"/>
  <c r="AV94" i="14"/>
  <c r="AI94" i="14" s="1"/>
  <c r="DL23" i="2"/>
  <c r="DN23" i="2" s="1"/>
  <c r="EB23" i="2" s="1"/>
  <c r="F24" i="21" s="1"/>
  <c r="H24" i="20" s="1"/>
  <c r="AT60" i="14"/>
  <c r="AG60" i="14" s="1"/>
  <c r="X411" i="15"/>
  <c r="X400" i="15"/>
  <c r="Y412" i="15"/>
  <c r="DM89" i="3"/>
  <c r="DO89" i="3" s="1"/>
  <c r="EC89" i="3" s="1"/>
  <c r="J91" i="21" s="1"/>
  <c r="DM23" i="2"/>
  <c r="DO23" i="2" s="1"/>
  <c r="EC23" i="2" s="1"/>
  <c r="I24" i="21" s="1"/>
  <c r="I24" i="20" s="1"/>
  <c r="AY60" i="14"/>
  <c r="AL60" i="14" s="1"/>
  <c r="L42" i="20"/>
  <c r="K147" i="20"/>
  <c r="L131" i="20"/>
  <c r="K29" i="20"/>
  <c r="L118" i="20"/>
  <c r="K64" i="20"/>
  <c r="J103" i="20"/>
  <c r="J68" i="20"/>
  <c r="K145" i="20"/>
  <c r="K140" i="20"/>
  <c r="Y423" i="15"/>
  <c r="X422" i="15"/>
  <c r="BA133" i="14"/>
  <c r="AN133" i="14" s="1"/>
  <c r="L27" i="20"/>
  <c r="L51" i="20"/>
  <c r="L29" i="20"/>
  <c r="L97" i="20"/>
  <c r="BA94" i="14"/>
  <c r="AN94" i="14" s="1"/>
  <c r="AZ27" i="14"/>
  <c r="AM27" i="14" s="1"/>
  <c r="J75" i="20"/>
  <c r="H36" i="20"/>
  <c r="L60" i="20"/>
  <c r="L223" i="20"/>
  <c r="L38" i="20"/>
  <c r="K65" i="20"/>
  <c r="K103" i="20"/>
  <c r="K34" i="20"/>
  <c r="H131" i="20"/>
  <c r="V422" i="15"/>
  <c r="W423" i="15"/>
  <c r="I36" i="20"/>
  <c r="L138" i="20"/>
  <c r="L83" i="20"/>
  <c r="L151" i="20"/>
  <c r="L71" i="20"/>
  <c r="J134" i="20"/>
  <c r="J13" i="20"/>
  <c r="I131" i="20"/>
  <c r="DM56" i="1"/>
  <c r="DO56" i="1" s="1"/>
  <c r="EC56" i="1" s="1"/>
  <c r="H57" i="21" s="1"/>
  <c r="L91" i="20"/>
  <c r="L88" i="20"/>
  <c r="J22" i="20"/>
  <c r="K123" i="20"/>
  <c r="J54" i="20"/>
  <c r="BA190" i="14"/>
  <c r="AN190" i="14" s="1"/>
  <c r="K14" i="20"/>
  <c r="J138" i="20"/>
  <c r="H88" i="20"/>
  <c r="J130" i="20"/>
  <c r="K56" i="20"/>
  <c r="H185" i="20"/>
  <c r="L79" i="20"/>
  <c r="K30" i="20"/>
  <c r="L85" i="20"/>
  <c r="J98" i="20"/>
  <c r="J74" i="20"/>
  <c r="K216" i="20"/>
  <c r="Y411" i="15" l="1"/>
  <c r="X410" i="15"/>
  <c r="BA183" i="14"/>
  <c r="AN183" i="14" s="1"/>
  <c r="DM88" i="3"/>
  <c r="DO88" i="3" s="1"/>
  <c r="EC88" i="3" s="1"/>
  <c r="J90" i="21" s="1"/>
  <c r="AZ133" i="14"/>
  <c r="AM133" i="14" s="1"/>
  <c r="DM129" i="2"/>
  <c r="DO129" i="2" s="1"/>
  <c r="EC129" i="2" s="1"/>
  <c r="I130" i="21" s="1"/>
  <c r="I130" i="20" s="1"/>
  <c r="BA89" i="14"/>
  <c r="AN89" i="14" s="1"/>
  <c r="DM175" i="3"/>
  <c r="DO175" i="3" s="1"/>
  <c r="EC175" i="3" s="1"/>
  <c r="J180" i="21" s="1"/>
  <c r="BA93" i="14"/>
  <c r="AN93" i="14" s="1"/>
  <c r="DM84" i="3"/>
  <c r="DO84" i="3" s="1"/>
  <c r="X399" i="15"/>
  <c r="Y400" i="15"/>
  <c r="X388" i="15" s="1"/>
  <c r="BA56" i="14"/>
  <c r="AN56" i="14" s="1"/>
  <c r="DM54" i="3"/>
  <c r="DO54" i="3" s="1"/>
  <c r="EC54" i="3" s="1"/>
  <c r="J56" i="21" s="1"/>
  <c r="BA154" i="14"/>
  <c r="AN154" i="14" s="1"/>
  <c r="BA22" i="14"/>
  <c r="AN22" i="14" s="1"/>
  <c r="AZ94" i="14"/>
  <c r="AM94" i="14" s="1"/>
  <c r="DM90" i="2"/>
  <c r="DO90" i="2" s="1"/>
  <c r="EC90" i="2" s="1"/>
  <c r="I91" i="21" s="1"/>
  <c r="I91" i="20" s="1"/>
  <c r="DM23" i="1"/>
  <c r="DO23" i="1" s="1"/>
  <c r="EC23" i="1" s="1"/>
  <c r="H24" i="21" s="1"/>
  <c r="BA118" i="14"/>
  <c r="AN118" i="14" s="1"/>
  <c r="AY27" i="14"/>
  <c r="AL27" i="14" s="1"/>
  <c r="DM51" i="3"/>
  <c r="DO51" i="3" s="1"/>
  <c r="EC51" i="3" s="1"/>
  <c r="J53" i="21" s="1"/>
  <c r="DM113" i="3"/>
  <c r="DO113" i="3" s="1"/>
  <c r="EC113" i="3" s="1"/>
  <c r="J115" i="21" s="1"/>
  <c r="BA59" i="14"/>
  <c r="AN59" i="14" s="1"/>
  <c r="DM18" i="3"/>
  <c r="DO18" i="3" s="1"/>
  <c r="EC18" i="3" s="1"/>
  <c r="J19" i="21" s="1"/>
  <c r="BA20" i="14"/>
  <c r="AN20" i="14" s="1"/>
  <c r="DM148" i="3"/>
  <c r="DO148" i="3" s="1"/>
  <c r="EC148" i="3" s="1"/>
  <c r="J151" i="21" s="1"/>
  <c r="DM16" i="3"/>
  <c r="DO16" i="3" s="1"/>
  <c r="EC16" i="3" s="1"/>
  <c r="J17" i="21" s="1"/>
  <c r="W422" i="15"/>
  <c r="V421" i="15"/>
  <c r="DL10" i="1"/>
  <c r="DN10" i="1" s="1"/>
  <c r="EB10" i="1" s="1"/>
  <c r="E11" i="21" s="1"/>
  <c r="DL182" i="3"/>
  <c r="DN182" i="3" s="1"/>
  <c r="AT14" i="14"/>
  <c r="AG14" i="14" s="1"/>
  <c r="AV81" i="14"/>
  <c r="AI81" i="14" s="1"/>
  <c r="DL76" i="3"/>
  <c r="DN76" i="3" s="1"/>
  <c r="EB76" i="3" s="1"/>
  <c r="G78" i="21" s="1"/>
  <c r="AV190" i="14"/>
  <c r="AI190" i="14" s="1"/>
  <c r="Y422" i="15"/>
  <c r="X421" i="15"/>
  <c r="BA81" i="14"/>
  <c r="AN81" i="14" s="1"/>
  <c r="DM10" i="1"/>
  <c r="DO10" i="1" s="1"/>
  <c r="EC10" i="1" s="1"/>
  <c r="H11" i="21" s="1"/>
  <c r="DM76" i="3"/>
  <c r="DO76" i="3" s="1"/>
  <c r="EC76" i="3" s="1"/>
  <c r="J78" i="21" s="1"/>
  <c r="AY14" i="14"/>
  <c r="AL14" i="14" s="1"/>
  <c r="DM182" i="3"/>
  <c r="DO182" i="3" s="1"/>
  <c r="V410" i="15"/>
  <c r="W411" i="15"/>
  <c r="AV183" i="14"/>
  <c r="AI183" i="14" s="1"/>
  <c r="DL129" i="2"/>
  <c r="DN129" i="2" s="1"/>
  <c r="EB129" i="2" s="1"/>
  <c r="F130" i="21" s="1"/>
  <c r="H130" i="20" s="1"/>
  <c r="AV93" i="14"/>
  <c r="AI93" i="14" s="1"/>
  <c r="DL175" i="3"/>
  <c r="DN175" i="3" s="1"/>
  <c r="EB175" i="3" s="1"/>
  <c r="G180" i="21" s="1"/>
  <c r="DL88" i="3"/>
  <c r="DN88" i="3" s="1"/>
  <c r="EB88" i="3" s="1"/>
  <c r="G90" i="21" s="1"/>
  <c r="AU133" i="14"/>
  <c r="AH133" i="14" s="1"/>
  <c r="AV89" i="14"/>
  <c r="AI89" i="14" s="1"/>
  <c r="DL84" i="3"/>
  <c r="DN84" i="3" s="1"/>
  <c r="V399" i="15"/>
  <c r="W400" i="15"/>
  <c r="V388" i="15"/>
  <c r="AV20" i="14"/>
  <c r="AI20" i="14" s="1"/>
  <c r="AU94" i="14"/>
  <c r="AH94" i="14" s="1"/>
  <c r="DL113" i="3"/>
  <c r="DN113" i="3" s="1"/>
  <c r="EB113" i="3" s="1"/>
  <c r="G115" i="21" s="1"/>
  <c r="DL18" i="3"/>
  <c r="DN18" i="3" s="1"/>
  <c r="EB18" i="3" s="1"/>
  <c r="G19" i="21" s="1"/>
  <c r="DL90" i="2"/>
  <c r="DN90" i="2" s="1"/>
  <c r="EB90" i="2" s="1"/>
  <c r="F91" i="21" s="1"/>
  <c r="H91" i="20" s="1"/>
  <c r="DL23" i="1"/>
  <c r="DN23" i="1" s="1"/>
  <c r="EB23" i="1" s="1"/>
  <c r="E24" i="21" s="1"/>
  <c r="AV118" i="14"/>
  <c r="AI118" i="14" s="1"/>
  <c r="AV59" i="14"/>
  <c r="AI59" i="14" s="1"/>
  <c r="DL148" i="3"/>
  <c r="DN148" i="3" s="1"/>
  <c r="EB148" i="3" s="1"/>
  <c r="G151" i="21" s="1"/>
  <c r="AV22" i="14"/>
  <c r="AI22" i="14" s="1"/>
  <c r="DL16" i="3"/>
  <c r="DN16" i="3" s="1"/>
  <c r="EB16" i="3" s="1"/>
  <c r="G17" i="21" s="1"/>
  <c r="AV56" i="14"/>
  <c r="AI56" i="14" s="1"/>
  <c r="AV154" i="14"/>
  <c r="AI154" i="14" s="1"/>
  <c r="DL54" i="3"/>
  <c r="DN54" i="3" s="1"/>
  <c r="EB54" i="3" s="1"/>
  <c r="G56" i="21" s="1"/>
  <c r="AT27" i="14"/>
  <c r="AG27" i="14" s="1"/>
  <c r="DL51" i="3"/>
  <c r="DN51" i="3" s="1"/>
  <c r="EB51" i="3" s="1"/>
  <c r="G53" i="21" s="1"/>
  <c r="X387" i="15" l="1"/>
  <c r="Y388" i="15"/>
  <c r="X376" i="15"/>
  <c r="DM55" i="2"/>
  <c r="DO55" i="2" s="1"/>
  <c r="EC55" i="2" s="1"/>
  <c r="I56" i="21" s="1"/>
  <c r="I56" i="20" s="1"/>
  <c r="DM52" i="2"/>
  <c r="DO52" i="2" s="1"/>
  <c r="EC52" i="2" s="1"/>
  <c r="I53" i="21" s="1"/>
  <c r="I53" i="20" s="1"/>
  <c r="AZ154" i="14"/>
  <c r="AM154" i="14" s="1"/>
  <c r="DM90" i="1"/>
  <c r="DO90" i="1" s="1"/>
  <c r="EC90" i="1" s="1"/>
  <c r="H91" i="21" s="1"/>
  <c r="AZ22" i="14"/>
  <c r="AM22" i="14" s="1"/>
  <c r="DM16" i="2"/>
  <c r="DO16" i="2" s="1"/>
  <c r="EC16" i="2" s="1"/>
  <c r="I17" i="21" s="1"/>
  <c r="I17" i="20" s="1"/>
  <c r="DM149" i="2"/>
  <c r="DO149" i="2" s="1"/>
  <c r="EC149" i="2" s="1"/>
  <c r="I151" i="21" s="1"/>
  <c r="I151" i="20" s="1"/>
  <c r="AZ118" i="14"/>
  <c r="AM118" i="14" s="1"/>
  <c r="AY94" i="14"/>
  <c r="AL94" i="14" s="1"/>
  <c r="AZ56" i="14"/>
  <c r="AM56" i="14" s="1"/>
  <c r="AZ59" i="14"/>
  <c r="AM59" i="14" s="1"/>
  <c r="DM114" i="2"/>
  <c r="DO114" i="2" s="1"/>
  <c r="EC114" i="2" s="1"/>
  <c r="I115" i="21" s="1"/>
  <c r="I115" i="20" s="1"/>
  <c r="DM18" i="2"/>
  <c r="DO18" i="2" s="1"/>
  <c r="EC18" i="2" s="1"/>
  <c r="I19" i="21" s="1"/>
  <c r="I19" i="20" s="1"/>
  <c r="AZ20" i="14"/>
  <c r="AM20" i="14" s="1"/>
  <c r="Y399" i="15"/>
  <c r="X398" i="15"/>
  <c r="DM14" i="3"/>
  <c r="DO14" i="3" s="1"/>
  <c r="EC14" i="3" s="1"/>
  <c r="J15" i="21" s="1"/>
  <c r="DM22" i="3"/>
  <c r="DO22" i="3" s="1"/>
  <c r="EC22" i="3" s="1"/>
  <c r="J23" i="21" s="1"/>
  <c r="AY133" i="14"/>
  <c r="AL133" i="14" s="1"/>
  <c r="BA26" i="14"/>
  <c r="AN26" i="14" s="1"/>
  <c r="DM178" i="2"/>
  <c r="DO178" i="2" s="1"/>
  <c r="EC178" i="2" s="1"/>
  <c r="I180" i="21" s="1"/>
  <c r="I180" i="20" s="1"/>
  <c r="DM104" i="3"/>
  <c r="DO104" i="3" s="1"/>
  <c r="EC104" i="3" s="1"/>
  <c r="J106" i="21" s="1"/>
  <c r="DM129" i="1"/>
  <c r="DO129" i="1" s="1"/>
  <c r="EC129" i="1" s="1"/>
  <c r="H130" i="21" s="1"/>
  <c r="BA108" i="14"/>
  <c r="AN108" i="14" s="1"/>
  <c r="BA18" i="14"/>
  <c r="AN18" i="14" s="1"/>
  <c r="AZ183" i="14"/>
  <c r="AM183" i="14" s="1"/>
  <c r="DM85" i="2"/>
  <c r="DO85" i="2" s="1"/>
  <c r="DM89" i="2"/>
  <c r="DO89" i="2" s="1"/>
  <c r="EC89" i="2" s="1"/>
  <c r="I90" i="21" s="1"/>
  <c r="I90" i="20" s="1"/>
  <c r="AZ93" i="14"/>
  <c r="AM93" i="14" s="1"/>
  <c r="AZ89" i="14"/>
  <c r="AM89" i="14" s="1"/>
  <c r="BA109" i="14"/>
  <c r="AN109" i="14" s="1"/>
  <c r="DM103" i="3"/>
  <c r="DO103" i="3" s="1"/>
  <c r="EC103" i="3" s="1"/>
  <c r="J105" i="21" s="1"/>
  <c r="V387" i="15"/>
  <c r="W388" i="15"/>
  <c r="V376" i="15"/>
  <c r="AU22" i="14"/>
  <c r="AH22" i="14" s="1"/>
  <c r="DL114" i="2"/>
  <c r="DN114" i="2" s="1"/>
  <c r="EB114" i="2" s="1"/>
  <c r="F115" i="21" s="1"/>
  <c r="H115" i="20" s="1"/>
  <c r="DL90" i="1"/>
  <c r="DN90" i="1" s="1"/>
  <c r="EB90" i="1" s="1"/>
  <c r="E91" i="21" s="1"/>
  <c r="DL55" i="2"/>
  <c r="DN55" i="2" s="1"/>
  <c r="EB55" i="2" s="1"/>
  <c r="F56" i="21" s="1"/>
  <c r="H56" i="20" s="1"/>
  <c r="AU59" i="14"/>
  <c r="AH59" i="14" s="1"/>
  <c r="DL52" i="2"/>
  <c r="DN52" i="2" s="1"/>
  <c r="EB52" i="2" s="1"/>
  <c r="F53" i="21" s="1"/>
  <c r="H53" i="20" s="1"/>
  <c r="AU20" i="14"/>
  <c r="AH20" i="14" s="1"/>
  <c r="AU154" i="14"/>
  <c r="AH154" i="14" s="1"/>
  <c r="DL16" i="2"/>
  <c r="DN16" i="2" s="1"/>
  <c r="EB16" i="2" s="1"/>
  <c r="F17" i="21" s="1"/>
  <c r="H17" i="20" s="1"/>
  <c r="AT94" i="14"/>
  <c r="AG94" i="14" s="1"/>
  <c r="DL149" i="2"/>
  <c r="DN149" i="2" s="1"/>
  <c r="EB149" i="2" s="1"/>
  <c r="F151" i="21" s="1"/>
  <c r="H151" i="20" s="1"/>
  <c r="AU118" i="14"/>
  <c r="AH118" i="14" s="1"/>
  <c r="DL18" i="2"/>
  <c r="DN18" i="2" s="1"/>
  <c r="EB18" i="2" s="1"/>
  <c r="F19" i="21" s="1"/>
  <c r="H19" i="20" s="1"/>
  <c r="AU56" i="14"/>
  <c r="AH56" i="14" s="1"/>
  <c r="W410" i="15"/>
  <c r="V409" i="15"/>
  <c r="AV221" i="14"/>
  <c r="AI221" i="14" s="1"/>
  <c r="AV126" i="14"/>
  <c r="AI126" i="14" s="1"/>
  <c r="AU190" i="14"/>
  <c r="AH190" i="14" s="1"/>
  <c r="DL121" i="3"/>
  <c r="DN121" i="3" s="1"/>
  <c r="EB121" i="3" s="1"/>
  <c r="G123" i="21" s="1"/>
  <c r="AU81" i="14"/>
  <c r="AH81" i="14" s="1"/>
  <c r="DL77" i="2"/>
  <c r="DN77" i="2" s="1"/>
  <c r="EB77" i="2" s="1"/>
  <c r="F78" i="21" s="1"/>
  <c r="H78" i="20" s="1"/>
  <c r="DL185" i="2"/>
  <c r="DN185" i="2" s="1"/>
  <c r="X420" i="15"/>
  <c r="Y421" i="15"/>
  <c r="DM7" i="2"/>
  <c r="DO7" i="2" s="1"/>
  <c r="DM202" i="3"/>
  <c r="DO202" i="3" s="1"/>
  <c r="EC202" i="3" s="1"/>
  <c r="J207" i="21" s="1"/>
  <c r="BA210" i="14"/>
  <c r="AN210" i="14" s="1"/>
  <c r="AZ11" i="14"/>
  <c r="AM11" i="14" s="1"/>
  <c r="DM28" i="3"/>
  <c r="DO28" i="3" s="1"/>
  <c r="EC28" i="3" s="1"/>
  <c r="J29" i="21" s="1"/>
  <c r="BA32" i="14"/>
  <c r="AN32" i="14" s="1"/>
  <c r="W399" i="15"/>
  <c r="V398" i="15"/>
  <c r="AV108" i="14"/>
  <c r="AI108" i="14" s="1"/>
  <c r="DL129" i="1"/>
  <c r="DN129" i="1" s="1"/>
  <c r="EB129" i="1" s="1"/>
  <c r="E130" i="21" s="1"/>
  <c r="DL89" i="2"/>
  <c r="DN89" i="2" s="1"/>
  <c r="EB89" i="2" s="1"/>
  <c r="F90" i="21" s="1"/>
  <c r="H90" i="20" s="1"/>
  <c r="DL103" i="3"/>
  <c r="DN103" i="3" s="1"/>
  <c r="EB103" i="3" s="1"/>
  <c r="G105" i="21" s="1"/>
  <c r="DL22" i="3"/>
  <c r="DN22" i="3" s="1"/>
  <c r="EB22" i="3" s="1"/>
  <c r="G23" i="21" s="1"/>
  <c r="DL85" i="2"/>
  <c r="DN85" i="2" s="1"/>
  <c r="AT133" i="14"/>
  <c r="AG133" i="14" s="1"/>
  <c r="AU89" i="14"/>
  <c r="AH89" i="14" s="1"/>
  <c r="DL178" i="2"/>
  <c r="DN178" i="2" s="1"/>
  <c r="EB178" i="2" s="1"/>
  <c r="F180" i="21" s="1"/>
  <c r="H180" i="20" s="1"/>
  <c r="AU93" i="14"/>
  <c r="AH93" i="14" s="1"/>
  <c r="DL104" i="3"/>
  <c r="DN104" i="3" s="1"/>
  <c r="EB104" i="3" s="1"/>
  <c r="G106" i="21" s="1"/>
  <c r="AV26" i="14"/>
  <c r="AI26" i="14" s="1"/>
  <c r="DL14" i="3"/>
  <c r="DN14" i="3" s="1"/>
  <c r="EB14" i="3" s="1"/>
  <c r="G15" i="21" s="1"/>
  <c r="AU183" i="14"/>
  <c r="AH183" i="14" s="1"/>
  <c r="AV109" i="14"/>
  <c r="AI109" i="14" s="1"/>
  <c r="AV18" i="14"/>
  <c r="AI18" i="14" s="1"/>
  <c r="V420" i="15"/>
  <c r="W421" i="15"/>
  <c r="AU11" i="14"/>
  <c r="AH11" i="14" s="1"/>
  <c r="AV32" i="14"/>
  <c r="AI32" i="14" s="1"/>
  <c r="DL202" i="3"/>
  <c r="DN202" i="3" s="1"/>
  <c r="EB202" i="3" s="1"/>
  <c r="G207" i="21" s="1"/>
  <c r="DL28" i="3"/>
  <c r="DN28" i="3" s="1"/>
  <c r="EB28" i="3" s="1"/>
  <c r="G29" i="21" s="1"/>
  <c r="AV210" i="14"/>
  <c r="AI210" i="14" s="1"/>
  <c r="DL7" i="2"/>
  <c r="DN7" i="2" s="1"/>
  <c r="Y410" i="15"/>
  <c r="X409" i="15"/>
  <c r="DM185" i="2"/>
  <c r="DO185" i="2" s="1"/>
  <c r="BA221" i="14"/>
  <c r="AN221" i="14" s="1"/>
  <c r="DM121" i="3"/>
  <c r="DO121" i="3" s="1"/>
  <c r="EC121" i="3" s="1"/>
  <c r="J123" i="21" s="1"/>
  <c r="DM77" i="2"/>
  <c r="DO77" i="2" s="1"/>
  <c r="EC77" i="2" s="1"/>
  <c r="I78" i="21" s="1"/>
  <c r="I78" i="20" s="1"/>
  <c r="AZ190" i="14"/>
  <c r="AM190" i="14" s="1"/>
  <c r="BA126" i="14"/>
  <c r="AN126" i="14" s="1"/>
  <c r="AZ81" i="14"/>
  <c r="AM81" i="14" s="1"/>
  <c r="V397" i="15" l="1"/>
  <c r="W398" i="15"/>
  <c r="DL122" i="2"/>
  <c r="DN122" i="2" s="1"/>
  <c r="EB122" i="2" s="1"/>
  <c r="F123" i="21" s="1"/>
  <c r="H123" i="20" s="1"/>
  <c r="DL77" i="1"/>
  <c r="DN77" i="1" s="1"/>
  <c r="EB77" i="1" s="1"/>
  <c r="E78" i="21" s="1"/>
  <c r="DL185" i="1"/>
  <c r="DN185" i="1" s="1"/>
  <c r="AU221" i="14"/>
  <c r="AH221" i="14" s="1"/>
  <c r="AV136" i="14"/>
  <c r="AI136" i="14" s="1"/>
  <c r="AV85" i="14"/>
  <c r="AI85" i="14" s="1"/>
  <c r="DL80" i="3"/>
  <c r="DN80" i="3" s="1"/>
  <c r="EB80" i="3" s="1"/>
  <c r="G82" i="21" s="1"/>
  <c r="AU126" i="14"/>
  <c r="AH126" i="14" s="1"/>
  <c r="DL131" i="3"/>
  <c r="DN131" i="3" s="1"/>
  <c r="EB131" i="3" s="1"/>
  <c r="G133" i="21" s="1"/>
  <c r="AT190" i="14"/>
  <c r="AG190" i="14" s="1"/>
  <c r="AT81" i="14"/>
  <c r="AG81" i="14" s="1"/>
  <c r="W387" i="15"/>
  <c r="V386" i="15"/>
  <c r="AU109" i="14"/>
  <c r="AH109" i="14" s="1"/>
  <c r="DL81" i="2"/>
  <c r="DN81" i="2" s="1"/>
  <c r="EB81" i="2" s="1"/>
  <c r="F82" i="21" s="1"/>
  <c r="AT93" i="14"/>
  <c r="AG93" i="14" s="1"/>
  <c r="DL22" i="2"/>
  <c r="DN22" i="2" s="1"/>
  <c r="EB22" i="2" s="1"/>
  <c r="F23" i="21" s="1"/>
  <c r="H23" i="20" s="1"/>
  <c r="AT183" i="14"/>
  <c r="AG183" i="14" s="1"/>
  <c r="DL105" i="2"/>
  <c r="DN105" i="2" s="1"/>
  <c r="EB105" i="2" s="1"/>
  <c r="F106" i="21" s="1"/>
  <c r="H106" i="20" s="1"/>
  <c r="DL179" i="1"/>
  <c r="DN179" i="1" s="1"/>
  <c r="EB179" i="1" s="1"/>
  <c r="E180" i="21" s="1"/>
  <c r="AU108" i="14"/>
  <c r="AH108" i="14" s="1"/>
  <c r="DL89" i="1"/>
  <c r="DN89" i="1" s="1"/>
  <c r="EB89" i="1" s="1"/>
  <c r="E90" i="21" s="1"/>
  <c r="AU85" i="14"/>
  <c r="AH85" i="14" s="1"/>
  <c r="AT89" i="14"/>
  <c r="AG89" i="14" s="1"/>
  <c r="DL85" i="1"/>
  <c r="DN85" i="1" s="1"/>
  <c r="EB85" i="1" s="1"/>
  <c r="E86" i="21" s="1"/>
  <c r="DL104" i="2"/>
  <c r="DN104" i="2" s="1"/>
  <c r="EB104" i="2" s="1"/>
  <c r="F105" i="21" s="1"/>
  <c r="AU18" i="14"/>
  <c r="AH18" i="14" s="1"/>
  <c r="DL14" i="2"/>
  <c r="DN14" i="2" s="1"/>
  <c r="EB14" i="2" s="1"/>
  <c r="F15" i="21" s="1"/>
  <c r="H15" i="20" s="1"/>
  <c r="AU26" i="14"/>
  <c r="AH26" i="14" s="1"/>
  <c r="X397" i="15"/>
  <c r="Y398" i="15"/>
  <c r="BA85" i="14"/>
  <c r="AN85" i="14" s="1"/>
  <c r="DM122" i="2"/>
  <c r="DO122" i="2" s="1"/>
  <c r="EC122" i="2" s="1"/>
  <c r="I123" i="21" s="1"/>
  <c r="I123" i="20" s="1"/>
  <c r="DM185" i="1"/>
  <c r="DO185" i="1" s="1"/>
  <c r="DM77" i="1"/>
  <c r="DO77" i="1" s="1"/>
  <c r="EC77" i="1" s="1"/>
  <c r="H78" i="21" s="1"/>
  <c r="AY190" i="14"/>
  <c r="AL190" i="14" s="1"/>
  <c r="AZ126" i="14"/>
  <c r="AM126" i="14" s="1"/>
  <c r="DM131" i="3"/>
  <c r="DO131" i="3" s="1"/>
  <c r="EC131" i="3" s="1"/>
  <c r="J133" i="21" s="1"/>
  <c r="BA136" i="14"/>
  <c r="AN136" i="14" s="1"/>
  <c r="AY81" i="14"/>
  <c r="AL81" i="14" s="1"/>
  <c r="AZ221" i="14"/>
  <c r="AM221" i="14" s="1"/>
  <c r="DM80" i="3"/>
  <c r="DO80" i="3" s="1"/>
  <c r="EC80" i="3" s="1"/>
  <c r="J82" i="21" s="1"/>
  <c r="V408" i="15"/>
  <c r="W409" i="15"/>
  <c r="DL28" i="2"/>
  <c r="DN28" i="2" s="1"/>
  <c r="EB28" i="2" s="1"/>
  <c r="F29" i="21" s="1"/>
  <c r="H29" i="20" s="1"/>
  <c r="AT11" i="14"/>
  <c r="AG11" i="14" s="1"/>
  <c r="AU32" i="14"/>
  <c r="AH32" i="14" s="1"/>
  <c r="AU210" i="14"/>
  <c r="AH210" i="14" s="1"/>
  <c r="DL7" i="1"/>
  <c r="DN7" i="1" s="1"/>
  <c r="W420" i="15"/>
  <c r="V419" i="15"/>
  <c r="DL50" i="2"/>
  <c r="DN50" i="2" s="1"/>
  <c r="EB50" i="2" s="1"/>
  <c r="F51" i="21" s="1"/>
  <c r="H51" i="20" s="1"/>
  <c r="AU54" i="14"/>
  <c r="AH54" i="14" s="1"/>
  <c r="DL130" i="1"/>
  <c r="DN130" i="1" s="1"/>
  <c r="EB130" i="1" s="1"/>
  <c r="E131" i="21" s="1"/>
  <c r="DL54" i="2"/>
  <c r="DN54" i="2" s="1"/>
  <c r="EB54" i="2" s="1"/>
  <c r="F55" i="21" s="1"/>
  <c r="H55" i="20" s="1"/>
  <c r="AT134" i="14"/>
  <c r="AG134" i="14" s="1"/>
  <c r="AU58" i="14"/>
  <c r="AH58" i="14" s="1"/>
  <c r="X375" i="15"/>
  <c r="Y376" i="15"/>
  <c r="X364" i="15" s="1"/>
  <c r="DM55" i="1"/>
  <c r="DO55" i="1" s="1"/>
  <c r="EC55" i="1" s="1"/>
  <c r="H56" i="21" s="1"/>
  <c r="DM18" i="1"/>
  <c r="DO18" i="1" s="1"/>
  <c r="EC18" i="1" s="1"/>
  <c r="H19" i="21" s="1"/>
  <c r="AY20" i="14"/>
  <c r="AL20" i="14" s="1"/>
  <c r="AY154" i="14"/>
  <c r="AL154" i="14" s="1"/>
  <c r="DM114" i="1"/>
  <c r="DO114" i="1" s="1"/>
  <c r="EC114" i="1" s="1"/>
  <c r="H115" i="21" s="1"/>
  <c r="BA119" i="14"/>
  <c r="AN119" i="14" s="1"/>
  <c r="AY22" i="14"/>
  <c r="AL22" i="14" s="1"/>
  <c r="DM16" i="1"/>
  <c r="DO16" i="1" s="1"/>
  <c r="EC16" i="1" s="1"/>
  <c r="H17" i="21" s="1"/>
  <c r="BA117" i="14"/>
  <c r="AN117" i="14" s="1"/>
  <c r="DM52" i="1"/>
  <c r="DO52" i="1" s="1"/>
  <c r="EC52" i="1" s="1"/>
  <c r="H53" i="21" s="1"/>
  <c r="AY118" i="14"/>
  <c r="AL118" i="14" s="1"/>
  <c r="DM114" i="3"/>
  <c r="DO114" i="3" s="1"/>
  <c r="EC114" i="3" s="1"/>
  <c r="J116" i="21" s="1"/>
  <c r="AY59" i="14"/>
  <c r="AL59" i="14" s="1"/>
  <c r="BA72" i="14"/>
  <c r="AN72" i="14" s="1"/>
  <c r="DM67" i="3"/>
  <c r="DO67" i="3" s="1"/>
  <c r="EC67" i="3" s="1"/>
  <c r="J69" i="21" s="1"/>
  <c r="DM150" i="1"/>
  <c r="DO150" i="1" s="1"/>
  <c r="EC150" i="1" s="1"/>
  <c r="H151" i="21" s="1"/>
  <c r="DM112" i="3"/>
  <c r="DO112" i="3" s="1"/>
  <c r="EC112" i="3" s="1"/>
  <c r="J114" i="21" s="1"/>
  <c r="AY56" i="14"/>
  <c r="AL56" i="14" s="1"/>
  <c r="Y420" i="15"/>
  <c r="X419" i="15"/>
  <c r="AZ58" i="14"/>
  <c r="AM58" i="14" s="1"/>
  <c r="AY134" i="14"/>
  <c r="AL134" i="14" s="1"/>
  <c r="AZ54" i="14"/>
  <c r="AM54" i="14" s="1"/>
  <c r="DM50" i="2"/>
  <c r="DO50" i="2" s="1"/>
  <c r="EC50" i="2" s="1"/>
  <c r="I51" i="21" s="1"/>
  <c r="I51" i="20" s="1"/>
  <c r="DM54" i="2"/>
  <c r="DO54" i="2" s="1"/>
  <c r="EC54" i="2" s="1"/>
  <c r="I55" i="21" s="1"/>
  <c r="I55" i="20" s="1"/>
  <c r="DM130" i="1"/>
  <c r="DO130" i="1" s="1"/>
  <c r="EC130" i="1" s="1"/>
  <c r="H131" i="21" s="1"/>
  <c r="V375" i="15"/>
  <c r="W376" i="15"/>
  <c r="V364" i="15"/>
  <c r="DL114" i="3"/>
  <c r="DN114" i="3" s="1"/>
  <c r="EB114" i="3" s="1"/>
  <c r="G116" i="21" s="1"/>
  <c r="DL67" i="3"/>
  <c r="DN67" i="3" s="1"/>
  <c r="EB67" i="3" s="1"/>
  <c r="G69" i="21" s="1"/>
  <c r="DL18" i="1"/>
  <c r="DN18" i="1" s="1"/>
  <c r="EB18" i="1" s="1"/>
  <c r="E19" i="21" s="1"/>
  <c r="AT154" i="14"/>
  <c r="AG154" i="14" s="1"/>
  <c r="DL16" i="1"/>
  <c r="DN16" i="1" s="1"/>
  <c r="EB16" i="1" s="1"/>
  <c r="E17" i="21" s="1"/>
  <c r="AV119" i="14"/>
  <c r="AI119" i="14" s="1"/>
  <c r="DL55" i="1"/>
  <c r="DN55" i="1" s="1"/>
  <c r="EB55" i="1" s="1"/>
  <c r="E56" i="21" s="1"/>
  <c r="AT56" i="14"/>
  <c r="AG56" i="14" s="1"/>
  <c r="AT118" i="14"/>
  <c r="AG118" i="14" s="1"/>
  <c r="AT59" i="14"/>
  <c r="AG59" i="14" s="1"/>
  <c r="DL150" i="1"/>
  <c r="DN150" i="1" s="1"/>
  <c r="EB150" i="1" s="1"/>
  <c r="E151" i="21" s="1"/>
  <c r="DL112" i="3"/>
  <c r="DN112" i="3" s="1"/>
  <c r="EB112" i="3" s="1"/>
  <c r="G114" i="21" s="1"/>
  <c r="DL52" i="1"/>
  <c r="DN52" i="1" s="1"/>
  <c r="EB52" i="1" s="1"/>
  <c r="E53" i="21" s="1"/>
  <c r="AT20" i="14"/>
  <c r="AG20" i="14" s="1"/>
  <c r="DL114" i="1"/>
  <c r="DN114" i="1" s="1"/>
  <c r="EB114" i="1" s="1"/>
  <c r="E115" i="21" s="1"/>
  <c r="AV72" i="14"/>
  <c r="AI72" i="14" s="1"/>
  <c r="AV117" i="14"/>
  <c r="AI117" i="14" s="1"/>
  <c r="AT22" i="14"/>
  <c r="AG22" i="14" s="1"/>
  <c r="X408" i="15"/>
  <c r="Y409" i="15"/>
  <c r="AZ32" i="14"/>
  <c r="AM32" i="14" s="1"/>
  <c r="AZ210" i="14"/>
  <c r="AM210" i="14" s="1"/>
  <c r="AY11" i="14"/>
  <c r="AL11" i="14" s="1"/>
  <c r="DM28" i="2"/>
  <c r="DO28" i="2" s="1"/>
  <c r="EC28" i="2" s="1"/>
  <c r="I29" i="21" s="1"/>
  <c r="I29" i="20" s="1"/>
  <c r="DM7" i="1"/>
  <c r="DO7" i="1" s="1"/>
  <c r="X386" i="15"/>
  <c r="Y387" i="15"/>
  <c r="DM81" i="2"/>
  <c r="DO81" i="2" s="1"/>
  <c r="EC81" i="2" s="1"/>
  <c r="I82" i="21" s="1"/>
  <c r="I82" i="20" s="1"/>
  <c r="AZ26" i="14"/>
  <c r="AM26" i="14" s="1"/>
  <c r="DM14" i="2"/>
  <c r="DO14" i="2" s="1"/>
  <c r="EC14" i="2" s="1"/>
  <c r="I15" i="21" s="1"/>
  <c r="I15" i="20" s="1"/>
  <c r="AY93" i="14"/>
  <c r="AL93" i="14" s="1"/>
  <c r="AY183" i="14"/>
  <c r="AL183" i="14" s="1"/>
  <c r="AZ85" i="14"/>
  <c r="AM85" i="14" s="1"/>
  <c r="DM22" i="2"/>
  <c r="DO22" i="2" s="1"/>
  <c r="EC22" i="2" s="1"/>
  <c r="I23" i="21" s="1"/>
  <c r="I23" i="20" s="1"/>
  <c r="DM89" i="1"/>
  <c r="DO89" i="1" s="1"/>
  <c r="EC89" i="1" s="1"/>
  <c r="H90" i="21" s="1"/>
  <c r="DM85" i="1"/>
  <c r="DO85" i="1" s="1"/>
  <c r="EC85" i="1" s="1"/>
  <c r="H86" i="21" s="1"/>
  <c r="AY89" i="14"/>
  <c r="AL89" i="14" s="1"/>
  <c r="AZ108" i="14"/>
  <c r="AM108" i="14" s="1"/>
  <c r="AZ109" i="14"/>
  <c r="AM109" i="14" s="1"/>
  <c r="DM179" i="1"/>
  <c r="DO179" i="1" s="1"/>
  <c r="EC179" i="1" s="1"/>
  <c r="H180" i="21" s="1"/>
  <c r="AZ18" i="14"/>
  <c r="AM18" i="14" s="1"/>
  <c r="DM105" i="2"/>
  <c r="DO105" i="2" s="1"/>
  <c r="EC105" i="2" s="1"/>
  <c r="I106" i="21" s="1"/>
  <c r="I106" i="20" s="1"/>
  <c r="DM104" i="2"/>
  <c r="DO104" i="2" s="1"/>
  <c r="EC104" i="2" s="1"/>
  <c r="I105" i="21" s="1"/>
  <c r="X363" i="15" l="1"/>
  <c r="Y364" i="15"/>
  <c r="X352" i="15"/>
  <c r="DM81" i="3"/>
  <c r="DO81" i="3" s="1"/>
  <c r="EC81" i="3" s="1"/>
  <c r="J83" i="21" s="1"/>
  <c r="BA86" i="14"/>
  <c r="AN86" i="14" s="1"/>
  <c r="DM113" i="2"/>
  <c r="DO113" i="2" s="1"/>
  <c r="AZ117" i="14"/>
  <c r="AM117" i="14" s="1"/>
  <c r="AZ119" i="14"/>
  <c r="AM119" i="14" s="1"/>
  <c r="DM115" i="2"/>
  <c r="DO115" i="2" s="1"/>
  <c r="EC115" i="2" s="1"/>
  <c r="I116" i="21" s="1"/>
  <c r="I116" i="20" s="1"/>
  <c r="AZ72" i="14"/>
  <c r="AM72" i="14" s="1"/>
  <c r="DM68" i="2"/>
  <c r="DO68" i="2" s="1"/>
  <c r="EC68" i="2" s="1"/>
  <c r="I69" i="21" s="1"/>
  <c r="I69" i="20" s="1"/>
  <c r="X418" i="15"/>
  <c r="Y419" i="15"/>
  <c r="AY92" i="14"/>
  <c r="AL92" i="14" s="1"/>
  <c r="DM183" i="1"/>
  <c r="DO183" i="1" s="1"/>
  <c r="EC183" i="1" s="1"/>
  <c r="H185" i="21" s="1"/>
  <c r="AY188" i="14"/>
  <c r="AL188" i="14" s="1"/>
  <c r="DM88" i="1"/>
  <c r="DO88" i="1" s="1"/>
  <c r="EC88" i="1" s="1"/>
  <c r="H89" i="21" s="1"/>
  <c r="W408" i="15"/>
  <c r="V407" i="15"/>
  <c r="DL54" i="1"/>
  <c r="DN54" i="1" s="1"/>
  <c r="AV42" i="14"/>
  <c r="AI42" i="14" s="1"/>
  <c r="DL37" i="3"/>
  <c r="DN37" i="3" s="1"/>
  <c r="EB37" i="3" s="1"/>
  <c r="G39" i="21" s="1"/>
  <c r="AT54" i="14"/>
  <c r="AG54" i="14" s="1"/>
  <c r="DL50" i="1"/>
  <c r="DN50" i="1" s="1"/>
  <c r="EB50" i="1" s="1"/>
  <c r="E51" i="21" s="1"/>
  <c r="AT58" i="14"/>
  <c r="AG58" i="14" s="1"/>
  <c r="Y375" i="15"/>
  <c r="X374" i="15"/>
  <c r="DM22" i="1"/>
  <c r="DO22" i="1" s="1"/>
  <c r="EC22" i="1" s="1"/>
  <c r="H23" i="21" s="1"/>
  <c r="AY108" i="14"/>
  <c r="AL108" i="14" s="1"/>
  <c r="DM81" i="1"/>
  <c r="DO81" i="1" s="1"/>
  <c r="EC81" i="1" s="1"/>
  <c r="H82" i="21" s="1"/>
  <c r="DM105" i="1"/>
  <c r="DO105" i="1" s="1"/>
  <c r="EC105" i="1" s="1"/>
  <c r="H106" i="21" s="1"/>
  <c r="AY85" i="14"/>
  <c r="AL85" i="14" s="1"/>
  <c r="AY18" i="14"/>
  <c r="AL18" i="14" s="1"/>
  <c r="AY26" i="14"/>
  <c r="AL26" i="14" s="1"/>
  <c r="DM104" i="1"/>
  <c r="DO104" i="1" s="1"/>
  <c r="EC104" i="1" s="1"/>
  <c r="H105" i="21" s="1"/>
  <c r="AY109" i="14"/>
  <c r="AL109" i="14" s="1"/>
  <c r="DM14" i="1"/>
  <c r="DO14" i="1" s="1"/>
  <c r="EC14" i="1" s="1"/>
  <c r="H15" i="21" s="1"/>
  <c r="Y397" i="15"/>
  <c r="X396" i="15"/>
  <c r="DM40" i="3"/>
  <c r="DO40" i="3" s="1"/>
  <c r="EC40" i="3" s="1"/>
  <c r="J42" i="21" s="1"/>
  <c r="AY32" i="14"/>
  <c r="AL32" i="14" s="1"/>
  <c r="BA45" i="14"/>
  <c r="AN45" i="14" s="1"/>
  <c r="DM205" i="1"/>
  <c r="DO205" i="1" s="1"/>
  <c r="EC205" i="1" s="1"/>
  <c r="H207" i="21" s="1"/>
  <c r="AY210" i="14"/>
  <c r="AL210" i="14" s="1"/>
  <c r="DM28" i="1"/>
  <c r="DO28" i="1" s="1"/>
  <c r="EC28" i="1" s="1"/>
  <c r="H29" i="21" s="1"/>
  <c r="X385" i="15"/>
  <c r="Y386" i="15"/>
  <c r="BA73" i="14"/>
  <c r="AN73" i="14" s="1"/>
  <c r="DM132" i="2"/>
  <c r="DO132" i="2" s="1"/>
  <c r="EC132" i="2" s="1"/>
  <c r="I133" i="21" s="1"/>
  <c r="I133" i="20" s="1"/>
  <c r="DM215" i="1"/>
  <c r="DO215" i="1" s="1"/>
  <c r="EC215" i="1" s="1"/>
  <c r="H218" i="21" s="1"/>
  <c r="AY126" i="14"/>
  <c r="AL126" i="14" s="1"/>
  <c r="DM41" i="3"/>
  <c r="DO41" i="3" s="1"/>
  <c r="EC41" i="3" s="1"/>
  <c r="J43" i="21" s="1"/>
  <c r="BA127" i="14"/>
  <c r="AN127" i="14" s="1"/>
  <c r="BA46" i="14"/>
  <c r="AN46" i="14" s="1"/>
  <c r="DM122" i="1"/>
  <c r="DO122" i="1" s="1"/>
  <c r="EC122" i="1" s="1"/>
  <c r="H123" i="21" s="1"/>
  <c r="DM122" i="3"/>
  <c r="DO122" i="3" s="1"/>
  <c r="EC122" i="3" s="1"/>
  <c r="J124" i="21" s="1"/>
  <c r="AY221" i="14"/>
  <c r="AL221" i="14" s="1"/>
  <c r="AZ136" i="14"/>
  <c r="AM136" i="14" s="1"/>
  <c r="DM68" i="3"/>
  <c r="DO68" i="3" s="1"/>
  <c r="EC68" i="3" s="1"/>
  <c r="J70" i="21" s="1"/>
  <c r="V374" i="15"/>
  <c r="W375" i="15"/>
  <c r="AT85" i="14"/>
  <c r="AG85" i="14" s="1"/>
  <c r="DL14" i="1"/>
  <c r="DN14" i="1" s="1"/>
  <c r="EB14" i="1" s="1"/>
  <c r="E15" i="21" s="1"/>
  <c r="AT109" i="14"/>
  <c r="AG109" i="14" s="1"/>
  <c r="AT18" i="14"/>
  <c r="AG18" i="14" s="1"/>
  <c r="DL81" i="1"/>
  <c r="DN81" i="1" s="1"/>
  <c r="EB81" i="1" s="1"/>
  <c r="E82" i="21" s="1"/>
  <c r="DL22" i="1"/>
  <c r="DN22" i="1" s="1"/>
  <c r="EB22" i="1" s="1"/>
  <c r="E23" i="21" s="1"/>
  <c r="AT26" i="14"/>
  <c r="AG26" i="14" s="1"/>
  <c r="AT108" i="14"/>
  <c r="AG108" i="14" s="1"/>
  <c r="DL105" i="1"/>
  <c r="DN105" i="1" s="1"/>
  <c r="EB105" i="1" s="1"/>
  <c r="E106" i="21" s="1"/>
  <c r="DL104" i="1"/>
  <c r="DN104" i="1" s="1"/>
  <c r="EB104" i="1" s="1"/>
  <c r="E105" i="21" s="1"/>
  <c r="W419" i="15"/>
  <c r="V418" i="15"/>
  <c r="AT188" i="14"/>
  <c r="AG188" i="14" s="1"/>
  <c r="AT92" i="14"/>
  <c r="AG92" i="14" s="1"/>
  <c r="DL183" i="1"/>
  <c r="DN183" i="1" s="1"/>
  <c r="EB183" i="1" s="1"/>
  <c r="E185" i="21" s="1"/>
  <c r="DL88" i="1"/>
  <c r="DN88" i="1" s="1"/>
  <c r="EB88" i="1" s="1"/>
  <c r="E89" i="21" s="1"/>
  <c r="H82" i="20"/>
  <c r="V385" i="15"/>
  <c r="W386" i="15"/>
  <c r="DL122" i="3"/>
  <c r="DN122" i="3" s="1"/>
  <c r="EB122" i="3" s="1"/>
  <c r="G124" i="21" s="1"/>
  <c r="AV127" i="14"/>
  <c r="AI127" i="14" s="1"/>
  <c r="AV46" i="14"/>
  <c r="AI46" i="14" s="1"/>
  <c r="AU136" i="14"/>
  <c r="AH136" i="14" s="1"/>
  <c r="AT221" i="14"/>
  <c r="AG221" i="14" s="1"/>
  <c r="AV73" i="14"/>
  <c r="AI73" i="14" s="1"/>
  <c r="DL215" i="1"/>
  <c r="DN215" i="1" s="1"/>
  <c r="EB215" i="1" s="1"/>
  <c r="E218" i="21" s="1"/>
  <c r="DL122" i="1"/>
  <c r="DN122" i="1" s="1"/>
  <c r="EB122" i="1" s="1"/>
  <c r="E123" i="21" s="1"/>
  <c r="DL132" i="2"/>
  <c r="DN132" i="2" s="1"/>
  <c r="EB132" i="2" s="1"/>
  <c r="F133" i="21" s="1"/>
  <c r="H133" i="20" s="1"/>
  <c r="DL41" i="3"/>
  <c r="DN41" i="3" s="1"/>
  <c r="EB41" i="3" s="1"/>
  <c r="G43" i="21" s="1"/>
  <c r="AT126" i="14"/>
  <c r="AG126" i="14" s="1"/>
  <c r="DL68" i="3"/>
  <c r="DN68" i="3" s="1"/>
  <c r="EB68" i="3" s="1"/>
  <c r="G70" i="21" s="1"/>
  <c r="V363" i="15"/>
  <c r="W364" i="15"/>
  <c r="V352" i="15"/>
  <c r="DL81" i="3"/>
  <c r="DN81" i="3" s="1"/>
  <c r="EB81" i="3" s="1"/>
  <c r="G83" i="21" s="1"/>
  <c r="DL115" i="2"/>
  <c r="DN115" i="2" s="1"/>
  <c r="EB115" i="2" s="1"/>
  <c r="F116" i="21" s="1"/>
  <c r="H116" i="20" s="1"/>
  <c r="AU119" i="14"/>
  <c r="AH119" i="14" s="1"/>
  <c r="AU72" i="14"/>
  <c r="AH72" i="14" s="1"/>
  <c r="DL113" i="2"/>
  <c r="DN113" i="2" s="1"/>
  <c r="AV86" i="14"/>
  <c r="AI86" i="14" s="1"/>
  <c r="DL68" i="2"/>
  <c r="DN68" i="2" s="1"/>
  <c r="EB68" i="2" s="1"/>
  <c r="F69" i="21" s="1"/>
  <c r="H69" i="20" s="1"/>
  <c r="AU117" i="14"/>
  <c r="AH117" i="14" s="1"/>
  <c r="Y408" i="15"/>
  <c r="X407" i="15"/>
  <c r="AY58" i="14"/>
  <c r="AL58" i="14" s="1"/>
  <c r="BA42" i="14"/>
  <c r="AN42" i="14" s="1"/>
  <c r="DM37" i="3"/>
  <c r="DO37" i="3" s="1"/>
  <c r="EC37" i="3" s="1"/>
  <c r="J39" i="21" s="1"/>
  <c r="DM50" i="1"/>
  <c r="DO50" i="1" s="1"/>
  <c r="EC50" i="1" s="1"/>
  <c r="H51" i="21" s="1"/>
  <c r="AY54" i="14"/>
  <c r="AL54" i="14" s="1"/>
  <c r="DM54" i="1"/>
  <c r="DO54" i="1" s="1"/>
  <c r="W397" i="15"/>
  <c r="V396" i="15"/>
  <c r="AT32" i="14"/>
  <c r="AG32" i="14" s="1"/>
  <c r="AT210" i="14"/>
  <c r="AG210" i="14" s="1"/>
  <c r="AV45" i="14"/>
  <c r="AI45" i="14" s="1"/>
  <c r="DL205" i="1"/>
  <c r="DN205" i="1" s="1"/>
  <c r="DL28" i="1"/>
  <c r="DN28" i="1" s="1"/>
  <c r="EB28" i="1" s="1"/>
  <c r="E29" i="21" s="1"/>
  <c r="DL40" i="3"/>
  <c r="DN40" i="3" s="1"/>
  <c r="EB40" i="3" s="1"/>
  <c r="G42" i="21" s="1"/>
  <c r="X406" i="15" l="1"/>
  <c r="Y407" i="15"/>
  <c r="DM11" i="3"/>
  <c r="DO11" i="3" s="1"/>
  <c r="EC11" i="3" s="1"/>
  <c r="J12" i="21" s="1"/>
  <c r="BA15" i="14"/>
  <c r="AN15" i="14" s="1"/>
  <c r="BA71" i="14"/>
  <c r="AN71" i="14" s="1"/>
  <c r="BA105" i="14"/>
  <c r="AN105" i="14" s="1"/>
  <c r="DM100" i="3"/>
  <c r="DO100" i="3" s="1"/>
  <c r="DM66" i="3"/>
  <c r="DO66" i="3" s="1"/>
  <c r="EC66" i="3" s="1"/>
  <c r="J68" i="21" s="1"/>
  <c r="V362" i="15"/>
  <c r="W363" i="15"/>
  <c r="W385" i="15"/>
  <c r="V384" i="15"/>
  <c r="DL115" i="3"/>
  <c r="DN115" i="3" s="1"/>
  <c r="EB115" i="3" s="1"/>
  <c r="G117" i="21" s="1"/>
  <c r="AU45" i="14"/>
  <c r="AH45" i="14" s="1"/>
  <c r="DL41" i="2"/>
  <c r="DN41" i="2" s="1"/>
  <c r="EB41" i="2" s="1"/>
  <c r="F42" i="21" s="1"/>
  <c r="H42" i="20" s="1"/>
  <c r="AV120" i="14"/>
  <c r="AI120" i="14" s="1"/>
  <c r="V373" i="15"/>
  <c r="W374" i="15"/>
  <c r="AV96" i="14"/>
  <c r="AI96" i="14" s="1"/>
  <c r="AV90" i="14"/>
  <c r="AI90" i="14" s="1"/>
  <c r="AU46" i="14"/>
  <c r="AH46" i="14" s="1"/>
  <c r="DL42" i="2"/>
  <c r="DN42" i="2" s="1"/>
  <c r="EB42" i="2" s="1"/>
  <c r="F43" i="21" s="1"/>
  <c r="H43" i="20" s="1"/>
  <c r="AV65" i="14"/>
  <c r="AI65" i="14" s="1"/>
  <c r="DL60" i="3"/>
  <c r="DN60" i="3" s="1"/>
  <c r="DL69" i="2"/>
  <c r="DN69" i="2" s="1"/>
  <c r="EB69" i="2" s="1"/>
  <c r="F70" i="21" s="1"/>
  <c r="H70" i="20" s="1"/>
  <c r="DL132" i="1"/>
  <c r="DN132" i="1" s="1"/>
  <c r="EB132" i="1" s="1"/>
  <c r="E133" i="21" s="1"/>
  <c r="AV115" i="14"/>
  <c r="AI115" i="14" s="1"/>
  <c r="AU73" i="14"/>
  <c r="AH73" i="14" s="1"/>
  <c r="AU127" i="14"/>
  <c r="AH127" i="14" s="1"/>
  <c r="DL123" i="2"/>
  <c r="DN123" i="2" s="1"/>
  <c r="EB123" i="2" s="1"/>
  <c r="F124" i="21" s="1"/>
  <c r="H124" i="20" s="1"/>
  <c r="DL110" i="3"/>
  <c r="DN110" i="3" s="1"/>
  <c r="DL91" i="3"/>
  <c r="DN91" i="3" s="1"/>
  <c r="EB91" i="3" s="1"/>
  <c r="G93" i="21" s="1"/>
  <c r="AT136" i="14"/>
  <c r="AG136" i="14" s="1"/>
  <c r="DL85" i="3"/>
  <c r="DN85" i="3" s="1"/>
  <c r="EB85" i="3" s="1"/>
  <c r="G87" i="21" s="1"/>
  <c r="Y418" i="15"/>
  <c r="X417" i="15"/>
  <c r="DM35" i="1"/>
  <c r="DO35" i="1" s="1"/>
  <c r="EC35" i="1" s="1"/>
  <c r="H36" i="21" s="1"/>
  <c r="BA141" i="14"/>
  <c r="AN141" i="14" s="1"/>
  <c r="AZ77" i="14"/>
  <c r="AM77" i="14" s="1"/>
  <c r="DM73" i="2"/>
  <c r="DO73" i="2" s="1"/>
  <c r="EC73" i="2" s="1"/>
  <c r="I74" i="21" s="1"/>
  <c r="I74" i="20" s="1"/>
  <c r="DM135" i="3"/>
  <c r="DO135" i="3" s="1"/>
  <c r="EC135" i="3" s="1"/>
  <c r="J138" i="21" s="1"/>
  <c r="AY39" i="14"/>
  <c r="AL39" i="14" s="1"/>
  <c r="Y385" i="15"/>
  <c r="X384" i="15"/>
  <c r="AZ45" i="14"/>
  <c r="AM45" i="14" s="1"/>
  <c r="BA120" i="14"/>
  <c r="AN120" i="14" s="1"/>
  <c r="DM115" i="3"/>
  <c r="DO115" i="3" s="1"/>
  <c r="EC115" i="3" s="1"/>
  <c r="J117" i="21" s="1"/>
  <c r="DM41" i="2"/>
  <c r="DO41" i="2" s="1"/>
  <c r="EC41" i="2" s="1"/>
  <c r="I42" i="21" s="1"/>
  <c r="I42" i="20" s="1"/>
  <c r="V351" i="15"/>
  <c r="W352" i="15"/>
  <c r="V340" i="15" s="1"/>
  <c r="AV193" i="14"/>
  <c r="AI193" i="14" s="1"/>
  <c r="DL113" i="1"/>
  <c r="DN113" i="1" s="1"/>
  <c r="AU86" i="14"/>
  <c r="AH86" i="14" s="1"/>
  <c r="DL68" i="1"/>
  <c r="DN68" i="1" s="1"/>
  <c r="EB68" i="1" s="1"/>
  <c r="E69" i="21" s="1"/>
  <c r="AT72" i="14"/>
  <c r="AG72" i="14" s="1"/>
  <c r="DL185" i="3"/>
  <c r="DN185" i="3" s="1"/>
  <c r="EB185" i="3" s="1"/>
  <c r="G190" i="21" s="1"/>
  <c r="AT117" i="14"/>
  <c r="AG117" i="14" s="1"/>
  <c r="DL149" i="3"/>
  <c r="DN149" i="3" s="1"/>
  <c r="EB149" i="3" s="1"/>
  <c r="G152" i="21" s="1"/>
  <c r="DL82" i="2"/>
  <c r="DN82" i="2" s="1"/>
  <c r="EB82" i="2" s="1"/>
  <c r="F83" i="21" s="1"/>
  <c r="H83" i="20" s="1"/>
  <c r="AV155" i="14"/>
  <c r="AI155" i="14" s="1"/>
  <c r="AT119" i="14"/>
  <c r="AG119" i="14" s="1"/>
  <c r="DL115" i="1"/>
  <c r="DN115" i="1" s="1"/>
  <c r="EB115" i="1" s="1"/>
  <c r="E116" i="21" s="1"/>
  <c r="V406" i="15"/>
  <c r="W407" i="15"/>
  <c r="AV71" i="14"/>
  <c r="AI71" i="14" s="1"/>
  <c r="AV15" i="14"/>
  <c r="AI15" i="14" s="1"/>
  <c r="AV105" i="14"/>
  <c r="AI105" i="14" s="1"/>
  <c r="DL100" i="3"/>
  <c r="DN100" i="3" s="1"/>
  <c r="DL11" i="3"/>
  <c r="DN11" i="3" s="1"/>
  <c r="EB11" i="3" s="1"/>
  <c r="G12" i="21" s="1"/>
  <c r="DL66" i="3"/>
  <c r="DN66" i="3" s="1"/>
  <c r="EB66" i="3" s="1"/>
  <c r="G68" i="21" s="1"/>
  <c r="X395" i="15"/>
  <c r="Y396" i="15"/>
  <c r="BA38" i="14"/>
  <c r="AN38" i="14" s="1"/>
  <c r="AZ42" i="14"/>
  <c r="AM42" i="14" s="1"/>
  <c r="BA78" i="14"/>
  <c r="AN78" i="14" s="1"/>
  <c r="BA128" i="14"/>
  <c r="AN128" i="14" s="1"/>
  <c r="DM123" i="3"/>
  <c r="DO123" i="3" s="1"/>
  <c r="EC123" i="3" s="1"/>
  <c r="J125" i="21" s="1"/>
  <c r="DM33" i="3"/>
  <c r="DO33" i="3" s="1"/>
  <c r="EC33" i="3" s="1"/>
  <c r="J35" i="21" s="1"/>
  <c r="DM38" i="2"/>
  <c r="DO38" i="2" s="1"/>
  <c r="EC38" i="2" s="1"/>
  <c r="I39" i="21" s="1"/>
  <c r="I39" i="20" s="1"/>
  <c r="DM73" i="3"/>
  <c r="DO73" i="3" s="1"/>
  <c r="EC73" i="3" s="1"/>
  <c r="J75" i="21" s="1"/>
  <c r="X373" i="15"/>
  <c r="Y374" i="15"/>
  <c r="DM69" i="2"/>
  <c r="DO69" i="2" s="1"/>
  <c r="EC69" i="2" s="1"/>
  <c r="I70" i="21" s="1"/>
  <c r="I70" i="20" s="1"/>
  <c r="BA96" i="14"/>
  <c r="AN96" i="14" s="1"/>
  <c r="AZ46" i="14"/>
  <c r="AM46" i="14" s="1"/>
  <c r="AY136" i="14"/>
  <c r="AL136" i="14" s="1"/>
  <c r="BA90" i="14"/>
  <c r="AN90" i="14" s="1"/>
  <c r="DM91" i="3"/>
  <c r="DO91" i="3" s="1"/>
  <c r="EC91" i="3" s="1"/>
  <c r="J93" i="21" s="1"/>
  <c r="DM132" i="1"/>
  <c r="DO132" i="1" s="1"/>
  <c r="EC132" i="1" s="1"/>
  <c r="H133" i="21" s="1"/>
  <c r="AZ73" i="14"/>
  <c r="AM73" i="14" s="1"/>
  <c r="BA65" i="14"/>
  <c r="AN65" i="14" s="1"/>
  <c r="BA115" i="14"/>
  <c r="AN115" i="14" s="1"/>
  <c r="DM42" i="2"/>
  <c r="DO42" i="2" s="1"/>
  <c r="EC42" i="2" s="1"/>
  <c r="I43" i="21" s="1"/>
  <c r="I43" i="20" s="1"/>
  <c r="DM60" i="3"/>
  <c r="DO60" i="3" s="1"/>
  <c r="DM123" i="2"/>
  <c r="DO123" i="2" s="1"/>
  <c r="EC123" i="2" s="1"/>
  <c r="I124" i="21" s="1"/>
  <c r="I124" i="20" s="1"/>
  <c r="AZ127" i="14"/>
  <c r="AM127" i="14" s="1"/>
  <c r="DM110" i="3"/>
  <c r="DO110" i="3" s="1"/>
  <c r="DM85" i="3"/>
  <c r="DO85" i="3" s="1"/>
  <c r="EC85" i="3" s="1"/>
  <c r="J87" i="21" s="1"/>
  <c r="X351" i="15"/>
  <c r="Y352" i="15"/>
  <c r="X340" i="15"/>
  <c r="DM185" i="3"/>
  <c r="DO185" i="3" s="1"/>
  <c r="EC185" i="3" s="1"/>
  <c r="J190" i="21" s="1"/>
  <c r="AZ86" i="14"/>
  <c r="AM86" i="14" s="1"/>
  <c r="AY119" i="14"/>
  <c r="AL119" i="14" s="1"/>
  <c r="AY72" i="14"/>
  <c r="AL72" i="14" s="1"/>
  <c r="DM113" i="1"/>
  <c r="DO113" i="1" s="1"/>
  <c r="DM82" i="2"/>
  <c r="DO82" i="2" s="1"/>
  <c r="EC82" i="2" s="1"/>
  <c r="I83" i="21" s="1"/>
  <c r="I83" i="20" s="1"/>
  <c r="DM115" i="1"/>
  <c r="DO115" i="1" s="1"/>
  <c r="EC115" i="1" s="1"/>
  <c r="H116" i="21" s="1"/>
  <c r="AY117" i="14"/>
  <c r="AL117" i="14" s="1"/>
  <c r="BA193" i="14"/>
  <c r="AN193" i="14" s="1"/>
  <c r="BA155" i="14"/>
  <c r="AN155" i="14" s="1"/>
  <c r="DM149" i="3"/>
  <c r="DO149" i="3" s="1"/>
  <c r="EC149" i="3" s="1"/>
  <c r="J152" i="21" s="1"/>
  <c r="DM68" i="1"/>
  <c r="DO68" i="1" s="1"/>
  <c r="EC68" i="1" s="1"/>
  <c r="H69" i="21" s="1"/>
  <c r="V395" i="15"/>
  <c r="W396" i="15"/>
  <c r="AV128" i="14"/>
  <c r="AI128" i="14" s="1"/>
  <c r="DL123" i="3"/>
  <c r="DN123" i="3" s="1"/>
  <c r="EB123" i="3" s="1"/>
  <c r="G125" i="21" s="1"/>
  <c r="AV78" i="14"/>
  <c r="AI78" i="14" s="1"/>
  <c r="AV38" i="14"/>
  <c r="AI38" i="14" s="1"/>
  <c r="DL73" i="3"/>
  <c r="DN73" i="3" s="1"/>
  <c r="EB73" i="3" s="1"/>
  <c r="G75" i="21" s="1"/>
  <c r="AU42" i="14"/>
  <c r="AH42" i="14" s="1"/>
  <c r="DL33" i="3"/>
  <c r="DN33" i="3" s="1"/>
  <c r="EB33" i="3" s="1"/>
  <c r="G35" i="21" s="1"/>
  <c r="DL38" i="2"/>
  <c r="DN38" i="2" s="1"/>
  <c r="EB38" i="2" s="1"/>
  <c r="F39" i="21" s="1"/>
  <c r="H39" i="20" s="1"/>
  <c r="W418" i="15"/>
  <c r="V417" i="15"/>
  <c r="DL35" i="1"/>
  <c r="DN35" i="1" s="1"/>
  <c r="EB35" i="1" s="1"/>
  <c r="E36" i="21" s="1"/>
  <c r="AT39" i="14"/>
  <c r="AG39" i="14" s="1"/>
  <c r="DL73" i="2"/>
  <c r="DN73" i="2" s="1"/>
  <c r="EB73" i="2" s="1"/>
  <c r="F74" i="21" s="1"/>
  <c r="H74" i="20" s="1"/>
  <c r="DL135" i="3"/>
  <c r="DN135" i="3" s="1"/>
  <c r="EB135" i="3" s="1"/>
  <c r="G138" i="21" s="1"/>
  <c r="AV141" i="14"/>
  <c r="AI141" i="14" s="1"/>
  <c r="AU77" i="14"/>
  <c r="AH77" i="14" s="1"/>
  <c r="Y363" i="15"/>
  <c r="X362" i="15"/>
  <c r="V339" i="15" l="1"/>
  <c r="W340" i="15"/>
  <c r="V328" i="15"/>
  <c r="AU193" i="14"/>
  <c r="AH193" i="14" s="1"/>
  <c r="DL188" i="2"/>
  <c r="DN188" i="2" s="1"/>
  <c r="EB188" i="2" s="1"/>
  <c r="F190" i="21" s="1"/>
  <c r="H190" i="20" s="1"/>
  <c r="DL82" i="1"/>
  <c r="DN82" i="1" s="1"/>
  <c r="EB82" i="1" s="1"/>
  <c r="E83" i="21" s="1"/>
  <c r="DL136" i="3"/>
  <c r="DN136" i="3" s="1"/>
  <c r="EB136" i="3" s="1"/>
  <c r="G139" i="21" s="1"/>
  <c r="AU155" i="14"/>
  <c r="AH155" i="14" s="1"/>
  <c r="AT86" i="14"/>
  <c r="AG86" i="14" s="1"/>
  <c r="AV142" i="14"/>
  <c r="AI142" i="14" s="1"/>
  <c r="DL150" i="2"/>
  <c r="DN150" i="2" s="1"/>
  <c r="EB150" i="2" s="1"/>
  <c r="F152" i="21" s="1"/>
  <c r="H152" i="20" s="1"/>
  <c r="V383" i="15"/>
  <c r="W384" i="15"/>
  <c r="DL38" i="1"/>
  <c r="DN38" i="1" s="1"/>
  <c r="EB38" i="1" s="1"/>
  <c r="E39" i="21" s="1"/>
  <c r="AU128" i="14"/>
  <c r="AH128" i="14" s="1"/>
  <c r="DL26" i="3"/>
  <c r="DN26" i="3" s="1"/>
  <c r="EB26" i="3" s="1"/>
  <c r="G27" i="21" s="1"/>
  <c r="AU38" i="14"/>
  <c r="AH38" i="14" s="1"/>
  <c r="AV30" i="14"/>
  <c r="AI30" i="14" s="1"/>
  <c r="DL74" i="2"/>
  <c r="DN74" i="2" s="1"/>
  <c r="EB74" i="2" s="1"/>
  <c r="F75" i="21" s="1"/>
  <c r="H75" i="20" s="1"/>
  <c r="DL163" i="3"/>
  <c r="DN163" i="3" s="1"/>
  <c r="EB163" i="3" s="1"/>
  <c r="G166" i="21" s="1"/>
  <c r="DL124" i="2"/>
  <c r="DN124" i="2" s="1"/>
  <c r="EB124" i="2" s="1"/>
  <c r="F125" i="21" s="1"/>
  <c r="H125" i="20" s="1"/>
  <c r="DL34" i="2"/>
  <c r="DN34" i="2" s="1"/>
  <c r="EB34" i="2" s="1"/>
  <c r="F35" i="21" s="1"/>
  <c r="AU78" i="14"/>
  <c r="AH78" i="14" s="1"/>
  <c r="AT42" i="14"/>
  <c r="AG42" i="14" s="1"/>
  <c r="AV169" i="14"/>
  <c r="AI169" i="14" s="1"/>
  <c r="Y373" i="15"/>
  <c r="X372" i="15"/>
  <c r="DM116" i="2"/>
  <c r="DO116" i="2" s="1"/>
  <c r="EC116" i="2" s="1"/>
  <c r="I117" i="21" s="1"/>
  <c r="I117" i="20" s="1"/>
  <c r="DM41" i="1"/>
  <c r="DO41" i="1" s="1"/>
  <c r="EC41" i="1" s="1"/>
  <c r="H42" i="21" s="1"/>
  <c r="AZ120" i="14"/>
  <c r="AM120" i="14" s="1"/>
  <c r="AY45" i="14"/>
  <c r="AL45" i="14" s="1"/>
  <c r="V361" i="15"/>
  <c r="W362" i="15"/>
  <c r="AV148" i="14"/>
  <c r="AI148" i="14" s="1"/>
  <c r="AU96" i="14"/>
  <c r="AH96" i="14" s="1"/>
  <c r="DL123" i="1"/>
  <c r="DN123" i="1" s="1"/>
  <c r="EB123" i="1" s="1"/>
  <c r="E124" i="21" s="1"/>
  <c r="DL61" i="2"/>
  <c r="DN61" i="2" s="1"/>
  <c r="AT73" i="14"/>
  <c r="AG73" i="14" s="1"/>
  <c r="AT46" i="14"/>
  <c r="AG46" i="14" s="1"/>
  <c r="AU90" i="14"/>
  <c r="AH90" i="14" s="1"/>
  <c r="DL69" i="1"/>
  <c r="DN69" i="1" s="1"/>
  <c r="EB69" i="1" s="1"/>
  <c r="E70" i="21" s="1"/>
  <c r="DL111" i="2"/>
  <c r="DN111" i="2" s="1"/>
  <c r="DL92" i="2"/>
  <c r="DN92" i="2" s="1"/>
  <c r="EB92" i="2" s="1"/>
  <c r="F93" i="21" s="1"/>
  <c r="H93" i="20" s="1"/>
  <c r="AU65" i="14"/>
  <c r="AH65" i="14" s="1"/>
  <c r="DL86" i="2"/>
  <c r="DN86" i="2" s="1"/>
  <c r="EB86" i="2" s="1"/>
  <c r="F87" i="21" s="1"/>
  <c r="H87" i="20" s="1"/>
  <c r="DL142" i="3"/>
  <c r="DN142" i="3" s="1"/>
  <c r="EB142" i="3" s="1"/>
  <c r="G145" i="21" s="1"/>
  <c r="AT127" i="14"/>
  <c r="AG127" i="14" s="1"/>
  <c r="AU115" i="14"/>
  <c r="AH115" i="14" s="1"/>
  <c r="DL42" i="1"/>
  <c r="DN42" i="1" s="1"/>
  <c r="EB42" i="1" s="1"/>
  <c r="E43" i="21" s="1"/>
  <c r="X416" i="15"/>
  <c r="Y417" i="15"/>
  <c r="X383" i="15"/>
  <c r="Y384" i="15"/>
  <c r="AZ128" i="14"/>
  <c r="AM128" i="14" s="1"/>
  <c r="DM38" i="1"/>
  <c r="DO38" i="1" s="1"/>
  <c r="EC38" i="1" s="1"/>
  <c r="H39" i="21" s="1"/>
  <c r="DM74" i="2"/>
  <c r="DO74" i="2" s="1"/>
  <c r="EC74" i="2" s="1"/>
  <c r="I75" i="21" s="1"/>
  <c r="I75" i="20" s="1"/>
  <c r="DM26" i="3"/>
  <c r="DO26" i="3" s="1"/>
  <c r="EC26" i="3" s="1"/>
  <c r="J27" i="21" s="1"/>
  <c r="DM124" i="2"/>
  <c r="DO124" i="2" s="1"/>
  <c r="EC124" i="2" s="1"/>
  <c r="I125" i="21" s="1"/>
  <c r="I125" i="20" s="1"/>
  <c r="AZ78" i="14"/>
  <c r="AM78" i="14" s="1"/>
  <c r="AZ38" i="14"/>
  <c r="AM38" i="14" s="1"/>
  <c r="BA169" i="14"/>
  <c r="AN169" i="14" s="1"/>
  <c r="AY42" i="14"/>
  <c r="AL42" i="14" s="1"/>
  <c r="DM163" i="3"/>
  <c r="DO163" i="3" s="1"/>
  <c r="EC163" i="3" s="1"/>
  <c r="J166" i="21" s="1"/>
  <c r="DM34" i="2"/>
  <c r="DO34" i="2" s="1"/>
  <c r="EC34" i="2" s="1"/>
  <c r="I35" i="21" s="1"/>
  <c r="BA30" i="14"/>
  <c r="AN30" i="14" s="1"/>
  <c r="Y395" i="15"/>
  <c r="X394" i="15"/>
  <c r="DM30" i="3"/>
  <c r="DO30" i="3" s="1"/>
  <c r="EC30" i="3" s="1"/>
  <c r="J31" i="21" s="1"/>
  <c r="DM67" i="2"/>
  <c r="DO67" i="2" s="1"/>
  <c r="EC67" i="2" s="1"/>
  <c r="I68" i="21" s="1"/>
  <c r="I68" i="20" s="1"/>
  <c r="AZ15" i="14"/>
  <c r="AM15" i="14" s="1"/>
  <c r="AZ105" i="14"/>
  <c r="AM105" i="14" s="1"/>
  <c r="BA34" i="14"/>
  <c r="AN34" i="14" s="1"/>
  <c r="DM101" i="2"/>
  <c r="DO101" i="2" s="1"/>
  <c r="AZ71" i="14"/>
  <c r="AM71" i="14" s="1"/>
  <c r="DM11" i="2"/>
  <c r="DO11" i="2" s="1"/>
  <c r="EC11" i="2" s="1"/>
  <c r="I12" i="21" s="1"/>
  <c r="I12" i="20" s="1"/>
  <c r="W373" i="15"/>
  <c r="V372" i="15"/>
  <c r="DL116" i="2"/>
  <c r="DN116" i="2" s="1"/>
  <c r="EB116" i="2" s="1"/>
  <c r="F117" i="21" s="1"/>
  <c r="H117" i="20" s="1"/>
  <c r="AU120" i="14"/>
  <c r="AH120" i="14" s="1"/>
  <c r="DL41" i="1"/>
  <c r="DN41" i="1" s="1"/>
  <c r="EB41" i="1" s="1"/>
  <c r="E42" i="21" s="1"/>
  <c r="AT45" i="14"/>
  <c r="AG45" i="14" s="1"/>
  <c r="X350" i="15"/>
  <c r="Y351" i="15"/>
  <c r="DM137" i="3"/>
  <c r="DO137" i="3" s="1"/>
  <c r="EC137" i="3" s="1"/>
  <c r="J140" i="21" s="1"/>
  <c r="BA143" i="14"/>
  <c r="AN143" i="14" s="1"/>
  <c r="W406" i="15"/>
  <c r="V405" i="15"/>
  <c r="AT77" i="14"/>
  <c r="AG77" i="14" s="1"/>
  <c r="DL73" i="1"/>
  <c r="DN73" i="1" s="1"/>
  <c r="EB73" i="1" s="1"/>
  <c r="E74" i="21" s="1"/>
  <c r="DL136" i="2"/>
  <c r="DN136" i="2" s="1"/>
  <c r="EB136" i="2" s="1"/>
  <c r="F138" i="21" s="1"/>
  <c r="H138" i="20" s="1"/>
  <c r="AU141" i="14"/>
  <c r="AH141" i="14" s="1"/>
  <c r="V394" i="15"/>
  <c r="W395" i="15"/>
  <c r="AV34" i="14"/>
  <c r="AI34" i="14" s="1"/>
  <c r="DL101" i="2"/>
  <c r="DN101" i="2" s="1"/>
  <c r="DL11" i="2"/>
  <c r="DN11" i="2" s="1"/>
  <c r="EB11" i="2" s="1"/>
  <c r="F12" i="21" s="1"/>
  <c r="H12" i="20" s="1"/>
  <c r="AU71" i="14"/>
  <c r="AH71" i="14" s="1"/>
  <c r="DL67" i="2"/>
  <c r="DN67" i="2" s="1"/>
  <c r="EB67" i="2" s="1"/>
  <c r="F68" i="21" s="1"/>
  <c r="H68" i="20" s="1"/>
  <c r="DL30" i="3"/>
  <c r="DN30" i="3" s="1"/>
  <c r="EB30" i="3" s="1"/>
  <c r="G31" i="21" s="1"/>
  <c r="AU15" i="14"/>
  <c r="AH15" i="14" s="1"/>
  <c r="AU105" i="14"/>
  <c r="AH105" i="14" s="1"/>
  <c r="X339" i="15"/>
  <c r="Y340" i="15"/>
  <c r="X328" i="15"/>
  <c r="AZ155" i="14"/>
  <c r="AM155" i="14" s="1"/>
  <c r="DM82" i="1"/>
  <c r="DO82" i="1" s="1"/>
  <c r="EC82" i="1" s="1"/>
  <c r="H83" i="21" s="1"/>
  <c r="AZ193" i="14"/>
  <c r="AM193" i="14" s="1"/>
  <c r="AY86" i="14"/>
  <c r="AL86" i="14" s="1"/>
  <c r="DM150" i="2"/>
  <c r="DO150" i="2" s="1"/>
  <c r="EC150" i="2" s="1"/>
  <c r="I152" i="21" s="1"/>
  <c r="I152" i="20" s="1"/>
  <c r="DM188" i="2"/>
  <c r="DO188" i="2" s="1"/>
  <c r="EC188" i="2" s="1"/>
  <c r="I190" i="21" s="1"/>
  <c r="I190" i="20" s="1"/>
  <c r="DM136" i="3"/>
  <c r="DO136" i="3" s="1"/>
  <c r="EC136" i="3" s="1"/>
  <c r="J139" i="21" s="1"/>
  <c r="BA142" i="14"/>
  <c r="AN142" i="14" s="1"/>
  <c r="V416" i="15"/>
  <c r="W417" i="15"/>
  <c r="X361" i="15"/>
  <c r="Y362" i="15"/>
  <c r="DM42" i="1"/>
  <c r="DO42" i="1" s="1"/>
  <c r="EC42" i="1" s="1"/>
  <c r="H43" i="21" s="1"/>
  <c r="AZ65" i="14"/>
  <c r="AM65" i="14" s="1"/>
  <c r="DM92" i="2"/>
  <c r="DO92" i="2" s="1"/>
  <c r="EC92" i="2" s="1"/>
  <c r="I93" i="21" s="1"/>
  <c r="I93" i="20" s="1"/>
  <c r="AY73" i="14"/>
  <c r="AL73" i="14" s="1"/>
  <c r="DM61" i="2"/>
  <c r="DO61" i="2" s="1"/>
  <c r="AY127" i="14"/>
  <c r="AL127" i="14" s="1"/>
  <c r="AZ115" i="14"/>
  <c r="AM115" i="14" s="1"/>
  <c r="AY46" i="14"/>
  <c r="AL46" i="14" s="1"/>
  <c r="DM86" i="2"/>
  <c r="DO86" i="2" s="1"/>
  <c r="EC86" i="2" s="1"/>
  <c r="I87" i="21" s="1"/>
  <c r="I87" i="20" s="1"/>
  <c r="DM111" i="2"/>
  <c r="DO111" i="2" s="1"/>
  <c r="DM69" i="1"/>
  <c r="DO69" i="1" s="1"/>
  <c r="EC69" i="1" s="1"/>
  <c r="H70" i="21" s="1"/>
  <c r="AZ90" i="14"/>
  <c r="AM90" i="14" s="1"/>
  <c r="DM142" i="3"/>
  <c r="DO142" i="3" s="1"/>
  <c r="EC142" i="3" s="1"/>
  <c r="J145" i="21" s="1"/>
  <c r="DM123" i="1"/>
  <c r="DO123" i="1" s="1"/>
  <c r="EC123" i="1" s="1"/>
  <c r="H124" i="21" s="1"/>
  <c r="BA148" i="14"/>
  <c r="AN148" i="14" s="1"/>
  <c r="AZ96" i="14"/>
  <c r="AM96" i="14" s="1"/>
  <c r="V350" i="15"/>
  <c r="W351" i="15"/>
  <c r="DL137" i="3"/>
  <c r="DN137" i="3" s="1"/>
  <c r="EB137" i="3" s="1"/>
  <c r="G140" i="21" s="1"/>
  <c r="AV143" i="14"/>
  <c r="AI143" i="14" s="1"/>
  <c r="Y406" i="15"/>
  <c r="X405" i="15"/>
  <c r="AY77" i="14"/>
  <c r="AL77" i="14" s="1"/>
  <c r="DM73" i="1"/>
  <c r="DO73" i="1" s="1"/>
  <c r="EC73" i="1" s="1"/>
  <c r="H74" i="21" s="1"/>
  <c r="AZ141" i="14"/>
  <c r="AM141" i="14" s="1"/>
  <c r="DM136" i="2"/>
  <c r="DO136" i="2" s="1"/>
  <c r="EC136" i="2" s="1"/>
  <c r="I138" i="21" s="1"/>
  <c r="I138" i="20" s="1"/>
  <c r="W383" i="15" l="1"/>
  <c r="V382" i="15"/>
  <c r="DL11" i="1"/>
  <c r="DN11" i="1" s="1"/>
  <c r="EB11" i="1" s="1"/>
  <c r="E12" i="21" s="1"/>
  <c r="DL30" i="2"/>
  <c r="DN30" i="2" s="1"/>
  <c r="EB30" i="2" s="1"/>
  <c r="F31" i="21" s="1"/>
  <c r="H31" i="20" s="1"/>
  <c r="AT71" i="14"/>
  <c r="AG71" i="14" s="1"/>
  <c r="AT105" i="14"/>
  <c r="AG105" i="14" s="1"/>
  <c r="AU34" i="14"/>
  <c r="AH34" i="14" s="1"/>
  <c r="DL95" i="3"/>
  <c r="DN95" i="3" s="1"/>
  <c r="EB95" i="3" s="1"/>
  <c r="G97" i="21" s="1"/>
  <c r="DL101" i="1"/>
  <c r="DN101" i="1" s="1"/>
  <c r="DL67" i="1"/>
  <c r="DN67" i="1" s="1"/>
  <c r="EB67" i="1" s="1"/>
  <c r="E68" i="21" s="1"/>
  <c r="AV100" i="14"/>
  <c r="AI100" i="14" s="1"/>
  <c r="AT15" i="14"/>
  <c r="AG15" i="14" s="1"/>
  <c r="X349" i="15"/>
  <c r="Y350" i="15"/>
  <c r="DM61" i="1"/>
  <c r="DO61" i="1" s="1"/>
  <c r="AZ148" i="14"/>
  <c r="AM148" i="14" s="1"/>
  <c r="DM92" i="1"/>
  <c r="DO92" i="1" s="1"/>
  <c r="AY90" i="14"/>
  <c r="AL90" i="14" s="1"/>
  <c r="AY115" i="14"/>
  <c r="AL115" i="14" s="1"/>
  <c r="DM86" i="1"/>
  <c r="DO86" i="1" s="1"/>
  <c r="EC86" i="1" s="1"/>
  <c r="H87" i="21" s="1"/>
  <c r="DM90" i="3"/>
  <c r="DO90" i="3" s="1"/>
  <c r="EC90" i="3" s="1"/>
  <c r="J92" i="21" s="1"/>
  <c r="DM111" i="1"/>
  <c r="DO111" i="1" s="1"/>
  <c r="BA95" i="14"/>
  <c r="AN95" i="14" s="1"/>
  <c r="DM211" i="3"/>
  <c r="DO211" i="3" s="1"/>
  <c r="EC211" i="3" s="1"/>
  <c r="J217" i="21" s="1"/>
  <c r="AY65" i="14"/>
  <c r="AL65" i="14" s="1"/>
  <c r="DM59" i="3"/>
  <c r="DO59" i="3" s="1"/>
  <c r="EC59" i="3" s="1"/>
  <c r="J61" i="21" s="1"/>
  <c r="AY96" i="14"/>
  <c r="AL96" i="14" s="1"/>
  <c r="BA220" i="14"/>
  <c r="AN220" i="14" s="1"/>
  <c r="DM143" i="2"/>
  <c r="DO143" i="2" s="1"/>
  <c r="EC143" i="2" s="1"/>
  <c r="I145" i="21" s="1"/>
  <c r="I145" i="20" s="1"/>
  <c r="BA64" i="14"/>
  <c r="AN64" i="14" s="1"/>
  <c r="X327" i="15"/>
  <c r="Y328" i="15"/>
  <c r="X316" i="15"/>
  <c r="DM188" i="1"/>
  <c r="DO188" i="1" s="1"/>
  <c r="EC188" i="1" s="1"/>
  <c r="H190" i="21" s="1"/>
  <c r="AZ142" i="14"/>
  <c r="AM142" i="14" s="1"/>
  <c r="AY155" i="14"/>
  <c r="AL155" i="14" s="1"/>
  <c r="DM137" i="2"/>
  <c r="DO137" i="2" s="1"/>
  <c r="EC137" i="2" s="1"/>
  <c r="I139" i="21" s="1"/>
  <c r="I139" i="20" s="1"/>
  <c r="DM151" i="1"/>
  <c r="DO151" i="1" s="1"/>
  <c r="EC151" i="1" s="1"/>
  <c r="H152" i="21" s="1"/>
  <c r="AY193" i="14"/>
  <c r="AL193" i="14" s="1"/>
  <c r="W394" i="15"/>
  <c r="V393" i="15"/>
  <c r="DL13" i="3"/>
  <c r="DN13" i="3" s="1"/>
  <c r="EB13" i="3" s="1"/>
  <c r="G14" i="21" s="1"/>
  <c r="AV28" i="14"/>
  <c r="AI28" i="14" s="1"/>
  <c r="AT141" i="14"/>
  <c r="AG141" i="14" s="1"/>
  <c r="DL24" i="3"/>
  <c r="DN24" i="3" s="1"/>
  <c r="EB24" i="3" s="1"/>
  <c r="G25" i="21" s="1"/>
  <c r="AV17" i="14"/>
  <c r="AI17" i="14" s="1"/>
  <c r="DL137" i="1"/>
  <c r="DN137" i="1" s="1"/>
  <c r="EB137" i="1" s="1"/>
  <c r="E138" i="21" s="1"/>
  <c r="W361" i="15"/>
  <c r="V360" i="15"/>
  <c r="AT120" i="14"/>
  <c r="AG120" i="14" s="1"/>
  <c r="DL147" i="3"/>
  <c r="DN147" i="3" s="1"/>
  <c r="EB147" i="3" s="1"/>
  <c r="G150" i="21" s="1"/>
  <c r="AV79" i="14"/>
  <c r="AI79" i="14" s="1"/>
  <c r="AV153" i="14"/>
  <c r="AI153" i="14" s="1"/>
  <c r="DL116" i="1"/>
  <c r="DN116" i="1" s="1"/>
  <c r="EB116" i="1" s="1"/>
  <c r="E117" i="21" s="1"/>
  <c r="DL74" i="3"/>
  <c r="DN74" i="3" s="1"/>
  <c r="EB74" i="3" s="1"/>
  <c r="G76" i="21" s="1"/>
  <c r="X360" i="15"/>
  <c r="Y361" i="15"/>
  <c r="BA79" i="14"/>
  <c r="AN79" i="14" s="1"/>
  <c r="AY120" i="14"/>
  <c r="AL120" i="14" s="1"/>
  <c r="BA153" i="14"/>
  <c r="AN153" i="14" s="1"/>
  <c r="DM116" i="1"/>
  <c r="DO116" i="1" s="1"/>
  <c r="EC116" i="1" s="1"/>
  <c r="H117" i="21" s="1"/>
  <c r="DM74" i="3"/>
  <c r="DO74" i="3" s="1"/>
  <c r="EC74" i="3" s="1"/>
  <c r="J76" i="21" s="1"/>
  <c r="DM147" i="3"/>
  <c r="DO147" i="3" s="1"/>
  <c r="EC147" i="3" s="1"/>
  <c r="J150" i="21" s="1"/>
  <c r="X393" i="15"/>
  <c r="Y394" i="15"/>
  <c r="DM13" i="3"/>
  <c r="DO13" i="3" s="1"/>
  <c r="EC13" i="3" s="1"/>
  <c r="J14" i="21" s="1"/>
  <c r="BA28" i="14"/>
  <c r="AN28" i="14" s="1"/>
  <c r="AY141" i="14"/>
  <c r="AL141" i="14" s="1"/>
  <c r="DM137" i="1"/>
  <c r="DO137" i="1" s="1"/>
  <c r="EC137" i="1" s="1"/>
  <c r="H138" i="21" s="1"/>
  <c r="BA17" i="14"/>
  <c r="AN17" i="14" s="1"/>
  <c r="DM24" i="3"/>
  <c r="DO24" i="3" s="1"/>
  <c r="EC24" i="3" s="1"/>
  <c r="J25" i="21" s="1"/>
  <c r="X404" i="15"/>
  <c r="Y405" i="15"/>
  <c r="BA139" i="14"/>
  <c r="AN139" i="14" s="1"/>
  <c r="DM133" i="3"/>
  <c r="DO133" i="3" s="1"/>
  <c r="EC133" i="3" s="1"/>
  <c r="J136" i="21" s="1"/>
  <c r="BA12" i="14"/>
  <c r="AN12" i="14" s="1"/>
  <c r="DM8" i="3"/>
  <c r="DO8" i="3" s="1"/>
  <c r="EC8" i="3" s="1"/>
  <c r="J9" i="21" s="1"/>
  <c r="V415" i="15"/>
  <c r="W416" i="15"/>
  <c r="X338" i="15"/>
  <c r="Y339" i="15"/>
  <c r="AZ143" i="14"/>
  <c r="AM143" i="14" s="1"/>
  <c r="DM138" i="2"/>
  <c r="DO138" i="2" s="1"/>
  <c r="EC138" i="2" s="1"/>
  <c r="I140" i="21" s="1"/>
  <c r="I140" i="20" s="1"/>
  <c r="Y383" i="15"/>
  <c r="X382" i="15"/>
  <c r="DM11" i="1"/>
  <c r="DO11" i="1" s="1"/>
  <c r="EC11" i="1" s="1"/>
  <c r="H12" i="21" s="1"/>
  <c r="AY105" i="14"/>
  <c r="AL105" i="14" s="1"/>
  <c r="DM95" i="3"/>
  <c r="DO95" i="3" s="1"/>
  <c r="EC95" i="3" s="1"/>
  <c r="J97" i="21" s="1"/>
  <c r="DM30" i="2"/>
  <c r="DO30" i="2" s="1"/>
  <c r="EC30" i="2" s="1"/>
  <c r="I31" i="21" s="1"/>
  <c r="I31" i="20" s="1"/>
  <c r="AY71" i="14"/>
  <c r="AL71" i="14" s="1"/>
  <c r="DM67" i="1"/>
  <c r="DO67" i="1" s="1"/>
  <c r="EC67" i="1" s="1"/>
  <c r="H68" i="21" s="1"/>
  <c r="DM101" i="1"/>
  <c r="DO101" i="1" s="1"/>
  <c r="AZ34" i="14"/>
  <c r="AM34" i="14" s="1"/>
  <c r="BA100" i="14"/>
  <c r="AN100" i="14" s="1"/>
  <c r="AY15" i="14"/>
  <c r="AL15" i="14" s="1"/>
  <c r="W405" i="15"/>
  <c r="V404" i="15"/>
  <c r="AV12" i="14"/>
  <c r="AI12" i="14" s="1"/>
  <c r="AV139" i="14"/>
  <c r="AI139" i="14" s="1"/>
  <c r="DL133" i="3"/>
  <c r="DN133" i="3" s="1"/>
  <c r="EB133" i="3" s="1"/>
  <c r="G136" i="21" s="1"/>
  <c r="DL8" i="3"/>
  <c r="DN8" i="3" s="1"/>
  <c r="EB8" i="3" s="1"/>
  <c r="G9" i="21" s="1"/>
  <c r="X371" i="15"/>
  <c r="Y372" i="15"/>
  <c r="DM74" i="1"/>
  <c r="DO74" i="1" s="1"/>
  <c r="EC74" i="1" s="1"/>
  <c r="H75" i="21" s="1"/>
  <c r="BA160" i="14"/>
  <c r="AN160" i="14" s="1"/>
  <c r="DM98" i="3"/>
  <c r="DO98" i="3" s="1"/>
  <c r="EC98" i="3" s="1"/>
  <c r="J100" i="21" s="1"/>
  <c r="DM164" i="2"/>
  <c r="DO164" i="2" s="1"/>
  <c r="EC164" i="2" s="1"/>
  <c r="I166" i="21" s="1"/>
  <c r="I166" i="20" s="1"/>
  <c r="DM124" i="1"/>
  <c r="DO124" i="1" s="1"/>
  <c r="EC124" i="1" s="1"/>
  <c r="H125" i="21" s="1"/>
  <c r="AY38" i="14"/>
  <c r="AL38" i="14" s="1"/>
  <c r="DM34" i="1"/>
  <c r="DO34" i="1" s="1"/>
  <c r="EC34" i="1" s="1"/>
  <c r="H35" i="21" s="1"/>
  <c r="BA103" i="14"/>
  <c r="AN103" i="14" s="1"/>
  <c r="AY128" i="14"/>
  <c r="AL128" i="14" s="1"/>
  <c r="AY78" i="14"/>
  <c r="AL78" i="14" s="1"/>
  <c r="DM26" i="2"/>
  <c r="DO26" i="2" s="1"/>
  <c r="EC26" i="2" s="1"/>
  <c r="I27" i="21" s="1"/>
  <c r="I27" i="20" s="1"/>
  <c r="AZ30" i="14"/>
  <c r="AM30" i="14" s="1"/>
  <c r="DM154" i="3"/>
  <c r="DO154" i="3" s="1"/>
  <c r="EC154" i="3" s="1"/>
  <c r="J157" i="21" s="1"/>
  <c r="AZ169" i="14"/>
  <c r="AM169" i="14" s="1"/>
  <c r="V327" i="15"/>
  <c r="W328" i="15"/>
  <c r="V316" i="15"/>
  <c r="AU142" i="14"/>
  <c r="AH142" i="14" s="1"/>
  <c r="DL137" i="2"/>
  <c r="DN137" i="2" s="1"/>
  <c r="EB137" i="2" s="1"/>
  <c r="F139" i="21" s="1"/>
  <c r="H139" i="20" s="1"/>
  <c r="DL151" i="1"/>
  <c r="DN151" i="1" s="1"/>
  <c r="EB151" i="1" s="1"/>
  <c r="E152" i="21" s="1"/>
  <c r="AT193" i="14"/>
  <c r="AG193" i="14" s="1"/>
  <c r="DL188" i="1"/>
  <c r="DN188" i="1" s="1"/>
  <c r="EB188" i="1" s="1"/>
  <c r="E190" i="21" s="1"/>
  <c r="AT155" i="14"/>
  <c r="AG155" i="14" s="1"/>
  <c r="V371" i="15"/>
  <c r="W372" i="15"/>
  <c r="AT38" i="14"/>
  <c r="AG38" i="14" s="1"/>
  <c r="DL74" i="1"/>
  <c r="DN74" i="1" s="1"/>
  <c r="EB74" i="1" s="1"/>
  <c r="E75" i="21" s="1"/>
  <c r="AT128" i="14"/>
  <c r="AG128" i="14" s="1"/>
  <c r="AU30" i="14"/>
  <c r="AH30" i="14" s="1"/>
  <c r="DL98" i="3"/>
  <c r="DN98" i="3" s="1"/>
  <c r="EB98" i="3" s="1"/>
  <c r="G100" i="21" s="1"/>
  <c r="AV103" i="14"/>
  <c r="AI103" i="14" s="1"/>
  <c r="DL26" i="2"/>
  <c r="DN26" i="2" s="1"/>
  <c r="EB26" i="2" s="1"/>
  <c r="F27" i="21" s="1"/>
  <c r="H27" i="20" s="1"/>
  <c r="DL34" i="1"/>
  <c r="DN34" i="1" s="1"/>
  <c r="EB34" i="1" s="1"/>
  <c r="E35" i="21" s="1"/>
  <c r="DL154" i="3"/>
  <c r="DN154" i="3" s="1"/>
  <c r="EB154" i="3" s="1"/>
  <c r="G157" i="21" s="1"/>
  <c r="AT78" i="14"/>
  <c r="AG78" i="14" s="1"/>
  <c r="AU169" i="14"/>
  <c r="AH169" i="14" s="1"/>
  <c r="AV160" i="14"/>
  <c r="AI160" i="14" s="1"/>
  <c r="DL124" i="1"/>
  <c r="DN124" i="1" s="1"/>
  <c r="EB124" i="1" s="1"/>
  <c r="E125" i="21" s="1"/>
  <c r="DL164" i="2"/>
  <c r="DN164" i="2" s="1"/>
  <c r="EB164" i="2" s="1"/>
  <c r="F166" i="21" s="1"/>
  <c r="H166" i="20" s="1"/>
  <c r="Y416" i="15"/>
  <c r="X415" i="15"/>
  <c r="V349" i="15"/>
  <c r="W350" i="15"/>
  <c r="DL61" i="1"/>
  <c r="DN61" i="1" s="1"/>
  <c r="DL143" i="2"/>
  <c r="DN143" i="2" s="1"/>
  <c r="EB143" i="2" s="1"/>
  <c r="F145" i="21" s="1"/>
  <c r="H145" i="20" s="1"/>
  <c r="AV220" i="14"/>
  <c r="AI220" i="14" s="1"/>
  <c r="DL111" i="1"/>
  <c r="DN111" i="1" s="1"/>
  <c r="DL86" i="1"/>
  <c r="DN86" i="1" s="1"/>
  <c r="EB86" i="1" s="1"/>
  <c r="E87" i="21" s="1"/>
  <c r="AT65" i="14"/>
  <c r="AG65" i="14" s="1"/>
  <c r="DL59" i="3"/>
  <c r="DN59" i="3" s="1"/>
  <c r="EB59" i="3" s="1"/>
  <c r="G61" i="21" s="1"/>
  <c r="AT115" i="14"/>
  <c r="AG115" i="14" s="1"/>
  <c r="AV95" i="14"/>
  <c r="AI95" i="14" s="1"/>
  <c r="AT90" i="14"/>
  <c r="AG90" i="14" s="1"/>
  <c r="DL211" i="3"/>
  <c r="DN211" i="3" s="1"/>
  <c r="EB211" i="3" s="1"/>
  <c r="G217" i="21" s="1"/>
  <c r="AV64" i="14"/>
  <c r="AI64" i="14" s="1"/>
  <c r="DL90" i="3"/>
  <c r="DN90" i="3" s="1"/>
  <c r="EB90" i="3" s="1"/>
  <c r="G92" i="21" s="1"/>
  <c r="DL92" i="1"/>
  <c r="DN92" i="1" s="1"/>
  <c r="AT96" i="14"/>
  <c r="AG96" i="14" s="1"/>
  <c r="AU148" i="14"/>
  <c r="AH148" i="14" s="1"/>
  <c r="V338" i="15"/>
  <c r="W339" i="15"/>
  <c r="DL138" i="2"/>
  <c r="DN138" i="2" s="1"/>
  <c r="EB138" i="2" s="1"/>
  <c r="F140" i="21" s="1"/>
  <c r="H140" i="20" s="1"/>
  <c r="AU143" i="14"/>
  <c r="AH143" i="14" s="1"/>
  <c r="W327" i="15" l="1"/>
  <c r="V326" i="15"/>
  <c r="DL63" i="3"/>
  <c r="DN63" i="3" s="1"/>
  <c r="EB63" i="3" s="1"/>
  <c r="G65" i="21" s="1"/>
  <c r="AT143" i="14"/>
  <c r="AG143" i="14" s="1"/>
  <c r="DL139" i="1"/>
  <c r="DN139" i="1" s="1"/>
  <c r="EB139" i="1" s="1"/>
  <c r="E140" i="21" s="1"/>
  <c r="AV68" i="14"/>
  <c r="AI68" i="14" s="1"/>
  <c r="Y415" i="15"/>
  <c r="X414" i="15"/>
  <c r="BA137" i="14"/>
  <c r="AN137" i="14" s="1"/>
  <c r="DM132" i="3"/>
  <c r="DO132" i="3" s="1"/>
  <c r="EC132" i="3" s="1"/>
  <c r="J134" i="21" s="1"/>
  <c r="V315" i="15"/>
  <c r="W316" i="15"/>
  <c r="V304" i="15" s="1"/>
  <c r="DL92" i="3"/>
  <c r="DN92" i="3" s="1"/>
  <c r="EB92" i="3" s="1"/>
  <c r="G94" i="21" s="1"/>
  <c r="DL138" i="1"/>
  <c r="DN138" i="1" s="1"/>
  <c r="EB138" i="1" s="1"/>
  <c r="E139" i="21" s="1"/>
  <c r="AT142" i="14"/>
  <c r="AG142" i="14" s="1"/>
  <c r="AV97" i="14"/>
  <c r="AI97" i="14" s="1"/>
  <c r="X337" i="15"/>
  <c r="Y338" i="15"/>
  <c r="DM144" i="1"/>
  <c r="DO144" i="1" s="1"/>
  <c r="EC144" i="1" s="1"/>
  <c r="H145" i="21" s="1"/>
  <c r="AY148" i="14"/>
  <c r="AL148" i="14" s="1"/>
  <c r="BA218" i="14"/>
  <c r="AN218" i="14" s="1"/>
  <c r="DM91" i="2"/>
  <c r="DO91" i="2" s="1"/>
  <c r="EC91" i="2" s="1"/>
  <c r="I92" i="21" s="1"/>
  <c r="I92" i="20" s="1"/>
  <c r="AZ95" i="14"/>
  <c r="AM95" i="14" s="1"/>
  <c r="AZ220" i="14"/>
  <c r="AM220" i="14" s="1"/>
  <c r="DM209" i="3"/>
  <c r="DO209" i="3" s="1"/>
  <c r="EC209" i="3" s="1"/>
  <c r="J215" i="21" s="1"/>
  <c r="AZ64" i="14"/>
  <c r="AM64" i="14" s="1"/>
  <c r="DM60" i="2"/>
  <c r="DO60" i="2" s="1"/>
  <c r="EC60" i="2" s="1"/>
  <c r="I61" i="21" s="1"/>
  <c r="I61" i="20" s="1"/>
  <c r="DM205" i="2"/>
  <c r="DO205" i="2" s="1"/>
  <c r="EC205" i="2" s="1"/>
  <c r="I217" i="21" s="1"/>
  <c r="I217" i="20" s="1"/>
  <c r="X359" i="15"/>
  <c r="Y360" i="15"/>
  <c r="DM155" i="2"/>
  <c r="DO155" i="2" s="1"/>
  <c r="EC155" i="2" s="1"/>
  <c r="I157" i="21" s="1"/>
  <c r="I157" i="20" s="1"/>
  <c r="DM165" i="1"/>
  <c r="DO165" i="1" s="1"/>
  <c r="EC165" i="1" s="1"/>
  <c r="H166" i="21" s="1"/>
  <c r="DM26" i="1"/>
  <c r="DO26" i="1" s="1"/>
  <c r="EC26" i="1" s="1"/>
  <c r="H27" i="21" s="1"/>
  <c r="AY30" i="14"/>
  <c r="AL30" i="14" s="1"/>
  <c r="AZ103" i="14"/>
  <c r="AM103" i="14" s="1"/>
  <c r="AZ160" i="14"/>
  <c r="AM160" i="14" s="1"/>
  <c r="DM99" i="2"/>
  <c r="DO99" i="2" s="1"/>
  <c r="EC99" i="2" s="1"/>
  <c r="I100" i="21" s="1"/>
  <c r="AY169" i="14"/>
  <c r="AL169" i="14" s="1"/>
  <c r="X315" i="15"/>
  <c r="Y316" i="15"/>
  <c r="X304" i="15" s="1"/>
  <c r="DM138" i="1"/>
  <c r="DO138" i="1" s="1"/>
  <c r="EC138" i="1" s="1"/>
  <c r="H139" i="21" s="1"/>
  <c r="DM92" i="3"/>
  <c r="DO92" i="3" s="1"/>
  <c r="EC92" i="3" s="1"/>
  <c r="J94" i="21" s="1"/>
  <c r="AY142" i="14"/>
  <c r="AL142" i="14" s="1"/>
  <c r="BA97" i="14"/>
  <c r="AN97" i="14" s="1"/>
  <c r="V337" i="15"/>
  <c r="W338" i="15"/>
  <c r="DL91" i="2"/>
  <c r="DN91" i="2" s="1"/>
  <c r="EB91" i="2" s="1"/>
  <c r="F92" i="21" s="1"/>
  <c r="H92" i="20" s="1"/>
  <c r="DL144" i="1"/>
  <c r="DN144" i="1" s="1"/>
  <c r="EB144" i="1" s="1"/>
  <c r="E145" i="21" s="1"/>
  <c r="AU95" i="14"/>
  <c r="AH95" i="14" s="1"/>
  <c r="AU64" i="14"/>
  <c r="AH64" i="14" s="1"/>
  <c r="DL60" i="2"/>
  <c r="DN60" i="2" s="1"/>
  <c r="EB60" i="2" s="1"/>
  <c r="F61" i="21" s="1"/>
  <c r="H61" i="20" s="1"/>
  <c r="DL205" i="2"/>
  <c r="DN205" i="2" s="1"/>
  <c r="EB205" i="2" s="1"/>
  <c r="F217" i="21" s="1"/>
  <c r="H217" i="20" s="1"/>
  <c r="AV218" i="14"/>
  <c r="AI218" i="14" s="1"/>
  <c r="AT148" i="14"/>
  <c r="AG148" i="14" s="1"/>
  <c r="AU220" i="14"/>
  <c r="AH220" i="14" s="1"/>
  <c r="DL209" i="3"/>
  <c r="DN209" i="3" s="1"/>
  <c r="EB209" i="3" s="1"/>
  <c r="G215" i="21" s="1"/>
  <c r="W371" i="15"/>
  <c r="V370" i="15"/>
  <c r="AV110" i="14"/>
  <c r="AI110" i="14" s="1"/>
  <c r="AU100" i="14"/>
  <c r="AH100" i="14" s="1"/>
  <c r="AV33" i="14"/>
  <c r="AI33" i="14" s="1"/>
  <c r="AV29" i="14"/>
  <c r="AI29" i="14" s="1"/>
  <c r="AT34" i="14"/>
  <c r="AG34" i="14" s="1"/>
  <c r="DL96" i="2"/>
  <c r="DN96" i="2" s="1"/>
  <c r="EB96" i="2" s="1"/>
  <c r="F97" i="21" s="1"/>
  <c r="H97" i="20" s="1"/>
  <c r="DL30" i="1"/>
  <c r="DN30" i="1" s="1"/>
  <c r="EB30" i="1" s="1"/>
  <c r="E31" i="21" s="1"/>
  <c r="DL105" i="3"/>
  <c r="DN105" i="3" s="1"/>
  <c r="EB105" i="3" s="1"/>
  <c r="G107" i="21" s="1"/>
  <c r="DL29" i="3"/>
  <c r="DN29" i="3" s="1"/>
  <c r="EB29" i="3" s="1"/>
  <c r="G30" i="21" s="1"/>
  <c r="DL25" i="3"/>
  <c r="DN25" i="3" s="1"/>
  <c r="EB25" i="3" s="1"/>
  <c r="G26" i="21" s="1"/>
  <c r="X326" i="15"/>
  <c r="Y327" i="15"/>
  <c r="AY143" i="14"/>
  <c r="AL143" i="14" s="1"/>
  <c r="DM63" i="3"/>
  <c r="DO63" i="3" s="1"/>
  <c r="EC63" i="3" s="1"/>
  <c r="J65" i="21" s="1"/>
  <c r="BA68" i="14"/>
  <c r="AN68" i="14" s="1"/>
  <c r="DM139" i="1"/>
  <c r="DO139" i="1" s="1"/>
  <c r="EC139" i="1" s="1"/>
  <c r="H140" i="21" s="1"/>
  <c r="Y371" i="15"/>
  <c r="X370" i="15"/>
  <c r="DM29" i="3"/>
  <c r="DO29" i="3" s="1"/>
  <c r="EC29" i="3" s="1"/>
  <c r="J30" i="21" s="1"/>
  <c r="DM30" i="1"/>
  <c r="DO30" i="1" s="1"/>
  <c r="EC30" i="1" s="1"/>
  <c r="H31" i="21" s="1"/>
  <c r="DM105" i="3"/>
  <c r="DO105" i="3" s="1"/>
  <c r="EC105" i="3" s="1"/>
  <c r="J107" i="21" s="1"/>
  <c r="BA29" i="14"/>
  <c r="AN29" i="14" s="1"/>
  <c r="AZ100" i="14"/>
  <c r="AM100" i="14" s="1"/>
  <c r="BA110" i="14"/>
  <c r="AN110" i="14" s="1"/>
  <c r="BA33" i="14"/>
  <c r="AN33" i="14" s="1"/>
  <c r="DM25" i="3"/>
  <c r="DO25" i="3" s="1"/>
  <c r="EC25" i="3" s="1"/>
  <c r="J26" i="21" s="1"/>
  <c r="AY34" i="14"/>
  <c r="AL34" i="14" s="1"/>
  <c r="DM96" i="2"/>
  <c r="DO96" i="2" s="1"/>
  <c r="EC96" i="2" s="1"/>
  <c r="I97" i="21" s="1"/>
  <c r="I97" i="20" s="1"/>
  <c r="W415" i="15"/>
  <c r="V414" i="15"/>
  <c r="DL132" i="3"/>
  <c r="DN132" i="3" s="1"/>
  <c r="EB132" i="3" s="1"/>
  <c r="G134" i="21" s="1"/>
  <c r="AV137" i="14"/>
  <c r="AI137" i="14" s="1"/>
  <c r="Y404" i="15"/>
  <c r="X403" i="15"/>
  <c r="BA57" i="14"/>
  <c r="AN57" i="14" s="1"/>
  <c r="DM52" i="3"/>
  <c r="DO52" i="3" s="1"/>
  <c r="EC52" i="3" s="1"/>
  <c r="J54" i="21" s="1"/>
  <c r="V392" i="15"/>
  <c r="W393" i="15"/>
  <c r="AU139" i="14"/>
  <c r="AH139" i="14" s="1"/>
  <c r="DL96" i="3"/>
  <c r="DN96" i="3" s="1"/>
  <c r="EB96" i="3" s="1"/>
  <c r="G98" i="21" s="1"/>
  <c r="DL134" i="2"/>
  <c r="DN134" i="2" s="1"/>
  <c r="EB134" i="2" s="1"/>
  <c r="F136" i="21" s="1"/>
  <c r="H136" i="20" s="1"/>
  <c r="DL8" i="2"/>
  <c r="DN8" i="2" s="1"/>
  <c r="EB8" i="2" s="1"/>
  <c r="F9" i="21" s="1"/>
  <c r="H9" i="20" s="1"/>
  <c r="AV101" i="14"/>
  <c r="AI101" i="14" s="1"/>
  <c r="AU12" i="14"/>
  <c r="AH12" i="14" s="1"/>
  <c r="Y393" i="15"/>
  <c r="X392" i="15"/>
  <c r="DM134" i="2"/>
  <c r="DO134" i="2" s="1"/>
  <c r="EC134" i="2" s="1"/>
  <c r="I136" i="21" s="1"/>
  <c r="I136" i="20" s="1"/>
  <c r="AZ12" i="14"/>
  <c r="AM12" i="14" s="1"/>
  <c r="BA101" i="14"/>
  <c r="AN101" i="14" s="1"/>
  <c r="AZ139" i="14"/>
  <c r="AM139" i="14" s="1"/>
  <c r="DM96" i="3"/>
  <c r="DO96" i="3" s="1"/>
  <c r="EC96" i="3" s="1"/>
  <c r="J98" i="21" s="1"/>
  <c r="DM8" i="2"/>
  <c r="DO8" i="2" s="1"/>
  <c r="EC8" i="2" s="1"/>
  <c r="I9" i="21" s="1"/>
  <c r="I9" i="20" s="1"/>
  <c r="W382" i="15"/>
  <c r="V381" i="15"/>
  <c r="DL135" i="1"/>
  <c r="DN135" i="1" s="1"/>
  <c r="EB135" i="1" s="1"/>
  <c r="E136" i="21" s="1"/>
  <c r="DL13" i="2"/>
  <c r="DN13" i="2" s="1"/>
  <c r="EB13" i="2" s="1"/>
  <c r="F14" i="21" s="1"/>
  <c r="H14" i="20" s="1"/>
  <c r="AU17" i="14"/>
  <c r="AH17" i="14" s="1"/>
  <c r="DL24" i="2"/>
  <c r="DN24" i="2" s="1"/>
  <c r="EB24" i="2" s="1"/>
  <c r="F25" i="21" s="1"/>
  <c r="H25" i="20" s="1"/>
  <c r="AT139" i="14"/>
  <c r="AG139" i="14" s="1"/>
  <c r="AU28" i="14"/>
  <c r="AH28" i="14" s="1"/>
  <c r="W349" i="15"/>
  <c r="V348" i="15"/>
  <c r="AU153" i="14"/>
  <c r="AH153" i="14" s="1"/>
  <c r="DL148" i="2"/>
  <c r="DN148" i="2" s="1"/>
  <c r="EB148" i="2" s="1"/>
  <c r="F150" i="21" s="1"/>
  <c r="H150" i="20" s="1"/>
  <c r="AU79" i="14"/>
  <c r="AH79" i="14" s="1"/>
  <c r="DL75" i="2"/>
  <c r="DN75" i="2" s="1"/>
  <c r="EB75" i="2" s="1"/>
  <c r="F76" i="21" s="1"/>
  <c r="H76" i="20" s="1"/>
  <c r="V403" i="15"/>
  <c r="W404" i="15"/>
  <c r="DL52" i="3"/>
  <c r="DN52" i="3" s="1"/>
  <c r="EB52" i="3" s="1"/>
  <c r="G54" i="21" s="1"/>
  <c r="AV57" i="14"/>
  <c r="AI57" i="14" s="1"/>
  <c r="X381" i="15"/>
  <c r="Y382" i="15"/>
  <c r="AY139" i="14"/>
  <c r="AL139" i="14" s="1"/>
  <c r="DM24" i="2"/>
  <c r="DO24" i="2" s="1"/>
  <c r="EC24" i="2" s="1"/>
  <c r="I25" i="21" s="1"/>
  <c r="I25" i="20" s="1"/>
  <c r="DM135" i="1"/>
  <c r="DO135" i="1" s="1"/>
  <c r="EC135" i="1" s="1"/>
  <c r="H136" i="21" s="1"/>
  <c r="DM13" i="2"/>
  <c r="DO13" i="2" s="1"/>
  <c r="EC13" i="2" s="1"/>
  <c r="I14" i="21" s="1"/>
  <c r="I14" i="20" s="1"/>
  <c r="AZ28" i="14"/>
  <c r="AM28" i="14" s="1"/>
  <c r="AZ17" i="14"/>
  <c r="AM17" i="14" s="1"/>
  <c r="V359" i="15"/>
  <c r="W360" i="15"/>
  <c r="DL26" i="1"/>
  <c r="DN26" i="1" s="1"/>
  <c r="EB26" i="1" s="1"/>
  <c r="E27" i="21" s="1"/>
  <c r="DL165" i="1"/>
  <c r="DN165" i="1" s="1"/>
  <c r="EB165" i="1" s="1"/>
  <c r="E166" i="21" s="1"/>
  <c r="DL99" i="2"/>
  <c r="DN99" i="2" s="1"/>
  <c r="EB99" i="2" s="1"/>
  <c r="F100" i="21" s="1"/>
  <c r="DL155" i="2"/>
  <c r="DN155" i="2" s="1"/>
  <c r="EB155" i="2" s="1"/>
  <c r="F157" i="21" s="1"/>
  <c r="H157" i="20" s="1"/>
  <c r="AU103" i="14"/>
  <c r="AH103" i="14" s="1"/>
  <c r="AT169" i="14"/>
  <c r="AG169" i="14" s="1"/>
  <c r="AT30" i="14"/>
  <c r="AG30" i="14" s="1"/>
  <c r="AU160" i="14"/>
  <c r="AH160" i="14" s="1"/>
  <c r="Y349" i="15"/>
  <c r="X348" i="15"/>
  <c r="AZ79" i="14"/>
  <c r="AM79" i="14" s="1"/>
  <c r="DM75" i="2"/>
  <c r="DO75" i="2" s="1"/>
  <c r="EC75" i="2" s="1"/>
  <c r="I76" i="21" s="1"/>
  <c r="I76" i="20" s="1"/>
  <c r="DM148" i="2"/>
  <c r="DO148" i="2" s="1"/>
  <c r="EC148" i="2" s="1"/>
  <c r="I150" i="21" s="1"/>
  <c r="I150" i="20" s="1"/>
  <c r="AZ153" i="14"/>
  <c r="AM153" i="14" s="1"/>
  <c r="V303" i="15" l="1"/>
  <c r="W304" i="15"/>
  <c r="V292" i="15"/>
  <c r="AU97" i="14"/>
  <c r="AH97" i="14" s="1"/>
  <c r="DL93" i="2"/>
  <c r="DN93" i="2" s="1"/>
  <c r="EB93" i="2" s="1"/>
  <c r="F94" i="21" s="1"/>
  <c r="H94" i="20" s="1"/>
  <c r="X303" i="15"/>
  <c r="Y304" i="15"/>
  <c r="X292" i="15" s="1"/>
  <c r="DM93" i="2"/>
  <c r="DO93" i="2" s="1"/>
  <c r="EC93" i="2" s="1"/>
  <c r="I94" i="21" s="1"/>
  <c r="I94" i="20" s="1"/>
  <c r="AZ97" i="14"/>
  <c r="AM97" i="14" s="1"/>
  <c r="X325" i="15"/>
  <c r="Y326" i="15"/>
  <c r="AZ218" i="14"/>
  <c r="AM218" i="14" s="1"/>
  <c r="BA63" i="14"/>
  <c r="AN63" i="14" s="1"/>
  <c r="DM58" i="3"/>
  <c r="DO58" i="3" s="1"/>
  <c r="EC58" i="3" s="1"/>
  <c r="J60" i="21" s="1"/>
  <c r="AY64" i="14"/>
  <c r="AL64" i="14" s="1"/>
  <c r="DM204" i="3"/>
  <c r="DO204" i="3" s="1"/>
  <c r="EC204" i="3" s="1"/>
  <c r="J209" i="21" s="1"/>
  <c r="DM60" i="1"/>
  <c r="DO60" i="1" s="1"/>
  <c r="EC60" i="1" s="1"/>
  <c r="H61" i="21" s="1"/>
  <c r="DM91" i="1"/>
  <c r="DO91" i="1" s="1"/>
  <c r="EC91" i="1" s="1"/>
  <c r="H92" i="21" s="1"/>
  <c r="AY95" i="14"/>
  <c r="AL95" i="14" s="1"/>
  <c r="AY220" i="14"/>
  <c r="AL220" i="14" s="1"/>
  <c r="BA212" i="14"/>
  <c r="AN212" i="14" s="1"/>
  <c r="DM214" i="1"/>
  <c r="DO214" i="1" s="1"/>
  <c r="EC214" i="1" s="1"/>
  <c r="H217" i="21" s="1"/>
  <c r="W337" i="15"/>
  <c r="V336" i="15"/>
  <c r="AT79" i="14"/>
  <c r="AG79" i="14" s="1"/>
  <c r="AV31" i="14"/>
  <c r="AI31" i="14" s="1"/>
  <c r="DL149" i="1"/>
  <c r="DN149" i="1" s="1"/>
  <c r="EB149" i="1" s="1"/>
  <c r="E150" i="21" s="1"/>
  <c r="AT153" i="14"/>
  <c r="AG153" i="14" s="1"/>
  <c r="DL75" i="1"/>
  <c r="DN75" i="1" s="1"/>
  <c r="EB75" i="1" s="1"/>
  <c r="E76" i="21" s="1"/>
  <c r="DL27" i="3"/>
  <c r="DN27" i="3" s="1"/>
  <c r="EB27" i="3" s="1"/>
  <c r="G28" i="21" s="1"/>
  <c r="V347" i="15"/>
  <c r="W348" i="15"/>
  <c r="AT103" i="14"/>
  <c r="AG103" i="14" s="1"/>
  <c r="DL156" i="1"/>
  <c r="DN156" i="1" s="1"/>
  <c r="EB156" i="1" s="1"/>
  <c r="E157" i="21" s="1"/>
  <c r="DL99" i="1"/>
  <c r="DN99" i="1" s="1"/>
  <c r="EB99" i="1" s="1"/>
  <c r="E100" i="21" s="1"/>
  <c r="AT160" i="14"/>
  <c r="AG160" i="14" s="1"/>
  <c r="W370" i="15"/>
  <c r="V369" i="15"/>
  <c r="AT28" i="14"/>
  <c r="AG28" i="14" s="1"/>
  <c r="AV62" i="14"/>
  <c r="AI62" i="14" s="1"/>
  <c r="AT17" i="14"/>
  <c r="AG17" i="14" s="1"/>
  <c r="DL57" i="3"/>
  <c r="DN57" i="3" s="1"/>
  <c r="EB57" i="3" s="1"/>
  <c r="G59" i="21" s="1"/>
  <c r="DL24" i="1"/>
  <c r="DN24" i="1" s="1"/>
  <c r="EB24" i="1" s="1"/>
  <c r="E25" i="21" s="1"/>
  <c r="DL13" i="1"/>
  <c r="DN13" i="1" s="1"/>
  <c r="EB13" i="1" s="1"/>
  <c r="E14" i="21" s="1"/>
  <c r="Y392" i="15"/>
  <c r="X391" i="15"/>
  <c r="DM53" i="2"/>
  <c r="DO53" i="2" s="1"/>
  <c r="EC53" i="2" s="1"/>
  <c r="I54" i="21" s="1"/>
  <c r="I54" i="20" s="1"/>
  <c r="AZ57" i="14"/>
  <c r="AM57" i="14" s="1"/>
  <c r="X402" i="15"/>
  <c r="Y403" i="15"/>
  <c r="DM133" i="2"/>
  <c r="DO133" i="2" s="1"/>
  <c r="EC133" i="2" s="1"/>
  <c r="I134" i="21" s="1"/>
  <c r="I134" i="20" s="1"/>
  <c r="BA106" i="14"/>
  <c r="AN106" i="14" s="1"/>
  <c r="DM101" i="3"/>
  <c r="DO101" i="3" s="1"/>
  <c r="EC101" i="3" s="1"/>
  <c r="J103" i="21" s="1"/>
  <c r="AZ137" i="14"/>
  <c r="AM137" i="14" s="1"/>
  <c r="X380" i="15"/>
  <c r="Y381" i="15"/>
  <c r="DM97" i="2"/>
  <c r="DO97" i="2" s="1"/>
  <c r="EC97" i="2" s="1"/>
  <c r="I98" i="21" s="1"/>
  <c r="I98" i="20" s="1"/>
  <c r="DM8" i="1"/>
  <c r="DO8" i="1" s="1"/>
  <c r="EC8" i="1" s="1"/>
  <c r="H9" i="21" s="1"/>
  <c r="AZ101" i="14"/>
  <c r="AM101" i="14" s="1"/>
  <c r="AY12" i="14"/>
  <c r="AL12" i="14" s="1"/>
  <c r="X413" i="15"/>
  <c r="Y414" i="15"/>
  <c r="AZ197" i="14"/>
  <c r="AM197" i="14" s="1"/>
  <c r="AY202" i="14"/>
  <c r="AL202" i="14" s="1"/>
  <c r="AZ16" i="14"/>
  <c r="AM16" i="14" s="1"/>
  <c r="DM192" i="2"/>
  <c r="DO192" i="2" s="1"/>
  <c r="DM126" i="3"/>
  <c r="DO126" i="3" s="1"/>
  <c r="EC126" i="3" s="1"/>
  <c r="J128" i="21" s="1"/>
  <c r="DM12" i="2"/>
  <c r="DO12" i="2" s="1"/>
  <c r="EC12" i="2" s="1"/>
  <c r="I13" i="21" s="1"/>
  <c r="I13" i="20" s="1"/>
  <c r="DM197" i="1"/>
  <c r="DO197" i="1" s="1"/>
  <c r="EC197" i="1" s="1"/>
  <c r="H199" i="21" s="1"/>
  <c r="BA131" i="14"/>
  <c r="AN131" i="14" s="1"/>
  <c r="W315" i="15"/>
  <c r="V314" i="15"/>
  <c r="AU68" i="14"/>
  <c r="AH68" i="14" s="1"/>
  <c r="DL64" i="2"/>
  <c r="DN64" i="2" s="1"/>
  <c r="EB64" i="2" s="1"/>
  <c r="F65" i="21" s="1"/>
  <c r="H65" i="20" s="1"/>
  <c r="W359" i="15"/>
  <c r="V358" i="15"/>
  <c r="AU33" i="14"/>
  <c r="AH33" i="14" s="1"/>
  <c r="DL29" i="2"/>
  <c r="DN29" i="2" s="1"/>
  <c r="EB29" i="2" s="1"/>
  <c r="F30" i="21" s="1"/>
  <c r="H30" i="20" s="1"/>
  <c r="DL25" i="2"/>
  <c r="DN25" i="2" s="1"/>
  <c r="EB25" i="2" s="1"/>
  <c r="F26" i="21" s="1"/>
  <c r="H26" i="20" s="1"/>
  <c r="AU29" i="14"/>
  <c r="AH29" i="14" s="1"/>
  <c r="AU110" i="14"/>
  <c r="AH110" i="14" s="1"/>
  <c r="AT100" i="14"/>
  <c r="AG100" i="14" s="1"/>
  <c r="DL106" i="2"/>
  <c r="DN106" i="2" s="1"/>
  <c r="EB106" i="2" s="1"/>
  <c r="F107" i="21" s="1"/>
  <c r="H107" i="20" s="1"/>
  <c r="DL96" i="1"/>
  <c r="DN96" i="1" s="1"/>
  <c r="EB96" i="1" s="1"/>
  <c r="E97" i="21" s="1"/>
  <c r="V402" i="15"/>
  <c r="W403" i="15"/>
  <c r="AU137" i="14"/>
  <c r="AH137" i="14" s="1"/>
  <c r="DL101" i="3"/>
  <c r="DN101" i="3" s="1"/>
  <c r="EB101" i="3" s="1"/>
  <c r="G103" i="21" s="1"/>
  <c r="AV106" i="14"/>
  <c r="AI106" i="14" s="1"/>
  <c r="DL133" i="2"/>
  <c r="DN133" i="2" s="1"/>
  <c r="EB133" i="2" s="1"/>
  <c r="F134" i="21" s="1"/>
  <c r="H134" i="20" s="1"/>
  <c r="X347" i="15"/>
  <c r="Y348" i="15"/>
  <c r="AY103" i="14"/>
  <c r="AL103" i="14" s="1"/>
  <c r="DM99" i="1"/>
  <c r="DO99" i="1" s="1"/>
  <c r="EC99" i="1" s="1"/>
  <c r="H100" i="21" s="1"/>
  <c r="AY160" i="14"/>
  <c r="AL160" i="14" s="1"/>
  <c r="DM156" i="1"/>
  <c r="DO156" i="1" s="1"/>
  <c r="EC156" i="1" s="1"/>
  <c r="H157" i="21" s="1"/>
  <c r="V380" i="15"/>
  <c r="W381" i="15"/>
  <c r="AU101" i="14"/>
  <c r="AH101" i="14" s="1"/>
  <c r="DL8" i="1"/>
  <c r="DN8" i="1" s="1"/>
  <c r="EB8" i="1" s="1"/>
  <c r="E9" i="21" s="1"/>
  <c r="AT12" i="14"/>
  <c r="AG12" i="14" s="1"/>
  <c r="DL97" i="2"/>
  <c r="DN97" i="2" s="1"/>
  <c r="EB97" i="2" s="1"/>
  <c r="F98" i="21" s="1"/>
  <c r="H98" i="20" s="1"/>
  <c r="V413" i="15"/>
  <c r="W414" i="15"/>
  <c r="AT202" i="14"/>
  <c r="AG202" i="14" s="1"/>
  <c r="AU16" i="14"/>
  <c r="AH16" i="14" s="1"/>
  <c r="DL197" i="1"/>
  <c r="DN197" i="1" s="1"/>
  <c r="EB197" i="1" s="1"/>
  <c r="E199" i="21" s="1"/>
  <c r="DL126" i="3"/>
  <c r="DN126" i="3" s="1"/>
  <c r="EB126" i="3" s="1"/>
  <c r="G128" i="21" s="1"/>
  <c r="DL192" i="2"/>
  <c r="DN192" i="2" s="1"/>
  <c r="AV131" i="14"/>
  <c r="AI131" i="14" s="1"/>
  <c r="AU197" i="14"/>
  <c r="AH197" i="14" s="1"/>
  <c r="DL12" i="2"/>
  <c r="DN12" i="2" s="1"/>
  <c r="EB12" i="2" s="1"/>
  <c r="F13" i="21" s="1"/>
  <c r="H13" i="20" s="1"/>
  <c r="X369" i="15"/>
  <c r="Y370" i="15"/>
  <c r="DM13" i="1"/>
  <c r="DO13" i="1" s="1"/>
  <c r="EC13" i="1" s="1"/>
  <c r="H14" i="21" s="1"/>
  <c r="AY28" i="14"/>
  <c r="AL28" i="14" s="1"/>
  <c r="DM57" i="3"/>
  <c r="DO57" i="3" s="1"/>
  <c r="EC57" i="3" s="1"/>
  <c r="J59" i="21" s="1"/>
  <c r="DM24" i="1"/>
  <c r="DO24" i="1" s="1"/>
  <c r="EC24" i="1" s="1"/>
  <c r="H25" i="21" s="1"/>
  <c r="BA62" i="14"/>
  <c r="AN62" i="14" s="1"/>
  <c r="AY17" i="14"/>
  <c r="AL17" i="14" s="1"/>
  <c r="Y359" i="15"/>
  <c r="X358" i="15"/>
  <c r="DM106" i="2"/>
  <c r="DO106" i="2" s="1"/>
  <c r="EC106" i="2" s="1"/>
  <c r="I107" i="21" s="1"/>
  <c r="I107" i="20" s="1"/>
  <c r="DM96" i="1"/>
  <c r="DO96" i="1" s="1"/>
  <c r="EC96" i="1" s="1"/>
  <c r="H97" i="21" s="1"/>
  <c r="DM29" i="2"/>
  <c r="DO29" i="2" s="1"/>
  <c r="EC29" i="2" s="1"/>
  <c r="I30" i="21" s="1"/>
  <c r="I30" i="20" s="1"/>
  <c r="AY100" i="14"/>
  <c r="AL100" i="14" s="1"/>
  <c r="AZ29" i="14"/>
  <c r="AM29" i="14" s="1"/>
  <c r="AZ33" i="14"/>
  <c r="AM33" i="14" s="1"/>
  <c r="AZ110" i="14"/>
  <c r="AM110" i="14" s="1"/>
  <c r="DM25" i="2"/>
  <c r="DO25" i="2" s="1"/>
  <c r="EC25" i="2" s="1"/>
  <c r="I26" i="21" s="1"/>
  <c r="I26" i="20" s="1"/>
  <c r="X336" i="15"/>
  <c r="Y337" i="15"/>
  <c r="DM27" i="3"/>
  <c r="DO27" i="3" s="1"/>
  <c r="EC27" i="3" s="1"/>
  <c r="J28" i="21" s="1"/>
  <c r="AY153" i="14"/>
  <c r="AL153" i="14" s="1"/>
  <c r="DM149" i="1"/>
  <c r="DO149" i="1" s="1"/>
  <c r="EC149" i="1" s="1"/>
  <c r="H150" i="21" s="1"/>
  <c r="BA31" i="14"/>
  <c r="AN31" i="14" s="1"/>
  <c r="AY79" i="14"/>
  <c r="AL79" i="14" s="1"/>
  <c r="DM75" i="1"/>
  <c r="DO75" i="1" s="1"/>
  <c r="EC75" i="1" s="1"/>
  <c r="H76" i="21" s="1"/>
  <c r="Y315" i="15"/>
  <c r="X314" i="15"/>
  <c r="AZ68" i="14"/>
  <c r="AM68" i="14" s="1"/>
  <c r="DM64" i="2"/>
  <c r="DO64" i="2" s="1"/>
  <c r="EC64" i="2" s="1"/>
  <c r="I65" i="21" s="1"/>
  <c r="I65" i="20" s="1"/>
  <c r="V325" i="15"/>
  <c r="W326" i="15"/>
  <c r="AV212" i="14"/>
  <c r="AI212" i="14" s="1"/>
  <c r="AT220" i="14"/>
  <c r="AG220" i="14" s="1"/>
  <c r="DL91" i="1"/>
  <c r="DN91" i="1" s="1"/>
  <c r="EB91" i="1" s="1"/>
  <c r="E92" i="21" s="1"/>
  <c r="DL214" i="1"/>
  <c r="DN214" i="1" s="1"/>
  <c r="EB214" i="1" s="1"/>
  <c r="E217" i="21" s="1"/>
  <c r="AU218" i="14"/>
  <c r="AH218" i="14" s="1"/>
  <c r="AT95" i="14"/>
  <c r="AG95" i="14" s="1"/>
  <c r="AT64" i="14"/>
  <c r="AG64" i="14" s="1"/>
  <c r="DL60" i="1"/>
  <c r="DN60" i="1" s="1"/>
  <c r="EB60" i="1" s="1"/>
  <c r="E61" i="21" s="1"/>
  <c r="DL58" i="3"/>
  <c r="DN58" i="3" s="1"/>
  <c r="EB58" i="3" s="1"/>
  <c r="G60" i="21" s="1"/>
  <c r="DL204" i="3"/>
  <c r="DN204" i="3" s="1"/>
  <c r="EB204" i="3" s="1"/>
  <c r="G209" i="21" s="1"/>
  <c r="AV63" i="14"/>
  <c r="AI63" i="14" s="1"/>
  <c r="W392" i="15"/>
  <c r="V391" i="15"/>
  <c r="AU57" i="14"/>
  <c r="AH57" i="14" s="1"/>
  <c r="DL53" i="2"/>
  <c r="DN53" i="2" s="1"/>
  <c r="EB53" i="2" s="1"/>
  <c r="F54" i="21" s="1"/>
  <c r="H54" i="20" s="1"/>
  <c r="X291" i="15" l="1"/>
  <c r="Y292" i="15"/>
  <c r="X280" i="15"/>
  <c r="AY97" i="14"/>
  <c r="AL97" i="14" s="1"/>
  <c r="DM93" i="1"/>
  <c r="DO93" i="1" s="1"/>
  <c r="EC93" i="1" s="1"/>
  <c r="H94" i="21" s="1"/>
  <c r="W325" i="15"/>
  <c r="V324" i="15"/>
  <c r="DL27" i="2"/>
  <c r="DN27" i="2" s="1"/>
  <c r="EB27" i="2" s="1"/>
  <c r="F28" i="21" s="1"/>
  <c r="H28" i="20" s="1"/>
  <c r="AU31" i="14"/>
  <c r="AH31" i="14" s="1"/>
  <c r="DL144" i="3"/>
  <c r="DN144" i="3" s="1"/>
  <c r="EB144" i="3" s="1"/>
  <c r="G147" i="21" s="1"/>
  <c r="AV150" i="14"/>
  <c r="AI150" i="14" s="1"/>
  <c r="X390" i="15"/>
  <c r="Y391" i="15"/>
  <c r="DM102" i="2"/>
  <c r="DO102" i="2" s="1"/>
  <c r="EC102" i="2" s="1"/>
  <c r="I103" i="21" s="1"/>
  <c r="I103" i="20" s="1"/>
  <c r="AZ106" i="14"/>
  <c r="AM106" i="14" s="1"/>
  <c r="DM133" i="1"/>
  <c r="DO133" i="1" s="1"/>
  <c r="EC133" i="1" s="1"/>
  <c r="H134" i="21" s="1"/>
  <c r="AY137" i="14"/>
  <c r="AL137" i="14" s="1"/>
  <c r="Y325" i="15"/>
  <c r="X324" i="15"/>
  <c r="DM144" i="3"/>
  <c r="DO144" i="3" s="1"/>
  <c r="EC144" i="3" s="1"/>
  <c r="J147" i="21" s="1"/>
  <c r="BA150" i="14"/>
  <c r="AN150" i="14" s="1"/>
  <c r="DM27" i="2"/>
  <c r="DO27" i="2" s="1"/>
  <c r="EC27" i="2" s="1"/>
  <c r="I28" i="21" s="1"/>
  <c r="I28" i="20" s="1"/>
  <c r="AZ31" i="14"/>
  <c r="AM31" i="14" s="1"/>
  <c r="X313" i="15"/>
  <c r="Y314" i="15"/>
  <c r="AZ212" i="14"/>
  <c r="AM212" i="14" s="1"/>
  <c r="AY218" i="14"/>
  <c r="AL218" i="14" s="1"/>
  <c r="DM212" i="1"/>
  <c r="DO212" i="1" s="1"/>
  <c r="EC212" i="1" s="1"/>
  <c r="H215" i="21" s="1"/>
  <c r="DM59" i="2"/>
  <c r="DO59" i="2" s="1"/>
  <c r="EC59" i="2" s="1"/>
  <c r="I60" i="21" s="1"/>
  <c r="I60" i="20" s="1"/>
  <c r="AZ63" i="14"/>
  <c r="AM63" i="14" s="1"/>
  <c r="W413" i="15"/>
  <c r="AV138" i="14"/>
  <c r="AI138" i="14" s="1"/>
  <c r="AU55" i="14"/>
  <c r="AH55" i="14" s="1"/>
  <c r="DL51" i="2"/>
  <c r="DN51" i="2" s="1"/>
  <c r="EB51" i="2" s="1"/>
  <c r="F52" i="21" s="1"/>
  <c r="H52" i="20" s="1"/>
  <c r="DL48" i="3"/>
  <c r="DN48" i="3" s="1"/>
  <c r="EB48" i="3" s="1"/>
  <c r="G50" i="21" s="1"/>
  <c r="AV53" i="14"/>
  <c r="AI53" i="14" s="1"/>
  <c r="Y347" i="15"/>
  <c r="X346" i="15"/>
  <c r="AY29" i="14"/>
  <c r="AL29" i="14" s="1"/>
  <c r="DM29" i="1"/>
  <c r="DO29" i="1" s="1"/>
  <c r="EC29" i="1" s="1"/>
  <c r="H30" i="21" s="1"/>
  <c r="AY110" i="14"/>
  <c r="AL110" i="14" s="1"/>
  <c r="AY33" i="14"/>
  <c r="AL33" i="14" s="1"/>
  <c r="DM106" i="1"/>
  <c r="DO106" i="1" s="1"/>
  <c r="EC106" i="1" s="1"/>
  <c r="H107" i="21" s="1"/>
  <c r="DM25" i="1"/>
  <c r="DO25" i="1" s="1"/>
  <c r="EC25" i="1" s="1"/>
  <c r="H26" i="21" s="1"/>
  <c r="Y380" i="15"/>
  <c r="X379" i="15"/>
  <c r="DM53" i="1"/>
  <c r="DO53" i="1" s="1"/>
  <c r="EC53" i="1" s="1"/>
  <c r="H54" i="21" s="1"/>
  <c r="AY57" i="14"/>
  <c r="AL57" i="14" s="1"/>
  <c r="W347" i="15"/>
  <c r="V346" i="15"/>
  <c r="AT110" i="14"/>
  <c r="AG110" i="14" s="1"/>
  <c r="DL106" i="1"/>
  <c r="DN106" i="1" s="1"/>
  <c r="EB106" i="1" s="1"/>
  <c r="E107" i="21" s="1"/>
  <c r="DL25" i="1"/>
  <c r="DN25" i="1" s="1"/>
  <c r="EB25" i="1" s="1"/>
  <c r="E26" i="21" s="1"/>
  <c r="AT29" i="14"/>
  <c r="AG29" i="14" s="1"/>
  <c r="AT33" i="14"/>
  <c r="AG33" i="14" s="1"/>
  <c r="DL29" i="1"/>
  <c r="DN29" i="1" s="1"/>
  <c r="EB29" i="1" s="1"/>
  <c r="E30" i="21" s="1"/>
  <c r="X335" i="15"/>
  <c r="Y336" i="15"/>
  <c r="BA152" i="14"/>
  <c r="AN152" i="14" s="1"/>
  <c r="DM146" i="3"/>
  <c r="DO146" i="3" s="1"/>
  <c r="X368" i="15"/>
  <c r="Y369" i="15"/>
  <c r="BA23" i="14"/>
  <c r="AN23" i="14" s="1"/>
  <c r="DM19" i="3"/>
  <c r="DO19" i="3" s="1"/>
  <c r="EC19" i="3" s="1"/>
  <c r="J20" i="21" s="1"/>
  <c r="DM97" i="1"/>
  <c r="DO97" i="1" s="1"/>
  <c r="AY101" i="14"/>
  <c r="AL101" i="14" s="1"/>
  <c r="Y303" i="15"/>
  <c r="X302" i="15"/>
  <c r="BA104" i="14"/>
  <c r="AN104" i="14" s="1"/>
  <c r="DM99" i="3"/>
  <c r="DO99" i="3" s="1"/>
  <c r="EC99" i="3" s="1"/>
  <c r="J101" i="21" s="1"/>
  <c r="AY68" i="14"/>
  <c r="AL68" i="14" s="1"/>
  <c r="DM64" i="1"/>
  <c r="DO64" i="1" s="1"/>
  <c r="EC64" i="1" s="1"/>
  <c r="H65" i="21" s="1"/>
  <c r="W358" i="15"/>
  <c r="V357" i="15"/>
  <c r="AU62" i="14"/>
  <c r="AH62" i="14" s="1"/>
  <c r="DL58" i="2"/>
  <c r="DN58" i="2" s="1"/>
  <c r="EB58" i="2" s="1"/>
  <c r="F59" i="21" s="1"/>
  <c r="H59" i="20" s="1"/>
  <c r="DL151" i="3"/>
  <c r="DN151" i="3" s="1"/>
  <c r="EB151" i="3" s="1"/>
  <c r="G154" i="21" s="1"/>
  <c r="AV157" i="14"/>
  <c r="AI157" i="14" s="1"/>
  <c r="V368" i="15"/>
  <c r="W369" i="15"/>
  <c r="AV23" i="14"/>
  <c r="AI23" i="14" s="1"/>
  <c r="AT101" i="14"/>
  <c r="AG101" i="14" s="1"/>
  <c r="DL19" i="3"/>
  <c r="DN19" i="3" s="1"/>
  <c r="EB19" i="3" s="1"/>
  <c r="G20" i="21" s="1"/>
  <c r="DL97" i="1"/>
  <c r="DN97" i="1" s="1"/>
  <c r="W292" i="15"/>
  <c r="V291" i="15"/>
  <c r="V280" i="15"/>
  <c r="DL93" i="1"/>
  <c r="DN93" i="1" s="1"/>
  <c r="EB93" i="1" s="1"/>
  <c r="E94" i="21" s="1"/>
  <c r="AT97" i="14"/>
  <c r="AG97" i="14" s="1"/>
  <c r="X357" i="15"/>
  <c r="Y358" i="15"/>
  <c r="DM151" i="3"/>
  <c r="DO151" i="3" s="1"/>
  <c r="EC151" i="3" s="1"/>
  <c r="J154" i="21" s="1"/>
  <c r="DM58" i="2"/>
  <c r="DO58" i="2" s="1"/>
  <c r="EC58" i="2" s="1"/>
  <c r="I59" i="21" s="1"/>
  <c r="I59" i="20" s="1"/>
  <c r="BA157" i="14"/>
  <c r="AN157" i="14" s="1"/>
  <c r="AZ62" i="14"/>
  <c r="AM62" i="14" s="1"/>
  <c r="W391" i="15"/>
  <c r="V390" i="15"/>
  <c r="DL133" i="1"/>
  <c r="DN133" i="1" s="1"/>
  <c r="EB133" i="1" s="1"/>
  <c r="E134" i="21" s="1"/>
  <c r="DL102" i="2"/>
  <c r="DN102" i="2" s="1"/>
  <c r="EB102" i="2" s="1"/>
  <c r="F103" i="21" s="1"/>
  <c r="H103" i="20" s="1"/>
  <c r="AU106" i="14"/>
  <c r="AH106" i="14" s="1"/>
  <c r="AT137" i="14"/>
  <c r="AG137" i="14" s="1"/>
  <c r="W380" i="15"/>
  <c r="V379" i="15"/>
  <c r="AT57" i="14"/>
  <c r="AG57" i="14" s="1"/>
  <c r="DL53" i="1"/>
  <c r="DN53" i="1" s="1"/>
  <c r="EB53" i="1" s="1"/>
  <c r="E54" i="21" s="1"/>
  <c r="V401" i="15"/>
  <c r="W402" i="15"/>
  <c r="AT16" i="14"/>
  <c r="AG16" i="14" s="1"/>
  <c r="AU131" i="14"/>
  <c r="AH131" i="14" s="1"/>
  <c r="DL192" i="1"/>
  <c r="DN192" i="1" s="1"/>
  <c r="AT197" i="14"/>
  <c r="AG197" i="14" s="1"/>
  <c r="DL12" i="1"/>
  <c r="DN12" i="1" s="1"/>
  <c r="EB12" i="1" s="1"/>
  <c r="E13" i="21" s="1"/>
  <c r="DL127" i="2"/>
  <c r="DN127" i="2" s="1"/>
  <c r="EB127" i="2" s="1"/>
  <c r="F128" i="21" s="1"/>
  <c r="H128" i="20" s="1"/>
  <c r="Y413" i="15"/>
  <c r="DM48" i="3"/>
  <c r="DO48" i="3" s="1"/>
  <c r="EC48" i="3" s="1"/>
  <c r="J50" i="21" s="1"/>
  <c r="AZ55" i="14"/>
  <c r="AM55" i="14" s="1"/>
  <c r="BA53" i="14"/>
  <c r="AN53" i="14" s="1"/>
  <c r="BA138" i="14"/>
  <c r="AN138" i="14" s="1"/>
  <c r="DM51" i="2"/>
  <c r="DO51" i="2" s="1"/>
  <c r="EC51" i="2" s="1"/>
  <c r="I52" i="21" s="1"/>
  <c r="I52" i="20" s="1"/>
  <c r="Y402" i="15"/>
  <c r="X401" i="15"/>
  <c r="AZ131" i="14"/>
  <c r="AM131" i="14" s="1"/>
  <c r="DM127" i="2"/>
  <c r="DO127" i="2" s="1"/>
  <c r="EC127" i="2" s="1"/>
  <c r="I128" i="21" s="1"/>
  <c r="I128" i="20" s="1"/>
  <c r="AY16" i="14"/>
  <c r="AL16" i="14" s="1"/>
  <c r="DM12" i="1"/>
  <c r="DO12" i="1" s="1"/>
  <c r="EC12" i="1" s="1"/>
  <c r="H13" i="21" s="1"/>
  <c r="DM192" i="1"/>
  <c r="DO192" i="1" s="1"/>
  <c r="AY197" i="14"/>
  <c r="AL197" i="14" s="1"/>
  <c r="V313" i="15"/>
  <c r="W314" i="15"/>
  <c r="DL212" i="1"/>
  <c r="DN212" i="1" s="1"/>
  <c r="EB212" i="1" s="1"/>
  <c r="E215" i="21" s="1"/>
  <c r="DL59" i="2"/>
  <c r="DN59" i="2" s="1"/>
  <c r="EB59" i="2" s="1"/>
  <c r="F60" i="21" s="1"/>
  <c r="H60" i="20" s="1"/>
  <c r="AT218" i="14"/>
  <c r="AG218" i="14" s="1"/>
  <c r="AU212" i="14"/>
  <c r="AH212" i="14" s="1"/>
  <c r="AU63" i="14"/>
  <c r="AH63" i="14" s="1"/>
  <c r="V335" i="15"/>
  <c r="W336" i="15"/>
  <c r="DL146" i="3"/>
  <c r="DN146" i="3" s="1"/>
  <c r="AV152" i="14"/>
  <c r="AI152" i="14" s="1"/>
  <c r="W303" i="15"/>
  <c r="V302" i="15"/>
  <c r="DL99" i="3"/>
  <c r="DN99" i="3" s="1"/>
  <c r="EB99" i="3" s="1"/>
  <c r="G101" i="21" s="1"/>
  <c r="AT68" i="14"/>
  <c r="AG68" i="14" s="1"/>
  <c r="AV104" i="14"/>
  <c r="AI104" i="14" s="1"/>
  <c r="DL64" i="1"/>
  <c r="DN64" i="1" s="1"/>
  <c r="EB64" i="1" s="1"/>
  <c r="E65" i="21" s="1"/>
  <c r="W401" i="15" l="1"/>
  <c r="DL51" i="1"/>
  <c r="DN51" i="1" s="1"/>
  <c r="EB51" i="1" s="1"/>
  <c r="E52" i="21" s="1"/>
  <c r="DL49" i="2"/>
  <c r="DN49" i="2" s="1"/>
  <c r="EB49" i="2" s="1"/>
  <c r="F50" i="21" s="1"/>
  <c r="H50" i="20" s="1"/>
  <c r="AU138" i="14"/>
  <c r="AH138" i="14" s="1"/>
  <c r="AV205" i="14"/>
  <c r="AI205" i="14" s="1"/>
  <c r="AV156" i="14"/>
  <c r="AI156" i="14" s="1"/>
  <c r="DL197" i="3"/>
  <c r="DN197" i="3" s="1"/>
  <c r="EB197" i="3" s="1"/>
  <c r="G202" i="21" s="1"/>
  <c r="DL150" i="3"/>
  <c r="DN150" i="3" s="1"/>
  <c r="AU53" i="14"/>
  <c r="AH53" i="14" s="1"/>
  <c r="AT55" i="14"/>
  <c r="AG55" i="14" s="1"/>
  <c r="X378" i="15"/>
  <c r="Y379" i="15"/>
  <c r="DM214" i="3"/>
  <c r="DO214" i="3" s="1"/>
  <c r="EC214" i="3" s="1"/>
  <c r="J222" i="21" s="1"/>
  <c r="DM102" i="1"/>
  <c r="DO102" i="1" s="1"/>
  <c r="EC102" i="1" s="1"/>
  <c r="H103" i="21" s="1"/>
  <c r="AY106" i="14"/>
  <c r="AL106" i="14" s="1"/>
  <c r="BA225" i="14"/>
  <c r="AN225" i="14" s="1"/>
  <c r="DM117" i="3"/>
  <c r="DO117" i="3" s="1"/>
  <c r="EC117" i="3" s="1"/>
  <c r="J119" i="21" s="1"/>
  <c r="BA122" i="14"/>
  <c r="AN122" i="14" s="1"/>
  <c r="Y335" i="15"/>
  <c r="X334" i="15"/>
  <c r="DM153" i="1"/>
  <c r="DO153" i="1" s="1"/>
  <c r="EC153" i="1" s="1"/>
  <c r="H154" i="21" s="1"/>
  <c r="AY157" i="14"/>
  <c r="AL157" i="14" s="1"/>
  <c r="BA74" i="14"/>
  <c r="AN74" i="14" s="1"/>
  <c r="DM69" i="3"/>
  <c r="DO69" i="3" s="1"/>
  <c r="EC69" i="3" s="1"/>
  <c r="J71" i="21" s="1"/>
  <c r="Y390" i="15"/>
  <c r="X389" i="15"/>
  <c r="DM127" i="1"/>
  <c r="DO127" i="1" s="1"/>
  <c r="EC127" i="1" s="1"/>
  <c r="H128" i="21" s="1"/>
  <c r="AY131" i="14"/>
  <c r="AL131" i="14" s="1"/>
  <c r="X301" i="15"/>
  <c r="Y302" i="15"/>
  <c r="AY63" i="14"/>
  <c r="AL63" i="14" s="1"/>
  <c r="AY212" i="14"/>
  <c r="AL212" i="14" s="1"/>
  <c r="DM207" i="1"/>
  <c r="DO207" i="1" s="1"/>
  <c r="EC207" i="1" s="1"/>
  <c r="H209" i="21" s="1"/>
  <c r="DM59" i="1"/>
  <c r="DO59" i="1" s="1"/>
  <c r="EC59" i="1" s="1"/>
  <c r="H60" i="21" s="1"/>
  <c r="X312" i="15"/>
  <c r="Y313" i="15"/>
  <c r="AY31" i="14"/>
  <c r="AL31" i="14" s="1"/>
  <c r="DM27" i="1"/>
  <c r="DO27" i="1" s="1"/>
  <c r="EC27" i="1" s="1"/>
  <c r="H28" i="21" s="1"/>
  <c r="AZ150" i="14"/>
  <c r="AM150" i="14" s="1"/>
  <c r="DM145" i="2"/>
  <c r="DO145" i="2" s="1"/>
  <c r="EC145" i="2" s="1"/>
  <c r="I147" i="21" s="1"/>
  <c r="I147" i="20" s="1"/>
  <c r="V301" i="15"/>
  <c r="W302" i="15"/>
  <c r="DL59" i="1"/>
  <c r="DN59" i="1" s="1"/>
  <c r="EB59" i="1" s="1"/>
  <c r="E60" i="21" s="1"/>
  <c r="AT212" i="14"/>
  <c r="AG212" i="14" s="1"/>
  <c r="AT63" i="14"/>
  <c r="AG63" i="14" s="1"/>
  <c r="DL207" i="1"/>
  <c r="DN207" i="1" s="1"/>
  <c r="EB207" i="1" s="1"/>
  <c r="E209" i="21" s="1"/>
  <c r="W313" i="15"/>
  <c r="V312" i="15"/>
  <c r="AT31" i="14"/>
  <c r="AG31" i="14" s="1"/>
  <c r="DL27" i="1"/>
  <c r="DN27" i="1" s="1"/>
  <c r="EB27" i="1" s="1"/>
  <c r="E28" i="21" s="1"/>
  <c r="AU150" i="14"/>
  <c r="AH150" i="14" s="1"/>
  <c r="DL145" i="2"/>
  <c r="DN145" i="2" s="1"/>
  <c r="EB145" i="2" s="1"/>
  <c r="F147" i="21" s="1"/>
  <c r="H147" i="20" s="1"/>
  <c r="W379" i="15"/>
  <c r="V378" i="15"/>
  <c r="AV225" i="14"/>
  <c r="AI225" i="14" s="1"/>
  <c r="DL102" i="1"/>
  <c r="DN102" i="1" s="1"/>
  <c r="EB102" i="1" s="1"/>
  <c r="E103" i="21" s="1"/>
  <c r="AV122" i="14"/>
  <c r="AI122" i="14" s="1"/>
  <c r="DL117" i="3"/>
  <c r="DN117" i="3" s="1"/>
  <c r="EB117" i="3" s="1"/>
  <c r="G119" i="21" s="1"/>
  <c r="DL214" i="3"/>
  <c r="DN214" i="3" s="1"/>
  <c r="EB214" i="3" s="1"/>
  <c r="G222" i="21" s="1"/>
  <c r="AT106" i="14"/>
  <c r="AG106" i="14" s="1"/>
  <c r="W368" i="15"/>
  <c r="V367" i="15"/>
  <c r="X323" i="15"/>
  <c r="Y324" i="15"/>
  <c r="AZ152" i="14"/>
  <c r="AM152" i="14" s="1"/>
  <c r="DM147" i="2"/>
  <c r="DO147" i="2" s="1"/>
  <c r="V323" i="15"/>
  <c r="W324" i="15"/>
  <c r="DL147" i="2"/>
  <c r="DN147" i="2" s="1"/>
  <c r="AU152" i="14"/>
  <c r="AH152" i="14" s="1"/>
  <c r="X356" i="15"/>
  <c r="Y357" i="15"/>
  <c r="AZ23" i="14"/>
  <c r="AM23" i="14" s="1"/>
  <c r="DM19" i="2"/>
  <c r="DO19" i="2" s="1"/>
  <c r="EC19" i="2" s="1"/>
  <c r="I20" i="21" s="1"/>
  <c r="I20" i="20" s="1"/>
  <c r="BA13" i="14"/>
  <c r="AN13" i="14" s="1"/>
  <c r="DM9" i="3"/>
  <c r="DO9" i="3" s="1"/>
  <c r="W280" i="15"/>
  <c r="V268" i="15" s="1"/>
  <c r="V279" i="15"/>
  <c r="X279" i="15"/>
  <c r="Y280" i="15"/>
  <c r="X268" i="15"/>
  <c r="W335" i="15"/>
  <c r="V334" i="15"/>
  <c r="DL69" i="3"/>
  <c r="DN69" i="3" s="1"/>
  <c r="EB69" i="3" s="1"/>
  <c r="G71" i="21" s="1"/>
  <c r="DL153" i="1"/>
  <c r="DN153" i="1" s="1"/>
  <c r="EB153" i="1" s="1"/>
  <c r="E154" i="21" s="1"/>
  <c r="AT157" i="14"/>
  <c r="AG157" i="14" s="1"/>
  <c r="AV74" i="14"/>
  <c r="AI74" i="14" s="1"/>
  <c r="V290" i="15"/>
  <c r="W291" i="15"/>
  <c r="AU104" i="14"/>
  <c r="AH104" i="14" s="1"/>
  <c r="DL100" i="2"/>
  <c r="DN100" i="2" s="1"/>
  <c r="EB100" i="2" s="1"/>
  <c r="F101" i="21" s="1"/>
  <c r="H101" i="20" s="1"/>
  <c r="V356" i="15"/>
  <c r="W357" i="15"/>
  <c r="DL9" i="3"/>
  <c r="DN9" i="3" s="1"/>
  <c r="DL19" i="2"/>
  <c r="DN19" i="2" s="1"/>
  <c r="EB19" i="2" s="1"/>
  <c r="F20" i="21" s="1"/>
  <c r="H20" i="20" s="1"/>
  <c r="AV13" i="14"/>
  <c r="AI13" i="14" s="1"/>
  <c r="AU23" i="14"/>
  <c r="AH23" i="14" s="1"/>
  <c r="W346" i="15"/>
  <c r="V345" i="15"/>
  <c r="DL152" i="2"/>
  <c r="DN152" i="2" s="1"/>
  <c r="EB152" i="2" s="1"/>
  <c r="F154" i="21" s="1"/>
  <c r="DL58" i="1"/>
  <c r="DN58" i="1" s="1"/>
  <c r="EB58" i="1" s="1"/>
  <c r="E59" i="21" s="1"/>
  <c r="AV107" i="14"/>
  <c r="AI107" i="14" s="1"/>
  <c r="AU157" i="14"/>
  <c r="AH157" i="14" s="1"/>
  <c r="DL102" i="3"/>
  <c r="DN102" i="3" s="1"/>
  <c r="EB102" i="3" s="1"/>
  <c r="G104" i="21" s="1"/>
  <c r="AT62" i="14"/>
  <c r="AG62" i="14" s="1"/>
  <c r="X345" i="15"/>
  <c r="Y346" i="15"/>
  <c r="AY62" i="14"/>
  <c r="AL62" i="14" s="1"/>
  <c r="DM58" i="1"/>
  <c r="DO58" i="1" s="1"/>
  <c r="EC58" i="1" s="1"/>
  <c r="H59" i="21" s="1"/>
  <c r="AZ157" i="14"/>
  <c r="AM157" i="14" s="1"/>
  <c r="DM152" i="2"/>
  <c r="DO152" i="2" s="1"/>
  <c r="EC152" i="2" s="1"/>
  <c r="I154" i="21" s="1"/>
  <c r="DM102" i="3"/>
  <c r="DO102" i="3" s="1"/>
  <c r="EC102" i="3" s="1"/>
  <c r="J104" i="21" s="1"/>
  <c r="BA107" i="14"/>
  <c r="AN107" i="14" s="1"/>
  <c r="Y401" i="15"/>
  <c r="DM51" i="1"/>
  <c r="DO51" i="1" s="1"/>
  <c r="EC51" i="1" s="1"/>
  <c r="H52" i="21" s="1"/>
  <c r="DM197" i="3"/>
  <c r="DO197" i="3" s="1"/>
  <c r="EC197" i="3" s="1"/>
  <c r="J202" i="21" s="1"/>
  <c r="DM150" i="3"/>
  <c r="DO150" i="3" s="1"/>
  <c r="DM49" i="2"/>
  <c r="DO49" i="2" s="1"/>
  <c r="EC49" i="2" s="1"/>
  <c r="I50" i="21" s="1"/>
  <c r="I50" i="20" s="1"/>
  <c r="BA156" i="14"/>
  <c r="AN156" i="14" s="1"/>
  <c r="AZ53" i="14"/>
  <c r="AM53" i="14" s="1"/>
  <c r="BA205" i="14"/>
  <c r="AN205" i="14" s="1"/>
  <c r="AY55" i="14"/>
  <c r="AL55" i="14" s="1"/>
  <c r="AZ138" i="14"/>
  <c r="AM138" i="14" s="1"/>
  <c r="V389" i="15"/>
  <c r="W390" i="15"/>
  <c r="DL127" i="1"/>
  <c r="DN127" i="1" s="1"/>
  <c r="EB127" i="1" s="1"/>
  <c r="E128" i="21" s="1"/>
  <c r="AT131" i="14"/>
  <c r="AG131" i="14" s="1"/>
  <c r="Y368" i="15"/>
  <c r="X367" i="15"/>
  <c r="Y291" i="15"/>
  <c r="X290" i="15"/>
  <c r="DM100" i="2"/>
  <c r="DO100" i="2" s="1"/>
  <c r="EC100" i="2" s="1"/>
  <c r="I101" i="21" s="1"/>
  <c r="I101" i="20" s="1"/>
  <c r="AZ104" i="14"/>
  <c r="AM104" i="14" s="1"/>
  <c r="W268" i="15" l="1"/>
  <c r="V267" i="15"/>
  <c r="V256" i="15"/>
  <c r="X366" i="15"/>
  <c r="Y367" i="15"/>
  <c r="BA67" i="14"/>
  <c r="AN67" i="14" s="1"/>
  <c r="DM15" i="3"/>
  <c r="DO15" i="3" s="1"/>
  <c r="EC15" i="3" s="1"/>
  <c r="J16" i="21" s="1"/>
  <c r="BA19" i="14"/>
  <c r="AN19" i="14" s="1"/>
  <c r="DM62" i="3"/>
  <c r="DO62" i="3" s="1"/>
  <c r="EC62" i="3" s="1"/>
  <c r="J64" i="21" s="1"/>
  <c r="DM118" i="2"/>
  <c r="DO118" i="2" s="1"/>
  <c r="EC118" i="2" s="1"/>
  <c r="I119" i="21" s="1"/>
  <c r="I119" i="20" s="1"/>
  <c r="AZ225" i="14"/>
  <c r="AM225" i="14" s="1"/>
  <c r="DM20" i="3"/>
  <c r="DO20" i="3" s="1"/>
  <c r="EC20" i="3" s="1"/>
  <c r="J21" i="21" s="1"/>
  <c r="AZ122" i="14"/>
  <c r="AM122" i="14" s="1"/>
  <c r="BA24" i="14"/>
  <c r="AN24" i="14" s="1"/>
  <c r="DM35" i="3"/>
  <c r="DO35" i="3" s="1"/>
  <c r="EC35" i="3" s="1"/>
  <c r="J37" i="21" s="1"/>
  <c r="DM209" i="2"/>
  <c r="DO209" i="2" s="1"/>
  <c r="EC209" i="2" s="1"/>
  <c r="I222" i="21" s="1"/>
  <c r="BA41" i="14"/>
  <c r="AN41" i="14" s="1"/>
  <c r="DM36" i="3"/>
  <c r="DO36" i="3" s="1"/>
  <c r="EC36" i="3" s="1"/>
  <c r="J38" i="21" s="1"/>
  <c r="BA40" i="14"/>
  <c r="AN40" i="14" s="1"/>
  <c r="X267" i="15"/>
  <c r="Y268" i="15"/>
  <c r="X256" i="15" s="1"/>
  <c r="Y290" i="15"/>
  <c r="X289" i="15"/>
  <c r="DM173" i="3"/>
  <c r="DO173" i="3" s="1"/>
  <c r="BA180" i="14"/>
  <c r="AN180" i="14" s="1"/>
  <c r="W334" i="15"/>
  <c r="V333" i="15"/>
  <c r="AU107" i="14"/>
  <c r="AH107" i="14" s="1"/>
  <c r="DL103" i="2"/>
  <c r="DN103" i="2" s="1"/>
  <c r="EB103" i="2" s="1"/>
  <c r="F104" i="21" s="1"/>
  <c r="H104" i="20" s="1"/>
  <c r="V311" i="15"/>
  <c r="W312" i="15"/>
  <c r="AT152" i="14"/>
  <c r="AG152" i="14" s="1"/>
  <c r="DL148" i="1"/>
  <c r="DN148" i="1" s="1"/>
  <c r="AV114" i="14"/>
  <c r="AI114" i="14" s="1"/>
  <c r="DL109" i="3"/>
  <c r="DN109" i="3" s="1"/>
  <c r="EB109" i="3" s="1"/>
  <c r="G111" i="21" s="1"/>
  <c r="W389" i="15"/>
  <c r="AT53" i="14"/>
  <c r="AG53" i="14" s="1"/>
  <c r="DL49" i="1"/>
  <c r="DN49" i="1" s="1"/>
  <c r="EB49" i="1" s="1"/>
  <c r="E50" i="21" s="1"/>
  <c r="AU205" i="14"/>
  <c r="AH205" i="14" s="1"/>
  <c r="AU156" i="14"/>
  <c r="AH156" i="14" s="1"/>
  <c r="DL151" i="2"/>
  <c r="DN151" i="2" s="1"/>
  <c r="DL200" i="2"/>
  <c r="DN200" i="2" s="1"/>
  <c r="EB200" i="2" s="1"/>
  <c r="F202" i="21" s="1"/>
  <c r="H202" i="20" s="1"/>
  <c r="AT138" i="14"/>
  <c r="AG138" i="14" s="1"/>
  <c r="DL134" i="1"/>
  <c r="DN134" i="1" s="1"/>
  <c r="EB134" i="1" s="1"/>
  <c r="E135" i="21" s="1"/>
  <c r="X344" i="15"/>
  <c r="Y345" i="15"/>
  <c r="AY23" i="14"/>
  <c r="AL23" i="14" s="1"/>
  <c r="AZ13" i="14"/>
  <c r="AM13" i="14" s="1"/>
  <c r="DM19" i="1"/>
  <c r="DO19" i="1" s="1"/>
  <c r="EC19" i="1" s="1"/>
  <c r="H20" i="21" s="1"/>
  <c r="DM9" i="2"/>
  <c r="DO9" i="2" s="1"/>
  <c r="Y356" i="15"/>
  <c r="X355" i="15"/>
  <c r="DM38" i="3"/>
  <c r="DO38" i="3" s="1"/>
  <c r="EC38" i="3" s="1"/>
  <c r="J40" i="21" s="1"/>
  <c r="BA98" i="14"/>
  <c r="AN98" i="14" s="1"/>
  <c r="BA43" i="14"/>
  <c r="AN43" i="14" s="1"/>
  <c r="DM93" i="3"/>
  <c r="DO93" i="3" s="1"/>
  <c r="EC93" i="3" s="1"/>
  <c r="J95" i="21" s="1"/>
  <c r="X311" i="15"/>
  <c r="Y312" i="15"/>
  <c r="BA114" i="14"/>
  <c r="AN114" i="14" s="1"/>
  <c r="AY152" i="14"/>
  <c r="AL152" i="14" s="1"/>
  <c r="DM148" i="1"/>
  <c r="DO148" i="1" s="1"/>
  <c r="DM109" i="3"/>
  <c r="DO109" i="3" s="1"/>
  <c r="EC109" i="3" s="1"/>
  <c r="J111" i="21" s="1"/>
  <c r="Y378" i="15"/>
  <c r="X377" i="15"/>
  <c r="Y279" i="15"/>
  <c r="X278" i="15"/>
  <c r="DM100" i="1"/>
  <c r="DO100" i="1" s="1"/>
  <c r="EC100" i="1" s="1"/>
  <c r="H101" i="21" s="1"/>
  <c r="AY104" i="14"/>
  <c r="AL104" i="14" s="1"/>
  <c r="X333" i="15"/>
  <c r="Y334" i="15"/>
  <c r="DM103" i="2"/>
  <c r="DO103" i="2" s="1"/>
  <c r="EC103" i="2" s="1"/>
  <c r="I104" i="21" s="1"/>
  <c r="I104" i="20" s="1"/>
  <c r="AZ107" i="14"/>
  <c r="AM107" i="14" s="1"/>
  <c r="W356" i="15"/>
  <c r="V355" i="15"/>
  <c r="AV43" i="14"/>
  <c r="AI43" i="14" s="1"/>
  <c r="DL93" i="3"/>
  <c r="DN93" i="3" s="1"/>
  <c r="EB93" i="3" s="1"/>
  <c r="G95" i="21" s="1"/>
  <c r="DL38" i="3"/>
  <c r="DN38" i="3" s="1"/>
  <c r="EB38" i="3" s="1"/>
  <c r="G40" i="21" s="1"/>
  <c r="AV98" i="14"/>
  <c r="AI98" i="14" s="1"/>
  <c r="W279" i="15"/>
  <c r="V278" i="15"/>
  <c r="DL100" i="1"/>
  <c r="DN100" i="1" s="1"/>
  <c r="EB100" i="1" s="1"/>
  <c r="E101" i="21" s="1"/>
  <c r="AT104" i="14"/>
  <c r="AG104" i="14" s="1"/>
  <c r="W323" i="15"/>
  <c r="V322" i="15"/>
  <c r="AU74" i="14"/>
  <c r="AH74" i="14" s="1"/>
  <c r="DL70" i="2"/>
  <c r="DN70" i="2" s="1"/>
  <c r="EB70" i="2" s="1"/>
  <c r="F71" i="21" s="1"/>
  <c r="H71" i="20" s="1"/>
  <c r="V377" i="15"/>
  <c r="W378" i="15"/>
  <c r="V289" i="15"/>
  <c r="W290" i="15"/>
  <c r="DL173" i="3"/>
  <c r="DN173" i="3" s="1"/>
  <c r="AV180" i="14"/>
  <c r="AI180" i="14" s="1"/>
  <c r="W301" i="15"/>
  <c r="V300" i="15"/>
  <c r="AT150" i="14"/>
  <c r="AG150" i="14" s="1"/>
  <c r="DL146" i="1"/>
  <c r="DN146" i="1" s="1"/>
  <c r="EB146" i="1" s="1"/>
  <c r="E147" i="21" s="1"/>
  <c r="X300" i="15"/>
  <c r="Y301" i="15"/>
  <c r="DM146" i="1"/>
  <c r="DO146" i="1" s="1"/>
  <c r="EC146" i="1" s="1"/>
  <c r="H147" i="21" s="1"/>
  <c r="AY150" i="14"/>
  <c r="AL150" i="14" s="1"/>
  <c r="V344" i="15"/>
  <c r="W345" i="15"/>
  <c r="DL19" i="1"/>
  <c r="DN19" i="1" s="1"/>
  <c r="EB19" i="1" s="1"/>
  <c r="E20" i="21" s="1"/>
  <c r="AU13" i="14"/>
  <c r="AH13" i="14" s="1"/>
  <c r="DL9" i="2"/>
  <c r="DN9" i="2" s="1"/>
  <c r="AT23" i="14"/>
  <c r="AG23" i="14" s="1"/>
  <c r="Y323" i="15"/>
  <c r="X322" i="15"/>
  <c r="DM70" i="2"/>
  <c r="DO70" i="2" s="1"/>
  <c r="EC70" i="2" s="1"/>
  <c r="I71" i="21" s="1"/>
  <c r="I71" i="20" s="1"/>
  <c r="AZ74" i="14"/>
  <c r="AM74" i="14" s="1"/>
  <c r="V366" i="15"/>
  <c r="W367" i="15"/>
  <c r="AU225" i="14"/>
  <c r="AH225" i="14" s="1"/>
  <c r="AU122" i="14"/>
  <c r="AH122" i="14" s="1"/>
  <c r="AV67" i="14"/>
  <c r="AI67" i="14" s="1"/>
  <c r="DL35" i="3"/>
  <c r="DN35" i="3" s="1"/>
  <c r="EB35" i="3" s="1"/>
  <c r="G37" i="21" s="1"/>
  <c r="DL15" i="3"/>
  <c r="DN15" i="3" s="1"/>
  <c r="EB15" i="3" s="1"/>
  <c r="G16" i="21" s="1"/>
  <c r="DL209" i="2"/>
  <c r="DN209" i="2" s="1"/>
  <c r="EB209" i="2" s="1"/>
  <c r="F222" i="21" s="1"/>
  <c r="AV40" i="14"/>
  <c r="AI40" i="14" s="1"/>
  <c r="DL62" i="3"/>
  <c r="DN62" i="3" s="1"/>
  <c r="EB62" i="3" s="1"/>
  <c r="G64" i="21" s="1"/>
  <c r="DL36" i="3"/>
  <c r="DN36" i="3" s="1"/>
  <c r="EB36" i="3" s="1"/>
  <c r="G38" i="21" s="1"/>
  <c r="AV19" i="14"/>
  <c r="AI19" i="14" s="1"/>
  <c r="DL118" i="2"/>
  <c r="DN118" i="2" s="1"/>
  <c r="EB118" i="2" s="1"/>
  <c r="F119" i="21" s="1"/>
  <c r="H119" i="20" s="1"/>
  <c r="DL20" i="3"/>
  <c r="DN20" i="3" s="1"/>
  <c r="EB20" i="3" s="1"/>
  <c r="G21" i="21" s="1"/>
  <c r="AV24" i="14"/>
  <c r="AI24" i="14" s="1"/>
  <c r="AV41" i="14"/>
  <c r="AI41" i="14" s="1"/>
  <c r="Y389" i="15"/>
  <c r="DM134" i="1"/>
  <c r="DO134" i="1" s="1"/>
  <c r="EC134" i="1" s="1"/>
  <c r="H135" i="21" s="1"/>
  <c r="DM151" i="2"/>
  <c r="DO151" i="2" s="1"/>
  <c r="DM49" i="1"/>
  <c r="DO49" i="1" s="1"/>
  <c r="EC49" i="1" s="1"/>
  <c r="H50" i="21" s="1"/>
  <c r="AY138" i="14"/>
  <c r="AL138" i="14" s="1"/>
  <c r="AY53" i="14"/>
  <c r="AL53" i="14" s="1"/>
  <c r="AZ156" i="14"/>
  <c r="AM156" i="14" s="1"/>
  <c r="DM200" i="2"/>
  <c r="DO200" i="2" s="1"/>
  <c r="EC200" i="2" s="1"/>
  <c r="I202" i="21" s="1"/>
  <c r="I202" i="20" s="1"/>
  <c r="AZ205" i="14"/>
  <c r="AM205" i="14" s="1"/>
  <c r="X255" i="15" l="1"/>
  <c r="Y256" i="15"/>
  <c r="X244" i="15" s="1"/>
  <c r="Y289" i="15"/>
  <c r="X288" i="15"/>
  <c r="V299" i="15"/>
  <c r="W300" i="15"/>
  <c r="DL110" i="2"/>
  <c r="DN110" i="2" s="1"/>
  <c r="EB110" i="2" s="1"/>
  <c r="F111" i="21" s="1"/>
  <c r="H111" i="20" s="1"/>
  <c r="AU114" i="14"/>
  <c r="AH114" i="14" s="1"/>
  <c r="X332" i="15"/>
  <c r="Y333" i="15"/>
  <c r="AY98" i="14"/>
  <c r="AL98" i="14" s="1"/>
  <c r="DM94" i="1"/>
  <c r="DO94" i="1" s="1"/>
  <c r="EC94" i="1" s="1"/>
  <c r="H95" i="21" s="1"/>
  <c r="DM9" i="1"/>
  <c r="DO9" i="1" s="1"/>
  <c r="AY13" i="14"/>
  <c r="AL13" i="14" s="1"/>
  <c r="Y311" i="15"/>
  <c r="X310" i="15"/>
  <c r="AY74" i="14"/>
  <c r="AL74" i="14" s="1"/>
  <c r="DM70" i="1"/>
  <c r="DO70" i="1" s="1"/>
  <c r="EC70" i="1" s="1"/>
  <c r="H71" i="21" s="1"/>
  <c r="Y344" i="15"/>
  <c r="X343" i="15"/>
  <c r="AZ98" i="14"/>
  <c r="AM98" i="14" s="1"/>
  <c r="AZ43" i="14"/>
  <c r="AM43" i="14" s="1"/>
  <c r="DM39" i="2"/>
  <c r="DO39" i="2" s="1"/>
  <c r="EC39" i="2" s="1"/>
  <c r="I40" i="21" s="1"/>
  <c r="I40" i="20" s="1"/>
  <c r="DM94" i="2"/>
  <c r="DO94" i="2" s="1"/>
  <c r="EC94" i="2" s="1"/>
  <c r="I95" i="21" s="1"/>
  <c r="I95" i="20" s="1"/>
  <c r="Y267" i="15"/>
  <c r="X266" i="15"/>
  <c r="V310" i="15"/>
  <c r="W311" i="15"/>
  <c r="AT74" i="14"/>
  <c r="AG74" i="14" s="1"/>
  <c r="DL70" i="1"/>
  <c r="DN70" i="1" s="1"/>
  <c r="EB70" i="1" s="1"/>
  <c r="E71" i="21" s="1"/>
  <c r="W344" i="15"/>
  <c r="V343" i="15"/>
  <c r="DL94" i="2"/>
  <c r="DN94" i="2" s="1"/>
  <c r="EB94" i="2" s="1"/>
  <c r="F95" i="21" s="1"/>
  <c r="H95" i="20" s="1"/>
  <c r="DL39" i="2"/>
  <c r="DN39" i="2" s="1"/>
  <c r="EB39" i="2" s="1"/>
  <c r="F40" i="21" s="1"/>
  <c r="H40" i="20" s="1"/>
  <c r="AU43" i="14"/>
  <c r="AH43" i="14" s="1"/>
  <c r="AU98" i="14"/>
  <c r="AH98" i="14" s="1"/>
  <c r="W289" i="15"/>
  <c r="V288" i="15"/>
  <c r="V277" i="15"/>
  <c r="W278" i="15"/>
  <c r="DL175" i="2"/>
  <c r="DN175" i="2" s="1"/>
  <c r="AU180" i="14"/>
  <c r="AH180" i="14" s="1"/>
  <c r="Y278" i="15"/>
  <c r="X277" i="15"/>
  <c r="DM175" i="2"/>
  <c r="DO175" i="2" s="1"/>
  <c r="AZ180" i="14"/>
  <c r="AM180" i="14" s="1"/>
  <c r="Y377" i="15"/>
  <c r="BA37" i="14"/>
  <c r="AN37" i="14" s="1"/>
  <c r="AY205" i="14"/>
  <c r="AL205" i="14" s="1"/>
  <c r="BA80" i="14"/>
  <c r="AN80" i="14" s="1"/>
  <c r="DM32" i="3"/>
  <c r="DO32" i="3" s="1"/>
  <c r="EC32" i="3" s="1"/>
  <c r="J34" i="21" s="1"/>
  <c r="AY156" i="14"/>
  <c r="AL156" i="14" s="1"/>
  <c r="DM75" i="3"/>
  <c r="DO75" i="3" s="1"/>
  <c r="EC75" i="3" s="1"/>
  <c r="J77" i="21" s="1"/>
  <c r="DM200" i="1"/>
  <c r="DO200" i="1" s="1"/>
  <c r="EC200" i="1" s="1"/>
  <c r="H202" i="21" s="1"/>
  <c r="DM152" i="1"/>
  <c r="DO152" i="1" s="1"/>
  <c r="X354" i="15"/>
  <c r="Y355" i="15"/>
  <c r="DM36" i="2"/>
  <c r="DO36" i="2" s="1"/>
  <c r="EC36" i="2" s="1"/>
  <c r="I37" i="21" s="1"/>
  <c r="I37" i="20" s="1"/>
  <c r="AY225" i="14"/>
  <c r="AL225" i="14" s="1"/>
  <c r="DM63" i="2"/>
  <c r="DO63" i="2" s="1"/>
  <c r="EC63" i="2" s="1"/>
  <c r="I64" i="21" s="1"/>
  <c r="I64" i="20" s="1"/>
  <c r="DM219" i="1"/>
  <c r="DO219" i="1" s="1"/>
  <c r="EC219" i="1" s="1"/>
  <c r="H222" i="21" s="1"/>
  <c r="DM20" i="2"/>
  <c r="DO20" i="2" s="1"/>
  <c r="EC20" i="2" s="1"/>
  <c r="I21" i="21" s="1"/>
  <c r="I21" i="20" s="1"/>
  <c r="DM37" i="2"/>
  <c r="DO37" i="2" s="1"/>
  <c r="EC37" i="2" s="1"/>
  <c r="I38" i="21" s="1"/>
  <c r="I38" i="20" s="1"/>
  <c r="AZ24" i="14"/>
  <c r="AM24" i="14" s="1"/>
  <c r="AZ19" i="14"/>
  <c r="AM19" i="14" s="1"/>
  <c r="AY122" i="14"/>
  <c r="AL122" i="14" s="1"/>
  <c r="DM15" i="2"/>
  <c r="DO15" i="2" s="1"/>
  <c r="AZ40" i="14"/>
  <c r="AM40" i="14" s="1"/>
  <c r="AZ41" i="14"/>
  <c r="AM41" i="14" s="1"/>
  <c r="DM118" i="1"/>
  <c r="DO118" i="1" s="1"/>
  <c r="EC118" i="1" s="1"/>
  <c r="H119" i="21" s="1"/>
  <c r="AZ67" i="14"/>
  <c r="AM67" i="14" s="1"/>
  <c r="W377" i="15"/>
  <c r="AV37" i="14"/>
  <c r="AI37" i="14" s="1"/>
  <c r="AT205" i="14"/>
  <c r="AG205" i="14" s="1"/>
  <c r="DL200" i="1"/>
  <c r="DN200" i="1" s="1"/>
  <c r="EB200" i="1" s="1"/>
  <c r="E202" i="21" s="1"/>
  <c r="DL75" i="3"/>
  <c r="DN75" i="3" s="1"/>
  <c r="EB75" i="3" s="1"/>
  <c r="G77" i="21" s="1"/>
  <c r="DL152" i="1"/>
  <c r="DN152" i="1" s="1"/>
  <c r="AT156" i="14"/>
  <c r="AG156" i="14" s="1"/>
  <c r="AV80" i="14"/>
  <c r="AI80" i="14" s="1"/>
  <c r="DL32" i="3"/>
  <c r="DN32" i="3" s="1"/>
  <c r="EB32" i="3" s="1"/>
  <c r="G34" i="21" s="1"/>
  <c r="V332" i="15"/>
  <c r="W333" i="15"/>
  <c r="AT13" i="14"/>
  <c r="AG13" i="14" s="1"/>
  <c r="DL94" i="1"/>
  <c r="DN94" i="1" s="1"/>
  <c r="EB94" i="1" s="1"/>
  <c r="E95" i="21" s="1"/>
  <c r="AT98" i="14"/>
  <c r="AG98" i="14" s="1"/>
  <c r="DL9" i="1"/>
  <c r="DN9" i="1" s="1"/>
  <c r="Y366" i="15"/>
  <c r="X365" i="15"/>
  <c r="BA61" i="14"/>
  <c r="AN61" i="14" s="1"/>
  <c r="DM56" i="3"/>
  <c r="DO56" i="3" s="1"/>
  <c r="EC56" i="3" s="1"/>
  <c r="J58" i="21" s="1"/>
  <c r="DM127" i="3"/>
  <c r="DO127" i="3" s="1"/>
  <c r="EC127" i="3" s="1"/>
  <c r="J129" i="21" s="1"/>
  <c r="BA132" i="14"/>
  <c r="AN132" i="14" s="1"/>
  <c r="W355" i="15"/>
  <c r="V354" i="15"/>
  <c r="AU40" i="14"/>
  <c r="AH40" i="14" s="1"/>
  <c r="AU67" i="14"/>
  <c r="AH67" i="14" s="1"/>
  <c r="AU41" i="14"/>
  <c r="AH41" i="14" s="1"/>
  <c r="AU24" i="14"/>
  <c r="AH24" i="14" s="1"/>
  <c r="DL15" i="2"/>
  <c r="DN15" i="2" s="1"/>
  <c r="AU19" i="14"/>
  <c r="AH19" i="14" s="1"/>
  <c r="DL118" i="1"/>
  <c r="DN118" i="1" s="1"/>
  <c r="EB118" i="1" s="1"/>
  <c r="E119" i="21" s="1"/>
  <c r="AT225" i="14"/>
  <c r="AG225" i="14" s="1"/>
  <c r="DL36" i="2"/>
  <c r="DN36" i="2" s="1"/>
  <c r="EB36" i="2" s="1"/>
  <c r="F37" i="21" s="1"/>
  <c r="H37" i="20" s="1"/>
  <c r="AT122" i="14"/>
  <c r="AG122" i="14" s="1"/>
  <c r="DL20" i="2"/>
  <c r="DN20" i="2" s="1"/>
  <c r="EB20" i="2" s="1"/>
  <c r="F21" i="21" s="1"/>
  <c r="H21" i="20" s="1"/>
  <c r="DL37" i="2"/>
  <c r="DN37" i="2" s="1"/>
  <c r="EB37" i="2" s="1"/>
  <c r="F38" i="21" s="1"/>
  <c r="H38" i="20" s="1"/>
  <c r="DL63" i="2"/>
  <c r="DN63" i="2" s="1"/>
  <c r="EB63" i="2" s="1"/>
  <c r="F64" i="21" s="1"/>
  <c r="H64" i="20" s="1"/>
  <c r="DL219" i="1"/>
  <c r="DN219" i="1" s="1"/>
  <c r="EB219" i="1" s="1"/>
  <c r="E222" i="21" s="1"/>
  <c r="W256" i="15"/>
  <c r="V244" i="15" s="1"/>
  <c r="V255" i="15"/>
  <c r="X299" i="15"/>
  <c r="Y300" i="15"/>
  <c r="DM110" i="2"/>
  <c r="DO110" i="2" s="1"/>
  <c r="EC110" i="2" s="1"/>
  <c r="I111" i="21" s="1"/>
  <c r="I111" i="20" s="1"/>
  <c r="AZ114" i="14"/>
  <c r="AM114" i="14" s="1"/>
  <c r="W267" i="15"/>
  <c r="V266" i="15"/>
  <c r="V365" i="15"/>
  <c r="W366" i="15"/>
  <c r="DL56" i="3"/>
  <c r="DN56" i="3" s="1"/>
  <c r="EB56" i="3" s="1"/>
  <c r="G58" i="21" s="1"/>
  <c r="AV132" i="14"/>
  <c r="AI132" i="14" s="1"/>
  <c r="DL127" i="3"/>
  <c r="DN127" i="3" s="1"/>
  <c r="EB127" i="3" s="1"/>
  <c r="G129" i="21" s="1"/>
  <c r="AV61" i="14"/>
  <c r="AI61" i="14" s="1"/>
  <c r="X321" i="15"/>
  <c r="Y322" i="15"/>
  <c r="DM103" i="1"/>
  <c r="DO103" i="1" s="1"/>
  <c r="EC103" i="1" s="1"/>
  <c r="H104" i="21" s="1"/>
  <c r="AY107" i="14"/>
  <c r="AL107" i="14" s="1"/>
  <c r="W322" i="15"/>
  <c r="V321" i="15"/>
  <c r="AT107" i="14"/>
  <c r="AG107" i="14" s="1"/>
  <c r="DL103" i="1"/>
  <c r="DN103" i="1" s="1"/>
  <c r="EB103" i="1" s="1"/>
  <c r="E104" i="21" s="1"/>
  <c r="X243" i="15" l="1"/>
  <c r="Y244" i="15"/>
  <c r="X232" i="15"/>
  <c r="W244" i="15"/>
  <c r="V232" i="15"/>
  <c r="V243" i="15"/>
  <c r="W365" i="15"/>
  <c r="AU37" i="14"/>
  <c r="AH37" i="14" s="1"/>
  <c r="DL76" i="2"/>
  <c r="DN76" i="2" s="1"/>
  <c r="EB76" i="2" s="1"/>
  <c r="F77" i="21" s="1"/>
  <c r="H77" i="20" s="1"/>
  <c r="DL33" i="2"/>
  <c r="DN33" i="2" s="1"/>
  <c r="EB33" i="2" s="1"/>
  <c r="F34" i="21" s="1"/>
  <c r="H34" i="20" s="1"/>
  <c r="DL70" i="3"/>
  <c r="DN70" i="3" s="1"/>
  <c r="EB70" i="3" s="1"/>
  <c r="G72" i="21" s="1"/>
  <c r="AU80" i="14"/>
  <c r="AH80" i="14" s="1"/>
  <c r="AV75" i="14"/>
  <c r="AI75" i="14" s="1"/>
  <c r="V353" i="15"/>
  <c r="W354" i="15"/>
  <c r="DL57" i="2"/>
  <c r="DN57" i="2" s="1"/>
  <c r="EB57" i="2" s="1"/>
  <c r="F58" i="21" s="1"/>
  <c r="H58" i="20" s="1"/>
  <c r="DL128" i="2"/>
  <c r="DN128" i="2" s="1"/>
  <c r="EB128" i="2" s="1"/>
  <c r="F129" i="21" s="1"/>
  <c r="H129" i="20" s="1"/>
  <c r="AU61" i="14"/>
  <c r="AH61" i="14" s="1"/>
  <c r="AU132" i="14"/>
  <c r="AH132" i="14" s="1"/>
  <c r="V320" i="15"/>
  <c r="W321" i="15"/>
  <c r="V265" i="15"/>
  <c r="W266" i="15"/>
  <c r="DL176" i="1"/>
  <c r="DN176" i="1" s="1"/>
  <c r="AT180" i="14"/>
  <c r="AG180" i="14" s="1"/>
  <c r="W332" i="15"/>
  <c r="V331" i="15"/>
  <c r="DL39" i="1"/>
  <c r="DN39" i="1" s="1"/>
  <c r="EB39" i="1" s="1"/>
  <c r="E40" i="21" s="1"/>
  <c r="AT43" i="14"/>
  <c r="AG43" i="14" s="1"/>
  <c r="Y332" i="15"/>
  <c r="X331" i="15"/>
  <c r="DM39" i="1"/>
  <c r="DO39" i="1" s="1"/>
  <c r="EC39" i="1" s="1"/>
  <c r="H40" i="21" s="1"/>
  <c r="AY43" i="14"/>
  <c r="AL43" i="14" s="1"/>
  <c r="Y277" i="15"/>
  <c r="X276" i="15"/>
  <c r="Y354" i="15"/>
  <c r="X353" i="15"/>
  <c r="AZ132" i="14"/>
  <c r="AM132" i="14" s="1"/>
  <c r="DM128" i="2"/>
  <c r="DO128" i="2" s="1"/>
  <c r="EC128" i="2" s="1"/>
  <c r="I129" i="21" s="1"/>
  <c r="I129" i="20" s="1"/>
  <c r="AZ61" i="14"/>
  <c r="AM61" i="14" s="1"/>
  <c r="DM57" i="2"/>
  <c r="DO57" i="2" s="1"/>
  <c r="EC57" i="2" s="1"/>
  <c r="I58" i="21" s="1"/>
  <c r="I58" i="20" s="1"/>
  <c r="W343" i="15"/>
  <c r="V342" i="15"/>
  <c r="DL15" i="1"/>
  <c r="DN15" i="1" s="1"/>
  <c r="AT41" i="14"/>
  <c r="AG41" i="14" s="1"/>
  <c r="AT24" i="14"/>
  <c r="AG24" i="14" s="1"/>
  <c r="AT19" i="14"/>
  <c r="AG19" i="14" s="1"/>
  <c r="DL37" i="1"/>
  <c r="DN37" i="1" s="1"/>
  <c r="EB37" i="1" s="1"/>
  <c r="E38" i="21" s="1"/>
  <c r="DL36" i="1"/>
  <c r="DN36" i="1" s="1"/>
  <c r="EB36" i="1" s="1"/>
  <c r="E37" i="21" s="1"/>
  <c r="AT67" i="14"/>
  <c r="AG67" i="14" s="1"/>
  <c r="AV144" i="14"/>
  <c r="AI144" i="14" s="1"/>
  <c r="DL138" i="3"/>
  <c r="DN138" i="3" s="1"/>
  <c r="EB138" i="3" s="1"/>
  <c r="G141" i="21" s="1"/>
  <c r="DL63" i="1"/>
  <c r="DN63" i="1" s="1"/>
  <c r="EB63" i="1" s="1"/>
  <c r="E64" i="21" s="1"/>
  <c r="DL20" i="1"/>
  <c r="DN20" i="1" s="1"/>
  <c r="EB20" i="1" s="1"/>
  <c r="E21" i="21" s="1"/>
  <c r="AT40" i="14"/>
  <c r="AG40" i="14" s="1"/>
  <c r="X342" i="15"/>
  <c r="Y343" i="15"/>
  <c r="AY41" i="14"/>
  <c r="AL41" i="14" s="1"/>
  <c r="DM138" i="3"/>
  <c r="DO138" i="3" s="1"/>
  <c r="EC138" i="3" s="1"/>
  <c r="J141" i="21" s="1"/>
  <c r="AY40" i="14"/>
  <c r="AL40" i="14" s="1"/>
  <c r="DM37" i="1"/>
  <c r="DO37" i="1" s="1"/>
  <c r="EC37" i="1" s="1"/>
  <c r="H38" i="21" s="1"/>
  <c r="AY67" i="14"/>
  <c r="AL67" i="14" s="1"/>
  <c r="DM15" i="1"/>
  <c r="DO15" i="1" s="1"/>
  <c r="DM63" i="1"/>
  <c r="DO63" i="1" s="1"/>
  <c r="EC63" i="1" s="1"/>
  <c r="H64" i="21" s="1"/>
  <c r="BA144" i="14"/>
  <c r="AN144" i="14" s="1"/>
  <c r="AY24" i="14"/>
  <c r="AL24" i="14" s="1"/>
  <c r="DM20" i="1"/>
  <c r="DO20" i="1" s="1"/>
  <c r="EC20" i="1" s="1"/>
  <c r="H21" i="21" s="1"/>
  <c r="AY19" i="14"/>
  <c r="AL19" i="14" s="1"/>
  <c r="DM36" i="1"/>
  <c r="DO36" i="1" s="1"/>
  <c r="EC36" i="1" s="1"/>
  <c r="H37" i="21" s="1"/>
  <c r="W299" i="15"/>
  <c r="V298" i="15"/>
  <c r="X320" i="15"/>
  <c r="Y321" i="15"/>
  <c r="Y299" i="15"/>
  <c r="X298" i="15"/>
  <c r="Y365" i="15"/>
  <c r="DM76" i="2"/>
  <c r="DO76" i="2" s="1"/>
  <c r="EC76" i="2" s="1"/>
  <c r="I77" i="21" s="1"/>
  <c r="I77" i="20" s="1"/>
  <c r="DM70" i="3"/>
  <c r="DO70" i="3" s="1"/>
  <c r="EC70" i="3" s="1"/>
  <c r="J72" i="21" s="1"/>
  <c r="DM33" i="2"/>
  <c r="DO33" i="2" s="1"/>
  <c r="EC33" i="2" s="1"/>
  <c r="I34" i="21" s="1"/>
  <c r="I34" i="20" s="1"/>
  <c r="BA75" i="14"/>
  <c r="AN75" i="14" s="1"/>
  <c r="AZ37" i="14"/>
  <c r="AM37" i="14" s="1"/>
  <c r="AZ80" i="14"/>
  <c r="AM80" i="14" s="1"/>
  <c r="X309" i="15"/>
  <c r="Y310" i="15"/>
  <c r="X287" i="15"/>
  <c r="Y288" i="15"/>
  <c r="DM110" i="1"/>
  <c r="DO110" i="1" s="1"/>
  <c r="EC110" i="1" s="1"/>
  <c r="H111" i="21" s="1"/>
  <c r="AY114" i="14"/>
  <c r="AL114" i="14" s="1"/>
  <c r="W277" i="15"/>
  <c r="V276" i="15"/>
  <c r="W310" i="15"/>
  <c r="V309" i="15"/>
  <c r="V254" i="15"/>
  <c r="W255" i="15"/>
  <c r="V287" i="15"/>
  <c r="W288" i="15"/>
  <c r="AT114" i="14"/>
  <c r="AG114" i="14" s="1"/>
  <c r="DL110" i="1"/>
  <c r="DN110" i="1" s="1"/>
  <c r="EB110" i="1" s="1"/>
  <c r="E111" i="21" s="1"/>
  <c r="Y266" i="15"/>
  <c r="X265" i="15"/>
  <c r="DM176" i="1"/>
  <c r="DO176" i="1" s="1"/>
  <c r="AY180" i="14"/>
  <c r="AL180" i="14" s="1"/>
  <c r="Y255" i="15"/>
  <c r="X254" i="15"/>
  <c r="X275" i="15" l="1"/>
  <c r="Y276" i="15"/>
  <c r="Y265" i="15"/>
  <c r="X264" i="15"/>
  <c r="Y320" i="15"/>
  <c r="X319" i="15"/>
  <c r="W287" i="15"/>
  <c r="V286" i="15"/>
  <c r="Y309" i="15"/>
  <c r="X308" i="15"/>
  <c r="W298" i="15"/>
  <c r="V297" i="15"/>
  <c r="W265" i="15"/>
  <c r="V264" i="15"/>
  <c r="Y254" i="15"/>
  <c r="X253" i="15"/>
  <c r="V308" i="15"/>
  <c r="W309" i="15"/>
  <c r="Y342" i="15"/>
  <c r="X341" i="15"/>
  <c r="AY132" i="14"/>
  <c r="AL132" i="14" s="1"/>
  <c r="DM212" i="3"/>
  <c r="DO212" i="3" s="1"/>
  <c r="EC212" i="3" s="1"/>
  <c r="J219" i="21" s="1"/>
  <c r="BA222" i="14"/>
  <c r="AN222" i="14" s="1"/>
  <c r="DM57" i="1"/>
  <c r="DO57" i="1" s="1"/>
  <c r="EC57" i="1" s="1"/>
  <c r="H58" i="21" s="1"/>
  <c r="DM128" i="1"/>
  <c r="DO128" i="1" s="1"/>
  <c r="EC128" i="1" s="1"/>
  <c r="H129" i="21" s="1"/>
  <c r="AY61" i="14"/>
  <c r="AL61" i="14" s="1"/>
  <c r="BA226" i="14"/>
  <c r="AN226" i="14" s="1"/>
  <c r="DM215" i="3"/>
  <c r="DO215" i="3" s="1"/>
  <c r="EC215" i="3" s="1"/>
  <c r="J223" i="21" s="1"/>
  <c r="W320" i="15"/>
  <c r="V319" i="15"/>
  <c r="V341" i="15"/>
  <c r="W342" i="15"/>
  <c r="AT132" i="14"/>
  <c r="AG132" i="14" s="1"/>
  <c r="DL212" i="3"/>
  <c r="DN212" i="3" s="1"/>
  <c r="EB212" i="3" s="1"/>
  <c r="G219" i="21" s="1"/>
  <c r="DL215" i="3"/>
  <c r="DN215" i="3" s="1"/>
  <c r="EB215" i="3" s="1"/>
  <c r="G223" i="21" s="1"/>
  <c r="AV226" i="14"/>
  <c r="AI226" i="14" s="1"/>
  <c r="DL57" i="1"/>
  <c r="DN57" i="1" s="1"/>
  <c r="EB57" i="1" s="1"/>
  <c r="E58" i="21" s="1"/>
  <c r="AT61" i="14"/>
  <c r="AG61" i="14" s="1"/>
  <c r="DL128" i="1"/>
  <c r="DN128" i="1" s="1"/>
  <c r="EB128" i="1" s="1"/>
  <c r="E129" i="21" s="1"/>
  <c r="AV222" i="14"/>
  <c r="AI222" i="14" s="1"/>
  <c r="X330" i="15"/>
  <c r="Y331" i="15"/>
  <c r="DM139" i="2"/>
  <c r="DO139" i="2" s="1"/>
  <c r="EC139" i="2" s="1"/>
  <c r="I141" i="21" s="1"/>
  <c r="I141" i="20" s="1"/>
  <c r="AZ144" i="14"/>
  <c r="AM144" i="14" s="1"/>
  <c r="V253" i="15"/>
  <c r="W254" i="15"/>
  <c r="V275" i="15"/>
  <c r="W276" i="15"/>
  <c r="V242" i="15"/>
  <c r="W243" i="15"/>
  <c r="W232" i="15"/>
  <c r="V220" i="15" s="1"/>
  <c r="V231" i="15"/>
  <c r="W331" i="15"/>
  <c r="V330" i="15"/>
  <c r="AU144" i="14"/>
  <c r="AH144" i="14" s="1"/>
  <c r="DL139" i="2"/>
  <c r="DN139" i="2" s="1"/>
  <c r="EB139" i="2" s="1"/>
  <c r="F141" i="21" s="1"/>
  <c r="H141" i="20" s="1"/>
  <c r="X231" i="15"/>
  <c r="Y232" i="15"/>
  <c r="X220" i="15" s="1"/>
  <c r="W353" i="15"/>
  <c r="AV135" i="14"/>
  <c r="AI135" i="14" s="1"/>
  <c r="DL64" i="3"/>
  <c r="DN64" i="3" s="1"/>
  <c r="EB64" i="3" s="1"/>
  <c r="G66" i="21" s="1"/>
  <c r="DL33" i="1"/>
  <c r="DN33" i="1" s="1"/>
  <c r="EB33" i="1" s="1"/>
  <c r="E34" i="21" s="1"/>
  <c r="AT80" i="14"/>
  <c r="AG80" i="14" s="1"/>
  <c r="DL76" i="1"/>
  <c r="DN76" i="1" s="1"/>
  <c r="EB76" i="1" s="1"/>
  <c r="E77" i="21" s="1"/>
  <c r="AU75" i="14"/>
  <c r="AH75" i="14" s="1"/>
  <c r="DL71" i="2"/>
  <c r="DN71" i="2" s="1"/>
  <c r="EB71" i="2" s="1"/>
  <c r="F72" i="21" s="1"/>
  <c r="H72" i="20" s="1"/>
  <c r="DL130" i="3"/>
  <c r="DN130" i="3" s="1"/>
  <c r="AT37" i="14"/>
  <c r="AG37" i="14" s="1"/>
  <c r="AV69" i="14"/>
  <c r="AI69" i="14" s="1"/>
  <c r="X297" i="15"/>
  <c r="Y298" i="15"/>
  <c r="Y287" i="15"/>
  <c r="X286" i="15"/>
  <c r="Y353" i="15"/>
  <c r="DM33" i="1"/>
  <c r="DO33" i="1" s="1"/>
  <c r="EC33" i="1" s="1"/>
  <c r="H34" i="21" s="1"/>
  <c r="DM64" i="3"/>
  <c r="DO64" i="3" s="1"/>
  <c r="EC64" i="3" s="1"/>
  <c r="J66" i="21" s="1"/>
  <c r="AY80" i="14"/>
  <c r="AL80" i="14" s="1"/>
  <c r="AZ75" i="14"/>
  <c r="AM75" i="14" s="1"/>
  <c r="AY37" i="14"/>
  <c r="AL37" i="14" s="1"/>
  <c r="DM76" i="1"/>
  <c r="DO76" i="1" s="1"/>
  <c r="EC76" i="1" s="1"/>
  <c r="H77" i="21" s="1"/>
  <c r="DM71" i="2"/>
  <c r="DO71" i="2" s="1"/>
  <c r="EC71" i="2" s="1"/>
  <c r="I72" i="21" s="1"/>
  <c r="I72" i="20" s="1"/>
  <c r="DM130" i="3"/>
  <c r="DO130" i="3" s="1"/>
  <c r="BA135" i="14"/>
  <c r="AN135" i="14" s="1"/>
  <c r="BA69" i="14"/>
  <c r="AN69" i="14" s="1"/>
  <c r="X242" i="15"/>
  <c r="Y243" i="15"/>
  <c r="X219" i="15" l="1"/>
  <c r="Y220" i="15"/>
  <c r="X208" i="15"/>
  <c r="W220" i="15"/>
  <c r="V219" i="15"/>
  <c r="V208" i="15"/>
  <c r="Y297" i="15"/>
  <c r="X296" i="15"/>
  <c r="V296" i="15"/>
  <c r="W297" i="15"/>
  <c r="Y308" i="15"/>
  <c r="X307" i="15"/>
  <c r="X230" i="15"/>
  <c r="Y231" i="15"/>
  <c r="Y341" i="15"/>
  <c r="DM65" i="2"/>
  <c r="DO65" i="2" s="1"/>
  <c r="EC65" i="2" s="1"/>
  <c r="I66" i="21" s="1"/>
  <c r="I66" i="20" s="1"/>
  <c r="AZ135" i="14"/>
  <c r="AM135" i="14" s="1"/>
  <c r="DM71" i="1"/>
  <c r="DO71" i="1" s="1"/>
  <c r="EC71" i="1" s="1"/>
  <c r="H72" i="21" s="1"/>
  <c r="AZ69" i="14"/>
  <c r="AM69" i="14" s="1"/>
  <c r="DM21" i="3"/>
  <c r="DO21" i="3" s="1"/>
  <c r="EC21" i="3" s="1"/>
  <c r="J22" i="21" s="1"/>
  <c r="BA25" i="14"/>
  <c r="AN25" i="14" s="1"/>
  <c r="DM131" i="2"/>
  <c r="DO131" i="2" s="1"/>
  <c r="AY75" i="14"/>
  <c r="AL75" i="14" s="1"/>
  <c r="W286" i="15"/>
  <c r="V285" i="15"/>
  <c r="W341" i="15"/>
  <c r="AU69" i="14"/>
  <c r="AH69" i="14" s="1"/>
  <c r="DL21" i="3"/>
  <c r="DN21" i="3" s="1"/>
  <c r="EB21" i="3" s="1"/>
  <c r="G22" i="21" s="1"/>
  <c r="AT75" i="14"/>
  <c r="AG75" i="14" s="1"/>
  <c r="DL131" i="2"/>
  <c r="DN131" i="2" s="1"/>
  <c r="DL65" i="2"/>
  <c r="DN65" i="2" s="1"/>
  <c r="EB65" i="2" s="1"/>
  <c r="F66" i="21" s="1"/>
  <c r="H66" i="20" s="1"/>
  <c r="DL71" i="1"/>
  <c r="DN71" i="1" s="1"/>
  <c r="EB71" i="1" s="1"/>
  <c r="E72" i="21" s="1"/>
  <c r="AU135" i="14"/>
  <c r="AH135" i="14" s="1"/>
  <c r="AV25" i="14"/>
  <c r="AI25" i="14" s="1"/>
  <c r="V318" i="15"/>
  <c r="W319" i="15"/>
  <c r="AV88" i="14"/>
  <c r="AI88" i="14" s="1"/>
  <c r="AT144" i="14"/>
  <c r="AG144" i="14" s="1"/>
  <c r="DL140" i="1"/>
  <c r="DN140" i="1" s="1"/>
  <c r="EB140" i="1" s="1"/>
  <c r="E141" i="21" s="1"/>
  <c r="DL83" i="3"/>
  <c r="DN83" i="3" s="1"/>
  <c r="EB83" i="3" s="1"/>
  <c r="G85" i="21" s="1"/>
  <c r="X318" i="15"/>
  <c r="Y319" i="15"/>
  <c r="DM140" i="1"/>
  <c r="DO140" i="1" s="1"/>
  <c r="EC140" i="1" s="1"/>
  <c r="H141" i="21" s="1"/>
  <c r="BA88" i="14"/>
  <c r="AN88" i="14" s="1"/>
  <c r="AY144" i="14"/>
  <c r="AL144" i="14" s="1"/>
  <c r="DM83" i="3"/>
  <c r="DO83" i="3" s="1"/>
  <c r="EC83" i="3" s="1"/>
  <c r="J85" i="21" s="1"/>
  <c r="W253" i="15"/>
  <c r="V252" i="15"/>
  <c r="Y330" i="15"/>
  <c r="X329" i="15"/>
  <c r="AZ226" i="14"/>
  <c r="AM226" i="14" s="1"/>
  <c r="DM206" i="2"/>
  <c r="DO206" i="2" s="1"/>
  <c r="EC206" i="2" s="1"/>
  <c r="I219" i="21" s="1"/>
  <c r="AZ222" i="14"/>
  <c r="AM222" i="14" s="1"/>
  <c r="DM210" i="2"/>
  <c r="DO210" i="2" s="1"/>
  <c r="EC210" i="2" s="1"/>
  <c r="I223" i="21" s="1"/>
  <c r="I223" i="20" s="1"/>
  <c r="W308" i="15"/>
  <c r="V307" i="15"/>
  <c r="Y253" i="15"/>
  <c r="X252" i="15"/>
  <c r="Y264" i="15"/>
  <c r="X263" i="15"/>
  <c r="V230" i="15"/>
  <c r="W231" i="15"/>
  <c r="Y242" i="15"/>
  <c r="X241" i="15"/>
  <c r="X285" i="15"/>
  <c r="Y286" i="15"/>
  <c r="V329" i="15"/>
  <c r="W330" i="15"/>
  <c r="AU222" i="14"/>
  <c r="AH222" i="14" s="1"/>
  <c r="DL206" i="2"/>
  <c r="DN206" i="2" s="1"/>
  <c r="EB206" i="2" s="1"/>
  <c r="F219" i="21" s="1"/>
  <c r="DL210" i="2"/>
  <c r="DN210" i="2" s="1"/>
  <c r="EB210" i="2" s="1"/>
  <c r="F223" i="21" s="1"/>
  <c r="H223" i="20" s="1"/>
  <c r="AU226" i="14"/>
  <c r="AH226" i="14" s="1"/>
  <c r="V263" i="15"/>
  <c r="W264" i="15"/>
  <c r="V274" i="15"/>
  <c r="W275" i="15"/>
  <c r="W242" i="15"/>
  <c r="V241" i="15"/>
  <c r="Y275" i="15"/>
  <c r="X274" i="15"/>
  <c r="V295" i="15" l="1"/>
  <c r="W296" i="15"/>
  <c r="V306" i="15"/>
  <c r="W307" i="15"/>
  <c r="DL84" i="2"/>
  <c r="DN84" i="2" s="1"/>
  <c r="EB84" i="2" s="1"/>
  <c r="F85" i="21" s="1"/>
  <c r="H85" i="20" s="1"/>
  <c r="AU88" i="14"/>
  <c r="AH88" i="14" s="1"/>
  <c r="Y263" i="15"/>
  <c r="X262" i="15"/>
  <c r="V251" i="15"/>
  <c r="W252" i="15"/>
  <c r="X306" i="15"/>
  <c r="Y307" i="15"/>
  <c r="AZ88" i="14"/>
  <c r="AM88" i="14" s="1"/>
  <c r="DM84" i="2"/>
  <c r="DO84" i="2" s="1"/>
  <c r="EC84" i="2" s="1"/>
  <c r="I85" i="21" s="1"/>
  <c r="I85" i="20" s="1"/>
  <c r="V317" i="15"/>
  <c r="W318" i="15"/>
  <c r="AT222" i="14"/>
  <c r="AG222" i="14" s="1"/>
  <c r="DL220" i="1"/>
  <c r="DN220" i="1" s="1"/>
  <c r="EB220" i="1" s="1"/>
  <c r="E223" i="21" s="1"/>
  <c r="AT226" i="14"/>
  <c r="AG226" i="14" s="1"/>
  <c r="DL216" i="1"/>
  <c r="DN216" i="1" s="1"/>
  <c r="EB216" i="1" s="1"/>
  <c r="E219" i="21" s="1"/>
  <c r="Y296" i="15"/>
  <c r="X295" i="15"/>
  <c r="W241" i="15"/>
  <c r="V240" i="15"/>
  <c r="W208" i="15"/>
  <c r="V196" i="15"/>
  <c r="V207" i="15"/>
  <c r="X284" i="15"/>
  <c r="Y285" i="15"/>
  <c r="Y318" i="15"/>
  <c r="X317" i="15"/>
  <c r="DM220" i="1"/>
  <c r="DO220" i="1" s="1"/>
  <c r="EC220" i="1" s="1"/>
  <c r="H223" i="21" s="1"/>
  <c r="AY222" i="14"/>
  <c r="AL222" i="14" s="1"/>
  <c r="DM216" i="1"/>
  <c r="DO216" i="1" s="1"/>
  <c r="EC216" i="1" s="1"/>
  <c r="H219" i="21" s="1"/>
  <c r="AY226" i="14"/>
  <c r="AL226" i="14" s="1"/>
  <c r="W219" i="15"/>
  <c r="V218" i="15"/>
  <c r="X273" i="15"/>
  <c r="Y274" i="15"/>
  <c r="W329" i="15"/>
  <c r="AT135" i="14"/>
  <c r="AG135" i="14" s="1"/>
  <c r="AU25" i="14"/>
  <c r="AH25" i="14" s="1"/>
  <c r="DL21" i="2"/>
  <c r="DN21" i="2" s="1"/>
  <c r="EB21" i="2" s="1"/>
  <c r="F22" i="21" s="1"/>
  <c r="H22" i="20" s="1"/>
  <c r="AT69" i="14"/>
  <c r="AG69" i="14" s="1"/>
  <c r="DL131" i="1"/>
  <c r="DN131" i="1" s="1"/>
  <c r="DL65" i="1"/>
  <c r="DN65" i="1" s="1"/>
  <c r="EB65" i="1" s="1"/>
  <c r="E66" i="21" s="1"/>
  <c r="Y241" i="15"/>
  <c r="X240" i="15"/>
  <c r="X207" i="15"/>
  <c r="X196" i="15"/>
  <c r="Y208" i="15"/>
  <c r="X251" i="15"/>
  <c r="Y252" i="15"/>
  <c r="W274" i="15"/>
  <c r="V273" i="15"/>
  <c r="Y329" i="15"/>
  <c r="AZ25" i="14"/>
  <c r="AM25" i="14" s="1"/>
  <c r="AY135" i="14"/>
  <c r="AL135" i="14" s="1"/>
  <c r="DM65" i="1"/>
  <c r="DO65" i="1" s="1"/>
  <c r="EC65" i="1" s="1"/>
  <c r="H66" i="21" s="1"/>
  <c r="DM21" i="2"/>
  <c r="DO21" i="2" s="1"/>
  <c r="EC21" i="2" s="1"/>
  <c r="I22" i="21" s="1"/>
  <c r="I22" i="20" s="1"/>
  <c r="DM131" i="1"/>
  <c r="DO131" i="1" s="1"/>
  <c r="AY69" i="14"/>
  <c r="AL69" i="14" s="1"/>
  <c r="W263" i="15"/>
  <c r="V262" i="15"/>
  <c r="W230" i="15"/>
  <c r="V229" i="15"/>
  <c r="V284" i="15"/>
  <c r="W285" i="15"/>
  <c r="Y230" i="15"/>
  <c r="X229" i="15"/>
  <c r="Y219" i="15"/>
  <c r="X218" i="15"/>
  <c r="X239" i="15" l="1"/>
  <c r="Y240" i="15"/>
  <c r="V239" i="15"/>
  <c r="W240" i="15"/>
  <c r="Y306" i="15"/>
  <c r="X305" i="15"/>
  <c r="Y305" i="15" s="1"/>
  <c r="X294" i="15"/>
  <c r="Y295" i="15"/>
  <c r="AY88" i="14"/>
  <c r="AL88" i="14" s="1"/>
  <c r="DM84" i="1"/>
  <c r="DO84" i="1" s="1"/>
  <c r="EC84" i="1" s="1"/>
  <c r="H85" i="21" s="1"/>
  <c r="DM94" i="3"/>
  <c r="DO94" i="3" s="1"/>
  <c r="BA99" i="14"/>
  <c r="AN99" i="14" s="1"/>
  <c r="W251" i="15"/>
  <c r="V250" i="15"/>
  <c r="X261" i="15"/>
  <c r="Y262" i="15"/>
  <c r="Y317" i="15"/>
  <c r="AY25" i="14"/>
  <c r="AL25" i="14" s="1"/>
  <c r="DM21" i="1"/>
  <c r="DO21" i="1" s="1"/>
  <c r="EC21" i="1" s="1"/>
  <c r="H22" i="21" s="1"/>
  <c r="Y218" i="15"/>
  <c r="X217" i="15"/>
  <c r="X228" i="15"/>
  <c r="Y229" i="15"/>
  <c r="W262" i="15"/>
  <c r="V261" i="15"/>
  <c r="Y251" i="15"/>
  <c r="X250" i="15"/>
  <c r="Y284" i="15"/>
  <c r="X283" i="15"/>
  <c r="V283" i="15"/>
  <c r="W284" i="15"/>
  <c r="V272" i="15"/>
  <c r="W273" i="15"/>
  <c r="W229" i="15"/>
  <c r="V228" i="15"/>
  <c r="V206" i="15"/>
  <c r="W207" i="15"/>
  <c r="W317" i="15"/>
  <c r="AT25" i="14"/>
  <c r="AG25" i="14" s="1"/>
  <c r="DL21" i="1"/>
  <c r="DN21" i="1" s="1"/>
  <c r="EB21" i="1" s="1"/>
  <c r="E22" i="21" s="1"/>
  <c r="V305" i="15"/>
  <c r="W305" i="15" s="1"/>
  <c r="W306" i="15"/>
  <c r="X195" i="15"/>
  <c r="Y196" i="15"/>
  <c r="X184" i="15"/>
  <c r="Y273" i="15"/>
  <c r="X272" i="15"/>
  <c r="W196" i="15"/>
  <c r="V184" i="15" s="1"/>
  <c r="V195" i="15"/>
  <c r="Y207" i="15"/>
  <c r="X206" i="15"/>
  <c r="V217" i="15"/>
  <c r="W218" i="15"/>
  <c r="W295" i="15"/>
  <c r="V294" i="15"/>
  <c r="AT88" i="14"/>
  <c r="AG88" i="14" s="1"/>
  <c r="DL84" i="1"/>
  <c r="DN84" i="1" s="1"/>
  <c r="EB84" i="1" s="1"/>
  <c r="E85" i="21" s="1"/>
  <c r="DL94" i="3"/>
  <c r="DN94" i="3" s="1"/>
  <c r="AV99" i="14"/>
  <c r="AI99" i="14" s="1"/>
  <c r="W184" i="15" l="1"/>
  <c r="V183" i="15"/>
  <c r="V172" i="15"/>
  <c r="Y272" i="15"/>
  <c r="X271" i="15"/>
  <c r="V227" i="15"/>
  <c r="W228" i="15"/>
  <c r="Y228" i="15"/>
  <c r="X227" i="15"/>
  <c r="X183" i="15"/>
  <c r="Y184" i="15"/>
  <c r="X172" i="15"/>
  <c r="Y217" i="15"/>
  <c r="X216" i="15"/>
  <c r="V205" i="15"/>
  <c r="W206" i="15"/>
  <c r="V293" i="15"/>
  <c r="W293" i="15" s="1"/>
  <c r="W294" i="15"/>
  <c r="W272" i="15"/>
  <c r="V271" i="15"/>
  <c r="Y195" i="15"/>
  <c r="X194" i="15"/>
  <c r="Y294" i="15"/>
  <c r="X293" i="15"/>
  <c r="Y293" i="15" s="1"/>
  <c r="V282" i="15"/>
  <c r="W283" i="15"/>
  <c r="AU99" i="14"/>
  <c r="AH99" i="14" s="1"/>
  <c r="DL95" i="2"/>
  <c r="DN95" i="2" s="1"/>
  <c r="W217" i="15"/>
  <c r="V216" i="15"/>
  <c r="X282" i="15"/>
  <c r="Y283" i="15"/>
  <c r="AZ99" i="14"/>
  <c r="AM99" i="14" s="1"/>
  <c r="DM95" i="2"/>
  <c r="DO95" i="2" s="1"/>
  <c r="Y206" i="15"/>
  <c r="X205" i="15"/>
  <c r="X249" i="15"/>
  <c r="Y250" i="15"/>
  <c r="X260" i="15"/>
  <c r="Y261" i="15"/>
  <c r="DM116" i="3"/>
  <c r="DO116" i="3" s="1"/>
  <c r="EC116" i="3" s="1"/>
  <c r="J118" i="21" s="1"/>
  <c r="BA121" i="14"/>
  <c r="AN121" i="14" s="1"/>
  <c r="V238" i="15"/>
  <c r="W239" i="15"/>
  <c r="W250" i="15"/>
  <c r="V249" i="15"/>
  <c r="V194" i="15"/>
  <c r="W195" i="15"/>
  <c r="V260" i="15"/>
  <c r="W261" i="15"/>
  <c r="AV121" i="14"/>
  <c r="AI121" i="14" s="1"/>
  <c r="DL116" i="3"/>
  <c r="DN116" i="3" s="1"/>
  <c r="EB116" i="3" s="1"/>
  <c r="G118" i="21" s="1"/>
  <c r="Y239" i="15"/>
  <c r="X238" i="15"/>
  <c r="Y205" i="15" l="1"/>
  <c r="X204" i="15"/>
  <c r="W194" i="15"/>
  <c r="V193" i="15"/>
  <c r="V248" i="15"/>
  <c r="W249" i="15"/>
  <c r="DL117" i="2"/>
  <c r="DN117" i="2" s="1"/>
  <c r="EB117" i="2" s="1"/>
  <c r="F118" i="21" s="1"/>
  <c r="H118" i="20" s="1"/>
  <c r="AU121" i="14"/>
  <c r="AH121" i="14" s="1"/>
  <c r="X182" i="15"/>
  <c r="Y183" i="15"/>
  <c r="V226" i="15"/>
  <c r="W227" i="15"/>
  <c r="X270" i="15"/>
  <c r="Y271" i="15"/>
  <c r="AY99" i="14"/>
  <c r="AL99" i="14" s="1"/>
  <c r="DM95" i="1"/>
  <c r="DO95" i="1" s="1"/>
  <c r="X171" i="15"/>
  <c r="Y172" i="15"/>
  <c r="X160" i="15" s="1"/>
  <c r="Y194" i="15"/>
  <c r="X193" i="15"/>
  <c r="Y227" i="15"/>
  <c r="X226" i="15"/>
  <c r="W238" i="15"/>
  <c r="V237" i="15"/>
  <c r="DL117" i="1"/>
  <c r="DN117" i="1" s="1"/>
  <c r="EB117" i="1" s="1"/>
  <c r="E118" i="21" s="1"/>
  <c r="AV219" i="14"/>
  <c r="AI219" i="14" s="1"/>
  <c r="AT121" i="14"/>
  <c r="AG121" i="14" s="1"/>
  <c r="DL210" i="3"/>
  <c r="DN210" i="3" s="1"/>
  <c r="EB210" i="3" s="1"/>
  <c r="G216" i="21" s="1"/>
  <c r="X237" i="15"/>
  <c r="Y238" i="15"/>
  <c r="DM210" i="3"/>
  <c r="DO210" i="3" s="1"/>
  <c r="EC210" i="3" s="1"/>
  <c r="J216" i="21" s="1"/>
  <c r="DM117" i="1"/>
  <c r="DO117" i="1" s="1"/>
  <c r="EC117" i="1" s="1"/>
  <c r="H118" i="21" s="1"/>
  <c r="BA219" i="14"/>
  <c r="AN219" i="14" s="1"/>
  <c r="AY121" i="14"/>
  <c r="AL121" i="14" s="1"/>
  <c r="V215" i="15"/>
  <c r="W216" i="15"/>
  <c r="V270" i="15"/>
  <c r="W271" i="15"/>
  <c r="AT99" i="14"/>
  <c r="AG99" i="14" s="1"/>
  <c r="DL95" i="1"/>
  <c r="DN95" i="1" s="1"/>
  <c r="Y282" i="15"/>
  <c r="X281" i="15"/>
  <c r="Y281" i="15" s="1"/>
  <c r="Y260" i="15"/>
  <c r="X259" i="15"/>
  <c r="W205" i="15"/>
  <c r="V204" i="15"/>
  <c r="W172" i="15"/>
  <c r="V160" i="15" s="1"/>
  <c r="V171" i="15"/>
  <c r="Y216" i="15"/>
  <c r="X215" i="15"/>
  <c r="W183" i="15"/>
  <c r="V182" i="15"/>
  <c r="W260" i="15"/>
  <c r="V259" i="15"/>
  <c r="Y249" i="15"/>
  <c r="X248" i="15"/>
  <c r="AZ121" i="14"/>
  <c r="AM121" i="14" s="1"/>
  <c r="DM117" i="2"/>
  <c r="DO117" i="2" s="1"/>
  <c r="EC117" i="2" s="1"/>
  <c r="I118" i="21" s="1"/>
  <c r="I118" i="20" s="1"/>
  <c r="V281" i="15"/>
  <c r="W281" i="15" s="1"/>
  <c r="W282" i="15"/>
  <c r="W160" i="15" l="1"/>
  <c r="V148" i="15"/>
  <c r="V159" i="15"/>
  <c r="X159" i="15"/>
  <c r="Y160" i="15"/>
  <c r="X148" i="15" s="1"/>
  <c r="W226" i="15"/>
  <c r="V225" i="15"/>
  <c r="DL204" i="2"/>
  <c r="DN204" i="2" s="1"/>
  <c r="EB204" i="2" s="1"/>
  <c r="F216" i="21" s="1"/>
  <c r="H216" i="20" s="1"/>
  <c r="AU219" i="14"/>
  <c r="AH219" i="14" s="1"/>
  <c r="Y182" i="15"/>
  <c r="X181" i="15"/>
  <c r="W215" i="15"/>
  <c r="V214" i="15"/>
  <c r="V203" i="15"/>
  <c r="W204" i="15"/>
  <c r="X225" i="15"/>
  <c r="Y226" i="15"/>
  <c r="DM204" i="2"/>
  <c r="DO204" i="2" s="1"/>
  <c r="EC204" i="2" s="1"/>
  <c r="I216" i="21" s="1"/>
  <c r="I216" i="20" s="1"/>
  <c r="AZ219" i="14"/>
  <c r="AM219" i="14" s="1"/>
  <c r="W182" i="15"/>
  <c r="V181" i="15"/>
  <c r="Y237" i="15"/>
  <c r="X236" i="15"/>
  <c r="Y171" i="15"/>
  <c r="X170" i="15"/>
  <c r="W248" i="15"/>
  <c r="V247" i="15"/>
  <c r="W193" i="15"/>
  <c r="V192" i="15"/>
  <c r="Y248" i="15"/>
  <c r="X247" i="15"/>
  <c r="X258" i="15"/>
  <c r="Y259" i="15"/>
  <c r="Y193" i="15"/>
  <c r="X192" i="15"/>
  <c r="V258" i="15"/>
  <c r="W259" i="15"/>
  <c r="Y215" i="15"/>
  <c r="X214" i="15"/>
  <c r="V269" i="15"/>
  <c r="W269" i="15" s="1"/>
  <c r="W270" i="15"/>
  <c r="X203" i="15"/>
  <c r="Y204" i="15"/>
  <c r="W171" i="15"/>
  <c r="V170" i="15"/>
  <c r="V236" i="15"/>
  <c r="W237" i="15"/>
  <c r="X269" i="15"/>
  <c r="Y269" i="15" s="1"/>
  <c r="Y270" i="15"/>
  <c r="X147" i="15" l="1"/>
  <c r="Y148" i="15"/>
  <c r="X136" i="15" s="1"/>
  <c r="V191" i="15"/>
  <c r="W192" i="15"/>
  <c r="V246" i="15"/>
  <c r="W247" i="15"/>
  <c r="X191" i="15"/>
  <c r="Y192" i="15"/>
  <c r="Y236" i="15"/>
  <c r="X235" i="15"/>
  <c r="X180" i="15"/>
  <c r="Y181" i="15"/>
  <c r="V235" i="15"/>
  <c r="W236" i="15"/>
  <c r="V169" i="15"/>
  <c r="W170" i="15"/>
  <c r="W181" i="15"/>
  <c r="V180" i="15"/>
  <c r="Y225" i="15"/>
  <c r="X224" i="15"/>
  <c r="X246" i="15"/>
  <c r="Y247" i="15"/>
  <c r="Y203" i="15"/>
  <c r="X202" i="15"/>
  <c r="W148" i="15"/>
  <c r="V136" i="15"/>
  <c r="V147" i="15"/>
  <c r="Y258" i="15"/>
  <c r="X257" i="15"/>
  <c r="Y257" i="15" s="1"/>
  <c r="V224" i="15"/>
  <c r="W225" i="15"/>
  <c r="X213" i="15"/>
  <c r="Y214" i="15"/>
  <c r="DM213" i="1"/>
  <c r="DO213" i="1" s="1"/>
  <c r="EC213" i="1" s="1"/>
  <c r="H216" i="21" s="1"/>
  <c r="AY219" i="14"/>
  <c r="AL219" i="14" s="1"/>
  <c r="Y159" i="15"/>
  <c r="X158" i="15"/>
  <c r="W203" i="15"/>
  <c r="V202" i="15"/>
  <c r="W159" i="15"/>
  <c r="V158" i="15"/>
  <c r="Y170" i="15"/>
  <c r="X169" i="15"/>
  <c r="W214" i="15"/>
  <c r="V213" i="15"/>
  <c r="AT219" i="14"/>
  <c r="AG219" i="14" s="1"/>
  <c r="DL213" i="1"/>
  <c r="DN213" i="1" s="1"/>
  <c r="EB213" i="1" s="1"/>
  <c r="E216" i="21" s="1"/>
  <c r="V257" i="15"/>
  <c r="W257" i="15" s="1"/>
  <c r="W258" i="15"/>
  <c r="Y136" i="15" l="1"/>
  <c r="X124" i="15" s="1"/>
  <c r="X135" i="15"/>
  <c r="V212" i="15"/>
  <c r="W213" i="15"/>
  <c r="Y246" i="15"/>
  <c r="X245" i="15"/>
  <c r="Y245" i="15" s="1"/>
  <c r="X212" i="15"/>
  <c r="Y213" i="15"/>
  <c r="Y169" i="15"/>
  <c r="X168" i="15"/>
  <c r="V245" i="15"/>
  <c r="W245" i="15" s="1"/>
  <c r="W246" i="15"/>
  <c r="Y180" i="15"/>
  <c r="X179" i="15"/>
  <c r="X234" i="15"/>
  <c r="Y235" i="15"/>
  <c r="V179" i="15"/>
  <c r="W180" i="15"/>
  <c r="W202" i="15"/>
  <c r="V201" i="15"/>
  <c r="W191" i="15"/>
  <c r="V190" i="15"/>
  <c r="Y224" i="15"/>
  <c r="X223" i="15"/>
  <c r="Y191" i="15"/>
  <c r="X190" i="15"/>
  <c r="V223" i="15"/>
  <c r="W224" i="15"/>
  <c r="V157" i="15"/>
  <c r="W158" i="15"/>
  <c r="W147" i="15"/>
  <c r="V146" i="15"/>
  <c r="W169" i="15"/>
  <c r="V168" i="15"/>
  <c r="V124" i="15"/>
  <c r="W136" i="15"/>
  <c r="V135" i="15"/>
  <c r="Y158" i="15"/>
  <c r="X157" i="15"/>
  <c r="W235" i="15"/>
  <c r="V234" i="15"/>
  <c r="X201" i="15"/>
  <c r="Y202" i="15"/>
  <c r="X146" i="15"/>
  <c r="Y147" i="15"/>
  <c r="Y124" i="15" l="1"/>
  <c r="X112" i="15" s="1"/>
  <c r="X123" i="15"/>
  <c r="Y168" i="15"/>
  <c r="X167" i="15"/>
  <c r="V233" i="15"/>
  <c r="W233" i="15" s="1"/>
  <c r="W234" i="15"/>
  <c r="W124" i="15"/>
  <c r="V112" i="15" s="1"/>
  <c r="V123" i="15"/>
  <c r="V167" i="15"/>
  <c r="W168" i="15"/>
  <c r="V145" i="15"/>
  <c r="W146" i="15"/>
  <c r="W190" i="15"/>
  <c r="V189" i="15"/>
  <c r="X145" i="15"/>
  <c r="Y146" i="15"/>
  <c r="V200" i="15"/>
  <c r="W201" i="15"/>
  <c r="Y212" i="15"/>
  <c r="X211" i="15"/>
  <c r="Y201" i="15"/>
  <c r="X200" i="15"/>
  <c r="W157" i="15"/>
  <c r="V156" i="15"/>
  <c r="V178" i="15"/>
  <c r="W179" i="15"/>
  <c r="Y157" i="15"/>
  <c r="X156" i="15"/>
  <c r="V222" i="15"/>
  <c r="W223" i="15"/>
  <c r="Y234" i="15"/>
  <c r="X233" i="15"/>
  <c r="Y233" i="15" s="1"/>
  <c r="W212" i="15"/>
  <c r="V211" i="15"/>
  <c r="X189" i="15"/>
  <c r="Y190" i="15"/>
  <c r="Y179" i="15"/>
  <c r="X178" i="15"/>
  <c r="Y135" i="15"/>
  <c r="X134" i="15"/>
  <c r="V134" i="15"/>
  <c r="W135" i="15"/>
  <c r="X222" i="15"/>
  <c r="Y223" i="15"/>
  <c r="W112" i="15" l="1"/>
  <c r="V100" i="15"/>
  <c r="V111" i="15"/>
  <c r="Y112" i="15"/>
  <c r="X100" i="15" s="1"/>
  <c r="X111" i="15"/>
  <c r="X210" i="15"/>
  <c r="Y211" i="15"/>
  <c r="X221" i="15"/>
  <c r="Y221" i="15" s="1"/>
  <c r="Y222" i="15"/>
  <c r="V221" i="15"/>
  <c r="W221" i="15" s="1"/>
  <c r="W222" i="15"/>
  <c r="W167" i="15"/>
  <c r="V166" i="15"/>
  <c r="X133" i="15"/>
  <c r="Y134" i="15"/>
  <c r="W134" i="15"/>
  <c r="V133" i="15"/>
  <c r="V199" i="15"/>
  <c r="W200" i="15"/>
  <c r="V210" i="15"/>
  <c r="W211" i="15"/>
  <c r="Y200" i="15"/>
  <c r="X199" i="15"/>
  <c r="V122" i="15"/>
  <c r="W123" i="15"/>
  <c r="Y156" i="15"/>
  <c r="X155" i="15"/>
  <c r="X144" i="15"/>
  <c r="Y145" i="15"/>
  <c r="Y167" i="15"/>
  <c r="X166" i="15"/>
  <c r="X177" i="15"/>
  <c r="Y178" i="15"/>
  <c r="BA227" i="14"/>
  <c r="AN227" i="14" s="1"/>
  <c r="DM216" i="3"/>
  <c r="DO216" i="3" s="1"/>
  <c r="V188" i="15"/>
  <c r="W189" i="15"/>
  <c r="W178" i="15"/>
  <c r="V177" i="15"/>
  <c r="AV227" i="14"/>
  <c r="AI227" i="14" s="1"/>
  <c r="DL216" i="3"/>
  <c r="DN216" i="3" s="1"/>
  <c r="Y123" i="15"/>
  <c r="X122" i="15"/>
  <c r="V155" i="15"/>
  <c r="W156" i="15"/>
  <c r="Y189" i="15"/>
  <c r="X188" i="15"/>
  <c r="W145" i="15"/>
  <c r="V144" i="15"/>
  <c r="X99" i="15" l="1"/>
  <c r="Y100" i="15"/>
  <c r="X88" i="15" s="1"/>
  <c r="Y188" i="15"/>
  <c r="X187" i="15"/>
  <c r="X198" i="15"/>
  <c r="Y199" i="15"/>
  <c r="W155" i="15"/>
  <c r="V154" i="15"/>
  <c r="X165" i="15"/>
  <c r="Y166" i="15"/>
  <c r="DM211" i="2"/>
  <c r="DO211" i="2" s="1"/>
  <c r="EC211" i="2" s="1"/>
  <c r="I224" i="21" s="1"/>
  <c r="AZ227" i="14"/>
  <c r="AM227" i="14" s="1"/>
  <c r="W111" i="15"/>
  <c r="V110" i="15"/>
  <c r="Y177" i="15"/>
  <c r="X176" i="15"/>
  <c r="V209" i="15"/>
  <c r="W209" i="15" s="1"/>
  <c r="W210" i="15"/>
  <c r="X121" i="15"/>
  <c r="Y122" i="15"/>
  <c r="W199" i="15"/>
  <c r="V198" i="15"/>
  <c r="Y210" i="15"/>
  <c r="X209" i="15"/>
  <c r="Y209" i="15" s="1"/>
  <c r="V132" i="15"/>
  <c r="W133" i="15"/>
  <c r="Y155" i="15"/>
  <c r="X154" i="15"/>
  <c r="W100" i="15"/>
  <c r="V88" i="15" s="1"/>
  <c r="V99" i="15"/>
  <c r="Y111" i="15"/>
  <c r="X110" i="15"/>
  <c r="Y144" i="15"/>
  <c r="X143" i="15"/>
  <c r="V176" i="15"/>
  <c r="W177" i="15"/>
  <c r="Y133" i="15"/>
  <c r="X132" i="15"/>
  <c r="W144" i="15"/>
  <c r="V143" i="15"/>
  <c r="W166" i="15"/>
  <c r="V165" i="15"/>
  <c r="DL211" i="2"/>
  <c r="DN211" i="2" s="1"/>
  <c r="EB211" i="2" s="1"/>
  <c r="F224" i="21" s="1"/>
  <c r="AU227" i="14"/>
  <c r="AH227" i="14" s="1"/>
  <c r="V187" i="15"/>
  <c r="W188" i="15"/>
  <c r="W122" i="15"/>
  <c r="V121" i="15"/>
  <c r="V87" i="15" l="1"/>
  <c r="W88" i="15"/>
  <c r="V76" i="15" s="1"/>
  <c r="Y88" i="15"/>
  <c r="X76" i="15" s="1"/>
  <c r="X87" i="15"/>
  <c r="V197" i="15"/>
  <c r="W197" i="15" s="1"/>
  <c r="W198" i="15"/>
  <c r="V142" i="15"/>
  <c r="W143" i="15"/>
  <c r="Y121" i="15"/>
  <c r="X120" i="15"/>
  <c r="Y198" i="15"/>
  <c r="X197" i="15"/>
  <c r="Y197" i="15" s="1"/>
  <c r="X153" i="15"/>
  <c r="Y154" i="15"/>
  <c r="AY227" i="14"/>
  <c r="AL227" i="14" s="1"/>
  <c r="DM221" i="1"/>
  <c r="DO221" i="1" s="1"/>
  <c r="EC221" i="1" s="1"/>
  <c r="H224" i="21" s="1"/>
  <c r="Y176" i="15"/>
  <c r="X175" i="15"/>
  <c r="X186" i="15"/>
  <c r="Y187" i="15"/>
  <c r="X142" i="15"/>
  <c r="Y143" i="15"/>
  <c r="W99" i="15"/>
  <c r="V98" i="15"/>
  <c r="W187" i="15"/>
  <c r="V186" i="15"/>
  <c r="X109" i="15"/>
  <c r="Y110" i="15"/>
  <c r="X164" i="15"/>
  <c r="Y165" i="15"/>
  <c r="Y132" i="15"/>
  <c r="X131" i="15"/>
  <c r="W110" i="15"/>
  <c r="V109" i="15"/>
  <c r="V120" i="15"/>
  <c r="W121" i="15"/>
  <c r="V131" i="15"/>
  <c r="W132" i="15"/>
  <c r="Y99" i="15"/>
  <c r="X98" i="15"/>
  <c r="W154" i="15"/>
  <c r="V153" i="15"/>
  <c r="DL221" i="1"/>
  <c r="DN221" i="1" s="1"/>
  <c r="EB221" i="1" s="1"/>
  <c r="E224" i="21" s="1"/>
  <c r="AT227" i="14"/>
  <c r="AG227" i="14" s="1"/>
  <c r="V164" i="15"/>
  <c r="W165" i="15"/>
  <c r="W176" i="15"/>
  <c r="V175" i="15"/>
  <c r="Y76" i="15" l="1"/>
  <c r="X64" i="15" s="1"/>
  <c r="X75" i="15"/>
  <c r="V75" i="15"/>
  <c r="W76" i="15"/>
  <c r="V64" i="15" s="1"/>
  <c r="V108" i="15"/>
  <c r="W109" i="15"/>
  <c r="Y120" i="15"/>
  <c r="X119" i="15"/>
  <c r="W164" i="15"/>
  <c r="V163" i="15"/>
  <c r="Y142" i="15"/>
  <c r="X141" i="15"/>
  <c r="X130" i="15"/>
  <c r="Y131" i="15"/>
  <c r="W142" i="15"/>
  <c r="V141" i="15"/>
  <c r="Y87" i="15"/>
  <c r="X86" i="15"/>
  <c r="X108" i="15"/>
  <c r="Y109" i="15"/>
  <c r="V185" i="15"/>
  <c r="W185" i="15" s="1"/>
  <c r="W186" i="15"/>
  <c r="W131" i="15"/>
  <c r="V130" i="15"/>
  <c r="Y186" i="15"/>
  <c r="X185" i="15"/>
  <c r="Y185" i="15" s="1"/>
  <c r="V152" i="15"/>
  <c r="W153" i="15"/>
  <c r="X174" i="15"/>
  <c r="Y175" i="15"/>
  <c r="Y164" i="15"/>
  <c r="X163" i="15"/>
  <c r="X97" i="15"/>
  <c r="Y98" i="15"/>
  <c r="Y153" i="15"/>
  <c r="X152" i="15"/>
  <c r="W175" i="15"/>
  <c r="V174" i="15"/>
  <c r="W98" i="15"/>
  <c r="V97" i="15"/>
  <c r="V119" i="15"/>
  <c r="W120" i="15"/>
  <c r="V86" i="15"/>
  <c r="W87" i="15"/>
  <c r="W64" i="15" l="1"/>
  <c r="V52" i="15" s="1"/>
  <c r="V63" i="15"/>
  <c r="Y64" i="15"/>
  <c r="X52" i="15"/>
  <c r="X63" i="15"/>
  <c r="Y97" i="15"/>
  <c r="X96" i="15"/>
  <c r="W119" i="15"/>
  <c r="V118" i="15"/>
  <c r="W86" i="15"/>
  <c r="V85" i="15"/>
  <c r="Y108" i="15"/>
  <c r="X107" i="15"/>
  <c r="X173" i="15"/>
  <c r="Y173" i="15" s="1"/>
  <c r="Y174" i="15"/>
  <c r="W108" i="15"/>
  <c r="V107" i="15"/>
  <c r="V173" i="15"/>
  <c r="W173" i="15" s="1"/>
  <c r="W174" i="15"/>
  <c r="X140" i="15"/>
  <c r="Y141" i="15"/>
  <c r="V162" i="15"/>
  <c r="W163" i="15"/>
  <c r="X162" i="15"/>
  <c r="Y163" i="15"/>
  <c r="X118" i="15"/>
  <c r="Y119" i="15"/>
  <c r="Y86" i="15"/>
  <c r="X85" i="15"/>
  <c r="V96" i="15"/>
  <c r="W97" i="15"/>
  <c r="W141" i="15"/>
  <c r="V140" i="15"/>
  <c r="V151" i="15"/>
  <c r="W152" i="15"/>
  <c r="V74" i="15"/>
  <c r="W75" i="15"/>
  <c r="Y130" i="15"/>
  <c r="X129" i="15"/>
  <c r="Y75" i="15"/>
  <c r="X74" i="15"/>
  <c r="Y152" i="15"/>
  <c r="X151" i="15"/>
  <c r="V129" i="15"/>
  <c r="W130" i="15"/>
  <c r="W52" i="15" l="1"/>
  <c r="V51" i="15"/>
  <c r="V40" i="15"/>
  <c r="V161" i="15"/>
  <c r="W161" i="15" s="1"/>
  <c r="W162" i="15"/>
  <c r="W151" i="15"/>
  <c r="V150" i="15"/>
  <c r="W140" i="15"/>
  <c r="V139" i="15"/>
  <c r="X139" i="15"/>
  <c r="Y140" i="15"/>
  <c r="Y85" i="15"/>
  <c r="X84" i="15"/>
  <c r="V117" i="15"/>
  <c r="W118" i="15"/>
  <c r="Y96" i="15"/>
  <c r="X95" i="15"/>
  <c r="V95" i="15"/>
  <c r="W96" i="15"/>
  <c r="X73" i="15"/>
  <c r="Y74" i="15"/>
  <c r="W107" i="15"/>
  <c r="V106" i="15"/>
  <c r="Y63" i="15"/>
  <c r="X62" i="15"/>
  <c r="X106" i="15"/>
  <c r="Y107" i="15"/>
  <c r="V84" i="15"/>
  <c r="W85" i="15"/>
  <c r="W129" i="15"/>
  <c r="V128" i="15"/>
  <c r="X150" i="15"/>
  <c r="Y151" i="15"/>
  <c r="X51" i="15"/>
  <c r="Y52" i="15"/>
  <c r="X40" i="15" s="1"/>
  <c r="Y129" i="15"/>
  <c r="X128" i="15"/>
  <c r="Y118" i="15"/>
  <c r="X117" i="15"/>
  <c r="V62" i="15"/>
  <c r="W63" i="15"/>
  <c r="W74" i="15"/>
  <c r="V73" i="15"/>
  <c r="Y162" i="15"/>
  <c r="X161" i="15"/>
  <c r="Y161" i="15" s="1"/>
  <c r="X39" i="15" l="1"/>
  <c r="Y40" i="15"/>
  <c r="X28" i="15"/>
  <c r="X138" i="15"/>
  <c r="Y139" i="15"/>
  <c r="V72" i="15"/>
  <c r="W73" i="15"/>
  <c r="V149" i="15"/>
  <c r="W149" i="15" s="1"/>
  <c r="W150" i="15"/>
  <c r="Y117" i="15"/>
  <c r="X116" i="15"/>
  <c r="Y150" i="15"/>
  <c r="X149" i="15"/>
  <c r="Y149" i="15" s="1"/>
  <c r="X94" i="15"/>
  <c r="Y95" i="15"/>
  <c r="V138" i="15"/>
  <c r="W139" i="15"/>
  <c r="X72" i="15"/>
  <c r="Y73" i="15"/>
  <c r="W128" i="15"/>
  <c r="V127" i="15"/>
  <c r="W95" i="15"/>
  <c r="V94" i="15"/>
  <c r="W84" i="15"/>
  <c r="V83" i="15"/>
  <c r="Y106" i="15"/>
  <c r="X105" i="15"/>
  <c r="V116" i="15"/>
  <c r="W117" i="15"/>
  <c r="V50" i="15"/>
  <c r="W51" i="15"/>
  <c r="V105" i="15"/>
  <c r="W106" i="15"/>
  <c r="Y51" i="15"/>
  <c r="X50" i="15"/>
  <c r="W62" i="15"/>
  <c r="V61" i="15"/>
  <c r="V39" i="15"/>
  <c r="W40" i="15"/>
  <c r="V28" i="15" s="1"/>
  <c r="X127" i="15"/>
  <c r="Y128" i="15"/>
  <c r="X61" i="15"/>
  <c r="Y62" i="15"/>
  <c r="Y84" i="15"/>
  <c r="X83" i="15"/>
  <c r="V27" i="15" l="1"/>
  <c r="W28" i="15"/>
  <c r="V16" i="15"/>
  <c r="X49" i="15"/>
  <c r="Y50" i="15"/>
  <c r="X115" i="15"/>
  <c r="Y116" i="15"/>
  <c r="X82" i="15"/>
  <c r="Y83" i="15"/>
  <c r="W72" i="15"/>
  <c r="V71" i="15"/>
  <c r="Y72" i="15"/>
  <c r="X71" i="15"/>
  <c r="V126" i="15"/>
  <c r="W127" i="15"/>
  <c r="X60" i="15"/>
  <c r="Y61" i="15"/>
  <c r="Y127" i="15"/>
  <c r="X126" i="15"/>
  <c r="V115" i="15"/>
  <c r="W116" i="15"/>
  <c r="W138" i="15"/>
  <c r="V137" i="15"/>
  <c r="W137" i="15" s="1"/>
  <c r="Y105" i="15"/>
  <c r="X104" i="15"/>
  <c r="V93" i="15"/>
  <c r="W94" i="15"/>
  <c r="V104" i="15"/>
  <c r="W105" i="15"/>
  <c r="W50" i="15"/>
  <c r="V49" i="15"/>
  <c r="X137" i="15"/>
  <c r="Y137" i="15" s="1"/>
  <c r="Y138" i="15"/>
  <c r="X27" i="15"/>
  <c r="Y28" i="15"/>
  <c r="X16" i="15"/>
  <c r="V38" i="15"/>
  <c r="W39" i="15"/>
  <c r="Y94" i="15"/>
  <c r="X93" i="15"/>
  <c r="V60" i="15"/>
  <c r="W61" i="15"/>
  <c r="W83" i="15"/>
  <c r="V82" i="15"/>
  <c r="X38" i="15"/>
  <c r="Y39" i="15"/>
  <c r="Y27" i="15" l="1"/>
  <c r="X26" i="15"/>
  <c r="W71" i="15"/>
  <c r="V70" i="15"/>
  <c r="V81" i="15"/>
  <c r="W82" i="15"/>
  <c r="V114" i="15"/>
  <c r="W115" i="15"/>
  <c r="W49" i="15"/>
  <c r="V48" i="15"/>
  <c r="Y126" i="15"/>
  <c r="X125" i="15"/>
  <c r="Y125" i="15" s="1"/>
  <c r="Y115" i="15"/>
  <c r="X114" i="15"/>
  <c r="Y60" i="15"/>
  <c r="X59" i="15"/>
  <c r="X48" i="15"/>
  <c r="Y49" i="15"/>
  <c r="V125" i="15"/>
  <c r="W125" i="15" s="1"/>
  <c r="W126" i="15"/>
  <c r="X15" i="15"/>
  <c r="Y16" i="15"/>
  <c r="X37" i="15"/>
  <c r="Y38" i="15"/>
  <c r="X81" i="15"/>
  <c r="Y82" i="15"/>
  <c r="V59" i="15"/>
  <c r="W60" i="15"/>
  <c r="Y93" i="15"/>
  <c r="X92" i="15"/>
  <c r="V103" i="15"/>
  <c r="W104" i="15"/>
  <c r="V15" i="15"/>
  <c r="W16" i="15"/>
  <c r="V92" i="15"/>
  <c r="W93" i="15"/>
  <c r="V37" i="15"/>
  <c r="W38" i="15"/>
  <c r="X103" i="15"/>
  <c r="Y104" i="15"/>
  <c r="X70" i="15"/>
  <c r="Y71" i="15"/>
  <c r="V26" i="15"/>
  <c r="W27" i="15"/>
  <c r="Y15" i="15" l="1"/>
  <c r="X14" i="15"/>
  <c r="W92" i="15"/>
  <c r="V91" i="15"/>
  <c r="W15" i="15"/>
  <c r="V14" i="15"/>
  <c r="V69" i="15"/>
  <c r="W70" i="15"/>
  <c r="X36" i="15"/>
  <c r="Y37" i="15"/>
  <c r="W48" i="15"/>
  <c r="V47" i="15"/>
  <c r="V25" i="15"/>
  <c r="W26" i="15"/>
  <c r="V102" i="15"/>
  <c r="W103" i="15"/>
  <c r="V113" i="15"/>
  <c r="W113" i="15" s="1"/>
  <c r="W114" i="15"/>
  <c r="X91" i="15"/>
  <c r="Y92" i="15"/>
  <c r="Y70" i="15"/>
  <c r="X69" i="15"/>
  <c r="X47" i="15"/>
  <c r="Y48" i="15"/>
  <c r="W81" i="15"/>
  <c r="V80" i="15"/>
  <c r="X58" i="15"/>
  <c r="Y59" i="15"/>
  <c r="Y103" i="15"/>
  <c r="X102" i="15"/>
  <c r="W59" i="15"/>
  <c r="V58" i="15"/>
  <c r="Y114" i="15"/>
  <c r="X113" i="15"/>
  <c r="Y113" i="15" s="1"/>
  <c r="X25" i="15"/>
  <c r="Y26" i="15"/>
  <c r="W37" i="15"/>
  <c r="V36" i="15"/>
  <c r="Y81" i="15"/>
  <c r="X80" i="15"/>
  <c r="W47" i="15" l="1"/>
  <c r="V46" i="15"/>
  <c r="Y69" i="15"/>
  <c r="X68" i="15"/>
  <c r="V57" i="15"/>
  <c r="W58" i="15"/>
  <c r="V13" i="15"/>
  <c r="W14" i="15"/>
  <c r="X24" i="15"/>
  <c r="Y25" i="15"/>
  <c r="X90" i="15"/>
  <c r="Y91" i="15"/>
  <c r="Y102" i="15"/>
  <c r="X101" i="15"/>
  <c r="Y101" i="15" s="1"/>
  <c r="V90" i="15"/>
  <c r="W91" i="15"/>
  <c r="Y58" i="15"/>
  <c r="X57" i="15"/>
  <c r="W36" i="15"/>
  <c r="V35" i="15"/>
  <c r="Y14" i="15"/>
  <c r="X13" i="15"/>
  <c r="Y47" i="15"/>
  <c r="X46" i="15"/>
  <c r="X35" i="15"/>
  <c r="Y36" i="15"/>
  <c r="V68" i="15"/>
  <c r="W69" i="15"/>
  <c r="X79" i="15"/>
  <c r="Y80" i="15"/>
  <c r="W102" i="15"/>
  <c r="V101" i="15"/>
  <c r="W101" i="15" s="1"/>
  <c r="V79" i="15"/>
  <c r="W80" i="15"/>
  <c r="W25" i="15"/>
  <c r="V24" i="15"/>
  <c r="W24" i="15" l="1"/>
  <c r="V23" i="15"/>
  <c r="Y46" i="15"/>
  <c r="X45" i="15"/>
  <c r="W35" i="15"/>
  <c r="V34" i="15"/>
  <c r="V56" i="15"/>
  <c r="W57" i="15"/>
  <c r="V67" i="15"/>
  <c r="W68" i="15"/>
  <c r="X89" i="15"/>
  <c r="Y89" i="15" s="1"/>
  <c r="Y90" i="15"/>
  <c r="Y13" i="15"/>
  <c r="X12" i="15"/>
  <c r="V78" i="15"/>
  <c r="W79" i="15"/>
  <c r="X23" i="15"/>
  <c r="Y24" i="15"/>
  <c r="W13" i="15"/>
  <c r="V12" i="15"/>
  <c r="Y57" i="15"/>
  <c r="X56" i="15"/>
  <c r="X78" i="15"/>
  <c r="Y79" i="15"/>
  <c r="X67" i="15"/>
  <c r="Y68" i="15"/>
  <c r="W90" i="15"/>
  <c r="V89" i="15"/>
  <c r="W89" i="15" s="1"/>
  <c r="V45" i="15"/>
  <c r="W46" i="15"/>
  <c r="X34" i="15"/>
  <c r="Y35" i="15"/>
  <c r="Y78" i="15" l="1"/>
  <c r="X77" i="15"/>
  <c r="Y77" i="15" s="1"/>
  <c r="V33" i="15"/>
  <c r="W34" i="15"/>
  <c r="W45" i="15"/>
  <c r="V44" i="15"/>
  <c r="Y23" i="15"/>
  <c r="X22" i="15"/>
  <c r="Y45" i="15"/>
  <c r="X44" i="15"/>
  <c r="W78" i="15"/>
  <c r="V77" i="15"/>
  <c r="W77" i="15" s="1"/>
  <c r="Y12" i="15"/>
  <c r="X11" i="15"/>
  <c r="X55" i="15"/>
  <c r="Y56" i="15"/>
  <c r="V66" i="15"/>
  <c r="W67" i="15"/>
  <c r="V11" i="15"/>
  <c r="W12" i="15"/>
  <c r="Y34" i="15"/>
  <c r="X33" i="15"/>
  <c r="W56" i="15"/>
  <c r="V55" i="15"/>
  <c r="W23" i="15"/>
  <c r="V22" i="15"/>
  <c r="Y67" i="15"/>
  <c r="X66" i="15"/>
  <c r="V54" i="15" l="1"/>
  <c r="W55" i="15"/>
  <c r="V10" i="15"/>
  <c r="W11" i="15"/>
  <c r="Y33" i="15"/>
  <c r="X32" i="15"/>
  <c r="X43" i="15"/>
  <c r="Y44" i="15"/>
  <c r="Y22" i="15"/>
  <c r="X21" i="15"/>
  <c r="Y11" i="15"/>
  <c r="X10" i="15"/>
  <c r="V43" i="15"/>
  <c r="W44" i="15"/>
  <c r="V65" i="15"/>
  <c r="W65" i="15" s="1"/>
  <c r="W66" i="15"/>
  <c r="X65" i="15"/>
  <c r="Y65" i="15" s="1"/>
  <c r="Y66" i="15"/>
  <c r="X54" i="15"/>
  <c r="Y55" i="15"/>
  <c r="W33" i="15"/>
  <c r="V32" i="15"/>
  <c r="V21" i="15"/>
  <c r="W22" i="15"/>
  <c r="W21" i="15" l="1"/>
  <c r="V20" i="15"/>
  <c r="Y43" i="15"/>
  <c r="X42" i="15"/>
  <c r="X31" i="15"/>
  <c r="Y32" i="15"/>
  <c r="Y10" i="15"/>
  <c r="X9" i="15"/>
  <c r="V31" i="15"/>
  <c r="W32" i="15"/>
  <c r="Y21" i="15"/>
  <c r="X20" i="15"/>
  <c r="X53" i="15"/>
  <c r="Y53" i="15" s="1"/>
  <c r="Y54" i="15"/>
  <c r="W10" i="15"/>
  <c r="V9" i="15"/>
  <c r="W43" i="15"/>
  <c r="V42" i="15"/>
  <c r="W54" i="15"/>
  <c r="V53" i="15"/>
  <c r="W53" i="15" s="1"/>
  <c r="W31" i="15" l="1"/>
  <c r="V30" i="15"/>
  <c r="V41" i="15"/>
  <c r="W41" i="15" s="1"/>
  <c r="W42" i="15"/>
  <c r="X41" i="15"/>
  <c r="Y41" i="15" s="1"/>
  <c r="Y42" i="15"/>
  <c r="X19" i="15"/>
  <c r="Y20" i="15"/>
  <c r="Y9" i="15"/>
  <c r="X8" i="15"/>
  <c r="Y31" i="15"/>
  <c r="X30" i="15"/>
  <c r="V8" i="15"/>
  <c r="W9" i="15"/>
  <c r="V19" i="15"/>
  <c r="W20" i="15"/>
  <c r="Y8" i="15" l="1"/>
  <c r="X7" i="15"/>
  <c r="W19" i="15"/>
  <c r="V18" i="15"/>
  <c r="X29" i="15"/>
  <c r="Y29" i="15" s="1"/>
  <c r="Y30" i="15"/>
  <c r="Y19" i="15"/>
  <c r="X18" i="15"/>
  <c r="V29" i="15"/>
  <c r="W29" i="15" s="1"/>
  <c r="W30" i="15"/>
  <c r="W8" i="15"/>
  <c r="V7" i="15"/>
  <c r="V6" i="15" l="1"/>
  <c r="W7" i="15"/>
  <c r="X17" i="15"/>
  <c r="Y17" i="15" s="1"/>
  <c r="Y18" i="15"/>
  <c r="V17" i="15"/>
  <c r="W17" i="15" s="1"/>
  <c r="W18" i="15"/>
  <c r="Y7" i="15"/>
  <c r="X6" i="15"/>
  <c r="Y6" i="15" l="1"/>
  <c r="X5" i="15"/>
  <c r="Y5" i="15" s="1"/>
  <c r="W6" i="15"/>
  <c r="V5" i="15"/>
  <c r="W5" i="15" s="1"/>
</calcChain>
</file>

<file path=xl/sharedStrings.xml><?xml version="1.0" encoding="utf-8"?>
<sst xmlns="http://schemas.openxmlformats.org/spreadsheetml/2006/main" count="10215" uniqueCount="1729">
  <si>
    <t>ID FERC</t>
  </si>
  <si>
    <t>Empresa</t>
  </si>
  <si>
    <t>Archivo</t>
  </si>
  <si>
    <t>(501) Fuel</t>
  </si>
  <si>
    <t>(518) Fuel</t>
  </si>
  <si>
    <t>(547) Fuel</t>
  </si>
  <si>
    <t>(555) Purchased Power</t>
  </si>
  <si>
    <t>TOTAL Other Power Supply Exp (Enter Total of Lines 76 thru 78)</t>
  </si>
  <si>
    <t>(580) Operation Supervision and Engineering</t>
  </si>
  <si>
    <t>(582) Station Expenses</t>
  </si>
  <si>
    <t>(581) Load Dispatching</t>
  </si>
  <si>
    <t>(583) Overhead Line Expenses</t>
  </si>
  <si>
    <t>(584) Underground Line Expenses</t>
  </si>
  <si>
    <t>(587) Customer Installations Expenses</t>
  </si>
  <si>
    <t>(588) Miscellaneous Expenses</t>
  </si>
  <si>
    <t>(589) Rents</t>
  </si>
  <si>
    <t>(590) Maintenance Supervision and Engineering</t>
  </si>
  <si>
    <t>(591) Maintenance of Structures</t>
  </si>
  <si>
    <t>(592) Maintenance of Station Equipment</t>
  </si>
  <si>
    <t>(593) Maintenance of Overhead Lines</t>
  </si>
  <si>
    <t>(594) Maintenance of Underground Lines</t>
  </si>
  <si>
    <t>(595) Maintenance of Line Transformers</t>
  </si>
  <si>
    <t>(598) Maintenance of Miscellaneous Distribution Plant</t>
  </si>
  <si>
    <t>Costos OyM transmisión</t>
  </si>
  <si>
    <t>(586) Meter Expenses</t>
  </si>
  <si>
    <t>(597) Maintenance of Meters</t>
  </si>
  <si>
    <t>TOTAL Customer Accounts Expenses (Enter Total of Lines 159 thru 163)</t>
  </si>
  <si>
    <t>TOTAL Customer Service and Information Expenses (Total Lines 167 thru 170)</t>
  </si>
  <si>
    <t>TOTAL Sales Expenses (Enter Total of Lines 174 thru 177)</t>
  </si>
  <si>
    <t>TOTAL Administrative &amp; General Expenses (Total of Lines 194 and 196)</t>
  </si>
  <si>
    <t>CostosAdminParaAj</t>
  </si>
  <si>
    <t>TOTAL Electric Operation and Maintenance Expenses (Total of Lines 80</t>
  </si>
  <si>
    <t>Total Energy Losses</t>
  </si>
  <si>
    <t>TOTAL (Enter Total of Lines 22 Through 27.1) MUST EQUAL LINE 20</t>
  </si>
  <si>
    <t>Energy Used by the Company (Electric Dept Only</t>
  </si>
  <si>
    <t>Energy Furnished Without Charge</t>
  </si>
  <si>
    <t>(440) Residential Sales</t>
  </si>
  <si>
    <t>Small (or Comm.) (See Instr. 4)</t>
  </si>
  <si>
    <t>Large (or Ind.) (See Instr. 4)</t>
  </si>
  <si>
    <t>(444) Public Street and Highway Lighting</t>
  </si>
  <si>
    <t>(445) Other Sales to Public Authorities</t>
  </si>
  <si>
    <t>TOTAL Sales to Ultimate Consumers</t>
  </si>
  <si>
    <t>(447) Sales for Resale</t>
  </si>
  <si>
    <t>TOTAL Sales of Electricity</t>
  </si>
  <si>
    <t>(446) Sales to Railroads and Railways</t>
  </si>
  <si>
    <t>Demanda Pico [MW]</t>
  </si>
  <si>
    <t>ExtensiónRedKm</t>
  </si>
  <si>
    <t>(365) Overhead Conductors and Devices</t>
  </si>
  <si>
    <t>(366) Underground Conduit</t>
  </si>
  <si>
    <t>(367) Underground Conductors and Devices</t>
  </si>
  <si>
    <t>(370) Meters</t>
  </si>
  <si>
    <t>(373) Street Lighting and Signal Systems</t>
  </si>
  <si>
    <t>TOTAL Distribution Plant (Enter Total of lines 60 thru 74)</t>
  </si>
  <si>
    <t>TOTAL Electric Plant in Service (Enter Total of lines 100 thru 103)</t>
  </si>
  <si>
    <t>TOTAL General Plant (Enter Total of lines 96</t>
  </si>
  <si>
    <t>Distribution</t>
  </si>
  <si>
    <t>Distribution Plant</t>
  </si>
  <si>
    <t>Fecha compra de activos estimada</t>
  </si>
  <si>
    <t>Distribution (Enter Total of lines 6 and 16)</t>
  </si>
  <si>
    <t>Customer Accounts (Transcribe from line 7)</t>
  </si>
  <si>
    <t>Customer Service and Informational (Transcribe from line 8)</t>
  </si>
  <si>
    <t>Sales (Transcribe from line 9)</t>
  </si>
  <si>
    <t>CostoSalarios_C_Total</t>
  </si>
  <si>
    <t>Administrative and General (Enter Total of lines 10 and 17)</t>
  </si>
  <si>
    <t>TOTAL Oper. and Maint. (Total of lines 20 thru 27)</t>
  </si>
  <si>
    <t>Payroll</t>
  </si>
  <si>
    <t>TOTAL Other Accounts</t>
  </si>
  <si>
    <t>TOTAL SALARIES AND WAGES</t>
  </si>
  <si>
    <t>(448) Interdepartmental Sales</t>
  </si>
  <si>
    <t>Indices</t>
  </si>
  <si>
    <t>Limites outliers</t>
  </si>
  <si>
    <t>Valores ajustados</t>
  </si>
  <si>
    <t>% lineas transmision</t>
  </si>
  <si>
    <t xml:space="preserve"> Formula Version 2022</t>
  </si>
  <si>
    <t>Factores de Ajuste</t>
  </si>
  <si>
    <t>Fecha</t>
  </si>
  <si>
    <t>Fecha Base</t>
  </si>
  <si>
    <t>CPI Base</t>
  </si>
  <si>
    <t>PPI Base</t>
  </si>
  <si>
    <t>max %MO D y C</t>
  </si>
  <si>
    <t>max %MO Adm</t>
  </si>
  <si>
    <t>min%MO</t>
  </si>
  <si>
    <t>Valores Ajustados jun 06 /2024</t>
  </si>
  <si>
    <t>CostosCombustible_501_Fuel_H</t>
  </si>
  <si>
    <t>CostosCombustible_518_Fuel_H</t>
  </si>
  <si>
    <t>CostosCombustible_547_Fuel_H</t>
  </si>
  <si>
    <t>CostosCompraEnergia_H</t>
  </si>
  <si>
    <t>CostosTotalesCompraEn_H</t>
  </si>
  <si>
    <t>CostosOyM_D_H_134</t>
  </si>
  <si>
    <t>CostosOyM_D_H_136</t>
  </si>
  <si>
    <t>CostosOyM_D_H_135</t>
  </si>
  <si>
    <t>CostosOyM_D_H_137</t>
  </si>
  <si>
    <t>CostosOyM_D_H_138</t>
  </si>
  <si>
    <t>CostosOyM_D_H_141</t>
  </si>
  <si>
    <t>CostosOyM_D_H_142</t>
  </si>
  <si>
    <t>CostosOyM_D_H_143</t>
  </si>
  <si>
    <t>CostosOyM_D_H_146</t>
  </si>
  <si>
    <t>CostosOyM_D_H_147</t>
  </si>
  <si>
    <t>CostosOyM_D_H_148</t>
  </si>
  <si>
    <t>CostosOyM_D_H_149</t>
  </si>
  <si>
    <t>CostosOyM_D_H_150</t>
  </si>
  <si>
    <t>CostosOyM_D_H_151</t>
  </si>
  <si>
    <t>CostosOyM_D_H_154</t>
  </si>
  <si>
    <t>CostosOyM_C_H_140</t>
  </si>
  <si>
    <t>CostosOyM_C_H_153</t>
  </si>
  <si>
    <t>CostosOyM_C_H_164</t>
  </si>
  <si>
    <t>CostosOyM_C_H_171</t>
  </si>
  <si>
    <t>CostosOyM_C_H_178</t>
  </si>
  <si>
    <t>CostosAdmin_H</t>
  </si>
  <si>
    <t>CostosTotales_H</t>
  </si>
  <si>
    <t>NClientes</t>
  </si>
  <si>
    <t>PérdidasEnergíaMWh</t>
  </si>
  <si>
    <t>EnergiaIngresoMWh</t>
  </si>
  <si>
    <t>EnergiaConsumoPropioMWh</t>
  </si>
  <si>
    <t>EnergiaSuminSinCostoMWh</t>
  </si>
  <si>
    <t>VentaConsumoResidencialMWh</t>
  </si>
  <si>
    <t>VentaConsumoComercialMWh</t>
  </si>
  <si>
    <t>VentaConsumoIndustrialMWh</t>
  </si>
  <si>
    <t>VentaEnergíaAPMWh</t>
  </si>
  <si>
    <t>VentaAutoridadesMWh</t>
  </si>
  <si>
    <t>VentaUsuariosPropiosMWh</t>
  </si>
  <si>
    <t>VentaReventaMWh</t>
  </si>
  <si>
    <t>VentasTotalesEnergiaMWh</t>
  </si>
  <si>
    <t>VentaEnergiasOtrasMWh</t>
  </si>
  <si>
    <t>DemandaPicoMW</t>
  </si>
  <si>
    <t>ActivosDLineasAereas</t>
  </si>
  <si>
    <t>Activos_D_ConduccionesSubt</t>
  </si>
  <si>
    <t>Activos_D_LineasSubt</t>
  </si>
  <si>
    <t xml:space="preserve">Activos_C </t>
  </si>
  <si>
    <t>Activos_AP</t>
  </si>
  <si>
    <t>Activos_D_C_AP</t>
  </si>
  <si>
    <t>Activos_G_T_D_C_AP_PG_I</t>
  </si>
  <si>
    <t>Activos_PG</t>
  </si>
  <si>
    <t>DeprecAcum_D_C_AP</t>
  </si>
  <si>
    <t>DeprecAnual_D_C_AP</t>
  </si>
  <si>
    <t xml:space="preserve">Fecha compra de activos estimada </t>
  </si>
  <si>
    <t>CostoSalarios_D</t>
  </si>
  <si>
    <t>CostoSalarios_C1</t>
  </si>
  <si>
    <t>CostoSalarios_C2</t>
  </si>
  <si>
    <t>CostoSalarios_C3</t>
  </si>
  <si>
    <t>CostoSalarios_Adm</t>
  </si>
  <si>
    <t>Costo Salarios Totales Elect(drct_pyrl_dstrbt)</t>
  </si>
  <si>
    <t>Costo Salarios Payroll (alloc_of_payroll)</t>
  </si>
  <si>
    <t>Costo Salarios Otras cuentas</t>
  </si>
  <si>
    <t>Costo Salarios Totales</t>
  </si>
  <si>
    <t>Venta de Energía Otras [MWh]</t>
  </si>
  <si>
    <t>Activos Trans 24-115</t>
  </si>
  <si>
    <t>Activos (D+C+AP)</t>
  </si>
  <si>
    <t>Nº de Clientes</t>
  </si>
  <si>
    <t>Costos OyM (D)</t>
  </si>
  <si>
    <t>Costos OyM (C)</t>
  </si>
  <si>
    <t>Activos C</t>
  </si>
  <si>
    <t>Costos de Administración</t>
  </si>
  <si>
    <t>Pérdidas de energía [MWh]</t>
  </si>
  <si>
    <t>Venta a Usuarios Propios [MWh]</t>
  </si>
  <si>
    <t>Info completa</t>
  </si>
  <si>
    <t>Datos q faltan</t>
  </si>
  <si>
    <t>Activos (D+C+AP) / (Demanda Pico [MW] * 1000)</t>
  </si>
  <si>
    <t>(Demanda Pico [MW] * 1000) / Nº de Clientes</t>
  </si>
  <si>
    <t>Costos OyM (D)  / Nº de Clientes</t>
  </si>
  <si>
    <t>Activos C / Nº de Clientes</t>
  </si>
  <si>
    <t>Pérdidas de energía [MWh] / Venta a Usuarios Propios [MWh]</t>
  </si>
  <si>
    <t>Outlier</t>
  </si>
  <si>
    <t>Total Outlier</t>
  </si>
  <si>
    <t>Para eficiecia</t>
  </si>
  <si>
    <t>AD sin planta</t>
  </si>
  <si>
    <t>AC sin planta</t>
  </si>
  <si>
    <t>Planta</t>
  </si>
  <si>
    <t>% PGdist</t>
  </si>
  <si>
    <t>%PG com</t>
  </si>
  <si>
    <t>AD</t>
  </si>
  <si>
    <t>AC</t>
  </si>
  <si>
    <t>OYMD sin trans</t>
  </si>
  <si>
    <t>OYMD con trans</t>
  </si>
  <si>
    <t>OYMC</t>
  </si>
  <si>
    <t>OYMadm sin ajust</t>
  </si>
  <si>
    <t>OYMadm ajust</t>
  </si>
  <si>
    <t>Tiempo medio compra promedio 21-24</t>
  </si>
  <si>
    <t xml:space="preserve"> Fecha media de compra 2021</t>
  </si>
  <si>
    <t xml:space="preserve"> CPI Fecha media de compra</t>
  </si>
  <si>
    <t xml:space="preserve"> PPI Fecha media de compra</t>
  </si>
  <si>
    <t xml:space="preserve"> %MO AD</t>
  </si>
  <si>
    <t xml:space="preserve"> %MO AC</t>
  </si>
  <si>
    <t xml:space="preserve"> FA AD</t>
  </si>
  <si>
    <t>FA AC</t>
  </si>
  <si>
    <t>%MO OMD</t>
  </si>
  <si>
    <t>FA OYMD</t>
  </si>
  <si>
    <t>Costo Salarial C</t>
  </si>
  <si>
    <t>%MO COM</t>
  </si>
  <si>
    <t>FA COM</t>
  </si>
  <si>
    <t>SalAdm+Proll_Asign</t>
  </si>
  <si>
    <t>SalOtros-&gt;SalAdmin</t>
  </si>
  <si>
    <t>AdmTot-&gt;Distrib</t>
  </si>
  <si>
    <t>%MO ADM</t>
  </si>
  <si>
    <t>FA ADM</t>
  </si>
  <si>
    <t>OMD</t>
  </si>
  <si>
    <t>COM</t>
  </si>
  <si>
    <t>ADM</t>
  </si>
  <si>
    <t>D</t>
  </si>
  <si>
    <t>CL</t>
  </si>
  <si>
    <t>EP</t>
  </si>
  <si>
    <t>EV</t>
  </si>
  <si>
    <t>EI</t>
  </si>
  <si>
    <t>SAIDICL</t>
  </si>
  <si>
    <t>SAIFICL</t>
  </si>
  <si>
    <t>MINT</t>
  </si>
  <si>
    <t>IDIG</t>
  </si>
  <si>
    <t>Perd %</t>
  </si>
  <si>
    <t>EP resale</t>
  </si>
  <si>
    <t>EP corregida</t>
  </si>
  <si>
    <t>C000029</t>
  </si>
  <si>
    <t>ISO New England Inc.</t>
  </si>
  <si>
    <t>F1_2021_C000029_79419.html</t>
  </si>
  <si>
    <t>C000030</t>
  </si>
  <si>
    <t>PJM Interconnection, L.L.C.</t>
  </si>
  <si>
    <t>F1_2021_C000030_78626.html</t>
  </si>
  <si>
    <t>C000038</t>
  </si>
  <si>
    <t>New York Independent System Operator, Inc.</t>
  </si>
  <si>
    <t>F1_2021_C000038_79459.html</t>
  </si>
  <si>
    <t>C000041</t>
  </si>
  <si>
    <t>Southern California Edison Company</t>
  </si>
  <si>
    <t>F1_2021_C000041_94071.html</t>
  </si>
  <si>
    <t>C000045</t>
  </si>
  <si>
    <t>Wabash Valley Power Association, Inc.</t>
  </si>
  <si>
    <t>F1_2021_C000045_78822.html</t>
  </si>
  <si>
    <t>C000116</t>
  </si>
  <si>
    <t>Tampa Electric Company</t>
  </si>
  <si>
    <t>F1_2021_C000116_79403.html</t>
  </si>
  <si>
    <t>C000120</t>
  </si>
  <si>
    <t>Versant Power</t>
  </si>
  <si>
    <t>F1_2021_C000120_79410.html</t>
  </si>
  <si>
    <t>C000134</t>
  </si>
  <si>
    <t>Consolidated Edison Company of New York, Inc.</t>
  </si>
  <si>
    <t>F1_2021_C000134_89911.html</t>
  </si>
  <si>
    <t>C000135</t>
  </si>
  <si>
    <t>Duke Energy Progress, LLC</t>
  </si>
  <si>
    <t>F1_2021_C000135_90524.html</t>
  </si>
  <si>
    <t>C000136</t>
  </si>
  <si>
    <t>Duke Energy Florida, LLC</t>
  </si>
  <si>
    <t>F1_2021_C000136_90560.html</t>
  </si>
  <si>
    <t>C000171</t>
  </si>
  <si>
    <t>Puget Sound Energy, Inc.</t>
  </si>
  <si>
    <t>F1_2021_C000171_79699.html</t>
  </si>
  <si>
    <t>C000191</t>
  </si>
  <si>
    <t>Consumers Energy Company</t>
  </si>
  <si>
    <t>F1_2021_C000191_77944.html</t>
  </si>
  <si>
    <t>C000196</t>
  </si>
  <si>
    <t>VIRGINIA ELECTRIC AND POWER COMPANY</t>
  </si>
  <si>
    <t>F1_2021_C000196_94070.html</t>
  </si>
  <si>
    <t>C000199</t>
  </si>
  <si>
    <t>Commonwealth Edison Company</t>
  </si>
  <si>
    <t>F1_2021_C000199_78124.html</t>
  </si>
  <si>
    <t>C000200</t>
  </si>
  <si>
    <t>Commonwealth Edison Company of Indiana, Inc.</t>
  </si>
  <si>
    <t>F1_2021_C000200_78125.html</t>
  </si>
  <si>
    <t>C000201</t>
  </si>
  <si>
    <t>PECO Energy Company</t>
  </si>
  <si>
    <t>F1_2021_C000201_77910.html</t>
  </si>
  <si>
    <t>C000241</t>
  </si>
  <si>
    <t>Dominion Energy South Carolina, Inc.</t>
  </si>
  <si>
    <t>F1_2021_C000241_89804.html</t>
  </si>
  <si>
    <t>C000289</t>
  </si>
  <si>
    <t>Duke Energy Indiana, LLC</t>
  </si>
  <si>
    <t>F1_2021_C000289_89909.html</t>
  </si>
  <si>
    <t>C000290</t>
  </si>
  <si>
    <t>Duke Energy Carolinas, LLC</t>
  </si>
  <si>
    <t>F1_2021_C000290_158036.html</t>
  </si>
  <si>
    <t>C000291</t>
  </si>
  <si>
    <t>Duke Energy Kentucky, Inc.</t>
  </si>
  <si>
    <t>F1_2021_C000291_91513.html</t>
  </si>
  <si>
    <t>C000292</t>
  </si>
  <si>
    <t>Duke Energy Ohio, Inc.</t>
  </si>
  <si>
    <t>F1_2021_C000292_91512.html</t>
  </si>
  <si>
    <t>C000312</t>
  </si>
  <si>
    <t>Jersey Central Power &amp; Light Company</t>
  </si>
  <si>
    <t>F1_2021_C000312_78228.html</t>
  </si>
  <si>
    <t>C000313</t>
  </si>
  <si>
    <t>Ohio Edison Company</t>
  </si>
  <si>
    <t>F1_2021_C000313_78224.html</t>
  </si>
  <si>
    <t>C000314</t>
  </si>
  <si>
    <t>The Cleveland Electric Illuminating Company</t>
  </si>
  <si>
    <t>F1_2021_C000314_78225.html</t>
  </si>
  <si>
    <t>C000315</t>
  </si>
  <si>
    <t>The Toledo Edison Company</t>
  </si>
  <si>
    <t>F1_2021_C000315_78227.html</t>
  </si>
  <si>
    <t>C000316</t>
  </si>
  <si>
    <t>Pennsylvania Power Company</t>
  </si>
  <si>
    <t>F1_2021_C000316_78236.html</t>
  </si>
  <si>
    <t>C000317</t>
  </si>
  <si>
    <t>Pennsylvania Electric Company</t>
  </si>
  <si>
    <t>F1_2021_C000317_78230.html</t>
  </si>
  <si>
    <t>C000318</t>
  </si>
  <si>
    <t>Metropolitan Edison Company</t>
  </si>
  <si>
    <t>F1_2021_C000318_78237.html</t>
  </si>
  <si>
    <t>C000319</t>
  </si>
  <si>
    <t>American Transmission Systems, Incorporated</t>
  </si>
  <si>
    <t>F1_2021_C000319_78239.html</t>
  </si>
  <si>
    <t>C000367</t>
  </si>
  <si>
    <t>Wabash Valley Energy Marketing, Inc.</t>
  </si>
  <si>
    <t>F1_2021_C000367_78816.html</t>
  </si>
  <si>
    <t>C000379</t>
  </si>
  <si>
    <t>Avista Corporation</t>
  </si>
  <si>
    <t>F1_2021_C000379_79668.html</t>
  </si>
  <si>
    <t>C000388</t>
  </si>
  <si>
    <t>PACIFIC GAS AND ELECTRIC COMPANY</t>
  </si>
  <si>
    <t>F1_2021_C000388_78732.html</t>
  </si>
  <si>
    <t>C000415</t>
  </si>
  <si>
    <t>DTE Electric Company</t>
  </si>
  <si>
    <t>F1_2021_C000415_78396.html</t>
  </si>
  <si>
    <t>C000447</t>
  </si>
  <si>
    <t>Cleco Power LLC</t>
  </si>
  <si>
    <t>F1_2021_C000447_78399.html</t>
  </si>
  <si>
    <t>C000465</t>
  </si>
  <si>
    <t>El Paso Electric Company</t>
  </si>
  <si>
    <t>F1_2021_C000465_99217.html</t>
  </si>
  <si>
    <t>C000500</t>
  </si>
  <si>
    <t>Wisconsin Public Service Corporation</t>
  </si>
  <si>
    <t>F1_2021_C000500_79659.html</t>
  </si>
  <si>
    <t>C000501</t>
  </si>
  <si>
    <t>Upper Peninsula Power Company</t>
  </si>
  <si>
    <t>F1_2021_C000501_90576.html</t>
  </si>
  <si>
    <t>C000502</t>
  </si>
  <si>
    <t>Wisconsin River Power Company</t>
  </si>
  <si>
    <t>F1_2021_C000502_79617.html</t>
  </si>
  <si>
    <t>C000507</t>
  </si>
  <si>
    <t>Orange and Rockland Utilities, Inc.</t>
  </si>
  <si>
    <t>F1_2021_C000507_89930.html</t>
  </si>
  <si>
    <t>C000509</t>
  </si>
  <si>
    <t>Rockland Electric Company</t>
  </si>
  <si>
    <t>F1_2021_C000509_89928.html</t>
  </si>
  <si>
    <t>C000522</t>
  </si>
  <si>
    <t>AEP Indiana Michigan Transmission Company, Inc.</t>
  </si>
  <si>
    <t>F1_2021_C000522_91319.html</t>
  </si>
  <si>
    <t>C000523</t>
  </si>
  <si>
    <t>AEP Kentucky Transmission Company, Inc.</t>
  </si>
  <si>
    <t>F1_2021_C000523_91318.html</t>
  </si>
  <si>
    <t>C000524</t>
  </si>
  <si>
    <t>AEP Ohio Transmission Company, Inc.</t>
  </si>
  <si>
    <t>F1_2021_C000524_91317.html</t>
  </si>
  <si>
    <t>C000525</t>
  </si>
  <si>
    <t>AEP Oklahoma Transmission Company, Inc.</t>
  </si>
  <si>
    <t>F1_2021_C000525_91321.html</t>
  </si>
  <si>
    <t>C000526</t>
  </si>
  <si>
    <t>AEP Southwestern Transmission Company, Inc.</t>
  </si>
  <si>
    <t>F1_2021_C000526_91320.html</t>
  </si>
  <si>
    <t>C000527</t>
  </si>
  <si>
    <t>AEP West Virginia Transmission Company, Inc.</t>
  </si>
  <si>
    <t>F1_2021_C000527_91316.html</t>
  </si>
  <si>
    <t>C000530</t>
  </si>
  <si>
    <t>Appalachian Power Company</t>
  </si>
  <si>
    <t>F1_2021_C000530_91303.html</t>
  </si>
  <si>
    <t>C000532</t>
  </si>
  <si>
    <t>Indiana Michigan Power Company</t>
  </si>
  <si>
    <t>F1_2021_C000532_91304.html</t>
  </si>
  <si>
    <t>C000533</t>
  </si>
  <si>
    <t>Kentucky Power Company</t>
  </si>
  <si>
    <t>F1_2021_C000533_91327.html</t>
  </si>
  <si>
    <t>C000534</t>
  </si>
  <si>
    <t>Kingsport Power Company</t>
  </si>
  <si>
    <t>F1_2021_C000534_91306.html</t>
  </si>
  <si>
    <t>C000535</t>
  </si>
  <si>
    <t>Ohio Power Company</t>
  </si>
  <si>
    <t>F1_2021_C000535_91307.html</t>
  </si>
  <si>
    <t>C000536</t>
  </si>
  <si>
    <t>Public Service Company of Oklahoma</t>
  </si>
  <si>
    <t>F1_2021_C000536_91934.html</t>
  </si>
  <si>
    <t>C000537</t>
  </si>
  <si>
    <t>Southwestern Electric Power Company</t>
  </si>
  <si>
    <t>F1_2021_C000537_91938.html</t>
  </si>
  <si>
    <t>C000538</t>
  </si>
  <si>
    <t>Wheeling Power Company</t>
  </si>
  <si>
    <t>F1_2021_C000538_91308.html</t>
  </si>
  <si>
    <t>C000542</t>
  </si>
  <si>
    <t>Northern Indiana Public Service Company LLC</t>
  </si>
  <si>
    <t>F1_2021_C000542_90129.html</t>
  </si>
  <si>
    <t>C000553</t>
  </si>
  <si>
    <t>Louisville Gas and Electric Company</t>
  </si>
  <si>
    <t>F1_2021_C000553_78016.html</t>
  </si>
  <si>
    <t>C000555</t>
  </si>
  <si>
    <t>Kentucky Utilities Company</t>
  </si>
  <si>
    <t>F1_2021_C000555_78017.html</t>
  </si>
  <si>
    <t>C000602</t>
  </si>
  <si>
    <t>The Dayton Power and Light Company</t>
  </si>
  <si>
    <t>F1_2021_C000602_79405.html</t>
  </si>
  <si>
    <t>C000615</t>
  </si>
  <si>
    <t>Central Maine Power Company</t>
  </si>
  <si>
    <t>F1_2021_C000615_78226.html</t>
  </si>
  <si>
    <t>C000616</t>
  </si>
  <si>
    <t>Maine Electric Power Company, Inc.</t>
  </si>
  <si>
    <t>F1_2021_C000616_78235.html</t>
  </si>
  <si>
    <t>C000617</t>
  </si>
  <si>
    <t>Rochester Gas and Electric Corporation</t>
  </si>
  <si>
    <t>F1_2021_C000617_90100.html</t>
  </si>
  <si>
    <t>C000618</t>
  </si>
  <si>
    <t>New York State Electric &amp; Gas Corporation</t>
  </si>
  <si>
    <t>F1_2021_C000618_90096.html</t>
  </si>
  <si>
    <t>C000620</t>
  </si>
  <si>
    <t>Idaho Power Company</t>
  </si>
  <si>
    <t>F1_2021_C000620_96015.html</t>
  </si>
  <si>
    <t>C000622</t>
  </si>
  <si>
    <t>Ohio Valley Electric Corporation</t>
  </si>
  <si>
    <t>F1_2021_C000622_91146.html</t>
  </si>
  <si>
    <t>C000685</t>
  </si>
  <si>
    <t>San Diego Gas &amp; Electric</t>
  </si>
  <si>
    <t>F1_2021_C000685_90162.html</t>
  </si>
  <si>
    <t>C000691</t>
  </si>
  <si>
    <t>Wisconsin Power and Light Company</t>
  </si>
  <si>
    <t>F1_2021_C000691_78553.html</t>
  </si>
  <si>
    <t>C000692</t>
  </si>
  <si>
    <t>Interstate Power and Light Company</t>
  </si>
  <si>
    <t>F1_2021_C000692_78551.html</t>
  </si>
  <si>
    <t>C000744</t>
  </si>
  <si>
    <t>UNION ELECTRIC COMPANY</t>
  </si>
  <si>
    <t>F1_2021_C000744_79332.html</t>
  </si>
  <si>
    <t>C000746</t>
  </si>
  <si>
    <t>Ameren Illinois Company</t>
  </si>
  <si>
    <t>F1_2021_C000746_96003.html</t>
  </si>
  <si>
    <t>C000771</t>
  </si>
  <si>
    <t>Southwest Power Pool, Inc.</t>
  </si>
  <si>
    <t>F1_2021_C000771_89880.html</t>
  </si>
  <si>
    <t>C000772</t>
  </si>
  <si>
    <t>Evergy Kansas Central, Inc.</t>
  </si>
  <si>
    <t>F1_2021_C000772_98209.html</t>
  </si>
  <si>
    <t>C000822</t>
  </si>
  <si>
    <t>Public Service Company of Colorado</t>
  </si>
  <si>
    <t>F1_2021_C000822_146801.html</t>
  </si>
  <si>
    <t>C000823</t>
  </si>
  <si>
    <t>Northern States Power Company, a Wisconsin corporation</t>
  </si>
  <si>
    <t>F1_2021_C000823_79541.html</t>
  </si>
  <si>
    <t>C000824</t>
  </si>
  <si>
    <t>Northern States Power Company, a Minnesota corporation</t>
  </si>
  <si>
    <t>F1_2021_C000824_79543.html</t>
  </si>
  <si>
    <t>C000825</t>
  </si>
  <si>
    <t>Southwestern Public Service Company</t>
  </si>
  <si>
    <t>F1_2021_C000825_91772.html</t>
  </si>
  <si>
    <t>C000851</t>
  </si>
  <si>
    <t>Entergy Texas, Inc.</t>
  </si>
  <si>
    <t>F1_2021_C000851_79477.html</t>
  </si>
  <si>
    <t>C000852</t>
  </si>
  <si>
    <t>System Energy Resources, Inc.</t>
  </si>
  <si>
    <t>F1_2021_C000852_146776.html</t>
  </si>
  <si>
    <t>C000862</t>
  </si>
  <si>
    <t>EWO Marketing, LLC</t>
  </si>
  <si>
    <t>F1_2021_C000862_79481.html</t>
  </si>
  <si>
    <t>C000905</t>
  </si>
  <si>
    <t>WEST PENN POWER COMPANY</t>
  </si>
  <si>
    <t>F1_2021_C000905_78234.html</t>
  </si>
  <si>
    <t>C000906</t>
  </si>
  <si>
    <t>MONONGAHELA POWER COMPANY</t>
  </si>
  <si>
    <t>F1_2021_C000906_78233.html</t>
  </si>
  <si>
    <t>C000911</t>
  </si>
  <si>
    <t>Allegheny Generating Company</t>
  </si>
  <si>
    <t>F1_2021_C000911_78238.html</t>
  </si>
  <si>
    <t>C000913</t>
  </si>
  <si>
    <t>THE POTOMAC EDISON COMPANY</t>
  </si>
  <si>
    <t>F1_2021_C000913_78229.html</t>
  </si>
  <si>
    <t>C000945</t>
  </si>
  <si>
    <t>Liberty Utilities (CalPeco Electric) LLC</t>
  </si>
  <si>
    <t>F1_2021_C000945_92493.html</t>
  </si>
  <si>
    <t>C001009</t>
  </si>
  <si>
    <t>Southern Indiana Gas and Electric Company, Inc.</t>
  </si>
  <si>
    <t>F1_2021_C001009_96285.html</t>
  </si>
  <si>
    <t>C001016</t>
  </si>
  <si>
    <t>The Connecticut Light and Power Company</t>
  </si>
  <si>
    <t>F1_2021_C001016_79470.html</t>
  </si>
  <si>
    <t>C001017</t>
  </si>
  <si>
    <t>Public Service Company of New Hampshire</t>
  </si>
  <si>
    <t>F1_2021_C001017_79464.html</t>
  </si>
  <si>
    <t>C001025</t>
  </si>
  <si>
    <t>CENTRAL HUDSON GAS &amp; ELECTRIC CORPORATION</t>
  </si>
  <si>
    <t>F1_2021_C001025_89883.html</t>
  </si>
  <si>
    <t>C001030</t>
  </si>
  <si>
    <t>Florida Power &amp; Light Company</t>
  </si>
  <si>
    <t>F1_2021_C001030_79678.html</t>
  </si>
  <si>
    <t>C001111</t>
  </si>
  <si>
    <t>Baltimore Gas and Electric Company</t>
  </si>
  <si>
    <t>F1_2021_C001111_78076.html</t>
  </si>
  <si>
    <t>C001130</t>
  </si>
  <si>
    <t>The Empire District Electric Company</t>
  </si>
  <si>
    <t>F1_2021_C001130_89929.html</t>
  </si>
  <si>
    <t>C001132</t>
  </si>
  <si>
    <t>Portland General Electric Company</t>
  </si>
  <si>
    <t>F1_2021_C001132_90355.html</t>
  </si>
  <si>
    <t>C001143</t>
  </si>
  <si>
    <t>MidAmerican Energy Company</t>
  </si>
  <si>
    <t>F1_2021_C001143_78320.html</t>
  </si>
  <si>
    <t>C001153</t>
  </si>
  <si>
    <t>Lockhart Power Company</t>
  </si>
  <si>
    <t>F1_2021_C001153_77781.html</t>
  </si>
  <si>
    <t xml:space="preserve"> </t>
  </si>
  <si>
    <t>C001181</t>
  </si>
  <si>
    <t>Evergy Metro, Inc.</t>
  </si>
  <si>
    <t>F1_2021_C001181_90054.html</t>
  </si>
  <si>
    <t>C001182</t>
  </si>
  <si>
    <t>Evergy Missouri West, Inc.</t>
  </si>
  <si>
    <t>F1_2021_C001182_90060.html</t>
  </si>
  <si>
    <t>C001183</t>
  </si>
  <si>
    <t>California Independent System Operator Corporation</t>
  </si>
  <si>
    <t>F1_2021_C001183_79717.html</t>
  </si>
  <si>
    <t>C001184</t>
  </si>
  <si>
    <t>Tucson Electric Power Company</t>
  </si>
  <si>
    <t>F1_2021_C001184_77851.html</t>
  </si>
  <si>
    <t>C001187</t>
  </si>
  <si>
    <t>UNS Electric, Inc.</t>
  </si>
  <si>
    <t>F1_2021_C001187_77852.html</t>
  </si>
  <si>
    <t>C001188</t>
  </si>
  <si>
    <t>Wolverine Power Supply Cooperative, Inc.</t>
  </si>
  <si>
    <t>F1_2021_C001188_96502.html</t>
  </si>
  <si>
    <t>C001194</t>
  </si>
  <si>
    <t>Public Service Electric and Gas Company</t>
  </si>
  <si>
    <t>F1_2021_C001194_79554.html</t>
  </si>
  <si>
    <t>C001218</t>
  </si>
  <si>
    <t>Public Service Company of New Mexico</t>
  </si>
  <si>
    <t>F1_2021_C001218_90019.html</t>
  </si>
  <si>
    <t>C001221</t>
  </si>
  <si>
    <t>Fitchburg Gas and Electric Light Company</t>
  </si>
  <si>
    <t>F1_2021_C001221_78183.html</t>
  </si>
  <si>
    <t>C001222</t>
  </si>
  <si>
    <t>Unitil Energy Systems, Inc.</t>
  </si>
  <si>
    <t>F1_2021_C001222_78184.html</t>
  </si>
  <si>
    <t>C001230</t>
  </si>
  <si>
    <t>PPL Electric Utilities Corporation</t>
  </si>
  <si>
    <t>F1_2021_C001230_78116.html</t>
  </si>
  <si>
    <t>C001245</t>
  </si>
  <si>
    <t>Deseret Generation &amp; Transmission Co-operative, Inc.</t>
  </si>
  <si>
    <t>F1_2021_C001245_78944.html</t>
  </si>
  <si>
    <t>C001252</t>
  </si>
  <si>
    <t>Vermont Transco LLC</t>
  </si>
  <si>
    <t>F1_2021_C001252_91323.html</t>
  </si>
  <si>
    <t>C001257</t>
  </si>
  <si>
    <t>NSTAR Electric Company</t>
  </si>
  <si>
    <t>F1_2021_C001257_79680.html</t>
  </si>
  <si>
    <t>C001288</t>
  </si>
  <si>
    <t>Otter Tail Power Company</t>
  </si>
  <si>
    <t>F1_2021_C001288_79691.html</t>
  </si>
  <si>
    <t>C001298</t>
  </si>
  <si>
    <t>Golden Spread Electric Cooperative, Inc.</t>
  </si>
  <si>
    <t>F1_2021_C001298_90971.html</t>
  </si>
  <si>
    <t>C001305</t>
  </si>
  <si>
    <t>New England Power Company</t>
  </si>
  <si>
    <t>F1_2021_C001305_78157.html</t>
  </si>
  <si>
    <t>C001306</t>
  </si>
  <si>
    <t>Niagara Mohawk Power Corporation</t>
  </si>
  <si>
    <t>F1_2021_C001306_92804.html</t>
  </si>
  <si>
    <t>C001307</t>
  </si>
  <si>
    <t>Liberty Utilities (Granite State Electric) Corp.</t>
  </si>
  <si>
    <t>F1_2021_C001307_91041.html</t>
  </si>
  <si>
    <t>C001308</t>
  </si>
  <si>
    <t>Massachusetts Electric Company</t>
  </si>
  <si>
    <t>F1_2021_C001308_78152.html</t>
  </si>
  <si>
    <t>C001309</t>
  </si>
  <si>
    <t>The Narragansett Electric Company</t>
  </si>
  <si>
    <t>F1_2021_C001309_79456.html</t>
  </si>
  <si>
    <t>C001315</t>
  </si>
  <si>
    <t>Indianapolis Power &amp; Light Company</t>
  </si>
  <si>
    <t>F1_2021_C001315_79671.html</t>
  </si>
  <si>
    <t>C001316</t>
  </si>
  <si>
    <t>Wisconsin Electric Power Company</t>
  </si>
  <si>
    <t>F1_2021_C001316_79646.html</t>
  </si>
  <si>
    <t>C001322</t>
  </si>
  <si>
    <t>National Grid Generation LLC</t>
  </si>
  <si>
    <t>F1_2021_C001322_90574.html</t>
  </si>
  <si>
    <t>C001330</t>
  </si>
  <si>
    <t>Alcoa Power Generating Inc.</t>
  </si>
  <si>
    <t>F1_2021_C001330_94040.html</t>
  </si>
  <si>
    <t>C001344</t>
  </si>
  <si>
    <t>Midcontinent Independent System Operator, Inc.</t>
  </si>
  <si>
    <t>F1_2021_C001344_89950.html</t>
  </si>
  <si>
    <t>C001346</t>
  </si>
  <si>
    <t>Duquesne Light Company</t>
  </si>
  <si>
    <t>F1_2021_C001346_78871.html</t>
  </si>
  <si>
    <t>C001421</t>
  </si>
  <si>
    <t>Black Hills Power, Inc.</t>
  </si>
  <si>
    <t>F1_2021_C001421_79656.html</t>
  </si>
  <si>
    <t>C001436</t>
  </si>
  <si>
    <t>Arizona Public Service Company</t>
  </si>
  <si>
    <t>F1_2021_C001436_77674.html</t>
  </si>
  <si>
    <t>C001444</t>
  </si>
  <si>
    <t>Old Dominion Electric Cooperative</t>
  </si>
  <si>
    <t>F1_2021_C001444_78196.html</t>
  </si>
  <si>
    <t>C001446</t>
  </si>
  <si>
    <t>Vermont Yankee Nuclear Power Corporation</t>
  </si>
  <si>
    <t>F1_2021_C001446_89948.html</t>
  </si>
  <si>
    <t>C001454</t>
  </si>
  <si>
    <t>Cheyenne Light, Fuel and Power Company</t>
  </si>
  <si>
    <t>F1_2021_C001454_79683.html</t>
  </si>
  <si>
    <t>C001464</t>
  </si>
  <si>
    <t>Potomac Electric Power Company</t>
  </si>
  <si>
    <t>F1_2021_C001464_78129.html</t>
  </si>
  <si>
    <t>C001465</t>
  </si>
  <si>
    <t>Delmarva Power &amp; Light Company</t>
  </si>
  <si>
    <t>F1_2021_C001465_78128.html</t>
  </si>
  <si>
    <t>C001466</t>
  </si>
  <si>
    <t>Atlantic City Electric Company</t>
  </si>
  <si>
    <t>F1_2021_C001466_78671.html</t>
  </si>
  <si>
    <t>C001486</t>
  </si>
  <si>
    <t>Oncor Electric Delivery Company LLC</t>
  </si>
  <si>
    <t>F1_2021_C001486_89916.html</t>
  </si>
  <si>
    <t>C001552</t>
  </si>
  <si>
    <t>ALABAMA POWER COMPANY</t>
  </si>
  <si>
    <t>F1_2021_C001552_90098.html</t>
  </si>
  <si>
    <t>C001553</t>
  </si>
  <si>
    <t>Georgia Power Company</t>
  </si>
  <si>
    <t>F1_2021_C001553_78837.html</t>
  </si>
  <si>
    <t>C001554</t>
  </si>
  <si>
    <t>Gulf Power Company</t>
  </si>
  <si>
    <t>F1_2021_C001554_89999.html</t>
  </si>
  <si>
    <t>C001555</t>
  </si>
  <si>
    <t>Mississippi Power Company</t>
  </si>
  <si>
    <t>F1_2021_C001555_95397.html</t>
  </si>
  <si>
    <t>C001559</t>
  </si>
  <si>
    <t>SOUTHERN ELECTRIC GENERATING COMPANY</t>
  </si>
  <si>
    <t>F1_2021_C001559_90225.html</t>
  </si>
  <si>
    <t>C001607</t>
  </si>
  <si>
    <t>The United Illuminating Company</t>
  </si>
  <si>
    <t>F1_2021_C001607_90102.html</t>
  </si>
  <si>
    <t>C001609</t>
  </si>
  <si>
    <t>Sierra Pacific Power Company</t>
  </si>
  <si>
    <t>F1_2021_C001609_79579.html</t>
  </si>
  <si>
    <t>C001610</t>
  </si>
  <si>
    <t>Nevada Power Company</t>
  </si>
  <si>
    <t>F1_2021_C001610_79552.html</t>
  </si>
  <si>
    <t>C001646</t>
  </si>
  <si>
    <t>PacifiCorp</t>
  </si>
  <si>
    <t>F1_2021_C001646_78974.html</t>
  </si>
  <si>
    <t>C001654</t>
  </si>
  <si>
    <t>New England Electric Transmission Corporation</t>
  </si>
  <si>
    <t>F1_2021_C001654_90026.html</t>
  </si>
  <si>
    <t>C001655</t>
  </si>
  <si>
    <t>New England Hydro Transmission Corporation</t>
  </si>
  <si>
    <t>F1_2021_C001655_90020.html</t>
  </si>
  <si>
    <t>C001656</t>
  </si>
  <si>
    <t>New England Hydro Transmission Electric Company</t>
  </si>
  <si>
    <t>F1_2021_C001656_90017.html</t>
  </si>
  <si>
    <t>C001673</t>
  </si>
  <si>
    <t>ALLETE, Inc.</t>
  </si>
  <si>
    <t>F1_2021_C001673_90005.html</t>
  </si>
  <si>
    <t>C001675</t>
  </si>
  <si>
    <t>Vermont Electric Power Company, Inc.</t>
  </si>
  <si>
    <t>F1_2021_C001675_79503.html</t>
  </si>
  <si>
    <t>C001696</t>
  </si>
  <si>
    <t>Black Hills Colorado Electric, LLC</t>
  </si>
  <si>
    <t>F1_2021_C001696_79684.html</t>
  </si>
  <si>
    <t>C001702</t>
  </si>
  <si>
    <t>AEP Appalachian Transmission Company, Inc.</t>
  </si>
  <si>
    <t>F1_2021_C001702_91313.html</t>
  </si>
  <si>
    <t>C001731</t>
  </si>
  <si>
    <t>Consolidated Water Power Company</t>
  </si>
  <si>
    <t>F1_2021_C001731_89791.html</t>
  </si>
  <si>
    <t>C001745</t>
  </si>
  <si>
    <t>Green Mountain Power Corporation</t>
  </si>
  <si>
    <t>F1_2021_C001745_89849.html</t>
  </si>
  <si>
    <t>C001775</t>
  </si>
  <si>
    <t>Oklahoma Gas and Electric Company</t>
  </si>
  <si>
    <t>F1_2021_C001775_78971.html</t>
  </si>
  <si>
    <t>C001789</t>
  </si>
  <si>
    <t>NorthWestern Corporation</t>
  </si>
  <si>
    <t>F1_2021_C001789_77445.html</t>
  </si>
  <si>
    <t>C002012</t>
  </si>
  <si>
    <t>CenterPoint Energy Houston Electric, LLC</t>
  </si>
  <si>
    <t>F1_2021_C002012_90293.html</t>
  </si>
  <si>
    <t>C002045</t>
  </si>
  <si>
    <t>Montana-Dakota Utilities Co.</t>
  </si>
  <si>
    <t>F1_2021_C002045_78935.html</t>
  </si>
  <si>
    <t>C002073</t>
  </si>
  <si>
    <t>Startrans IO, LLC</t>
  </si>
  <si>
    <t>F1_2021_C002073_89847.html</t>
  </si>
  <si>
    <t>C002083</t>
  </si>
  <si>
    <t>DATC Path 15, LLC</t>
  </si>
  <si>
    <t>F1_2021_C002083_90637.html</t>
  </si>
  <si>
    <t>C002089</t>
  </si>
  <si>
    <t>UGI Utilities Inc.</t>
  </si>
  <si>
    <t>F1_2021_C002089_79065.html</t>
  </si>
  <si>
    <t>C002101</t>
  </si>
  <si>
    <t>Michigan Electric Transmission Company, LLC</t>
  </si>
  <si>
    <t>F1_2021_C002101_77983.html</t>
  </si>
  <si>
    <t>C002115</t>
  </si>
  <si>
    <t>Connecticut Yankee Atomic Power Company</t>
  </si>
  <si>
    <t>F1_2021_C002115_90965.html</t>
  </si>
  <si>
    <t>C002116</t>
  </si>
  <si>
    <t>Yankee Atomic Electric Company</t>
  </si>
  <si>
    <t>F1_2021_C002116_90983.html</t>
  </si>
  <si>
    <t>C002196</t>
  </si>
  <si>
    <t>Ameren Transmission Company of Illinois</t>
  </si>
  <si>
    <t>F1_2021_C002196_96002.html</t>
  </si>
  <si>
    <t>C002308</t>
  </si>
  <si>
    <t>Trans Bay Cable LLC</t>
  </si>
  <si>
    <t>F1_2021_C002308_79392.html</t>
  </si>
  <si>
    <t>C002335</t>
  </si>
  <si>
    <t>Pioneer Transmission, LLC</t>
  </si>
  <si>
    <t>F1_2021_C002335_96369.html</t>
  </si>
  <si>
    <t>C002336</t>
  </si>
  <si>
    <t>Prairie Wind Transmission LLC</t>
  </si>
  <si>
    <t>F1_2021_C002336_79662.html</t>
  </si>
  <si>
    <t>C002446</t>
  </si>
  <si>
    <t>International Transmission Company</t>
  </si>
  <si>
    <t>F1_2021_C002446_77982.html</t>
  </si>
  <si>
    <t>C002498</t>
  </si>
  <si>
    <t>Madison Gas and Electric Company</t>
  </si>
  <si>
    <t>F1_2021_C002498_89840.html</t>
  </si>
  <si>
    <t>C002525</t>
  </si>
  <si>
    <t>ITC Midwest LLC</t>
  </si>
  <si>
    <t>F1_2021_C002525_77987.html</t>
  </si>
  <si>
    <t>C002827</t>
  </si>
  <si>
    <t>Potomac-Appalachian Highline Transmission, LLC</t>
  </si>
  <si>
    <t>F1_2021_C002827_78242.html</t>
  </si>
  <si>
    <t>C002854</t>
  </si>
  <si>
    <t>Citizens Sunrise Transmission LLC</t>
  </si>
  <si>
    <t>F1_2021_C002854_79507.html</t>
  </si>
  <si>
    <t>C003138</t>
  </si>
  <si>
    <t>ITC Great Plains, LLC</t>
  </si>
  <si>
    <t>F1_2021_C003138_77985.html</t>
  </si>
  <si>
    <t>C003184</t>
  </si>
  <si>
    <t>AEP Generating Company</t>
  </si>
  <si>
    <t>F1_2021_C003184_91302.html</t>
  </si>
  <si>
    <t>C003194</t>
  </si>
  <si>
    <t>Transource Missouri, LLC</t>
  </si>
  <si>
    <t>F1_2021_C003194_91322.html</t>
  </si>
  <si>
    <t>C003435</t>
  </si>
  <si>
    <t>Evergy Generating, Inc.</t>
  </si>
  <si>
    <t>F1_2021_C003435_90033.html</t>
  </si>
  <si>
    <t>C003483</t>
  </si>
  <si>
    <t>Maine Yankee Atomic Power Company</t>
  </si>
  <si>
    <t>F1_2021_C003483_90985.html</t>
  </si>
  <si>
    <t>C003646</t>
  </si>
  <si>
    <t>South Carolina Generating Company, Inc.</t>
  </si>
  <si>
    <t>F1_2021_C003646_89807.html</t>
  </si>
  <si>
    <t>C003713</t>
  </si>
  <si>
    <t>New Hampshire Transmission, LLC</t>
  </si>
  <si>
    <t>F1_2021_C003713_78188.html</t>
  </si>
  <si>
    <t>C003836</t>
  </si>
  <si>
    <t>Tri-State Generation and Transmission Association, Inc.</t>
  </si>
  <si>
    <t>F1_2021_C003836_79639.html</t>
  </si>
  <si>
    <t>C003849</t>
  </si>
  <si>
    <t>Basin Electric Power Cooperative</t>
  </si>
  <si>
    <t>F1_2021_C003849_79010.html</t>
  </si>
  <si>
    <t>C003988</t>
  </si>
  <si>
    <t>Midamerican Central California Transco, Llc</t>
  </si>
  <si>
    <t>F1_2021_C003988_89806.html</t>
  </si>
  <si>
    <t>C004044</t>
  </si>
  <si>
    <t>Evergy Kansas South, Inc.</t>
  </si>
  <si>
    <t>F1_2021_C004044_98210.html</t>
  </si>
  <si>
    <t>C004872</t>
  </si>
  <si>
    <t>Transource West Virginia, LLC</t>
  </si>
  <si>
    <t>F1_2021_C004872_91324.html</t>
  </si>
  <si>
    <t>C004881</t>
  </si>
  <si>
    <t>Horizon West Transmission, Llc</t>
  </si>
  <si>
    <t>F1_2021_C004881_77727.html</t>
  </si>
  <si>
    <t>C004936</t>
  </si>
  <si>
    <t>ITC Interconnection LLC</t>
  </si>
  <si>
    <t>F1_2021_C004936_77986.html</t>
  </si>
  <si>
    <t>C004995</t>
  </si>
  <si>
    <t>Entergy Louisiana, LLC</t>
  </si>
  <si>
    <t>F1_2021_C004995_93725.html</t>
  </si>
  <si>
    <t>C005059</t>
  </si>
  <si>
    <t>Silver Run Electric, Llc</t>
  </si>
  <si>
    <t>F1_2021_C005059_92854.html</t>
  </si>
  <si>
    <t>C005067</t>
  </si>
  <si>
    <t>GridLiance High Plains LLC</t>
  </si>
  <si>
    <t>F1_2021_C005067_112890.html</t>
  </si>
  <si>
    <t>C005423</t>
  </si>
  <si>
    <t>NextEra Energy Transmission New York, Inc.</t>
  </si>
  <si>
    <t>F1_2021_C005423_90003.html</t>
  </si>
  <si>
    <t>C005424</t>
  </si>
  <si>
    <t>NextEra Energy Transmission MidAtlantic, Inc.</t>
  </si>
  <si>
    <t>F1_2021_C005424_90011.html</t>
  </si>
  <si>
    <t>C005443</t>
  </si>
  <si>
    <t>Upper Michigan Energy Resources Corporation</t>
  </si>
  <si>
    <t>F1_2021_C005443_79643.html</t>
  </si>
  <si>
    <t>C005444</t>
  </si>
  <si>
    <t>Desertlink, Llc</t>
  </si>
  <si>
    <t>F1_2021_C005444_79634.html</t>
  </si>
  <si>
    <t>C005475</t>
  </si>
  <si>
    <t>Mid-Atlantic Interstate Transmission, LLC</t>
  </si>
  <si>
    <t>F1_2021_C005475_78240.html</t>
  </si>
  <si>
    <t>C005519</t>
  </si>
  <si>
    <t>GridLiance West LLC</t>
  </si>
  <si>
    <t>F1_2021_C005519_78982.html</t>
  </si>
  <si>
    <t>C007565</t>
  </si>
  <si>
    <t>AEP Texas Inc.</t>
  </si>
  <si>
    <t>F1_2021_C007565_91309.html</t>
  </si>
  <si>
    <t>C007581</t>
  </si>
  <si>
    <t>Transource Pennsylvania, LLC</t>
  </si>
  <si>
    <t>F1_2021_C007581_91325.html</t>
  </si>
  <si>
    <t>C007582</t>
  </si>
  <si>
    <t>Transource Maryland, LLC</t>
  </si>
  <si>
    <t>F1_2021_C007582_91326.html</t>
  </si>
  <si>
    <t>C007584</t>
  </si>
  <si>
    <t>Cube Yadkin Transmission LLC</t>
  </si>
  <si>
    <t>F1_2021_C007584_93042.html</t>
  </si>
  <si>
    <t>C007624</t>
  </si>
  <si>
    <t>New York Transco, LLC</t>
  </si>
  <si>
    <t>F1_2021_C007624_90331.html</t>
  </si>
  <si>
    <t>C007667</t>
  </si>
  <si>
    <t>Entergy New Orleans, LLC</t>
  </si>
  <si>
    <t>F1_2021_C007667_93698.html</t>
  </si>
  <si>
    <t>C007679</t>
  </si>
  <si>
    <t>Trans-Allegheny Interstate Line Company</t>
  </si>
  <si>
    <t>F1_2021_C007679_78241.html</t>
  </si>
  <si>
    <t>C008947</t>
  </si>
  <si>
    <t>Citizens Sycamore-Penasquitos Transmission LLC</t>
  </si>
  <si>
    <t>F1_2021_C008947_89884.html</t>
  </si>
  <si>
    <t>C008998</t>
  </si>
  <si>
    <t>Entergy Arkansas, LLC</t>
  </si>
  <si>
    <t>F1_2021_C008998_79472.html</t>
  </si>
  <si>
    <t>C008999</t>
  </si>
  <si>
    <t>Entergy Mississippi, LLC</t>
  </si>
  <si>
    <t>F1_2021_C008999_93726.html</t>
  </si>
  <si>
    <t>C009068</t>
  </si>
  <si>
    <t>Gridliance Heartland Llc</t>
  </si>
  <si>
    <t>F1_2021_C009068_90056.html</t>
  </si>
  <si>
    <t>C010151</t>
  </si>
  <si>
    <t>Republic Transmission, Llc</t>
  </si>
  <si>
    <t>F1_2021_C010151_79619.html</t>
  </si>
  <si>
    <t>C010388</t>
  </si>
  <si>
    <t>Upper Missouri G. &amp; T. Electric Cooperative, Inc.</t>
  </si>
  <si>
    <t>F1_2021_C010388_78643.html</t>
  </si>
  <si>
    <t>C010432</t>
  </si>
  <si>
    <t>Mckenzie Electric Cooperative, Inc.</t>
  </si>
  <si>
    <t>F1_2021_C010432_90059.html</t>
  </si>
  <si>
    <t>C010446</t>
  </si>
  <si>
    <t>Wilderness Line Holdings, Llc</t>
  </si>
  <si>
    <t>F1_2021_C010446_89905.html</t>
  </si>
  <si>
    <t>C010464</t>
  </si>
  <si>
    <t>Bear Valley Electric Service, Inc.</t>
  </si>
  <si>
    <t>F1_2021_C010464_90758.html</t>
  </si>
  <si>
    <t>C010473</t>
  </si>
  <si>
    <t>LS Power Grid New York Corporation I</t>
  </si>
  <si>
    <t>F1_2021_C010473_79621.html</t>
  </si>
  <si>
    <t>C010474</t>
  </si>
  <si>
    <t>American Transmission Company LLC</t>
  </si>
  <si>
    <t>F1_2021_C010474_90329.html</t>
  </si>
  <si>
    <t>C010523</t>
  </si>
  <si>
    <t>VETCO</t>
  </si>
  <si>
    <t>F1_2021_C010523_79498.html</t>
  </si>
  <si>
    <t>C010845</t>
  </si>
  <si>
    <t>Morongo Transmission LLC</t>
  </si>
  <si>
    <t>F1_2021_C010845_91057.html</t>
  </si>
  <si>
    <t>C011100</t>
  </si>
  <si>
    <t>Chugach Electric Association Inc.</t>
  </si>
  <si>
    <t>F1_2021_C011100_90507.html</t>
  </si>
  <si>
    <t>C011150</t>
  </si>
  <si>
    <t>Alaska Electric Light and Power Company</t>
  </si>
  <si>
    <t>F1_2021_C011150_89978.html</t>
  </si>
  <si>
    <t>C011163</t>
  </si>
  <si>
    <t>Superior Water Light &amp; Power</t>
  </si>
  <si>
    <t>F1_2021_C011163_90008.html</t>
  </si>
  <si>
    <t>C011285</t>
  </si>
  <si>
    <t>Central Hudson Gas &amp; Electric</t>
  </si>
  <si>
    <t>F1_2021_C011285_89724.html</t>
  </si>
  <si>
    <t>C011301</t>
  </si>
  <si>
    <t>Mt. Carmel Public Utility Co.</t>
  </si>
  <si>
    <t>F1_2021_C011301_77745.html</t>
  </si>
  <si>
    <t>C011302</t>
  </si>
  <si>
    <t>PATH West Virginia Transmission Company</t>
  </si>
  <si>
    <t>F1_2021_C011302_91311.html</t>
  </si>
  <si>
    <t>C011304</t>
  </si>
  <si>
    <t>Indiana-Kentucky Electric Corporation</t>
  </si>
  <si>
    <t>F1_2021_C011304_91136.html</t>
  </si>
  <si>
    <t>C011318</t>
  </si>
  <si>
    <t>Northwestern Wisconsin Electric Company</t>
  </si>
  <si>
    <t>F1_2021_C011318_90595.html</t>
  </si>
  <si>
    <t>C011423</t>
  </si>
  <si>
    <t>Midwest Energy, Inc</t>
  </si>
  <si>
    <t>F1_2021_C011423_90584.html</t>
  </si>
  <si>
    <t>C011644</t>
  </si>
  <si>
    <t>Pioneer Power and Light Company</t>
  </si>
  <si>
    <t>F1_2021_C011644_135144.html</t>
  </si>
  <si>
    <t>TOTAL Revenues Before Prov. for Refunds</t>
  </si>
  <si>
    <t>Activos con funciones de transmision en24 a 115 Kv</t>
  </si>
  <si>
    <t>Energia Inyectada (ver formula)</t>
  </si>
  <si>
    <t>Emprea</t>
  </si>
  <si>
    <t>F1_2022_C000029_99414.html</t>
  </si>
  <si>
    <t>F1_2022_C000030_99474.html</t>
  </si>
  <si>
    <t>F1_2022_C000038_99539.html</t>
  </si>
  <si>
    <t>F1_2022_C000041_98855.html</t>
  </si>
  <si>
    <t>F1_2022_C000045_112620.html</t>
  </si>
  <si>
    <t>F1_2022_C000116_99075.html</t>
  </si>
  <si>
    <t>F1_2022_C000120_147175.html</t>
  </si>
  <si>
    <t>F1_2022_C000134_110225.html</t>
  </si>
  <si>
    <t>F1_2022_C000135_99436.html</t>
  </si>
  <si>
    <t>F1_2022_C000136_113429.html</t>
  </si>
  <si>
    <t>F1_2022_C000171_99577.html</t>
  </si>
  <si>
    <t>F1_2022_C000191_98390.html</t>
  </si>
  <si>
    <t>F1_2022_C000196_110706.html</t>
  </si>
  <si>
    <t>F1_2022_C000199_98777.html</t>
  </si>
  <si>
    <t>F1_2022_C000200_98780.html</t>
  </si>
  <si>
    <t>F1_2022_C000201_98550.html</t>
  </si>
  <si>
    <t>F1_2022_C000241_98481.html</t>
  </si>
  <si>
    <t>F1_2022_C000289_110529.html</t>
  </si>
  <si>
    <t>F1_2022_C000290_158042.html</t>
  </si>
  <si>
    <t>F1_2022_C000291_110359.html</t>
  </si>
  <si>
    <t>F1_2022_C000292_99524.html</t>
  </si>
  <si>
    <t>F1_2022_C000312_98465.html</t>
  </si>
  <si>
    <t>F1_2022_C000313_98471.html</t>
  </si>
  <si>
    <t>F1_2022_C000314_98472.html</t>
  </si>
  <si>
    <t>F1_2022_C000315_98473.html</t>
  </si>
  <si>
    <t>F1_2022_C000316_98477.html</t>
  </si>
  <si>
    <t>F1_2022_C000317_98475.html</t>
  </si>
  <si>
    <t>F1_2022_C000318_98478.html</t>
  </si>
  <si>
    <t>F1_2022_C000319_98466.html</t>
  </si>
  <si>
    <t>F1_2022_C000367_109899.html</t>
  </si>
  <si>
    <t>F1_2022_C000379_110188.html</t>
  </si>
  <si>
    <t>F1_2022_C000388_110166.html</t>
  </si>
  <si>
    <t>F1_2022_C000415_98837.html</t>
  </si>
  <si>
    <t>F1_2022_C000447_98970.html</t>
  </si>
  <si>
    <t>F1_2022_C000465_111342.html</t>
  </si>
  <si>
    <t>F1_2022_C000500_109816.html</t>
  </si>
  <si>
    <t>F1_2022_C000501_110254.html</t>
  </si>
  <si>
    <t>F1_2022_C000502_99454.html</t>
  </si>
  <si>
    <t>F1_2022_C000507_110177.html</t>
  </si>
  <si>
    <t>F1_2022_C000509_110170.html</t>
  </si>
  <si>
    <t>F1_2022_C000522_98978.html</t>
  </si>
  <si>
    <t>F1_2022_C000523_98977.html</t>
  </si>
  <si>
    <t>F1_2022_C000524_110567.html</t>
  </si>
  <si>
    <t>F1_2022_C000525_110566.html</t>
  </si>
  <si>
    <t>F1_2022_C000526_98979.html</t>
  </si>
  <si>
    <t>F1_2022_C000527_110568.html</t>
  </si>
  <si>
    <t>F1_2022_C000530_99114.html</t>
  </si>
  <si>
    <t>F1_2022_C000532_110554.html</t>
  </si>
  <si>
    <t>F1_2022_C000533_110556.html</t>
  </si>
  <si>
    <t>F1_2022_C000534_110555.html</t>
  </si>
  <si>
    <t>F1_2022_C000535_99119.html</t>
  </si>
  <si>
    <t>F1_2022_C000536_110561.html</t>
  </si>
  <si>
    <t>F1_2022_C000537_110579.html</t>
  </si>
  <si>
    <t>F1_2022_C000538_110560.html</t>
  </si>
  <si>
    <t>F1_2022_C000542_109794.html</t>
  </si>
  <si>
    <t>F1_2022_C000553_98504.html</t>
  </si>
  <si>
    <t>F1_2022_C000555_98502.html</t>
  </si>
  <si>
    <t>F1_2022_C000602_113242.html</t>
  </si>
  <si>
    <t>F1_2022_C000615_110323.html</t>
  </si>
  <si>
    <t>F1_2022_C000616_98693.html</t>
  </si>
  <si>
    <t>F1_2022_C000617_110748.html</t>
  </si>
  <si>
    <t>F1_2022_C000618_110750.html</t>
  </si>
  <si>
    <t>F1_2022_C000620_135243.html</t>
  </si>
  <si>
    <t>F1_2022_C000622_110822.html</t>
  </si>
  <si>
    <t>F1_2022_C000685_109879.html</t>
  </si>
  <si>
    <t>F1_2022_C000691_98672.html</t>
  </si>
  <si>
    <t>F1_2022_C000692_98667.html</t>
  </si>
  <si>
    <t>F1_2022_C000744_99221.html</t>
  </si>
  <si>
    <t>F1_2022_C000746_98967.html</t>
  </si>
  <si>
    <t>F1_2022_C000771_109709.html</t>
  </si>
  <si>
    <t>F1_2022_C000772_110199.html</t>
  </si>
  <si>
    <t>F1_2022_C000822_146804.html</t>
  </si>
  <si>
    <t>F1_2022_C000823_98911.html</t>
  </si>
  <si>
    <t>F1_2022_C000824_98909.html</t>
  </si>
  <si>
    <t>F1_2022_C000825_98914.html</t>
  </si>
  <si>
    <t>F1_2022_C000851_99356.html</t>
  </si>
  <si>
    <t>F1_2022_C000852_110700.html</t>
  </si>
  <si>
    <t>F1_2022_C000862_99347.html</t>
  </si>
  <si>
    <t>F1_2022_C000905_98476.html</t>
  </si>
  <si>
    <t>F1_2022_C000906_98479.html</t>
  </si>
  <si>
    <t>F1_2022_C000911_98470.html</t>
  </si>
  <si>
    <t>F1_2022_C000913_98474.html</t>
  </si>
  <si>
    <t>F1_2022_C000945_112040.html</t>
  </si>
  <si>
    <t>F1_2022_C001009_110219.html</t>
  </si>
  <si>
    <t>F1_2022_C001016_99484.html</t>
  </si>
  <si>
    <t>F1_2022_C001017_99491.html</t>
  </si>
  <si>
    <t>F1_2022_C001025_99320.html</t>
  </si>
  <si>
    <t>F1_2022_C001030_110401.html</t>
  </si>
  <si>
    <t>F1_2022_C001111_98721.html</t>
  </si>
  <si>
    <t>F1_2022_C001130_109975.html</t>
  </si>
  <si>
    <t>F1_2022_C001132_99555.html</t>
  </si>
  <si>
    <t>F1_2022_C001143_98668.html</t>
  </si>
  <si>
    <t>F1_2022_C001153_98414.html</t>
  </si>
  <si>
    <t>F1_2022_C001181_110200.html</t>
  </si>
  <si>
    <t>F1_2022_C001182_110201.html</t>
  </si>
  <si>
    <t>F1_2022_C001183_109823.html</t>
  </si>
  <si>
    <t>F1_2022_C001184_98380.html</t>
  </si>
  <si>
    <t>F1_2022_C001187_98379.html</t>
  </si>
  <si>
    <t>F1_2022_C001188_109973.html</t>
  </si>
  <si>
    <t>F1_2022_C001194_110285.html</t>
  </si>
  <si>
    <t>F1_2022_C001218_110078.html</t>
  </si>
  <si>
    <t>F1_2022_C001221_98370.html</t>
  </si>
  <si>
    <t>F1_2022_C001222_98369.html</t>
  </si>
  <si>
    <t>F1_2022_C001230_98573.html</t>
  </si>
  <si>
    <t>F1_2022_C001245_99264.html</t>
  </si>
  <si>
    <t>F1_2022_C001252_99531.html</t>
  </si>
  <si>
    <t>F1_2022_C001257_99579.html</t>
  </si>
  <si>
    <t>F1_2022_C001288_99569.html</t>
  </si>
  <si>
    <t>F1_2022_C001298_110757.html</t>
  </si>
  <si>
    <t>F1_2022_C001305_109743.html</t>
  </si>
  <si>
    <t>F1_2022_C001306_110215.html</t>
  </si>
  <si>
    <t>F1_2022_C001307_181494.html</t>
  </si>
  <si>
    <t>F1_2022_C001308_110002.html</t>
  </si>
  <si>
    <t>F1_2022_C001309_110226.html</t>
  </si>
  <si>
    <t>F1_2022_C001315_110187.html</t>
  </si>
  <si>
    <t>F1_2022_C001316_170386.html</t>
  </si>
  <si>
    <t>F1_2022_C001322_110525.html</t>
  </si>
  <si>
    <t>F1_2022_C001330_111026.html</t>
  </si>
  <si>
    <t>F1_2022_C001344_109907.html</t>
  </si>
  <si>
    <t>F1_2022_C001346_99298.html</t>
  </si>
  <si>
    <t>F1_2022_C001421_98895.html</t>
  </si>
  <si>
    <t>F1_2022_C001436_98510.html</t>
  </si>
  <si>
    <t>F1_2022_C001444_98690.html</t>
  </si>
  <si>
    <t>F1_2022_C001446_98640.html</t>
  </si>
  <si>
    <t>F1_2022_C001454_98896.html</t>
  </si>
  <si>
    <t>F1_2022_C001464_98619.html</t>
  </si>
  <si>
    <t>F1_2022_C001465_98615.html</t>
  </si>
  <si>
    <t>F1_2022_C001466_98616.html</t>
  </si>
  <si>
    <t>F1_2022_C001486_109981.html</t>
  </si>
  <si>
    <t>F1_2022_C001552_109818.html</t>
  </si>
  <si>
    <t>F1_2022_C001553_113090.html</t>
  </si>
  <si>
    <t>F1_2022_C001555_99045.html</t>
  </si>
  <si>
    <t>F1_2022_C001559_109887.html</t>
  </si>
  <si>
    <t>F1_2022_C001607_110189.html</t>
  </si>
  <si>
    <t>F1_2022_C001609_99566.html</t>
  </si>
  <si>
    <t>F1_2022_C001610_99554.html</t>
  </si>
  <si>
    <t>F1_2022_C001646_110102.html</t>
  </si>
  <si>
    <t>F1_2022_C001654_110175.html</t>
  </si>
  <si>
    <t>F1_2022_C001655_110151.html</t>
  </si>
  <si>
    <t>F1_2022_C001656_110152.html</t>
  </si>
  <si>
    <t>F1_2022_C001673_110111.html</t>
  </si>
  <si>
    <t>F1_2022_C001675_99529.html</t>
  </si>
  <si>
    <t>F1_2022_C001696_98894.html</t>
  </si>
  <si>
    <t>F1_2022_C001702_98975.html</t>
  </si>
  <si>
    <t>F1_2022_C001731_99196.html</t>
  </si>
  <si>
    <t>F1_2022_C001745_98687.html</t>
  </si>
  <si>
    <t>F1_2022_C001775_99316.html</t>
  </si>
  <si>
    <t>F1_2022_C001789_98224.html</t>
  </si>
  <si>
    <t>F1_2022_C002012_99432.html</t>
  </si>
  <si>
    <t>F1_2022_C002045_99192.html</t>
  </si>
  <si>
    <t>F1_2022_C002073_113199.html</t>
  </si>
  <si>
    <t>F1_2022_C002083_99457.html</t>
  </si>
  <si>
    <t>F1_2022_C002089_109834.html</t>
  </si>
  <si>
    <t>F1_2022_C002101_98455.html</t>
  </si>
  <si>
    <t>F1_2022_C002115_110668.html</t>
  </si>
  <si>
    <t>F1_2022_C002116_110682.html</t>
  </si>
  <si>
    <t>F1_2022_C002196_99056.html</t>
  </si>
  <si>
    <t>F1_2022_C002308_98240.html</t>
  </si>
  <si>
    <t>F1_2022_C002335_99558.html</t>
  </si>
  <si>
    <t>F1_2022_C002336_99546.html</t>
  </si>
  <si>
    <t>F1_2022_C002446_98454.html</t>
  </si>
  <si>
    <t>F1_2022_C002498_109706.html</t>
  </si>
  <si>
    <t>F1_2022_C002525_98456.html</t>
  </si>
  <si>
    <t>F1_2022_C002827_98469.html</t>
  </si>
  <si>
    <t>F1_2022_C002854_99541.html</t>
  </si>
  <si>
    <t>F1_2022_C003138_98457.html</t>
  </si>
  <si>
    <t>F1_2022_C003184_99080.html</t>
  </si>
  <si>
    <t>F1_2022_C003194_99035.html</t>
  </si>
  <si>
    <t>F1_2022_C003435_110203.html</t>
  </si>
  <si>
    <t>F1_2022_C003483_110654.html</t>
  </si>
  <si>
    <t>F1_2022_C003646_98463.html</t>
  </si>
  <si>
    <t>F1_2022_C003713_98164.html</t>
  </si>
  <si>
    <t>F1_2022_C003836_109806.html</t>
  </si>
  <si>
    <t>F1_2022_C003849_110021.html</t>
  </si>
  <si>
    <t>F1_2022_C003988_99117.html</t>
  </si>
  <si>
    <t>F1_2022_C004044_110202.html</t>
  </si>
  <si>
    <t>C004679</t>
  </si>
  <si>
    <t>Transource Oklahoma, LLC</t>
  </si>
  <si>
    <t>F1_2022_C004679_99039.html</t>
  </si>
  <si>
    <t>F1_2022_C004872_99036.html</t>
  </si>
  <si>
    <t>F1_2022_C004881_98166.html</t>
  </si>
  <si>
    <t>F1_2022_C004936_98458.html</t>
  </si>
  <si>
    <t>F1_2022_C004995_99350.html</t>
  </si>
  <si>
    <t>F1_2022_C005059_113039.html</t>
  </si>
  <si>
    <t>F1_2022_C005067_112879.html</t>
  </si>
  <si>
    <t>F1_2022_C005423_98198.html</t>
  </si>
  <si>
    <t>F1_2022_C005424_98245.html</t>
  </si>
  <si>
    <t>F1_2022_C005443_109838.html</t>
  </si>
  <si>
    <t>F1_2022_C005444_113019.html</t>
  </si>
  <si>
    <t>F1_2022_C005475_98467.html</t>
  </si>
  <si>
    <t>F1_2022_C005519_98419.html</t>
  </si>
  <si>
    <t>F1_2022_C007565_99124.html</t>
  </si>
  <si>
    <t>F1_2022_C007581_99037.html</t>
  </si>
  <si>
    <t>F1_2022_C007582_99038.html</t>
  </si>
  <si>
    <t>F1_2022_C007584_110139.html</t>
  </si>
  <si>
    <t>F1_2022_C007624_110210.html</t>
  </si>
  <si>
    <t>F1_2022_C007667_134091.html</t>
  </si>
  <si>
    <t>F1_2022_C007679_98468.html</t>
  </si>
  <si>
    <t>F1_2022_C008947_99542.html</t>
  </si>
  <si>
    <t>F1_2022_C008998_99349.html</t>
  </si>
  <si>
    <t>F1_2022_C008999_99351.html</t>
  </si>
  <si>
    <t>F1_2022_C009068_98299.html</t>
  </si>
  <si>
    <t>F1_2022_C010151_109822.html</t>
  </si>
  <si>
    <t>F1_2022_C011150_110060.html</t>
  </si>
  <si>
    <t>F1_2022_C011163_110104.html</t>
  </si>
  <si>
    <t>F1_2022_C011301_98539.html</t>
  </si>
  <si>
    <t>F1_2022_C011302_110578.html</t>
  </si>
  <si>
    <t>F1_2022_C011304_110816.html</t>
  </si>
  <si>
    <t>F1_2022_C011318_110108.html</t>
  </si>
  <si>
    <t>F1_2022_C011423_110614.html</t>
  </si>
  <si>
    <t>F1_2022_C011644_133506.html</t>
  </si>
  <si>
    <t>C011785</t>
  </si>
  <si>
    <t>Mountrail-Williams Electric Cooperative</t>
  </si>
  <si>
    <t>F1_2022_C011785_110022.html</t>
  </si>
  <si>
    <t>Costos Trans</t>
  </si>
  <si>
    <t>Perd</t>
  </si>
  <si>
    <t>F1_2023_C000029_168645.html</t>
  </si>
  <si>
    <t>F1_2023_C000030_168730.html</t>
  </si>
  <si>
    <t>F1_2023_C000038_168966.html</t>
  </si>
  <si>
    <t>F1_2023_C000041_168632.html</t>
  </si>
  <si>
    <t>F1_2023_C000045_170258.html</t>
  </si>
  <si>
    <t>F1_2023_C000116_158041.html</t>
  </si>
  <si>
    <t>F1_2023_C000120_192355.html</t>
  </si>
  <si>
    <t>F1_2023_C000134_169474.html</t>
  </si>
  <si>
    <t>F1_2023_C000135_216305.html</t>
  </si>
  <si>
    <t>F1_2023_C000136_182006.html</t>
  </si>
  <si>
    <t>F1_2023_C000171_181073.html</t>
  </si>
  <si>
    <t>F1_2023_C000191_147411.html</t>
  </si>
  <si>
    <t>F1_2023_C000196_147207.html</t>
  </si>
  <si>
    <t>F1_2023_C000199_147711.html</t>
  </si>
  <si>
    <t>F1_2023_C000200_147712.html</t>
  </si>
  <si>
    <t>F1_2023_C000201_147451.html</t>
  </si>
  <si>
    <t>F1_2023_C000241_147434.html</t>
  </si>
  <si>
    <t>F1_2023_C000289_182193.html</t>
  </si>
  <si>
    <t>F1_2023_C000290_182075.html</t>
  </si>
  <si>
    <t>F1_2023_C000291_182080.html</t>
  </si>
  <si>
    <t>F1_2023_C000292_182078.html</t>
  </si>
  <si>
    <t>F1_2023_C000312_147516.html</t>
  </si>
  <si>
    <t>F1_2023_C000313_147517.html</t>
  </si>
  <si>
    <t>F1_2023_C000314_147518.html</t>
  </si>
  <si>
    <t>F1_2023_C000315_147519.html</t>
  </si>
  <si>
    <t>F1_2023_C000316_147524.html</t>
  </si>
  <si>
    <t>F1_2023_C000317_147521.html</t>
  </si>
  <si>
    <t>F1_2023_C000318_147525.html</t>
  </si>
  <si>
    <t>F1_2023_C000319_147526.html</t>
  </si>
  <si>
    <t>F1_2023_C000379_158429.html</t>
  </si>
  <si>
    <t>F1_2023_C000388_170475.html</t>
  </si>
  <si>
    <t>F1_2023_C000415_147932.html</t>
  </si>
  <si>
    <t>F1_2023_C000447_158080.html</t>
  </si>
  <si>
    <t>F1_2023_C000465_194092.html</t>
  </si>
  <si>
    <t>F1_2023_C000500_168989.html</t>
  </si>
  <si>
    <t>F1_2023_C000501_158436.html</t>
  </si>
  <si>
    <t>F1_2023_C000502_168607.html</t>
  </si>
  <si>
    <t>F1_2023_C000507_169487.html</t>
  </si>
  <si>
    <t>F1_2023_C000509_169448.html</t>
  </si>
  <si>
    <t>F1_2023_C000522_158081.html</t>
  </si>
  <si>
    <t>F1_2023_C000523_158082.html</t>
  </si>
  <si>
    <t>F1_2023_C000524_158083.html</t>
  </si>
  <si>
    <t>F1_2023_C000525_158084.html</t>
  </si>
  <si>
    <t>F1_2023_C000526_158085.html</t>
  </si>
  <si>
    <t>F1_2023_C000527_158086.html</t>
  </si>
  <si>
    <t>F1_2023_C000530_158182.html</t>
  </si>
  <si>
    <t>F1_2023_C000532_158178.html</t>
  </si>
  <si>
    <t>F1_2023_C000533_158179.html</t>
  </si>
  <si>
    <t>F1_2023_C000534_158180.html</t>
  </si>
  <si>
    <t>F1_2023_C000535_158181.html</t>
  </si>
  <si>
    <t>F1_2023_C000536_158184.html</t>
  </si>
  <si>
    <t>F1_2023_C000537_158185.html</t>
  </si>
  <si>
    <t>F1_2023_C000538_158183.html</t>
  </si>
  <si>
    <t>F1_2023_C000542_169630.html</t>
  </si>
  <si>
    <t>F1_2023_C000553_147485.html</t>
  </si>
  <si>
    <t>F1_2023_C000555_147309.html</t>
  </si>
  <si>
    <t>F1_2023_C000602_226607.html</t>
  </si>
  <si>
    <t>F1_2023_C000615_147769.html</t>
  </si>
  <si>
    <t>F1_2023_C000616_147771.html</t>
  </si>
  <si>
    <t>F1_2023_C000617_169467.html</t>
  </si>
  <si>
    <t>F1_2023_C000618_169460.html</t>
  </si>
  <si>
    <t>F1_2023_C000620_168802.html</t>
  </si>
  <si>
    <t>F1_2023_C000622_170191.html</t>
  </si>
  <si>
    <t>F1_2023_C000685_169692.html</t>
  </si>
  <si>
    <t>F1_2023_C000691_147697.html</t>
  </si>
  <si>
    <t>F1_2023_C000692_147696.html</t>
  </si>
  <si>
    <t>F1_2023_C000744_158074.html</t>
  </si>
  <si>
    <t>F1_2023_C000746_158078.html</t>
  </si>
  <si>
    <t>F1_2023_C000771_169796.html</t>
  </si>
  <si>
    <t>F1_2023_C000772_180937.html</t>
  </si>
  <si>
    <t>F1_2023_C000822_216180.html</t>
  </si>
  <si>
    <t>F1_2023_C000823_147931.html</t>
  </si>
  <si>
    <t>F1_2023_C000824_147933.html</t>
  </si>
  <si>
    <t>F1_2023_C000825_147947.html</t>
  </si>
  <si>
    <t>F1_2023_C000851_168567.html</t>
  </si>
  <si>
    <t>F1_2023_C000852_168570.html</t>
  </si>
  <si>
    <t>F1_2023_C000862_168569.html</t>
  </si>
  <si>
    <t>F1_2023_C000905_147523.html</t>
  </si>
  <si>
    <t>F1_2023_C000906_147522.html</t>
  </si>
  <si>
    <t>F1_2023_C000911_147512.html</t>
  </si>
  <si>
    <t>F1_2023_C000913_147520.html</t>
  </si>
  <si>
    <t>F1_2023_C000945_226504.html</t>
  </si>
  <si>
    <t>F1_2023_C001009_204428.html</t>
  </si>
  <si>
    <t>F1_2023_C001016_169700.html</t>
  </si>
  <si>
    <t>F1_2023_C001017_169225.html</t>
  </si>
  <si>
    <t>F1_2023_C001025_158432.html</t>
  </si>
  <si>
    <t>F1_2023_C001030_168790.html</t>
  </si>
  <si>
    <t>F1_2023_C001111_147418.html</t>
  </si>
  <si>
    <t>F1_2023_C001130_192367.html</t>
  </si>
  <si>
    <t>F1_2023_C001132_169476.html</t>
  </si>
  <si>
    <t>F1_2023_C001143_147615.html</t>
  </si>
  <si>
    <t>F1_2023_C001153_147480.html</t>
  </si>
  <si>
    <t>F1_2023_C001181_169688.html</t>
  </si>
  <si>
    <t>F1_2023_C001182_169690.html</t>
  </si>
  <si>
    <t>F1_2023_C001183_169208.html</t>
  </si>
  <si>
    <t>F1_2023_C001184_147327.html</t>
  </si>
  <si>
    <t>F1_2023_C001187_147328.html</t>
  </si>
  <si>
    <t>F1_2023_C001188_158296.html</t>
  </si>
  <si>
    <t>F1_2023_C001194_158402.html</t>
  </si>
  <si>
    <t>F1_2023_C001218_168801.html</t>
  </si>
  <si>
    <t>F1_2023_C001221_147689.html</t>
  </si>
  <si>
    <t>F1_2023_C001222_147687.html</t>
  </si>
  <si>
    <t>F1_2023_C001230_147438.html</t>
  </si>
  <si>
    <t>F1_2023_C001245_158259.html</t>
  </si>
  <si>
    <t>F1_2023_C001252_169967.html</t>
  </si>
  <si>
    <t>F1_2023_C001257_169235.html</t>
  </si>
  <si>
    <t>F1_2023_C001288_168792.html</t>
  </si>
  <si>
    <t>F1_2023_C001298_170102.html</t>
  </si>
  <si>
    <t>F1_2023_C001305_147641.html</t>
  </si>
  <si>
    <t>F1_2023_C001306_169538.html</t>
  </si>
  <si>
    <t>F1_2023_C001307_181490.html</t>
  </si>
  <si>
    <t>F1_2023_C001308_147756.html</t>
  </si>
  <si>
    <t>F1_2023_C001309_158428.html</t>
  </si>
  <si>
    <t>F1_2023_C001315_168780.html</t>
  </si>
  <si>
    <t>F1_2023_C001316_170387.html</t>
  </si>
  <si>
    <t>F1_2023_C001322_169485.html</t>
  </si>
  <si>
    <t>F1_2023_C001330_169064.html</t>
  </si>
  <si>
    <t>F1_2023_C001344_181753.html</t>
  </si>
  <si>
    <t>F1_2023_C001346_169439.html</t>
  </si>
  <si>
    <t>F1_2023_C001421_147905.html</t>
  </si>
  <si>
    <t>F1_2023_C001436_147594.html</t>
  </si>
  <si>
    <t>F1_2023_C001444_147564.html</t>
  </si>
  <si>
    <t>F1_2023_C001446_168504.html</t>
  </si>
  <si>
    <t>F1_2023_C001454_205075.html</t>
  </si>
  <si>
    <t>F1_2023_C001464_147895.html</t>
  </si>
  <si>
    <t>F1_2023_C001465_147897.html</t>
  </si>
  <si>
    <t>F1_2023_C001466_147896.html</t>
  </si>
  <si>
    <t>F1_2023_C001486_169433.html</t>
  </si>
  <si>
    <t>F1_2023_C001552_169195.html</t>
  </si>
  <si>
    <t>F1_2023_C001553_147755.html</t>
  </si>
  <si>
    <t>F1_2023_C001555_206090.html</t>
  </si>
  <si>
    <t>F1_2023_C001559_169457.html</t>
  </si>
  <si>
    <t>F1_2023_C001607_169472.html</t>
  </si>
  <si>
    <t>F1_2023_C001609_168586.html</t>
  </si>
  <si>
    <t>F1_2023_C001610_168578.html</t>
  </si>
  <si>
    <t>F1_2023_C001646_158317.html</t>
  </si>
  <si>
    <t>F1_2023_C001654_147585.html</t>
  </si>
  <si>
    <t>F1_2023_C001655_147582.html</t>
  </si>
  <si>
    <t>F1_2023_C001656_147583.html</t>
  </si>
  <si>
    <t>F1_2023_C001673_169544.html</t>
  </si>
  <si>
    <t>F1_2023_C001675_169861.html</t>
  </si>
  <si>
    <t>F1_2023_C001696_205664.html</t>
  </si>
  <si>
    <t>F1_2023_C001702_158079.html</t>
  </si>
  <si>
    <t>F1_2023_C001731_169987.html</t>
  </si>
  <si>
    <t>F1_2023_C001745_169842.html</t>
  </si>
  <si>
    <t>F1_2023_C001775_158256.html</t>
  </si>
  <si>
    <t>F1_2023_C001789_147132.html</t>
  </si>
  <si>
    <t>F1_2023_C002012_169461.html</t>
  </si>
  <si>
    <t>F1_2023_C002045_168726.html</t>
  </si>
  <si>
    <t>F1_2023_C002073_169250.html</t>
  </si>
  <si>
    <t>F1_2023_C002083_169025.html</t>
  </si>
  <si>
    <t>F1_2023_C002089_169735.html</t>
  </si>
  <si>
    <t>F1_2023_C002101_147359.html</t>
  </si>
  <si>
    <t>F1_2023_C002115_170071.html</t>
  </si>
  <si>
    <t>F1_2023_C002116_170069.html</t>
  </si>
  <si>
    <t>F1_2023_C002196_158073.html</t>
  </si>
  <si>
    <t>F1_2023_C002308_147287.html</t>
  </si>
  <si>
    <t>F1_2023_C002335_169010.html</t>
  </si>
  <si>
    <t>F1_2023_C002336_158400.html</t>
  </si>
  <si>
    <t>F1_2023_C002446_147357.html</t>
  </si>
  <si>
    <t>F1_2023_C002498_169435.html</t>
  </si>
  <si>
    <t>F1_2023_C002525_147360.html</t>
  </si>
  <si>
    <t>F1_2023_C002854_168540.html</t>
  </si>
  <si>
    <t>F1_2023_C003138_147363.html</t>
  </si>
  <si>
    <t>F1_2023_C003184_158177.html</t>
  </si>
  <si>
    <t>F1_2023_C003194_158149.html</t>
  </si>
  <si>
    <t>F1_2023_C003435_169685.html</t>
  </si>
  <si>
    <t>F1_2023_C003483_170070.html</t>
  </si>
  <si>
    <t>F1_2023_C003646_147437.html</t>
  </si>
  <si>
    <t>F1_2023_C003713_147048.html</t>
  </si>
  <si>
    <t>F1_2023_C003836_168793.html</t>
  </si>
  <si>
    <t>F1_2023_C003849_168803.html</t>
  </si>
  <si>
    <t>F1_2023_C004044_169693.html</t>
  </si>
  <si>
    <t>F1_2023_C004679_158151.html</t>
  </si>
  <si>
    <t>F1_2023_C004872_158152.html</t>
  </si>
  <si>
    <t>F1_2023_C004881_147018.html</t>
  </si>
  <si>
    <t>F1_2023_C004936_147365.html</t>
  </si>
  <si>
    <t>F1_2023_C004995_168577.html</t>
  </si>
  <si>
    <t>F1_2023_C005059_168545.html</t>
  </si>
  <si>
    <t>F1_2023_C005067_147652.html</t>
  </si>
  <si>
    <t>F1_2023_C005423_147016.html</t>
  </si>
  <si>
    <t>F1_2023_C005424_147281.html</t>
  </si>
  <si>
    <t>F1_2023_C005443_168990.html</t>
  </si>
  <si>
    <t>F1_2023_C005444_168541.html</t>
  </si>
  <si>
    <t>F1_2023_C005475_147514.html</t>
  </si>
  <si>
    <t>F1_2023_C005519_147433.html</t>
  </si>
  <si>
    <t>F1_2023_C007565_158186.html</t>
  </si>
  <si>
    <t>F1_2023_C007581_158150.html</t>
  </si>
  <si>
    <t>F1_2023_C007582_158148.html</t>
  </si>
  <si>
    <t>F1_2023_C007584_168943.html</t>
  </si>
  <si>
    <t>F1_2023_C007624_169560.html</t>
  </si>
  <si>
    <t>F1_2023_C007667_169945.html</t>
  </si>
  <si>
    <t>F1_2023_C007679_147515.html</t>
  </si>
  <si>
    <t>F1_2023_C008947_168539.html</t>
  </si>
  <si>
    <t>F1_2023_C008998_168563.html</t>
  </si>
  <si>
    <t>F1_2023_C008999_168562.html</t>
  </si>
  <si>
    <t>F1_2023_C009068_147222.html</t>
  </si>
  <si>
    <t>F1_2023_C010151_168546.html</t>
  </si>
  <si>
    <t>F1_2023_C010388_169783.html</t>
  </si>
  <si>
    <t>F1_2023_C010432_168880.html</t>
  </si>
  <si>
    <t>F1_2023_C010446_147917.html</t>
  </si>
  <si>
    <t>F1_2023_C010464_168798.html</t>
  </si>
  <si>
    <t>F1_2023_C010473_168547.html</t>
  </si>
  <si>
    <t>F1_2023_C010474_169216.html</t>
  </si>
  <si>
    <t>F1_2023_C010523_169859.html</t>
  </si>
  <si>
    <t>F1_2023_C010845_169597.html</t>
  </si>
  <si>
    <t>F1_2023_C011100_169478.html</t>
  </si>
  <si>
    <t>F1_2023_C011150_169447.html</t>
  </si>
  <si>
    <t>F1_2023_C011163_169610.html</t>
  </si>
  <si>
    <t>F1_2023_C011301_147267.html</t>
  </si>
  <si>
    <t>F1_2023_C011304_170195.html</t>
  </si>
  <si>
    <t>F1_2023_C011318_169241.html</t>
  </si>
  <si>
    <t>F1_2023_C011423_170024.html</t>
  </si>
  <si>
    <t>F1_2023_C011644_168669.html</t>
  </si>
  <si>
    <t>C011745</t>
  </si>
  <si>
    <t>PJM Settlement, Inc.</t>
  </si>
  <si>
    <t>F1_2023_C011745_168729.html</t>
  </si>
  <si>
    <t>F1_2023_C011785_169198.html</t>
  </si>
  <si>
    <t>Transmision</t>
  </si>
  <si>
    <t>% OM</t>
  </si>
  <si>
    <t>ID 22</t>
  </si>
  <si>
    <t>Efi</t>
  </si>
  <si>
    <t>Activos 2021</t>
  </si>
  <si>
    <t>OM 2021</t>
  </si>
  <si>
    <t>Activos 2022</t>
  </si>
  <si>
    <t>OM 2022</t>
  </si>
  <si>
    <t>Activos 2023</t>
  </si>
  <si>
    <t>OM 2023</t>
  </si>
  <si>
    <t>C010996</t>
  </si>
  <si>
    <t>Citizens S-Line Transmission LLC</t>
  </si>
  <si>
    <t>C011902</t>
  </si>
  <si>
    <t>DCR Transmission, L.L.C.</t>
  </si>
  <si>
    <t>C011963</t>
  </si>
  <si>
    <t>NorthWestern Energy Public Service Corporation</t>
  </si>
  <si>
    <t>C012020</t>
  </si>
  <si>
    <t>FirstEnergy Pennsylvania Electric Company</t>
  </si>
  <si>
    <t>C012021</t>
  </si>
  <si>
    <t>Keystone Appalachian Transmission Company</t>
  </si>
  <si>
    <t>ID Company FERC</t>
  </si>
  <si>
    <t>IEEE_All_WithOUT_Major_SAIDI</t>
  </si>
  <si>
    <t>OtherStd_All_WithOUT_Major_SAIDI</t>
  </si>
  <si>
    <t>SAIDI</t>
  </si>
  <si>
    <t>IEEE_All_With_Major_SAIFI</t>
  </si>
  <si>
    <t>OtherStd_All_With_Major_SAIFI</t>
  </si>
  <si>
    <t>SAIFI</t>
  </si>
  <si>
    <t>Meter_AMR</t>
  </si>
  <si>
    <t>Meter_AMI</t>
  </si>
  <si>
    <t>Total med int</t>
  </si>
  <si>
    <t>Totla med</t>
  </si>
  <si>
    <t>Medidores int/ Medidores totales</t>
  </si>
  <si>
    <t>Advanced Metering</t>
  </si>
  <si>
    <t>Demand Response</t>
  </si>
  <si>
    <t>Distribution Systems</t>
  </si>
  <si>
    <t>Dynamic Pricing</t>
  </si>
  <si>
    <t>Energy Efficiency</t>
  </si>
  <si>
    <t>Net Metering</t>
  </si>
  <si>
    <t>Generation</t>
  </si>
  <si>
    <t>Transmission</t>
  </si>
  <si>
    <t>Buying Transmission</t>
  </si>
  <si>
    <t>Buying Distribution</t>
  </si>
  <si>
    <t>Wholesale Marketing</t>
  </si>
  <si>
    <t>Retail Marketing</t>
  </si>
  <si>
    <t>outlier SAIDI</t>
  </si>
  <si>
    <t>outlier SAIFI</t>
  </si>
  <si>
    <t>tot outliers</t>
  </si>
  <si>
    <t>Y</t>
  </si>
  <si>
    <t>N</t>
  </si>
  <si>
    <t>Total med</t>
  </si>
  <si>
    <t>Análisis Indices y outliers</t>
  </si>
  <si>
    <t>Histogramas</t>
  </si>
  <si>
    <t>se tomo el criterio de promedio + 5 desviacion estandar</t>
  </si>
  <si>
    <t>criterio</t>
  </si>
  <si>
    <t>5d</t>
  </si>
  <si>
    <t>Indice :</t>
  </si>
  <si>
    <t>Año</t>
  </si>
  <si>
    <t>Maximo</t>
  </si>
  <si>
    <t>Minimo</t>
  </si>
  <si>
    <t>Promedio</t>
  </si>
  <si>
    <t>Mediana</t>
  </si>
  <si>
    <t>desv Est</t>
  </si>
  <si>
    <t>Q1</t>
  </si>
  <si>
    <t>Q3</t>
  </si>
  <si>
    <t>Max out</t>
  </si>
  <si>
    <t>Min out</t>
  </si>
  <si>
    <t>Estadisticas</t>
  </si>
  <si>
    <t>FERC 2021</t>
  </si>
  <si>
    <t>FERC 2022</t>
  </si>
  <si>
    <t>FERC 2023</t>
  </si>
  <si>
    <t>EIA 2021</t>
  </si>
  <si>
    <t>EIA 2022</t>
  </si>
  <si>
    <t>EIA 2023</t>
  </si>
  <si>
    <t>Out2021</t>
  </si>
  <si>
    <t>Out2022</t>
  </si>
  <si>
    <t>Out2023</t>
  </si>
  <si>
    <t>para eficien</t>
  </si>
  <si>
    <t>Comentario</t>
  </si>
  <si>
    <t>falta el dato de perdidas en 2021 y 2022 y no estaba en el estudio anterior</t>
  </si>
  <si>
    <t>varios outliers y no estaba en estudio anterior</t>
  </si>
  <si>
    <t>tiene valores elevados de saidi</t>
  </si>
  <si>
    <t>se realizo un ajustre en el % de planta general, se aplico el % de 2021 en 2022 y 2023 porque faltaban datos</t>
  </si>
  <si>
    <t>se saco por perdidas fuera de rango, valores de perdidas muy grandes y no estaba en estudio anterior, excluido de la muestra de indicadores</t>
  </si>
  <si>
    <t>en 2022 tiene un valor negativo en los costos de compra de energia</t>
  </si>
  <si>
    <t>se realizo un ajuste en el % planta general para calcula AD y AC, se tomo el dato de 2023 y se aplico a 2021 y 2022</t>
  </si>
  <si>
    <t>faltan datos EIA y no estaba en estudio anterior, se excluyo de la muestra de indicadores por valor fuera de rango</t>
  </si>
  <si>
    <t>faltan datos EIA y no estaba en estudio anterior</t>
  </si>
  <si>
    <t>outliers, perdidas de energia altas</t>
  </si>
  <si>
    <t>no hay dato de planta en 2021</t>
  </si>
  <si>
    <t>faltan datos ferc 2021 y 2022</t>
  </si>
  <si>
    <t>se corrigieron perdidas en 2023 por valor fuera de rango</t>
  </si>
  <si>
    <t>se corrigio dato de perdidas de 2023 , se tomo el de 2022 incrementado en lo que crecieron las ventas a usuario finales</t>
  </si>
  <si>
    <t>faltan datos Ferc e EIA desde 2022</t>
  </si>
  <si>
    <t>se saco de la muestra de indicadores por valores fuera de rango</t>
  </si>
  <si>
    <t>faltan datos EIA</t>
  </si>
  <si>
    <t>faltan datos ferc e EIA</t>
  </si>
  <si>
    <t>faltan datos ferc e EIA y no estaba en estudio anterior</t>
  </si>
  <si>
    <t>faltan datos de medidores</t>
  </si>
  <si>
    <t>excluida de indicadores por valores muy fuera de rango en 2023</t>
  </si>
  <si>
    <t>Salario medio por trabajador</t>
  </si>
  <si>
    <t>https://ilostat.ilo.org/topics/wages/#</t>
  </si>
  <si>
    <t>Pais</t>
  </si>
  <si>
    <t>Salario anual</t>
  </si>
  <si>
    <t>Unidad</t>
  </si>
  <si>
    <t>Data Catalogue</t>
  </si>
  <si>
    <t>Estados Unidos</t>
  </si>
  <si>
    <t xml:space="preserve"> USD </t>
  </si>
  <si>
    <t>Average monthly earnings of employee by sex and economic activity I Annual</t>
  </si>
  <si>
    <t>Panamá</t>
  </si>
  <si>
    <t>PIB por cada persona empleada (a $ de PPA constantes de 2017)</t>
  </si>
  <si>
    <t>https://datos.bancomundial.org/indicador/SL.GDP.PCAP.EM.KD?locations=PA</t>
  </si>
  <si>
    <t>PIB</t>
  </si>
  <si>
    <t>PIB per cápita, PPA ($ a precios internacionales constantes de 2017)</t>
  </si>
  <si>
    <t>https://datos.bancomundial.org/indicador/NY.GDP.PCAP.PP.KD?locations=PA</t>
  </si>
  <si>
    <t>PIB per cápita (US$ a precios actuales)</t>
  </si>
  <si>
    <t>https://datos.bancomundial.org/indicador/NY.GDP.PCAP.CD?locations=PA</t>
  </si>
  <si>
    <t>PIB por cada persona empleada (US$ a precios actuales)</t>
  </si>
  <si>
    <t>Concepto</t>
  </si>
  <si>
    <t>País</t>
  </si>
  <si>
    <t>Estudio 
2022-2026</t>
  </si>
  <si>
    <t>PIB por cada persona empleada</t>
  </si>
  <si>
    <t>USD a precios actuales</t>
  </si>
  <si>
    <t>PPP</t>
  </si>
  <si>
    <t>EE.UU.</t>
  </si>
  <si>
    <t>Costo Laboral Relativo</t>
  </si>
  <si>
    <t xml:space="preserve">Tabla de factores de ajuste del Componente Materiales a PPP </t>
  </si>
  <si>
    <t>International Monetary Fund, World Economic Outlook Database, April 2025</t>
  </si>
  <si>
    <t>Units</t>
  </si>
  <si>
    <t>PPP de cada año</t>
  </si>
  <si>
    <t>Balboas per current dollar</t>
  </si>
  <si>
    <t>Participación de Mano de Obra y Materiales 2024</t>
  </si>
  <si>
    <t>Actividad</t>
  </si>
  <si>
    <t>% Mano de Obra</t>
  </si>
  <si>
    <t>% Materiales componente local</t>
  </si>
  <si>
    <t>% Materiales componente importado</t>
  </si>
  <si>
    <t>% Montos indirectos</t>
  </si>
  <si>
    <t>ENSA</t>
  </si>
  <si>
    <t>Distribución</t>
  </si>
  <si>
    <t>Comercialización</t>
  </si>
  <si>
    <t>EDEMET</t>
  </si>
  <si>
    <t>EDECHI</t>
  </si>
  <si>
    <t>Activos totales (Balboas corrientes en Panamá)</t>
  </si>
  <si>
    <t>Activos totales (Balboas JUN/24 en Panamá)</t>
  </si>
  <si>
    <t>Activos totales (USD de JUN/24 en EEUU)</t>
  </si>
  <si>
    <t>Costo de Mano de Obra en Activos totales (Balboas JUN/24 en Panamá)</t>
  </si>
  <si>
    <t>Costo de Mano de Obra en Activos totales (Balboas JUN/24 en EEUU)</t>
  </si>
  <si>
    <t>Costo de Materiales (Componente local) en Activos totales (Balboas JUN/24 en Panamá)</t>
  </si>
  <si>
    <t>Costo de Materiales (Componente local) en Activos totales (Balboas JUN/24 en EEUU)</t>
  </si>
  <si>
    <t>Costo de Materiales (Componente importado) en Activos totales (Balboas JUN/24 en Panamá)</t>
  </si>
  <si>
    <t>Costo de Materiales (Componente importado) en Activos totales (Balboas JUN/24 en EEUU)</t>
  </si>
  <si>
    <t>Participación de la mano de obra en los costos de activos totales (en EEUU)</t>
  </si>
  <si>
    <t>% MO</t>
  </si>
  <si>
    <t>%MAT Local</t>
  </si>
  <si>
    <t>IPC Base Panama</t>
  </si>
  <si>
    <t>IPC a dic 2020 Panama</t>
  </si>
  <si>
    <t>IPM a dic 2020 Panama</t>
  </si>
  <si>
    <t>Aclarar que se ajusto</t>
  </si>
  <si>
    <t>IDRespondent</t>
  </si>
  <si>
    <t>respondent_name</t>
  </si>
  <si>
    <t>Depreciación Acumulada (D+C+AP)</t>
  </si>
  <si>
    <t>Depreciación Anual (D+C+AP)</t>
  </si>
  <si>
    <t>Tiempo medio compra 2021</t>
  </si>
  <si>
    <t>Tiempo medio compra 2022</t>
  </si>
  <si>
    <t>Tiempo medio compra 2023</t>
  </si>
  <si>
    <t>Tiempo medio compra 2024</t>
  </si>
  <si>
    <t>Tiempo medio compra Promedio 2021-2024</t>
  </si>
  <si>
    <t>Fecha media de compra 2021</t>
  </si>
  <si>
    <t>Fecha media de compra 2022</t>
  </si>
  <si>
    <t>Fecha media de compra 2023</t>
  </si>
  <si>
    <t>Fecha media de compra 2024</t>
  </si>
  <si>
    <t>IPM Fecha media de compra</t>
  </si>
  <si>
    <t>Factor Ajuste activos Ditr</t>
  </si>
  <si>
    <t>Factor Ajuste activos Com</t>
  </si>
  <si>
    <t>Activos (Balboas nominales en Panamá)</t>
  </si>
  <si>
    <t>Activos (Balboas JUN/24)</t>
  </si>
  <si>
    <t>Activos (USD de JUN/24 en EEUU)</t>
  </si>
  <si>
    <t>Activos de distribución</t>
  </si>
  <si>
    <t>Activos de comercialización</t>
  </si>
  <si>
    <t>Activos de planta general</t>
  </si>
  <si>
    <t>Activos con funciones de transmisión con tensiones entre 24 a 115 kV</t>
  </si>
  <si>
    <t>% Planta General Distribución</t>
  </si>
  <si>
    <t>% Planta General Comercialización</t>
  </si>
  <si>
    <t>Costos Totales (Balboas nominales en Panamá)</t>
  </si>
  <si>
    <t>Costos Totales (USD de Jun/24 en EEUU)</t>
  </si>
  <si>
    <t>Tipo de Costo</t>
  </si>
  <si>
    <t>Costos de personal</t>
  </si>
  <si>
    <t>Costos de materiales nacionales</t>
  </si>
  <si>
    <t>Costos de materiales importados</t>
  </si>
  <si>
    <t>Costos de servicios de terceros</t>
  </si>
  <si>
    <t>Otros costos</t>
  </si>
  <si>
    <t>Administración</t>
  </si>
  <si>
    <t>Costo totales por actividad (Balboas nominales en Panamá)</t>
  </si>
  <si>
    <t>Costo totales por actividad (Balboas JUN/24)</t>
  </si>
  <si>
    <t>Costo totales por actividad (USD de JUN/24 en EEUU)</t>
  </si>
  <si>
    <t>Tiempo medio compra Promedio 2022-2023</t>
  </si>
  <si>
    <t>CPI Fecha media de compra</t>
  </si>
  <si>
    <t>PPI Fecha media de compra</t>
  </si>
  <si>
    <t>%MO AD</t>
  </si>
  <si>
    <t>%MO AC</t>
  </si>
  <si>
    <t xml:space="preserve">U.S. Department Of Labor                                           </t>
  </si>
  <si>
    <t>Bureau of Labor Statistics</t>
  </si>
  <si>
    <t>CPI-All Urban Consumers (Current Series)</t>
  </si>
  <si>
    <t>Washington, D.C. 20212</t>
  </si>
  <si>
    <t>Series Id:     CUUR0000SA0</t>
  </si>
  <si>
    <t>Mes</t>
  </si>
  <si>
    <t>Mes_Añp</t>
  </si>
  <si>
    <t>CPI_USA</t>
  </si>
  <si>
    <t>%MO</t>
  </si>
  <si>
    <t>%Otros</t>
  </si>
  <si>
    <t>Consumer Price Index</t>
  </si>
  <si>
    <t>Not Seasonally Adjusted</t>
  </si>
  <si>
    <t>Avg.</t>
  </si>
  <si>
    <t>All Urban Consumers - (CPI-U)</t>
  </si>
  <si>
    <t>Series Title:  All items in U.S. city average, all urban consumers, not seasonally adjusted</t>
  </si>
  <si>
    <t>U.S. city average</t>
  </si>
  <si>
    <t>Area:          U.S. city average</t>
  </si>
  <si>
    <t>All items</t>
  </si>
  <si>
    <t>Item:          All items</t>
  </si>
  <si>
    <t>1982-84=100</t>
  </si>
  <si>
    <t>Base Period:   1982-84=100</t>
  </si>
  <si>
    <t>Year</t>
  </si>
  <si>
    <t>Jan.</t>
  </si>
  <si>
    <t>Feb.</t>
  </si>
  <si>
    <t>Mar.</t>
  </si>
  <si>
    <t>Apr.</t>
  </si>
  <si>
    <t>May</t>
  </si>
  <si>
    <t>June</t>
  </si>
  <si>
    <t>July</t>
  </si>
  <si>
    <t>Aug.</t>
  </si>
  <si>
    <t>Sep.</t>
  </si>
  <si>
    <t>Oct.</t>
  </si>
  <si>
    <t>Nov.</t>
  </si>
  <si>
    <t>Dec.</t>
  </si>
  <si>
    <t>Producer Price Index Industry Data</t>
  </si>
  <si>
    <t>Original Data Value</t>
  </si>
  <si>
    <t>Series Id:</t>
  </si>
  <si>
    <t>PCU22112222112243</t>
  </si>
  <si>
    <t>Industry:</t>
  </si>
  <si>
    <t>Electric power distribution</t>
  </si>
  <si>
    <t>Product:</t>
  </si>
  <si>
    <t>Industrial electric power</t>
  </si>
  <si>
    <t>Base Date:</t>
  </si>
  <si>
    <t>199012</t>
  </si>
  <si>
    <t>Years:</t>
  </si>
  <si>
    <t>1958 to 2013</t>
  </si>
  <si>
    <t>Annual</t>
  </si>
  <si>
    <t>Periodo</t>
  </si>
  <si>
    <t>Mes_Año</t>
  </si>
  <si>
    <t>PPI_USA</t>
  </si>
  <si>
    <t>República de Panamá</t>
  </si>
  <si>
    <t>CONTRALORÍA GENERAL DE LA REPÚBLICA</t>
  </si>
  <si>
    <t>Instituto Nacional de Estadística y Censo</t>
  </si>
  <si>
    <t xml:space="preserve">Cuadro 3.  ÍNDICE DE PRECIOS AL POR MAYOR EN LA REPÚBLICA Y VARIACIÓN </t>
  </si>
  <si>
    <t>PORCENTUAL, POR SECTOR: AÑOS 1980-2016</t>
  </si>
  <si>
    <t>Índice de Precios 1987=100 (a)</t>
  </si>
  <si>
    <t>Total</t>
  </si>
  <si>
    <t>Variación</t>
  </si>
  <si>
    <t>Importación</t>
  </si>
  <si>
    <t>Industrial</t>
  </si>
  <si>
    <t>Agropecuario</t>
  </si>
  <si>
    <t>..</t>
  </si>
  <si>
    <t>135.1</t>
  </si>
  <si>
    <t>114.8</t>
  </si>
  <si>
    <t>Serie empalmada con IPC por discontinuación del IPM</t>
  </si>
  <si>
    <t xml:space="preserve">(a)  Las  ponderaciones  utilizadas  para  el  cálculo del Índice  del  sector Importación se basan  en  el </t>
  </si>
  <si>
    <t xml:space="preserve">      valor  CIF  de  las  importaciones  registradas  en  1985;  para el sector Industrial  se utilizó el valor</t>
  </si>
  <si>
    <t xml:space="preserve">      de  las  ventas  de  la  industria  manufacturera en la República, obtenido  a  través de la Encuesta</t>
  </si>
  <si>
    <t xml:space="preserve">      de   la   Industria  Manufacturera  de  1985,  complementado  con  otras  fuentes  y   en  el  sector </t>
  </si>
  <si>
    <t xml:space="preserve">      Agropecuario se utilizó el valor de la producción destinada a la venta en 1985.</t>
  </si>
  <si>
    <t>..   Dato no aplicable al grupo o categoría</t>
  </si>
  <si>
    <t>Cuadro 5. ÍNDICE DE PRECIOS AL CONSUMIDOR NACIONAL URBANO</t>
  </si>
  <si>
    <t>Y PODER ADQUISITIVO DEL BALBOA: AÑOS 2013-24</t>
  </si>
  <si>
    <t>Índice de Precios 2013=100 (a)</t>
  </si>
  <si>
    <t>Poder adquisitivo (en balboas)</t>
  </si>
  <si>
    <t>Año 2021</t>
  </si>
  <si>
    <t xml:space="preserve">Ventas de energía a clientes regulados </t>
  </si>
  <si>
    <t>Codigo</t>
  </si>
  <si>
    <t>P%</t>
  </si>
  <si>
    <t>PA00001</t>
  </si>
  <si>
    <t>PA00002</t>
  </si>
  <si>
    <t>PA00003</t>
  </si>
  <si>
    <t>Año 2022</t>
  </si>
  <si>
    <t>Año 2023</t>
  </si>
  <si>
    <t>Número de clientes - por característica de la zona</t>
  </si>
  <si>
    <t>Urbana</t>
  </si>
  <si>
    <t>Rural</t>
  </si>
  <si>
    <t>Urbano</t>
  </si>
  <si>
    <t>Sub Urbano</t>
  </si>
  <si>
    <t>Rural Disperso</t>
  </si>
  <si>
    <t>Rural Muy Disperso</t>
  </si>
  <si>
    <t>SAIDI global</t>
  </si>
  <si>
    <t>SAIFI global</t>
  </si>
  <si>
    <t>Años promedio</t>
  </si>
  <si>
    <t>Efciencia limite</t>
  </si>
  <si>
    <t>Variables</t>
  </si>
  <si>
    <t>Outputs</t>
  </si>
  <si>
    <t>Imputs</t>
  </si>
  <si>
    <t>seleccionadas</t>
  </si>
  <si>
    <t>Eficiencia</t>
  </si>
  <si>
    <t>Comparadora</t>
  </si>
  <si>
    <t>AD_2021</t>
  </si>
  <si>
    <t>AD_2022</t>
  </si>
  <si>
    <t>AD_2023</t>
  </si>
  <si>
    <t>AC_2021</t>
  </si>
  <si>
    <t>AC_2022</t>
  </si>
  <si>
    <t>AC_2023</t>
  </si>
  <si>
    <t>OMD_2021</t>
  </si>
  <si>
    <t>OMD_2022</t>
  </si>
  <si>
    <t>OMD_2023</t>
  </si>
  <si>
    <t>COM_2021</t>
  </si>
  <si>
    <t>COM_2022</t>
  </si>
  <si>
    <t>COM_2023</t>
  </si>
  <si>
    <t>ADM_2021</t>
  </si>
  <si>
    <t>ADM_2022</t>
  </si>
  <si>
    <t>ADM_2023</t>
  </si>
  <si>
    <t>D_2021</t>
  </si>
  <si>
    <t>D_2022</t>
  </si>
  <si>
    <t>D_2023</t>
  </si>
  <si>
    <t>CL_2021</t>
  </si>
  <si>
    <t>CL_2022</t>
  </si>
  <si>
    <t>CL_2023</t>
  </si>
  <si>
    <t>EP_2021</t>
  </si>
  <si>
    <t>EP_2022</t>
  </si>
  <si>
    <t>EP_2023</t>
  </si>
  <si>
    <t>EV_2021</t>
  </si>
  <si>
    <t>EV_2022</t>
  </si>
  <si>
    <t>EV_2023</t>
  </si>
  <si>
    <t>EI_2021</t>
  </si>
  <si>
    <t>EI_2022</t>
  </si>
  <si>
    <t>EI_2023</t>
  </si>
  <si>
    <t>SAIDICL_2021</t>
  </si>
  <si>
    <t>SAIDICL_2022</t>
  </si>
  <si>
    <t>SAIDICL_2023</t>
  </si>
  <si>
    <t>SAIFICL_2021</t>
  </si>
  <si>
    <t>SAIFICL_2022</t>
  </si>
  <si>
    <t>SAIFICL_2023</t>
  </si>
  <si>
    <t>MINT_2021</t>
  </si>
  <si>
    <t>MINT_2022</t>
  </si>
  <si>
    <t>MINT_2023</t>
  </si>
  <si>
    <t>Limite perdidas</t>
  </si>
  <si>
    <t>Perdidas corregidas</t>
  </si>
  <si>
    <t>Perdidas % 2021</t>
  </si>
  <si>
    <t>Perdidas % 2022</t>
  </si>
  <si>
    <t>Perdidas % 2023</t>
  </si>
  <si>
    <t>Exluida por pedidas superiores al 15 %</t>
  </si>
  <si>
    <t>OM</t>
  </si>
  <si>
    <t>Constante</t>
  </si>
  <si>
    <t>Ln CL</t>
  </si>
  <si>
    <t>Ln D</t>
  </si>
  <si>
    <t>Ln D/CL</t>
  </si>
  <si>
    <t>Ln OMD</t>
  </si>
  <si>
    <t>Ln COM</t>
  </si>
  <si>
    <t>Ln EI</t>
  </si>
  <si>
    <t>Salida del programa Econometrico</t>
  </si>
  <si>
    <t>------------------------------------------------------------------------------------------------------------------</t>
  </si>
  <si>
    <t>©2025 IEE. UNSJ–CONICET-Herramienta de estimación econométrica y análisis estadístico</t>
  </si>
  <si>
    <t>Dependent Variable: LOG(AD)</t>
  </si>
  <si>
    <t>Method: Panel EGLS (Cross-section random effects)</t>
  </si>
  <si>
    <t>Estimator of component variances: Swamy &amp; Arora (equivalente)</t>
  </si>
  <si>
    <t>Cross-sections (empresas): 66   Periods: 2   Obs: 132</t>
  </si>
  <si>
    <t>Parameter   Std. Err.      T-stat    P-value    Lower CI    Upper CI</t>
  </si>
  <si>
    <t>---------------------------------------------------------------------------------</t>
  </si>
  <si>
    <t>const               10.6882      0.5207     20.5256     0.0000      9.6676     11.7088</t>
  </si>
  <si>
    <t>ln_D                 0.2398      0.0778      3.0840     0.0025      0.0874      0.3923</t>
  </si>
  <si>
    <t>ln_CL                0.7133      0.0775      9.2077     0.0000      0.5614      0.8651</t>
  </si>
  <si>
    <t>Effects Specification      S.D.        Rho</t>
  </si>
  <si>
    <t>Cross-section random     0.262447   0.967365</t>
  </si>
  <si>
    <t>Idiosyncratic random     0.048205   0.032635</t>
  </si>
  <si>
    <t>Unweighted Statistics</t>
  </si>
  <si>
    <t>R-squared                 0.958048     Mean dependent var     21.905584</t>
  </si>
  <si>
    <t>Sum squared resid         9.694597    Durbin-Watson stat      0.072578</t>
  </si>
  <si>
    <t>Ecuación ln(RE-GLS): ln_AD = 10.688172 + 0.239843·ln(D) + 0.713253·ln(CL)</t>
  </si>
  <si>
    <t>Ec. Eficiencia: AD = 43834.300603 · D^(0.239843) · CL^(0.713253)</t>
  </si>
  <si>
    <t>Dependent Variable: LOG(AC)</t>
  </si>
  <si>
    <t>const                6.6780      0.4562     14.6382     0.0000      5.7838      7.5721</t>
  </si>
  <si>
    <t>ln_CL                0.9260      0.0347     26.7064     0.0000      0.8581      0.9940</t>
  </si>
  <si>
    <t>Cross-section random     0.342393   0.939790</t>
  </si>
  <si>
    <t>Idiosyncratic random     0.086665   0.060210</t>
  </si>
  <si>
    <t>R-squared                 0.926956     Mean dependent var     18.798690</t>
  </si>
  <si>
    <t>Sum squared resid        16.276122    Durbin-Watson stat      0.080407</t>
  </si>
  <si>
    <t>Ecuación ln(RE-GLS): ln_AC = 6.677960 + 0.926037·ln(CL)</t>
  </si>
  <si>
    <t>Ec. Eficiencia: AC = 794.696610 · CL^(0.926037)</t>
  </si>
  <si>
    <t>Dependent Variable: LOG(OMD)</t>
  </si>
  <si>
    <t>const                7.0512      0.8868      7.9509     0.0000      5.3130      8.7895</t>
  </si>
  <si>
    <t>ln_D                 0.8991      0.0497     18.0934     0.0000      0.8017      0.9965</t>
  </si>
  <si>
    <t>ln_DdivCL           -0.7425      0.1406     -5.2821     0.0000     -1.0180     -0.4670</t>
  </si>
  <si>
    <t>Cross-section random     0.494605   0.932198</t>
  </si>
  <si>
    <t>Idiosyncratic random     0.133391   0.067802</t>
  </si>
  <si>
    <t>R-squared                 0.847194     Mean dependent var     17.998427</t>
  </si>
  <si>
    <t>Sum squared resid        34.397518    Durbin-Watson stat      0.078679</t>
  </si>
  <si>
    <t>Ecuación ln(RE-GLS): ln_OMD = 7.051247 + 0.899135·ln(D) + -0.742462·ln(DdivCL)</t>
  </si>
  <si>
    <t>Ec. Eficiencia: OMD = 1154.297379 · D^(0.899135) · DdivCL^(-0.742462)</t>
  </si>
  <si>
    <t>Dependent Variable: LOG(COM)</t>
  </si>
  <si>
    <t>const                2.1500      0.9196      2.3379     0.0209      0.3476      3.9525</t>
  </si>
  <si>
    <t>ln_CL                0.6089      0.0937      6.5006     0.0000      0.4253      0.7924</t>
  </si>
  <si>
    <t>ln_OMD               0.4239      0.0869      4.8767     0.0000      0.2535      0.5942</t>
  </si>
  <si>
    <t>Cross-section random     0.552045   0.955732</t>
  </si>
  <si>
    <t>Idiosyncratic random     0.118809   0.044268</t>
  </si>
  <si>
    <t>R-squared                 0.855006     Mean dependent var     17.748504</t>
  </si>
  <si>
    <t>Sum squared resid        42.883296    Durbin-Watson stat      0.052924</t>
  </si>
  <si>
    <t>Ecuación ln(RE-GLS): ln_COM = 2.150047 + 0.608866·ln(CL) + 0.423877·ln(OMD)</t>
  </si>
  <si>
    <t>Ec. Eficiencia: COM = 8.585260 · CL^(0.608866) · OMD^(0.423877)</t>
  </si>
  <si>
    <t>Dependent Variable: LOG(ADM)</t>
  </si>
  <si>
    <t>const                1.0764      1.2077      0.8913     0.3744     -1.2906      3.4434</t>
  </si>
  <si>
    <t>ln_OMD               0.3605      0.1407      2.5623     0.0115      0.0847      0.6362</t>
  </si>
  <si>
    <t>ln_COM               0.5489      0.1242      4.4203     0.0000      0.3055      0.7923</t>
  </si>
  <si>
    <t>Cross-section random     0.696468   0.860800</t>
  </si>
  <si>
    <t>Idiosyncratic random     0.280072   0.139200</t>
  </si>
  <si>
    <t>R-squared                 0.756612     Mean dependent var     17.306790</t>
  </si>
  <si>
    <t>Sum squared resid        71.601923    Durbin-Watson stat      0.150498</t>
  </si>
  <si>
    <t>Ecuación ln(RE-GLS): ln_ADM = 1.076394 + 0.360464·ln(OMD) + 0.548926·ln(COM)</t>
  </si>
  <si>
    <t>Ec. Eficiencia: ADM = 2.934080 · OMD^(0.360464) · COM^(0.548926)</t>
  </si>
  <si>
    <t>Dependent Variable: LOG(EP)</t>
  </si>
  <si>
    <t>Cross-sections (empresas): 6   Periods: 2   Obs: 12</t>
  </si>
  <si>
    <t>const               -2.4091      0.3314     -7.2698     0.0000     -3.0586     -1.7596</t>
  </si>
  <si>
    <t>ln_EI                0.9868      0.0195     50.6654     0.0000      0.9486      1.0249</t>
  </si>
  <si>
    <t>Cross-section random     0.000000   0.000000</t>
  </si>
  <si>
    <t>Idiosyncratic random     0.136632   1.000000</t>
  </si>
  <si>
    <t>R-squared                 0.996119     Mean dependent var     14.295845</t>
  </si>
  <si>
    <t>Sum squared resid         0.132641    Durbin-Watson stat      1.554446</t>
  </si>
  <si>
    <t>Ecuación ln(RE-GLS): ln_EP = -2.409105 + 0.986755·ln(EI)</t>
  </si>
  <si>
    <t>Ec. Eficiencia: EP = 0.089896 · EI^(0.986755)</t>
  </si>
  <si>
    <r>
      <t>R</t>
    </r>
    <r>
      <rPr>
        <b/>
        <vertAlign val="superscript"/>
        <sz val="12"/>
        <color theme="1"/>
        <rFont val="Calibri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</si>
</sst>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#,##0;\-#,##0;&quot;-&quot;"/>
    <numFmt numFmtId="165" formatCode="#,##0.00;\-#,##0.00;&quot;-&quot;"/>
    <numFmt numFmtId="166" formatCode="d/mm/yyyy"/>
    <numFmt numFmtId="167" formatCode="#,##0.000;\-#,##0.000;&quot;-&quot;"/>
    <numFmt numFmtId="168" formatCode="0.0%"/>
    <numFmt numFmtId="169" formatCode="#,##0.000"/>
    <numFmt numFmtId="170" formatCode="0.000"/>
    <numFmt numFmtId="171" formatCode="_-* #,##0.00_-;\-* #,##0.00_-;_-* &quot;-&quot;??_-;_-@"/>
    <numFmt numFmtId="172" formatCode="_-* #,##0\ _€_-;\-* #,##0\ _€_-;_-* &quot;-&quot;??\ _€_-;_-@"/>
    <numFmt numFmtId="173" formatCode="d/m/yyyy"/>
    <numFmt numFmtId="174" formatCode="0.000000"/>
    <numFmt numFmtId="175" formatCode="_ * #,##0.00_ ;_ * \-#,##0.00_ ;_ * &quot;-&quot;??_ ;_ @_ "/>
    <numFmt numFmtId="176" formatCode="_ * #,##0.0_ ;_ * \-#,##0.0_ ;_ * &quot;-&quot;??_ ;_ @_ "/>
    <numFmt numFmtId="177" formatCode="#,##0.0"/>
    <numFmt numFmtId="178" formatCode="#0.0"/>
    <numFmt numFmtId="179" formatCode="_-* #,##0.00\ _€_-;\-* #,##0.00\ _€_-;_-* &quot;-&quot;??\ _€_-;_-@"/>
    <numFmt numFmtId="180" formatCode="0.0"/>
    <numFmt numFmtId="181" formatCode="0.0_)"/>
    <numFmt numFmtId="182" formatCode="m\.yyyy"/>
    <numFmt numFmtId="183" formatCode="0.0000"/>
  </numFmts>
  <fonts count="28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sz val="11"/>
      <color rgb="FFFF0000"/>
      <name val="Calibri"/>
    </font>
    <font>
      <b/>
      <sz val="11"/>
      <color theme="1"/>
      <name val="Calibri"/>
    </font>
    <font>
      <sz val="11"/>
      <color rgb="FFFF00FF"/>
      <name val="Calibri"/>
    </font>
    <font>
      <sz val="11"/>
      <color rgb="FFFF0000"/>
      <name val="Calibri"/>
    </font>
    <font>
      <sz val="10"/>
      <color theme="1"/>
      <name val="Arial"/>
    </font>
    <font>
      <sz val="11"/>
      <color theme="1"/>
      <name val="Calibri"/>
      <scheme val="minor"/>
    </font>
    <font>
      <sz val="11"/>
      <name val="Calibri"/>
    </font>
    <font>
      <sz val="8"/>
      <color theme="1"/>
      <name val="Calibri"/>
    </font>
    <font>
      <b/>
      <sz val="8"/>
      <color theme="1"/>
      <name val="Calibri"/>
    </font>
    <font>
      <sz val="8"/>
      <color rgb="FF000000"/>
      <name val="Calibri"/>
    </font>
    <font>
      <sz val="8"/>
      <color rgb="FFFF0000"/>
      <name val="Calibri"/>
    </font>
    <font>
      <sz val="8"/>
      <color theme="4"/>
      <name val="Calibri"/>
    </font>
    <font>
      <sz val="12"/>
      <color rgb="FF001D35"/>
      <name val="Courier New"/>
    </font>
    <font>
      <b/>
      <sz val="8"/>
      <color rgb="FFFF0000"/>
      <name val="Calibri"/>
    </font>
    <font>
      <sz val="8"/>
      <color rgb="FF4472C4"/>
      <name val="Calibri"/>
    </font>
    <font>
      <sz val="11"/>
      <color theme="1"/>
      <name val="Arimo"/>
    </font>
    <font>
      <b/>
      <sz val="12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0"/>
      <color rgb="FF000000"/>
      <name val="Arial"/>
    </font>
    <font>
      <b/>
      <sz val="11"/>
      <color theme="1"/>
      <name val="Calibri"/>
      <scheme val="minor"/>
    </font>
    <font>
      <sz val="11"/>
      <color rgb="FF000000"/>
      <name val="Calibri"/>
    </font>
    <font>
      <b/>
      <vertAlign val="superscript"/>
      <sz val="12"/>
      <color theme="1"/>
      <name val="Calibri"/>
      <family val="2"/>
    </font>
    <font>
      <b/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theme="7"/>
        <bgColor theme="7"/>
      </patternFill>
    </fill>
    <fill>
      <patternFill patternType="solid">
        <fgColor theme="5"/>
        <bgColor theme="5"/>
      </patternFill>
    </fill>
    <fill>
      <patternFill patternType="solid">
        <fgColor rgb="FFFFFFFF"/>
        <bgColor rgb="FFFFFFFF"/>
      </patternFill>
    </fill>
    <fill>
      <patternFill patternType="solid">
        <fgColor rgb="FFB4C6E7"/>
        <bgColor rgb="FFB4C6E7"/>
      </patternFill>
    </fill>
    <fill>
      <patternFill patternType="solid">
        <fgColor rgb="FFE5E5E5"/>
        <bgColor rgb="FFE5E5E5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</fills>
  <borders count="5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350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top"/>
    </xf>
    <xf numFmtId="164" fontId="2" fillId="0" borderId="0" xfId="0" applyNumberFormat="1" applyFont="1"/>
    <xf numFmtId="0" fontId="2" fillId="0" borderId="0" xfId="0" applyFont="1"/>
    <xf numFmtId="4" fontId="1" fillId="0" borderId="0" xfId="0" applyNumberFormat="1" applyFont="1" applyAlignment="1">
      <alignment horizontal="center" vertical="top"/>
    </xf>
    <xf numFmtId="0" fontId="3" fillId="2" borderId="0" xfId="0" applyFont="1" applyFill="1"/>
    <xf numFmtId="3" fontId="2" fillId="2" borderId="0" xfId="0" applyNumberFormat="1" applyFont="1" applyFill="1"/>
    <xf numFmtId="9" fontId="2" fillId="2" borderId="0" xfId="0" applyNumberFormat="1" applyFont="1" applyFill="1"/>
    <xf numFmtId="9" fontId="2" fillId="0" borderId="0" xfId="0" applyNumberFormat="1" applyFont="1"/>
    <xf numFmtId="0" fontId="3" fillId="3" borderId="0" xfId="0" applyFont="1" applyFill="1"/>
    <xf numFmtId="9" fontId="2" fillId="3" borderId="0" xfId="0" applyNumberFormat="1" applyFont="1" applyFill="1"/>
    <xf numFmtId="164" fontId="3" fillId="0" borderId="0" xfId="0" applyNumberFormat="1" applyFont="1"/>
    <xf numFmtId="9" fontId="3" fillId="0" borderId="0" xfId="0" applyNumberFormat="1" applyFont="1"/>
    <xf numFmtId="10" fontId="3" fillId="0" borderId="0" xfId="0" applyNumberFormat="1" applyFont="1"/>
    <xf numFmtId="164" fontId="4" fillId="0" borderId="0" xfId="0" applyNumberFormat="1" applyFont="1"/>
    <xf numFmtId="165" fontId="3" fillId="0" borderId="0" xfId="0" applyNumberFormat="1" applyFont="1"/>
    <xf numFmtId="165" fontId="3" fillId="0" borderId="4" xfId="0" applyNumberFormat="1" applyFont="1" applyBorder="1"/>
    <xf numFmtId="166" fontId="3" fillId="0" borderId="5" xfId="0" applyNumberFormat="1" applyFont="1" applyBorder="1"/>
    <xf numFmtId="165" fontId="3" fillId="0" borderId="5" xfId="0" applyNumberFormat="1" applyFont="1" applyBorder="1"/>
    <xf numFmtId="10" fontId="2" fillId="0" borderId="0" xfId="0" applyNumberFormat="1" applyFont="1"/>
    <xf numFmtId="0" fontId="1" fillId="0" borderId="0" xfId="0" applyFont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 wrapText="1"/>
    </xf>
    <xf numFmtId="0" fontId="2" fillId="3" borderId="3" xfId="0" applyFont="1" applyFill="1" applyBorder="1"/>
    <xf numFmtId="4" fontId="2" fillId="0" borderId="0" xfId="0" applyNumberFormat="1" applyFont="1"/>
    <xf numFmtId="3" fontId="2" fillId="0" borderId="0" xfId="0" applyNumberFormat="1" applyFont="1"/>
    <xf numFmtId="3" fontId="2" fillId="3" borderId="0" xfId="0" applyNumberFormat="1" applyFont="1" applyFill="1"/>
    <xf numFmtId="3" fontId="1" fillId="3" borderId="0" xfId="0" applyNumberFormat="1" applyFont="1" applyFill="1" applyAlignment="1">
      <alignment horizontal="center"/>
    </xf>
    <xf numFmtId="165" fontId="2" fillId="0" borderId="0" xfId="0" applyNumberFormat="1" applyFont="1"/>
    <xf numFmtId="165" fontId="1" fillId="0" borderId="0" xfId="0" applyNumberFormat="1" applyFont="1"/>
    <xf numFmtId="165" fontId="5" fillId="0" borderId="0" xfId="0" applyNumberFormat="1" applyFont="1"/>
    <xf numFmtId="10" fontId="1" fillId="0" borderId="0" xfId="0" applyNumberFormat="1" applyFont="1"/>
    <xf numFmtId="164" fontId="1" fillId="0" borderId="0" xfId="0" applyNumberFormat="1" applyFont="1"/>
    <xf numFmtId="3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165" fontId="2" fillId="3" borderId="3" xfId="0" applyNumberFormat="1" applyFont="1" applyFill="1" applyBorder="1" applyAlignment="1">
      <alignment horizontal="right"/>
    </xf>
    <xf numFmtId="0" fontId="3" fillId="0" borderId="0" xfId="0" applyFont="1"/>
    <xf numFmtId="3" fontId="2" fillId="0" borderId="0" xfId="0" applyNumberFormat="1" applyFont="1" applyAlignment="1">
      <alignment horizontal="left"/>
    </xf>
    <xf numFmtId="164" fontId="6" fillId="0" borderId="0" xfId="0" applyNumberFormat="1" applyFont="1"/>
    <xf numFmtId="164" fontId="7" fillId="0" borderId="0" xfId="0" applyNumberFormat="1" applyFont="1"/>
    <xf numFmtId="4" fontId="6" fillId="0" borderId="0" xfId="0" applyNumberFormat="1" applyFont="1"/>
    <xf numFmtId="165" fontId="7" fillId="0" borderId="0" xfId="0" applyNumberFormat="1" applyFont="1"/>
    <xf numFmtId="0" fontId="7" fillId="0" borderId="0" xfId="0" applyFont="1"/>
    <xf numFmtId="165" fontId="7" fillId="3" borderId="3" xfId="0" applyNumberFormat="1" applyFont="1" applyFill="1" applyBorder="1"/>
    <xf numFmtId="4" fontId="7" fillId="0" borderId="0" xfId="0" applyNumberFormat="1" applyFont="1"/>
    <xf numFmtId="0" fontId="4" fillId="0" borderId="0" xfId="0" applyFont="1"/>
    <xf numFmtId="3" fontId="7" fillId="0" borderId="0" xfId="0" applyNumberFormat="1" applyFont="1"/>
    <xf numFmtId="0" fontId="4" fillId="3" borderId="0" xfId="0" applyFont="1" applyFill="1"/>
    <xf numFmtId="10" fontId="4" fillId="0" borderId="0" xfId="0" applyNumberFormat="1" applyFont="1"/>
    <xf numFmtId="165" fontId="2" fillId="3" borderId="3" xfId="0" applyNumberFormat="1" applyFont="1" applyFill="1" applyBorder="1"/>
    <xf numFmtId="0" fontId="2" fillId="0" borderId="7" xfId="0" applyFont="1" applyBorder="1"/>
    <xf numFmtId="3" fontId="2" fillId="0" borderId="7" xfId="0" applyNumberFormat="1" applyFont="1" applyBorder="1"/>
    <xf numFmtId="164" fontId="2" fillId="0" borderId="7" xfId="0" applyNumberFormat="1" applyFont="1" applyBorder="1"/>
    <xf numFmtId="0" fontId="1" fillId="0" borderId="1" xfId="0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2" fillId="4" borderId="3" xfId="0" applyFont="1" applyFill="1" applyBorder="1"/>
    <xf numFmtId="0" fontId="1" fillId="0" borderId="0" xfId="0" applyFont="1" applyAlignment="1">
      <alignment horizontal="center" vertical="top" wrapText="1"/>
    </xf>
    <xf numFmtId="4" fontId="1" fillId="0" borderId="0" xfId="0" applyNumberFormat="1" applyFont="1" applyAlignment="1">
      <alignment horizontal="left"/>
    </xf>
    <xf numFmtId="165" fontId="6" fillId="0" borderId="0" xfId="0" applyNumberFormat="1" applyFont="1"/>
    <xf numFmtId="0" fontId="2" fillId="5" borderId="3" xfId="0" applyFont="1" applyFill="1" applyBorder="1"/>
    <xf numFmtId="10" fontId="1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0" fontId="3" fillId="0" borderId="0" xfId="0" applyNumberFormat="1" applyFont="1" applyAlignment="1">
      <alignment horizontal="right"/>
    </xf>
    <xf numFmtId="3" fontId="3" fillId="0" borderId="0" xfId="0" applyNumberFormat="1" applyFont="1"/>
    <xf numFmtId="0" fontId="1" fillId="0" borderId="8" xfId="0" applyFont="1" applyBorder="1" applyAlignment="1">
      <alignment horizontal="center" vertical="top"/>
    </xf>
    <xf numFmtId="165" fontId="1" fillId="0" borderId="8" xfId="0" applyNumberFormat="1" applyFont="1" applyBorder="1"/>
    <xf numFmtId="0" fontId="1" fillId="0" borderId="8" xfId="0" applyFont="1" applyBorder="1"/>
    <xf numFmtId="9" fontId="1" fillId="0" borderId="8" xfId="0" applyNumberFormat="1" applyFont="1" applyBorder="1" applyAlignment="1">
      <alignment horizontal="right" vertical="top"/>
    </xf>
    <xf numFmtId="0" fontId="2" fillId="0" borderId="0" xfId="0" applyFont="1" applyAlignment="1">
      <alignment wrapText="1"/>
    </xf>
    <xf numFmtId="167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 wrapText="1"/>
    </xf>
    <xf numFmtId="0" fontId="8" fillId="0" borderId="0" xfId="0" applyFont="1" applyAlignment="1">
      <alignment wrapText="1"/>
    </xf>
    <xf numFmtId="2" fontId="8" fillId="0" borderId="0" xfId="0" applyNumberFormat="1" applyFont="1" applyAlignment="1">
      <alignment wrapText="1"/>
    </xf>
    <xf numFmtId="0" fontId="2" fillId="0" borderId="0" xfId="0" applyFont="1" applyAlignment="1">
      <alignment horizontal="center" wrapText="1"/>
    </xf>
    <xf numFmtId="165" fontId="2" fillId="0" borderId="0" xfId="0" applyNumberFormat="1" applyFont="1" applyAlignment="1">
      <alignment wrapText="1"/>
    </xf>
    <xf numFmtId="9" fontId="8" fillId="0" borderId="0" xfId="0" applyNumberFormat="1" applyFont="1" applyAlignment="1">
      <alignment horizontal="right" wrapText="1"/>
    </xf>
    <xf numFmtId="9" fontId="2" fillId="0" borderId="0" xfId="0" applyNumberFormat="1" applyFont="1" applyAlignment="1">
      <alignment horizontal="right"/>
    </xf>
    <xf numFmtId="0" fontId="1" fillId="0" borderId="8" xfId="0" applyFont="1" applyBorder="1" applyAlignment="1">
      <alignment wrapText="1"/>
    </xf>
    <xf numFmtId="0" fontId="2" fillId="0" borderId="8" xfId="0" applyFont="1" applyBorder="1"/>
    <xf numFmtId="0" fontId="1" fillId="0" borderId="8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167" fontId="2" fillId="0" borderId="0" xfId="0" applyNumberFormat="1" applyFont="1"/>
    <xf numFmtId="0" fontId="5" fillId="0" borderId="0" xfId="0" applyFont="1"/>
    <xf numFmtId="4" fontId="5" fillId="0" borderId="0" xfId="0" applyNumberFormat="1" applyFont="1"/>
    <xf numFmtId="0" fontId="9" fillId="2" borderId="0" xfId="0" applyFont="1" applyFill="1"/>
    <xf numFmtId="4" fontId="3" fillId="0" borderId="0" xfId="0" applyNumberFormat="1" applyFont="1"/>
    <xf numFmtId="2" fontId="3" fillId="0" borderId="0" xfId="0" applyNumberFormat="1" applyFont="1"/>
    <xf numFmtId="0" fontId="6" fillId="0" borderId="0" xfId="0" applyFont="1"/>
    <xf numFmtId="0" fontId="6" fillId="6" borderId="3" xfId="0" applyFont="1" applyFill="1" applyBorder="1"/>
    <xf numFmtId="0" fontId="2" fillId="6" borderId="3" xfId="0" applyFont="1" applyFill="1" applyBorder="1"/>
    <xf numFmtId="0" fontId="2" fillId="0" borderId="3" xfId="0" applyFont="1" applyBorder="1"/>
    <xf numFmtId="0" fontId="1" fillId="0" borderId="1" xfId="0" applyFont="1" applyBorder="1" applyAlignment="1">
      <alignment horizontal="center" vertical="center"/>
    </xf>
    <xf numFmtId="0" fontId="2" fillId="0" borderId="12" xfId="0" applyFont="1" applyBorder="1"/>
    <xf numFmtId="3" fontId="2" fillId="0" borderId="12" xfId="0" applyNumberFormat="1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3" fontId="2" fillId="0" borderId="8" xfId="0" applyNumberFormat="1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/>
    </xf>
    <xf numFmtId="3" fontId="2" fillId="0" borderId="12" xfId="0" applyNumberFormat="1" applyFont="1" applyBorder="1"/>
    <xf numFmtId="0" fontId="2" fillId="0" borderId="8" xfId="0" applyFont="1" applyBorder="1" applyAlignment="1">
      <alignment horizontal="center"/>
    </xf>
    <xf numFmtId="3" fontId="2" fillId="0" borderId="8" xfId="0" applyNumberFormat="1" applyFont="1" applyBorder="1"/>
    <xf numFmtId="169" fontId="2" fillId="0" borderId="8" xfId="0" applyNumberFormat="1" applyFont="1" applyBorder="1" applyAlignment="1">
      <alignment horizontal="right"/>
    </xf>
    <xf numFmtId="170" fontId="1" fillId="0" borderId="8" xfId="0" applyNumberFormat="1" applyFont="1" applyBorder="1"/>
    <xf numFmtId="0" fontId="2" fillId="0" borderId="12" xfId="0" applyFont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169" fontId="2" fillId="0" borderId="12" xfId="0" applyNumberFormat="1" applyFont="1" applyBorder="1" applyAlignment="1">
      <alignment horizontal="right" vertical="center"/>
    </xf>
    <xf numFmtId="0" fontId="2" fillId="0" borderId="12" xfId="0" applyFont="1" applyBorder="1" applyAlignment="1">
      <alignment horizontal="right" vertical="center"/>
    </xf>
    <xf numFmtId="0" fontId="11" fillId="0" borderId="0" xfId="0" applyFont="1" applyAlignment="1">
      <alignment horizontal="left"/>
    </xf>
    <xf numFmtId="0" fontId="11" fillId="0" borderId="0" xfId="0" applyFont="1"/>
    <xf numFmtId="171" fontId="11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1" fillId="0" borderId="12" xfId="0" applyFont="1" applyBorder="1"/>
    <xf numFmtId="9" fontId="11" fillId="0" borderId="12" xfId="0" applyNumberFormat="1" applyFont="1" applyBorder="1"/>
    <xf numFmtId="9" fontId="11" fillId="0" borderId="15" xfId="0" applyNumberFormat="1" applyFont="1" applyBorder="1"/>
    <xf numFmtId="0" fontId="11" fillId="0" borderId="8" xfId="0" applyFont="1" applyBorder="1"/>
    <xf numFmtId="9" fontId="11" fillId="0" borderId="8" xfId="0" applyNumberFormat="1" applyFont="1" applyBorder="1"/>
    <xf numFmtId="9" fontId="11" fillId="0" borderId="17" xfId="0" applyNumberFormat="1" applyFont="1" applyBorder="1"/>
    <xf numFmtId="0" fontId="11" fillId="0" borderId="18" xfId="0" applyFont="1" applyBorder="1"/>
    <xf numFmtId="9" fontId="11" fillId="0" borderId="18" xfId="0" applyNumberFormat="1" applyFont="1" applyBorder="1"/>
    <xf numFmtId="9" fontId="11" fillId="0" borderId="19" xfId="0" applyNumberFormat="1" applyFont="1" applyBorder="1"/>
    <xf numFmtId="0" fontId="11" fillId="0" borderId="0" xfId="0" applyFont="1" applyAlignment="1">
      <alignment horizontal="center" vertical="center"/>
    </xf>
    <xf numFmtId="9" fontId="11" fillId="0" borderId="0" xfId="0" applyNumberFormat="1" applyFont="1"/>
    <xf numFmtId="0" fontId="1" fillId="0" borderId="0" xfId="0" applyFont="1" applyAlignment="1">
      <alignment horizontal="center" vertical="center"/>
    </xf>
    <xf numFmtId="172" fontId="11" fillId="0" borderId="12" xfId="0" applyNumberFormat="1" applyFont="1" applyBorder="1" applyAlignment="1">
      <alignment vertical="center"/>
    </xf>
    <xf numFmtId="172" fontId="11" fillId="0" borderId="12" xfId="0" applyNumberFormat="1" applyFont="1" applyBorder="1"/>
    <xf numFmtId="172" fontId="11" fillId="0" borderId="15" xfId="0" applyNumberFormat="1" applyFont="1" applyBorder="1"/>
    <xf numFmtId="172" fontId="11" fillId="0" borderId="15" xfId="0" applyNumberFormat="1" applyFont="1" applyBorder="1" applyAlignment="1">
      <alignment vertical="center"/>
    </xf>
    <xf numFmtId="172" fontId="11" fillId="0" borderId="0" xfId="0" applyNumberFormat="1" applyFont="1" applyAlignment="1">
      <alignment vertical="center"/>
    </xf>
    <xf numFmtId="0" fontId="11" fillId="0" borderId="20" xfId="0" applyFont="1" applyBorder="1"/>
    <xf numFmtId="172" fontId="11" fillId="0" borderId="21" xfId="0" applyNumberFormat="1" applyFont="1" applyBorder="1" applyAlignment="1">
      <alignment vertical="center"/>
    </xf>
    <xf numFmtId="172" fontId="11" fillId="0" borderId="8" xfId="0" applyNumberFormat="1" applyFont="1" applyBorder="1"/>
    <xf numFmtId="172" fontId="11" fillId="0" borderId="17" xfId="0" applyNumberFormat="1" applyFont="1" applyBorder="1"/>
    <xf numFmtId="172" fontId="11" fillId="0" borderId="0" xfId="0" applyNumberFormat="1" applyFont="1"/>
    <xf numFmtId="0" fontId="11" fillId="0" borderId="4" xfId="0" applyFont="1" applyBorder="1"/>
    <xf numFmtId="172" fontId="11" fillId="0" borderId="22" xfId="0" applyNumberFormat="1" applyFont="1" applyBorder="1" applyAlignment="1">
      <alignment vertical="center"/>
    </xf>
    <xf numFmtId="172" fontId="11" fillId="0" borderId="18" xfId="0" applyNumberFormat="1" applyFont="1" applyBorder="1" applyAlignment="1">
      <alignment vertical="center"/>
    </xf>
    <xf numFmtId="172" fontId="11" fillId="0" borderId="19" xfId="0" applyNumberFormat="1" applyFont="1" applyBorder="1" applyAlignment="1">
      <alignment vertical="center"/>
    </xf>
    <xf numFmtId="172" fontId="11" fillId="0" borderId="18" xfId="0" applyNumberFormat="1" applyFont="1" applyBorder="1"/>
    <xf numFmtId="172" fontId="11" fillId="0" borderId="19" xfId="0" applyNumberFormat="1" applyFont="1" applyBorder="1"/>
    <xf numFmtId="0" fontId="11" fillId="0" borderId="23" xfId="0" applyFont="1" applyBorder="1"/>
    <xf numFmtId="9" fontId="11" fillId="0" borderId="21" xfId="0" applyNumberFormat="1" applyFont="1" applyBorder="1" applyAlignment="1">
      <alignment vertical="center"/>
    </xf>
    <xf numFmtId="9" fontId="11" fillId="0" borderId="12" xfId="0" applyNumberFormat="1" applyFont="1" applyBorder="1" applyAlignment="1">
      <alignment vertical="center"/>
    </xf>
    <xf numFmtId="9" fontId="11" fillId="0" borderId="15" xfId="0" applyNumberFormat="1" applyFont="1" applyBorder="1" applyAlignment="1">
      <alignment vertical="center"/>
    </xf>
    <xf numFmtId="9" fontId="11" fillId="0" borderId="24" xfId="0" applyNumberFormat="1" applyFont="1" applyBorder="1" applyAlignment="1">
      <alignment vertical="center"/>
    </xf>
    <xf numFmtId="172" fontId="11" fillId="0" borderId="24" xfId="0" applyNumberFormat="1" applyFont="1" applyBorder="1" applyAlignment="1">
      <alignment vertical="center"/>
    </xf>
    <xf numFmtId="9" fontId="11" fillId="0" borderId="22" xfId="0" applyNumberFormat="1" applyFont="1" applyBorder="1" applyAlignment="1">
      <alignment vertical="center"/>
    </xf>
    <xf numFmtId="9" fontId="11" fillId="0" borderId="18" xfId="0" applyNumberFormat="1" applyFont="1" applyBorder="1" applyAlignment="1">
      <alignment vertical="center"/>
    </xf>
    <xf numFmtId="9" fontId="11" fillId="0" borderId="19" xfId="0" applyNumberFormat="1" applyFont="1" applyBorder="1" applyAlignment="1">
      <alignment vertical="center"/>
    </xf>
    <xf numFmtId="9" fontId="11" fillId="0" borderId="25" xfId="0" applyNumberFormat="1" applyFont="1" applyBorder="1" applyAlignment="1">
      <alignment vertical="center"/>
    </xf>
    <xf numFmtId="172" fontId="11" fillId="0" borderId="25" xfId="0" applyNumberFormat="1" applyFont="1" applyBorder="1" applyAlignment="1">
      <alignment vertical="center"/>
    </xf>
    <xf numFmtId="9" fontId="11" fillId="0" borderId="26" xfId="0" applyNumberFormat="1" applyFont="1" applyBorder="1" applyAlignment="1">
      <alignment vertical="center"/>
    </xf>
    <xf numFmtId="172" fontId="11" fillId="0" borderId="26" xfId="0" applyNumberFormat="1" applyFont="1" applyBorder="1" applyAlignment="1">
      <alignment vertical="center"/>
    </xf>
    <xf numFmtId="0" fontId="11" fillId="0" borderId="27" xfId="0" applyFont="1" applyBorder="1"/>
    <xf numFmtId="168" fontId="12" fillId="8" borderId="28" xfId="0" applyNumberFormat="1" applyFont="1" applyFill="1" applyBorder="1"/>
    <xf numFmtId="0" fontId="12" fillId="8" borderId="8" xfId="0" applyFont="1" applyFill="1" applyBorder="1"/>
    <xf numFmtId="168" fontId="12" fillId="8" borderId="8" xfId="0" applyNumberFormat="1" applyFont="1" applyFill="1" applyBorder="1"/>
    <xf numFmtId="0" fontId="13" fillId="9" borderId="8" xfId="0" applyFont="1" applyFill="1" applyBorder="1" applyAlignment="1">
      <alignment horizontal="center" vertical="center"/>
    </xf>
    <xf numFmtId="173" fontId="11" fillId="10" borderId="8" xfId="0" applyNumberFormat="1" applyFont="1" applyFill="1" applyBorder="1" applyAlignment="1">
      <alignment horizontal="center" vertical="center" wrapText="1"/>
    </xf>
    <xf numFmtId="171" fontId="11" fillId="9" borderId="8" xfId="0" applyNumberFormat="1" applyFont="1" applyFill="1" applyBorder="1" applyAlignment="1">
      <alignment horizontal="center" vertical="center" wrapText="1"/>
    </xf>
    <xf numFmtId="171" fontId="14" fillId="9" borderId="8" xfId="0" applyNumberFormat="1" applyFont="1" applyFill="1" applyBorder="1" applyAlignment="1">
      <alignment horizontal="center" vertical="center" wrapText="1"/>
    </xf>
    <xf numFmtId="171" fontId="11" fillId="0" borderId="0" xfId="0" applyNumberFormat="1" applyFont="1"/>
    <xf numFmtId="0" fontId="9" fillId="0" borderId="0" xfId="0" applyFont="1"/>
    <xf numFmtId="0" fontId="11" fillId="10" borderId="8" xfId="0" applyFont="1" applyFill="1" applyBorder="1" applyAlignment="1">
      <alignment horizontal="center" vertical="center" wrapText="1"/>
    </xf>
    <xf numFmtId="173" fontId="11" fillId="11" borderId="8" xfId="0" applyNumberFormat="1" applyFont="1" applyFill="1" applyBorder="1" applyAlignment="1">
      <alignment horizontal="center" vertical="center" wrapText="1"/>
    </xf>
    <xf numFmtId="173" fontId="11" fillId="11" borderId="8" xfId="0" applyNumberFormat="1" applyFont="1" applyFill="1" applyBorder="1" applyAlignment="1">
      <alignment horizontal="center" wrapText="1"/>
    </xf>
    <xf numFmtId="0" fontId="11" fillId="11" borderId="8" xfId="0" applyFont="1" applyFill="1" applyBorder="1" applyAlignment="1">
      <alignment horizontal="center" vertical="center" wrapText="1"/>
    </xf>
    <xf numFmtId="0" fontId="11" fillId="11" borderId="8" xfId="0" applyFont="1" applyFill="1" applyBorder="1" applyAlignment="1">
      <alignment horizontal="center" wrapText="1"/>
    </xf>
    <xf numFmtId="0" fontId="13" fillId="9" borderId="8" xfId="0" applyFont="1" applyFill="1" applyBorder="1" applyAlignment="1">
      <alignment horizontal="center" vertical="center" wrapText="1"/>
    </xf>
    <xf numFmtId="0" fontId="13" fillId="9" borderId="29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171" fontId="11" fillId="11" borderId="8" xfId="0" applyNumberFormat="1" applyFont="1" applyFill="1" applyBorder="1" applyAlignment="1">
      <alignment horizontal="center" vertical="center" wrapText="1"/>
    </xf>
    <xf numFmtId="171" fontId="11" fillId="11" borderId="8" xfId="0" applyNumberFormat="1" applyFont="1" applyFill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9" borderId="30" xfId="0" applyFont="1" applyFill="1" applyBorder="1"/>
    <xf numFmtId="172" fontId="11" fillId="9" borderId="30" xfId="0" applyNumberFormat="1" applyFont="1" applyFill="1" applyBorder="1"/>
    <xf numFmtId="171" fontId="11" fillId="10" borderId="30" xfId="0" applyNumberFormat="1" applyFont="1" applyFill="1" applyBorder="1" applyAlignment="1">
      <alignment horizontal="center"/>
    </xf>
    <xf numFmtId="171" fontId="15" fillId="9" borderId="30" xfId="0" applyNumberFormat="1" applyFont="1" applyFill="1" applyBorder="1" applyAlignment="1">
      <alignment horizontal="center"/>
    </xf>
    <xf numFmtId="173" fontId="11" fillId="11" borderId="30" xfId="0" applyNumberFormat="1" applyFont="1" applyFill="1" applyBorder="1" applyAlignment="1">
      <alignment horizontal="center"/>
    </xf>
    <xf numFmtId="2" fontId="11" fillId="11" borderId="30" xfId="0" applyNumberFormat="1" applyFont="1" applyFill="1" applyBorder="1" applyAlignment="1">
      <alignment horizontal="center"/>
    </xf>
    <xf numFmtId="2" fontId="2" fillId="0" borderId="0" xfId="0" applyNumberFormat="1" applyFont="1"/>
    <xf numFmtId="174" fontId="2" fillId="0" borderId="0" xfId="0" applyNumberFormat="1" applyFont="1"/>
    <xf numFmtId="172" fontId="11" fillId="0" borderId="27" xfId="0" applyNumberFormat="1" applyFont="1" applyBorder="1" applyAlignment="1">
      <alignment vertical="center"/>
    </xf>
    <xf numFmtId="172" fontId="11" fillId="0" borderId="32" xfId="0" applyNumberFormat="1" applyFont="1" applyBorder="1" applyAlignment="1">
      <alignment vertical="center"/>
    </xf>
    <xf numFmtId="10" fontId="11" fillId="0" borderId="27" xfId="0" applyNumberFormat="1" applyFont="1" applyBorder="1" applyAlignment="1">
      <alignment vertical="center"/>
    </xf>
    <xf numFmtId="10" fontId="11" fillId="0" borderId="32" xfId="0" applyNumberFormat="1" applyFont="1" applyBorder="1" applyAlignment="1">
      <alignment vertical="center"/>
    </xf>
    <xf numFmtId="10" fontId="11" fillId="0" borderId="0" xfId="0" applyNumberFormat="1" applyFont="1" applyAlignment="1">
      <alignment vertical="center"/>
    </xf>
    <xf numFmtId="172" fontId="11" fillId="0" borderId="12" xfId="0" applyNumberFormat="1" applyFont="1" applyBorder="1" applyAlignment="1">
      <alignment horizontal="right" vertical="center"/>
    </xf>
    <xf numFmtId="172" fontId="11" fillId="0" borderId="15" xfId="0" applyNumberFormat="1" applyFont="1" applyBorder="1" applyAlignment="1">
      <alignment horizontal="right" vertical="center"/>
    </xf>
    <xf numFmtId="172" fontId="11" fillId="0" borderId="21" xfId="0" applyNumberFormat="1" applyFont="1" applyBorder="1" applyAlignment="1">
      <alignment horizontal="right" vertical="center"/>
    </xf>
    <xf numFmtId="172" fontId="11" fillId="0" borderId="27" xfId="0" applyNumberFormat="1" applyFont="1" applyBorder="1" applyAlignment="1">
      <alignment horizontal="right" vertical="center"/>
    </xf>
    <xf numFmtId="172" fontId="11" fillId="0" borderId="32" xfId="0" applyNumberFormat="1" applyFont="1" applyBorder="1" applyAlignment="1">
      <alignment horizontal="right" vertical="center"/>
    </xf>
    <xf numFmtId="0" fontId="11" fillId="0" borderId="35" xfId="0" applyFont="1" applyBorder="1"/>
    <xf numFmtId="172" fontId="11" fillId="0" borderId="36" xfId="0" applyNumberFormat="1" applyFont="1" applyBorder="1" applyAlignment="1">
      <alignment horizontal="right" vertical="center"/>
    </xf>
    <xf numFmtId="172" fontId="11" fillId="0" borderId="8" xfId="0" applyNumberFormat="1" applyFont="1" applyBorder="1" applyAlignment="1">
      <alignment horizontal="right" vertical="center"/>
    </xf>
    <xf numFmtId="172" fontId="11" fillId="0" borderId="17" xfId="0" applyNumberFormat="1" applyFont="1" applyBorder="1" applyAlignment="1">
      <alignment horizontal="right" vertical="center"/>
    </xf>
    <xf numFmtId="172" fontId="11" fillId="0" borderId="27" xfId="0" applyNumberFormat="1" applyFont="1" applyBorder="1"/>
    <xf numFmtId="172" fontId="11" fillId="0" borderId="32" xfId="0" applyNumberFormat="1" applyFont="1" applyBorder="1"/>
    <xf numFmtId="172" fontId="11" fillId="0" borderId="22" xfId="0" applyNumberFormat="1" applyFont="1" applyBorder="1" applyAlignment="1">
      <alignment horizontal="right" vertical="center"/>
    </xf>
    <xf numFmtId="172" fontId="11" fillId="0" borderId="18" xfId="0" applyNumberFormat="1" applyFont="1" applyBorder="1" applyAlignment="1">
      <alignment horizontal="right" vertical="center"/>
    </xf>
    <xf numFmtId="172" fontId="11" fillId="0" borderId="19" xfId="0" applyNumberFormat="1" applyFont="1" applyBorder="1" applyAlignment="1">
      <alignment horizontal="right" vertical="center"/>
    </xf>
    <xf numFmtId="172" fontId="11" fillId="0" borderId="12" xfId="0" applyNumberFormat="1" applyFont="1" applyBorder="1" applyAlignment="1">
      <alignment horizontal="right"/>
    </xf>
    <xf numFmtId="172" fontId="11" fillId="0" borderId="15" xfId="0" applyNumberFormat="1" applyFont="1" applyBorder="1" applyAlignment="1">
      <alignment horizontal="right"/>
    </xf>
    <xf numFmtId="164" fontId="11" fillId="0" borderId="27" xfId="0" applyNumberFormat="1" applyFont="1" applyBorder="1" applyAlignment="1">
      <alignment horizontal="right" vertical="center"/>
    </xf>
    <xf numFmtId="164" fontId="11" fillId="0" borderId="27" xfId="0" applyNumberFormat="1" applyFont="1" applyBorder="1" applyAlignment="1">
      <alignment horizontal="right"/>
    </xf>
    <xf numFmtId="164" fontId="11" fillId="0" borderId="32" xfId="0" applyNumberFormat="1" applyFont="1" applyBorder="1" applyAlignment="1">
      <alignment horizontal="right"/>
    </xf>
    <xf numFmtId="0" fontId="16" fillId="0" borderId="0" xfId="0" applyFont="1"/>
    <xf numFmtId="172" fontId="11" fillId="0" borderId="27" xfId="0" applyNumberFormat="1" applyFont="1" applyBorder="1" applyAlignment="1">
      <alignment horizontal="right"/>
    </xf>
    <xf numFmtId="172" fontId="11" fillId="0" borderId="32" xfId="0" applyNumberFormat="1" applyFont="1" applyBorder="1" applyAlignment="1">
      <alignment horizontal="right"/>
    </xf>
    <xf numFmtId="164" fontId="11" fillId="0" borderId="8" xfId="0" applyNumberFormat="1" applyFont="1" applyBorder="1" applyAlignment="1">
      <alignment horizontal="right"/>
    </xf>
    <xf numFmtId="164" fontId="11" fillId="0" borderId="17" xfId="0" applyNumberFormat="1" applyFont="1" applyBorder="1" applyAlignment="1">
      <alignment horizontal="right"/>
    </xf>
    <xf numFmtId="164" fontId="11" fillId="0" borderId="39" xfId="0" applyNumberFormat="1" applyFont="1" applyBorder="1" applyAlignment="1">
      <alignment horizontal="right"/>
    </xf>
    <xf numFmtId="172" fontId="11" fillId="0" borderId="40" xfId="0" applyNumberFormat="1" applyFont="1" applyBorder="1" applyAlignment="1">
      <alignment horizontal="right" vertical="center"/>
    </xf>
    <xf numFmtId="164" fontId="11" fillId="0" borderId="18" xfId="0" applyNumberFormat="1" applyFont="1" applyBorder="1" applyAlignment="1">
      <alignment horizontal="right"/>
    </xf>
    <xf numFmtId="164" fontId="11" fillId="0" borderId="19" xfId="0" applyNumberFormat="1" applyFont="1" applyBorder="1" applyAlignment="1">
      <alignment horizontal="right"/>
    </xf>
    <xf numFmtId="172" fontId="11" fillId="0" borderId="34" xfId="0" applyNumberFormat="1" applyFont="1" applyBorder="1"/>
    <xf numFmtId="172" fontId="11" fillId="0" borderId="41" xfId="0" applyNumberFormat="1" applyFont="1" applyBorder="1"/>
    <xf numFmtId="0" fontId="11" fillId="9" borderId="8" xfId="0" applyFont="1" applyFill="1" applyBorder="1" applyAlignment="1">
      <alignment horizontal="center"/>
    </xf>
    <xf numFmtId="173" fontId="11" fillId="10" borderId="8" xfId="0" applyNumberFormat="1" applyFont="1" applyFill="1" applyBorder="1" applyAlignment="1">
      <alignment horizontal="center" wrapText="1"/>
    </xf>
    <xf numFmtId="171" fontId="11" fillId="9" borderId="8" xfId="0" applyNumberFormat="1" applyFont="1" applyFill="1" applyBorder="1" applyAlignment="1">
      <alignment horizontal="center" wrapText="1"/>
    </xf>
    <xf numFmtId="171" fontId="2" fillId="0" borderId="0" xfId="0" applyNumberFormat="1" applyFont="1"/>
    <xf numFmtId="0" fontId="2" fillId="9" borderId="3" xfId="0" applyFont="1" applyFill="1" applyBorder="1"/>
    <xf numFmtId="0" fontId="11" fillId="10" borderId="8" xfId="0" applyFont="1" applyFill="1" applyBorder="1" applyAlignment="1">
      <alignment horizontal="center" wrapText="1"/>
    </xf>
    <xf numFmtId="0" fontId="17" fillId="11" borderId="8" xfId="0" applyFont="1" applyFill="1" applyBorder="1" applyAlignment="1">
      <alignment horizontal="center" wrapText="1"/>
    </xf>
    <xf numFmtId="0" fontId="11" fillId="9" borderId="8" xfId="0" applyFont="1" applyFill="1" applyBorder="1" applyAlignment="1">
      <alignment horizontal="center" wrapText="1"/>
    </xf>
    <xf numFmtId="0" fontId="11" fillId="9" borderId="29" xfId="0" applyFont="1" applyFill="1" applyBorder="1" applyAlignment="1">
      <alignment horizontal="center" wrapText="1"/>
    </xf>
    <xf numFmtId="171" fontId="17" fillId="11" borderId="8" xfId="0" applyNumberFormat="1" applyFont="1" applyFill="1" applyBorder="1" applyAlignment="1">
      <alignment horizontal="center" wrapText="1"/>
    </xf>
    <xf numFmtId="3" fontId="2" fillId="9" borderId="30" xfId="0" applyNumberFormat="1" applyFont="1" applyFill="1" applyBorder="1"/>
    <xf numFmtId="172" fontId="11" fillId="9" borderId="30" xfId="0" applyNumberFormat="1" applyFont="1" applyFill="1" applyBorder="1" applyAlignment="1">
      <alignment horizontal="right"/>
    </xf>
    <xf numFmtId="171" fontId="18" fillId="9" borderId="30" xfId="0" applyNumberFormat="1" applyFont="1" applyFill="1" applyBorder="1" applyAlignment="1">
      <alignment horizontal="center"/>
    </xf>
    <xf numFmtId="9" fontId="11" fillId="11" borderId="30" xfId="0" applyNumberFormat="1" applyFont="1" applyFill="1" applyBorder="1" applyAlignment="1">
      <alignment horizontal="center"/>
    </xf>
    <xf numFmtId="171" fontId="11" fillId="11" borderId="30" xfId="0" applyNumberFormat="1" applyFont="1" applyFill="1" applyBorder="1" applyAlignment="1">
      <alignment horizontal="center"/>
    </xf>
    <xf numFmtId="172" fontId="2" fillId="9" borderId="30" xfId="0" applyNumberFormat="1" applyFont="1" applyFill="1" applyBorder="1"/>
    <xf numFmtId="172" fontId="11" fillId="9" borderId="30" xfId="0" applyNumberFormat="1" applyFont="1" applyFill="1" applyBorder="1" applyAlignment="1">
      <alignment horizontal="center"/>
    </xf>
    <xf numFmtId="171" fontId="14" fillId="9" borderId="30" xfId="0" applyNumberFormat="1" applyFont="1" applyFill="1" applyBorder="1" applyAlignment="1">
      <alignment horizontal="center"/>
    </xf>
    <xf numFmtId="0" fontId="1" fillId="0" borderId="0" xfId="0" applyFont="1"/>
    <xf numFmtId="175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0" fontId="19" fillId="0" borderId="0" xfId="0" applyFont="1" applyAlignment="1">
      <alignment horizontal="center"/>
    </xf>
    <xf numFmtId="176" fontId="2" fillId="0" borderId="0" xfId="0" applyNumberFormat="1" applyFont="1" applyAlignment="1">
      <alignment horizontal="right"/>
    </xf>
    <xf numFmtId="176" fontId="2" fillId="0" borderId="0" xfId="0" applyNumberFormat="1" applyFont="1"/>
    <xf numFmtId="177" fontId="2" fillId="0" borderId="0" xfId="0" applyNumberFormat="1" applyFont="1" applyAlignment="1">
      <alignment horizontal="right"/>
    </xf>
    <xf numFmtId="0" fontId="21" fillId="0" borderId="0" xfId="0" applyFont="1" applyAlignment="1">
      <alignment vertical="top" wrapText="1"/>
    </xf>
    <xf numFmtId="0" fontId="22" fillId="0" borderId="0" xfId="0" applyFont="1"/>
    <xf numFmtId="0" fontId="21" fillId="0" borderId="42" xfId="0" applyFont="1" applyBorder="1" applyAlignment="1">
      <alignment horizontal="center" wrapText="1"/>
    </xf>
    <xf numFmtId="0" fontId="21" fillId="0" borderId="0" xfId="0" applyFont="1"/>
    <xf numFmtId="178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179" fontId="2" fillId="0" borderId="0" xfId="0" applyNumberFormat="1" applyFont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5" xfId="0" applyFont="1" applyBorder="1"/>
    <xf numFmtId="0" fontId="2" fillId="10" borderId="46" xfId="0" applyFont="1" applyFill="1" applyBorder="1"/>
    <xf numFmtId="180" fontId="22" fillId="0" borderId="0" xfId="0" applyNumberFormat="1" applyFont="1" applyAlignment="1">
      <alignment horizontal="right"/>
    </xf>
    <xf numFmtId="180" fontId="2" fillId="0" borderId="0" xfId="0" applyNumberFormat="1" applyFont="1" applyAlignment="1">
      <alignment horizontal="right"/>
    </xf>
    <xf numFmtId="170" fontId="2" fillId="0" borderId="0" xfId="0" applyNumberFormat="1" applyFont="1"/>
    <xf numFmtId="0" fontId="8" fillId="0" borderId="0" xfId="0" applyFont="1"/>
    <xf numFmtId="0" fontId="8" fillId="0" borderId="8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51" xfId="0" applyFont="1" applyBorder="1"/>
    <xf numFmtId="181" fontId="23" fillId="0" borderId="34" xfId="0" applyNumberFormat="1" applyFont="1" applyBorder="1" applyAlignment="1">
      <alignment horizontal="right"/>
    </xf>
    <xf numFmtId="181" fontId="23" fillId="0" borderId="34" xfId="0" applyNumberFormat="1" applyFont="1" applyBorder="1"/>
    <xf numFmtId="180" fontId="8" fillId="0" borderId="51" xfId="0" applyNumberFormat="1" applyFont="1" applyBorder="1"/>
    <xf numFmtId="180" fontId="8" fillId="0" borderId="0" xfId="0" applyNumberFormat="1" applyFont="1"/>
    <xf numFmtId="180" fontId="8" fillId="0" borderId="34" xfId="0" applyNumberFormat="1" applyFont="1" applyBorder="1"/>
    <xf numFmtId="0" fontId="8" fillId="0" borderId="34" xfId="0" applyFont="1" applyBorder="1"/>
    <xf numFmtId="180" fontId="8" fillId="0" borderId="39" xfId="0" applyNumberFormat="1" applyFont="1" applyBorder="1"/>
    <xf numFmtId="180" fontId="8" fillId="0" borderId="34" xfId="0" applyNumberFormat="1" applyFont="1" applyBorder="1" applyAlignment="1">
      <alignment horizontal="right"/>
    </xf>
    <xf numFmtId="0" fontId="8" fillId="0" borderId="52" xfId="0" applyFont="1" applyBorder="1"/>
    <xf numFmtId="181" fontId="23" fillId="0" borderId="38" xfId="0" applyNumberFormat="1" applyFont="1" applyBorder="1"/>
    <xf numFmtId="180" fontId="8" fillId="0" borderId="38" xfId="0" applyNumberFormat="1" applyFont="1" applyBorder="1"/>
    <xf numFmtId="0" fontId="8" fillId="0" borderId="38" xfId="0" applyFont="1" applyBorder="1"/>
    <xf numFmtId="180" fontId="8" fillId="0" borderId="53" xfId="0" applyNumberFormat="1" applyFont="1" applyBorder="1"/>
    <xf numFmtId="0" fontId="8" fillId="0" borderId="47" xfId="0" applyFont="1" applyBorder="1"/>
    <xf numFmtId="180" fontId="8" fillId="0" borderId="33" xfId="0" applyNumberFormat="1" applyFont="1" applyBorder="1"/>
    <xf numFmtId="181" fontId="23" fillId="0" borderId="33" xfId="0" applyNumberFormat="1" applyFont="1" applyBorder="1"/>
    <xf numFmtId="0" fontId="8" fillId="0" borderId="33" xfId="0" applyFont="1" applyBorder="1"/>
    <xf numFmtId="180" fontId="8" fillId="0" borderId="48" xfId="0" applyNumberFormat="1" applyFont="1" applyBorder="1"/>
    <xf numFmtId="181" fontId="23" fillId="0" borderId="0" xfId="0" applyNumberFormat="1" applyFont="1"/>
    <xf numFmtId="2" fontId="8" fillId="0" borderId="34" xfId="0" applyNumberFormat="1" applyFont="1" applyBorder="1"/>
    <xf numFmtId="10" fontId="23" fillId="0" borderId="34" xfId="0" applyNumberFormat="1" applyFont="1" applyBorder="1"/>
    <xf numFmtId="10" fontId="23" fillId="0" borderId="38" xfId="0" applyNumberFormat="1" applyFont="1" applyBorder="1"/>
    <xf numFmtId="2" fontId="8" fillId="0" borderId="38" xfId="0" applyNumberFormat="1" applyFont="1" applyBorder="1"/>
    <xf numFmtId="3" fontId="3" fillId="2" borderId="0" xfId="0" applyNumberFormat="1" applyFont="1" applyFill="1"/>
    <xf numFmtId="164" fontId="3" fillId="2" borderId="0" xfId="0" applyNumberFormat="1" applyFont="1" applyFill="1"/>
    <xf numFmtId="3" fontId="3" fillId="0" borderId="0" xfId="0" applyNumberFormat="1" applyFont="1" applyAlignment="1">
      <alignment horizontal="right"/>
    </xf>
    <xf numFmtId="172" fontId="3" fillId="0" borderId="0" xfId="0" applyNumberFormat="1" applyFont="1"/>
    <xf numFmtId="0" fontId="24" fillId="0" borderId="0" xfId="0" applyFont="1"/>
    <xf numFmtId="170" fontId="24" fillId="2" borderId="0" xfId="0" applyNumberFormat="1" applyFont="1" applyFill="1"/>
    <xf numFmtId="0" fontId="24" fillId="2" borderId="0" xfId="0" applyFont="1" applyFill="1"/>
    <xf numFmtId="0" fontId="5" fillId="12" borderId="0" xfId="0" applyFont="1" applyFill="1"/>
    <xf numFmtId="0" fontId="24" fillId="12" borderId="0" xfId="0" applyFont="1" applyFill="1"/>
    <xf numFmtId="0" fontId="5" fillId="13" borderId="0" xfId="0" applyFont="1" applyFill="1"/>
    <xf numFmtId="0" fontId="9" fillId="13" borderId="0" xfId="0" applyFont="1" applyFill="1"/>
    <xf numFmtId="170" fontId="9" fillId="0" borderId="0" xfId="0" applyNumberFormat="1" applyFont="1"/>
    <xf numFmtId="0" fontId="1" fillId="0" borderId="11" xfId="0" applyFont="1" applyBorder="1" applyAlignment="1">
      <alignment horizontal="center" vertical="top" wrapText="1"/>
    </xf>
    <xf numFmtId="170" fontId="5" fillId="0" borderId="0" xfId="0" applyNumberFormat="1" applyFont="1"/>
    <xf numFmtId="1" fontId="5" fillId="0" borderId="0" xfId="0" applyNumberFormat="1" applyFont="1"/>
    <xf numFmtId="1" fontId="3" fillId="0" borderId="0" xfId="0" applyNumberFormat="1" applyFont="1"/>
    <xf numFmtId="170" fontId="3" fillId="0" borderId="0" xfId="0" applyNumberFormat="1" applyFont="1"/>
    <xf numFmtId="0" fontId="1" fillId="0" borderId="9" xfId="0" applyFont="1" applyBorder="1" applyAlignment="1">
      <alignment horizontal="center" vertical="top" wrapText="1"/>
    </xf>
    <xf numFmtId="0" fontId="5" fillId="0" borderId="8" xfId="0" applyFont="1" applyBorder="1"/>
    <xf numFmtId="10" fontId="24" fillId="0" borderId="0" xfId="0" applyNumberFormat="1" applyFont="1"/>
    <xf numFmtId="10" fontId="9" fillId="0" borderId="0" xfId="0" applyNumberFormat="1" applyFont="1"/>
    <xf numFmtId="9" fontId="9" fillId="0" borderId="0" xfId="0" applyNumberFormat="1" applyFont="1"/>
    <xf numFmtId="1" fontId="2" fillId="0" borderId="0" xfId="0" applyNumberFormat="1" applyFont="1"/>
    <xf numFmtId="1" fontId="1" fillId="2" borderId="0" xfId="0" applyNumberFormat="1" applyFont="1" applyFill="1"/>
    <xf numFmtId="170" fontId="2" fillId="0" borderId="0" xfId="0" applyNumberFormat="1" applyFont="1" applyAlignment="1">
      <alignment horizontal="right"/>
    </xf>
    <xf numFmtId="1" fontId="1" fillId="0" borderId="0" xfId="0" applyNumberFormat="1" applyFont="1"/>
    <xf numFmtId="0" fontId="25" fillId="0" borderId="0" xfId="0" applyFont="1"/>
    <xf numFmtId="182" fontId="2" fillId="0" borderId="0" xfId="0" applyNumberFormat="1" applyFont="1"/>
    <xf numFmtId="1" fontId="25" fillId="0" borderId="0" xfId="0" applyNumberFormat="1" applyFont="1"/>
    <xf numFmtId="0" fontId="1" fillId="7" borderId="9" xfId="0" applyFont="1" applyFill="1" applyBorder="1" applyAlignment="1">
      <alignment horizontal="center"/>
    </xf>
    <xf numFmtId="0" fontId="10" fillId="0" borderId="10" xfId="0" applyFont="1" applyBorder="1"/>
    <xf numFmtId="0" fontId="10" fillId="0" borderId="11" xfId="0" applyFont="1" applyBorder="1"/>
    <xf numFmtId="0" fontId="11" fillId="0" borderId="14" xfId="0" applyFont="1" applyBorder="1" applyAlignment="1">
      <alignment horizontal="center" vertical="center"/>
    </xf>
    <xf numFmtId="0" fontId="10" fillId="0" borderId="16" xfId="0" applyFont="1" applyBorder="1"/>
    <xf numFmtId="0" fontId="10" fillId="0" borderId="31" xfId="0" applyFont="1" applyBorder="1"/>
    <xf numFmtId="0" fontId="11" fillId="0" borderId="33" xfId="0" applyFont="1" applyBorder="1" applyAlignment="1">
      <alignment horizontal="center" vertical="center" wrapText="1"/>
    </xf>
    <xf numFmtId="0" fontId="10" fillId="0" borderId="34" xfId="0" applyFont="1" applyBorder="1"/>
    <xf numFmtId="0" fontId="10" fillId="0" borderId="27" xfId="0" applyFont="1" applyBorder="1"/>
    <xf numFmtId="0" fontId="11" fillId="0" borderId="37" xfId="0" applyFont="1" applyBorder="1" applyAlignment="1">
      <alignment horizontal="center" vertical="center"/>
    </xf>
    <xf numFmtId="0" fontId="10" fillId="0" borderId="38" xfId="0" applyFont="1" applyBorder="1"/>
    <xf numFmtId="0" fontId="2" fillId="0" borderId="0" xfId="0" applyFont="1"/>
    <xf numFmtId="0" fontId="0" fillId="0" borderId="0" xfId="0"/>
    <xf numFmtId="0" fontId="20" fillId="0" borderId="0" xfId="0" applyFont="1"/>
    <xf numFmtId="0" fontId="22" fillId="0" borderId="0" xfId="0" applyFont="1" applyAlignment="1">
      <alignment vertical="top" wrapText="1"/>
    </xf>
    <xf numFmtId="0" fontId="22" fillId="0" borderId="0" xfId="0" applyFont="1"/>
    <xf numFmtId="0" fontId="8" fillId="0" borderId="0" xfId="0" applyFont="1" applyAlignment="1">
      <alignment horizontal="center"/>
    </xf>
    <xf numFmtId="0" fontId="8" fillId="0" borderId="47" xfId="0" applyFont="1" applyBorder="1" applyAlignment="1">
      <alignment horizontal="center" vertical="center"/>
    </xf>
    <xf numFmtId="0" fontId="10" fillId="0" borderId="50" xfId="0" applyFont="1" applyBorder="1"/>
    <xf numFmtId="0" fontId="8" fillId="0" borderId="48" xfId="0" applyFont="1" applyBorder="1" applyAlignment="1">
      <alignment horizontal="center" vertical="center" wrapText="1"/>
    </xf>
    <xf numFmtId="0" fontId="10" fillId="0" borderId="49" xfId="0" applyFont="1" applyBorder="1"/>
    <xf numFmtId="0" fontId="25" fillId="0" borderId="0" xfId="0" applyFont="1"/>
    <xf numFmtId="183" fontId="2" fillId="0" borderId="0" xfId="0" applyNumberFormat="1" applyFont="1" applyAlignment="1">
      <alignment horizontal="right"/>
    </xf>
    <xf numFmtId="183" fontId="2" fillId="0" borderId="0" xfId="0" applyNumberFormat="1" applyFont="1"/>
    <xf numFmtId="1" fontId="27" fillId="0" borderId="0" xfId="0" applyNumberFormat="1" applyFont="1"/>
  </cellXfs>
  <cellStyles count="1">
    <cellStyle name="Normal" xfId="0" builtinId="0"/>
  </cellStyles>
  <dxfs count="13"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36</xdr:row>
      <xdr:rowOff>57150</xdr:rowOff>
    </xdr:from>
    <xdr:ext cx="9486900" cy="3533775"/>
    <xdr:pic>
      <xdr:nvPicPr>
        <xdr:cNvPr id="182378846" name="Chart1" title="Gráfico">
          <a:extLst>
            <a:ext uri="{FF2B5EF4-FFF2-40B4-BE49-F238E27FC236}">
              <a16:creationId xmlns:a16="http://schemas.microsoft.com/office/drawing/2014/main" id="{00000000-0008-0000-0700-00005EE1DE0A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64</xdr:row>
      <xdr:rowOff>114300</xdr:rowOff>
    </xdr:from>
    <xdr:ext cx="9544050" cy="3533775"/>
    <xdr:pic>
      <xdr:nvPicPr>
        <xdr:cNvPr id="479856834" name="Chart2" title="Gráfico">
          <a:extLst>
            <a:ext uri="{FF2B5EF4-FFF2-40B4-BE49-F238E27FC236}">
              <a16:creationId xmlns:a16="http://schemas.microsoft.com/office/drawing/2014/main" id="{00000000-0008-0000-0700-0000C2089A1C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92</xdr:row>
      <xdr:rowOff>171450</xdr:rowOff>
    </xdr:from>
    <xdr:ext cx="9544050" cy="3533775"/>
    <xdr:pic>
      <xdr:nvPicPr>
        <xdr:cNvPr id="1326129575" name="Chart3" title="Gráfico">
          <a:extLst>
            <a:ext uri="{FF2B5EF4-FFF2-40B4-BE49-F238E27FC236}">
              <a16:creationId xmlns:a16="http://schemas.microsoft.com/office/drawing/2014/main" id="{00000000-0008-0000-0700-0000A7210B4F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120</xdr:row>
      <xdr:rowOff>161925</xdr:rowOff>
    </xdr:from>
    <xdr:ext cx="9620250" cy="3533775"/>
    <xdr:pic>
      <xdr:nvPicPr>
        <xdr:cNvPr id="46278460" name="Chart4" title="Gráfico">
          <a:extLst>
            <a:ext uri="{FF2B5EF4-FFF2-40B4-BE49-F238E27FC236}">
              <a16:creationId xmlns:a16="http://schemas.microsoft.com/office/drawing/2014/main" id="{00000000-0008-0000-0700-00003C27C202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</xdr:row>
      <xdr:rowOff>38100</xdr:rowOff>
    </xdr:from>
    <xdr:ext cx="9544050" cy="3533775"/>
    <xdr:pic>
      <xdr:nvPicPr>
        <xdr:cNvPr id="1767571424" name="Chart5" title="Gráfico">
          <a:extLst>
            <a:ext uri="{FF2B5EF4-FFF2-40B4-BE49-F238E27FC236}">
              <a16:creationId xmlns:a16="http://schemas.microsoft.com/office/drawing/2014/main" id="{00000000-0008-0000-0700-0000E0FF5A69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Chart="1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NwEurkFWVvyqSVglvf7K2WSnIlOMaprg/ASEP%20Comparadoras%202025/IEE%20interno/Documentos%20importantes%2022-26/procesamiento_BD_2015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es"/>
      <sheetName val="Resultados"/>
      <sheetName val="Tablas y Grafico Muestra"/>
      <sheetName val="Panel de Control"/>
      <sheetName val="Vinculo campos"/>
      <sheetName val="Vinculo Empresas"/>
      <sheetName val="CLR"/>
      <sheetName val="%MO_Panama"/>
      <sheetName val="Costos"/>
      <sheetName val="BDPanama17-20 (Balboas Hist.)"/>
      <sheetName val="Tiempo_med_compra (Panama)"/>
      <sheetName val="SalariosOyM (Panama)"/>
      <sheetName val="BDPanama17-20 (Balboas jun20)"/>
      <sheetName val="BDPanama15-20 (USD jun20)"/>
      <sheetName val="Estimacion de Activos 2019"/>
      <sheetName val="BDFERC17-20"/>
      <sheetName val="BD´"/>
      <sheetName val="BD"/>
      <sheetName val="Respondent_ID"/>
      <sheetName val="Analisis de Muestra"/>
      <sheetName val="Criterios Exclusión"/>
      <sheetName val="Exclusión"/>
      <sheetName val="SalariosOyM"/>
      <sheetName val="Tiempo_med_compra"/>
      <sheetName val="Parametros"/>
      <sheetName val="BD Ajust."/>
      <sheetName val="1°Indic."/>
      <sheetName val="2°Indic."/>
      <sheetName val="3°Indic."/>
      <sheetName val="4°Indic."/>
      <sheetName val="5°Indic."/>
      <sheetName val="IPC Panama"/>
      <sheetName val="IPM Panama"/>
      <sheetName val="CPI USA"/>
      <sheetName val="PPI USA"/>
      <sheetName val="Vari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T421"/>
  <sheetViews>
    <sheetView workbookViewId="0">
      <pane xSplit="2" ySplit="2" topLeftCell="DC3" activePane="bottomRight" state="frozen"/>
      <selection pane="topRight" activeCell="C1" sqref="C1"/>
      <selection pane="bottomLeft" activeCell="A3" sqref="A3"/>
      <selection pane="bottomRight" activeCell="Y1" sqref="Y1"/>
    </sheetView>
  </sheetViews>
  <sheetFormatPr baseColWidth="10" defaultColWidth="14.453125" defaultRowHeight="15" customHeight="1"/>
  <cols>
    <col min="1" max="1" width="9" customWidth="1"/>
    <col min="2" max="2" width="43.7265625" customWidth="1"/>
    <col min="3" max="3" width="27.453125" bestFit="1" customWidth="1"/>
    <col min="4" max="5" width="11.453125" customWidth="1"/>
    <col min="6" max="6" width="12.1796875" bestFit="1" customWidth="1"/>
    <col min="7" max="7" width="14.26953125" bestFit="1" customWidth="1"/>
    <col min="8" max="8" width="16.54296875" customWidth="1"/>
    <col min="9" max="10" width="11.453125" customWidth="1"/>
    <col min="11" max="11" width="17" customWidth="1"/>
    <col min="12" max="29" width="11.453125" customWidth="1"/>
    <col min="30" max="30" width="12.1796875" bestFit="1" customWidth="1"/>
    <col min="31" max="31" width="11.453125" customWidth="1"/>
    <col min="32" max="32" width="13.1796875" bestFit="1" customWidth="1"/>
    <col min="33" max="48" width="11.453125" customWidth="1"/>
    <col min="49" max="52" width="12.1796875" bestFit="1" customWidth="1"/>
    <col min="53" max="53" width="10.90625" bestFit="1" customWidth="1"/>
    <col min="54" max="55" width="13.1796875" bestFit="1" customWidth="1"/>
    <col min="56" max="56" width="12.1796875" bestFit="1" customWidth="1"/>
    <col min="57" max="57" width="15.26953125" customWidth="1"/>
    <col min="59" max="68" width="11.453125" customWidth="1"/>
    <col min="69" max="69" width="12.1796875" bestFit="1" customWidth="1"/>
    <col min="70" max="70" width="11.453125" customWidth="1"/>
    <col min="71" max="71" width="14.7265625" bestFit="1" customWidth="1"/>
    <col min="72" max="72" width="6.54296875" customWidth="1"/>
    <col min="75" max="75" width="13.08984375" customWidth="1"/>
    <col min="77" max="77" width="14.26953125" customWidth="1"/>
    <col min="78" max="78" width="13.26953125" customWidth="1"/>
    <col min="79" max="79" width="22.7265625" customWidth="1"/>
    <col min="82" max="82" width="13.26953125" customWidth="1"/>
    <col min="83" max="83" width="11.453125" customWidth="1"/>
    <col min="84" max="84" width="6.54296875" customWidth="1"/>
    <col min="85" max="85" width="8.08984375" customWidth="1"/>
    <col min="86" max="88" width="11.453125" customWidth="1"/>
    <col min="90" max="95" width="7.26953125" customWidth="1"/>
    <col min="96" max="96" width="7" customWidth="1"/>
    <col min="97" max="97" width="10.26953125" customWidth="1"/>
    <col min="98" max="98" width="7" customWidth="1"/>
    <col min="102" max="102" width="10.453125" customWidth="1"/>
    <col min="103" max="103" width="9.54296875" customWidth="1"/>
    <col min="111" max="111" width="6.26953125" customWidth="1"/>
    <col min="130" max="130" width="7.26953125" customWidth="1"/>
  </cols>
  <sheetData>
    <row r="1" spans="1:150" ht="116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/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4"/>
      <c r="BT1" s="5"/>
      <c r="BU1" s="6"/>
      <c r="BV1" s="6"/>
      <c r="BW1" s="6"/>
      <c r="BX1" s="6"/>
      <c r="BY1" s="6"/>
      <c r="BZ1" s="6"/>
      <c r="CA1" s="6"/>
      <c r="CB1" s="6"/>
      <c r="CC1" s="6"/>
      <c r="CD1" s="7"/>
      <c r="CE1" s="7"/>
      <c r="CF1" s="5"/>
      <c r="CG1" s="8" t="s">
        <v>69</v>
      </c>
      <c r="CH1" s="8"/>
      <c r="CI1" s="8"/>
      <c r="CJ1" s="8"/>
      <c r="CK1" s="9" t="s">
        <v>70</v>
      </c>
      <c r="CL1" s="10">
        <f>'Indices y Outliers'!I5</f>
        <v>4341.8546682355172</v>
      </c>
      <c r="CM1" s="10">
        <f>'Indices y Outliers'!I33</f>
        <v>30.168134579682338</v>
      </c>
      <c r="CN1" s="10">
        <f>'Indices y Outliers'!I61</f>
        <v>564.42541565876832</v>
      </c>
      <c r="CO1" s="10">
        <f>'Indices y Outliers'!I89</f>
        <v>643.54350407050003</v>
      </c>
      <c r="CP1" s="11">
        <f>'Indices y Outliers'!I117</f>
        <v>0.28478925833734636</v>
      </c>
      <c r="CQ1" s="12"/>
      <c r="CR1" s="13"/>
      <c r="CT1" s="14"/>
      <c r="CU1" s="15" t="s">
        <v>71</v>
      </c>
      <c r="CW1" s="15" t="s">
        <v>72</v>
      </c>
      <c r="CX1" s="16">
        <v>0.4</v>
      </c>
      <c r="CY1" s="17"/>
      <c r="CZ1" s="15" t="s">
        <v>73</v>
      </c>
      <c r="DA1" s="15"/>
      <c r="DB1" s="18"/>
      <c r="DC1" s="18"/>
      <c r="DD1" s="15"/>
      <c r="DE1" s="15"/>
      <c r="DF1" s="18"/>
      <c r="DG1" s="14"/>
      <c r="DH1" s="19" t="s">
        <v>74</v>
      </c>
      <c r="DI1" s="15"/>
      <c r="DJ1" s="20" t="s">
        <v>75</v>
      </c>
      <c r="DK1" s="21">
        <v>44561</v>
      </c>
      <c r="DL1" s="20" t="s">
        <v>76</v>
      </c>
      <c r="DM1" s="21">
        <v>45473</v>
      </c>
      <c r="DN1" s="20" t="s">
        <v>77</v>
      </c>
      <c r="DO1" s="22">
        <f>VLOOKUP(MONTH(DM1)&amp;"_"&amp;YEAR(DM1),'CPI USA'!$T:$U,2,FALSE)</f>
        <v>314.17500000000001</v>
      </c>
      <c r="DP1" s="20" t="s">
        <v>78</v>
      </c>
      <c r="DQ1" s="22">
        <f>VLOOKUP(MONTH(DM1)&amp;"_"&amp;YEAR(DM1),'PPI USA'!$S:$T,2,FALSE)</f>
        <v>265.63200000000001</v>
      </c>
      <c r="DR1" s="19" t="s">
        <v>79</v>
      </c>
      <c r="DS1" s="16">
        <v>0.8</v>
      </c>
      <c r="DT1" s="19" t="s">
        <v>80</v>
      </c>
      <c r="DU1" s="16"/>
      <c r="DV1" s="16">
        <v>0.9</v>
      </c>
      <c r="DW1" s="7"/>
      <c r="DX1" s="7" t="s">
        <v>81</v>
      </c>
      <c r="DY1" s="12">
        <v>0.2</v>
      </c>
      <c r="DZ1" s="14"/>
      <c r="EA1" s="7"/>
      <c r="EB1" s="7" t="s">
        <v>82</v>
      </c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23"/>
      <c r="EQ1" s="23"/>
      <c r="ER1" s="23"/>
      <c r="ES1" s="6"/>
      <c r="ET1" s="6"/>
    </row>
    <row r="2" spans="1:150" ht="72.5">
      <c r="A2" s="24"/>
      <c r="B2" s="25"/>
      <c r="C2" s="26"/>
      <c r="D2" s="26" t="s">
        <v>83</v>
      </c>
      <c r="E2" s="26" t="s">
        <v>84</v>
      </c>
      <c r="F2" s="26" t="s">
        <v>85</v>
      </c>
      <c r="G2" s="26" t="s">
        <v>86</v>
      </c>
      <c r="H2" s="26" t="s">
        <v>87</v>
      </c>
      <c r="I2" s="26" t="s">
        <v>88</v>
      </c>
      <c r="J2" s="26" t="s">
        <v>89</v>
      </c>
      <c r="K2" s="26" t="s">
        <v>90</v>
      </c>
      <c r="L2" s="26" t="s">
        <v>91</v>
      </c>
      <c r="M2" s="26" t="s">
        <v>92</v>
      </c>
      <c r="N2" s="26" t="s">
        <v>93</v>
      </c>
      <c r="O2" s="26" t="s">
        <v>94</v>
      </c>
      <c r="P2" s="26" t="s">
        <v>95</v>
      </c>
      <c r="Q2" s="26" t="s">
        <v>96</v>
      </c>
      <c r="R2" s="26" t="s">
        <v>97</v>
      </c>
      <c r="S2" s="26" t="s">
        <v>98</v>
      </c>
      <c r="T2" s="26" t="s">
        <v>99</v>
      </c>
      <c r="U2" s="26" t="s">
        <v>100</v>
      </c>
      <c r="V2" s="26" t="s">
        <v>101</v>
      </c>
      <c r="W2" s="26" t="s">
        <v>102</v>
      </c>
      <c r="X2" s="26" t="s">
        <v>23</v>
      </c>
      <c r="Y2" s="26" t="s">
        <v>103</v>
      </c>
      <c r="Z2" s="26" t="s">
        <v>104</v>
      </c>
      <c r="AA2" s="26" t="s">
        <v>105</v>
      </c>
      <c r="AB2" s="26" t="s">
        <v>106</v>
      </c>
      <c r="AC2" s="26" t="s">
        <v>107</v>
      </c>
      <c r="AD2" s="26" t="s">
        <v>108</v>
      </c>
      <c r="AE2" s="26" t="s">
        <v>30</v>
      </c>
      <c r="AF2" s="26" t="s">
        <v>109</v>
      </c>
      <c r="AG2" s="26" t="s">
        <v>110</v>
      </c>
      <c r="AH2" s="26" t="s">
        <v>111</v>
      </c>
      <c r="AI2" s="26" t="s">
        <v>112</v>
      </c>
      <c r="AJ2" s="26" t="s">
        <v>113</v>
      </c>
      <c r="AK2" s="26" t="s">
        <v>114</v>
      </c>
      <c r="AL2" s="26" t="s">
        <v>115</v>
      </c>
      <c r="AM2" s="26" t="s">
        <v>116</v>
      </c>
      <c r="AN2" s="26" t="s">
        <v>117</v>
      </c>
      <c r="AO2" s="26" t="s">
        <v>118</v>
      </c>
      <c r="AP2" s="26" t="s">
        <v>119</v>
      </c>
      <c r="AQ2" s="26" t="s">
        <v>120</v>
      </c>
      <c r="AR2" s="26" t="s">
        <v>121</v>
      </c>
      <c r="AS2" s="26" t="s">
        <v>122</v>
      </c>
      <c r="AT2" s="26" t="s">
        <v>123</v>
      </c>
      <c r="AU2" s="26" t="s">
        <v>124</v>
      </c>
      <c r="AV2" s="26" t="s">
        <v>46</v>
      </c>
      <c r="AW2" s="26" t="s">
        <v>125</v>
      </c>
      <c r="AX2" s="26" t="s">
        <v>126</v>
      </c>
      <c r="AY2" s="26" t="s">
        <v>127</v>
      </c>
      <c r="AZ2" s="26" t="s">
        <v>128</v>
      </c>
      <c r="BA2" s="26" t="s">
        <v>129</v>
      </c>
      <c r="BB2" s="26" t="s">
        <v>130</v>
      </c>
      <c r="BC2" s="26" t="s">
        <v>131</v>
      </c>
      <c r="BD2" s="26" t="s">
        <v>132</v>
      </c>
      <c r="BE2" s="26" t="s">
        <v>133</v>
      </c>
      <c r="BF2" s="26" t="s">
        <v>134</v>
      </c>
      <c r="BG2" s="26" t="s">
        <v>135</v>
      </c>
      <c r="BH2" s="26" t="s">
        <v>136</v>
      </c>
      <c r="BI2" s="26" t="s">
        <v>137</v>
      </c>
      <c r="BJ2" s="26" t="s">
        <v>138</v>
      </c>
      <c r="BK2" s="26" t="s">
        <v>139</v>
      </c>
      <c r="BL2" s="26" t="s">
        <v>62</v>
      </c>
      <c r="BM2" s="26" t="s">
        <v>140</v>
      </c>
      <c r="BN2" s="26" t="s">
        <v>141</v>
      </c>
      <c r="BO2" s="26" t="s">
        <v>142</v>
      </c>
      <c r="BP2" s="26" t="s">
        <v>143</v>
      </c>
      <c r="BQ2" s="26" t="s">
        <v>144</v>
      </c>
      <c r="BR2" s="26" t="s">
        <v>145</v>
      </c>
      <c r="BS2" s="26" t="s">
        <v>146</v>
      </c>
      <c r="BT2" s="5"/>
      <c r="BU2" s="6" t="s">
        <v>147</v>
      </c>
      <c r="BV2" s="6" t="s">
        <v>45</v>
      </c>
      <c r="BW2" s="6" t="s">
        <v>148</v>
      </c>
      <c r="BX2" s="6" t="s">
        <v>149</v>
      </c>
      <c r="BY2" s="6" t="s">
        <v>150</v>
      </c>
      <c r="BZ2" s="6" t="s">
        <v>151</v>
      </c>
      <c r="CA2" s="6" t="s">
        <v>152</v>
      </c>
      <c r="CB2" s="6" t="s">
        <v>153</v>
      </c>
      <c r="CC2" s="6" t="s">
        <v>154</v>
      </c>
      <c r="CD2" s="7" t="s">
        <v>155</v>
      </c>
      <c r="CE2" s="7" t="s">
        <v>156</v>
      </c>
      <c r="CF2" s="27"/>
      <c r="CG2" s="28" t="s">
        <v>157</v>
      </c>
      <c r="CH2" s="28" t="s">
        <v>158</v>
      </c>
      <c r="CI2" s="28" t="s">
        <v>159</v>
      </c>
      <c r="CJ2" s="28" t="s">
        <v>160</v>
      </c>
      <c r="CK2" s="7" t="s">
        <v>161</v>
      </c>
      <c r="CL2" s="29" t="s">
        <v>162</v>
      </c>
      <c r="CM2" s="29" t="s">
        <v>162</v>
      </c>
      <c r="CN2" s="29" t="s">
        <v>162</v>
      </c>
      <c r="CO2" s="29" t="s">
        <v>162</v>
      </c>
      <c r="CP2" s="29" t="s">
        <v>162</v>
      </c>
      <c r="CQ2" s="29" t="s">
        <v>163</v>
      </c>
      <c r="CR2" s="13"/>
      <c r="CS2" s="7" t="s">
        <v>164</v>
      </c>
      <c r="CT2" s="30"/>
      <c r="CU2" s="6" t="s">
        <v>165</v>
      </c>
      <c r="CV2" s="6" t="s">
        <v>166</v>
      </c>
      <c r="CW2" s="6" t="s">
        <v>167</v>
      </c>
      <c r="CX2" s="23" t="s">
        <v>168</v>
      </c>
      <c r="CY2" s="23" t="s">
        <v>169</v>
      </c>
      <c r="CZ2" s="6" t="s">
        <v>170</v>
      </c>
      <c r="DA2" s="6" t="s">
        <v>171</v>
      </c>
      <c r="DB2" s="6" t="s">
        <v>172</v>
      </c>
      <c r="DC2" s="6" t="s">
        <v>173</v>
      </c>
      <c r="DD2" s="6" t="s">
        <v>174</v>
      </c>
      <c r="DE2" s="6" t="s">
        <v>175</v>
      </c>
      <c r="DF2" s="6" t="s">
        <v>176</v>
      </c>
      <c r="DG2" s="31"/>
      <c r="DH2" s="32" t="s">
        <v>177</v>
      </c>
      <c r="DI2" s="6" t="s">
        <v>178</v>
      </c>
      <c r="DJ2" s="32" t="s">
        <v>179</v>
      </c>
      <c r="DK2" s="32" t="s">
        <v>180</v>
      </c>
      <c r="DL2" s="32" t="s">
        <v>181</v>
      </c>
      <c r="DM2" s="32" t="s">
        <v>182</v>
      </c>
      <c r="DN2" s="33" t="s">
        <v>183</v>
      </c>
      <c r="DO2" s="34" t="s">
        <v>184</v>
      </c>
      <c r="DP2" s="32" t="s">
        <v>185</v>
      </c>
      <c r="DQ2" s="33" t="s">
        <v>186</v>
      </c>
      <c r="DR2" s="32" t="s">
        <v>187</v>
      </c>
      <c r="DS2" s="32" t="s">
        <v>188</v>
      </c>
      <c r="DT2" s="35" t="s">
        <v>189</v>
      </c>
      <c r="DU2" s="32" t="s">
        <v>190</v>
      </c>
      <c r="DV2" s="32" t="s">
        <v>191</v>
      </c>
      <c r="DW2" s="32" t="s">
        <v>192</v>
      </c>
      <c r="DX2" s="32" t="s">
        <v>193</v>
      </c>
      <c r="DY2" s="36" t="s">
        <v>194</v>
      </c>
      <c r="DZ2" s="31"/>
      <c r="EA2" s="37" t="s">
        <v>0</v>
      </c>
      <c r="EB2" s="37" t="s">
        <v>170</v>
      </c>
      <c r="EC2" s="37" t="s">
        <v>171</v>
      </c>
      <c r="ED2" s="37" t="s">
        <v>195</v>
      </c>
      <c r="EE2" s="37" t="s">
        <v>196</v>
      </c>
      <c r="EF2" s="37" t="s">
        <v>197</v>
      </c>
      <c r="EG2" s="38" t="s">
        <v>198</v>
      </c>
      <c r="EH2" s="38" t="s">
        <v>199</v>
      </c>
      <c r="EI2" s="38" t="s">
        <v>200</v>
      </c>
      <c r="EJ2" s="38" t="s">
        <v>201</v>
      </c>
      <c r="EK2" s="38" t="s">
        <v>202</v>
      </c>
      <c r="EL2" s="38" t="s">
        <v>203</v>
      </c>
      <c r="EM2" s="38" t="s">
        <v>204</v>
      </c>
      <c r="EN2" s="38" t="s">
        <v>205</v>
      </c>
      <c r="EO2" s="38" t="s">
        <v>206</v>
      </c>
      <c r="EP2" s="39" t="s">
        <v>207</v>
      </c>
      <c r="EQ2" s="39" t="s">
        <v>208</v>
      </c>
      <c r="ER2" s="39" t="s">
        <v>209</v>
      </c>
      <c r="ES2" s="38"/>
      <c r="ET2" s="38"/>
    </row>
    <row r="3" spans="1:150" ht="14.5">
      <c r="A3" s="7" t="s">
        <v>210</v>
      </c>
      <c r="B3" s="7" t="s">
        <v>211</v>
      </c>
      <c r="C3" s="32" t="s">
        <v>212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f>IFERROR(VLOOKUP(A3,'Trans 21-23'!$A$2:$J$229,6,0),0)</f>
        <v>0</v>
      </c>
      <c r="Y3" s="41">
        <v>0</v>
      </c>
      <c r="Z3" s="41">
        <v>0</v>
      </c>
      <c r="AA3" s="41">
        <v>4254122</v>
      </c>
      <c r="AB3" s="41">
        <v>2917233</v>
      </c>
      <c r="AC3" s="41">
        <v>0</v>
      </c>
      <c r="AD3" s="41">
        <v>57160987</v>
      </c>
      <c r="AE3" s="41">
        <v>0</v>
      </c>
      <c r="AF3" s="41">
        <v>173320384</v>
      </c>
      <c r="AG3" s="41">
        <v>0</v>
      </c>
      <c r="AH3" s="41">
        <v>0</v>
      </c>
      <c r="AI3" s="41">
        <v>0</v>
      </c>
      <c r="AJ3" s="41">
        <v>0</v>
      </c>
      <c r="AK3" s="41">
        <v>0</v>
      </c>
      <c r="AL3" s="41">
        <v>0</v>
      </c>
      <c r="AM3" s="41">
        <v>0</v>
      </c>
      <c r="AN3" s="41">
        <v>0</v>
      </c>
      <c r="AO3" s="41">
        <v>0</v>
      </c>
      <c r="AP3" s="41">
        <v>0</v>
      </c>
      <c r="AQ3" s="41">
        <v>0</v>
      </c>
      <c r="AR3" s="41">
        <v>0</v>
      </c>
      <c r="AS3" s="41">
        <v>0</v>
      </c>
      <c r="AT3" s="41">
        <v>0</v>
      </c>
      <c r="AU3" s="41">
        <v>0</v>
      </c>
      <c r="AV3" s="41">
        <v>0</v>
      </c>
      <c r="AW3" s="41">
        <v>0</v>
      </c>
      <c r="AX3" s="41">
        <v>0</v>
      </c>
      <c r="AY3" s="41">
        <v>0</v>
      </c>
      <c r="AZ3" s="41">
        <v>0</v>
      </c>
      <c r="BA3" s="41">
        <v>0</v>
      </c>
      <c r="BB3" s="41">
        <v>0</v>
      </c>
      <c r="BC3" s="41">
        <v>438988852</v>
      </c>
      <c r="BD3" s="41">
        <v>13845297</v>
      </c>
      <c r="BE3" s="41">
        <v>0</v>
      </c>
      <c r="BF3" s="41">
        <v>0</v>
      </c>
      <c r="BG3" s="41">
        <v>0</v>
      </c>
      <c r="BH3" s="41">
        <v>0</v>
      </c>
      <c r="BI3" s="41">
        <v>5939389</v>
      </c>
      <c r="BJ3" s="41">
        <v>2528869</v>
      </c>
      <c r="BK3" s="41">
        <v>0</v>
      </c>
      <c r="BL3" s="41">
        <v>0</v>
      </c>
      <c r="BM3" s="41">
        <v>22276263</v>
      </c>
      <c r="BN3" s="41">
        <v>90069127</v>
      </c>
      <c r="BO3" s="41">
        <v>0</v>
      </c>
      <c r="BP3" s="41">
        <v>648932</v>
      </c>
      <c r="BQ3" s="41">
        <v>96468962</v>
      </c>
      <c r="BR3" s="41">
        <v>0</v>
      </c>
      <c r="BS3" s="42">
        <f>IFERROR(VLOOKUP(A3,'Trans 21-23'!$A$2:$J$229,5,0),0)</f>
        <v>0</v>
      </c>
      <c r="BT3" s="43"/>
      <c r="BU3" s="6">
        <f t="shared" ref="BU3:BU221" si="0">BB3</f>
        <v>0</v>
      </c>
      <c r="BV3" s="6">
        <f t="shared" ref="BV3:BV221" si="1">AU3</f>
        <v>0</v>
      </c>
      <c r="BW3" s="6">
        <f t="shared" ref="BW3:BW221" si="2">AG3</f>
        <v>0</v>
      </c>
      <c r="BX3" s="6">
        <f t="shared" ref="BX3:BX221" si="3">SUM(I3:W3)</f>
        <v>0</v>
      </c>
      <c r="BY3" s="6">
        <f t="shared" ref="BY3:BY221" si="4">SUM(Y3:AC3)</f>
        <v>7171355</v>
      </c>
      <c r="BZ3" s="6">
        <f t="shared" ref="BZ3:BZ221" si="5">AZ3</f>
        <v>0</v>
      </c>
      <c r="CA3" s="6">
        <f t="shared" ref="CA3:CA221" si="6">AD3</f>
        <v>57160987</v>
      </c>
      <c r="CB3" s="6">
        <f t="shared" ref="CB3:CB221" si="7">AH3</f>
        <v>0</v>
      </c>
      <c r="CC3" s="6">
        <f t="shared" ref="CC3:CC221" si="8">AQ3</f>
        <v>0</v>
      </c>
      <c r="CD3" s="32">
        <f t="shared" ref="CD3:CD60" si="9">IF(OR(BU3&lt;=0,BV3&lt;=0,BW3&lt;=0,BX3&lt;=0,BY3&lt;=0,BZ3&lt;=0,CA3&lt;=0,CB3&lt;=0,CC3&lt;=0,DF3&lt;=0),0,1)</f>
        <v>0</v>
      </c>
      <c r="CE3" s="44">
        <f t="shared" ref="CE3:CE221" si="10">COUNTIF(D3:BS3,0)</f>
        <v>56</v>
      </c>
      <c r="CF3" s="27"/>
      <c r="CG3" s="28" t="str">
        <f t="shared" ref="CG3:CG221" si="11">IF(CD3=1,BU3/BV3/1000,"")</f>
        <v/>
      </c>
      <c r="CH3" s="28" t="str">
        <f t="shared" ref="CH3:CH221" si="12">IF(CD3=1,BV3*1000/BW3,"")</f>
        <v/>
      </c>
      <c r="CI3" s="28" t="str">
        <f t="shared" ref="CI3:CI221" si="13">IF(CD3=1,BX3/BW3,"")</f>
        <v/>
      </c>
      <c r="CJ3" s="28" t="str">
        <f t="shared" ref="CJ3:CJ221" si="14">IF(CD3=1,BZ3/BW3,"")</f>
        <v/>
      </c>
      <c r="CK3" s="23" t="str">
        <f t="shared" ref="CK3:CK221" si="15">IF(CD3=1,CB3/CC3,"")</f>
        <v/>
      </c>
      <c r="CL3" s="29" t="str">
        <f t="shared" ref="CL3:CL221" si="16">IF(AND(CG3&gt;$CL$1,CG3&lt;&gt;""),1,"")</f>
        <v/>
      </c>
      <c r="CM3" s="29" t="str">
        <f t="shared" ref="CM3:CM94" si="17">IF(AND(CH3&gt;$CM$1,CH3&lt;&gt;""),1,"")</f>
        <v/>
      </c>
      <c r="CN3" s="29" t="str">
        <f t="shared" ref="CN3:CN221" si="18">IF(AND(CI3&gt;$CN$1,CI3&lt;&gt;""),1,"")</f>
        <v/>
      </c>
      <c r="CO3" s="29" t="str">
        <f t="shared" ref="CO3:CO221" si="19">IF(AND(CJ3&gt;$CO$1,CJ3&lt;&gt;""),1,"")</f>
        <v/>
      </c>
      <c r="CP3" s="29" t="str">
        <f t="shared" ref="CP3:CP221" si="20">IF(AND(CK3&gt;$CP$1,CK3&lt;&gt;""),1,"")</f>
        <v/>
      </c>
      <c r="CQ3" s="29">
        <f t="shared" ref="CQ3:CQ221" si="21">IF(CD3=1,SUM(CL3:CP3),0)</f>
        <v>0</v>
      </c>
      <c r="CR3" s="13"/>
      <c r="CS3" s="7" t="str">
        <f>VLOOKUP(A3,'Empresas 21-23'!$A$2:$M$228,13,0)</f>
        <v/>
      </c>
      <c r="CT3" s="30"/>
      <c r="CU3" s="6">
        <f t="shared" ref="CU3:CU221" si="22">BB3-AZ3-BA3+BS3-(1-$CX$1)*(AX3+AY3)</f>
        <v>0</v>
      </c>
      <c r="CV3" s="6">
        <f t="shared" ref="CV3:CV221" si="23">AZ3</f>
        <v>0</v>
      </c>
      <c r="CW3" s="6">
        <f t="shared" ref="CW3:CW221" si="24">BD3</f>
        <v>13845297</v>
      </c>
      <c r="CX3" s="23">
        <f>IFERROR(CU3/(BC3-BD3),"")</f>
        <v>0</v>
      </c>
      <c r="CY3" s="23">
        <f>IFERROR(CV3/(BC3-BD3),"")</f>
        <v>0</v>
      </c>
      <c r="CZ3" s="6">
        <f t="shared" ref="CZ3:CZ221" si="25">CU3+CW3*CX3</f>
        <v>0</v>
      </c>
      <c r="DA3" s="6">
        <f t="shared" ref="DA3:DA221" si="26">CV3+CW3*CY3</f>
        <v>0</v>
      </c>
      <c r="DB3" s="6">
        <f t="shared" ref="DB3:DB221" si="27">BX3</f>
        <v>0</v>
      </c>
      <c r="DC3" s="6">
        <f t="shared" ref="DC3:DC221" si="28">BX3+X3</f>
        <v>0</v>
      </c>
      <c r="DD3" s="6">
        <f t="shared" ref="DD3:DD221" si="29">BY3</f>
        <v>7171355</v>
      </c>
      <c r="DE3" s="6">
        <f t="shared" ref="DE3:DE221" si="30">AD3</f>
        <v>57160987</v>
      </c>
      <c r="DF3" s="6">
        <f t="shared" ref="DF3:DF157" si="31">DE3*(DC3+DD3)/(AF3-AD3-F3-H3-E3-D3)</f>
        <v>3528958.8316938751</v>
      </c>
      <c r="DG3" s="30"/>
      <c r="DH3" s="32" t="str">
        <f>VLOOKUP(A3,'T_med_comp-USA'!$A$7:$Q$233,17,0)</f>
        <v>-</v>
      </c>
      <c r="DI3" s="6" t="str">
        <f t="shared" ref="DI3:DI221" si="32">IFERROR(MONTH($DK$1-365*DH3)&amp;"_"&amp;YEAR($DK$1-365*DH3),"")</f>
        <v/>
      </c>
      <c r="DJ3" s="32" t="str">
        <f>IF(DI3="","",VLOOKUP(DI3,'CPI USA'!$T:$U,2,FALSE))</f>
        <v/>
      </c>
      <c r="DK3" s="32" t="str">
        <f>IF(DI3="","",VLOOKUP(DI3,'PPI USA'!$S:$T,2,FALSE))</f>
        <v/>
      </c>
      <c r="DL3" s="32" t="str">
        <f>IF(DI3="","",VLOOKUP(DI3,'CPI USA'!$T:$V,3,FALSE))</f>
        <v/>
      </c>
      <c r="DM3" s="32" t="str">
        <f>IF(DI3="","",VLOOKUP(DI3,'CPI USA'!$T:$X,5,FALSE))</f>
        <v/>
      </c>
      <c r="DN3" s="32" t="str">
        <f t="shared" ref="DN3:DN221" si="33">IF(DJ3="","",(DL3*$DO$1/DJ3+(1-DL3)*AVERAGE($DO$1,$DQ$1)/AVERAGE(DJ3,DK3)))</f>
        <v/>
      </c>
      <c r="DO3" s="32" t="str">
        <f t="shared" ref="DO3:DO221" si="34">IF(DJ3="","",(DM3*$DO$1/DJ3+(1-DM3)*AVERAGE($DO$1,$DQ$1)/AVERAGE(DJ3,DK3)))</f>
        <v/>
      </c>
      <c r="DP3" s="32" t="str">
        <f t="shared" ref="DP3:DP221" si="35">IF(BX3=0,"",MAX($DY$1,MIN($DS$1,(BH3+IF(BN3=0,0,(BO3/BN3*BH3)))/BX3)))</f>
        <v/>
      </c>
      <c r="DQ3" s="32" t="str">
        <f>IF(DP3="","",DP3*$DO$1/'CPI USA'!$U$508+(1-DP3)*AVERAGE($DO$1,$DQ$1)/AVERAGE('CPI USA'!$U$508,'PPI USA'!$T$514))</f>
        <v/>
      </c>
      <c r="DR3" s="6">
        <f t="shared" ref="DR3:DR221" si="36">SUM(BI3:BK3)</f>
        <v>8468258</v>
      </c>
      <c r="DS3" s="32">
        <f t="shared" ref="DS3:DS221" si="37">IF(BY3=0,"",MAX($DY$1,MIN($DS$1,(DR3+IF(BN3=0,0,(BO3/BN3*DR3)))/BY3)))</f>
        <v>0.8</v>
      </c>
      <c r="DT3" s="28">
        <f>IF(DS3="","",DS3*$DO$1/'CPI USA'!$U$508+(1-DS3)*AVERAGE($DO$1,$DQ$1)/AVERAGE('CPI USA'!$U$508,'PPI USA'!$T$514))</f>
        <v>1.1386961339283952</v>
      </c>
      <c r="DU3" s="6" t="str">
        <f t="shared" ref="DU3:DU221" si="38">IF(BX3=0,"",(BM3+IF(BN3=0,0,(BO3/BN3*BM3))))</f>
        <v/>
      </c>
      <c r="DV3" s="6">
        <f t="shared" ref="DV3:DV221" si="39">IFERROR(BP3/(BQ3-BP3)*BM3,"")</f>
        <v>150863.86323523379</v>
      </c>
      <c r="DW3" s="6">
        <f t="shared" ref="DW3:DW221" si="40">IF(OR(DU3="",DV3=""),0,(DV3+DU3)/BN3*(BH3+DR3))</f>
        <v>0</v>
      </c>
      <c r="DX3" s="16" t="str">
        <f t="shared" ref="DX3:DX221" si="41">IF(OR(DA3=0,DF3="",DF3=0),"",MAX($DY$1,MIN($DV$1,DW3/DF3)))</f>
        <v/>
      </c>
      <c r="DY3" s="28" t="str">
        <f>IF(DX3="","",DX3*$DO$1/'CPI USA'!$U$508+(1-DX3)*AVERAGE($DO$1,$DQ$1)/AVERAGE('CPI USA'!$U$508,'PPI USA'!$T$514))</f>
        <v/>
      </c>
      <c r="DZ3" s="30"/>
      <c r="EA3" s="45" t="str">
        <f t="shared" ref="EA3:EA221" si="42">A3</f>
        <v>C000029</v>
      </c>
      <c r="EB3" s="29" t="str">
        <f t="shared" ref="EB3:EB204" si="43">IF(CD3=1,CZ3*DN3,"")</f>
        <v/>
      </c>
      <c r="EC3" s="29" t="str">
        <f t="shared" ref="EC3:EC221" si="44">IF(CD3=1,DA3*DO3,"")</f>
        <v/>
      </c>
      <c r="ED3" s="29" t="str">
        <f t="shared" ref="ED3:ED221" si="45">IF(CD3=1,DC3*DQ3,"")</f>
        <v/>
      </c>
      <c r="EE3" s="29" t="str">
        <f t="shared" ref="EE3:EE221" si="46">IF(CD3=1,DD3*DT3,"")</f>
        <v/>
      </c>
      <c r="EF3" s="29" t="str">
        <f t="shared" ref="EF3:EF221" si="47">IF(CD3=1,DF3*DY3,"")</f>
        <v/>
      </c>
      <c r="EG3" s="29" t="str">
        <f t="shared" ref="EG3:EG221" si="48">IF(CD3=1,BV3,"")</f>
        <v/>
      </c>
      <c r="EH3" s="29" t="str">
        <f t="shared" ref="EH3:EH221" si="49">IF(CD3=1,BW3,"")</f>
        <v/>
      </c>
      <c r="EI3" s="29" t="str">
        <f t="shared" ref="EI3:EI221" si="50">IF(CD3=1,CB3,"")</f>
        <v/>
      </c>
      <c r="EJ3" s="29" t="str">
        <f t="shared" ref="EJ3:EJ221" si="51">IF(CD3=1,CC3,"")</f>
        <v/>
      </c>
      <c r="EK3" s="29" t="str">
        <f t="shared" ref="EK3:EK221" si="52">IF(CD3=1,AS3+AH3-(AR3+EQ3),"")</f>
        <v/>
      </c>
      <c r="EL3" s="29" t="str">
        <f>IF(CD3=1,VLOOKUP(EA3,'EIA 2021'!$A$2:$J$213,4,0)*EH3,"")</f>
        <v/>
      </c>
      <c r="EM3" s="29" t="str">
        <f>IF(CD3=1,VLOOKUP(EA3,'EIA 2021'!$A$2:$J$213,7,0)*EH3,"")</f>
        <v/>
      </c>
      <c r="EN3" s="29" t="str">
        <f>IF(CD3=1,VLOOKUP(EA3,'EIA 2021'!$A$2:$J$213,10,0),"")</f>
        <v/>
      </c>
      <c r="EO3" s="28" t="str">
        <f>IF(CD3=1,VLOOKUP(EA3,'EIA 2021'!$A$2:$Z$213,26,0),"")</f>
        <v/>
      </c>
      <c r="EP3" s="23" t="str">
        <f t="shared" ref="EP3:EP221" si="53">IF(CD3=1,ER3/EK3,"")</f>
        <v/>
      </c>
      <c r="EQ3" s="32" t="str">
        <f t="shared" ref="EQ3:EQ221" si="54">IF(CD3=1,AR3/(1-1.5%)-AR3,"")</f>
        <v/>
      </c>
      <c r="ER3" s="32" t="str">
        <f t="shared" ref="ER3:ER221" si="55">IF(CD3=1,EI3-EQ3,"")</f>
        <v/>
      </c>
      <c r="ES3" s="6"/>
      <c r="ET3" s="32"/>
    </row>
    <row r="4" spans="1:150" ht="14.5">
      <c r="A4" s="7" t="s">
        <v>213</v>
      </c>
      <c r="B4" s="7" t="s">
        <v>214</v>
      </c>
      <c r="C4" s="32" t="s">
        <v>215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f>IFERROR(VLOOKUP(A4,'Trans 21-23'!$A$2:$J$229,6,0),0)</f>
        <v>0</v>
      </c>
      <c r="Y4" s="41">
        <v>0</v>
      </c>
      <c r="Z4" s="41">
        <v>0</v>
      </c>
      <c r="AA4" s="41">
        <v>0</v>
      </c>
      <c r="AB4" s="41">
        <v>8381761</v>
      </c>
      <c r="AC4" s="41">
        <v>0</v>
      </c>
      <c r="AD4" s="41">
        <v>254796713</v>
      </c>
      <c r="AE4" s="41">
        <v>0</v>
      </c>
      <c r="AF4" s="41">
        <v>331500936</v>
      </c>
      <c r="AG4" s="41">
        <v>0</v>
      </c>
      <c r="AH4" s="41">
        <v>0</v>
      </c>
      <c r="AI4" s="41">
        <v>0</v>
      </c>
      <c r="AJ4" s="41">
        <v>0</v>
      </c>
      <c r="AK4" s="41">
        <v>0</v>
      </c>
      <c r="AL4" s="41">
        <v>0</v>
      </c>
      <c r="AM4" s="41">
        <v>0</v>
      </c>
      <c r="AN4" s="41">
        <v>0</v>
      </c>
      <c r="AO4" s="41">
        <v>0</v>
      </c>
      <c r="AP4" s="41">
        <v>0</v>
      </c>
      <c r="AQ4" s="41">
        <v>0</v>
      </c>
      <c r="AR4" s="41">
        <v>0</v>
      </c>
      <c r="AS4" s="41">
        <v>0</v>
      </c>
      <c r="AT4" s="41">
        <v>0</v>
      </c>
      <c r="AU4" s="41">
        <v>0</v>
      </c>
      <c r="AV4" s="41">
        <v>0</v>
      </c>
      <c r="AW4" s="41">
        <v>0</v>
      </c>
      <c r="AX4" s="41">
        <v>0</v>
      </c>
      <c r="AY4" s="41">
        <v>0</v>
      </c>
      <c r="AZ4" s="41">
        <v>0</v>
      </c>
      <c r="BA4" s="41">
        <v>0</v>
      </c>
      <c r="BB4" s="41">
        <v>0</v>
      </c>
      <c r="BC4" s="41">
        <v>874711093</v>
      </c>
      <c r="BD4" s="41">
        <v>223411396</v>
      </c>
      <c r="BE4" s="41">
        <v>0</v>
      </c>
      <c r="BF4" s="41">
        <v>0</v>
      </c>
      <c r="BG4" s="41">
        <v>0</v>
      </c>
      <c r="BH4" s="41">
        <v>0</v>
      </c>
      <c r="BI4" s="41">
        <v>0</v>
      </c>
      <c r="BJ4" s="41">
        <v>6380283</v>
      </c>
      <c r="BK4" s="41">
        <v>0</v>
      </c>
      <c r="BL4" s="41">
        <v>0</v>
      </c>
      <c r="BM4" s="41">
        <v>71278041</v>
      </c>
      <c r="BN4" s="41">
        <v>128639950</v>
      </c>
      <c r="BO4" s="41">
        <v>0</v>
      </c>
      <c r="BP4" s="41">
        <v>0</v>
      </c>
      <c r="BQ4" s="41">
        <v>128639950</v>
      </c>
      <c r="BR4" s="41">
        <v>0</v>
      </c>
      <c r="BS4" s="42">
        <f>IFERROR(VLOOKUP(A4,'Trans 21-23'!$A$2:$J$229,5,0),0)</f>
        <v>0</v>
      </c>
      <c r="BT4" s="43"/>
      <c r="BU4" s="6">
        <f t="shared" si="0"/>
        <v>0</v>
      </c>
      <c r="BV4" s="6">
        <f t="shared" si="1"/>
        <v>0</v>
      </c>
      <c r="BW4" s="6">
        <f t="shared" si="2"/>
        <v>0</v>
      </c>
      <c r="BX4" s="6">
        <f t="shared" si="3"/>
        <v>0</v>
      </c>
      <c r="BY4" s="6">
        <f t="shared" si="4"/>
        <v>8381761</v>
      </c>
      <c r="BZ4" s="6">
        <f t="shared" si="5"/>
        <v>0</v>
      </c>
      <c r="CA4" s="6">
        <f t="shared" si="6"/>
        <v>254796713</v>
      </c>
      <c r="CB4" s="6">
        <f t="shared" si="7"/>
        <v>0</v>
      </c>
      <c r="CC4" s="6">
        <f t="shared" si="8"/>
        <v>0</v>
      </c>
      <c r="CD4" s="32">
        <f t="shared" si="9"/>
        <v>0</v>
      </c>
      <c r="CE4" s="44">
        <f t="shared" si="10"/>
        <v>59</v>
      </c>
      <c r="CF4" s="27"/>
      <c r="CG4" s="28" t="str">
        <f t="shared" si="11"/>
        <v/>
      </c>
      <c r="CH4" s="28" t="str">
        <f t="shared" si="12"/>
        <v/>
      </c>
      <c r="CI4" s="28" t="str">
        <f t="shared" si="13"/>
        <v/>
      </c>
      <c r="CJ4" s="28" t="str">
        <f t="shared" si="14"/>
        <v/>
      </c>
      <c r="CK4" s="23" t="str">
        <f t="shared" si="15"/>
        <v/>
      </c>
      <c r="CL4" s="29" t="str">
        <f t="shared" si="16"/>
        <v/>
      </c>
      <c r="CM4" s="29" t="str">
        <f t="shared" si="17"/>
        <v/>
      </c>
      <c r="CN4" s="29" t="str">
        <f t="shared" si="18"/>
        <v/>
      </c>
      <c r="CO4" s="29" t="str">
        <f t="shared" si="19"/>
        <v/>
      </c>
      <c r="CP4" s="29" t="str">
        <f t="shared" si="20"/>
        <v/>
      </c>
      <c r="CQ4" s="29">
        <f t="shared" si="21"/>
        <v>0</v>
      </c>
      <c r="CR4" s="13"/>
      <c r="CS4" s="7" t="str">
        <f>VLOOKUP(A4,'Empresas 21-23'!$A$2:$M$228,13,0)</f>
        <v/>
      </c>
      <c r="CT4" s="30"/>
      <c r="CU4" s="6">
        <f t="shared" si="22"/>
        <v>0</v>
      </c>
      <c r="CV4" s="6">
        <f t="shared" si="23"/>
        <v>0</v>
      </c>
      <c r="CW4" s="6">
        <f t="shared" si="24"/>
        <v>223411396</v>
      </c>
      <c r="CX4" s="23">
        <f t="shared" ref="CX4:CX46" si="56">CU4/(BC4-BD4)</f>
        <v>0</v>
      </c>
      <c r="CY4" s="23">
        <f t="shared" ref="CY4:CY46" si="57">CV4/(BC4-BD4)</f>
        <v>0</v>
      </c>
      <c r="CZ4" s="6">
        <f t="shared" si="25"/>
        <v>0</v>
      </c>
      <c r="DA4" s="6">
        <f t="shared" si="26"/>
        <v>0</v>
      </c>
      <c r="DB4" s="6">
        <f t="shared" si="27"/>
        <v>0</v>
      </c>
      <c r="DC4" s="6">
        <f t="shared" si="28"/>
        <v>0</v>
      </c>
      <c r="DD4" s="6">
        <f t="shared" si="29"/>
        <v>8381761</v>
      </c>
      <c r="DE4" s="6">
        <f t="shared" si="30"/>
        <v>254796713</v>
      </c>
      <c r="DF4" s="6">
        <f t="shared" si="31"/>
        <v>27842601.990135446</v>
      </c>
      <c r="DG4" s="30"/>
      <c r="DH4" s="32" t="str">
        <f>VLOOKUP(A4,'T_med_comp-USA'!$A$7:$Q$233,17,0)</f>
        <v>-</v>
      </c>
      <c r="DI4" s="6" t="str">
        <f t="shared" si="32"/>
        <v/>
      </c>
      <c r="DJ4" s="32" t="str">
        <f>IF(DI4="","",VLOOKUP(DI4,'CPI USA'!$T:$U,2,FALSE))</f>
        <v/>
      </c>
      <c r="DK4" s="32" t="str">
        <f>IF(DI4="","",VLOOKUP(DI4,'PPI USA'!$S:$T,2,FALSE))</f>
        <v/>
      </c>
      <c r="DL4" s="32" t="str">
        <f>IF(DI4="","",VLOOKUP(DI4,'CPI USA'!$T:$V,3,FALSE))</f>
        <v/>
      </c>
      <c r="DM4" s="32" t="str">
        <f>IF(DI4="","",VLOOKUP(DI4,'CPI USA'!$T:$X,5,FALSE))</f>
        <v/>
      </c>
      <c r="DN4" s="32" t="str">
        <f t="shared" si="33"/>
        <v/>
      </c>
      <c r="DO4" s="32" t="str">
        <f t="shared" si="34"/>
        <v/>
      </c>
      <c r="DP4" s="32" t="str">
        <f t="shared" si="35"/>
        <v/>
      </c>
      <c r="DQ4" s="32" t="str">
        <f>IF(DP4="","",DP4*$DO$1/'CPI USA'!$U$508+(1-DP4)*AVERAGE($DO$1,$DQ$1)/AVERAGE('CPI USA'!$U$508,'PPI USA'!$T$514))</f>
        <v/>
      </c>
      <c r="DR4" s="6">
        <f t="shared" si="36"/>
        <v>6380283</v>
      </c>
      <c r="DS4" s="32">
        <f t="shared" si="37"/>
        <v>0.76121032322443938</v>
      </c>
      <c r="DT4" s="28">
        <f>IF(DS4="","",DS4*$DO$1/'CPI USA'!$U$508+(1-DS4)*AVERAGE($DO$1,$DQ$1)/AVERAGE('CPI USA'!$U$508,'PPI USA'!$T$514))</f>
        <v>1.1409888263580947</v>
      </c>
      <c r="DU4" s="6" t="str">
        <f t="shared" si="38"/>
        <v/>
      </c>
      <c r="DV4" s="6">
        <f t="shared" si="39"/>
        <v>0</v>
      </c>
      <c r="DW4" s="6">
        <f t="shared" si="40"/>
        <v>0</v>
      </c>
      <c r="DX4" s="16" t="str">
        <f t="shared" si="41"/>
        <v/>
      </c>
      <c r="DY4" s="28" t="str">
        <f>IF(DX4="","",DX4*$DO$1/'CPI USA'!$U$508+(1-DX4)*AVERAGE($DO$1,$DQ$1)/AVERAGE('CPI USA'!$U$508,'PPI USA'!$T$514))</f>
        <v/>
      </c>
      <c r="DZ4" s="30"/>
      <c r="EA4" s="45" t="str">
        <f t="shared" si="42"/>
        <v>C000030</v>
      </c>
      <c r="EB4" s="29" t="str">
        <f t="shared" si="43"/>
        <v/>
      </c>
      <c r="EC4" s="29" t="str">
        <f t="shared" si="44"/>
        <v/>
      </c>
      <c r="ED4" s="29" t="str">
        <f t="shared" si="45"/>
        <v/>
      </c>
      <c r="EE4" s="29" t="str">
        <f t="shared" si="46"/>
        <v/>
      </c>
      <c r="EF4" s="29" t="str">
        <f t="shared" si="47"/>
        <v/>
      </c>
      <c r="EG4" s="29" t="str">
        <f t="shared" si="48"/>
        <v/>
      </c>
      <c r="EH4" s="29" t="str">
        <f t="shared" si="49"/>
        <v/>
      </c>
      <c r="EI4" s="29" t="str">
        <f t="shared" si="50"/>
        <v/>
      </c>
      <c r="EJ4" s="29" t="str">
        <f t="shared" si="51"/>
        <v/>
      </c>
      <c r="EK4" s="29" t="str">
        <f t="shared" si="52"/>
        <v/>
      </c>
      <c r="EL4" s="29" t="str">
        <f>IF(CD4=1,VLOOKUP(EA4,'EIA 2021'!$A$2:$J$213,4,0)*EH4,"")</f>
        <v/>
      </c>
      <c r="EM4" s="29" t="str">
        <f>IF(CD4=1,VLOOKUP(EA4,'EIA 2021'!$A$2:$J$213,7,0)*EH4,"")</f>
        <v/>
      </c>
      <c r="EN4" s="29" t="str">
        <f>IF(CD4=1,VLOOKUP(EA4,'EIA 2021'!$A$2:$J$213,10,0),"")</f>
        <v/>
      </c>
      <c r="EO4" s="28" t="str">
        <f>IF(CD4=1,VLOOKUP(EA4,'EIA 2021'!$A$2:$Z$213,26,0),"")</f>
        <v/>
      </c>
      <c r="EP4" s="23" t="str">
        <f t="shared" si="53"/>
        <v/>
      </c>
      <c r="EQ4" s="32" t="str">
        <f t="shared" si="54"/>
        <v/>
      </c>
      <c r="ER4" s="32" t="str">
        <f t="shared" si="55"/>
        <v/>
      </c>
      <c r="ES4" s="6"/>
      <c r="ET4" s="32"/>
    </row>
    <row r="5" spans="1:150" ht="14.5">
      <c r="A5" s="7" t="s">
        <v>216</v>
      </c>
      <c r="B5" s="7" t="s">
        <v>217</v>
      </c>
      <c r="C5" s="32" t="s">
        <v>218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f>IFERROR(VLOOKUP(A5,'Trans 21-23'!$A$2:$J$229,6,0),0)</f>
        <v>0</v>
      </c>
      <c r="Y5" s="41">
        <v>0</v>
      </c>
      <c r="Z5" s="41">
        <v>0</v>
      </c>
      <c r="AA5" s="41">
        <v>4506910</v>
      </c>
      <c r="AB5" s="41">
        <v>3621187</v>
      </c>
      <c r="AC5" s="41">
        <v>0</v>
      </c>
      <c r="AD5" s="41">
        <v>74283313</v>
      </c>
      <c r="AE5" s="41">
        <v>0</v>
      </c>
      <c r="AF5" s="41">
        <v>153295623</v>
      </c>
      <c r="AG5" s="41">
        <v>0</v>
      </c>
      <c r="AH5" s="41">
        <v>0</v>
      </c>
      <c r="AI5" s="41">
        <v>0</v>
      </c>
      <c r="AJ5" s="41">
        <v>0</v>
      </c>
      <c r="AK5" s="41">
        <v>0</v>
      </c>
      <c r="AL5" s="41">
        <v>0</v>
      </c>
      <c r="AM5" s="41">
        <v>0</v>
      </c>
      <c r="AN5" s="41">
        <v>0</v>
      </c>
      <c r="AO5" s="41">
        <v>0</v>
      </c>
      <c r="AP5" s="41">
        <v>0</v>
      </c>
      <c r="AQ5" s="41">
        <v>0</v>
      </c>
      <c r="AR5" s="41">
        <v>0</v>
      </c>
      <c r="AS5" s="41">
        <v>0</v>
      </c>
      <c r="AT5" s="41">
        <v>0</v>
      </c>
      <c r="AU5" s="41">
        <v>0</v>
      </c>
      <c r="AV5" s="41">
        <v>0</v>
      </c>
      <c r="AW5" s="41">
        <v>0</v>
      </c>
      <c r="AX5" s="41">
        <v>0</v>
      </c>
      <c r="AY5" s="41">
        <v>0</v>
      </c>
      <c r="AZ5" s="41">
        <v>0</v>
      </c>
      <c r="BA5" s="41">
        <v>0</v>
      </c>
      <c r="BB5" s="41">
        <v>0</v>
      </c>
      <c r="BC5" s="41">
        <v>404859003</v>
      </c>
      <c r="BD5" s="41">
        <v>0</v>
      </c>
      <c r="BE5" s="41">
        <v>0</v>
      </c>
      <c r="BF5" s="41">
        <v>0</v>
      </c>
      <c r="BG5" s="41">
        <v>0</v>
      </c>
      <c r="BH5" s="41">
        <v>0</v>
      </c>
      <c r="BI5" s="41">
        <v>0</v>
      </c>
      <c r="BJ5" s="41">
        <v>0</v>
      </c>
      <c r="BK5" s="41">
        <v>0</v>
      </c>
      <c r="BL5" s="41">
        <v>0</v>
      </c>
      <c r="BM5" s="41">
        <v>0</v>
      </c>
      <c r="BN5" s="41">
        <v>73232326</v>
      </c>
      <c r="BO5" s="41">
        <v>0</v>
      </c>
      <c r="BP5" s="41">
        <v>0</v>
      </c>
      <c r="BQ5" s="41">
        <v>73232326</v>
      </c>
      <c r="BR5" s="41">
        <v>0</v>
      </c>
      <c r="BS5" s="42">
        <f>IFERROR(VLOOKUP(A5,'Trans 21-23'!$A$2:$J$229,5,0),0)</f>
        <v>0</v>
      </c>
      <c r="BT5" s="43"/>
      <c r="BU5" s="6">
        <f t="shared" si="0"/>
        <v>0</v>
      </c>
      <c r="BV5" s="6">
        <f t="shared" si="1"/>
        <v>0</v>
      </c>
      <c r="BW5" s="6">
        <f t="shared" si="2"/>
        <v>0</v>
      </c>
      <c r="BX5" s="6">
        <f t="shared" si="3"/>
        <v>0</v>
      </c>
      <c r="BY5" s="6">
        <f t="shared" si="4"/>
        <v>8128097</v>
      </c>
      <c r="BZ5" s="6">
        <f t="shared" si="5"/>
        <v>0</v>
      </c>
      <c r="CA5" s="6">
        <f t="shared" si="6"/>
        <v>74283313</v>
      </c>
      <c r="CB5" s="6">
        <f t="shared" si="7"/>
        <v>0</v>
      </c>
      <c r="CC5" s="6">
        <f t="shared" si="8"/>
        <v>0</v>
      </c>
      <c r="CD5" s="32">
        <f t="shared" si="9"/>
        <v>0</v>
      </c>
      <c r="CE5" s="44">
        <f t="shared" si="10"/>
        <v>61</v>
      </c>
      <c r="CF5" s="27"/>
      <c r="CG5" s="28" t="str">
        <f t="shared" si="11"/>
        <v/>
      </c>
      <c r="CH5" s="28" t="str">
        <f t="shared" si="12"/>
        <v/>
      </c>
      <c r="CI5" s="28" t="str">
        <f t="shared" si="13"/>
        <v/>
      </c>
      <c r="CJ5" s="28" t="str">
        <f t="shared" si="14"/>
        <v/>
      </c>
      <c r="CK5" s="23" t="str">
        <f t="shared" si="15"/>
        <v/>
      </c>
      <c r="CL5" s="29" t="str">
        <f t="shared" si="16"/>
        <v/>
      </c>
      <c r="CM5" s="29" t="str">
        <f t="shared" si="17"/>
        <v/>
      </c>
      <c r="CN5" s="29" t="str">
        <f t="shared" si="18"/>
        <v/>
      </c>
      <c r="CO5" s="29" t="str">
        <f t="shared" si="19"/>
        <v/>
      </c>
      <c r="CP5" s="29" t="str">
        <f t="shared" si="20"/>
        <v/>
      </c>
      <c r="CQ5" s="29">
        <f t="shared" si="21"/>
        <v>0</v>
      </c>
      <c r="CR5" s="13"/>
      <c r="CS5" s="7" t="str">
        <f>VLOOKUP(A5,'Empresas 21-23'!$A$2:$M$228,13,0)</f>
        <v/>
      </c>
      <c r="CT5" s="30"/>
      <c r="CU5" s="6">
        <f t="shared" si="22"/>
        <v>0</v>
      </c>
      <c r="CV5" s="6">
        <f t="shared" si="23"/>
        <v>0</v>
      </c>
      <c r="CW5" s="6">
        <f t="shared" si="24"/>
        <v>0</v>
      </c>
      <c r="CX5" s="23">
        <f t="shared" si="56"/>
        <v>0</v>
      </c>
      <c r="CY5" s="23">
        <f t="shared" si="57"/>
        <v>0</v>
      </c>
      <c r="CZ5" s="6">
        <f t="shared" si="25"/>
        <v>0</v>
      </c>
      <c r="DA5" s="6">
        <f t="shared" si="26"/>
        <v>0</v>
      </c>
      <c r="DB5" s="6">
        <f t="shared" si="27"/>
        <v>0</v>
      </c>
      <c r="DC5" s="6">
        <f t="shared" si="28"/>
        <v>0</v>
      </c>
      <c r="DD5" s="6">
        <f t="shared" si="29"/>
        <v>8128097</v>
      </c>
      <c r="DE5" s="6">
        <f t="shared" si="30"/>
        <v>74283313</v>
      </c>
      <c r="DF5" s="6">
        <f t="shared" si="31"/>
        <v>7641619.0533520794</v>
      </c>
      <c r="DG5" s="30"/>
      <c r="DH5" s="32" t="str">
        <f>VLOOKUP(A5,'T_med_comp-USA'!$A$7:$Q$233,17,0)</f>
        <v>-</v>
      </c>
      <c r="DI5" s="6" t="str">
        <f t="shared" si="32"/>
        <v/>
      </c>
      <c r="DJ5" s="32" t="str">
        <f>IF(DI5="","",VLOOKUP(DI5,'CPI USA'!$T:$U,2,FALSE))</f>
        <v/>
      </c>
      <c r="DK5" s="32" t="str">
        <f>IF(DI5="","",VLOOKUP(DI5,'PPI USA'!$S:$T,2,FALSE))</f>
        <v/>
      </c>
      <c r="DL5" s="32" t="str">
        <f>IF(DI5="","",VLOOKUP(DI5,'CPI USA'!$T:$V,3,FALSE))</f>
        <v/>
      </c>
      <c r="DM5" s="32" t="str">
        <f>IF(DI5="","",VLOOKUP(DI5,'CPI USA'!$T:$X,5,FALSE))</f>
        <v/>
      </c>
      <c r="DN5" s="32" t="str">
        <f t="shared" si="33"/>
        <v/>
      </c>
      <c r="DO5" s="32" t="str">
        <f t="shared" si="34"/>
        <v/>
      </c>
      <c r="DP5" s="32" t="str">
        <f t="shared" si="35"/>
        <v/>
      </c>
      <c r="DQ5" s="32" t="str">
        <f>IF(DP5="","",DP5*$DO$1/'CPI USA'!$U$508+(1-DP5)*AVERAGE($DO$1,$DQ$1)/AVERAGE('CPI USA'!$U$508,'PPI USA'!$T$514))</f>
        <v/>
      </c>
      <c r="DR5" s="6">
        <f t="shared" si="36"/>
        <v>0</v>
      </c>
      <c r="DS5" s="32">
        <f t="shared" si="37"/>
        <v>0.2</v>
      </c>
      <c r="DT5" s="28">
        <f>IF(DS5="","",DS5*$DO$1/'CPI USA'!$U$508+(1-DS5)*AVERAGE($DO$1,$DQ$1)/AVERAGE('CPI USA'!$U$508,'PPI USA'!$T$514))</f>
        <v>1.1741595760647974</v>
      </c>
      <c r="DU5" s="6" t="str">
        <f t="shared" si="38"/>
        <v/>
      </c>
      <c r="DV5" s="6">
        <f t="shared" si="39"/>
        <v>0</v>
      </c>
      <c r="DW5" s="6">
        <f t="shared" si="40"/>
        <v>0</v>
      </c>
      <c r="DX5" s="16" t="str">
        <f t="shared" si="41"/>
        <v/>
      </c>
      <c r="DY5" s="28" t="str">
        <f>IF(DX5="","",DX5*$DO$1/'CPI USA'!$U$508+(1-DX5)*AVERAGE($DO$1,$DQ$1)/AVERAGE('CPI USA'!$U$508,'PPI USA'!$T$514))</f>
        <v/>
      </c>
      <c r="DZ5" s="30"/>
      <c r="EA5" s="45" t="str">
        <f t="shared" si="42"/>
        <v>C000038</v>
      </c>
      <c r="EB5" s="29" t="str">
        <f t="shared" si="43"/>
        <v/>
      </c>
      <c r="EC5" s="29" t="str">
        <f t="shared" si="44"/>
        <v/>
      </c>
      <c r="ED5" s="29" t="str">
        <f t="shared" si="45"/>
        <v/>
      </c>
      <c r="EE5" s="29" t="str">
        <f t="shared" si="46"/>
        <v/>
      </c>
      <c r="EF5" s="29" t="str">
        <f t="shared" si="47"/>
        <v/>
      </c>
      <c r="EG5" s="29" t="str">
        <f t="shared" si="48"/>
        <v/>
      </c>
      <c r="EH5" s="29" t="str">
        <f t="shared" si="49"/>
        <v/>
      </c>
      <c r="EI5" s="29" t="str">
        <f t="shared" si="50"/>
        <v/>
      </c>
      <c r="EJ5" s="29" t="str">
        <f t="shared" si="51"/>
        <v/>
      </c>
      <c r="EK5" s="29" t="str">
        <f t="shared" si="52"/>
        <v/>
      </c>
      <c r="EL5" s="29" t="str">
        <f>IF(CD5=1,VLOOKUP(EA5,'EIA 2021'!$A$2:$J$213,4,0)*EH5,"")</f>
        <v/>
      </c>
      <c r="EM5" s="29" t="str">
        <f>IF(CD5=1,VLOOKUP(EA5,'EIA 2021'!$A$2:$J$213,7,0)*EH5,"")</f>
        <v/>
      </c>
      <c r="EN5" s="29" t="str">
        <f>IF(CD5=1,VLOOKUP(EA5,'EIA 2021'!$A$2:$J$213,10,0),"")</f>
        <v/>
      </c>
      <c r="EO5" s="28" t="str">
        <f>IF(CD5=1,VLOOKUP(EA5,'EIA 2021'!$A$2:$Z$213,26,0),"")</f>
        <v/>
      </c>
      <c r="EP5" s="23" t="str">
        <f t="shared" si="53"/>
        <v/>
      </c>
      <c r="EQ5" s="32" t="str">
        <f t="shared" si="54"/>
        <v/>
      </c>
      <c r="ER5" s="32" t="str">
        <f t="shared" si="55"/>
        <v/>
      </c>
      <c r="ES5" s="6"/>
      <c r="ET5" s="32"/>
    </row>
    <row r="6" spans="1:150" ht="14.5">
      <c r="A6" s="7" t="s">
        <v>219</v>
      </c>
      <c r="B6" s="7" t="s">
        <v>220</v>
      </c>
      <c r="C6" s="32" t="s">
        <v>221</v>
      </c>
      <c r="D6" s="40">
        <v>0</v>
      </c>
      <c r="E6" s="40">
        <v>33842445</v>
      </c>
      <c r="F6" s="40">
        <v>120290354</v>
      </c>
      <c r="G6" s="40">
        <v>5417142310</v>
      </c>
      <c r="H6" s="40">
        <v>5467175402</v>
      </c>
      <c r="I6" s="40">
        <v>11608877</v>
      </c>
      <c r="J6" s="40">
        <v>33503825</v>
      </c>
      <c r="K6" s="40">
        <v>0</v>
      </c>
      <c r="L6" s="40">
        <v>123982186</v>
      </c>
      <c r="M6" s="40">
        <v>8675814</v>
      </c>
      <c r="N6" s="40">
        <v>22980872</v>
      </c>
      <c r="O6" s="40">
        <v>93233747</v>
      </c>
      <c r="P6" s="40">
        <v>3014729</v>
      </c>
      <c r="Q6" s="40">
        <v>1448907</v>
      </c>
      <c r="R6" s="40">
        <v>96985</v>
      </c>
      <c r="S6" s="40">
        <v>5796388</v>
      </c>
      <c r="T6" s="40">
        <v>501135281</v>
      </c>
      <c r="U6" s="40">
        <v>47477216</v>
      </c>
      <c r="V6" s="40">
        <v>3823115</v>
      </c>
      <c r="W6" s="40">
        <v>21105414</v>
      </c>
      <c r="X6" s="40">
        <f>IFERROR(VLOOKUP(A6,'Trans 21-23'!$A$2:$J$229,6,0),0)</f>
        <v>50314340</v>
      </c>
      <c r="Y6" s="41">
        <v>18779917</v>
      </c>
      <c r="Z6" s="41">
        <v>5591935</v>
      </c>
      <c r="AA6" s="41">
        <v>266440274</v>
      </c>
      <c r="AB6" s="41">
        <v>466199221</v>
      </c>
      <c r="AC6" s="41">
        <v>3131647</v>
      </c>
      <c r="AD6" s="41">
        <v>2730166194</v>
      </c>
      <c r="AE6" s="41">
        <v>0</v>
      </c>
      <c r="AF6" s="41">
        <v>10769709038</v>
      </c>
      <c r="AG6" s="41">
        <v>5192940</v>
      </c>
      <c r="AH6" s="41">
        <v>5498875</v>
      </c>
      <c r="AI6" s="41">
        <v>67190477</v>
      </c>
      <c r="AJ6" s="41">
        <v>132760</v>
      </c>
      <c r="AK6" s="41">
        <v>23717984</v>
      </c>
      <c r="AL6" s="41">
        <v>29329100</v>
      </c>
      <c r="AM6" s="41">
        <v>44605850</v>
      </c>
      <c r="AN6" s="41">
        <v>6246815</v>
      </c>
      <c r="AO6" s="41">
        <v>565716</v>
      </c>
      <c r="AP6" s="41">
        <v>0</v>
      </c>
      <c r="AQ6" s="41">
        <v>80814328</v>
      </c>
      <c r="AR6" s="41">
        <v>4462498</v>
      </c>
      <c r="AS6" s="41">
        <v>85276826</v>
      </c>
      <c r="AT6" s="41">
        <v>65593</v>
      </c>
      <c r="AU6" s="41">
        <v>20750</v>
      </c>
      <c r="AV6" s="41">
        <v>0</v>
      </c>
      <c r="AW6" s="41">
        <v>2929840129</v>
      </c>
      <c r="AX6" s="41">
        <v>3039192667</v>
      </c>
      <c r="AY6" s="41">
        <v>7106391119</v>
      </c>
      <c r="AZ6" s="41">
        <v>1076852197</v>
      </c>
      <c r="BA6" s="41">
        <v>881505694</v>
      </c>
      <c r="BB6" s="41">
        <v>30820698900</v>
      </c>
      <c r="BC6" s="41">
        <v>58731185898</v>
      </c>
      <c r="BD6" s="41">
        <v>3679239676</v>
      </c>
      <c r="BE6" s="41">
        <v>7166482220</v>
      </c>
      <c r="BF6" s="41">
        <v>1131005469</v>
      </c>
      <c r="BG6" s="41">
        <v>0</v>
      </c>
      <c r="BH6" s="41">
        <v>286659803</v>
      </c>
      <c r="BI6" s="41">
        <v>78528125</v>
      </c>
      <c r="BJ6" s="41">
        <v>71488365</v>
      </c>
      <c r="BK6" s="41">
        <v>2434307</v>
      </c>
      <c r="BL6" s="41">
        <v>0</v>
      </c>
      <c r="BM6" s="41">
        <v>217038278</v>
      </c>
      <c r="BN6" s="41">
        <v>818339058</v>
      </c>
      <c r="BO6" s="41">
        <v>0</v>
      </c>
      <c r="BP6" s="41">
        <v>30785177</v>
      </c>
      <c r="BQ6" s="41">
        <v>1812569381</v>
      </c>
      <c r="BR6" s="41">
        <v>1254</v>
      </c>
      <c r="BS6" s="42">
        <f>IFERROR(VLOOKUP(A6,'Trans 21-23'!$A$2:$J$229,5,0),0)</f>
        <v>3205809496</v>
      </c>
      <c r="BT6" s="43"/>
      <c r="BU6" s="6">
        <f t="shared" si="0"/>
        <v>30820698900</v>
      </c>
      <c r="BV6" s="6">
        <f t="shared" si="1"/>
        <v>20750</v>
      </c>
      <c r="BW6" s="6">
        <f t="shared" si="2"/>
        <v>5192940</v>
      </c>
      <c r="BX6" s="6">
        <f t="shared" si="3"/>
        <v>877883356</v>
      </c>
      <c r="BY6" s="6">
        <f t="shared" si="4"/>
        <v>760142994</v>
      </c>
      <c r="BZ6" s="6">
        <f t="shared" si="5"/>
        <v>1076852197</v>
      </c>
      <c r="CA6" s="6">
        <f t="shared" si="6"/>
        <v>2730166194</v>
      </c>
      <c r="CB6" s="6">
        <f t="shared" si="7"/>
        <v>5498875</v>
      </c>
      <c r="CC6" s="6">
        <f t="shared" si="8"/>
        <v>80814328</v>
      </c>
      <c r="CD6" s="6">
        <f t="shared" si="9"/>
        <v>1</v>
      </c>
      <c r="CE6" s="44">
        <f t="shared" si="10"/>
        <v>8</v>
      </c>
      <c r="CF6" s="27"/>
      <c r="CG6" s="28">
        <f t="shared" si="11"/>
        <v>1485.3348867469879</v>
      </c>
      <c r="CH6" s="28">
        <f t="shared" si="12"/>
        <v>3.9958096954711588</v>
      </c>
      <c r="CI6" s="28">
        <f t="shared" si="13"/>
        <v>169.05324459747271</v>
      </c>
      <c r="CJ6" s="28">
        <f t="shared" si="14"/>
        <v>207.36850358371174</v>
      </c>
      <c r="CK6" s="23">
        <f t="shared" si="15"/>
        <v>6.8043317764146974E-2</v>
      </c>
      <c r="CL6" s="29" t="str">
        <f t="shared" si="16"/>
        <v/>
      </c>
      <c r="CM6" s="29" t="str">
        <f t="shared" si="17"/>
        <v/>
      </c>
      <c r="CN6" s="29" t="str">
        <f t="shared" si="18"/>
        <v/>
      </c>
      <c r="CO6" s="29" t="str">
        <f t="shared" si="19"/>
        <v/>
      </c>
      <c r="CP6" s="29" t="str">
        <f t="shared" si="20"/>
        <v/>
      </c>
      <c r="CQ6" s="29">
        <f t="shared" si="21"/>
        <v>0</v>
      </c>
      <c r="CR6" s="13"/>
      <c r="CS6" s="7">
        <f>VLOOKUP(A6,'Empresas 21-23'!$A$2:$M$228,13,0)</f>
        <v>1</v>
      </c>
      <c r="CT6" s="30"/>
      <c r="CU6" s="6">
        <f t="shared" si="22"/>
        <v>25980800233.400002</v>
      </c>
      <c r="CV6" s="6">
        <f t="shared" si="23"/>
        <v>1076852197</v>
      </c>
      <c r="CW6" s="6">
        <f t="shared" si="24"/>
        <v>3679239676</v>
      </c>
      <c r="CX6" s="23">
        <f t="shared" si="56"/>
        <v>0.47193245682234369</v>
      </c>
      <c r="CY6" s="23">
        <f t="shared" si="57"/>
        <v>1.9560656269217699E-2</v>
      </c>
      <c r="CZ6" s="6">
        <f t="shared" si="25"/>
        <v>27717152852.932926</v>
      </c>
      <c r="DA6" s="6">
        <f t="shared" si="26"/>
        <v>1148820539.6343038</v>
      </c>
      <c r="DB6" s="6">
        <f t="shared" si="27"/>
        <v>877883356</v>
      </c>
      <c r="DC6" s="6">
        <f t="shared" si="28"/>
        <v>928197696</v>
      </c>
      <c r="DD6" s="6">
        <f t="shared" si="29"/>
        <v>760142994</v>
      </c>
      <c r="DE6" s="6">
        <f t="shared" si="30"/>
        <v>2730166194</v>
      </c>
      <c r="DF6" s="6">
        <f t="shared" si="31"/>
        <v>1906122174.3454421</v>
      </c>
      <c r="DG6" s="30"/>
      <c r="DH6" s="32">
        <f>VLOOKUP(A6,'T_med_comp-USA'!$A$7:$Q$233,17,0)</f>
        <v>6.2390402742465128</v>
      </c>
      <c r="DI6" s="6" t="str">
        <f t="shared" si="32"/>
        <v>10_2015</v>
      </c>
      <c r="DJ6" s="32">
        <f>IF(DI6="","",VLOOKUP(DI6,'CPI USA'!$T:$U,2,FALSE))</f>
        <v>237.83799999999999</v>
      </c>
      <c r="DK6" s="32">
        <f>IF(DI6="","",VLOOKUP(DI6,'PPI USA'!$S:$T,2,FALSE))</f>
        <v>182.1</v>
      </c>
      <c r="DL6" s="32">
        <f>IF(DI6="","",VLOOKUP(DI6,'CPI USA'!$T:$V,3,FALSE))</f>
        <v>0.6679408278919865</v>
      </c>
      <c r="DM6" s="32">
        <f>IF(DI6="","",VLOOKUP(DI6,'CPI USA'!$T:$X,5,FALSE))</f>
        <v>0.49584761624008583</v>
      </c>
      <c r="DN6" s="32">
        <f t="shared" si="33"/>
        <v>1.3407975583818763</v>
      </c>
      <c r="DO6" s="32">
        <f t="shared" si="34"/>
        <v>1.3510774614940946</v>
      </c>
      <c r="DP6" s="32">
        <f t="shared" si="35"/>
        <v>0.32653518379268603</v>
      </c>
      <c r="DQ6" s="32">
        <f>IF(DP6="","",DP6*$DO$1/'CPI USA'!$U$508+(1-DP6)*AVERAGE($DO$1,$DQ$1)/AVERAGE('CPI USA'!$U$508,'PPI USA'!$T$514))</f>
        <v>1.1666806207837124</v>
      </c>
      <c r="DR6" s="6">
        <f t="shared" si="36"/>
        <v>152450797</v>
      </c>
      <c r="DS6" s="32">
        <f t="shared" si="37"/>
        <v>0.20055541944519981</v>
      </c>
      <c r="DT6" s="28">
        <f>IF(DS6="","",DS6*$DO$1/'CPI USA'!$U$508+(1-DS6)*AVERAGE($DO$1,$DQ$1)/AVERAGE('CPI USA'!$U$508,'PPI USA'!$T$514))</f>
        <v>1.1741267475892034</v>
      </c>
      <c r="DU6" s="6">
        <f t="shared" si="38"/>
        <v>217038278</v>
      </c>
      <c r="DV6" s="6">
        <f t="shared" si="39"/>
        <v>3749927.6225513141</v>
      </c>
      <c r="DW6" s="6">
        <f t="shared" si="40"/>
        <v>118472215.75954877</v>
      </c>
      <c r="DX6" s="16">
        <f t="shared" si="41"/>
        <v>0.2</v>
      </c>
      <c r="DY6" s="28">
        <f>IF(DX6="","",DX6*$DO$1/'CPI USA'!$U$508+(1-DX6)*AVERAGE($DO$1,$DQ$1)/AVERAGE('CPI USA'!$U$508,'PPI USA'!$T$514))</f>
        <v>1.1741595760647974</v>
      </c>
      <c r="DZ6" s="30"/>
      <c r="EA6" s="45" t="str">
        <f t="shared" si="42"/>
        <v>C000041</v>
      </c>
      <c r="EB6" s="29">
        <f t="shared" si="43"/>
        <v>37163090870.509727</v>
      </c>
      <c r="EC6" s="29">
        <f t="shared" si="44"/>
        <v>1552145538.401391</v>
      </c>
      <c r="ED6" s="29">
        <f t="shared" si="45"/>
        <v>1082910264.1792915</v>
      </c>
      <c r="EE6" s="29">
        <f t="shared" si="46"/>
        <v>892504221.24793935</v>
      </c>
      <c r="EF6" s="29">
        <f t="shared" si="47"/>
        <v>2238091604.1571541</v>
      </c>
      <c r="EG6" s="29">
        <f t="shared" si="48"/>
        <v>20750</v>
      </c>
      <c r="EH6" s="29">
        <f t="shared" si="49"/>
        <v>5192940</v>
      </c>
      <c r="EI6" s="29">
        <f t="shared" si="50"/>
        <v>5498875</v>
      </c>
      <c r="EJ6" s="29">
        <f t="shared" si="51"/>
        <v>80814328</v>
      </c>
      <c r="EK6" s="29">
        <f t="shared" si="52"/>
        <v>86245246.17766498</v>
      </c>
      <c r="EL6" s="29">
        <f>IF(CD6=1,VLOOKUP(EA6,'EIA 2021'!$A$2:$J$213,4,0)*EH6,"")</f>
        <v>538866190.86000001</v>
      </c>
      <c r="EM6" s="29">
        <f>IF(CD6=1,VLOOKUP(EA6,'EIA 2021'!$A$2:$J$213,7,0)*EH6,"")</f>
        <v>5769356.3399999999</v>
      </c>
      <c r="EN6" s="29">
        <f>IF(CD6=1,VLOOKUP(EA6,'EIA 2021'!$A$2:$J$213,10,0),"")</f>
        <v>5138576</v>
      </c>
      <c r="EO6" s="28">
        <f>IF(CD6=1,VLOOKUP(EA6,'EIA 2021'!$A$2:$Z$213,26,0),"")</f>
        <v>0</v>
      </c>
      <c r="EP6" s="23">
        <f t="shared" si="53"/>
        <v>6.2970638016120878E-2</v>
      </c>
      <c r="EQ6" s="32">
        <f t="shared" si="54"/>
        <v>67956.822335025296</v>
      </c>
      <c r="ER6" s="32">
        <f t="shared" si="55"/>
        <v>5430918.1776649747</v>
      </c>
      <c r="ES6" s="6"/>
      <c r="ET6" s="32"/>
    </row>
    <row r="7" spans="1:150" ht="14.5">
      <c r="A7" s="7" t="s">
        <v>222</v>
      </c>
      <c r="B7" s="7" t="s">
        <v>223</v>
      </c>
      <c r="C7" s="32" t="s">
        <v>224</v>
      </c>
      <c r="D7" s="40">
        <v>16153752</v>
      </c>
      <c r="E7" s="40">
        <v>0</v>
      </c>
      <c r="F7" s="40">
        <v>39183310</v>
      </c>
      <c r="G7" s="40">
        <v>424962324</v>
      </c>
      <c r="H7" s="40">
        <v>429619108</v>
      </c>
      <c r="I7" s="40">
        <v>1853042</v>
      </c>
      <c r="J7" s="40">
        <v>1714993</v>
      </c>
      <c r="K7" s="40">
        <v>597172</v>
      </c>
      <c r="L7" s="40">
        <v>0</v>
      </c>
      <c r="M7" s="40">
        <v>0</v>
      </c>
      <c r="N7" s="40">
        <v>0</v>
      </c>
      <c r="O7" s="40">
        <v>728172</v>
      </c>
      <c r="P7" s="40">
        <v>0</v>
      </c>
      <c r="Q7" s="40">
        <v>0</v>
      </c>
      <c r="R7" s="40">
        <v>0</v>
      </c>
      <c r="S7" s="40">
        <v>505720</v>
      </c>
      <c r="T7" s="40">
        <v>0</v>
      </c>
      <c r="U7" s="40">
        <v>0</v>
      </c>
      <c r="V7" s="40">
        <v>0</v>
      </c>
      <c r="W7" s="40">
        <v>0</v>
      </c>
      <c r="X7" s="40">
        <f>IFERROR(VLOOKUP(A7,'Trans 21-23'!$A$2:$J$229,6,0),0)</f>
        <v>0</v>
      </c>
      <c r="Y7" s="41">
        <v>262308</v>
      </c>
      <c r="Z7" s="41">
        <v>80829</v>
      </c>
      <c r="AA7" s="41">
        <v>0</v>
      </c>
      <c r="AB7" s="41">
        <v>0</v>
      </c>
      <c r="AC7" s="41">
        <v>802801</v>
      </c>
      <c r="AD7" s="41">
        <v>24010664</v>
      </c>
      <c r="AE7" s="41">
        <v>0</v>
      </c>
      <c r="AF7" s="41">
        <v>646042139</v>
      </c>
      <c r="AG7" s="41">
        <v>30</v>
      </c>
      <c r="AH7" s="41">
        <v>0</v>
      </c>
      <c r="AI7" s="41">
        <v>10790575</v>
      </c>
      <c r="AJ7" s="41">
        <v>0</v>
      </c>
      <c r="AK7" s="41">
        <v>0</v>
      </c>
      <c r="AL7" s="41">
        <v>0</v>
      </c>
      <c r="AM7" s="41">
        <v>0</v>
      </c>
      <c r="AN7" s="41">
        <v>0</v>
      </c>
      <c r="AO7" s="41">
        <v>0</v>
      </c>
      <c r="AP7" s="41">
        <v>0</v>
      </c>
      <c r="AQ7" s="41">
        <v>0</v>
      </c>
      <c r="AR7" s="41">
        <v>10790575</v>
      </c>
      <c r="AS7" s="41">
        <v>10790575</v>
      </c>
      <c r="AT7" s="41">
        <v>0</v>
      </c>
      <c r="AU7" s="41">
        <v>1678</v>
      </c>
      <c r="AV7" s="41">
        <v>0</v>
      </c>
      <c r="AW7" s="41">
        <v>3012287</v>
      </c>
      <c r="AX7" s="41">
        <v>0</v>
      </c>
      <c r="AY7" s="41">
        <v>0</v>
      </c>
      <c r="AZ7" s="41">
        <v>811515</v>
      </c>
      <c r="BA7" s="41">
        <v>0</v>
      </c>
      <c r="BB7" s="41">
        <v>105645916</v>
      </c>
      <c r="BC7" s="41">
        <v>1371849888</v>
      </c>
      <c r="BD7" s="41">
        <v>41805513</v>
      </c>
      <c r="BE7" s="41">
        <v>29898233</v>
      </c>
      <c r="BF7" s="41">
        <v>4245084</v>
      </c>
      <c r="BG7" s="41">
        <v>0</v>
      </c>
      <c r="BH7" s="41">
        <v>1406363</v>
      </c>
      <c r="BI7" s="41">
        <v>0</v>
      </c>
      <c r="BJ7" s="41">
        <v>0</v>
      </c>
      <c r="BK7" s="41">
        <v>0</v>
      </c>
      <c r="BL7" s="41">
        <v>0</v>
      </c>
      <c r="BM7" s="41">
        <v>9713977</v>
      </c>
      <c r="BN7" s="41">
        <v>14846181</v>
      </c>
      <c r="BO7" s="41">
        <v>0</v>
      </c>
      <c r="BP7" s="41">
        <v>0</v>
      </c>
      <c r="BQ7" s="41">
        <v>14846181</v>
      </c>
      <c r="BR7" s="41">
        <v>0</v>
      </c>
      <c r="BS7" s="42">
        <f>IFERROR(VLOOKUP(A7,'Trans 21-23'!$A$2:$J$229,5,0),0)</f>
        <v>0</v>
      </c>
      <c r="BT7" s="43"/>
      <c r="BU7" s="6">
        <f t="shared" si="0"/>
        <v>105645916</v>
      </c>
      <c r="BV7" s="6">
        <f t="shared" si="1"/>
        <v>1678</v>
      </c>
      <c r="BW7" s="6">
        <f t="shared" si="2"/>
        <v>30</v>
      </c>
      <c r="BX7" s="6">
        <f t="shared" si="3"/>
        <v>5399099</v>
      </c>
      <c r="BY7" s="6">
        <f t="shared" si="4"/>
        <v>1145938</v>
      </c>
      <c r="BZ7" s="6">
        <f t="shared" si="5"/>
        <v>811515</v>
      </c>
      <c r="CA7" s="6">
        <f t="shared" si="6"/>
        <v>24010664</v>
      </c>
      <c r="CB7" s="6">
        <f t="shared" si="7"/>
        <v>0</v>
      </c>
      <c r="CC7" s="6">
        <f t="shared" si="8"/>
        <v>0</v>
      </c>
      <c r="CD7" s="6">
        <f t="shared" si="9"/>
        <v>0</v>
      </c>
      <c r="CE7" s="44">
        <f t="shared" si="10"/>
        <v>38</v>
      </c>
      <c r="CF7" s="27"/>
      <c r="CG7" s="28" t="str">
        <f t="shared" si="11"/>
        <v/>
      </c>
      <c r="CH7" s="28" t="str">
        <f t="shared" si="12"/>
        <v/>
      </c>
      <c r="CI7" s="28" t="str">
        <f t="shared" si="13"/>
        <v/>
      </c>
      <c r="CJ7" s="28" t="str">
        <f t="shared" si="14"/>
        <v/>
      </c>
      <c r="CK7" s="23" t="str">
        <f t="shared" si="15"/>
        <v/>
      </c>
      <c r="CL7" s="29" t="str">
        <f t="shared" si="16"/>
        <v/>
      </c>
      <c r="CM7" s="29" t="str">
        <f t="shared" si="17"/>
        <v/>
      </c>
      <c r="CN7" s="29" t="str">
        <f t="shared" si="18"/>
        <v/>
      </c>
      <c r="CO7" s="29" t="str">
        <f t="shared" si="19"/>
        <v/>
      </c>
      <c r="CP7" s="29" t="str">
        <f t="shared" si="20"/>
        <v/>
      </c>
      <c r="CQ7" s="29">
        <f t="shared" si="21"/>
        <v>0</v>
      </c>
      <c r="CR7" s="13"/>
      <c r="CS7" s="7" t="str">
        <f>VLOOKUP(A7,'Empresas 21-23'!$A$2:$M$228,13,0)</f>
        <v/>
      </c>
      <c r="CT7" s="30"/>
      <c r="CU7" s="6">
        <f t="shared" si="22"/>
        <v>104834401</v>
      </c>
      <c r="CV7" s="6">
        <f t="shared" si="23"/>
        <v>811515</v>
      </c>
      <c r="CW7" s="6">
        <f t="shared" si="24"/>
        <v>41805513</v>
      </c>
      <c r="CX7" s="23">
        <f t="shared" si="56"/>
        <v>7.8820228084495306E-2</v>
      </c>
      <c r="CY7" s="23">
        <f t="shared" si="57"/>
        <v>6.1014129697740352E-4</v>
      </c>
      <c r="CZ7" s="6">
        <f t="shared" si="25"/>
        <v>108129521.06984933</v>
      </c>
      <c r="DA7" s="6">
        <f t="shared" si="26"/>
        <v>837022.26992262574</v>
      </c>
      <c r="DB7" s="6">
        <f t="shared" si="27"/>
        <v>5399099</v>
      </c>
      <c r="DC7" s="6">
        <f t="shared" si="28"/>
        <v>5399099</v>
      </c>
      <c r="DD7" s="6">
        <f t="shared" si="29"/>
        <v>1145938</v>
      </c>
      <c r="DE7" s="6">
        <f t="shared" si="30"/>
        <v>24010664</v>
      </c>
      <c r="DF7" s="6">
        <f t="shared" si="31"/>
        <v>1146455.1129364111</v>
      </c>
      <c r="DG7" s="30"/>
      <c r="DH7" s="32">
        <f>VLOOKUP(A7,'T_med_comp-USA'!$A$7:$Q$233,17,0)</f>
        <v>8.277356899209158</v>
      </c>
      <c r="DI7" s="6" t="str">
        <f t="shared" si="32"/>
        <v>9_2013</v>
      </c>
      <c r="DJ7" s="32">
        <f>IF(DI7="","",VLOOKUP(DI7,'CPI USA'!$T:$U,2,FALSE))</f>
        <v>234.149</v>
      </c>
      <c r="DK7" s="32">
        <f>IF(DI7="","",VLOOKUP(DI7,'PPI USA'!$S:$T,2,FALSE))</f>
        <v>175.2</v>
      </c>
      <c r="DL7" s="32">
        <f>IF(DI7="","",VLOOKUP(DI7,'CPI USA'!$T:$V,3,FALSE))</f>
        <v>0.67305131835944076</v>
      </c>
      <c r="DM7" s="32">
        <f>IF(DI7="","",VLOOKUP(DI7,'CPI USA'!$T:$X,5,FALSE))</f>
        <v>0.50163050295255052</v>
      </c>
      <c r="DN7" s="32">
        <f t="shared" si="33"/>
        <v>1.3661768109417007</v>
      </c>
      <c r="DO7" s="32">
        <f t="shared" si="34"/>
        <v>1.3789714160509126</v>
      </c>
      <c r="DP7" s="32">
        <f t="shared" si="35"/>
        <v>0.26048105433888136</v>
      </c>
      <c r="DQ7" s="32">
        <f>IF(DP7="","",DP7*$DO$1/'CPI USA'!$U$508+(1-DP7)*AVERAGE($DO$1,$DQ$1)/AVERAGE('CPI USA'!$U$508,'PPI USA'!$T$514))</f>
        <v>1.1705847987799713</v>
      </c>
      <c r="DR7" s="6">
        <f t="shared" si="36"/>
        <v>0</v>
      </c>
      <c r="DS7" s="32">
        <f t="shared" si="37"/>
        <v>0.2</v>
      </c>
      <c r="DT7" s="28">
        <f>IF(DS7="","",DS7*$DO$1/'CPI USA'!$U$508+(1-DS7)*AVERAGE($DO$1,$DQ$1)/AVERAGE('CPI USA'!$U$508,'PPI USA'!$T$514))</f>
        <v>1.1741595760647974</v>
      </c>
      <c r="DU7" s="6">
        <f t="shared" si="38"/>
        <v>9713977</v>
      </c>
      <c r="DV7" s="6">
        <f t="shared" si="39"/>
        <v>0</v>
      </c>
      <c r="DW7" s="6">
        <f t="shared" si="40"/>
        <v>920194.751475211</v>
      </c>
      <c r="DX7" s="16">
        <f t="shared" si="41"/>
        <v>0.80264350613633684</v>
      </c>
      <c r="DY7" s="28">
        <f>IF(DX7="","",DX7*$DO$1/'CPI USA'!$U$508+(1-DX7)*AVERAGE($DO$1,$DQ$1)/AVERAGE('CPI USA'!$U$508,'PPI USA'!$T$514))</f>
        <v>1.1385398875502231</v>
      </c>
      <c r="DZ7" s="30"/>
      <c r="EA7" s="45" t="str">
        <f t="shared" si="42"/>
        <v>C000045</v>
      </c>
      <c r="EB7" s="29" t="str">
        <f t="shared" si="43"/>
        <v/>
      </c>
      <c r="EC7" s="29" t="str">
        <f t="shared" si="44"/>
        <v/>
      </c>
      <c r="ED7" s="29" t="str">
        <f t="shared" si="45"/>
        <v/>
      </c>
      <c r="EE7" s="29" t="str">
        <f t="shared" si="46"/>
        <v/>
      </c>
      <c r="EF7" s="29" t="str">
        <f t="shared" si="47"/>
        <v/>
      </c>
      <c r="EG7" s="29" t="str">
        <f t="shared" si="48"/>
        <v/>
      </c>
      <c r="EH7" s="29" t="str">
        <f t="shared" si="49"/>
        <v/>
      </c>
      <c r="EI7" s="29" t="str">
        <f t="shared" si="50"/>
        <v/>
      </c>
      <c r="EJ7" s="29" t="str">
        <f t="shared" si="51"/>
        <v/>
      </c>
      <c r="EK7" s="29" t="str">
        <f t="shared" si="52"/>
        <v/>
      </c>
      <c r="EL7" s="29" t="str">
        <f>IF(CD7=1,VLOOKUP(EA7,'EIA 2021'!$A$2:$J$213,4,0)*EH7,"")</f>
        <v/>
      </c>
      <c r="EM7" s="29" t="str">
        <f>IF(CD7=1,VLOOKUP(EA7,'EIA 2021'!$A$2:$J$213,7,0)*EH7,"")</f>
        <v/>
      </c>
      <c r="EN7" s="29" t="str">
        <f>IF(CD7=1,VLOOKUP(EA7,'EIA 2021'!$A$2:$J$213,10,0),"")</f>
        <v/>
      </c>
      <c r="EO7" s="28" t="str">
        <f>IF(CD7=1,VLOOKUP(EA7,'EIA 2021'!$A$2:$Z$213,26,0),"")</f>
        <v/>
      </c>
      <c r="EP7" s="23" t="str">
        <f t="shared" si="53"/>
        <v/>
      </c>
      <c r="EQ7" s="32" t="str">
        <f t="shared" si="54"/>
        <v/>
      </c>
      <c r="ER7" s="32" t="str">
        <f t="shared" si="55"/>
        <v/>
      </c>
      <c r="ES7" s="6"/>
      <c r="ET7" s="32"/>
    </row>
    <row r="8" spans="1:150" ht="14.5">
      <c r="A8" s="7" t="s">
        <v>225</v>
      </c>
      <c r="B8" s="7" t="s">
        <v>226</v>
      </c>
      <c r="C8" s="32" t="s">
        <v>227</v>
      </c>
      <c r="D8" s="40">
        <v>149998708</v>
      </c>
      <c r="E8" s="40">
        <v>0</v>
      </c>
      <c r="F8" s="40">
        <v>515035149</v>
      </c>
      <c r="G8" s="40">
        <v>106239844</v>
      </c>
      <c r="H8" s="40">
        <v>106912218</v>
      </c>
      <c r="I8" s="40">
        <v>2363513</v>
      </c>
      <c r="J8" s="40">
        <v>1546161</v>
      </c>
      <c r="K8" s="40">
        <v>1027132</v>
      </c>
      <c r="L8" s="40">
        <v>6696794</v>
      </c>
      <c r="M8" s="40">
        <v>758060</v>
      </c>
      <c r="N8" s="40">
        <v>783633</v>
      </c>
      <c r="O8" s="40">
        <v>7857717</v>
      </c>
      <c r="P8" s="40">
        <v>346692</v>
      </c>
      <c r="Q8" s="40">
        <v>0</v>
      </c>
      <c r="R8" s="40">
        <v>499502</v>
      </c>
      <c r="S8" s="40">
        <v>3139775</v>
      </c>
      <c r="T8" s="40">
        <v>34023801</v>
      </c>
      <c r="U8" s="40">
        <v>3572811</v>
      </c>
      <c r="V8" s="40">
        <v>418811</v>
      </c>
      <c r="W8" s="40">
        <v>1005</v>
      </c>
      <c r="X8" s="40">
        <f>IFERROR(VLOOKUP(A8,'Trans 21-23'!$A$2:$J$229,6,0),0)</f>
        <v>0</v>
      </c>
      <c r="Y8" s="41">
        <v>3626128</v>
      </c>
      <c r="Z8" s="41">
        <v>381709</v>
      </c>
      <c r="AA8" s="41">
        <v>38499636</v>
      </c>
      <c r="AB8" s="41">
        <v>37383041</v>
      </c>
      <c r="AC8" s="41">
        <v>476976</v>
      </c>
      <c r="AD8" s="41">
        <v>135014714</v>
      </c>
      <c r="AE8" s="41">
        <v>0</v>
      </c>
      <c r="AF8" s="41">
        <v>1178136900</v>
      </c>
      <c r="AG8" s="41">
        <v>802049</v>
      </c>
      <c r="AH8" s="41">
        <v>930694</v>
      </c>
      <c r="AI8" s="41">
        <v>21174061</v>
      </c>
      <c r="AJ8" s="41">
        <v>37154</v>
      </c>
      <c r="AK8" s="41">
        <v>0</v>
      </c>
      <c r="AL8" s="41">
        <v>9940945</v>
      </c>
      <c r="AM8" s="41">
        <v>6143966</v>
      </c>
      <c r="AN8" s="41">
        <v>2122012</v>
      </c>
      <c r="AO8" s="41">
        <v>0</v>
      </c>
      <c r="AP8" s="41">
        <v>1885720</v>
      </c>
      <c r="AQ8" s="41">
        <v>20092643</v>
      </c>
      <c r="AR8" s="41">
        <v>113570</v>
      </c>
      <c r="AS8" s="41">
        <v>20206213</v>
      </c>
      <c r="AT8" s="41">
        <v>0</v>
      </c>
      <c r="AU8" s="41">
        <v>4102</v>
      </c>
      <c r="AV8" s="41">
        <v>0</v>
      </c>
      <c r="AW8" s="41">
        <v>269814441</v>
      </c>
      <c r="AX8" s="41">
        <v>324970355</v>
      </c>
      <c r="AY8" s="41">
        <v>345983989</v>
      </c>
      <c r="AZ8" s="41">
        <v>123555989</v>
      </c>
      <c r="BA8" s="41">
        <v>331783403</v>
      </c>
      <c r="BB8" s="41">
        <v>3063676174</v>
      </c>
      <c r="BC8" s="41">
        <v>10334535804</v>
      </c>
      <c r="BD8" s="41">
        <v>397561536</v>
      </c>
      <c r="BE8" s="41">
        <v>1137482930</v>
      </c>
      <c r="BF8" s="41">
        <v>117479289</v>
      </c>
      <c r="BG8" s="41">
        <v>0</v>
      </c>
      <c r="BH8" s="41">
        <v>28063579</v>
      </c>
      <c r="BI8" s="41">
        <v>14689399</v>
      </c>
      <c r="BJ8" s="41">
        <v>4443885</v>
      </c>
      <c r="BK8" s="41">
        <v>0</v>
      </c>
      <c r="BL8" s="41">
        <v>0</v>
      </c>
      <c r="BM8" s="41">
        <v>44209387</v>
      </c>
      <c r="BN8" s="41">
        <v>135529529</v>
      </c>
      <c r="BO8" s="41">
        <v>17228160</v>
      </c>
      <c r="BP8" s="41">
        <v>21876499</v>
      </c>
      <c r="BQ8" s="41">
        <v>227238731</v>
      </c>
      <c r="BR8" s="41">
        <v>0</v>
      </c>
      <c r="BS8" s="42">
        <f>IFERROR(VLOOKUP(A8,'Trans 21-23'!$A$2:$J$229,5,0),0)</f>
        <v>0</v>
      </c>
      <c r="BT8" s="43"/>
      <c r="BU8" s="6">
        <f t="shared" si="0"/>
        <v>3063676174</v>
      </c>
      <c r="BV8" s="6">
        <f t="shared" si="1"/>
        <v>4102</v>
      </c>
      <c r="BW8" s="6">
        <f t="shared" si="2"/>
        <v>802049</v>
      </c>
      <c r="BX8" s="6">
        <f t="shared" si="3"/>
        <v>63035407</v>
      </c>
      <c r="BY8" s="6">
        <f t="shared" si="4"/>
        <v>80367490</v>
      </c>
      <c r="BZ8" s="6">
        <f t="shared" si="5"/>
        <v>123555989</v>
      </c>
      <c r="CA8" s="6">
        <f t="shared" si="6"/>
        <v>135014714</v>
      </c>
      <c r="CB8" s="6">
        <f t="shared" si="7"/>
        <v>930694</v>
      </c>
      <c r="CC8" s="6">
        <f t="shared" si="8"/>
        <v>20092643</v>
      </c>
      <c r="CD8" s="6">
        <f t="shared" si="9"/>
        <v>1</v>
      </c>
      <c r="CE8" s="44">
        <f t="shared" si="10"/>
        <v>13</v>
      </c>
      <c r="CF8" s="27"/>
      <c r="CG8" s="28">
        <f t="shared" si="11"/>
        <v>746.87376255485128</v>
      </c>
      <c r="CH8" s="28">
        <f t="shared" si="12"/>
        <v>5.1144007411018526</v>
      </c>
      <c r="CI8" s="28">
        <f t="shared" si="13"/>
        <v>78.592962524733522</v>
      </c>
      <c r="CJ8" s="28">
        <f t="shared" si="14"/>
        <v>154.05042459999328</v>
      </c>
      <c r="CK8" s="23">
        <f t="shared" si="15"/>
        <v>4.6320138171966722E-2</v>
      </c>
      <c r="CL8" s="29" t="str">
        <f t="shared" si="16"/>
        <v/>
      </c>
      <c r="CM8" s="29" t="str">
        <f t="shared" si="17"/>
        <v/>
      </c>
      <c r="CN8" s="29" t="str">
        <f t="shared" si="18"/>
        <v/>
      </c>
      <c r="CO8" s="29" t="str">
        <f t="shared" si="19"/>
        <v/>
      </c>
      <c r="CP8" s="29" t="str">
        <f t="shared" si="20"/>
        <v/>
      </c>
      <c r="CQ8" s="29">
        <f t="shared" si="21"/>
        <v>0</v>
      </c>
      <c r="CR8" s="13"/>
      <c r="CS8" s="7">
        <f>VLOOKUP(A8,'Empresas 21-23'!$A$2:$M$228,13,0)</f>
        <v>1</v>
      </c>
      <c r="CT8" s="30"/>
      <c r="CU8" s="6">
        <f t="shared" si="22"/>
        <v>2205764175.5999999</v>
      </c>
      <c r="CV8" s="6">
        <f t="shared" si="23"/>
        <v>123555989</v>
      </c>
      <c r="CW8" s="6">
        <f t="shared" si="24"/>
        <v>397561536</v>
      </c>
      <c r="CX8" s="23">
        <f t="shared" si="56"/>
        <v>0.2219754339812687</v>
      </c>
      <c r="CY8" s="23">
        <f t="shared" si="57"/>
        <v>1.2433964873783248E-2</v>
      </c>
      <c r="CZ8" s="6">
        <f t="shared" si="25"/>
        <v>2294013070.0878596</v>
      </c>
      <c r="DA8" s="6">
        <f t="shared" si="26"/>
        <v>128499255.17379132</v>
      </c>
      <c r="DB8" s="6">
        <f t="shared" si="27"/>
        <v>63035407</v>
      </c>
      <c r="DC8" s="6">
        <f t="shared" si="28"/>
        <v>63035407</v>
      </c>
      <c r="DD8" s="6">
        <f t="shared" si="29"/>
        <v>80367490</v>
      </c>
      <c r="DE8" s="6">
        <f t="shared" si="30"/>
        <v>135014714</v>
      </c>
      <c r="DF8" s="6">
        <f t="shared" si="31"/>
        <v>71398255.007892102</v>
      </c>
      <c r="DG8" s="30"/>
      <c r="DH8" s="32">
        <f>VLOOKUP(A8,'T_med_comp-USA'!$A$7:$Q$233,17,0)</f>
        <v>10.612209671894632</v>
      </c>
      <c r="DI8" s="6" t="str">
        <f t="shared" si="32"/>
        <v>5_2011</v>
      </c>
      <c r="DJ8" s="32">
        <f>IF(DI8="","",VLOOKUP(DI8,'CPI USA'!$T:$U,2,FALSE))</f>
        <v>224.93899999999999</v>
      </c>
      <c r="DK8" s="32">
        <f>IF(DI8="","",VLOOKUP(DI8,'PPI USA'!$S:$T,2,FALSE))</f>
        <v>169.6</v>
      </c>
      <c r="DL8" s="32">
        <f>IF(DI8="","",VLOOKUP(DI8,'CPI USA'!$T:$V,3,FALSE))</f>
        <v>0.6684022975047168</v>
      </c>
      <c r="DM8" s="32">
        <f>IF(DI8="","",VLOOKUP(DI8,'CPI USA'!$T:$X,5,FALSE))</f>
        <v>0.49636791791307899</v>
      </c>
      <c r="DN8" s="32">
        <f t="shared" si="33"/>
        <v>1.4208751760332547</v>
      </c>
      <c r="DO8" s="32">
        <f t="shared" si="34"/>
        <v>1.4334111417560953</v>
      </c>
      <c r="DP8" s="32">
        <f t="shared" si="35"/>
        <v>0.50179652076643932</v>
      </c>
      <c r="DQ8" s="32">
        <f>IF(DP8="","",DP8*$DO$1/'CPI USA'!$U$508+(1-DP8)*AVERAGE($DO$1,$DQ$1)/AVERAGE('CPI USA'!$U$508,'PPI USA'!$T$514))</f>
        <v>1.1563216703128505</v>
      </c>
      <c r="DR8" s="6">
        <f t="shared" si="36"/>
        <v>19133284</v>
      </c>
      <c r="DS8" s="32">
        <f t="shared" si="37"/>
        <v>0.26833558102907062</v>
      </c>
      <c r="DT8" s="28">
        <f>IF(DS8="","",DS8*$DO$1/'CPI USA'!$U$508+(1-DS8)*AVERAGE($DO$1,$DQ$1)/AVERAGE('CPI USA'!$U$508,'PPI USA'!$T$514))</f>
        <v>1.1701205511919941</v>
      </c>
      <c r="DU8" s="6">
        <f t="shared" si="38"/>
        <v>49829168.890763596</v>
      </c>
      <c r="DV8" s="6">
        <f t="shared" si="39"/>
        <v>4709466.7849934213</v>
      </c>
      <c r="DW8" s="6">
        <f t="shared" si="40"/>
        <v>18992558.560397685</v>
      </c>
      <c r="DX8" s="16">
        <f t="shared" si="41"/>
        <v>0.26600872189801161</v>
      </c>
      <c r="DY8" s="28">
        <f>IF(DX8="","",DX8*$DO$1/'CPI USA'!$U$508+(1-DX8)*AVERAGE($DO$1,$DQ$1)/AVERAGE('CPI USA'!$U$508,'PPI USA'!$T$514))</f>
        <v>1.1702580819155841</v>
      </c>
      <c r="DZ8" s="30"/>
      <c r="EA8" s="45" t="str">
        <f t="shared" si="42"/>
        <v>C000116</v>
      </c>
      <c r="EB8" s="29">
        <f t="shared" si="43"/>
        <v>3259506224.7836747</v>
      </c>
      <c r="EC8" s="29">
        <f t="shared" si="44"/>
        <v>184192264.07347205</v>
      </c>
      <c r="ED8" s="29">
        <f t="shared" si="45"/>
        <v>72889207.111090347</v>
      </c>
      <c r="EE8" s="29">
        <f t="shared" si="46"/>
        <v>94039651.696717069</v>
      </c>
      <c r="EF8" s="29">
        <f t="shared" si="47"/>
        <v>83554384.957655564</v>
      </c>
      <c r="EG8" s="29">
        <f t="shared" si="48"/>
        <v>4102</v>
      </c>
      <c r="EH8" s="29">
        <f t="shared" si="49"/>
        <v>802049</v>
      </c>
      <c r="EI8" s="29">
        <f t="shared" si="50"/>
        <v>930694</v>
      </c>
      <c r="EJ8" s="29">
        <f t="shared" si="51"/>
        <v>20092643</v>
      </c>
      <c r="EK8" s="29">
        <f t="shared" si="52"/>
        <v>21021607.507614214</v>
      </c>
      <c r="EL8" s="29">
        <f>IF(CD8=1,VLOOKUP(EA8,'EIA 2021'!$A$2:$J$213,4,0)*EH8,"")</f>
        <v>52622434.890000001</v>
      </c>
      <c r="EM8" s="29">
        <f>IF(CD8=1,VLOOKUP(EA8,'EIA 2021'!$A$2:$J$213,7,0)*EH8,"")</f>
        <v>1106827.6199999999</v>
      </c>
      <c r="EN8" s="29">
        <f>IF(CD8=1,VLOOKUP(EA8,'EIA 2021'!$A$2:$J$213,10,0),"")</f>
        <v>806171</v>
      </c>
      <c r="EO8" s="28">
        <f>IF(CD8=1,VLOOKUP(EA8,'EIA 2021'!$A$2:$Z$213,26,0),"")</f>
        <v>0</v>
      </c>
      <c r="EP8" s="23">
        <f t="shared" si="53"/>
        <v>4.4190935792028936E-2</v>
      </c>
      <c r="EQ8" s="32">
        <f t="shared" si="54"/>
        <v>1729.492385786798</v>
      </c>
      <c r="ER8" s="32">
        <f t="shared" si="55"/>
        <v>928964.50761421316</v>
      </c>
      <c r="ES8" s="6"/>
      <c r="ET8" s="32"/>
    </row>
    <row r="9" spans="1:150" ht="14.5">
      <c r="A9" s="7" t="s">
        <v>228</v>
      </c>
      <c r="B9" s="7" t="s">
        <v>229</v>
      </c>
      <c r="C9" s="32" t="s">
        <v>230</v>
      </c>
      <c r="D9" s="40">
        <v>0</v>
      </c>
      <c r="E9" s="40">
        <v>0</v>
      </c>
      <c r="F9" s="40">
        <v>0</v>
      </c>
      <c r="G9" s="40">
        <v>21184394</v>
      </c>
      <c r="H9" s="40">
        <v>21184394</v>
      </c>
      <c r="I9" s="40">
        <v>350502</v>
      </c>
      <c r="J9" s="40">
        <v>185560</v>
      </c>
      <c r="K9" s="40">
        <v>332879</v>
      </c>
      <c r="L9" s="40">
        <v>636205</v>
      </c>
      <c r="M9" s="40">
        <v>13254</v>
      </c>
      <c r="N9" s="40">
        <v>161997</v>
      </c>
      <c r="O9" s="40">
        <v>3587491</v>
      </c>
      <c r="P9" s="40">
        <v>0</v>
      </c>
      <c r="Q9" s="40">
        <v>736349</v>
      </c>
      <c r="R9" s="40">
        <v>126652</v>
      </c>
      <c r="S9" s="40">
        <v>1300392</v>
      </c>
      <c r="T9" s="40">
        <v>11307615</v>
      </c>
      <c r="U9" s="40">
        <v>449173</v>
      </c>
      <c r="V9" s="40">
        <v>565516</v>
      </c>
      <c r="W9" s="40">
        <v>26509</v>
      </c>
      <c r="X9" s="40">
        <f>IFERROR(VLOOKUP(A9,'Trans 21-23'!$A$2:$J$229,6,0),0)</f>
        <v>0</v>
      </c>
      <c r="Y9" s="41">
        <v>1837926</v>
      </c>
      <c r="Z9" s="41">
        <v>58908</v>
      </c>
      <c r="AA9" s="41">
        <v>11768892</v>
      </c>
      <c r="AB9" s="41">
        <v>74747</v>
      </c>
      <c r="AC9" s="41">
        <v>0</v>
      </c>
      <c r="AD9" s="41">
        <v>17869793</v>
      </c>
      <c r="AE9" s="41">
        <v>0</v>
      </c>
      <c r="AF9" s="41">
        <v>72490906</v>
      </c>
      <c r="AG9" s="41">
        <v>0</v>
      </c>
      <c r="AH9" s="41">
        <v>0</v>
      </c>
      <c r="AI9" s="41">
        <v>489278</v>
      </c>
      <c r="AJ9" s="41">
        <v>0</v>
      </c>
      <c r="AK9" s="41">
        <v>0</v>
      </c>
      <c r="AL9" s="41">
        <v>0</v>
      </c>
      <c r="AM9" s="41">
        <v>0</v>
      </c>
      <c r="AN9" s="41">
        <v>0</v>
      </c>
      <c r="AO9" s="41">
        <v>0</v>
      </c>
      <c r="AP9" s="41">
        <v>0</v>
      </c>
      <c r="AQ9" s="41">
        <v>0</v>
      </c>
      <c r="AR9" s="41">
        <v>489278</v>
      </c>
      <c r="AS9" s="41">
        <v>489278</v>
      </c>
      <c r="AT9" s="41">
        <v>0</v>
      </c>
      <c r="AU9" s="41">
        <v>296</v>
      </c>
      <c r="AV9" s="41">
        <v>0</v>
      </c>
      <c r="AW9" s="41">
        <v>166563019</v>
      </c>
      <c r="AX9" s="41">
        <v>3176440</v>
      </c>
      <c r="AY9" s="41">
        <v>15980762</v>
      </c>
      <c r="AZ9" s="41">
        <v>33529338</v>
      </c>
      <c r="BA9" s="41">
        <v>10886944</v>
      </c>
      <c r="BB9" s="41">
        <v>612934672</v>
      </c>
      <c r="BC9" s="41">
        <v>1494906686</v>
      </c>
      <c r="BD9" s="41">
        <v>143056533</v>
      </c>
      <c r="BE9" s="41">
        <v>209080656</v>
      </c>
      <c r="BF9" s="41">
        <v>13902244</v>
      </c>
      <c r="BG9" s="41">
        <v>0</v>
      </c>
      <c r="BH9" s="41">
        <v>12207062</v>
      </c>
      <c r="BI9" s="41">
        <v>4990894</v>
      </c>
      <c r="BJ9" s="41">
        <v>0</v>
      </c>
      <c r="BK9" s="41">
        <v>0</v>
      </c>
      <c r="BL9" s="41">
        <v>0</v>
      </c>
      <c r="BM9" s="41">
        <v>6401390</v>
      </c>
      <c r="BN9" s="41">
        <v>27039094</v>
      </c>
      <c r="BO9" s="41">
        <v>1148560</v>
      </c>
      <c r="BP9" s="41">
        <v>4104263</v>
      </c>
      <c r="BQ9" s="41">
        <v>41315168</v>
      </c>
      <c r="BR9" s="41">
        <v>0</v>
      </c>
      <c r="BS9" s="42">
        <f>IFERROR(VLOOKUP(A9,'Trans 21-23'!$A$2:$J$229,5,0),0)</f>
        <v>0</v>
      </c>
      <c r="BT9" s="43"/>
      <c r="BU9" s="6">
        <f t="shared" si="0"/>
        <v>612934672</v>
      </c>
      <c r="BV9" s="6">
        <f t="shared" si="1"/>
        <v>296</v>
      </c>
      <c r="BW9" s="6">
        <f t="shared" si="2"/>
        <v>0</v>
      </c>
      <c r="BX9" s="6">
        <f t="shared" si="3"/>
        <v>19780094</v>
      </c>
      <c r="BY9" s="6">
        <f t="shared" si="4"/>
        <v>13740473</v>
      </c>
      <c r="BZ9" s="6">
        <f t="shared" si="5"/>
        <v>33529338</v>
      </c>
      <c r="CA9" s="6">
        <f t="shared" si="6"/>
        <v>17869793</v>
      </c>
      <c r="CB9" s="6">
        <f t="shared" si="7"/>
        <v>0</v>
      </c>
      <c r="CC9" s="6">
        <f t="shared" si="8"/>
        <v>0</v>
      </c>
      <c r="CD9" s="6">
        <f t="shared" si="9"/>
        <v>0</v>
      </c>
      <c r="CE9" s="44">
        <f t="shared" si="10"/>
        <v>25</v>
      </c>
      <c r="CF9" s="27"/>
      <c r="CG9" s="28" t="str">
        <f t="shared" si="11"/>
        <v/>
      </c>
      <c r="CH9" s="28" t="str">
        <f t="shared" si="12"/>
        <v/>
      </c>
      <c r="CI9" s="28" t="str">
        <f t="shared" si="13"/>
        <v/>
      </c>
      <c r="CJ9" s="28" t="str">
        <f t="shared" si="14"/>
        <v/>
      </c>
      <c r="CK9" s="23" t="str">
        <f t="shared" si="15"/>
        <v/>
      </c>
      <c r="CL9" s="29" t="str">
        <f t="shared" si="16"/>
        <v/>
      </c>
      <c r="CM9" s="29" t="str">
        <f t="shared" si="17"/>
        <v/>
      </c>
      <c r="CN9" s="29" t="str">
        <f t="shared" si="18"/>
        <v/>
      </c>
      <c r="CO9" s="29" t="str">
        <f t="shared" si="19"/>
        <v/>
      </c>
      <c r="CP9" s="29" t="str">
        <f t="shared" si="20"/>
        <v/>
      </c>
      <c r="CQ9" s="29">
        <f t="shared" si="21"/>
        <v>0</v>
      </c>
      <c r="CR9" s="13"/>
      <c r="CS9" s="7" t="str">
        <f>VLOOKUP(A9,'Empresas 21-23'!$A$2:$M$228,13,0)</f>
        <v/>
      </c>
      <c r="CT9" s="30"/>
      <c r="CU9" s="6">
        <f t="shared" si="22"/>
        <v>557024068.79999995</v>
      </c>
      <c r="CV9" s="6">
        <f t="shared" si="23"/>
        <v>33529338</v>
      </c>
      <c r="CW9" s="6">
        <f t="shared" si="24"/>
        <v>143056533</v>
      </c>
      <c r="CX9" s="23">
        <f t="shared" si="56"/>
        <v>0.41204571938972878</v>
      </c>
      <c r="CY9" s="23">
        <f t="shared" si="57"/>
        <v>2.4802555168997344E-2</v>
      </c>
      <c r="CZ9" s="6">
        <f t="shared" si="25"/>
        <v>615969900.85338545</v>
      </c>
      <c r="DA9" s="6">
        <f t="shared" si="26"/>
        <v>37077505.552017987</v>
      </c>
      <c r="DB9" s="6">
        <f t="shared" si="27"/>
        <v>19780094</v>
      </c>
      <c r="DC9" s="6">
        <f t="shared" si="28"/>
        <v>19780094</v>
      </c>
      <c r="DD9" s="6">
        <f t="shared" si="29"/>
        <v>13740473</v>
      </c>
      <c r="DE9" s="6">
        <f t="shared" si="30"/>
        <v>17869793</v>
      </c>
      <c r="DF9" s="6">
        <f t="shared" si="31"/>
        <v>17914604.406390201</v>
      </c>
      <c r="DG9" s="30"/>
      <c r="DH9" s="32">
        <f>VLOOKUP(A9,'T_med_comp-USA'!$A$7:$Q$233,17,0)</f>
        <v>14.613871473392203</v>
      </c>
      <c r="DI9" s="6" t="str">
        <f t="shared" si="32"/>
        <v>5_2007</v>
      </c>
      <c r="DJ9" s="32">
        <f>IF(DI9="","",VLOOKUP(DI9,'CPI USA'!$T:$U,2,FALSE))</f>
        <v>207.34200000000001</v>
      </c>
      <c r="DK9" s="32">
        <f>IF(DI9="","",VLOOKUP(DI9,'PPI USA'!$S:$T,2,FALSE))</f>
        <v>151.69999999999999</v>
      </c>
      <c r="DL9" s="32">
        <f>IF(DI9="","",VLOOKUP(DI9,'CPI USA'!$T:$V,3,FALSE))</f>
        <v>0.67123734379962852</v>
      </c>
      <c r="DM9" s="32">
        <f>IF(DI9="","",VLOOKUP(DI9,'CPI USA'!$T:$X,5,FALSE))</f>
        <v>0.49957259686190569</v>
      </c>
      <c r="DN9" s="32">
        <f t="shared" si="33"/>
        <v>1.5480022216582647</v>
      </c>
      <c r="DO9" s="32">
        <f t="shared" si="34"/>
        <v>1.5651038394149617</v>
      </c>
      <c r="DP9" s="32">
        <f t="shared" si="35"/>
        <v>0.6433533927711067</v>
      </c>
      <c r="DQ9" s="32">
        <f>IF(DP9="","",DP9*$DO$1/'CPI USA'!$U$508+(1-DP9)*AVERAGE($DO$1,$DQ$1)/AVERAGE('CPI USA'!$U$508,'PPI USA'!$T$514))</f>
        <v>1.1479548470806042</v>
      </c>
      <c r="DR9" s="6">
        <f t="shared" si="36"/>
        <v>4990894</v>
      </c>
      <c r="DS9" s="32">
        <f t="shared" si="37"/>
        <v>0.3786547938089051</v>
      </c>
      <c r="DT9" s="28">
        <f>IF(DS9="","",DS9*$DO$1/'CPI USA'!$U$508+(1-DS9)*AVERAGE($DO$1,$DQ$1)/AVERAGE('CPI USA'!$U$508,'PPI USA'!$T$514))</f>
        <v>1.1636000528270758</v>
      </c>
      <c r="DU9" s="6">
        <f t="shared" si="38"/>
        <v>6673306.6736281915</v>
      </c>
      <c r="DV9" s="6">
        <f t="shared" si="39"/>
        <v>706056.14471268572</v>
      </c>
      <c r="DW9" s="6">
        <f t="shared" si="40"/>
        <v>4693572.8341290727</v>
      </c>
      <c r="DX9" s="16">
        <f t="shared" si="41"/>
        <v>0.26199701247407164</v>
      </c>
      <c r="DY9" s="28">
        <f>IF(DX9="","",DX9*$DO$1/'CPI USA'!$U$508+(1-DX9)*AVERAGE($DO$1,$DQ$1)/AVERAGE('CPI USA'!$U$508,'PPI USA'!$T$514))</f>
        <v>1.1704951969572905</v>
      </c>
      <c r="DZ9" s="30"/>
      <c r="EA9" s="45" t="str">
        <f t="shared" si="42"/>
        <v>C000120</v>
      </c>
      <c r="EB9" s="29" t="str">
        <f t="shared" si="43"/>
        <v/>
      </c>
      <c r="EC9" s="29" t="str">
        <f t="shared" si="44"/>
        <v/>
      </c>
      <c r="ED9" s="29" t="str">
        <f t="shared" si="45"/>
        <v/>
      </c>
      <c r="EE9" s="29" t="str">
        <f t="shared" si="46"/>
        <v/>
      </c>
      <c r="EF9" s="29" t="str">
        <f t="shared" si="47"/>
        <v/>
      </c>
      <c r="EG9" s="29" t="str">
        <f t="shared" si="48"/>
        <v/>
      </c>
      <c r="EH9" s="29" t="str">
        <f t="shared" si="49"/>
        <v/>
      </c>
      <c r="EI9" s="29" t="str">
        <f t="shared" si="50"/>
        <v/>
      </c>
      <c r="EJ9" s="29" t="str">
        <f t="shared" si="51"/>
        <v/>
      </c>
      <c r="EK9" s="29" t="str">
        <f t="shared" si="52"/>
        <v/>
      </c>
      <c r="EL9" s="29" t="str">
        <f>IF(CD9=1,VLOOKUP(EA9,'EIA 2021'!$A$2:$J$213,4,0)*EH9,"")</f>
        <v/>
      </c>
      <c r="EM9" s="29" t="str">
        <f>IF(CD9=1,VLOOKUP(EA9,'EIA 2021'!$A$2:$J$213,7,0)*EH9,"")</f>
        <v/>
      </c>
      <c r="EN9" s="29" t="str">
        <f>IF(CD9=1,VLOOKUP(EA9,'EIA 2021'!$A$2:$J$213,10,0),"")</f>
        <v/>
      </c>
      <c r="EO9" s="28" t="str">
        <f>IF(CD9=1,VLOOKUP(EA9,'EIA 2021'!$A$2:$Z$213,26,0),"")</f>
        <v/>
      </c>
      <c r="EP9" s="23" t="str">
        <f t="shared" si="53"/>
        <v/>
      </c>
      <c r="EQ9" s="32" t="str">
        <f t="shared" si="54"/>
        <v/>
      </c>
      <c r="ER9" s="32" t="str">
        <f t="shared" si="55"/>
        <v/>
      </c>
      <c r="ES9" s="6"/>
      <c r="ET9" s="32"/>
    </row>
    <row r="10" spans="1:150" ht="14.5">
      <c r="A10" s="7" t="s">
        <v>231</v>
      </c>
      <c r="B10" s="7" t="s">
        <v>232</v>
      </c>
      <c r="C10" s="32" t="s">
        <v>233</v>
      </c>
      <c r="D10" s="40">
        <v>155863346</v>
      </c>
      <c r="E10" s="40">
        <v>0</v>
      </c>
      <c r="F10" s="40">
        <v>515048</v>
      </c>
      <c r="G10" s="40">
        <v>1634476565</v>
      </c>
      <c r="H10" s="40">
        <v>1635660889</v>
      </c>
      <c r="I10" s="40">
        <v>48419062</v>
      </c>
      <c r="J10" s="40">
        <v>34941437</v>
      </c>
      <c r="K10" s="40">
        <v>0</v>
      </c>
      <c r="L10" s="40">
        <v>6712675</v>
      </c>
      <c r="M10" s="40">
        <v>38884487</v>
      </c>
      <c r="N10" s="40">
        <v>12282929</v>
      </c>
      <c r="O10" s="40">
        <v>39973438</v>
      </c>
      <c r="P10" s="40">
        <v>49526094</v>
      </c>
      <c r="Q10" s="40">
        <v>21540345</v>
      </c>
      <c r="R10" s="40">
        <v>8239881</v>
      </c>
      <c r="S10" s="40">
        <v>14738398</v>
      </c>
      <c r="T10" s="40">
        <v>117497243</v>
      </c>
      <c r="U10" s="40">
        <v>220198721</v>
      </c>
      <c r="V10" s="40">
        <v>4296403</v>
      </c>
      <c r="W10" s="40">
        <v>1959521</v>
      </c>
      <c r="X10" s="40">
        <f>IFERROR(VLOOKUP(A10,'Trans 21-23'!$A$2:$J$229,6,0),0)</f>
        <v>0</v>
      </c>
      <c r="Y10" s="41">
        <v>3572679</v>
      </c>
      <c r="Z10" s="41">
        <v>120551</v>
      </c>
      <c r="AA10" s="41">
        <v>233589404</v>
      </c>
      <c r="AB10" s="41">
        <v>365531969</v>
      </c>
      <c r="AC10" s="41">
        <v>0</v>
      </c>
      <c r="AD10" s="41">
        <v>556760478</v>
      </c>
      <c r="AE10" s="41">
        <v>0</v>
      </c>
      <c r="AF10" s="41">
        <v>3874702210</v>
      </c>
      <c r="AG10" s="41">
        <v>3530570</v>
      </c>
      <c r="AH10" s="41">
        <v>4800056</v>
      </c>
      <c r="AI10" s="41">
        <v>57357269</v>
      </c>
      <c r="AJ10" s="41">
        <v>90585</v>
      </c>
      <c r="AK10" s="41">
        <v>0</v>
      </c>
      <c r="AL10" s="41">
        <v>13935989</v>
      </c>
      <c r="AM10" s="41">
        <v>27234714</v>
      </c>
      <c r="AN10" s="41">
        <v>386926</v>
      </c>
      <c r="AO10" s="41">
        <v>7262</v>
      </c>
      <c r="AP10" s="41">
        <v>644727</v>
      </c>
      <c r="AQ10" s="41">
        <v>42303158</v>
      </c>
      <c r="AR10" s="41">
        <v>1095532</v>
      </c>
      <c r="AS10" s="41">
        <v>43398690</v>
      </c>
      <c r="AT10" s="41">
        <v>93540</v>
      </c>
      <c r="AU10" s="41">
        <v>5394</v>
      </c>
      <c r="AV10" s="41">
        <v>0</v>
      </c>
      <c r="AW10" s="41">
        <v>1262726111</v>
      </c>
      <c r="AX10" s="41">
        <v>4951146426</v>
      </c>
      <c r="AY10" s="41">
        <v>7591139816</v>
      </c>
      <c r="AZ10" s="41">
        <v>749731433</v>
      </c>
      <c r="BA10" s="41">
        <v>535349965</v>
      </c>
      <c r="BB10" s="41">
        <v>26195063963</v>
      </c>
      <c r="BC10" s="41">
        <v>32420043566</v>
      </c>
      <c r="BD10" s="41">
        <v>102134631</v>
      </c>
      <c r="BE10" s="41">
        <v>5888567997</v>
      </c>
      <c r="BF10" s="41">
        <v>851731003</v>
      </c>
      <c r="BG10" s="41">
        <v>0</v>
      </c>
      <c r="BH10" s="41">
        <v>237218717</v>
      </c>
      <c r="BI10" s="41">
        <v>110291191</v>
      </c>
      <c r="BJ10" s="41">
        <v>19465356</v>
      </c>
      <c r="BK10" s="41">
        <v>0</v>
      </c>
      <c r="BL10" s="41">
        <v>0</v>
      </c>
      <c r="BM10" s="41">
        <v>114606389</v>
      </c>
      <c r="BN10" s="41">
        <v>593201258</v>
      </c>
      <c r="BO10" s="41">
        <v>0</v>
      </c>
      <c r="BP10" s="41">
        <v>0</v>
      </c>
      <c r="BQ10" s="41">
        <v>1705235966</v>
      </c>
      <c r="BR10" s="41">
        <v>0</v>
      </c>
      <c r="BS10" s="42">
        <f>IFERROR(VLOOKUP(A10,'Trans 21-23'!$A$2:$J$229,5,0),0)</f>
        <v>0</v>
      </c>
      <c r="BT10" s="43"/>
      <c r="BU10" s="6">
        <f t="shared" si="0"/>
        <v>26195063963</v>
      </c>
      <c r="BV10" s="6">
        <f t="shared" si="1"/>
        <v>5394</v>
      </c>
      <c r="BW10" s="6">
        <f t="shared" si="2"/>
        <v>3530570</v>
      </c>
      <c r="BX10" s="6">
        <f t="shared" si="3"/>
        <v>619210634</v>
      </c>
      <c r="BY10" s="6">
        <f t="shared" si="4"/>
        <v>602814603</v>
      </c>
      <c r="BZ10" s="6">
        <f t="shared" si="5"/>
        <v>749731433</v>
      </c>
      <c r="CA10" s="6">
        <f t="shared" si="6"/>
        <v>556760478</v>
      </c>
      <c r="CB10" s="6">
        <f t="shared" si="7"/>
        <v>4800056</v>
      </c>
      <c r="CC10" s="6">
        <f t="shared" si="8"/>
        <v>42303158</v>
      </c>
      <c r="CD10" s="6">
        <f t="shared" si="9"/>
        <v>1</v>
      </c>
      <c r="CE10" s="44">
        <f t="shared" si="10"/>
        <v>14</v>
      </c>
      <c r="CF10" s="27"/>
      <c r="CG10" s="28">
        <f t="shared" si="11"/>
        <v>4856.3336972562101</v>
      </c>
      <c r="CH10" s="28">
        <f t="shared" si="12"/>
        <v>1.5277986274171027</v>
      </c>
      <c r="CI10" s="28">
        <f t="shared" si="13"/>
        <v>175.38545730576084</v>
      </c>
      <c r="CJ10" s="28">
        <f t="shared" si="14"/>
        <v>212.3542184406484</v>
      </c>
      <c r="CK10" s="23">
        <f t="shared" si="15"/>
        <v>0.11346802997544533</v>
      </c>
      <c r="CL10" s="29">
        <f t="shared" si="16"/>
        <v>1</v>
      </c>
      <c r="CM10" s="29" t="str">
        <f t="shared" si="17"/>
        <v/>
      </c>
      <c r="CN10" s="29" t="str">
        <f t="shared" si="18"/>
        <v/>
      </c>
      <c r="CO10" s="29" t="str">
        <f t="shared" si="19"/>
        <v/>
      </c>
      <c r="CP10" s="29" t="str">
        <f t="shared" si="20"/>
        <v/>
      </c>
      <c r="CQ10" s="29">
        <f t="shared" si="21"/>
        <v>1</v>
      </c>
      <c r="CR10" s="13"/>
      <c r="CS10" s="7" t="str">
        <f>VLOOKUP(A10,'Empresas 21-23'!$A$2:$M$228,13,0)</f>
        <v/>
      </c>
      <c r="CT10" s="30"/>
      <c r="CU10" s="6">
        <f t="shared" si="22"/>
        <v>17384610819.799999</v>
      </c>
      <c r="CV10" s="6">
        <f t="shared" si="23"/>
        <v>749731433</v>
      </c>
      <c r="CW10" s="6">
        <f t="shared" si="24"/>
        <v>102134631</v>
      </c>
      <c r="CX10" s="23">
        <f t="shared" si="56"/>
        <v>0.53792498935389421</v>
      </c>
      <c r="CY10" s="23">
        <f t="shared" si="57"/>
        <v>2.3198636845840226E-2</v>
      </c>
      <c r="CZ10" s="6">
        <f t="shared" si="25"/>
        <v>17439551590.093338</v>
      </c>
      <c r="DA10" s="6">
        <f t="shared" si="26"/>
        <v>752100817.2139529</v>
      </c>
      <c r="DB10" s="6">
        <f t="shared" si="27"/>
        <v>619210634</v>
      </c>
      <c r="DC10" s="6">
        <f t="shared" si="28"/>
        <v>619210634</v>
      </c>
      <c r="DD10" s="6">
        <f t="shared" si="29"/>
        <v>602814603</v>
      </c>
      <c r="DE10" s="6">
        <f t="shared" si="30"/>
        <v>556760478</v>
      </c>
      <c r="DF10" s="6">
        <f t="shared" si="31"/>
        <v>445883913.17286843</v>
      </c>
      <c r="DG10" s="30"/>
      <c r="DH10" s="32">
        <f>VLOOKUP(A10,'T_med_comp-USA'!$A$7:$Q$233,17,0)</f>
        <v>7.2176854877143723</v>
      </c>
      <c r="DI10" s="6" t="str">
        <f t="shared" si="32"/>
        <v>10_2014</v>
      </c>
      <c r="DJ10" s="32">
        <f>IF(DI10="","",VLOOKUP(DI10,'CPI USA'!$T:$U,2,FALSE))</f>
        <v>237.43299999999999</v>
      </c>
      <c r="DK10" s="32">
        <f>IF(DI10="","",VLOOKUP(DI10,'PPI USA'!$S:$T,2,FALSE))</f>
        <v>181.3</v>
      </c>
      <c r="DL10" s="32">
        <f>IF(DI10="","",VLOOKUP(DI10,'CPI USA'!$T:$V,3,FALSE))</f>
        <v>0.66756601812039096</v>
      </c>
      <c r="DM10" s="32">
        <f>IF(DI10="","",VLOOKUP(DI10,'CPI USA'!$T:$X,5,FALSE))</f>
        <v>0.49542529667095003</v>
      </c>
      <c r="DN10" s="32">
        <f t="shared" si="33"/>
        <v>1.3436449732207416</v>
      </c>
      <c r="DO10" s="32">
        <f t="shared" si="34"/>
        <v>1.3542238044000909</v>
      </c>
      <c r="DP10" s="32">
        <f t="shared" si="35"/>
        <v>0.38309858386572865</v>
      </c>
      <c r="DQ10" s="32">
        <f>IF(DP10="","",DP10*$DO$1/'CPI USA'!$U$508+(1-DP10)*AVERAGE($DO$1,$DQ$1)/AVERAGE('CPI USA'!$U$508,'PPI USA'!$T$514))</f>
        <v>1.1633373993411649</v>
      </c>
      <c r="DR10" s="6">
        <f t="shared" si="36"/>
        <v>129756547</v>
      </c>
      <c r="DS10" s="32">
        <f t="shared" si="37"/>
        <v>0.21525116736430489</v>
      </c>
      <c r="DT10" s="28">
        <f>IF(DS10="","",DS10*$DO$1/'CPI USA'!$U$508+(1-DS10)*AVERAGE($DO$1,$DQ$1)/AVERAGE('CPI USA'!$U$508,'PPI USA'!$T$514))</f>
        <v>1.1732581445792363</v>
      </c>
      <c r="DU10" s="6">
        <f t="shared" si="38"/>
        <v>114606389</v>
      </c>
      <c r="DV10" s="6">
        <f t="shared" si="39"/>
        <v>0</v>
      </c>
      <c r="DW10" s="6">
        <f t="shared" si="40"/>
        <v>70899562.824867934</v>
      </c>
      <c r="DX10" s="16">
        <f t="shared" si="41"/>
        <v>0.2</v>
      </c>
      <c r="DY10" s="28">
        <f>IF(DX10="","",DX10*$DO$1/'CPI USA'!$U$508+(1-DX10)*AVERAGE($DO$1,$DQ$1)/AVERAGE('CPI USA'!$U$508,'PPI USA'!$T$514))</f>
        <v>1.1741595760647974</v>
      </c>
      <c r="DZ10" s="30"/>
      <c r="EA10" s="45" t="str">
        <f t="shared" si="42"/>
        <v>C000134</v>
      </c>
      <c r="EB10" s="29">
        <f t="shared" si="43"/>
        <v>23432565829.252705</v>
      </c>
      <c r="EC10" s="29">
        <f t="shared" si="44"/>
        <v>1018512829.9798967</v>
      </c>
      <c r="ED10" s="29">
        <f t="shared" si="45"/>
        <v>720350888.60195386</v>
      </c>
      <c r="EE10" s="29">
        <f t="shared" si="46"/>
        <v>707257142.64104891</v>
      </c>
      <c r="EF10" s="29">
        <f t="shared" si="47"/>
        <v>523538866.46516812</v>
      </c>
      <c r="EG10" s="29">
        <f t="shared" si="48"/>
        <v>5394</v>
      </c>
      <c r="EH10" s="29">
        <f t="shared" si="49"/>
        <v>3530570</v>
      </c>
      <c r="EI10" s="29">
        <f t="shared" si="50"/>
        <v>4800056</v>
      </c>
      <c r="EJ10" s="29">
        <f t="shared" si="51"/>
        <v>42303158</v>
      </c>
      <c r="EK10" s="29">
        <f t="shared" si="52"/>
        <v>47086530.771573603</v>
      </c>
      <c r="EL10" s="29">
        <f>IF(CD10=1,VLOOKUP(EA10,'EIA 2021'!$A$2:$J$213,4,0)*EH10,"")</f>
        <v>69199172</v>
      </c>
      <c r="EM10" s="29">
        <f>IF(CD10=1,VLOOKUP(EA10,'EIA 2021'!$A$2:$J$213,7,0)*EH10,"")</f>
        <v>579013.48</v>
      </c>
      <c r="EN10" s="29">
        <f>IF(CD10=1,VLOOKUP(EA10,'EIA 2021'!$A$2:$J$213,10,0),"")</f>
        <v>0</v>
      </c>
      <c r="EO10" s="28">
        <f>IF(CD10=1,VLOOKUP(EA10,'EIA 2021'!$A$2:$Z$213,26,0),"")</f>
        <v>0</v>
      </c>
      <c r="EP10" s="23">
        <f t="shared" si="53"/>
        <v>0.10158685919713908</v>
      </c>
      <c r="EQ10" s="32">
        <f t="shared" si="54"/>
        <v>16683.228426395915</v>
      </c>
      <c r="ER10" s="32">
        <f t="shared" si="55"/>
        <v>4783372.7715736041</v>
      </c>
      <c r="ES10" s="6"/>
      <c r="ET10" s="32"/>
    </row>
    <row r="11" spans="1:150" ht="14.5">
      <c r="A11" s="7" t="s">
        <v>234</v>
      </c>
      <c r="B11" s="7" t="s">
        <v>235</v>
      </c>
      <c r="C11" s="32" t="s">
        <v>236</v>
      </c>
      <c r="D11" s="40">
        <v>269976196</v>
      </c>
      <c r="E11" s="40">
        <v>180614977</v>
      </c>
      <c r="F11" s="40">
        <v>788183883</v>
      </c>
      <c r="G11" s="40">
        <v>648227111</v>
      </c>
      <c r="H11" s="40">
        <v>577737450</v>
      </c>
      <c r="I11" s="40">
        <v>494127</v>
      </c>
      <c r="J11" s="40">
        <v>448127</v>
      </c>
      <c r="K11" s="40">
        <v>4876865</v>
      </c>
      <c r="L11" s="40">
        <v>2319468</v>
      </c>
      <c r="M11" s="40">
        <v>6616054</v>
      </c>
      <c r="N11" s="40">
        <v>5573735</v>
      </c>
      <c r="O11" s="40">
        <v>31846770</v>
      </c>
      <c r="P11" s="40">
        <v>3038384</v>
      </c>
      <c r="Q11" s="40">
        <v>1032076</v>
      </c>
      <c r="R11" s="40">
        <v>0</v>
      </c>
      <c r="S11" s="40">
        <v>2631849</v>
      </c>
      <c r="T11" s="40">
        <v>80264817</v>
      </c>
      <c r="U11" s="40">
        <v>5342236</v>
      </c>
      <c r="V11" s="40">
        <v>1313626</v>
      </c>
      <c r="W11" s="40">
        <v>420294</v>
      </c>
      <c r="X11" s="40">
        <f>IFERROR(VLOOKUP(A11,'Trans 21-23'!$A$2:$J$229,6,0),0)</f>
        <v>11223306</v>
      </c>
      <c r="Y11" s="41">
        <v>3734489</v>
      </c>
      <c r="Z11" s="41">
        <v>1617254</v>
      </c>
      <c r="AA11" s="41">
        <v>63979006</v>
      </c>
      <c r="AB11" s="41">
        <v>3141305</v>
      </c>
      <c r="AC11" s="41">
        <v>9173489</v>
      </c>
      <c r="AD11" s="41">
        <v>359421088</v>
      </c>
      <c r="AE11" s="41">
        <v>0</v>
      </c>
      <c r="AF11" s="41">
        <v>3102808867</v>
      </c>
      <c r="AG11" s="41">
        <v>1644186</v>
      </c>
      <c r="AH11" s="41">
        <v>2346288</v>
      </c>
      <c r="AI11" s="41">
        <v>69313174</v>
      </c>
      <c r="AJ11" s="41">
        <v>84623</v>
      </c>
      <c r="AK11" s="41">
        <v>0</v>
      </c>
      <c r="AL11" s="41">
        <v>18433478</v>
      </c>
      <c r="AM11" s="41">
        <v>13469137</v>
      </c>
      <c r="AN11" s="41">
        <v>9961700</v>
      </c>
      <c r="AO11" s="41">
        <v>140348</v>
      </c>
      <c r="AP11" s="41">
        <v>1332296</v>
      </c>
      <c r="AQ11" s="41">
        <v>43336959</v>
      </c>
      <c r="AR11" s="41">
        <v>23545304</v>
      </c>
      <c r="AS11" s="41">
        <v>66882263</v>
      </c>
      <c r="AT11" s="41">
        <v>0</v>
      </c>
      <c r="AU11" s="41">
        <v>12655</v>
      </c>
      <c r="AV11" s="41">
        <v>0</v>
      </c>
      <c r="AW11" s="41">
        <v>1484627605</v>
      </c>
      <c r="AX11" s="41">
        <v>240883069</v>
      </c>
      <c r="AY11" s="41">
        <v>1498612118</v>
      </c>
      <c r="AZ11" s="41">
        <v>297756055</v>
      </c>
      <c r="BA11" s="41">
        <v>330297924</v>
      </c>
      <c r="BB11" s="41">
        <v>8531324173</v>
      </c>
      <c r="BC11" s="41">
        <v>34347751919</v>
      </c>
      <c r="BD11" s="41">
        <v>795174783</v>
      </c>
      <c r="BE11" s="41">
        <v>44964</v>
      </c>
      <c r="BF11" s="41">
        <v>197401969</v>
      </c>
      <c r="BG11" s="41">
        <v>0</v>
      </c>
      <c r="BH11" s="41">
        <v>40095833</v>
      </c>
      <c r="BI11" s="41">
        <v>22158621</v>
      </c>
      <c r="BJ11" s="41">
        <v>2229625</v>
      </c>
      <c r="BK11" s="41">
        <v>5294232</v>
      </c>
      <c r="BL11" s="41">
        <v>0</v>
      </c>
      <c r="BM11" s="41">
        <v>129135078</v>
      </c>
      <c r="BN11" s="41">
        <v>546016129</v>
      </c>
      <c r="BO11" s="41">
        <v>3104246</v>
      </c>
      <c r="BP11" s="41">
        <v>13047369</v>
      </c>
      <c r="BQ11" s="41">
        <v>792310273</v>
      </c>
      <c r="BR11" s="41">
        <v>0</v>
      </c>
      <c r="BS11" s="42">
        <f>IFERROR(VLOOKUP(A11,'Trans 21-23'!$A$2:$J$229,5,0),0)</f>
        <v>715099957</v>
      </c>
      <c r="BT11" s="43"/>
      <c r="BU11" s="6">
        <f t="shared" si="0"/>
        <v>8531324173</v>
      </c>
      <c r="BV11" s="6">
        <f t="shared" si="1"/>
        <v>12655</v>
      </c>
      <c r="BW11" s="6">
        <f t="shared" si="2"/>
        <v>1644186</v>
      </c>
      <c r="BX11" s="6">
        <f t="shared" si="3"/>
        <v>146218428</v>
      </c>
      <c r="BY11" s="6">
        <f t="shared" si="4"/>
        <v>81645543</v>
      </c>
      <c r="BZ11" s="6">
        <f t="shared" si="5"/>
        <v>297756055</v>
      </c>
      <c r="CA11" s="6">
        <f t="shared" si="6"/>
        <v>359421088</v>
      </c>
      <c r="CB11" s="6">
        <f t="shared" si="7"/>
        <v>2346288</v>
      </c>
      <c r="CC11" s="6">
        <f t="shared" si="8"/>
        <v>43336959</v>
      </c>
      <c r="CD11" s="6">
        <f t="shared" si="9"/>
        <v>1</v>
      </c>
      <c r="CE11" s="44">
        <f t="shared" si="10"/>
        <v>8</v>
      </c>
      <c r="CF11" s="27"/>
      <c r="CG11" s="28">
        <f t="shared" si="11"/>
        <v>674.14651702884237</v>
      </c>
      <c r="CH11" s="28">
        <f t="shared" si="12"/>
        <v>7.6968177566285076</v>
      </c>
      <c r="CI11" s="28">
        <f t="shared" si="13"/>
        <v>88.930588145136866</v>
      </c>
      <c r="CJ11" s="28">
        <f t="shared" si="14"/>
        <v>181.09633277500234</v>
      </c>
      <c r="CK11" s="23">
        <f t="shared" si="15"/>
        <v>5.4140577791810453E-2</v>
      </c>
      <c r="CL11" s="29" t="str">
        <f t="shared" si="16"/>
        <v/>
      </c>
      <c r="CM11" s="29" t="str">
        <f t="shared" si="17"/>
        <v/>
      </c>
      <c r="CN11" s="29" t="str">
        <f t="shared" si="18"/>
        <v/>
      </c>
      <c r="CO11" s="29" t="str">
        <f t="shared" si="19"/>
        <v/>
      </c>
      <c r="CP11" s="29" t="str">
        <f t="shared" si="20"/>
        <v/>
      </c>
      <c r="CQ11" s="29">
        <f t="shared" si="21"/>
        <v>0</v>
      </c>
      <c r="CR11" s="13"/>
      <c r="CS11" s="7">
        <f>VLOOKUP(A11,'Empresas 21-23'!$A$2:$M$228,13,0)</f>
        <v>1</v>
      </c>
      <c r="CT11" s="30"/>
      <c r="CU11" s="6">
        <f t="shared" si="22"/>
        <v>7574673038.8000002</v>
      </c>
      <c r="CV11" s="6">
        <f t="shared" si="23"/>
        <v>297756055</v>
      </c>
      <c r="CW11" s="6">
        <f t="shared" si="24"/>
        <v>795174783</v>
      </c>
      <c r="CX11" s="23">
        <f t="shared" si="56"/>
        <v>0.22575532746999658</v>
      </c>
      <c r="CY11" s="23">
        <f t="shared" si="57"/>
        <v>8.8743125093817231E-3</v>
      </c>
      <c r="CZ11" s="6">
        <f t="shared" si="25"/>
        <v>7754187982.3320484</v>
      </c>
      <c r="DA11" s="6">
        <f t="shared" si="26"/>
        <v>304812684.52392179</v>
      </c>
      <c r="DB11" s="6">
        <f t="shared" si="27"/>
        <v>146218428</v>
      </c>
      <c r="DC11" s="6">
        <f t="shared" si="28"/>
        <v>157441734</v>
      </c>
      <c r="DD11" s="6">
        <f t="shared" si="29"/>
        <v>81645543</v>
      </c>
      <c r="DE11" s="6">
        <f t="shared" si="30"/>
        <v>359421088</v>
      </c>
      <c r="DF11" s="6">
        <f t="shared" si="31"/>
        <v>92712592.22199294</v>
      </c>
      <c r="DG11" s="30"/>
      <c r="DH11" s="32">
        <f>VLOOKUP(A11,'T_med_comp-USA'!$A$7:$Q$233,17,0)</f>
        <v>10.425215746535534</v>
      </c>
      <c r="DI11" s="6" t="str">
        <f t="shared" si="32"/>
        <v>7_2011</v>
      </c>
      <c r="DJ11" s="32">
        <f>IF(DI11="","",VLOOKUP(DI11,'CPI USA'!$T:$U,2,FALSE))</f>
        <v>224.93899999999999</v>
      </c>
      <c r="DK11" s="32">
        <f>IF(DI11="","",VLOOKUP(DI11,'PPI USA'!$S:$T,2,FALSE))</f>
        <v>169.6</v>
      </c>
      <c r="DL11" s="32">
        <f>IF(DI11="","",VLOOKUP(DI11,'CPI USA'!$T:$V,3,FALSE))</f>
        <v>0.6684022975047168</v>
      </c>
      <c r="DM11" s="32">
        <f>IF(DI11="","",VLOOKUP(DI11,'CPI USA'!$T:$X,5,FALSE))</f>
        <v>0.49636791791307899</v>
      </c>
      <c r="DN11" s="32">
        <f t="shared" si="33"/>
        <v>1.4208751760332547</v>
      </c>
      <c r="DO11" s="32">
        <f t="shared" si="34"/>
        <v>1.4334111417560953</v>
      </c>
      <c r="DP11" s="32">
        <f t="shared" si="35"/>
        <v>0.2757777453846999</v>
      </c>
      <c r="DQ11" s="32">
        <f>IF(DP11="","",DP11*$DO$1/'CPI USA'!$U$508+(1-DP11)*AVERAGE($DO$1,$DQ$1)/AVERAGE('CPI USA'!$U$508,'PPI USA'!$T$514))</f>
        <v>1.1696806765836685</v>
      </c>
      <c r="DR11" s="6">
        <f t="shared" si="36"/>
        <v>29682478</v>
      </c>
      <c r="DS11" s="32">
        <f t="shared" si="37"/>
        <v>0.36561984445634549</v>
      </c>
      <c r="DT11" s="28">
        <f>IF(DS11="","",DS11*$DO$1/'CPI USA'!$U$508+(1-DS11)*AVERAGE($DO$1,$DQ$1)/AVERAGE('CPI USA'!$U$508,'PPI USA'!$T$514))</f>
        <v>1.1643704931139347</v>
      </c>
      <c r="DU11" s="6">
        <f t="shared" si="38"/>
        <v>129869245.0475474</v>
      </c>
      <c r="DV11" s="6">
        <f t="shared" si="39"/>
        <v>2162136.8152663689</v>
      </c>
      <c r="DW11" s="6">
        <f t="shared" si="40"/>
        <v>16872993.920996752</v>
      </c>
      <c r="DX11" s="16">
        <f t="shared" si="41"/>
        <v>0.2</v>
      </c>
      <c r="DY11" s="28">
        <f>IF(DX11="","",DX11*$DO$1/'CPI USA'!$U$508+(1-DX11)*AVERAGE($DO$1,$DQ$1)/AVERAGE('CPI USA'!$U$508,'PPI USA'!$T$514))</f>
        <v>1.1741595760647974</v>
      </c>
      <c r="DZ11" s="30"/>
      <c r="EA11" s="45" t="str">
        <f t="shared" si="42"/>
        <v>C000135</v>
      </c>
      <c r="EB11" s="29">
        <f t="shared" si="43"/>
        <v>11017733214.390997</v>
      </c>
      <c r="EC11" s="29">
        <f t="shared" si="44"/>
        <v>436921898.14517522</v>
      </c>
      <c r="ED11" s="29">
        <f t="shared" si="45"/>
        <v>184156553.94762596</v>
      </c>
      <c r="EE11" s="29">
        <f t="shared" si="46"/>
        <v>95065661.163464963</v>
      </c>
      <c r="EF11" s="29">
        <f t="shared" si="47"/>
        <v>108859377.97924367</v>
      </c>
      <c r="EG11" s="29">
        <f t="shared" si="48"/>
        <v>12655</v>
      </c>
      <c r="EH11" s="29">
        <f t="shared" si="49"/>
        <v>1644186</v>
      </c>
      <c r="EI11" s="29">
        <f t="shared" si="50"/>
        <v>2346288</v>
      </c>
      <c r="EJ11" s="29">
        <f t="shared" si="51"/>
        <v>43336959</v>
      </c>
      <c r="EK11" s="29">
        <f t="shared" si="52"/>
        <v>45324689.071065992</v>
      </c>
      <c r="EL11" s="29">
        <f>IF(CD11=1,VLOOKUP(EA11,'EIA 2021'!$A$2:$J$213,4,0)*EH11,"")</f>
        <v>206115156.96000001</v>
      </c>
      <c r="EM11" s="29">
        <f>IF(CD11=1,VLOOKUP(EA11,'EIA 2021'!$A$2:$J$213,7,0)*EH11,"")</f>
        <v>2091404.5919999999</v>
      </c>
      <c r="EN11" s="29">
        <f>IF(CD11=1,VLOOKUP(EA11,'EIA 2021'!$A$2:$J$213,10,0),"")</f>
        <v>9437</v>
      </c>
      <c r="EO11" s="28">
        <f>IF(CD11=1,VLOOKUP(EA11,'EIA 2021'!$A$2:$Z$213,26,0),"")</f>
        <v>0</v>
      </c>
      <c r="EP11" s="23">
        <f t="shared" si="53"/>
        <v>4.3855349298687181E-2</v>
      </c>
      <c r="EQ11" s="32">
        <f t="shared" si="54"/>
        <v>358557.92893401161</v>
      </c>
      <c r="ER11" s="32">
        <f t="shared" si="55"/>
        <v>1987730.0710659884</v>
      </c>
      <c r="ES11" s="6"/>
      <c r="ET11" s="32"/>
    </row>
    <row r="12" spans="1:150" ht="14.5">
      <c r="A12" s="7" t="s">
        <v>237</v>
      </c>
      <c r="B12" s="7" t="s">
        <v>238</v>
      </c>
      <c r="C12" s="32" t="s">
        <v>239</v>
      </c>
      <c r="D12" s="40">
        <v>301933469</v>
      </c>
      <c r="E12" s="40">
        <v>0</v>
      </c>
      <c r="F12" s="40">
        <v>1266976697</v>
      </c>
      <c r="G12" s="40">
        <v>670909301</v>
      </c>
      <c r="H12" s="40">
        <v>669985681</v>
      </c>
      <c r="I12" s="40">
        <v>1515893</v>
      </c>
      <c r="J12" s="40">
        <v>392431</v>
      </c>
      <c r="K12" s="40">
        <v>5262797</v>
      </c>
      <c r="L12" s="40">
        <v>6955587</v>
      </c>
      <c r="M12" s="40">
        <v>3564799</v>
      </c>
      <c r="N12" s="40">
        <v>3430174</v>
      </c>
      <c r="O12" s="40">
        <v>23211093</v>
      </c>
      <c r="P12" s="40">
        <v>1041642</v>
      </c>
      <c r="Q12" s="40">
        <v>846117</v>
      </c>
      <c r="R12" s="40">
        <v>0</v>
      </c>
      <c r="S12" s="40">
        <v>2831971</v>
      </c>
      <c r="T12" s="40">
        <v>72636380</v>
      </c>
      <c r="U12" s="40">
        <v>6824087</v>
      </c>
      <c r="V12" s="40">
        <v>1708084</v>
      </c>
      <c r="W12" s="40">
        <v>1016535</v>
      </c>
      <c r="X12" s="40">
        <f>IFERROR(VLOOKUP(A12,'Trans 21-23'!$A$2:$J$229,6,0),0)</f>
        <v>27629735</v>
      </c>
      <c r="Y12" s="41">
        <v>7023410</v>
      </c>
      <c r="Z12" s="41">
        <v>1961234</v>
      </c>
      <c r="AA12" s="41">
        <v>59717891</v>
      </c>
      <c r="AB12" s="41">
        <v>119641463</v>
      </c>
      <c r="AC12" s="41">
        <v>11232323</v>
      </c>
      <c r="AD12" s="41">
        <v>409717225</v>
      </c>
      <c r="AE12" s="41">
        <v>0</v>
      </c>
      <c r="AF12" s="41">
        <v>3204614860</v>
      </c>
      <c r="AG12" s="41">
        <v>1943025</v>
      </c>
      <c r="AH12" s="41">
        <v>1920805</v>
      </c>
      <c r="AI12" s="41">
        <v>45465649</v>
      </c>
      <c r="AJ12" s="41">
        <v>160615</v>
      </c>
      <c r="AK12" s="41">
        <v>0</v>
      </c>
      <c r="AL12" s="41">
        <v>21194790</v>
      </c>
      <c r="AM12" s="41">
        <v>11841210</v>
      </c>
      <c r="AN12" s="41">
        <v>3417754</v>
      </c>
      <c r="AO12" s="41">
        <v>24343</v>
      </c>
      <c r="AP12" s="41">
        <v>3203700</v>
      </c>
      <c r="AQ12" s="41">
        <v>39681797</v>
      </c>
      <c r="AR12" s="41">
        <v>3702432</v>
      </c>
      <c r="AS12" s="41">
        <v>43384229</v>
      </c>
      <c r="AT12" s="41">
        <v>0</v>
      </c>
      <c r="AU12" s="41">
        <v>9682</v>
      </c>
      <c r="AV12" s="41">
        <v>0</v>
      </c>
      <c r="AW12" s="41">
        <v>1129917848</v>
      </c>
      <c r="AX12" s="41">
        <v>413939638</v>
      </c>
      <c r="AY12" s="41">
        <v>1249465906</v>
      </c>
      <c r="AZ12" s="41">
        <v>339497690</v>
      </c>
      <c r="BA12" s="41">
        <v>568532945</v>
      </c>
      <c r="BB12" s="41">
        <v>7557259391</v>
      </c>
      <c r="BC12" s="41">
        <v>22243113946</v>
      </c>
      <c r="BD12" s="41">
        <v>648749455</v>
      </c>
      <c r="BE12" s="41">
        <v>1995966156</v>
      </c>
      <c r="BF12" s="41">
        <v>209729527</v>
      </c>
      <c r="BG12" s="41">
        <v>0</v>
      </c>
      <c r="BH12" s="41">
        <v>45579588</v>
      </c>
      <c r="BI12" s="41">
        <v>26087317</v>
      </c>
      <c r="BJ12" s="41">
        <v>5324792</v>
      </c>
      <c r="BK12" s="41">
        <v>6460551</v>
      </c>
      <c r="BL12" s="41">
        <v>0</v>
      </c>
      <c r="BM12" s="41">
        <v>92015483</v>
      </c>
      <c r="BN12" s="41">
        <v>273403687</v>
      </c>
      <c r="BO12" s="41">
        <v>614084</v>
      </c>
      <c r="BP12" s="41">
        <v>24004180</v>
      </c>
      <c r="BQ12" s="41">
        <v>524863124</v>
      </c>
      <c r="BR12" s="41">
        <v>0</v>
      </c>
      <c r="BS12" s="42">
        <f>IFERROR(VLOOKUP(A12,'Trans 21-23'!$A$2:$J$229,5,0),0)</f>
        <v>1760445792</v>
      </c>
      <c r="BT12" s="43"/>
      <c r="BU12" s="6">
        <f t="shared" si="0"/>
        <v>7557259391</v>
      </c>
      <c r="BV12" s="6">
        <f t="shared" si="1"/>
        <v>9682</v>
      </c>
      <c r="BW12" s="6">
        <f t="shared" si="2"/>
        <v>1943025</v>
      </c>
      <c r="BX12" s="6">
        <f t="shared" si="3"/>
        <v>131237590</v>
      </c>
      <c r="BY12" s="6">
        <f t="shared" si="4"/>
        <v>199576321</v>
      </c>
      <c r="BZ12" s="6">
        <f t="shared" si="5"/>
        <v>339497690</v>
      </c>
      <c r="CA12" s="6">
        <f t="shared" si="6"/>
        <v>409717225</v>
      </c>
      <c r="CB12" s="6">
        <f t="shared" si="7"/>
        <v>1920805</v>
      </c>
      <c r="CC12" s="6">
        <f t="shared" si="8"/>
        <v>39681797</v>
      </c>
      <c r="CD12" s="6">
        <f t="shared" si="9"/>
        <v>1</v>
      </c>
      <c r="CE12" s="44">
        <f t="shared" si="10"/>
        <v>9</v>
      </c>
      <c r="CF12" s="27"/>
      <c r="CG12" s="28">
        <f t="shared" si="11"/>
        <v>780.54734466019409</v>
      </c>
      <c r="CH12" s="28">
        <f t="shared" si="12"/>
        <v>4.9829518405578934</v>
      </c>
      <c r="CI12" s="28">
        <f t="shared" si="13"/>
        <v>67.542924048841371</v>
      </c>
      <c r="CJ12" s="28">
        <f t="shared" si="14"/>
        <v>174.72636224443843</v>
      </c>
      <c r="CK12" s="23">
        <f t="shared" si="15"/>
        <v>4.8405191932210129E-2</v>
      </c>
      <c r="CL12" s="29" t="str">
        <f t="shared" si="16"/>
        <v/>
      </c>
      <c r="CM12" s="29" t="str">
        <f t="shared" si="17"/>
        <v/>
      </c>
      <c r="CN12" s="29" t="str">
        <f t="shared" si="18"/>
        <v/>
      </c>
      <c r="CO12" s="29" t="str">
        <f t="shared" si="19"/>
        <v/>
      </c>
      <c r="CP12" s="29" t="str">
        <f t="shared" si="20"/>
        <v/>
      </c>
      <c r="CQ12" s="29">
        <f t="shared" si="21"/>
        <v>0</v>
      </c>
      <c r="CR12" s="13"/>
      <c r="CS12" s="7">
        <f>VLOOKUP(A12,'Empresas 21-23'!$A$2:$M$228,13,0)</f>
        <v>1</v>
      </c>
      <c r="CT12" s="30"/>
      <c r="CU12" s="6">
        <f t="shared" si="22"/>
        <v>7411631221.6000004</v>
      </c>
      <c r="CV12" s="6">
        <f t="shared" si="23"/>
        <v>339497690</v>
      </c>
      <c r="CW12" s="6">
        <f t="shared" si="24"/>
        <v>648749455</v>
      </c>
      <c r="CX12" s="23">
        <f t="shared" si="56"/>
        <v>0.34322062243086554</v>
      </c>
      <c r="CY12" s="23">
        <f t="shared" si="57"/>
        <v>1.5721587460538339E-2</v>
      </c>
      <c r="CZ12" s="6">
        <f t="shared" si="25"/>
        <v>7634295413.3467855</v>
      </c>
      <c r="DA12" s="6">
        <f t="shared" si="26"/>
        <v>349697061.29675907</v>
      </c>
      <c r="DB12" s="6">
        <f t="shared" si="27"/>
        <v>131237590</v>
      </c>
      <c r="DC12" s="6">
        <f t="shared" si="28"/>
        <v>158867325</v>
      </c>
      <c r="DD12" s="6">
        <f t="shared" si="29"/>
        <v>199576321</v>
      </c>
      <c r="DE12" s="6">
        <f t="shared" si="30"/>
        <v>409717225</v>
      </c>
      <c r="DF12" s="6">
        <f t="shared" si="31"/>
        <v>264136805.18236452</v>
      </c>
      <c r="DG12" s="30"/>
      <c r="DH12" s="32">
        <f>VLOOKUP(A12,'T_med_comp-USA'!$A$7:$Q$233,17,0)</f>
        <v>8.8732499255707697</v>
      </c>
      <c r="DI12" s="6" t="str">
        <f t="shared" si="32"/>
        <v>2_2013</v>
      </c>
      <c r="DJ12" s="32">
        <f>IF(DI12="","",VLOOKUP(DI12,'CPI USA'!$T:$U,2,FALSE))</f>
        <v>232.166</v>
      </c>
      <c r="DK12" s="32">
        <f>IF(DI12="","",VLOOKUP(DI12,'PPI USA'!$S:$T,2,FALSE))</f>
        <v>166.3</v>
      </c>
      <c r="DL12" s="32">
        <f>IF(DI12="","",VLOOKUP(DI12,'CPI USA'!$T:$V,3,FALSE))</f>
        <v>0.67305131835944076</v>
      </c>
      <c r="DM12" s="32">
        <f>IF(DI12="","",VLOOKUP(DI12,'CPI USA'!$T:$X,5,FALSE))</f>
        <v>0.50163050295255052</v>
      </c>
      <c r="DN12" s="32">
        <f t="shared" si="33"/>
        <v>1.3865384530154934</v>
      </c>
      <c r="DO12" s="32">
        <f t="shared" si="34"/>
        <v>1.4039999731910067</v>
      </c>
      <c r="DP12" s="32">
        <f t="shared" si="35"/>
        <v>0.34808596359740079</v>
      </c>
      <c r="DQ12" s="32">
        <f>IF(DP12="","",DP12*$DO$1/'CPI USA'!$U$508+(1-DP12)*AVERAGE($DO$1,$DQ$1)/AVERAGE('CPI USA'!$U$508,'PPI USA'!$T$514))</f>
        <v>1.1654068460627145</v>
      </c>
      <c r="DR12" s="6">
        <f t="shared" si="36"/>
        <v>37872660</v>
      </c>
      <c r="DS12" s="32">
        <f t="shared" si="37"/>
        <v>0.2</v>
      </c>
      <c r="DT12" s="28">
        <f>IF(DS12="","",DS12*$DO$1/'CPI USA'!$U$508+(1-DS12)*AVERAGE($DO$1,$DQ$1)/AVERAGE('CPI USA'!$U$508,'PPI USA'!$T$514))</f>
        <v>1.1741595760647974</v>
      </c>
      <c r="DU12" s="6">
        <f t="shared" si="38"/>
        <v>92222156.276730806</v>
      </c>
      <c r="DV12" s="6">
        <f t="shared" si="39"/>
        <v>4409936.6561754756</v>
      </c>
      <c r="DW12" s="6">
        <f t="shared" si="40"/>
        <v>29495452.210913099</v>
      </c>
      <c r="DX12" s="16">
        <f t="shared" si="41"/>
        <v>0.2</v>
      </c>
      <c r="DY12" s="28">
        <f>IF(DX12="","",DX12*$DO$1/'CPI USA'!$U$508+(1-DX12)*AVERAGE($DO$1,$DQ$1)/AVERAGE('CPI USA'!$U$508,'PPI USA'!$T$514))</f>
        <v>1.1741595760647974</v>
      </c>
      <c r="DZ12" s="30"/>
      <c r="EA12" s="45" t="str">
        <f t="shared" si="42"/>
        <v>C000136</v>
      </c>
      <c r="EB12" s="29">
        <f t="shared" si="43"/>
        <v>10585244152.28513</v>
      </c>
      <c r="EC12" s="29">
        <f t="shared" si="44"/>
        <v>490974664.68562353</v>
      </c>
      <c r="ED12" s="29">
        <f t="shared" si="45"/>
        <v>185145068.17067024</v>
      </c>
      <c r="EE12" s="29">
        <f t="shared" si="46"/>
        <v>234334448.45793191</v>
      </c>
      <c r="EF12" s="29">
        <f t="shared" si="47"/>
        <v>310138759.19603509</v>
      </c>
      <c r="EG12" s="29">
        <f t="shared" si="48"/>
        <v>9682</v>
      </c>
      <c r="EH12" s="29">
        <f t="shared" si="49"/>
        <v>1943025</v>
      </c>
      <c r="EI12" s="29">
        <f t="shared" si="50"/>
        <v>1920805</v>
      </c>
      <c r="EJ12" s="29">
        <f t="shared" si="51"/>
        <v>39681797</v>
      </c>
      <c r="EK12" s="29">
        <f t="shared" si="52"/>
        <v>41546219.786802031</v>
      </c>
      <c r="EL12" s="29">
        <f>IF(CD12=1,VLOOKUP(EA12,'EIA 2021'!$A$2:$J$213,4,0)*EH12,"")</f>
        <v>174211621.5</v>
      </c>
      <c r="EM12" s="29">
        <f>IF(CD12=1,VLOOKUP(EA12,'EIA 2021'!$A$2:$J$213,7,0)*EH12,"")</f>
        <v>2030461.1249999998</v>
      </c>
      <c r="EN12" s="29">
        <f>IF(CD12=1,VLOOKUP(EA12,'EIA 2021'!$A$2:$J$213,10,0),"")</f>
        <v>1900980</v>
      </c>
      <c r="EO12" s="28">
        <f>IF(CD12=1,VLOOKUP(EA12,'EIA 2021'!$A$2:$Z$213,26,0),"")</f>
        <v>0</v>
      </c>
      <c r="EP12" s="23">
        <f t="shared" si="53"/>
        <v>4.4875870689787788E-2</v>
      </c>
      <c r="EQ12" s="32">
        <f t="shared" si="54"/>
        <v>56382.213197969366</v>
      </c>
      <c r="ER12" s="32">
        <f t="shared" si="55"/>
        <v>1864422.7868020306</v>
      </c>
      <c r="ES12" s="6"/>
      <c r="ET12" s="32"/>
    </row>
    <row r="13" spans="1:150" ht="14.5">
      <c r="A13" s="7" t="s">
        <v>240</v>
      </c>
      <c r="B13" s="7" t="s">
        <v>241</v>
      </c>
      <c r="C13" s="32" t="s">
        <v>242</v>
      </c>
      <c r="D13" s="40">
        <v>49596334</v>
      </c>
      <c r="E13" s="40">
        <v>0</v>
      </c>
      <c r="F13" s="40">
        <v>232657565</v>
      </c>
      <c r="G13" s="40">
        <v>691169391</v>
      </c>
      <c r="H13" s="40">
        <v>712717730</v>
      </c>
      <c r="I13" s="40">
        <v>3751035</v>
      </c>
      <c r="J13" s="40">
        <v>1781545</v>
      </c>
      <c r="K13" s="40">
        <v>1669736</v>
      </c>
      <c r="L13" s="40">
        <v>3399350</v>
      </c>
      <c r="M13" s="40">
        <v>4956449</v>
      </c>
      <c r="N13" s="40">
        <v>4583670</v>
      </c>
      <c r="O13" s="40">
        <v>8598697</v>
      </c>
      <c r="P13" s="40">
        <v>1182070</v>
      </c>
      <c r="Q13" s="40">
        <v>171228</v>
      </c>
      <c r="R13" s="40">
        <v>0</v>
      </c>
      <c r="S13" s="40">
        <v>2474060</v>
      </c>
      <c r="T13" s="40">
        <v>42082560</v>
      </c>
      <c r="U13" s="40">
        <v>13059750</v>
      </c>
      <c r="V13" s="40">
        <v>125731</v>
      </c>
      <c r="W13" s="40">
        <v>0</v>
      </c>
      <c r="X13" s="40">
        <f>IFERROR(VLOOKUP(A13,'Trans 21-23'!$A$2:$J$229,6,0),0)</f>
        <v>8729783</v>
      </c>
      <c r="Y13" s="41">
        <v>2131373</v>
      </c>
      <c r="Z13" s="41">
        <v>739012</v>
      </c>
      <c r="AA13" s="41">
        <v>54342378</v>
      </c>
      <c r="AB13" s="41">
        <v>111470466</v>
      </c>
      <c r="AC13" s="41">
        <v>785859</v>
      </c>
      <c r="AD13" s="41">
        <v>150921068</v>
      </c>
      <c r="AE13" s="41">
        <v>0</v>
      </c>
      <c r="AF13" s="41">
        <v>1669365935</v>
      </c>
      <c r="AG13" s="41">
        <v>1196859</v>
      </c>
      <c r="AH13" s="41">
        <v>1459849</v>
      </c>
      <c r="AI13" s="41">
        <v>29167627</v>
      </c>
      <c r="AJ13" s="41">
        <v>21216</v>
      </c>
      <c r="AK13" s="41">
        <v>0</v>
      </c>
      <c r="AL13" s="41">
        <v>11479046</v>
      </c>
      <c r="AM13" s="41">
        <v>8402057</v>
      </c>
      <c r="AN13" s="41">
        <v>1082718</v>
      </c>
      <c r="AO13" s="41">
        <v>72794</v>
      </c>
      <c r="AP13" s="41">
        <v>0</v>
      </c>
      <c r="AQ13" s="41">
        <v>21036614</v>
      </c>
      <c r="AR13" s="41">
        <v>6649948</v>
      </c>
      <c r="AS13" s="41">
        <v>27686562</v>
      </c>
      <c r="AT13" s="41">
        <v>0</v>
      </c>
      <c r="AU13" s="41">
        <v>4741</v>
      </c>
      <c r="AV13" s="41">
        <v>0</v>
      </c>
      <c r="AW13" s="41">
        <v>595719303</v>
      </c>
      <c r="AX13" s="41">
        <v>831255338</v>
      </c>
      <c r="AY13" s="41">
        <v>1157200306</v>
      </c>
      <c r="AZ13" s="41">
        <v>262108454</v>
      </c>
      <c r="BA13" s="41">
        <v>62620526</v>
      </c>
      <c r="BB13" s="41">
        <v>4711291240</v>
      </c>
      <c r="BC13" s="41">
        <v>10706921064</v>
      </c>
      <c r="BD13" s="41">
        <v>287088333</v>
      </c>
      <c r="BE13" s="41">
        <v>1746874898</v>
      </c>
      <c r="BF13" s="41">
        <v>153971012</v>
      </c>
      <c r="BG13" s="41">
        <v>0</v>
      </c>
      <c r="BH13" s="41">
        <v>33306992</v>
      </c>
      <c r="BI13" s="41">
        <v>7947050</v>
      </c>
      <c r="BJ13" s="41">
        <v>2518087</v>
      </c>
      <c r="BK13" s="41">
        <v>684352</v>
      </c>
      <c r="BL13" s="41">
        <v>0</v>
      </c>
      <c r="BM13" s="41">
        <v>36621425</v>
      </c>
      <c r="BN13" s="41">
        <v>121914093</v>
      </c>
      <c r="BO13" s="41">
        <v>1017599</v>
      </c>
      <c r="BP13" s="41">
        <v>29258667</v>
      </c>
      <c r="BQ13" s="41">
        <v>360147366</v>
      </c>
      <c r="BR13" s="41">
        <v>0</v>
      </c>
      <c r="BS13" s="42">
        <f>IFERROR(VLOOKUP(A13,'Trans 21-23'!$A$2:$J$229,5,0),0)</f>
        <v>556223545</v>
      </c>
      <c r="BT13" s="43"/>
      <c r="BU13" s="6">
        <f t="shared" si="0"/>
        <v>4711291240</v>
      </c>
      <c r="BV13" s="6">
        <f t="shared" si="1"/>
        <v>4741</v>
      </c>
      <c r="BW13" s="6">
        <f t="shared" si="2"/>
        <v>1196859</v>
      </c>
      <c r="BX13" s="6">
        <f t="shared" si="3"/>
        <v>87835881</v>
      </c>
      <c r="BY13" s="6">
        <f t="shared" si="4"/>
        <v>169469088</v>
      </c>
      <c r="BZ13" s="6">
        <f t="shared" si="5"/>
        <v>262108454</v>
      </c>
      <c r="CA13" s="6">
        <f t="shared" si="6"/>
        <v>150921068</v>
      </c>
      <c r="CB13" s="6">
        <f t="shared" si="7"/>
        <v>1459849</v>
      </c>
      <c r="CC13" s="6">
        <f t="shared" si="8"/>
        <v>21036614</v>
      </c>
      <c r="CD13" s="6">
        <f t="shared" si="9"/>
        <v>1</v>
      </c>
      <c r="CE13" s="44">
        <f t="shared" si="10"/>
        <v>11</v>
      </c>
      <c r="CF13" s="27"/>
      <c r="CG13" s="28">
        <f t="shared" si="11"/>
        <v>993.73365112845386</v>
      </c>
      <c r="CH13" s="28">
        <f t="shared" si="12"/>
        <v>3.9612017789898393</v>
      </c>
      <c r="CI13" s="28">
        <f t="shared" si="13"/>
        <v>73.388662323632104</v>
      </c>
      <c r="CJ13" s="28">
        <f t="shared" si="14"/>
        <v>218.99693614703153</v>
      </c>
      <c r="CK13" s="23">
        <f t="shared" si="15"/>
        <v>6.9395626121199927E-2</v>
      </c>
      <c r="CL13" s="29" t="str">
        <f t="shared" si="16"/>
        <v/>
      </c>
      <c r="CM13" s="29" t="str">
        <f t="shared" si="17"/>
        <v/>
      </c>
      <c r="CN13" s="29" t="str">
        <f t="shared" si="18"/>
        <v/>
      </c>
      <c r="CO13" s="29" t="str">
        <f t="shared" si="19"/>
        <v/>
      </c>
      <c r="CP13" s="29" t="str">
        <f t="shared" si="20"/>
        <v/>
      </c>
      <c r="CQ13" s="29">
        <f t="shared" si="21"/>
        <v>0</v>
      </c>
      <c r="CR13" s="13"/>
      <c r="CS13" s="7">
        <f>VLOOKUP(A13,'Empresas 21-23'!$A$2:$M$228,13,0)</f>
        <v>1</v>
      </c>
      <c r="CT13" s="30"/>
      <c r="CU13" s="6">
        <f t="shared" si="22"/>
        <v>3749712418.6000004</v>
      </c>
      <c r="CV13" s="6">
        <f t="shared" si="23"/>
        <v>262108454</v>
      </c>
      <c r="CW13" s="6">
        <f t="shared" si="24"/>
        <v>287088333</v>
      </c>
      <c r="CX13" s="23">
        <f t="shared" si="56"/>
        <v>0.35986301463786907</v>
      </c>
      <c r="CY13" s="23">
        <f t="shared" si="57"/>
        <v>2.5154765989688323E-2</v>
      </c>
      <c r="CZ13" s="6">
        <f t="shared" si="25"/>
        <v>3853024891.5807409</v>
      </c>
      <c r="DA13" s="6">
        <f t="shared" si="26"/>
        <v>269330093.83498472</v>
      </c>
      <c r="DB13" s="6">
        <f t="shared" si="27"/>
        <v>87835881</v>
      </c>
      <c r="DC13" s="6">
        <f t="shared" si="28"/>
        <v>96565664</v>
      </c>
      <c r="DD13" s="6">
        <f t="shared" si="29"/>
        <v>169469088</v>
      </c>
      <c r="DE13" s="6">
        <f t="shared" si="30"/>
        <v>150921068</v>
      </c>
      <c r="DF13" s="6">
        <f t="shared" si="31"/>
        <v>76699716.398787782</v>
      </c>
      <c r="DG13" s="30"/>
      <c r="DH13" s="32">
        <f>VLOOKUP(A13,'T_med_comp-USA'!$A$7:$Q$233,17,0)</f>
        <v>11.536986133645689</v>
      </c>
      <c r="DI13" s="6" t="str">
        <f t="shared" si="32"/>
        <v>6_2010</v>
      </c>
      <c r="DJ13" s="32">
        <f>IF(DI13="","",VLOOKUP(DI13,'CPI USA'!$T:$U,2,FALSE))</f>
        <v>218.05600000000001</v>
      </c>
      <c r="DK13" s="32">
        <f>IF(DI13="","",VLOOKUP(DI13,'PPI USA'!$S:$T,2,FALSE))</f>
        <v>160.80000000000001</v>
      </c>
      <c r="DL13" s="32">
        <f>IF(DI13="","",VLOOKUP(DI13,'CPI USA'!$T:$V,3,FALSE))</f>
        <v>0.67050107279443949</v>
      </c>
      <c r="DM13" s="32">
        <f>IF(DI13="","",VLOOKUP(DI13,'CPI USA'!$T:$X,5,FALSE))</f>
        <v>0.4987389730136107</v>
      </c>
      <c r="DN13" s="32">
        <f t="shared" si="33"/>
        <v>1.4703278680244813</v>
      </c>
      <c r="DO13" s="32">
        <f t="shared" si="34"/>
        <v>1.4857204383544427</v>
      </c>
      <c r="DP13" s="32">
        <f t="shared" si="35"/>
        <v>0.38236083227277096</v>
      </c>
      <c r="DQ13" s="32">
        <f>IF(DP13="","",DP13*$DO$1/'CPI USA'!$U$508+(1-DP13)*AVERAGE($DO$1,$DQ$1)/AVERAGE('CPI USA'!$U$508,'PPI USA'!$T$514))</f>
        <v>1.1633810046927113</v>
      </c>
      <c r="DR13" s="6">
        <f t="shared" si="36"/>
        <v>11149489</v>
      </c>
      <c r="DS13" s="32">
        <f t="shared" si="37"/>
        <v>0.2</v>
      </c>
      <c r="DT13" s="28">
        <f>IF(DS13="","",DS13*$DO$1/'CPI USA'!$U$508+(1-DS13)*AVERAGE($DO$1,$DQ$1)/AVERAGE('CPI USA'!$U$508,'PPI USA'!$T$514))</f>
        <v>1.1741595760647974</v>
      </c>
      <c r="DU13" s="6">
        <f t="shared" si="38"/>
        <v>36927098.647250734</v>
      </c>
      <c r="DV13" s="6">
        <f t="shared" si="39"/>
        <v>3238231.1102757696</v>
      </c>
      <c r="DW13" s="6">
        <f t="shared" si="40"/>
        <v>14646454.526173702</v>
      </c>
      <c r="DX13" s="16">
        <f t="shared" si="41"/>
        <v>0.2</v>
      </c>
      <c r="DY13" s="28">
        <f>IF(DX13="","",DX13*$DO$1/'CPI USA'!$U$508+(1-DX13)*AVERAGE($DO$1,$DQ$1)/AVERAGE('CPI USA'!$U$508,'PPI USA'!$T$514))</f>
        <v>1.1741595760647974</v>
      </c>
      <c r="DZ13" s="30"/>
      <c r="EA13" s="45" t="str">
        <f t="shared" si="42"/>
        <v>C000171</v>
      </c>
      <c r="EB13" s="29">
        <f t="shared" si="43"/>
        <v>5665209874.2831688</v>
      </c>
      <c r="EC13" s="29">
        <f t="shared" si="44"/>
        <v>400149225.07455665</v>
      </c>
      <c r="ED13" s="29">
        <f t="shared" si="45"/>
        <v>112342659.20313878</v>
      </c>
      <c r="EE13" s="29">
        <f t="shared" si="46"/>
        <v>198983752.52216783</v>
      </c>
      <c r="EF13" s="29">
        <f t="shared" si="47"/>
        <v>90057706.491090849</v>
      </c>
      <c r="EG13" s="29">
        <f t="shared" si="48"/>
        <v>4741</v>
      </c>
      <c r="EH13" s="29">
        <f t="shared" si="49"/>
        <v>1196859</v>
      </c>
      <c r="EI13" s="29">
        <f t="shared" si="50"/>
        <v>1459849</v>
      </c>
      <c r="EJ13" s="29">
        <f t="shared" si="51"/>
        <v>21036614</v>
      </c>
      <c r="EK13" s="29">
        <f t="shared" si="52"/>
        <v>22395194.756345179</v>
      </c>
      <c r="EL13" s="29">
        <f>IF(CD13=1,VLOOKUP(EA13,'EIA 2021'!$A$2:$J$213,4,0)*EH13,"")</f>
        <v>247749813</v>
      </c>
      <c r="EM13" s="29">
        <f>IF(CD13=1,VLOOKUP(EA13,'EIA 2021'!$A$2:$J$213,7,0)*EH13,"")</f>
        <v>2716869.93</v>
      </c>
      <c r="EN13" s="29">
        <f>IF(CD13=1,VLOOKUP(EA13,'EIA 2021'!$A$2:$J$213,10,0),"")</f>
        <v>1223497</v>
      </c>
      <c r="EO13" s="28">
        <f>IF(CD13=1,VLOOKUP(EA13,'EIA 2021'!$A$2:$Z$213,26,0),"")</f>
        <v>0</v>
      </c>
      <c r="EP13" s="23">
        <f t="shared" si="53"/>
        <v>6.0663940239245047E-2</v>
      </c>
      <c r="EQ13" s="32">
        <f t="shared" si="54"/>
        <v>101268.243654822</v>
      </c>
      <c r="ER13" s="32">
        <f t="shared" si="55"/>
        <v>1358580.756345178</v>
      </c>
      <c r="ES13" s="6"/>
      <c r="ET13" s="32"/>
    </row>
    <row r="14" spans="1:150" ht="14.5">
      <c r="A14" s="7" t="s">
        <v>243</v>
      </c>
      <c r="B14" s="7" t="s">
        <v>244</v>
      </c>
      <c r="C14" s="32" t="s">
        <v>245</v>
      </c>
      <c r="D14" s="40">
        <v>303036360</v>
      </c>
      <c r="E14" s="40">
        <v>0</v>
      </c>
      <c r="F14" s="40">
        <v>178257343</v>
      </c>
      <c r="G14" s="40">
        <v>1261416227</v>
      </c>
      <c r="H14" s="40">
        <v>1270967655</v>
      </c>
      <c r="I14" s="40">
        <v>26129199</v>
      </c>
      <c r="J14" s="40">
        <v>1286608</v>
      </c>
      <c r="K14" s="40">
        <v>0</v>
      </c>
      <c r="L14" s="40">
        <v>45936307</v>
      </c>
      <c r="M14" s="40">
        <v>7892017</v>
      </c>
      <c r="N14" s="40">
        <v>4796539</v>
      </c>
      <c r="O14" s="40">
        <v>26060609</v>
      </c>
      <c r="P14" s="40">
        <v>2485962</v>
      </c>
      <c r="Q14" s="40">
        <v>4473069</v>
      </c>
      <c r="R14" s="40">
        <v>684877</v>
      </c>
      <c r="S14" s="40">
        <v>12284482</v>
      </c>
      <c r="T14" s="40">
        <v>203268388</v>
      </c>
      <c r="U14" s="40">
        <v>2133660</v>
      </c>
      <c r="V14" s="40">
        <v>225472</v>
      </c>
      <c r="W14" s="40">
        <v>55753</v>
      </c>
      <c r="X14" s="40">
        <f>IFERROR(VLOOKUP(A14,'Trans 21-23'!$A$2:$J$229,6,0),0)</f>
        <v>0</v>
      </c>
      <c r="Y14" s="41">
        <v>2917238</v>
      </c>
      <c r="Z14" s="41">
        <v>4114237</v>
      </c>
      <c r="AA14" s="41">
        <v>68811008</v>
      </c>
      <c r="AB14" s="41">
        <v>219097393</v>
      </c>
      <c r="AC14" s="41">
        <v>1474</v>
      </c>
      <c r="AD14" s="41">
        <v>63192689</v>
      </c>
      <c r="AE14" s="41">
        <v>0</v>
      </c>
      <c r="AF14" s="41">
        <v>3053910042</v>
      </c>
      <c r="AG14" s="41">
        <v>1870124</v>
      </c>
      <c r="AH14" s="41">
        <v>1763809</v>
      </c>
      <c r="AI14" s="41">
        <v>39291654</v>
      </c>
      <c r="AJ14" s="41">
        <v>21441</v>
      </c>
      <c r="AK14" s="41">
        <v>0</v>
      </c>
      <c r="AL14" s="41">
        <v>13229050</v>
      </c>
      <c r="AM14" s="41">
        <v>11503931</v>
      </c>
      <c r="AN14" s="41">
        <v>7374800</v>
      </c>
      <c r="AO14" s="41">
        <v>109650</v>
      </c>
      <c r="AP14" s="41">
        <v>0</v>
      </c>
      <c r="AQ14" s="41">
        <v>32251402</v>
      </c>
      <c r="AR14" s="41">
        <v>5255002</v>
      </c>
      <c r="AS14" s="41">
        <v>37506404</v>
      </c>
      <c r="AT14" s="41">
        <v>0</v>
      </c>
      <c r="AU14" s="41">
        <v>7370</v>
      </c>
      <c r="AV14" s="41">
        <v>0</v>
      </c>
      <c r="AW14" s="41">
        <v>1866376285</v>
      </c>
      <c r="AX14" s="41">
        <v>177822700</v>
      </c>
      <c r="AY14" s="41">
        <v>705112156</v>
      </c>
      <c r="AZ14" s="41">
        <v>582777933</v>
      </c>
      <c r="BA14" s="41">
        <v>192243473</v>
      </c>
      <c r="BB14" s="41">
        <v>9736975904</v>
      </c>
      <c r="BC14" s="41">
        <v>17525942319</v>
      </c>
      <c r="BD14" s="41">
        <v>309276610</v>
      </c>
      <c r="BE14" s="41">
        <v>3198016732</v>
      </c>
      <c r="BF14" s="41">
        <v>287238757</v>
      </c>
      <c r="BG14" s="41">
        <v>0</v>
      </c>
      <c r="BH14" s="41">
        <v>174665558</v>
      </c>
      <c r="BI14" s="41">
        <v>24790586</v>
      </c>
      <c r="BJ14" s="41">
        <v>7881002</v>
      </c>
      <c r="BK14" s="41">
        <v>0</v>
      </c>
      <c r="BL14" s="41">
        <v>0</v>
      </c>
      <c r="BM14" s="41">
        <v>52560467</v>
      </c>
      <c r="BN14" s="41">
        <v>365773723</v>
      </c>
      <c r="BO14" s="41">
        <v>75339701</v>
      </c>
      <c r="BP14" s="41">
        <v>105654000</v>
      </c>
      <c r="BQ14" s="41">
        <v>1101766454</v>
      </c>
      <c r="BR14" s="41">
        <v>33971</v>
      </c>
      <c r="BS14" s="42">
        <f>IFERROR(VLOOKUP(A14,'Trans 21-23'!$A$2:$J$229,5,0),0)</f>
        <v>0</v>
      </c>
      <c r="BT14" s="43"/>
      <c r="BU14" s="6">
        <f t="shared" si="0"/>
        <v>9736975904</v>
      </c>
      <c r="BV14" s="6">
        <f t="shared" si="1"/>
        <v>7370</v>
      </c>
      <c r="BW14" s="6">
        <f t="shared" si="2"/>
        <v>1870124</v>
      </c>
      <c r="BX14" s="6">
        <f t="shared" si="3"/>
        <v>337712942</v>
      </c>
      <c r="BY14" s="6">
        <f t="shared" si="4"/>
        <v>294941350</v>
      </c>
      <c r="BZ14" s="6">
        <f t="shared" si="5"/>
        <v>582777933</v>
      </c>
      <c r="CA14" s="6">
        <f t="shared" si="6"/>
        <v>63192689</v>
      </c>
      <c r="CB14" s="6">
        <f t="shared" si="7"/>
        <v>1763809</v>
      </c>
      <c r="CC14" s="6">
        <f t="shared" si="8"/>
        <v>32251402</v>
      </c>
      <c r="CD14" s="6">
        <f t="shared" si="9"/>
        <v>1</v>
      </c>
      <c r="CE14" s="44">
        <f t="shared" si="10"/>
        <v>12</v>
      </c>
      <c r="CF14" s="27"/>
      <c r="CG14" s="28">
        <f t="shared" si="11"/>
        <v>1321.1636233378563</v>
      </c>
      <c r="CH14" s="28">
        <f t="shared" si="12"/>
        <v>3.9409151478725475</v>
      </c>
      <c r="CI14" s="28">
        <f t="shared" si="13"/>
        <v>180.58318164998684</v>
      </c>
      <c r="CJ14" s="28">
        <f t="shared" si="14"/>
        <v>311.62528955299223</v>
      </c>
      <c r="CK14" s="23">
        <f t="shared" si="15"/>
        <v>5.4689374434016856E-2</v>
      </c>
      <c r="CL14" s="29" t="str">
        <f t="shared" si="16"/>
        <v/>
      </c>
      <c r="CM14" s="29" t="str">
        <f t="shared" si="17"/>
        <v/>
      </c>
      <c r="CN14" s="29" t="str">
        <f t="shared" si="18"/>
        <v/>
      </c>
      <c r="CO14" s="29" t="str">
        <f t="shared" si="19"/>
        <v/>
      </c>
      <c r="CP14" s="29" t="str">
        <f t="shared" si="20"/>
        <v/>
      </c>
      <c r="CQ14" s="29">
        <f t="shared" si="21"/>
        <v>0</v>
      </c>
      <c r="CR14" s="13"/>
      <c r="CS14" s="7">
        <f>VLOOKUP(A14,'Empresas 21-23'!$A$2:$M$228,13,0)</f>
        <v>1</v>
      </c>
      <c r="CT14" s="30"/>
      <c r="CU14" s="6">
        <f t="shared" si="22"/>
        <v>8432193584.3999996</v>
      </c>
      <c r="CV14" s="6">
        <f t="shared" si="23"/>
        <v>582777933</v>
      </c>
      <c r="CW14" s="6">
        <f t="shared" si="24"/>
        <v>309276610</v>
      </c>
      <c r="CX14" s="23">
        <f t="shared" si="56"/>
        <v>0.48976925770197632</v>
      </c>
      <c r="CY14" s="23">
        <f t="shared" si="57"/>
        <v>3.3849639811229723E-2</v>
      </c>
      <c r="CZ14" s="6">
        <f t="shared" si="25"/>
        <v>8583667760.1042833</v>
      </c>
      <c r="DA14" s="6">
        <f t="shared" si="26"/>
        <v>593246834.85053813</v>
      </c>
      <c r="DB14" s="6">
        <f t="shared" si="27"/>
        <v>337712942</v>
      </c>
      <c r="DC14" s="6">
        <f t="shared" si="28"/>
        <v>337712942</v>
      </c>
      <c r="DD14" s="6">
        <f t="shared" si="29"/>
        <v>294941350</v>
      </c>
      <c r="DE14" s="6">
        <f t="shared" si="30"/>
        <v>63192689</v>
      </c>
      <c r="DF14" s="6">
        <f t="shared" si="31"/>
        <v>32281426.292317461</v>
      </c>
      <c r="DG14" s="30"/>
      <c r="DH14" s="32">
        <f>VLOOKUP(A14,'T_med_comp-USA'!$A$7:$Q$233,17,0)</f>
        <v>11.123732637406361</v>
      </c>
      <c r="DI14" s="6" t="str">
        <f t="shared" si="32"/>
        <v>11_2010</v>
      </c>
      <c r="DJ14" s="32">
        <f>IF(DI14="","",VLOOKUP(DI14,'CPI USA'!$T:$U,2,FALSE))</f>
        <v>218.05600000000001</v>
      </c>
      <c r="DK14" s="32">
        <f>IF(DI14="","",VLOOKUP(DI14,'PPI USA'!$S:$T,2,FALSE))</f>
        <v>160.80000000000001</v>
      </c>
      <c r="DL14" s="32">
        <f>IF(DI14="","",VLOOKUP(DI14,'CPI USA'!$T:$V,3,FALSE))</f>
        <v>0.67050107279443949</v>
      </c>
      <c r="DM14" s="32">
        <f>IF(DI14="","",VLOOKUP(DI14,'CPI USA'!$T:$X,5,FALSE))</f>
        <v>0.4987389730136107</v>
      </c>
      <c r="DN14" s="32">
        <f t="shared" si="33"/>
        <v>1.4703278680244813</v>
      </c>
      <c r="DO14" s="32">
        <f t="shared" si="34"/>
        <v>1.4857204383544427</v>
      </c>
      <c r="DP14" s="32">
        <f t="shared" si="35"/>
        <v>0.62373101971535228</v>
      </c>
      <c r="DQ14" s="32">
        <f>IF(DP14="","",DP14*$DO$1/'CPI USA'!$U$508+(1-DP14)*AVERAGE($DO$1,$DQ$1)/AVERAGE('CPI USA'!$U$508,'PPI USA'!$T$514))</f>
        <v>1.1491146418996738</v>
      </c>
      <c r="DR14" s="6">
        <f t="shared" si="36"/>
        <v>32671588</v>
      </c>
      <c r="DS14" s="32">
        <f t="shared" si="37"/>
        <v>0.2</v>
      </c>
      <c r="DT14" s="28">
        <f>IF(DS14="","",DS14*$DO$1/'CPI USA'!$U$508+(1-DS14)*AVERAGE($DO$1,$DQ$1)/AVERAGE('CPI USA'!$U$508,'PPI USA'!$T$514))</f>
        <v>1.1741595760647974</v>
      </c>
      <c r="DU14" s="6">
        <f t="shared" si="38"/>
        <v>63386531.364936262</v>
      </c>
      <c r="DV14" s="6">
        <f t="shared" si="39"/>
        <v>5574896.2460196288</v>
      </c>
      <c r="DW14" s="6">
        <f t="shared" si="40"/>
        <v>39090466.826511741</v>
      </c>
      <c r="DX14" s="16">
        <f t="shared" si="41"/>
        <v>0.9</v>
      </c>
      <c r="DY14" s="28">
        <f>IF(DX14="","",DX14*$DO$1/'CPI USA'!$U$508+(1-DX14)*AVERAGE($DO$1,$DQ$1)/AVERAGE('CPI USA'!$U$508,'PPI USA'!$T$514))</f>
        <v>1.1327855602389947</v>
      </c>
      <c r="DZ14" s="30"/>
      <c r="EA14" s="45" t="str">
        <f t="shared" si="42"/>
        <v>C000191</v>
      </c>
      <c r="EB14" s="29">
        <f t="shared" si="43"/>
        <v>12620805917.544605</v>
      </c>
      <c r="EC14" s="29">
        <f t="shared" si="44"/>
        <v>881398947.52652717</v>
      </c>
      <c r="ED14" s="29">
        <f t="shared" si="45"/>
        <v>388070886.41121531</v>
      </c>
      <c r="EE14" s="29">
        <f t="shared" si="46"/>
        <v>346308210.47997904</v>
      </c>
      <c r="EF14" s="29">
        <f t="shared" si="47"/>
        <v>36567933.567856647</v>
      </c>
      <c r="EG14" s="29">
        <f t="shared" si="48"/>
        <v>7370</v>
      </c>
      <c r="EH14" s="29">
        <f t="shared" si="49"/>
        <v>1870124</v>
      </c>
      <c r="EI14" s="29">
        <f t="shared" si="50"/>
        <v>1763809</v>
      </c>
      <c r="EJ14" s="29">
        <f t="shared" si="51"/>
        <v>32251402</v>
      </c>
      <c r="EK14" s="29">
        <f t="shared" si="52"/>
        <v>33935185.58883249</v>
      </c>
      <c r="EL14" s="29">
        <f>IF(CD14=1,VLOOKUP(EA14,'EIA 2021'!$A$2:$J$213,4,0)*EH14,"")</f>
        <v>426201259.60000002</v>
      </c>
      <c r="EM14" s="29">
        <f>IF(CD14=1,VLOOKUP(EA14,'EIA 2021'!$A$2:$J$213,7,0)*EH14,"")</f>
        <v>2994068.5239999997</v>
      </c>
      <c r="EN14" s="29">
        <f>IF(CD14=1,VLOOKUP(EA14,'EIA 2021'!$A$2:$J$213,10,0),"")</f>
        <v>1858185</v>
      </c>
      <c r="EO14" s="28">
        <f>IF(CD14=1,VLOOKUP(EA14,'EIA 2021'!$A$2:$Z$213,26,0),"")</f>
        <v>0</v>
      </c>
      <c r="EP14" s="23">
        <f t="shared" si="53"/>
        <v>4.9617633132573551E-2</v>
      </c>
      <c r="EQ14" s="32">
        <f t="shared" si="54"/>
        <v>80025.411167512648</v>
      </c>
      <c r="ER14" s="32">
        <f t="shared" si="55"/>
        <v>1683783.5888324874</v>
      </c>
      <c r="ES14" s="6"/>
      <c r="ET14" s="32"/>
    </row>
    <row r="15" spans="1:150" ht="14.5">
      <c r="A15" s="7" t="s">
        <v>246</v>
      </c>
      <c r="B15" s="7" t="s">
        <v>247</v>
      </c>
      <c r="C15" s="32" t="s">
        <v>248</v>
      </c>
      <c r="D15" s="40">
        <v>297656234</v>
      </c>
      <c r="E15" s="40">
        <v>156643474</v>
      </c>
      <c r="F15" s="40">
        <v>1098247761</v>
      </c>
      <c r="G15" s="40">
        <v>806277870</v>
      </c>
      <c r="H15" s="40">
        <v>231793078</v>
      </c>
      <c r="I15" s="40">
        <v>7038059</v>
      </c>
      <c r="J15" s="40">
        <v>4626532</v>
      </c>
      <c r="K15" s="40">
        <v>0</v>
      </c>
      <c r="L15" s="40">
        <v>10919550</v>
      </c>
      <c r="M15" s="40">
        <v>9320452</v>
      </c>
      <c r="N15" s="40">
        <v>3672855</v>
      </c>
      <c r="O15" s="40">
        <v>41806843</v>
      </c>
      <c r="P15" s="40">
        <v>157763</v>
      </c>
      <c r="Q15" s="40">
        <v>1260053</v>
      </c>
      <c r="R15" s="40">
        <v>46385</v>
      </c>
      <c r="S15" s="40">
        <v>18864002</v>
      </c>
      <c r="T15" s="40">
        <v>144183341</v>
      </c>
      <c r="U15" s="40">
        <v>23442346</v>
      </c>
      <c r="V15" s="40">
        <v>7377933</v>
      </c>
      <c r="W15" s="40">
        <v>554879</v>
      </c>
      <c r="X15" s="40">
        <f>IFERROR(VLOOKUP(A15,'Trans 21-23'!$A$2:$J$229,6,0),0)</f>
        <v>17592879</v>
      </c>
      <c r="Y15" s="41">
        <v>11839976</v>
      </c>
      <c r="Z15" s="41">
        <v>3965559</v>
      </c>
      <c r="AA15" s="41">
        <v>158653766</v>
      </c>
      <c r="AB15" s="41">
        <v>62424296</v>
      </c>
      <c r="AC15" s="41">
        <v>1301504</v>
      </c>
      <c r="AD15" s="41">
        <v>315512074</v>
      </c>
      <c r="AE15" s="41">
        <v>0</v>
      </c>
      <c r="AF15" s="41">
        <v>3671506157</v>
      </c>
      <c r="AG15" s="41">
        <v>2698558</v>
      </c>
      <c r="AH15" s="41">
        <v>0</v>
      </c>
      <c r="AI15" s="41">
        <v>89199256</v>
      </c>
      <c r="AJ15" s="41">
        <v>84840</v>
      </c>
      <c r="AK15" s="41">
        <v>0</v>
      </c>
      <c r="AL15" s="41">
        <v>30994359</v>
      </c>
      <c r="AM15" s="41">
        <v>34973726</v>
      </c>
      <c r="AN15" s="41">
        <v>7110341</v>
      </c>
      <c r="AO15" s="41">
        <v>262473</v>
      </c>
      <c r="AP15" s="41">
        <v>10259592</v>
      </c>
      <c r="AQ15" s="41">
        <v>83600491</v>
      </c>
      <c r="AR15" s="41">
        <v>2060398</v>
      </c>
      <c r="AS15" s="41">
        <v>85660889</v>
      </c>
      <c r="AT15" s="41">
        <v>0</v>
      </c>
      <c r="AU15" s="41">
        <v>16462</v>
      </c>
      <c r="AV15" s="41">
        <v>0</v>
      </c>
      <c r="AW15" s="41">
        <v>1824730408</v>
      </c>
      <c r="AX15" s="41">
        <v>598642518</v>
      </c>
      <c r="AY15" s="41">
        <v>3677266690</v>
      </c>
      <c r="AZ15" s="41">
        <v>584698375</v>
      </c>
      <c r="BA15" s="41">
        <v>409262257</v>
      </c>
      <c r="BB15" s="41">
        <v>13839619726</v>
      </c>
      <c r="BC15" s="41">
        <v>48387612739</v>
      </c>
      <c r="BD15" s="41">
        <v>830386664</v>
      </c>
      <c r="BE15" s="41">
        <v>5484439940</v>
      </c>
      <c r="BF15" s="41">
        <v>418055424</v>
      </c>
      <c r="BG15" s="41">
        <v>0</v>
      </c>
      <c r="BH15" s="41">
        <v>101280729</v>
      </c>
      <c r="BI15" s="41">
        <v>24005238</v>
      </c>
      <c r="BJ15" s="41">
        <v>2595931</v>
      </c>
      <c r="BK15" s="41">
        <v>346839</v>
      </c>
      <c r="BL15" s="41">
        <v>0</v>
      </c>
      <c r="BM15" s="41">
        <v>105761093</v>
      </c>
      <c r="BN15" s="41">
        <v>637661069</v>
      </c>
      <c r="BO15" s="41">
        <v>0</v>
      </c>
      <c r="BP15" s="41">
        <v>1703302</v>
      </c>
      <c r="BQ15" s="41">
        <v>1020892843</v>
      </c>
      <c r="BR15" s="41">
        <v>0</v>
      </c>
      <c r="BS15" s="42">
        <f>IFERROR(VLOOKUP(A15,'Trans 21-23'!$A$2:$J$229,5,0),0)</f>
        <v>1700840533</v>
      </c>
      <c r="BT15" s="43"/>
      <c r="BU15" s="6">
        <f t="shared" si="0"/>
        <v>13839619726</v>
      </c>
      <c r="BV15" s="6">
        <f t="shared" si="1"/>
        <v>16462</v>
      </c>
      <c r="BW15" s="6">
        <f t="shared" si="2"/>
        <v>2698558</v>
      </c>
      <c r="BX15" s="6">
        <f t="shared" si="3"/>
        <v>273270993</v>
      </c>
      <c r="BY15" s="6">
        <f t="shared" si="4"/>
        <v>238185101</v>
      </c>
      <c r="BZ15" s="6">
        <f t="shared" si="5"/>
        <v>584698375</v>
      </c>
      <c r="CA15" s="6">
        <f t="shared" si="6"/>
        <v>315512074</v>
      </c>
      <c r="CB15" s="6">
        <f t="shared" si="7"/>
        <v>0</v>
      </c>
      <c r="CC15" s="6">
        <f t="shared" si="8"/>
        <v>83600491</v>
      </c>
      <c r="CD15" s="6">
        <f t="shared" si="9"/>
        <v>0</v>
      </c>
      <c r="CE15" s="44">
        <f t="shared" si="10"/>
        <v>10</v>
      </c>
      <c r="CF15" s="27"/>
      <c r="CG15" s="28" t="str">
        <f t="shared" si="11"/>
        <v/>
      </c>
      <c r="CH15" s="28" t="str">
        <f t="shared" si="12"/>
        <v/>
      </c>
      <c r="CI15" s="28" t="str">
        <f t="shared" si="13"/>
        <v/>
      </c>
      <c r="CJ15" s="28" t="str">
        <f t="shared" si="14"/>
        <v/>
      </c>
      <c r="CK15" s="23" t="str">
        <f t="shared" si="15"/>
        <v/>
      </c>
      <c r="CL15" s="29" t="str">
        <f t="shared" si="16"/>
        <v/>
      </c>
      <c r="CM15" s="29" t="str">
        <f t="shared" si="17"/>
        <v/>
      </c>
      <c r="CN15" s="29" t="str">
        <f t="shared" si="18"/>
        <v/>
      </c>
      <c r="CO15" s="29" t="str">
        <f t="shared" si="19"/>
        <v/>
      </c>
      <c r="CP15" s="29" t="str">
        <f t="shared" si="20"/>
        <v/>
      </c>
      <c r="CQ15" s="29">
        <f t="shared" si="21"/>
        <v>0</v>
      </c>
      <c r="CR15" s="13"/>
      <c r="CS15" s="7" t="str">
        <f>VLOOKUP(A15,'Empresas 21-23'!$A$2:$M$228,13,0)</f>
        <v/>
      </c>
      <c r="CT15" s="30"/>
      <c r="CU15" s="6">
        <f t="shared" si="22"/>
        <v>11980954102.200001</v>
      </c>
      <c r="CV15" s="6">
        <f t="shared" si="23"/>
        <v>584698375</v>
      </c>
      <c r="CW15" s="6">
        <f t="shared" si="24"/>
        <v>830386664</v>
      </c>
      <c r="CX15" s="23">
        <f t="shared" si="56"/>
        <v>0.2519271011161473</v>
      </c>
      <c r="CY15" s="23">
        <f t="shared" si="57"/>
        <v>1.2294627404842809E-2</v>
      </c>
      <c r="CZ15" s="6">
        <f t="shared" si="25"/>
        <v>12190151007.267029</v>
      </c>
      <c r="DA15" s="6">
        <f t="shared" si="26"/>
        <v>594907669.6358304</v>
      </c>
      <c r="DB15" s="6">
        <f t="shared" si="27"/>
        <v>273270993</v>
      </c>
      <c r="DC15" s="6">
        <f t="shared" si="28"/>
        <v>290863872</v>
      </c>
      <c r="DD15" s="6">
        <f t="shared" si="29"/>
        <v>238185101</v>
      </c>
      <c r="DE15" s="6">
        <f t="shared" si="30"/>
        <v>315512074</v>
      </c>
      <c r="DF15" s="6">
        <f t="shared" si="31"/>
        <v>106207465.51026116</v>
      </c>
      <c r="DG15" s="30"/>
      <c r="DH15" s="32">
        <f>VLOOKUP(A15,'T_med_comp-USA'!$A$7:$Q$233,17,0)</f>
        <v>13.829829972554853</v>
      </c>
      <c r="DI15" s="6" t="str">
        <f t="shared" si="32"/>
        <v>3_2008</v>
      </c>
      <c r="DJ15" s="32">
        <f>IF(DI15="","",VLOOKUP(DI15,'CPI USA'!$T:$U,2,FALSE))</f>
        <v>215.303</v>
      </c>
      <c r="DK15" s="32">
        <f>IF(DI15="","",VLOOKUP(DI15,'PPI USA'!$S:$T,2,FALSE))</f>
        <v>159.30000000000001</v>
      </c>
      <c r="DL15" s="32">
        <f>IF(DI15="","",VLOOKUP(DI15,'CPI USA'!$T:$V,3,FALSE))</f>
        <v>0.67018812038291731</v>
      </c>
      <c r="DM15" s="32">
        <f>IF(DI15="","",VLOOKUP(DI15,'CPI USA'!$T:$X,5,FALSE))</f>
        <v>0.49838492968660258</v>
      </c>
      <c r="DN15" s="32">
        <f t="shared" si="33"/>
        <v>1.4884333659448254</v>
      </c>
      <c r="DO15" s="32">
        <f t="shared" si="34"/>
        <v>1.5036496327119213</v>
      </c>
      <c r="DP15" s="32">
        <f t="shared" si="35"/>
        <v>0.37062378223216685</v>
      </c>
      <c r="DQ15" s="32">
        <f>IF(DP15="","",DP15*$DO$1/'CPI USA'!$U$508+(1-DP15)*AVERAGE($DO$1,$DQ$1)/AVERAGE('CPI USA'!$U$508,'PPI USA'!$T$514))</f>
        <v>1.1640747316843232</v>
      </c>
      <c r="DR15" s="6">
        <f t="shared" si="36"/>
        <v>26948008</v>
      </c>
      <c r="DS15" s="32">
        <f t="shared" si="37"/>
        <v>0.2</v>
      </c>
      <c r="DT15" s="28">
        <f>IF(DS15="","",DS15*$DO$1/'CPI USA'!$U$508+(1-DS15)*AVERAGE($DO$1,$DQ$1)/AVERAGE('CPI USA'!$U$508,'PPI USA'!$T$514))</f>
        <v>1.1741595760647974</v>
      </c>
      <c r="DU15" s="6">
        <f t="shared" si="38"/>
        <v>105761093</v>
      </c>
      <c r="DV15" s="6">
        <f t="shared" si="39"/>
        <v>176751.30481846852</v>
      </c>
      <c r="DW15" s="6">
        <f t="shared" si="40"/>
        <v>21303285.76748899</v>
      </c>
      <c r="DX15" s="16">
        <f t="shared" si="41"/>
        <v>0.20058181094087765</v>
      </c>
      <c r="DY15" s="28">
        <f>IF(DX15="","",DX15*$DO$1/'CPI USA'!$U$508+(1-DX15)*AVERAGE($DO$1,$DQ$1)/AVERAGE('CPI USA'!$U$508,'PPI USA'!$T$514))</f>
        <v>1.1741251877004037</v>
      </c>
      <c r="DZ15" s="30"/>
      <c r="EA15" s="45" t="str">
        <f t="shared" si="42"/>
        <v>C000196</v>
      </c>
      <c r="EB15" s="29" t="str">
        <f t="shared" si="43"/>
        <v/>
      </c>
      <c r="EC15" s="29" t="str">
        <f t="shared" si="44"/>
        <v/>
      </c>
      <c r="ED15" s="29" t="str">
        <f t="shared" si="45"/>
        <v/>
      </c>
      <c r="EE15" s="29" t="str">
        <f t="shared" si="46"/>
        <v/>
      </c>
      <c r="EF15" s="29" t="str">
        <f t="shared" si="47"/>
        <v/>
      </c>
      <c r="EG15" s="29" t="str">
        <f t="shared" si="48"/>
        <v/>
      </c>
      <c r="EH15" s="29" t="str">
        <f t="shared" si="49"/>
        <v/>
      </c>
      <c r="EI15" s="29" t="str">
        <f t="shared" si="50"/>
        <v/>
      </c>
      <c r="EJ15" s="29" t="str">
        <f t="shared" si="51"/>
        <v/>
      </c>
      <c r="EK15" s="29" t="str">
        <f t="shared" si="52"/>
        <v/>
      </c>
      <c r="EL15" s="29" t="str">
        <f>IF(CD15=1,VLOOKUP(EA15,'EIA 2021'!$A$2:$J$213,4,0)*EH15,"")</f>
        <v/>
      </c>
      <c r="EM15" s="29" t="str">
        <f>IF(CD15=1,VLOOKUP(EA15,'EIA 2021'!$A$2:$J$213,7,0)*EH15,"")</f>
        <v/>
      </c>
      <c r="EN15" s="29" t="str">
        <f>IF(CD15=1,VLOOKUP(EA15,'EIA 2021'!$A$2:$J$213,10,0),"")</f>
        <v/>
      </c>
      <c r="EO15" s="28" t="str">
        <f>IF(CD15=1,VLOOKUP(EA15,'EIA 2021'!$A$2:$Z$213,26,0),"")</f>
        <v/>
      </c>
      <c r="EP15" s="23" t="str">
        <f t="shared" si="53"/>
        <v/>
      </c>
      <c r="EQ15" s="32" t="str">
        <f t="shared" si="54"/>
        <v/>
      </c>
      <c r="ER15" s="32" t="str">
        <f t="shared" si="55"/>
        <v/>
      </c>
      <c r="ES15" s="6"/>
      <c r="ET15" s="32"/>
    </row>
    <row r="16" spans="1:150" ht="14.5">
      <c r="A16" s="7" t="s">
        <v>249</v>
      </c>
      <c r="B16" s="7" t="s">
        <v>250</v>
      </c>
      <c r="C16" s="32" t="s">
        <v>251</v>
      </c>
      <c r="D16" s="40">
        <v>0</v>
      </c>
      <c r="E16" s="40">
        <v>0</v>
      </c>
      <c r="F16" s="40">
        <v>0</v>
      </c>
      <c r="G16" s="40">
        <v>1717229904</v>
      </c>
      <c r="H16" s="40">
        <v>1941645359</v>
      </c>
      <c r="I16" s="40">
        <v>27789367</v>
      </c>
      <c r="J16" s="40">
        <v>1662632</v>
      </c>
      <c r="K16" s="40">
        <v>71460</v>
      </c>
      <c r="L16" s="40">
        <v>4932652</v>
      </c>
      <c r="M16" s="40">
        <v>19784795</v>
      </c>
      <c r="N16" s="40">
        <v>22424402</v>
      </c>
      <c r="O16" s="40">
        <v>99007767</v>
      </c>
      <c r="P16" s="40">
        <v>2823789</v>
      </c>
      <c r="Q16" s="40">
        <v>5267245</v>
      </c>
      <c r="R16" s="40">
        <v>2228160</v>
      </c>
      <c r="S16" s="40">
        <v>42438748</v>
      </c>
      <c r="T16" s="40">
        <v>191310350</v>
      </c>
      <c r="U16" s="40">
        <v>52927669</v>
      </c>
      <c r="V16" s="40">
        <v>4933875</v>
      </c>
      <c r="W16" s="40">
        <v>7507124</v>
      </c>
      <c r="X16" s="40">
        <f>IFERROR(VLOOKUP(A16,'Trans 21-23'!$A$2:$J$229,6,0),0)</f>
        <v>0</v>
      </c>
      <c r="Y16" s="41">
        <v>7080593</v>
      </c>
      <c r="Z16" s="41">
        <v>1322943</v>
      </c>
      <c r="AA16" s="41">
        <v>194204447</v>
      </c>
      <c r="AB16" s="41">
        <v>39933338</v>
      </c>
      <c r="AC16" s="41">
        <v>0</v>
      </c>
      <c r="AD16" s="41">
        <v>414223327</v>
      </c>
      <c r="AE16" s="41">
        <v>0</v>
      </c>
      <c r="AF16" s="41">
        <v>3570162623</v>
      </c>
      <c r="AG16" s="41">
        <v>4095261</v>
      </c>
      <c r="AH16" s="41">
        <v>6253619</v>
      </c>
      <c r="AI16" s="41">
        <v>93090198</v>
      </c>
      <c r="AJ16" s="41">
        <v>65238</v>
      </c>
      <c r="AK16" s="41">
        <v>409865</v>
      </c>
      <c r="AL16" s="41">
        <v>28343981</v>
      </c>
      <c r="AM16" s="41">
        <v>29706680</v>
      </c>
      <c r="AN16" s="41">
        <v>26419986</v>
      </c>
      <c r="AO16" s="41">
        <v>501726</v>
      </c>
      <c r="AP16" s="41">
        <v>0</v>
      </c>
      <c r="AQ16" s="41">
        <v>85410014</v>
      </c>
      <c r="AR16" s="41">
        <v>951462</v>
      </c>
      <c r="AS16" s="41">
        <v>86361476</v>
      </c>
      <c r="AT16" s="41">
        <v>437641</v>
      </c>
      <c r="AU16" s="41">
        <v>21167</v>
      </c>
      <c r="AV16" s="41">
        <v>0</v>
      </c>
      <c r="AW16" s="41">
        <v>3851845126</v>
      </c>
      <c r="AX16" s="41">
        <v>1038701894</v>
      </c>
      <c r="AY16" s="41">
        <v>7391580632</v>
      </c>
      <c r="AZ16" s="41">
        <v>823089644</v>
      </c>
      <c r="BA16" s="41">
        <v>197622639</v>
      </c>
      <c r="BB16" s="41">
        <v>23532603473</v>
      </c>
      <c r="BC16" s="41">
        <v>33750051882</v>
      </c>
      <c r="BD16" s="41">
        <v>2804793725</v>
      </c>
      <c r="BE16" s="41">
        <v>6940556181</v>
      </c>
      <c r="BF16" s="41">
        <v>608419648</v>
      </c>
      <c r="BG16" s="41">
        <v>0</v>
      </c>
      <c r="BH16" s="41">
        <v>160786116</v>
      </c>
      <c r="BI16" s="41">
        <v>92725998</v>
      </c>
      <c r="BJ16" s="41">
        <v>5212546</v>
      </c>
      <c r="BK16" s="41">
        <v>0</v>
      </c>
      <c r="BL16" s="41">
        <v>0</v>
      </c>
      <c r="BM16" s="41">
        <v>37479957</v>
      </c>
      <c r="BN16" s="41">
        <v>340449991</v>
      </c>
      <c r="BO16" s="41">
        <v>36918760</v>
      </c>
      <c r="BP16" s="41">
        <v>64456520</v>
      </c>
      <c r="BQ16" s="41">
        <v>818240887</v>
      </c>
      <c r="BR16" s="41">
        <v>0</v>
      </c>
      <c r="BS16" s="42">
        <f>IFERROR(VLOOKUP(A16,'Trans 21-23'!$A$2:$J$229,5,0),0)</f>
        <v>0</v>
      </c>
      <c r="BT16" s="43"/>
      <c r="BU16" s="6">
        <f t="shared" si="0"/>
        <v>23532603473</v>
      </c>
      <c r="BV16" s="6">
        <f t="shared" si="1"/>
        <v>21167</v>
      </c>
      <c r="BW16" s="6">
        <f t="shared" si="2"/>
        <v>4095261</v>
      </c>
      <c r="BX16" s="6">
        <f t="shared" si="3"/>
        <v>485110035</v>
      </c>
      <c r="BY16" s="6">
        <f t="shared" si="4"/>
        <v>242541321</v>
      </c>
      <c r="BZ16" s="6">
        <f t="shared" si="5"/>
        <v>823089644</v>
      </c>
      <c r="CA16" s="6">
        <f t="shared" si="6"/>
        <v>414223327</v>
      </c>
      <c r="CB16" s="6">
        <f t="shared" si="7"/>
        <v>6253619</v>
      </c>
      <c r="CC16" s="6">
        <f t="shared" si="8"/>
        <v>85410014</v>
      </c>
      <c r="CD16" s="6">
        <f t="shared" si="9"/>
        <v>1</v>
      </c>
      <c r="CE16" s="44">
        <f t="shared" si="10"/>
        <v>13</v>
      </c>
      <c r="CF16" s="27"/>
      <c r="CG16" s="28">
        <f t="shared" si="11"/>
        <v>1111.7590340152124</v>
      </c>
      <c r="CH16" s="28">
        <f t="shared" si="12"/>
        <v>5.168657138092053</v>
      </c>
      <c r="CI16" s="28">
        <f t="shared" si="13"/>
        <v>118.45643904014909</v>
      </c>
      <c r="CJ16" s="28">
        <f t="shared" si="14"/>
        <v>200.98588197431127</v>
      </c>
      <c r="CK16" s="23">
        <f t="shared" si="15"/>
        <v>7.3218803125357168E-2</v>
      </c>
      <c r="CL16" s="29" t="str">
        <f t="shared" si="16"/>
        <v/>
      </c>
      <c r="CM16" s="29" t="str">
        <f t="shared" si="17"/>
        <v/>
      </c>
      <c r="CN16" s="29" t="str">
        <f t="shared" si="18"/>
        <v/>
      </c>
      <c r="CO16" s="29" t="str">
        <f t="shared" si="19"/>
        <v/>
      </c>
      <c r="CP16" s="29" t="str">
        <f t="shared" si="20"/>
        <v/>
      </c>
      <c r="CQ16" s="29">
        <f t="shared" si="21"/>
        <v>0</v>
      </c>
      <c r="CR16" s="13"/>
      <c r="CS16" s="7">
        <f>VLOOKUP(A16,'Empresas 21-23'!$A$2:$M$228,13,0)</f>
        <v>1</v>
      </c>
      <c r="CT16" s="30"/>
      <c r="CU16" s="6">
        <f t="shared" si="22"/>
        <v>17453721674.400002</v>
      </c>
      <c r="CV16" s="6">
        <f t="shared" si="23"/>
        <v>823089644</v>
      </c>
      <c r="CW16" s="6">
        <f t="shared" si="24"/>
        <v>2804793725</v>
      </c>
      <c r="CX16" s="23">
        <f t="shared" si="56"/>
        <v>0.56401926220324217</v>
      </c>
      <c r="CY16" s="23">
        <f t="shared" si="57"/>
        <v>2.6598247777545596E-2</v>
      </c>
      <c r="CZ16" s="6">
        <f t="shared" si="25"/>
        <v>19035679361.806786</v>
      </c>
      <c r="DA16" s="6">
        <f t="shared" si="26"/>
        <v>897692242.46245503</v>
      </c>
      <c r="DB16" s="6">
        <f t="shared" si="27"/>
        <v>485110035</v>
      </c>
      <c r="DC16" s="6">
        <f t="shared" si="28"/>
        <v>485110035</v>
      </c>
      <c r="DD16" s="6">
        <f t="shared" si="29"/>
        <v>242541321</v>
      </c>
      <c r="DE16" s="6">
        <f t="shared" si="30"/>
        <v>414223327</v>
      </c>
      <c r="DF16" s="6">
        <f t="shared" si="31"/>
        <v>248218455.51089287</v>
      </c>
      <c r="DG16" s="30"/>
      <c r="DH16" s="32">
        <f>VLOOKUP(A16,'T_med_comp-USA'!$A$7:$Q$233,17,0)</f>
        <v>11.04967306297223</v>
      </c>
      <c r="DI16" s="6" t="str">
        <f t="shared" si="32"/>
        <v>12_2010</v>
      </c>
      <c r="DJ16" s="32">
        <f>IF(DI16="","",VLOOKUP(DI16,'CPI USA'!$T:$U,2,FALSE))</f>
        <v>218.05600000000001</v>
      </c>
      <c r="DK16" s="32">
        <f>IF(DI16="","",VLOOKUP(DI16,'PPI USA'!$S:$T,2,FALSE))</f>
        <v>160.80000000000001</v>
      </c>
      <c r="DL16" s="32">
        <f>IF(DI16="","",VLOOKUP(DI16,'CPI USA'!$T:$V,3,FALSE))</f>
        <v>0.67050107279443949</v>
      </c>
      <c r="DM16" s="32">
        <f>IF(DI16="","",VLOOKUP(DI16,'CPI USA'!$T:$X,5,FALSE))</f>
        <v>0.4987389730136107</v>
      </c>
      <c r="DN16" s="32">
        <f t="shared" si="33"/>
        <v>1.4703278680244813</v>
      </c>
      <c r="DO16" s="32">
        <f t="shared" si="34"/>
        <v>1.4857204383544427</v>
      </c>
      <c r="DP16" s="32">
        <f t="shared" si="35"/>
        <v>0.3673845539880749</v>
      </c>
      <c r="DQ16" s="32">
        <f>IF(DP16="","",DP16*$DO$1/'CPI USA'!$U$508+(1-DP16)*AVERAGE($DO$1,$DQ$1)/AVERAGE('CPI USA'!$U$508,'PPI USA'!$T$514))</f>
        <v>1.1642661886566581</v>
      </c>
      <c r="DR16" s="6">
        <f t="shared" si="36"/>
        <v>97938544</v>
      </c>
      <c r="DS16" s="32">
        <f t="shared" si="37"/>
        <v>0.44759014126931052</v>
      </c>
      <c r="DT16" s="28">
        <f>IF(DS16="","",DS16*$DO$1/'CPI USA'!$U$508+(1-DS16)*AVERAGE($DO$1,$DQ$1)/AVERAGE('CPI USA'!$U$508,'PPI USA'!$T$514))</f>
        <v>1.1595255783173841</v>
      </c>
      <c r="DU16" s="6">
        <f t="shared" si="38"/>
        <v>41544323.496908851</v>
      </c>
      <c r="DV16" s="6">
        <f t="shared" si="39"/>
        <v>3204931.9457027689</v>
      </c>
      <c r="DW16" s="6">
        <f t="shared" si="40"/>
        <v>34007155.839939028</v>
      </c>
      <c r="DX16" s="16">
        <f t="shared" si="41"/>
        <v>0.2</v>
      </c>
      <c r="DY16" s="28">
        <f>IF(DX16="","",DX16*$DO$1/'CPI USA'!$U$508+(1-DX16)*AVERAGE($DO$1,$DQ$1)/AVERAGE('CPI USA'!$U$508,'PPI USA'!$T$514))</f>
        <v>1.1741595760647974</v>
      </c>
      <c r="DZ16" s="30"/>
      <c r="EA16" s="45" t="str">
        <f t="shared" si="42"/>
        <v>C000199</v>
      </c>
      <c r="EB16" s="29">
        <f t="shared" si="43"/>
        <v>27988689852.442989</v>
      </c>
      <c r="EC16" s="29">
        <f t="shared" si="44"/>
        <v>1333719711.9787014</v>
      </c>
      <c r="ED16" s="29">
        <f t="shared" si="45"/>
        <v>564797211.528548</v>
      </c>
      <c r="EE16" s="29">
        <f t="shared" si="46"/>
        <v>281232865.49838728</v>
      </c>
      <c r="EF16" s="29">
        <f t="shared" si="47"/>
        <v>291448076.49412876</v>
      </c>
      <c r="EG16" s="29">
        <f t="shared" si="48"/>
        <v>21167</v>
      </c>
      <c r="EH16" s="29">
        <f t="shared" si="49"/>
        <v>4095261</v>
      </c>
      <c r="EI16" s="29">
        <f t="shared" si="50"/>
        <v>6253619</v>
      </c>
      <c r="EJ16" s="29">
        <f t="shared" si="51"/>
        <v>85410014</v>
      </c>
      <c r="EK16" s="29">
        <f t="shared" si="52"/>
        <v>91649143.730964467</v>
      </c>
      <c r="EL16" s="29">
        <f>IF(CD16=1,VLOOKUP(EA16,'EIA 2021'!$A$2:$J$213,4,0)*EH16,"")</f>
        <v>177980043.06</v>
      </c>
      <c r="EM16" s="29">
        <f>IF(CD16=1,VLOOKUP(EA16,'EIA 2021'!$A$2:$J$213,7,0)*EH16,"")</f>
        <v>3153350.97</v>
      </c>
      <c r="EN16" s="29">
        <f>IF(CD16=1,VLOOKUP(EA16,'EIA 2021'!$A$2:$J$213,10,0),"")</f>
        <v>4193211</v>
      </c>
      <c r="EO16" s="28">
        <f>IF(CD16=1,VLOOKUP(EA16,'EIA 2021'!$A$2:$Z$213,26,0),"")</f>
        <v>0</v>
      </c>
      <c r="EP16" s="23">
        <f t="shared" si="53"/>
        <v>6.8076246836297746E-2</v>
      </c>
      <c r="EQ16" s="32">
        <f t="shared" si="54"/>
        <v>14489.269035532954</v>
      </c>
      <c r="ER16" s="32">
        <f t="shared" si="55"/>
        <v>6239129.7309644669</v>
      </c>
      <c r="ES16" s="6"/>
      <c r="ET16" s="32"/>
    </row>
    <row r="17" spans="1:150" ht="14.5">
      <c r="A17" s="7" t="s">
        <v>252</v>
      </c>
      <c r="B17" s="7" t="s">
        <v>253</v>
      </c>
      <c r="C17" s="32" t="s">
        <v>254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f>IFERROR(VLOOKUP(A17,'Trans 21-23'!$A$2:$J$229,6,0),0)</f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360341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0</v>
      </c>
      <c r="BA17" s="41">
        <v>0</v>
      </c>
      <c r="BB17" s="41">
        <v>0</v>
      </c>
      <c r="BC17" s="41">
        <v>88954549</v>
      </c>
      <c r="BD17" s="41">
        <v>5144970</v>
      </c>
      <c r="BE17" s="41">
        <v>0</v>
      </c>
      <c r="BF17" s="41">
        <v>0</v>
      </c>
      <c r="BG17" s="41">
        <v>0</v>
      </c>
      <c r="BH17" s="41">
        <v>0</v>
      </c>
      <c r="BI17" s="41">
        <v>0</v>
      </c>
      <c r="BJ17" s="41">
        <v>0</v>
      </c>
      <c r="BK17" s="41">
        <v>0</v>
      </c>
      <c r="BL17" s="41">
        <v>0</v>
      </c>
      <c r="BM17" s="41">
        <v>0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2">
        <f>IFERROR(VLOOKUP(A17,'Trans 21-23'!$A$2:$J$229,5,0),0)</f>
        <v>0</v>
      </c>
      <c r="BT17" s="43"/>
      <c r="BU17" s="6">
        <f t="shared" si="0"/>
        <v>0</v>
      </c>
      <c r="BV17" s="6">
        <f t="shared" si="1"/>
        <v>0</v>
      </c>
      <c r="BW17" s="6">
        <f t="shared" si="2"/>
        <v>0</v>
      </c>
      <c r="BX17" s="6">
        <f t="shared" si="3"/>
        <v>0</v>
      </c>
      <c r="BY17" s="6">
        <f t="shared" si="4"/>
        <v>0</v>
      </c>
      <c r="BZ17" s="6">
        <f t="shared" si="5"/>
        <v>0</v>
      </c>
      <c r="CA17" s="6">
        <f t="shared" si="6"/>
        <v>0</v>
      </c>
      <c r="CB17" s="6">
        <f t="shared" si="7"/>
        <v>0</v>
      </c>
      <c r="CC17" s="6">
        <f t="shared" si="8"/>
        <v>0</v>
      </c>
      <c r="CD17" s="6">
        <f t="shared" si="9"/>
        <v>0</v>
      </c>
      <c r="CE17" s="44">
        <f t="shared" si="10"/>
        <v>65</v>
      </c>
      <c r="CF17" s="27"/>
      <c r="CG17" s="28" t="str">
        <f t="shared" si="11"/>
        <v/>
      </c>
      <c r="CH17" s="28" t="str">
        <f t="shared" si="12"/>
        <v/>
      </c>
      <c r="CI17" s="28" t="str">
        <f t="shared" si="13"/>
        <v/>
      </c>
      <c r="CJ17" s="28" t="str">
        <f t="shared" si="14"/>
        <v/>
      </c>
      <c r="CK17" s="23" t="str">
        <f t="shared" si="15"/>
        <v/>
      </c>
      <c r="CL17" s="29" t="str">
        <f t="shared" si="16"/>
        <v/>
      </c>
      <c r="CM17" s="29" t="str">
        <f t="shared" si="17"/>
        <v/>
      </c>
      <c r="CN17" s="29" t="str">
        <f t="shared" si="18"/>
        <v/>
      </c>
      <c r="CO17" s="29" t="str">
        <f t="shared" si="19"/>
        <v/>
      </c>
      <c r="CP17" s="29" t="str">
        <f t="shared" si="20"/>
        <v/>
      </c>
      <c r="CQ17" s="29">
        <f t="shared" si="21"/>
        <v>0</v>
      </c>
      <c r="CR17" s="13"/>
      <c r="CS17" s="7" t="str">
        <f>VLOOKUP(A17,'Empresas 21-23'!$A$2:$M$228,13,0)</f>
        <v/>
      </c>
      <c r="CT17" s="30"/>
      <c r="CU17" s="6">
        <f t="shared" si="22"/>
        <v>0</v>
      </c>
      <c r="CV17" s="6">
        <f t="shared" si="23"/>
        <v>0</v>
      </c>
      <c r="CW17" s="6">
        <f t="shared" si="24"/>
        <v>5144970</v>
      </c>
      <c r="CX17" s="23">
        <f t="shared" si="56"/>
        <v>0</v>
      </c>
      <c r="CY17" s="23">
        <f t="shared" si="57"/>
        <v>0</v>
      </c>
      <c r="CZ17" s="6">
        <f t="shared" si="25"/>
        <v>0</v>
      </c>
      <c r="DA17" s="6">
        <f t="shared" si="26"/>
        <v>0</v>
      </c>
      <c r="DB17" s="6">
        <f t="shared" si="27"/>
        <v>0</v>
      </c>
      <c r="DC17" s="6">
        <f t="shared" si="28"/>
        <v>0</v>
      </c>
      <c r="DD17" s="6">
        <f t="shared" si="29"/>
        <v>0</v>
      </c>
      <c r="DE17" s="6">
        <f t="shared" si="30"/>
        <v>0</v>
      </c>
      <c r="DF17" s="6">
        <f t="shared" si="31"/>
        <v>0</v>
      </c>
      <c r="DG17" s="30"/>
      <c r="DH17" s="32" t="str">
        <f>VLOOKUP(A17,'T_med_comp-USA'!$A$7:$Q$233,17,0)</f>
        <v>-</v>
      </c>
      <c r="DI17" s="6" t="str">
        <f t="shared" si="32"/>
        <v/>
      </c>
      <c r="DJ17" s="32" t="str">
        <f>IF(DI17="","",VLOOKUP(DI17,'CPI USA'!$T:$U,2,FALSE))</f>
        <v/>
      </c>
      <c r="DK17" s="32" t="str">
        <f>IF(DI17="","",VLOOKUP(DI17,'PPI USA'!$S:$T,2,FALSE))</f>
        <v/>
      </c>
      <c r="DL17" s="32" t="str">
        <f>IF(DI17="","",VLOOKUP(DI17,'CPI USA'!$T:$V,3,FALSE))</f>
        <v/>
      </c>
      <c r="DM17" s="32" t="str">
        <f>IF(DI17="","",VLOOKUP(DI17,'CPI USA'!$T:$X,5,FALSE))</f>
        <v/>
      </c>
      <c r="DN17" s="32" t="str">
        <f t="shared" si="33"/>
        <v/>
      </c>
      <c r="DO17" s="32" t="str">
        <f t="shared" si="34"/>
        <v/>
      </c>
      <c r="DP17" s="32" t="str">
        <f t="shared" si="35"/>
        <v/>
      </c>
      <c r="DQ17" s="32" t="str">
        <f>IF(DP17="","",DP17*$DO$1/'CPI USA'!$U$508+(1-DP17)*AVERAGE($DO$1,$DQ$1)/AVERAGE('CPI USA'!$U$508,'PPI USA'!$T$514))</f>
        <v/>
      </c>
      <c r="DR17" s="6">
        <f t="shared" si="36"/>
        <v>0</v>
      </c>
      <c r="DS17" s="32" t="str">
        <f t="shared" si="37"/>
        <v/>
      </c>
      <c r="DT17" s="28" t="str">
        <f>IF(DS17="","",DS17*$DO$1/'CPI USA'!$U$508+(1-DS17)*AVERAGE($DO$1,$DQ$1)/AVERAGE('CPI USA'!$U$508,'PPI USA'!$T$514))</f>
        <v/>
      </c>
      <c r="DU17" s="6" t="str">
        <f t="shared" si="38"/>
        <v/>
      </c>
      <c r="DV17" s="6" t="str">
        <f t="shared" si="39"/>
        <v/>
      </c>
      <c r="DW17" s="6">
        <f t="shared" si="40"/>
        <v>0</v>
      </c>
      <c r="DX17" s="16" t="str">
        <f t="shared" si="41"/>
        <v/>
      </c>
      <c r="DY17" s="28" t="str">
        <f>IF(DX17="","",DX17*$DO$1/'CPI USA'!$U$508+(1-DX17)*AVERAGE($DO$1,$DQ$1)/AVERAGE('CPI USA'!$U$508,'PPI USA'!$T$514))</f>
        <v/>
      </c>
      <c r="DZ17" s="30"/>
      <c r="EA17" s="45" t="str">
        <f t="shared" si="42"/>
        <v>C000200</v>
      </c>
      <c r="EB17" s="29" t="str">
        <f t="shared" si="43"/>
        <v/>
      </c>
      <c r="EC17" s="29" t="str">
        <f t="shared" si="44"/>
        <v/>
      </c>
      <c r="ED17" s="29" t="str">
        <f t="shared" si="45"/>
        <v/>
      </c>
      <c r="EE17" s="29" t="str">
        <f t="shared" si="46"/>
        <v/>
      </c>
      <c r="EF17" s="29" t="str">
        <f t="shared" si="47"/>
        <v/>
      </c>
      <c r="EG17" s="29" t="str">
        <f t="shared" si="48"/>
        <v/>
      </c>
      <c r="EH17" s="29" t="str">
        <f t="shared" si="49"/>
        <v/>
      </c>
      <c r="EI17" s="29" t="str">
        <f t="shared" si="50"/>
        <v/>
      </c>
      <c r="EJ17" s="29" t="str">
        <f t="shared" si="51"/>
        <v/>
      </c>
      <c r="EK17" s="29" t="str">
        <f t="shared" si="52"/>
        <v/>
      </c>
      <c r="EL17" s="29" t="str">
        <f>IF(CD17=1,VLOOKUP(EA17,'EIA 2021'!$A$2:$J$213,4,0)*EH17,"")</f>
        <v/>
      </c>
      <c r="EM17" s="29" t="str">
        <f>IF(CD17=1,VLOOKUP(EA17,'EIA 2021'!$A$2:$J$213,7,0)*EH17,"")</f>
        <v/>
      </c>
      <c r="EN17" s="29" t="str">
        <f>IF(CD17=1,VLOOKUP(EA17,'EIA 2021'!$A$2:$J$213,10,0),"")</f>
        <v/>
      </c>
      <c r="EO17" s="28" t="str">
        <f>IF(CD17=1,VLOOKUP(EA17,'EIA 2021'!$A$2:$Z$213,26,0),"")</f>
        <v/>
      </c>
      <c r="EP17" s="23" t="str">
        <f t="shared" si="53"/>
        <v/>
      </c>
      <c r="EQ17" s="32" t="str">
        <f t="shared" si="54"/>
        <v/>
      </c>
      <c r="ER17" s="32" t="str">
        <f t="shared" si="55"/>
        <v/>
      </c>
      <c r="ES17" s="6"/>
      <c r="ET17" s="32"/>
    </row>
    <row r="18" spans="1:150" ht="14.5">
      <c r="A18" s="7" t="s">
        <v>255</v>
      </c>
      <c r="B18" s="7" t="s">
        <v>256</v>
      </c>
      <c r="C18" s="32" t="s">
        <v>257</v>
      </c>
      <c r="D18" s="40">
        <v>0</v>
      </c>
      <c r="E18" s="40">
        <v>0</v>
      </c>
      <c r="F18" s="40">
        <v>0</v>
      </c>
      <c r="G18" s="40">
        <v>743752134</v>
      </c>
      <c r="H18" s="40">
        <v>744705989</v>
      </c>
      <c r="I18" s="40">
        <v>1154423</v>
      </c>
      <c r="J18" s="40">
        <v>4803515</v>
      </c>
      <c r="K18" s="40">
        <v>0</v>
      </c>
      <c r="L18" s="40">
        <v>14508550</v>
      </c>
      <c r="M18" s="40">
        <v>12309477</v>
      </c>
      <c r="N18" s="40">
        <v>12112495</v>
      </c>
      <c r="O18" s="40">
        <v>73888417</v>
      </c>
      <c r="P18" s="40">
        <v>3573366</v>
      </c>
      <c r="Q18" s="40">
        <v>0</v>
      </c>
      <c r="R18" s="40">
        <v>3721306</v>
      </c>
      <c r="S18" s="40">
        <v>14129055</v>
      </c>
      <c r="T18" s="40">
        <v>158924209</v>
      </c>
      <c r="U18" s="40">
        <v>36619928</v>
      </c>
      <c r="V18" s="40">
        <v>1613360</v>
      </c>
      <c r="W18" s="40">
        <v>13960013</v>
      </c>
      <c r="X18" s="40">
        <f>IFERROR(VLOOKUP(A18,'Trans 21-23'!$A$2:$J$229,6,0),0)</f>
        <v>1357624</v>
      </c>
      <c r="Y18" s="41">
        <v>5789559</v>
      </c>
      <c r="Z18" s="41">
        <v>0</v>
      </c>
      <c r="AA18" s="41">
        <v>119668783</v>
      </c>
      <c r="AB18" s="41">
        <v>70577011</v>
      </c>
      <c r="AC18" s="41">
        <v>749798</v>
      </c>
      <c r="AD18" s="41">
        <v>173122774</v>
      </c>
      <c r="AE18" s="41">
        <v>0</v>
      </c>
      <c r="AF18" s="41">
        <v>1676435785</v>
      </c>
      <c r="AG18" s="41">
        <v>1681439</v>
      </c>
      <c r="AH18" s="41">
        <v>1973908</v>
      </c>
      <c r="AI18" s="41">
        <v>38435544</v>
      </c>
      <c r="AJ18" s="41">
        <v>30212</v>
      </c>
      <c r="AK18" s="41">
        <v>0</v>
      </c>
      <c r="AL18" s="41">
        <v>14262461</v>
      </c>
      <c r="AM18" s="41">
        <v>7597167</v>
      </c>
      <c r="AN18" s="41">
        <v>14002669</v>
      </c>
      <c r="AO18" s="41">
        <v>168337</v>
      </c>
      <c r="AP18" s="41">
        <v>0</v>
      </c>
      <c r="AQ18" s="41">
        <v>36428052</v>
      </c>
      <c r="AR18" s="41">
        <v>3372</v>
      </c>
      <c r="AS18" s="41">
        <v>36431424</v>
      </c>
      <c r="AT18" s="41">
        <v>390785</v>
      </c>
      <c r="AU18" s="41">
        <v>8479</v>
      </c>
      <c r="AV18" s="41">
        <v>0</v>
      </c>
      <c r="AW18" s="41">
        <v>1717367279</v>
      </c>
      <c r="AX18" s="41">
        <v>590020396</v>
      </c>
      <c r="AY18" s="41">
        <v>1528951473</v>
      </c>
      <c r="AZ18" s="41">
        <v>332797593</v>
      </c>
      <c r="BA18" s="41">
        <v>64420565</v>
      </c>
      <c r="BB18" s="41">
        <v>7755823316</v>
      </c>
      <c r="BC18" s="41">
        <v>10078171555</v>
      </c>
      <c r="BD18" s="41">
        <v>315580550</v>
      </c>
      <c r="BE18" s="41">
        <v>1838784792</v>
      </c>
      <c r="BF18" s="41">
        <v>158572032</v>
      </c>
      <c r="BG18" s="41">
        <v>0</v>
      </c>
      <c r="BH18" s="41">
        <v>98190399</v>
      </c>
      <c r="BI18" s="41">
        <v>32885851</v>
      </c>
      <c r="BJ18" s="41">
        <v>1450302</v>
      </c>
      <c r="BK18" s="41">
        <v>458125</v>
      </c>
      <c r="BL18" s="41">
        <v>0</v>
      </c>
      <c r="BM18" s="41">
        <v>30982688</v>
      </c>
      <c r="BN18" s="41">
        <v>178665819</v>
      </c>
      <c r="BO18" s="41">
        <v>19773422</v>
      </c>
      <c r="BP18" s="41">
        <v>110710890</v>
      </c>
      <c r="BQ18" s="41">
        <v>432231510</v>
      </c>
      <c r="BR18" s="41">
        <v>6633</v>
      </c>
      <c r="BS18" s="42">
        <f>IFERROR(VLOOKUP(A18,'Trans 21-23'!$A$2:$J$229,5,0),0)</f>
        <v>86501890</v>
      </c>
      <c r="BT18" s="43"/>
      <c r="BU18" s="6">
        <f t="shared" si="0"/>
        <v>7755823316</v>
      </c>
      <c r="BV18" s="6">
        <f t="shared" si="1"/>
        <v>8479</v>
      </c>
      <c r="BW18" s="6">
        <f t="shared" si="2"/>
        <v>1681439</v>
      </c>
      <c r="BX18" s="6">
        <f t="shared" si="3"/>
        <v>351318114</v>
      </c>
      <c r="BY18" s="6">
        <f t="shared" si="4"/>
        <v>196785151</v>
      </c>
      <c r="BZ18" s="6">
        <f t="shared" si="5"/>
        <v>332797593</v>
      </c>
      <c r="CA18" s="6">
        <f t="shared" si="6"/>
        <v>173122774</v>
      </c>
      <c r="CB18" s="6">
        <f t="shared" si="7"/>
        <v>1973908</v>
      </c>
      <c r="CC18" s="6">
        <f t="shared" si="8"/>
        <v>36428052</v>
      </c>
      <c r="CD18" s="6">
        <f t="shared" si="9"/>
        <v>1</v>
      </c>
      <c r="CE18" s="44">
        <f t="shared" si="10"/>
        <v>12</v>
      </c>
      <c r="CF18" s="27"/>
      <c r="CG18" s="28">
        <f t="shared" si="11"/>
        <v>914.70967283877815</v>
      </c>
      <c r="CH18" s="28">
        <f t="shared" si="12"/>
        <v>5.0427044929967728</v>
      </c>
      <c r="CI18" s="28">
        <f t="shared" si="13"/>
        <v>208.93895883228592</v>
      </c>
      <c r="CJ18" s="28">
        <f t="shared" si="14"/>
        <v>197.92427379167486</v>
      </c>
      <c r="CK18" s="23">
        <f t="shared" si="15"/>
        <v>5.4186482439412355E-2</v>
      </c>
      <c r="CL18" s="29" t="str">
        <f t="shared" si="16"/>
        <v/>
      </c>
      <c r="CM18" s="29" t="str">
        <f t="shared" si="17"/>
        <v/>
      </c>
      <c r="CN18" s="29" t="str">
        <f t="shared" si="18"/>
        <v/>
      </c>
      <c r="CO18" s="29" t="str">
        <f t="shared" si="19"/>
        <v/>
      </c>
      <c r="CP18" s="29" t="str">
        <f t="shared" si="20"/>
        <v/>
      </c>
      <c r="CQ18" s="29">
        <f t="shared" si="21"/>
        <v>0</v>
      </c>
      <c r="CR18" s="13"/>
      <c r="CS18" s="7">
        <f>VLOOKUP(A18,'Empresas 21-23'!$A$2:$M$228,13,0)</f>
        <v>1</v>
      </c>
      <c r="CT18" s="30"/>
      <c r="CU18" s="6">
        <f t="shared" si="22"/>
        <v>6173723926.6000004</v>
      </c>
      <c r="CV18" s="6">
        <f t="shared" si="23"/>
        <v>332797593</v>
      </c>
      <c r="CW18" s="6">
        <f t="shared" si="24"/>
        <v>315580550</v>
      </c>
      <c r="CX18" s="23">
        <f t="shared" si="56"/>
        <v>0.63238580039234171</v>
      </c>
      <c r="CY18" s="23">
        <f t="shared" si="57"/>
        <v>3.4089064350801411E-2</v>
      </c>
      <c r="CZ18" s="6">
        <f t="shared" si="25"/>
        <v>6373292585.3000059</v>
      </c>
      <c r="DA18" s="6">
        <f t="shared" si="26"/>
        <v>343555438.67681128</v>
      </c>
      <c r="DB18" s="6">
        <f t="shared" si="27"/>
        <v>351318114</v>
      </c>
      <c r="DC18" s="6">
        <f t="shared" si="28"/>
        <v>352675738</v>
      </c>
      <c r="DD18" s="6">
        <f t="shared" si="29"/>
        <v>196785151</v>
      </c>
      <c r="DE18" s="6">
        <f t="shared" si="30"/>
        <v>173122774</v>
      </c>
      <c r="DF18" s="6">
        <f t="shared" si="31"/>
        <v>125393241.2296944</v>
      </c>
      <c r="DG18" s="30"/>
      <c r="DH18" s="32">
        <f>VLOOKUP(A18,'T_med_comp-USA'!$A$7:$Q$233,17,0)</f>
        <v>11.042607983924809</v>
      </c>
      <c r="DI18" s="6" t="str">
        <f t="shared" si="32"/>
        <v>12_2010</v>
      </c>
      <c r="DJ18" s="32">
        <f>IF(DI18="","",VLOOKUP(DI18,'CPI USA'!$T:$U,2,FALSE))</f>
        <v>218.05600000000001</v>
      </c>
      <c r="DK18" s="32">
        <f>IF(DI18="","",VLOOKUP(DI18,'PPI USA'!$S:$T,2,FALSE))</f>
        <v>160.80000000000001</v>
      </c>
      <c r="DL18" s="32">
        <f>IF(DI18="","",VLOOKUP(DI18,'CPI USA'!$T:$V,3,FALSE))</f>
        <v>0.67050107279443949</v>
      </c>
      <c r="DM18" s="32">
        <f>IF(DI18="","",VLOOKUP(DI18,'CPI USA'!$T:$X,5,FALSE))</f>
        <v>0.4987389730136107</v>
      </c>
      <c r="DN18" s="32">
        <f t="shared" si="33"/>
        <v>1.4703278680244813</v>
      </c>
      <c r="DO18" s="32">
        <f t="shared" si="34"/>
        <v>1.4857204383544427</v>
      </c>
      <c r="DP18" s="32">
        <f t="shared" si="35"/>
        <v>0.31042348118622481</v>
      </c>
      <c r="DQ18" s="32">
        <f>IF(DP18="","",DP18*$DO$1/'CPI USA'!$U$508+(1-DP18)*AVERAGE($DO$1,$DQ$1)/AVERAGE('CPI USA'!$U$508,'PPI USA'!$T$514))</f>
        <v>1.1676329148388844</v>
      </c>
      <c r="DR18" s="6">
        <f t="shared" si="36"/>
        <v>34794278</v>
      </c>
      <c r="DS18" s="32">
        <f t="shared" si="37"/>
        <v>0.2</v>
      </c>
      <c r="DT18" s="28">
        <f>IF(DS18="","",DS18*$DO$1/'CPI USA'!$U$508+(1-DS18)*AVERAGE($DO$1,$DQ$1)/AVERAGE('CPI USA'!$U$508,'PPI USA'!$T$514))</f>
        <v>1.1741595760647974</v>
      </c>
      <c r="DU18" s="6">
        <f t="shared" si="38"/>
        <v>34411624.592053659</v>
      </c>
      <c r="DV18" s="6">
        <f t="shared" si="39"/>
        <v>10668432.286154212</v>
      </c>
      <c r="DW18" s="6">
        <f t="shared" si="40"/>
        <v>33554021.89766416</v>
      </c>
      <c r="DX18" s="16">
        <f t="shared" si="41"/>
        <v>0.26759035470021986</v>
      </c>
      <c r="DY18" s="28">
        <f>IF(DX18="","",DX18*$DO$1/'CPI USA'!$U$508+(1-DX18)*AVERAGE($DO$1,$DQ$1)/AVERAGE('CPI USA'!$U$508,'PPI USA'!$T$514))</f>
        <v>1.1701645983433138</v>
      </c>
      <c r="DZ18" s="30"/>
      <c r="EA18" s="45" t="str">
        <f t="shared" si="42"/>
        <v>C000201</v>
      </c>
      <c r="EB18" s="29">
        <f t="shared" si="43"/>
        <v>9370829699.2403927</v>
      </c>
      <c r="EC18" s="29">
        <f t="shared" si="44"/>
        <v>510427336.94996488</v>
      </c>
      <c r="ED18" s="29">
        <f t="shared" si="45"/>
        <v>411795799.95389473</v>
      </c>
      <c r="EE18" s="29">
        <f t="shared" si="46"/>
        <v>231057169.47400713</v>
      </c>
      <c r="EF18" s="29">
        <f t="shared" si="47"/>
        <v>146730731.7585116</v>
      </c>
      <c r="EG18" s="29">
        <f t="shared" si="48"/>
        <v>8479</v>
      </c>
      <c r="EH18" s="29">
        <f t="shared" si="49"/>
        <v>1681439</v>
      </c>
      <c r="EI18" s="29">
        <f t="shared" si="50"/>
        <v>1973908</v>
      </c>
      <c r="EJ18" s="29">
        <f t="shared" si="51"/>
        <v>36428052</v>
      </c>
      <c r="EK18" s="29">
        <f t="shared" si="52"/>
        <v>38401908.649746194</v>
      </c>
      <c r="EL18" s="29">
        <f>IF(CD18=1,VLOOKUP(EA18,'EIA 2021'!$A$2:$J$213,4,0)*EH18,"")</f>
        <v>147966632</v>
      </c>
      <c r="EM18" s="29">
        <f>IF(CD18=1,VLOOKUP(EA18,'EIA 2021'!$A$2:$J$213,7,0)*EH18,"")</f>
        <v>1698253.3900000001</v>
      </c>
      <c r="EN18" s="29">
        <f>IF(CD18=1,VLOOKUP(EA18,'EIA 2021'!$A$2:$J$213,10,0),"")</f>
        <v>1723219</v>
      </c>
      <c r="EO18" s="28">
        <f>IF(CD18=1,VLOOKUP(EA18,'EIA 2021'!$A$2:$Z$213,26,0),"")</f>
        <v>0</v>
      </c>
      <c r="EP18" s="23">
        <f t="shared" si="53"/>
        <v>5.1399962115144464E-2</v>
      </c>
      <c r="EQ18" s="32">
        <f t="shared" si="54"/>
        <v>51.350253807106583</v>
      </c>
      <c r="ER18" s="32">
        <f t="shared" si="55"/>
        <v>1973856.6497461929</v>
      </c>
      <c r="ES18" s="6"/>
      <c r="ET18" s="32"/>
    </row>
    <row r="19" spans="1:150" ht="14.5">
      <c r="A19" s="7" t="s">
        <v>258</v>
      </c>
      <c r="B19" s="7" t="s">
        <v>259</v>
      </c>
      <c r="C19" s="32" t="s">
        <v>260</v>
      </c>
      <c r="D19" s="40">
        <v>166493550</v>
      </c>
      <c r="E19" s="40">
        <v>33591683</v>
      </c>
      <c r="F19" s="40">
        <v>352000180</v>
      </c>
      <c r="G19" s="40">
        <v>275458301</v>
      </c>
      <c r="H19" s="40">
        <v>278047077</v>
      </c>
      <c r="I19" s="40">
        <v>1530886</v>
      </c>
      <c r="J19" s="40">
        <v>1600223</v>
      </c>
      <c r="K19" s="40">
        <v>1795012</v>
      </c>
      <c r="L19" s="40">
        <v>1814220</v>
      </c>
      <c r="M19" s="40">
        <v>362553</v>
      </c>
      <c r="N19" s="40">
        <v>490</v>
      </c>
      <c r="O19" s="40">
        <v>4377879</v>
      </c>
      <c r="P19" s="40">
        <v>2075169</v>
      </c>
      <c r="Q19" s="40">
        <v>234641</v>
      </c>
      <c r="R19" s="40">
        <v>0</v>
      </c>
      <c r="S19" s="40">
        <v>1177003</v>
      </c>
      <c r="T19" s="40">
        <v>36471424</v>
      </c>
      <c r="U19" s="40">
        <v>1972338</v>
      </c>
      <c r="V19" s="40">
        <v>84203</v>
      </c>
      <c r="W19" s="40">
        <v>1661549</v>
      </c>
      <c r="X19" s="40">
        <f>IFERROR(VLOOKUP(A19,'Trans 21-23'!$A$2:$J$229,6,0),0)</f>
        <v>10136157</v>
      </c>
      <c r="Y19" s="41">
        <v>1319870</v>
      </c>
      <c r="Z19" s="41">
        <v>547597</v>
      </c>
      <c r="AA19" s="41">
        <v>28754525</v>
      </c>
      <c r="AB19" s="41">
        <v>28552243</v>
      </c>
      <c r="AC19" s="41">
        <v>1497379</v>
      </c>
      <c r="AD19" s="41">
        <v>188916806</v>
      </c>
      <c r="AE19" s="41">
        <v>0</v>
      </c>
      <c r="AF19" s="41">
        <v>1339708812</v>
      </c>
      <c r="AG19" s="41">
        <v>765969</v>
      </c>
      <c r="AH19" s="41">
        <v>1107416</v>
      </c>
      <c r="AI19" s="41">
        <v>23641145</v>
      </c>
      <c r="AJ19" s="41">
        <v>79387</v>
      </c>
      <c r="AK19" s="41">
        <v>0</v>
      </c>
      <c r="AL19" s="41">
        <v>8232408</v>
      </c>
      <c r="AM19" s="41">
        <v>7069472</v>
      </c>
      <c r="AN19" s="41">
        <v>5538657</v>
      </c>
      <c r="AO19" s="41">
        <v>75196</v>
      </c>
      <c r="AP19" s="41">
        <v>495509</v>
      </c>
      <c r="AQ19" s="41">
        <v>21411242</v>
      </c>
      <c r="AR19" s="41">
        <v>1043100</v>
      </c>
      <c r="AS19" s="41">
        <v>22454342</v>
      </c>
      <c r="AT19" s="41">
        <v>0</v>
      </c>
      <c r="AU19" s="41">
        <v>4573</v>
      </c>
      <c r="AV19" s="41">
        <v>0</v>
      </c>
      <c r="AW19" s="41">
        <v>583982455</v>
      </c>
      <c r="AX19" s="41">
        <v>178328662</v>
      </c>
      <c r="AY19" s="41">
        <v>534006474</v>
      </c>
      <c r="AZ19" s="41">
        <v>176542130</v>
      </c>
      <c r="BA19" s="41">
        <v>407625397</v>
      </c>
      <c r="BB19" s="41">
        <v>3809551875</v>
      </c>
      <c r="BC19" s="41">
        <v>11445031078</v>
      </c>
      <c r="BD19" s="41">
        <v>243884601</v>
      </c>
      <c r="BE19" s="41">
        <v>1245645450</v>
      </c>
      <c r="BF19" s="41">
        <v>87255053</v>
      </c>
      <c r="BG19" s="41">
        <v>0</v>
      </c>
      <c r="BH19" s="41">
        <v>20233384</v>
      </c>
      <c r="BI19" s="41">
        <v>10883218</v>
      </c>
      <c r="BJ19" s="41">
        <v>2249870</v>
      </c>
      <c r="BK19" s="41">
        <v>219855</v>
      </c>
      <c r="BL19" s="41">
        <v>0</v>
      </c>
      <c r="BM19" s="41">
        <v>69267106</v>
      </c>
      <c r="BN19" s="41">
        <v>185373781</v>
      </c>
      <c r="BO19" s="41">
        <v>0</v>
      </c>
      <c r="BP19" s="41">
        <v>7086138</v>
      </c>
      <c r="BQ19" s="41">
        <v>226436624</v>
      </c>
      <c r="BR19" s="41">
        <v>0</v>
      </c>
      <c r="BS19" s="42">
        <f>IFERROR(VLOOKUP(A19,'Trans 21-23'!$A$2:$J$229,5,0),0)</f>
        <v>645831577</v>
      </c>
      <c r="BT19" s="43"/>
      <c r="BU19" s="6">
        <f t="shared" si="0"/>
        <v>3809551875</v>
      </c>
      <c r="BV19" s="6">
        <f t="shared" si="1"/>
        <v>4573</v>
      </c>
      <c r="BW19" s="6">
        <f t="shared" si="2"/>
        <v>765969</v>
      </c>
      <c r="BX19" s="6">
        <f t="shared" si="3"/>
        <v>55157590</v>
      </c>
      <c r="BY19" s="6">
        <f t="shared" si="4"/>
        <v>60671614</v>
      </c>
      <c r="BZ19" s="6">
        <f t="shared" si="5"/>
        <v>176542130</v>
      </c>
      <c r="CA19" s="6">
        <f t="shared" si="6"/>
        <v>188916806</v>
      </c>
      <c r="CB19" s="6">
        <f t="shared" si="7"/>
        <v>1107416</v>
      </c>
      <c r="CC19" s="46">
        <f t="shared" si="8"/>
        <v>21411242</v>
      </c>
      <c r="CD19" s="6">
        <f t="shared" si="9"/>
        <v>1</v>
      </c>
      <c r="CE19" s="44">
        <f t="shared" si="10"/>
        <v>9</v>
      </c>
      <c r="CF19" s="27"/>
      <c r="CG19" s="28">
        <f t="shared" si="11"/>
        <v>833.05311064946432</v>
      </c>
      <c r="CH19" s="28">
        <f t="shared" si="12"/>
        <v>5.9702155048050249</v>
      </c>
      <c r="CI19" s="28">
        <f t="shared" si="13"/>
        <v>72.010211901526034</v>
      </c>
      <c r="CJ19" s="28">
        <f t="shared" si="14"/>
        <v>230.48208217303832</v>
      </c>
      <c r="CK19" s="23">
        <f t="shared" si="15"/>
        <v>5.1721240645451583E-2</v>
      </c>
      <c r="CL19" s="29" t="str">
        <f t="shared" si="16"/>
        <v/>
      </c>
      <c r="CM19" s="29" t="str">
        <f t="shared" si="17"/>
        <v/>
      </c>
      <c r="CN19" s="29" t="str">
        <f t="shared" si="18"/>
        <v/>
      </c>
      <c r="CO19" s="29" t="str">
        <f t="shared" si="19"/>
        <v/>
      </c>
      <c r="CP19" s="29" t="str">
        <f t="shared" si="20"/>
        <v/>
      </c>
      <c r="CQ19" s="29">
        <f t="shared" si="21"/>
        <v>0</v>
      </c>
      <c r="CR19" s="13"/>
      <c r="CS19" s="7">
        <f>VLOOKUP(A19,'Empresas 21-23'!$A$2:$M$228,13,0)</f>
        <v>1</v>
      </c>
      <c r="CT19" s="30"/>
      <c r="CU19" s="6">
        <f t="shared" si="22"/>
        <v>3443814843.4000001</v>
      </c>
      <c r="CV19" s="6">
        <f t="shared" si="23"/>
        <v>176542130</v>
      </c>
      <c r="CW19" s="6">
        <f t="shared" si="24"/>
        <v>243884601</v>
      </c>
      <c r="CX19" s="23">
        <f t="shared" si="56"/>
        <v>0.3074519961390913</v>
      </c>
      <c r="CY19" s="23">
        <f t="shared" si="57"/>
        <v>1.5761076811423257E-2</v>
      </c>
      <c r="CZ19" s="6">
        <f t="shared" si="25"/>
        <v>3518797650.8050361</v>
      </c>
      <c r="DA19" s="6">
        <f t="shared" si="26"/>
        <v>180386013.92948431</v>
      </c>
      <c r="DB19" s="6">
        <f t="shared" si="27"/>
        <v>55157590</v>
      </c>
      <c r="DC19" s="6">
        <f t="shared" si="28"/>
        <v>65293747</v>
      </c>
      <c r="DD19" s="6">
        <f t="shared" si="29"/>
        <v>60671614</v>
      </c>
      <c r="DE19" s="6">
        <f t="shared" si="30"/>
        <v>188916806</v>
      </c>
      <c r="DF19" s="6">
        <f t="shared" si="31"/>
        <v>74212591.485221878</v>
      </c>
      <c r="DG19" s="30"/>
      <c r="DH19" s="32">
        <f>VLOOKUP(A19,'T_med_comp-USA'!$A$7:$Q$233,17,0)</f>
        <v>13.671317443061531</v>
      </c>
      <c r="DI19" s="6" t="str">
        <f t="shared" si="32"/>
        <v>5_2008</v>
      </c>
      <c r="DJ19" s="32">
        <f>IF(DI19="","",VLOOKUP(DI19,'CPI USA'!$T:$U,2,FALSE))</f>
        <v>215.303</v>
      </c>
      <c r="DK19" s="32">
        <f>IF(DI19="","",VLOOKUP(DI19,'PPI USA'!$S:$T,2,FALSE))</f>
        <v>159.30000000000001</v>
      </c>
      <c r="DL19" s="32">
        <f>IF(DI19="","",VLOOKUP(DI19,'CPI USA'!$T:$V,3,FALSE))</f>
        <v>0.67018812038291731</v>
      </c>
      <c r="DM19" s="32">
        <f>IF(DI19="","",VLOOKUP(DI19,'CPI USA'!$T:$X,5,FALSE))</f>
        <v>0.49838492968660258</v>
      </c>
      <c r="DN19" s="32">
        <f t="shared" si="33"/>
        <v>1.4884333659448254</v>
      </c>
      <c r="DO19" s="32">
        <f t="shared" si="34"/>
        <v>1.5036496327119213</v>
      </c>
      <c r="DP19" s="32">
        <f t="shared" si="35"/>
        <v>0.36682864497886875</v>
      </c>
      <c r="DQ19" s="32">
        <f>IF(DP19="","",DP19*$DO$1/'CPI USA'!$U$508+(1-DP19)*AVERAGE($DO$1,$DQ$1)/AVERAGE('CPI USA'!$U$508,'PPI USA'!$T$514))</f>
        <v>1.1642990460682932</v>
      </c>
      <c r="DR19" s="6">
        <f t="shared" si="36"/>
        <v>13352943</v>
      </c>
      <c r="DS19" s="32">
        <f t="shared" si="37"/>
        <v>0.22008550819168912</v>
      </c>
      <c r="DT19" s="28">
        <f>IF(DS19="","",DS19*$DO$1/'CPI USA'!$U$508+(1-DS19)*AVERAGE($DO$1,$DQ$1)/AVERAGE('CPI USA'!$U$508,'PPI USA'!$T$514))</f>
        <v>1.172972407302237</v>
      </c>
      <c r="DU19" s="6">
        <f t="shared" si="38"/>
        <v>69267106</v>
      </c>
      <c r="DV19" s="6">
        <f t="shared" si="39"/>
        <v>2237680.3485934744</v>
      </c>
      <c r="DW19" s="6">
        <f t="shared" si="40"/>
        <v>12955354.977460358</v>
      </c>
      <c r="DX19" s="16">
        <f t="shared" si="41"/>
        <v>0.2</v>
      </c>
      <c r="DY19" s="28">
        <f>IF(DX19="","",DX19*$DO$1/'CPI USA'!$U$508+(1-DX19)*AVERAGE($DO$1,$DQ$1)/AVERAGE('CPI USA'!$U$508,'PPI USA'!$T$514))</f>
        <v>1.1741595760647974</v>
      </c>
      <c r="DZ19" s="30"/>
      <c r="EA19" s="45" t="str">
        <f t="shared" si="42"/>
        <v>C000241</v>
      </c>
      <c r="EB19" s="29">
        <f t="shared" si="43"/>
        <v>5237495831.4664841</v>
      </c>
      <c r="EC19" s="29">
        <f t="shared" si="44"/>
        <v>271237363.59143662</v>
      </c>
      <c r="ED19" s="29">
        <f t="shared" si="45"/>
        <v>76021447.346324474</v>
      </c>
      <c r="EE19" s="29">
        <f t="shared" si="46"/>
        <v>71166129.128492102</v>
      </c>
      <c r="EF19" s="29">
        <f t="shared" si="47"/>
        <v>87137424.956958115</v>
      </c>
      <c r="EG19" s="29">
        <f t="shared" si="48"/>
        <v>4573</v>
      </c>
      <c r="EH19" s="29">
        <f t="shared" si="49"/>
        <v>765969</v>
      </c>
      <c r="EI19" s="29">
        <f t="shared" si="50"/>
        <v>1107416</v>
      </c>
      <c r="EJ19" s="29">
        <f t="shared" si="51"/>
        <v>21411242</v>
      </c>
      <c r="EK19" s="29">
        <f t="shared" si="52"/>
        <v>22502773.228426397</v>
      </c>
      <c r="EL19" s="29">
        <f>IF(CD19=1,VLOOKUP(EA19,'EIA 2021'!$A$2:$J$213,4,0)*EH19,"")</f>
        <v>60427294.410000004</v>
      </c>
      <c r="EM19" s="29">
        <f>IF(CD19=1,VLOOKUP(EA19,'EIA 2021'!$A$2:$J$213,7,0)*EH19,"")</f>
        <v>842565.9</v>
      </c>
      <c r="EN19" s="29">
        <f>IF(CD19=1,VLOOKUP(EA19,'EIA 2021'!$A$2:$J$213,10,0),"")</f>
        <v>771607</v>
      </c>
      <c r="EO19" s="28">
        <f>IF(CD19=1,VLOOKUP(EA19,'EIA 2021'!$A$2:$Z$213,26,0),"")</f>
        <v>0</v>
      </c>
      <c r="EP19" s="23">
        <f t="shared" si="53"/>
        <v>4.8506520389563823E-2</v>
      </c>
      <c r="EQ19" s="32">
        <f t="shared" si="54"/>
        <v>15884.771573604085</v>
      </c>
      <c r="ER19" s="32">
        <f t="shared" si="55"/>
        <v>1091531.2284263959</v>
      </c>
      <c r="ES19" s="6"/>
      <c r="ET19" s="32"/>
    </row>
    <row r="20" spans="1:150" ht="14.5">
      <c r="A20" s="7" t="s">
        <v>261</v>
      </c>
      <c r="B20" s="7" t="s">
        <v>262</v>
      </c>
      <c r="C20" s="32" t="s">
        <v>263</v>
      </c>
      <c r="D20" s="40">
        <v>413004189</v>
      </c>
      <c r="E20" s="40">
        <v>0</v>
      </c>
      <c r="F20" s="40">
        <v>135785549</v>
      </c>
      <c r="G20" s="40">
        <v>598634365</v>
      </c>
      <c r="H20" s="40">
        <v>468852363</v>
      </c>
      <c r="I20" s="40">
        <v>497841</v>
      </c>
      <c r="J20" s="40">
        <v>283200</v>
      </c>
      <c r="K20" s="40">
        <v>2625908</v>
      </c>
      <c r="L20" s="40">
        <v>1584817</v>
      </c>
      <c r="M20" s="40">
        <v>4814485</v>
      </c>
      <c r="N20" s="40">
        <v>3945515</v>
      </c>
      <c r="O20" s="40">
        <v>18986369</v>
      </c>
      <c r="P20" s="40">
        <v>292074</v>
      </c>
      <c r="Q20" s="40">
        <v>756195</v>
      </c>
      <c r="R20" s="40">
        <v>58791</v>
      </c>
      <c r="S20" s="40">
        <v>2664420</v>
      </c>
      <c r="T20" s="40">
        <v>70046745</v>
      </c>
      <c r="U20" s="40">
        <v>2961336</v>
      </c>
      <c r="V20" s="40">
        <v>306062</v>
      </c>
      <c r="W20" s="40">
        <v>921197</v>
      </c>
      <c r="X20" s="40">
        <f>IFERROR(VLOOKUP(A20,'Trans 21-23'!$A$2:$J$229,6,0),0)</f>
        <v>9328095</v>
      </c>
      <c r="Y20" s="41">
        <v>4218578</v>
      </c>
      <c r="Z20" s="41">
        <v>1160470</v>
      </c>
      <c r="AA20" s="41">
        <v>20893348</v>
      </c>
      <c r="AB20" s="41">
        <v>3097777</v>
      </c>
      <c r="AC20" s="41">
        <v>5322903</v>
      </c>
      <c r="AD20" s="41">
        <v>157563462</v>
      </c>
      <c r="AE20" s="41">
        <v>0</v>
      </c>
      <c r="AF20" s="41">
        <v>1711848487</v>
      </c>
      <c r="AG20" s="41">
        <v>860972</v>
      </c>
      <c r="AH20" s="41">
        <v>1692940</v>
      </c>
      <c r="AI20" s="41">
        <v>33110860</v>
      </c>
      <c r="AJ20" s="41">
        <v>30152</v>
      </c>
      <c r="AK20" s="41">
        <v>0</v>
      </c>
      <c r="AL20" s="41">
        <v>9169936</v>
      </c>
      <c r="AM20" s="41">
        <v>6013835</v>
      </c>
      <c r="AN20" s="41">
        <v>9769133</v>
      </c>
      <c r="AO20" s="41">
        <v>50078</v>
      </c>
      <c r="AP20" s="41">
        <v>1935835</v>
      </c>
      <c r="AQ20" s="41">
        <v>26938817</v>
      </c>
      <c r="AR20" s="41">
        <v>4448951</v>
      </c>
      <c r="AS20" s="41">
        <v>31387768</v>
      </c>
      <c r="AT20" s="41">
        <v>0</v>
      </c>
      <c r="AU20" s="41">
        <v>5753</v>
      </c>
      <c r="AV20" s="41">
        <v>0</v>
      </c>
      <c r="AW20" s="41">
        <v>860194849</v>
      </c>
      <c r="AX20" s="41">
        <v>67960832</v>
      </c>
      <c r="AY20" s="41">
        <v>727033138</v>
      </c>
      <c r="AZ20" s="41">
        <v>198000990</v>
      </c>
      <c r="BA20" s="41">
        <v>52970755</v>
      </c>
      <c r="BB20" s="41">
        <v>4201451887</v>
      </c>
      <c r="BC20" s="41">
        <v>16862714974</v>
      </c>
      <c r="BD20" s="41">
        <v>605644091</v>
      </c>
      <c r="BE20" s="41">
        <v>1301351937</v>
      </c>
      <c r="BF20" s="41">
        <v>88806066</v>
      </c>
      <c r="BG20" s="41">
        <v>0</v>
      </c>
      <c r="BH20" s="41">
        <v>27776070</v>
      </c>
      <c r="BI20" s="41">
        <v>9833611</v>
      </c>
      <c r="BJ20" s="41">
        <v>2033110</v>
      </c>
      <c r="BK20" s="41">
        <v>0</v>
      </c>
      <c r="BL20" s="41">
        <v>0</v>
      </c>
      <c r="BM20" s="41">
        <v>65826981</v>
      </c>
      <c r="BN20" s="41">
        <v>202930298</v>
      </c>
      <c r="BO20" s="41">
        <v>5477251</v>
      </c>
      <c r="BP20" s="41">
        <v>5150960</v>
      </c>
      <c r="BQ20" s="41">
        <v>341176479</v>
      </c>
      <c r="BR20" s="41">
        <v>0</v>
      </c>
      <c r="BS20" s="42">
        <f>IFERROR(VLOOKUP(A20,'Trans 21-23'!$A$2:$J$229,5,0),0)</f>
        <v>594345376</v>
      </c>
      <c r="BT20" s="43"/>
      <c r="BU20" s="6">
        <f t="shared" si="0"/>
        <v>4201451887</v>
      </c>
      <c r="BV20" s="6">
        <f t="shared" si="1"/>
        <v>5753</v>
      </c>
      <c r="BW20" s="6">
        <f t="shared" si="2"/>
        <v>860972</v>
      </c>
      <c r="BX20" s="6">
        <f t="shared" si="3"/>
        <v>110744955</v>
      </c>
      <c r="BY20" s="6">
        <f t="shared" si="4"/>
        <v>34693076</v>
      </c>
      <c r="BZ20" s="6">
        <f t="shared" si="5"/>
        <v>198000990</v>
      </c>
      <c r="CA20" s="6">
        <f t="shared" si="6"/>
        <v>157563462</v>
      </c>
      <c r="CB20" s="6">
        <f t="shared" si="7"/>
        <v>1692940</v>
      </c>
      <c r="CC20" s="6">
        <f t="shared" si="8"/>
        <v>26938817</v>
      </c>
      <c r="CD20" s="6">
        <f t="shared" si="9"/>
        <v>1</v>
      </c>
      <c r="CE20" s="44">
        <f t="shared" si="10"/>
        <v>9</v>
      </c>
      <c r="CF20" s="27"/>
      <c r="CG20" s="28">
        <f t="shared" si="11"/>
        <v>730.30625534503736</v>
      </c>
      <c r="CH20" s="28">
        <f t="shared" si="12"/>
        <v>6.6819826893325223</v>
      </c>
      <c r="CI20" s="28">
        <f t="shared" si="13"/>
        <v>128.6278241336536</v>
      </c>
      <c r="CJ20" s="28">
        <f t="shared" si="14"/>
        <v>229.97378544249986</v>
      </c>
      <c r="CK20" s="23">
        <f t="shared" si="15"/>
        <v>6.2843888059375436E-2</v>
      </c>
      <c r="CL20" s="29" t="str">
        <f t="shared" si="16"/>
        <v/>
      </c>
      <c r="CM20" s="29" t="str">
        <f t="shared" si="17"/>
        <v/>
      </c>
      <c r="CN20" s="29" t="str">
        <f t="shared" si="18"/>
        <v/>
      </c>
      <c r="CO20" s="29" t="str">
        <f t="shared" si="19"/>
        <v/>
      </c>
      <c r="CP20" s="29" t="str">
        <f t="shared" si="20"/>
        <v/>
      </c>
      <c r="CQ20" s="29">
        <f t="shared" si="21"/>
        <v>0</v>
      </c>
      <c r="CR20" s="13"/>
      <c r="CS20" s="7">
        <f>VLOOKUP(A20,'Empresas 21-23'!$A$2:$M$228,13,0)</f>
        <v>1</v>
      </c>
      <c r="CT20" s="30"/>
      <c r="CU20" s="6">
        <f t="shared" si="22"/>
        <v>4067829136</v>
      </c>
      <c r="CV20" s="6">
        <f t="shared" si="23"/>
        <v>198000990</v>
      </c>
      <c r="CW20" s="6">
        <f t="shared" si="24"/>
        <v>605644091</v>
      </c>
      <c r="CX20" s="23">
        <f t="shared" si="56"/>
        <v>0.25021906869174843</v>
      </c>
      <c r="CY20" s="23">
        <f t="shared" si="57"/>
        <v>1.2179376680152721E-2</v>
      </c>
      <c r="CZ20" s="6">
        <f t="shared" si="25"/>
        <v>4219372836.4086804</v>
      </c>
      <c r="DA20" s="6">
        <f t="shared" si="26"/>
        <v>205377357.51839769</v>
      </c>
      <c r="DB20" s="6">
        <f t="shared" si="27"/>
        <v>110744955</v>
      </c>
      <c r="DC20" s="6">
        <f t="shared" si="28"/>
        <v>120073050</v>
      </c>
      <c r="DD20" s="6">
        <f t="shared" si="29"/>
        <v>34693076</v>
      </c>
      <c r="DE20" s="6">
        <f t="shared" si="30"/>
        <v>157563462</v>
      </c>
      <c r="DF20" s="6">
        <f t="shared" si="31"/>
        <v>45440805.277231626</v>
      </c>
      <c r="DG20" s="30"/>
      <c r="DH20" s="32">
        <f>VLOOKUP(A20,'T_med_comp-USA'!$A$7:$Q$233,17,0)</f>
        <v>13.795578757260353</v>
      </c>
      <c r="DI20" s="6" t="str">
        <f t="shared" si="32"/>
        <v>3_2008</v>
      </c>
      <c r="DJ20" s="32">
        <f>IF(DI20="","",VLOOKUP(DI20,'CPI USA'!$T:$U,2,FALSE))</f>
        <v>215.303</v>
      </c>
      <c r="DK20" s="32">
        <f>IF(DI20="","",VLOOKUP(DI20,'PPI USA'!$S:$T,2,FALSE))</f>
        <v>159.30000000000001</v>
      </c>
      <c r="DL20" s="32">
        <f>IF(DI20="","",VLOOKUP(DI20,'CPI USA'!$T:$V,3,FALSE))</f>
        <v>0.67018812038291731</v>
      </c>
      <c r="DM20" s="32">
        <f>IF(DI20="","",VLOOKUP(DI20,'CPI USA'!$T:$X,5,FALSE))</f>
        <v>0.49838492968660258</v>
      </c>
      <c r="DN20" s="32">
        <f t="shared" si="33"/>
        <v>1.4884333659448254</v>
      </c>
      <c r="DO20" s="32">
        <f t="shared" si="34"/>
        <v>1.5036496327119213</v>
      </c>
      <c r="DP20" s="32">
        <f t="shared" si="35"/>
        <v>0.25758074792854008</v>
      </c>
      <c r="DQ20" s="32">
        <f>IF(DP20="","",DP20*$DO$1/'CPI USA'!$U$508+(1-DP20)*AVERAGE($DO$1,$DQ$1)/AVERAGE('CPI USA'!$U$508,'PPI USA'!$T$514))</f>
        <v>1.170756223527573</v>
      </c>
      <c r="DR20" s="6">
        <f t="shared" si="36"/>
        <v>11866721</v>
      </c>
      <c r="DS20" s="32">
        <f t="shared" si="37"/>
        <v>0.35128085177757679</v>
      </c>
      <c r="DT20" s="28">
        <f>IF(DS20="","",DS20*$DO$1/'CPI USA'!$U$508+(1-DS20)*AVERAGE($DO$1,$DQ$1)/AVERAGE('CPI USA'!$U$508,'PPI USA'!$T$514))</f>
        <v>1.1652180098425311</v>
      </c>
      <c r="DU20" s="6">
        <f t="shared" si="38"/>
        <v>67603703.850469723</v>
      </c>
      <c r="DV20" s="6">
        <f t="shared" si="39"/>
        <v>1009066.6538089924</v>
      </c>
      <c r="DW20" s="6">
        <f t="shared" si="40"/>
        <v>13403625.519891987</v>
      </c>
      <c r="DX20" s="16">
        <f t="shared" si="41"/>
        <v>0.2949689257951586</v>
      </c>
      <c r="DY20" s="28">
        <f>IF(DX20="","",DX20*$DO$1/'CPI USA'!$U$508+(1-DX20)*AVERAGE($DO$1,$DQ$1)/AVERAGE('CPI USA'!$U$508,'PPI USA'!$T$514))</f>
        <v>1.1685463677236425</v>
      </c>
      <c r="DZ20" s="30"/>
      <c r="EA20" s="45" t="str">
        <f t="shared" si="42"/>
        <v>C000289</v>
      </c>
      <c r="EB20" s="29">
        <f t="shared" si="43"/>
        <v>6280255313.0719376</v>
      </c>
      <c r="EC20" s="29">
        <f t="shared" si="44"/>
        <v>308815588.19988364</v>
      </c>
      <c r="ED20" s="29">
        <f t="shared" si="45"/>
        <v>140576270.56543747</v>
      </c>
      <c r="EE20" s="29">
        <f t="shared" si="46"/>
        <v>40424996.972035676</v>
      </c>
      <c r="EF20" s="29">
        <f t="shared" si="47"/>
        <v>53099687.953146346</v>
      </c>
      <c r="EG20" s="29">
        <f t="shared" si="48"/>
        <v>5753</v>
      </c>
      <c r="EH20" s="29">
        <f t="shared" si="49"/>
        <v>860972</v>
      </c>
      <c r="EI20" s="29">
        <f t="shared" si="50"/>
        <v>1692940</v>
      </c>
      <c r="EJ20" s="29">
        <f t="shared" si="51"/>
        <v>26938817</v>
      </c>
      <c r="EK20" s="29">
        <f t="shared" si="52"/>
        <v>28564006.477157362</v>
      </c>
      <c r="EL20" s="29">
        <f>IF(CD20=1,VLOOKUP(EA20,'EIA 2021'!$A$2:$J$213,4,0)*EH20,"")</f>
        <v>109446760.64</v>
      </c>
      <c r="EM20" s="29">
        <f>IF(CD20=1,VLOOKUP(EA20,'EIA 2021'!$A$2:$J$213,7,0)*EH20,"")</f>
        <v>959122.80800000008</v>
      </c>
      <c r="EN20" s="29">
        <f>IF(CD20=1,VLOOKUP(EA20,'EIA 2021'!$A$2:$J$213,10,0),"")</f>
        <v>879657</v>
      </c>
      <c r="EO20" s="28">
        <f>IF(CD20=1,VLOOKUP(EA20,'EIA 2021'!$A$2:$Z$213,26,0),"")</f>
        <v>0</v>
      </c>
      <c r="EP20" s="23">
        <f t="shared" si="53"/>
        <v>5.6896411869148122E-2</v>
      </c>
      <c r="EQ20" s="32">
        <f t="shared" si="54"/>
        <v>67750.522842640057</v>
      </c>
      <c r="ER20" s="32">
        <f t="shared" si="55"/>
        <v>1625189.4771573599</v>
      </c>
      <c r="ES20" s="6"/>
      <c r="ET20" s="32"/>
    </row>
    <row r="21" spans="1:150" ht="15.75" customHeight="1">
      <c r="A21" s="7" t="s">
        <v>264</v>
      </c>
      <c r="B21" s="7" t="s">
        <v>265</v>
      </c>
      <c r="C21" s="32" t="s">
        <v>266</v>
      </c>
      <c r="D21" s="40">
        <v>442607622</v>
      </c>
      <c r="E21" s="40">
        <v>261462415</v>
      </c>
      <c r="F21" s="40">
        <v>781911186</v>
      </c>
      <c r="G21" s="40">
        <v>414254099</v>
      </c>
      <c r="H21" s="40">
        <v>209050032</v>
      </c>
      <c r="I21" s="40">
        <v>1369497</v>
      </c>
      <c r="J21" s="40">
        <v>2330680</v>
      </c>
      <c r="K21" s="40">
        <v>6340945</v>
      </c>
      <c r="L21" s="40">
        <v>1240518</v>
      </c>
      <c r="M21" s="40">
        <v>12205086</v>
      </c>
      <c r="N21" s="40">
        <v>42979815</v>
      </c>
      <c r="O21" s="40">
        <v>40233</v>
      </c>
      <c r="P21" s="40">
        <v>0</v>
      </c>
      <c r="Q21" s="40">
        <v>1864702</v>
      </c>
      <c r="R21" s="40">
        <v>607</v>
      </c>
      <c r="S21" s="40">
        <v>4119875</v>
      </c>
      <c r="T21" s="40">
        <v>142374880</v>
      </c>
      <c r="U21" s="40">
        <v>10473233</v>
      </c>
      <c r="V21" s="40">
        <v>2497401</v>
      </c>
      <c r="W21" s="40">
        <v>1016422</v>
      </c>
      <c r="X21" s="40">
        <f>IFERROR(VLOOKUP(A21,'Trans 21-23'!$A$2:$J$229,6,0),0)</f>
        <v>28522659</v>
      </c>
      <c r="Y21" s="41">
        <v>9833201</v>
      </c>
      <c r="Z21" s="41">
        <v>2166269</v>
      </c>
      <c r="AA21" s="41">
        <v>119342534</v>
      </c>
      <c r="AB21" s="41">
        <v>14418122</v>
      </c>
      <c r="AC21" s="41">
        <v>17638323</v>
      </c>
      <c r="AD21" s="41">
        <v>426289786</v>
      </c>
      <c r="AE21" s="41">
        <v>0</v>
      </c>
      <c r="AF21" s="41">
        <v>3313496675</v>
      </c>
      <c r="AG21" s="41">
        <v>2764839</v>
      </c>
      <c r="AH21" s="41">
        <v>5221540</v>
      </c>
      <c r="AI21" s="41">
        <v>93116928</v>
      </c>
      <c r="AJ21" s="41">
        <v>98504</v>
      </c>
      <c r="AK21" s="41">
        <v>0</v>
      </c>
      <c r="AL21" s="41">
        <v>28953191</v>
      </c>
      <c r="AM21" s="41">
        <v>28487261</v>
      </c>
      <c r="AN21" s="41">
        <v>20663400</v>
      </c>
      <c r="AO21" s="41">
        <v>287062</v>
      </c>
      <c r="AP21" s="41">
        <v>0</v>
      </c>
      <c r="AQ21" s="41">
        <v>78390914</v>
      </c>
      <c r="AR21" s="41">
        <v>9405970</v>
      </c>
      <c r="AS21" s="41">
        <v>87796884</v>
      </c>
      <c r="AT21" s="41">
        <v>0</v>
      </c>
      <c r="AU21" s="41">
        <v>17337</v>
      </c>
      <c r="AV21" s="41">
        <v>0</v>
      </c>
      <c r="AW21" s="41">
        <v>2678576713</v>
      </c>
      <c r="AX21" s="41">
        <v>269930640</v>
      </c>
      <c r="AY21" s="41">
        <v>2592327369</v>
      </c>
      <c r="AZ21" s="41">
        <v>588755090</v>
      </c>
      <c r="BA21" s="41">
        <v>357015453</v>
      </c>
      <c r="BB21" s="41">
        <v>14480905548</v>
      </c>
      <c r="BC21" s="41">
        <v>47929453754</v>
      </c>
      <c r="BD21" s="41">
        <v>1423518207</v>
      </c>
      <c r="BE21" s="41">
        <v>5110132104</v>
      </c>
      <c r="BF21" s="41">
        <v>303374602</v>
      </c>
      <c r="BG21" s="41">
        <v>0</v>
      </c>
      <c r="BH21" s="41">
        <v>57898222</v>
      </c>
      <c r="BI21" s="41">
        <v>33405954</v>
      </c>
      <c r="BJ21" s="41">
        <v>8291396</v>
      </c>
      <c r="BK21" s="41">
        <v>10207809</v>
      </c>
      <c r="BL21" s="41">
        <v>0</v>
      </c>
      <c r="BM21" s="41">
        <v>185322538</v>
      </c>
      <c r="BN21" s="41">
        <v>797138336</v>
      </c>
      <c r="BO21" s="41">
        <v>2296308</v>
      </c>
      <c r="BP21" s="41">
        <v>14280997</v>
      </c>
      <c r="BQ21" s="41">
        <v>1185045204</v>
      </c>
      <c r="BR21" s="41">
        <v>0</v>
      </c>
      <c r="BS21" s="42">
        <f>IFERROR(VLOOKUP(A21,'Trans 21-23'!$A$2:$J$229,5,0),0)</f>
        <v>1817338978</v>
      </c>
      <c r="BT21" s="43"/>
      <c r="BU21" s="6">
        <f t="shared" si="0"/>
        <v>14480905548</v>
      </c>
      <c r="BV21" s="6">
        <f t="shared" si="1"/>
        <v>17337</v>
      </c>
      <c r="BW21" s="6">
        <f t="shared" si="2"/>
        <v>2764839</v>
      </c>
      <c r="BX21" s="6">
        <f t="shared" si="3"/>
        <v>228853894</v>
      </c>
      <c r="BY21" s="6">
        <f t="shared" si="4"/>
        <v>163398449</v>
      </c>
      <c r="BZ21" s="6">
        <f t="shared" si="5"/>
        <v>588755090</v>
      </c>
      <c r="CA21" s="6">
        <f t="shared" si="6"/>
        <v>426289786</v>
      </c>
      <c r="CB21" s="6">
        <f t="shared" si="7"/>
        <v>5221540</v>
      </c>
      <c r="CC21" s="6">
        <f t="shared" si="8"/>
        <v>78390914</v>
      </c>
      <c r="CD21" s="6">
        <f t="shared" si="9"/>
        <v>1</v>
      </c>
      <c r="CE21" s="44">
        <f t="shared" si="10"/>
        <v>9</v>
      </c>
      <c r="CF21" s="27"/>
      <c r="CG21" s="28">
        <f t="shared" si="11"/>
        <v>835.26016888735069</v>
      </c>
      <c r="CH21" s="28">
        <f t="shared" si="12"/>
        <v>6.2705278679879735</v>
      </c>
      <c r="CI21" s="28">
        <f t="shared" si="13"/>
        <v>82.772954953254057</v>
      </c>
      <c r="CJ21" s="28">
        <f t="shared" si="14"/>
        <v>212.9437157100287</v>
      </c>
      <c r="CK21" s="23">
        <f t="shared" si="15"/>
        <v>6.6608995016948017E-2</v>
      </c>
      <c r="CL21" s="29" t="str">
        <f t="shared" si="16"/>
        <v/>
      </c>
      <c r="CM21" s="29" t="str">
        <f t="shared" si="17"/>
        <v/>
      </c>
      <c r="CN21" s="29" t="str">
        <f t="shared" si="18"/>
        <v/>
      </c>
      <c r="CO21" s="29" t="str">
        <f t="shared" si="19"/>
        <v/>
      </c>
      <c r="CP21" s="29" t="str">
        <f t="shared" si="20"/>
        <v/>
      </c>
      <c r="CQ21" s="29">
        <f t="shared" si="21"/>
        <v>0</v>
      </c>
      <c r="CR21" s="13"/>
      <c r="CS21" s="7">
        <f>VLOOKUP(A21,'Empresas 21-23'!$A$2:$M$228,13,0)</f>
        <v>1</v>
      </c>
      <c r="CT21" s="30"/>
      <c r="CU21" s="6">
        <f t="shared" si="22"/>
        <v>13635119177.6</v>
      </c>
      <c r="CV21" s="6">
        <f t="shared" si="23"/>
        <v>588755090</v>
      </c>
      <c r="CW21" s="6">
        <f t="shared" si="24"/>
        <v>1423518207</v>
      </c>
      <c r="CX21" s="23">
        <f t="shared" si="56"/>
        <v>0.29319094470898294</v>
      </c>
      <c r="CY21" s="23">
        <f t="shared" si="57"/>
        <v>1.2659783812003743E-2</v>
      </c>
      <c r="CZ21" s="6">
        <f t="shared" si="25"/>
        <v>14052481825.520767</v>
      </c>
      <c r="DA21" s="6">
        <f t="shared" si="26"/>
        <v>606776522.75307119</v>
      </c>
      <c r="DB21" s="6">
        <f t="shared" si="27"/>
        <v>228853894</v>
      </c>
      <c r="DC21" s="6">
        <f t="shared" si="28"/>
        <v>257376553</v>
      </c>
      <c r="DD21" s="6">
        <f t="shared" si="29"/>
        <v>163398449</v>
      </c>
      <c r="DE21" s="6">
        <f t="shared" si="30"/>
        <v>426289786</v>
      </c>
      <c r="DF21" s="6">
        <f t="shared" si="31"/>
        <v>150457768.50420815</v>
      </c>
      <c r="DG21" s="30"/>
      <c r="DH21" s="32">
        <f>VLOOKUP(A21,'T_med_comp-USA'!$A$7:$Q$233,17,0)</f>
        <v>15.979226035718659</v>
      </c>
      <c r="DI21" s="6" t="str">
        <f t="shared" si="32"/>
        <v>1_2006</v>
      </c>
      <c r="DJ21" s="32">
        <f>IF(DI21="","",VLOOKUP(DI21,'CPI USA'!$T:$U,2,FALSE))</f>
        <v>201.6</v>
      </c>
      <c r="DK21" s="32">
        <f>IF(DI21="","",VLOOKUP(DI21,'PPI USA'!$S:$T,2,FALSE))</f>
        <v>145.30000000000001</v>
      </c>
      <c r="DL21" s="32">
        <f>IF(DI21="","",VLOOKUP(DI21,'CPI USA'!$T:$V,3,FALSE))</f>
        <v>0.67263024008352756</v>
      </c>
      <c r="DM21" s="32">
        <f>IF(DI21="","",VLOOKUP(DI21,'CPI USA'!$T:$X,5,FALSE))</f>
        <v>0.50115228263529643</v>
      </c>
      <c r="DN21" s="32">
        <f t="shared" si="33"/>
        <v>1.595396421204319</v>
      </c>
      <c r="DO21" s="32">
        <f t="shared" si="34"/>
        <v>1.6147712829199015</v>
      </c>
      <c r="DP21" s="32">
        <f t="shared" si="35"/>
        <v>0.2537208687289092</v>
      </c>
      <c r="DQ21" s="32">
        <f>IF(DP21="","",DP21*$DO$1/'CPI USA'!$U$508+(1-DP21)*AVERAGE($DO$1,$DQ$1)/AVERAGE('CPI USA'!$U$508,'PPI USA'!$T$514))</f>
        <v>1.1709843645319891</v>
      </c>
      <c r="DR21" s="6">
        <f t="shared" si="36"/>
        <v>51905159</v>
      </c>
      <c r="DS21" s="32">
        <f t="shared" si="37"/>
        <v>0.31857512701529134</v>
      </c>
      <c r="DT21" s="28">
        <f>IF(DS21="","",DS21*$DO$1/'CPI USA'!$U$508+(1-DS21)*AVERAGE($DO$1,$DQ$1)/AVERAGE('CPI USA'!$U$508,'PPI USA'!$T$514))</f>
        <v>1.1671511058052584</v>
      </c>
      <c r="DU21" s="6">
        <f t="shared" si="38"/>
        <v>185856394.68129465</v>
      </c>
      <c r="DV21" s="6">
        <f t="shared" si="39"/>
        <v>2260566.7250385853</v>
      </c>
      <c r="DW21" s="6">
        <f t="shared" si="40"/>
        <v>25912539.208077811</v>
      </c>
      <c r="DX21" s="16">
        <f t="shared" si="41"/>
        <v>0.2</v>
      </c>
      <c r="DY21" s="28">
        <f>IF(DX21="","",DX21*$DO$1/'CPI USA'!$U$508+(1-DX21)*AVERAGE($DO$1,$DQ$1)/AVERAGE('CPI USA'!$U$508,'PPI USA'!$T$514))</f>
        <v>1.1741595760647974</v>
      </c>
      <c r="DZ21" s="30"/>
      <c r="EA21" s="45" t="str">
        <f t="shared" si="42"/>
        <v>C000290</v>
      </c>
      <c r="EB21" s="29">
        <f t="shared" si="43"/>
        <v>22419279213.474567</v>
      </c>
      <c r="EC21" s="29">
        <f t="shared" si="44"/>
        <v>979805304.09165359</v>
      </c>
      <c r="ED21" s="29">
        <f t="shared" si="45"/>
        <v>301383919.36013877</v>
      </c>
      <c r="EE21" s="29">
        <f t="shared" si="46"/>
        <v>190710680.43721411</v>
      </c>
      <c r="EF21" s="29">
        <f t="shared" si="47"/>
        <v>176661429.68255645</v>
      </c>
      <c r="EG21" s="29">
        <f t="shared" si="48"/>
        <v>17337</v>
      </c>
      <c r="EH21" s="29">
        <f t="shared" si="49"/>
        <v>2764839</v>
      </c>
      <c r="EI21" s="29">
        <f t="shared" si="50"/>
        <v>5221540</v>
      </c>
      <c r="EJ21" s="29">
        <f t="shared" si="51"/>
        <v>78390914</v>
      </c>
      <c r="EK21" s="29">
        <f t="shared" si="52"/>
        <v>83469215.878172591</v>
      </c>
      <c r="EL21" s="29">
        <f>IF(CD21=1,VLOOKUP(EA21,'EIA 2021'!$A$2:$J$213,4,0)*EH21,"")</f>
        <v>424623973.62</v>
      </c>
      <c r="EM21" s="29">
        <f>IF(CD21=1,VLOOKUP(EA21,'EIA 2021'!$A$2:$J$213,7,0)*EH21,"")</f>
        <v>3461578.4279999998</v>
      </c>
      <c r="EN21" s="29">
        <f>IF(CD21=1,VLOOKUP(EA21,'EIA 2021'!$A$2:$J$213,10,0),"")</f>
        <v>2119870</v>
      </c>
      <c r="EO21" s="28">
        <f>IF(CD21=1,VLOOKUP(EA21,'EIA 2021'!$A$2:$Z$213,26,0),"")</f>
        <v>0</v>
      </c>
      <c r="EP21" s="23">
        <f t="shared" si="53"/>
        <v>6.0840416730218477E-2</v>
      </c>
      <c r="EQ21" s="32">
        <f t="shared" si="54"/>
        <v>143238.12182741053</v>
      </c>
      <c r="ER21" s="32">
        <f t="shared" si="55"/>
        <v>5078301.8781725895</v>
      </c>
      <c r="ES21" s="6"/>
      <c r="ET21" s="32"/>
    </row>
    <row r="22" spans="1:150" ht="15.75" customHeight="1">
      <c r="A22" s="7" t="s">
        <v>267</v>
      </c>
      <c r="B22" s="7" t="s">
        <v>268</v>
      </c>
      <c r="C22" s="32" t="s">
        <v>269</v>
      </c>
      <c r="D22" s="40">
        <v>55555683</v>
      </c>
      <c r="E22" s="40">
        <v>0</v>
      </c>
      <c r="F22" s="40">
        <v>4448773</v>
      </c>
      <c r="G22" s="40">
        <v>96616963</v>
      </c>
      <c r="H22" s="40">
        <v>83318443</v>
      </c>
      <c r="I22" s="40">
        <v>55870</v>
      </c>
      <c r="J22" s="40">
        <v>92075</v>
      </c>
      <c r="K22" s="40">
        <v>373632</v>
      </c>
      <c r="L22" s="40">
        <v>232087</v>
      </c>
      <c r="M22" s="40">
        <v>352338</v>
      </c>
      <c r="N22" s="40">
        <v>639140</v>
      </c>
      <c r="O22" s="40">
        <v>1298812</v>
      </c>
      <c r="P22" s="40">
        <v>73642</v>
      </c>
      <c r="Q22" s="40">
        <v>61664</v>
      </c>
      <c r="R22" s="40">
        <v>2955</v>
      </c>
      <c r="S22" s="40">
        <v>361551</v>
      </c>
      <c r="T22" s="40">
        <v>6352091</v>
      </c>
      <c r="U22" s="40">
        <v>190198</v>
      </c>
      <c r="V22" s="40">
        <v>34129</v>
      </c>
      <c r="W22" s="40">
        <v>0</v>
      </c>
      <c r="X22" s="40">
        <f>IFERROR(VLOOKUP(A22,'Trans 21-23'!$A$2:$J$229,6,0),0)</f>
        <v>432755</v>
      </c>
      <c r="Y22" s="41">
        <v>410391</v>
      </c>
      <c r="Z22" s="41">
        <v>343491</v>
      </c>
      <c r="AA22" s="41">
        <v>5123221</v>
      </c>
      <c r="AB22" s="41">
        <v>275998</v>
      </c>
      <c r="AC22" s="41">
        <v>1451143</v>
      </c>
      <c r="AD22" s="41">
        <v>22907236</v>
      </c>
      <c r="AE22" s="41">
        <v>0</v>
      </c>
      <c r="AF22" s="41">
        <v>261332391</v>
      </c>
      <c r="AG22" s="41">
        <v>146515</v>
      </c>
      <c r="AH22" s="41">
        <v>201235</v>
      </c>
      <c r="AI22" s="41">
        <v>4702007</v>
      </c>
      <c r="AJ22" s="41">
        <v>804</v>
      </c>
      <c r="AK22" s="41">
        <v>0</v>
      </c>
      <c r="AL22" s="41">
        <v>1497185</v>
      </c>
      <c r="AM22" s="41">
        <v>1533224</v>
      </c>
      <c r="AN22" s="41">
        <v>750976</v>
      </c>
      <c r="AO22" s="41">
        <v>13143</v>
      </c>
      <c r="AP22" s="41">
        <v>150815</v>
      </c>
      <c r="AQ22" s="41">
        <v>3946009</v>
      </c>
      <c r="AR22" s="41">
        <v>553959</v>
      </c>
      <c r="AS22" s="41">
        <v>4499968</v>
      </c>
      <c r="AT22" s="41">
        <v>0</v>
      </c>
      <c r="AU22" s="41">
        <v>814</v>
      </c>
      <c r="AV22" s="41">
        <v>0</v>
      </c>
      <c r="AW22" s="41">
        <v>152067838</v>
      </c>
      <c r="AX22" s="41">
        <v>43372544</v>
      </c>
      <c r="AY22" s="41">
        <v>81870581</v>
      </c>
      <c r="AZ22" s="41">
        <v>28534851</v>
      </c>
      <c r="BA22" s="41">
        <v>9734404</v>
      </c>
      <c r="BB22" s="41">
        <v>622687366</v>
      </c>
      <c r="BC22" s="41">
        <v>2141261295</v>
      </c>
      <c r="BD22" s="41">
        <v>16835138</v>
      </c>
      <c r="BE22" s="41">
        <v>150530889</v>
      </c>
      <c r="BF22" s="41">
        <v>13093943</v>
      </c>
      <c r="BG22" s="41">
        <v>0</v>
      </c>
      <c r="BH22" s="41">
        <v>2991586</v>
      </c>
      <c r="BI22" s="41">
        <v>1936951</v>
      </c>
      <c r="BJ22" s="41">
        <v>76658</v>
      </c>
      <c r="BK22" s="41">
        <v>0</v>
      </c>
      <c r="BL22" s="41">
        <v>0</v>
      </c>
      <c r="BM22" s="41">
        <v>8670365</v>
      </c>
      <c r="BN22" s="41">
        <v>27339256</v>
      </c>
      <c r="BO22" s="41">
        <v>745233</v>
      </c>
      <c r="BP22" s="41">
        <v>1504216</v>
      </c>
      <c r="BQ22" s="41">
        <v>63065162</v>
      </c>
      <c r="BR22" s="41">
        <v>666</v>
      </c>
      <c r="BS22" s="42">
        <f>IFERROR(VLOOKUP(A22,'Trans 21-23'!$A$2:$J$229,5,0),0)</f>
        <v>27573225</v>
      </c>
      <c r="BT22" s="43"/>
      <c r="BU22" s="6">
        <f t="shared" si="0"/>
        <v>622687366</v>
      </c>
      <c r="BV22" s="6">
        <f t="shared" si="1"/>
        <v>814</v>
      </c>
      <c r="BW22" s="6">
        <f t="shared" si="2"/>
        <v>146515</v>
      </c>
      <c r="BX22" s="6">
        <f t="shared" si="3"/>
        <v>10120184</v>
      </c>
      <c r="BY22" s="6">
        <f t="shared" si="4"/>
        <v>7604244</v>
      </c>
      <c r="BZ22" s="6">
        <f t="shared" si="5"/>
        <v>28534851</v>
      </c>
      <c r="CA22" s="6">
        <f t="shared" si="6"/>
        <v>22907236</v>
      </c>
      <c r="CB22" s="6">
        <f t="shared" si="7"/>
        <v>201235</v>
      </c>
      <c r="CC22" s="6">
        <f t="shared" si="8"/>
        <v>3946009</v>
      </c>
      <c r="CD22" s="6">
        <f t="shared" si="9"/>
        <v>1</v>
      </c>
      <c r="CE22" s="44">
        <f t="shared" si="10"/>
        <v>9</v>
      </c>
      <c r="CF22" s="27"/>
      <c r="CG22" s="28">
        <f t="shared" si="11"/>
        <v>764.97219410319406</v>
      </c>
      <c r="CH22" s="28">
        <f t="shared" si="12"/>
        <v>5.5557451455482374</v>
      </c>
      <c r="CI22" s="28">
        <f t="shared" si="13"/>
        <v>69.072681977954474</v>
      </c>
      <c r="CJ22" s="28">
        <f t="shared" si="14"/>
        <v>194.75719892161212</v>
      </c>
      <c r="CK22" s="23">
        <f t="shared" si="15"/>
        <v>5.099709605325279E-2</v>
      </c>
      <c r="CL22" s="29" t="str">
        <f t="shared" si="16"/>
        <v/>
      </c>
      <c r="CM22" s="29" t="str">
        <f t="shared" si="17"/>
        <v/>
      </c>
      <c r="CN22" s="29" t="str">
        <f t="shared" si="18"/>
        <v/>
      </c>
      <c r="CO22" s="29" t="str">
        <f t="shared" si="19"/>
        <v/>
      </c>
      <c r="CP22" s="29" t="str">
        <f t="shared" si="20"/>
        <v/>
      </c>
      <c r="CQ22" s="29">
        <f t="shared" si="21"/>
        <v>0</v>
      </c>
      <c r="CR22" s="13"/>
      <c r="CS22" s="7">
        <f>VLOOKUP(A22,'Empresas 21-23'!$A$2:$M$228,13,0)</f>
        <v>1</v>
      </c>
      <c r="CT22" s="30"/>
      <c r="CU22" s="6">
        <f t="shared" si="22"/>
        <v>536845461</v>
      </c>
      <c r="CV22" s="6">
        <f t="shared" si="23"/>
        <v>28534851</v>
      </c>
      <c r="CW22" s="6">
        <f t="shared" si="24"/>
        <v>16835138</v>
      </c>
      <c r="CX22" s="23">
        <f t="shared" si="56"/>
        <v>0.25270139855465917</v>
      </c>
      <c r="CY22" s="23">
        <f t="shared" si="57"/>
        <v>1.3431792348243056E-2</v>
      </c>
      <c r="CZ22" s="6">
        <f t="shared" si="25"/>
        <v>541099723.91746068</v>
      </c>
      <c r="DA22" s="6">
        <f t="shared" si="26"/>
        <v>28760977.077770017</v>
      </c>
      <c r="DB22" s="6">
        <f t="shared" si="27"/>
        <v>10120184</v>
      </c>
      <c r="DC22" s="6">
        <f t="shared" si="28"/>
        <v>10552939</v>
      </c>
      <c r="DD22" s="6">
        <f t="shared" si="29"/>
        <v>7604244</v>
      </c>
      <c r="DE22" s="6">
        <f t="shared" si="30"/>
        <v>22907236</v>
      </c>
      <c r="DF22" s="6">
        <f t="shared" si="31"/>
        <v>4373512.1917211721</v>
      </c>
      <c r="DG22" s="30"/>
      <c r="DH22" s="32">
        <f>VLOOKUP(A22,'T_med_comp-USA'!$A$7:$Q$233,17,0)</f>
        <v>11.137197301351472</v>
      </c>
      <c r="DI22" s="6" t="str">
        <f t="shared" si="32"/>
        <v>11_2010</v>
      </c>
      <c r="DJ22" s="32">
        <f>IF(DI22="","",VLOOKUP(DI22,'CPI USA'!$T:$U,2,FALSE))</f>
        <v>218.05600000000001</v>
      </c>
      <c r="DK22" s="32">
        <f>IF(DI22="","",VLOOKUP(DI22,'PPI USA'!$S:$T,2,FALSE))</f>
        <v>160.80000000000001</v>
      </c>
      <c r="DL22" s="32">
        <f>IF(DI22="","",VLOOKUP(DI22,'CPI USA'!$T:$V,3,FALSE))</f>
        <v>0.67050107279443949</v>
      </c>
      <c r="DM22" s="32">
        <f>IF(DI22="","",VLOOKUP(DI22,'CPI USA'!$T:$X,5,FALSE))</f>
        <v>0.4987389730136107</v>
      </c>
      <c r="DN22" s="32">
        <f t="shared" si="33"/>
        <v>1.4703278680244813</v>
      </c>
      <c r="DO22" s="32">
        <f t="shared" si="34"/>
        <v>1.4857204383544427</v>
      </c>
      <c r="DP22" s="32">
        <f t="shared" si="35"/>
        <v>0.30366372701594158</v>
      </c>
      <c r="DQ22" s="32">
        <f>IF(DP22="","",DP22*$DO$1/'CPI USA'!$U$508+(1-DP22)*AVERAGE($DO$1,$DQ$1)/AVERAGE('CPI USA'!$U$508,'PPI USA'!$T$514))</f>
        <v>1.1680324550903411</v>
      </c>
      <c r="DR22" s="6">
        <f t="shared" si="36"/>
        <v>2013609</v>
      </c>
      <c r="DS22" s="32">
        <f t="shared" si="37"/>
        <v>0.27201880880789026</v>
      </c>
      <c r="DT22" s="28">
        <f>IF(DS22="","",DS22*$DO$1/'CPI USA'!$U$508+(1-DS22)*AVERAGE($DO$1,$DQ$1)/AVERAGE('CPI USA'!$U$508,'PPI USA'!$T$514))</f>
        <v>1.1699028512999785</v>
      </c>
      <c r="DU22" s="6">
        <f t="shared" si="38"/>
        <v>8906708.0124084204</v>
      </c>
      <c r="DV22" s="6">
        <f t="shared" si="39"/>
        <v>211856.74695187435</v>
      </c>
      <c r="DW22" s="6">
        <f t="shared" si="40"/>
        <v>1669401.4914204816</v>
      </c>
      <c r="DX22" s="16">
        <f t="shared" si="41"/>
        <v>0.38170729112875701</v>
      </c>
      <c r="DY22" s="28">
        <f>IF(DX22="","",DX22*$DO$1/'CPI USA'!$U$508+(1-DX22)*AVERAGE($DO$1,$DQ$1)/AVERAGE('CPI USA'!$U$508,'PPI USA'!$T$514))</f>
        <v>1.1634196327236188</v>
      </c>
      <c r="DZ22" s="30"/>
      <c r="EA22" s="45" t="str">
        <f t="shared" si="42"/>
        <v>C000291</v>
      </c>
      <c r="EB22" s="29">
        <f t="shared" si="43"/>
        <v>795594003.45619547</v>
      </c>
      <c r="EC22" s="29">
        <f t="shared" si="44"/>
        <v>42730771.471486546</v>
      </c>
      <c r="ED22" s="29">
        <f t="shared" si="45"/>
        <v>12326175.24858861</v>
      </c>
      <c r="EE22" s="29">
        <f t="shared" si="46"/>
        <v>8896226.7375807539</v>
      </c>
      <c r="EF22" s="29">
        <f t="shared" si="47"/>
        <v>5088229.9478045153</v>
      </c>
      <c r="EG22" s="29">
        <f t="shared" si="48"/>
        <v>814</v>
      </c>
      <c r="EH22" s="29">
        <f t="shared" si="49"/>
        <v>146515</v>
      </c>
      <c r="EI22" s="29">
        <f t="shared" si="50"/>
        <v>201235</v>
      </c>
      <c r="EJ22" s="29">
        <f t="shared" si="51"/>
        <v>3946009</v>
      </c>
      <c r="EK22" s="29">
        <f t="shared" si="52"/>
        <v>4138808.0761421318</v>
      </c>
      <c r="EL22" s="29">
        <f>IF(CD22=1,VLOOKUP(EA22,'EIA 2021'!$A$2:$J$213,4,0)*EH22,"")</f>
        <v>9331540.3499999996</v>
      </c>
      <c r="EM22" s="29">
        <f>IF(CD22=1,VLOOKUP(EA22,'EIA 2021'!$A$2:$J$213,7,0)*EH22,"")</f>
        <v>105637.315</v>
      </c>
      <c r="EN22" s="29">
        <f>IF(CD22=1,VLOOKUP(EA22,'EIA 2021'!$A$2:$J$213,10,0),"")</f>
        <v>149173</v>
      </c>
      <c r="EO22" s="28">
        <f>IF(CD22=1,VLOOKUP(EA22,'EIA 2021'!$A$2:$Z$213,26,0),"")</f>
        <v>0</v>
      </c>
      <c r="EP22" s="23">
        <f t="shared" si="53"/>
        <v>4.6583236669878132E-2</v>
      </c>
      <c r="EQ22" s="32">
        <f t="shared" si="54"/>
        <v>8435.923857868067</v>
      </c>
      <c r="ER22" s="32">
        <f t="shared" si="55"/>
        <v>192799.07614213193</v>
      </c>
      <c r="ES22" s="6"/>
      <c r="ET22" s="32"/>
    </row>
    <row r="23" spans="1:150" ht="15.75" customHeight="1">
      <c r="A23" s="7" t="s">
        <v>270</v>
      </c>
      <c r="B23" s="7" t="s">
        <v>271</v>
      </c>
      <c r="C23" s="32" t="s">
        <v>272</v>
      </c>
      <c r="D23" s="40">
        <v>0</v>
      </c>
      <c r="E23" s="40">
        <v>0</v>
      </c>
      <c r="F23" s="40">
        <v>0</v>
      </c>
      <c r="G23" s="40">
        <v>267745324</v>
      </c>
      <c r="H23" s="40">
        <v>269529580</v>
      </c>
      <c r="I23" s="40">
        <v>390576</v>
      </c>
      <c r="J23" s="40">
        <v>602297</v>
      </c>
      <c r="K23" s="40">
        <v>3070523</v>
      </c>
      <c r="L23" s="40">
        <v>1650006</v>
      </c>
      <c r="M23" s="40">
        <v>1855844</v>
      </c>
      <c r="N23" s="40">
        <v>3531170</v>
      </c>
      <c r="O23" s="40">
        <v>9722531</v>
      </c>
      <c r="P23" s="40">
        <v>330839</v>
      </c>
      <c r="Q23" s="40">
        <v>322253</v>
      </c>
      <c r="R23" s="40">
        <v>11746</v>
      </c>
      <c r="S23" s="40">
        <v>2127939</v>
      </c>
      <c r="T23" s="40">
        <v>37797162</v>
      </c>
      <c r="U23" s="40">
        <v>1429068</v>
      </c>
      <c r="V23" s="40">
        <v>200247</v>
      </c>
      <c r="W23" s="40">
        <v>176396</v>
      </c>
      <c r="X23" s="40">
        <f>IFERROR(VLOOKUP(A23,'Trans 21-23'!$A$2:$J$229,6,0),0)</f>
        <v>3799160</v>
      </c>
      <c r="Y23" s="41">
        <v>1466508</v>
      </c>
      <c r="Z23" s="41">
        <v>921050</v>
      </c>
      <c r="AA23" s="41">
        <v>20499186</v>
      </c>
      <c r="AB23" s="41">
        <v>2644992</v>
      </c>
      <c r="AC23" s="41">
        <v>4326837</v>
      </c>
      <c r="AD23" s="41">
        <v>58901555</v>
      </c>
      <c r="AE23" s="41">
        <v>0</v>
      </c>
      <c r="AF23" s="41">
        <v>471486445</v>
      </c>
      <c r="AG23" s="41">
        <v>735922</v>
      </c>
      <c r="AH23" s="41">
        <v>278896</v>
      </c>
      <c r="AI23" s="41">
        <v>4969949</v>
      </c>
      <c r="AJ23" s="41">
        <v>10447</v>
      </c>
      <c r="AK23" s="41">
        <v>15854982</v>
      </c>
      <c r="AL23" s="41">
        <v>7463776</v>
      </c>
      <c r="AM23" s="41">
        <v>6158945</v>
      </c>
      <c r="AN23" s="41">
        <v>4792941</v>
      </c>
      <c r="AO23" s="41">
        <v>87866</v>
      </c>
      <c r="AP23" s="41">
        <v>1124341</v>
      </c>
      <c r="AQ23" s="41">
        <v>19630461</v>
      </c>
      <c r="AR23" s="41">
        <v>905127</v>
      </c>
      <c r="AS23" s="41">
        <v>20535588</v>
      </c>
      <c r="AT23" s="41">
        <v>0</v>
      </c>
      <c r="AU23" s="41">
        <v>935</v>
      </c>
      <c r="AV23" s="41">
        <v>0</v>
      </c>
      <c r="AW23" s="41">
        <v>774136354</v>
      </c>
      <c r="AX23" s="41">
        <v>185417968</v>
      </c>
      <c r="AY23" s="41">
        <v>502395248</v>
      </c>
      <c r="AZ23" s="41">
        <v>146111803</v>
      </c>
      <c r="BA23" s="41">
        <v>81798413</v>
      </c>
      <c r="BB23" s="41">
        <v>3235300497</v>
      </c>
      <c r="BC23" s="41">
        <v>5026769806</v>
      </c>
      <c r="BD23" s="41">
        <v>427180499</v>
      </c>
      <c r="BE23" s="41">
        <v>722869819</v>
      </c>
      <c r="BF23" s="41">
        <v>82922000</v>
      </c>
      <c r="BG23" s="41">
        <v>0</v>
      </c>
      <c r="BH23" s="41">
        <v>20016905</v>
      </c>
      <c r="BI23" s="41">
        <v>9294618</v>
      </c>
      <c r="BJ23" s="41">
        <v>823346</v>
      </c>
      <c r="BK23" s="41">
        <v>0</v>
      </c>
      <c r="BL23" s="41">
        <v>0</v>
      </c>
      <c r="BM23" s="41">
        <v>27735292</v>
      </c>
      <c r="BN23" s="41">
        <v>64044846</v>
      </c>
      <c r="BO23" s="41">
        <v>130969</v>
      </c>
      <c r="BP23" s="41">
        <v>5857140</v>
      </c>
      <c r="BQ23" s="41">
        <v>207987843</v>
      </c>
      <c r="BR23" s="41">
        <v>2592</v>
      </c>
      <c r="BS23" s="42">
        <f>IFERROR(VLOOKUP(A23,'Trans 21-23'!$A$2:$J$229,5,0),0)</f>
        <v>242065841</v>
      </c>
      <c r="BT23" s="43"/>
      <c r="BU23" s="6">
        <f t="shared" si="0"/>
        <v>3235300497</v>
      </c>
      <c r="BV23" s="6">
        <f t="shared" si="1"/>
        <v>935</v>
      </c>
      <c r="BW23" s="6">
        <f t="shared" si="2"/>
        <v>735922</v>
      </c>
      <c r="BX23" s="6">
        <f t="shared" si="3"/>
        <v>63218597</v>
      </c>
      <c r="BY23" s="6">
        <f t="shared" si="4"/>
        <v>29858573</v>
      </c>
      <c r="BZ23" s="6">
        <f t="shared" si="5"/>
        <v>146111803</v>
      </c>
      <c r="CA23" s="6">
        <f t="shared" si="6"/>
        <v>58901555</v>
      </c>
      <c r="CB23" s="6">
        <f t="shared" si="7"/>
        <v>278896</v>
      </c>
      <c r="CC23" s="6">
        <f t="shared" si="8"/>
        <v>19630461</v>
      </c>
      <c r="CD23" s="6">
        <f t="shared" si="9"/>
        <v>1</v>
      </c>
      <c r="CE23" s="44">
        <f t="shared" si="10"/>
        <v>9</v>
      </c>
      <c r="CF23" s="27"/>
      <c r="CG23" s="28">
        <f t="shared" si="11"/>
        <v>3460.2144352941177</v>
      </c>
      <c r="CH23" s="28">
        <f t="shared" si="12"/>
        <v>1.2705150817613824</v>
      </c>
      <c r="CI23" s="28">
        <f t="shared" si="13"/>
        <v>85.903936830261898</v>
      </c>
      <c r="CJ23" s="28">
        <f t="shared" si="14"/>
        <v>198.54251265759143</v>
      </c>
      <c r="CK23" s="23">
        <f t="shared" si="15"/>
        <v>1.4207307714271204E-2</v>
      </c>
      <c r="CL23" s="29" t="str">
        <f t="shared" si="16"/>
        <v/>
      </c>
      <c r="CM23" s="29" t="str">
        <f t="shared" si="17"/>
        <v/>
      </c>
      <c r="CN23" s="29" t="str">
        <f t="shared" si="18"/>
        <v/>
      </c>
      <c r="CO23" s="29" t="str">
        <f t="shared" si="19"/>
        <v/>
      </c>
      <c r="CP23" s="29" t="str">
        <f t="shared" si="20"/>
        <v/>
      </c>
      <c r="CQ23" s="29">
        <f t="shared" si="21"/>
        <v>0</v>
      </c>
      <c r="CR23" s="13"/>
      <c r="CS23" s="7">
        <f>VLOOKUP(A23,'Empresas 21-23'!$A$2:$M$228,13,0)</f>
        <v>1</v>
      </c>
      <c r="CT23" s="30"/>
      <c r="CU23" s="6">
        <f t="shared" si="22"/>
        <v>2836768192.4000001</v>
      </c>
      <c r="CV23" s="6">
        <f t="shared" si="23"/>
        <v>146111803</v>
      </c>
      <c r="CW23" s="6">
        <f t="shared" si="24"/>
        <v>427180499</v>
      </c>
      <c r="CX23" s="23">
        <f t="shared" si="56"/>
        <v>0.616743801035191</v>
      </c>
      <c r="CY23" s="23">
        <f t="shared" si="57"/>
        <v>3.1766271562036222E-2</v>
      </c>
      <c r="CZ23" s="6">
        <f t="shared" si="25"/>
        <v>3100229117.0813699</v>
      </c>
      <c r="DA23" s="6">
        <f t="shared" si="26"/>
        <v>159681734.73724014</v>
      </c>
      <c r="DB23" s="6">
        <f t="shared" si="27"/>
        <v>63218597</v>
      </c>
      <c r="DC23" s="6">
        <f t="shared" si="28"/>
        <v>67017757</v>
      </c>
      <c r="DD23" s="6">
        <f t="shared" si="29"/>
        <v>29858573</v>
      </c>
      <c r="DE23" s="6">
        <f t="shared" si="30"/>
        <v>58901555</v>
      </c>
      <c r="DF23" s="6">
        <f t="shared" si="31"/>
        <v>39887834.150952876</v>
      </c>
      <c r="DG23" s="30"/>
      <c r="DH23" s="32">
        <f>VLOOKUP(A23,'T_med_comp-USA'!$A$7:$Q$233,17,0)</f>
        <v>9.0875457059543994</v>
      </c>
      <c r="DI23" s="6" t="str">
        <f t="shared" si="32"/>
        <v>12_2012</v>
      </c>
      <c r="DJ23" s="32">
        <f>IF(DI23="","",VLOOKUP(DI23,'CPI USA'!$T:$U,2,FALSE))</f>
        <v>229.59399999999999</v>
      </c>
      <c r="DK23" s="32">
        <f>IF(DI23="","",VLOOKUP(DI23,'PPI USA'!$S:$T,2,FALSE))</f>
        <v>175.1</v>
      </c>
      <c r="DL23" s="32">
        <f>IF(DI23="","",VLOOKUP(DI23,'CPI USA'!$T:$V,3,FALSE))</f>
        <v>0.66730871354337351</v>
      </c>
      <c r="DM23" s="32">
        <f>IF(DI23="","",VLOOKUP(DI23,'CPI USA'!$T:$X,5,FALSE))</f>
        <v>0.49513551903851311</v>
      </c>
      <c r="DN23" s="32">
        <f t="shared" si="33"/>
        <v>1.3897894616766442</v>
      </c>
      <c r="DO23" s="32">
        <f t="shared" si="34"/>
        <v>1.4008620811189902</v>
      </c>
      <c r="DP23" s="32">
        <f t="shared" si="35"/>
        <v>0.31727750496749879</v>
      </c>
      <c r="DQ23" s="32">
        <f>IF(DP23="","",DP23*$DO$1/'CPI USA'!$U$508+(1-DP23)*AVERAGE($DO$1,$DQ$1)/AVERAGE('CPI USA'!$U$508,'PPI USA'!$T$514))</f>
        <v>1.1672278027126031</v>
      </c>
      <c r="DR23" s="6">
        <f t="shared" si="36"/>
        <v>10117964</v>
      </c>
      <c r="DS23" s="32">
        <f t="shared" si="37"/>
        <v>0.33955590604535602</v>
      </c>
      <c r="DT23" s="28">
        <f>IF(DS23="","",DS23*$DO$1/'CPI USA'!$U$508+(1-DS23)*AVERAGE($DO$1,$DQ$1)/AVERAGE('CPI USA'!$U$508,'PPI USA'!$T$514))</f>
        <v>1.1659110214000763</v>
      </c>
      <c r="DU23" s="6">
        <f t="shared" si="38"/>
        <v>27792009.498515774</v>
      </c>
      <c r="DV23" s="6">
        <f t="shared" si="39"/>
        <v>803685.36681376898</v>
      </c>
      <c r="DW23" s="6">
        <f t="shared" si="40"/>
        <v>13455064.264354361</v>
      </c>
      <c r="DX23" s="16">
        <f t="shared" si="41"/>
        <v>0.33732250824736582</v>
      </c>
      <c r="DY23" s="28">
        <f>IF(DX23="","",DX23*$DO$1/'CPI USA'!$U$508+(1-DX23)*AVERAGE($DO$1,$DQ$1)/AVERAGE('CPI USA'!$U$508,'PPI USA'!$T$514))</f>
        <v>1.1660430280227039</v>
      </c>
      <c r="DZ23" s="30"/>
      <c r="EA23" s="45" t="str">
        <f t="shared" si="42"/>
        <v>C000292</v>
      </c>
      <c r="EB23" s="29">
        <f t="shared" si="43"/>
        <v>4308665755.702775</v>
      </c>
      <c r="EC23" s="29">
        <f t="shared" si="44"/>
        <v>223692087.24070078</v>
      </c>
      <c r="ED23" s="29">
        <f t="shared" si="45"/>
        <v>78224989.245837167</v>
      </c>
      <c r="EE23" s="29">
        <f t="shared" si="46"/>
        <v>34812439.34397874</v>
      </c>
      <c r="EF23" s="29">
        <f t="shared" si="47"/>
        <v>46510930.91464451</v>
      </c>
      <c r="EG23" s="29">
        <f t="shared" si="48"/>
        <v>935</v>
      </c>
      <c r="EH23" s="29">
        <f t="shared" si="49"/>
        <v>735922</v>
      </c>
      <c r="EI23" s="29">
        <f t="shared" si="50"/>
        <v>278896</v>
      </c>
      <c r="EJ23" s="29">
        <f t="shared" si="51"/>
        <v>19630461</v>
      </c>
      <c r="EK23" s="29">
        <f t="shared" si="52"/>
        <v>19895573.340101521</v>
      </c>
      <c r="EL23" s="29">
        <f>IF(CD23=1,VLOOKUP(EA23,'EIA 2021'!$A$2:$J$213,4,0)*EH23,"")</f>
        <v>91901939.359999999</v>
      </c>
      <c r="EM23" s="29">
        <f>IF(CD23=1,VLOOKUP(EA23,'EIA 2021'!$A$2:$J$213,7,0)*EH23,"")</f>
        <v>754320.04999999993</v>
      </c>
      <c r="EN23" s="29">
        <f>IF(CD23=1,VLOOKUP(EA23,'EIA 2021'!$A$2:$J$213,10,0),"")</f>
        <v>747503</v>
      </c>
      <c r="EO23" s="28">
        <f>IF(CD23=1,VLOOKUP(EA23,'EIA 2021'!$A$2:$Z$213,26,0),"")</f>
        <v>0</v>
      </c>
      <c r="EP23" s="23">
        <f t="shared" si="53"/>
        <v>1.3325192271145179E-2</v>
      </c>
      <c r="EQ23" s="32">
        <f t="shared" si="54"/>
        <v>13783.659898477141</v>
      </c>
      <c r="ER23" s="32">
        <f t="shared" si="55"/>
        <v>265112.34010152286</v>
      </c>
      <c r="ES23" s="6"/>
      <c r="ET23" s="32"/>
    </row>
    <row r="24" spans="1:150" ht="15.75" customHeight="1">
      <c r="A24" s="7" t="s">
        <v>273</v>
      </c>
      <c r="B24" s="7" t="s">
        <v>274</v>
      </c>
      <c r="C24" s="32" t="s">
        <v>275</v>
      </c>
      <c r="D24" s="40">
        <v>0</v>
      </c>
      <c r="E24" s="40">
        <v>0</v>
      </c>
      <c r="F24" s="40">
        <v>0</v>
      </c>
      <c r="G24" s="40">
        <v>931118722</v>
      </c>
      <c r="H24" s="40">
        <v>928201788</v>
      </c>
      <c r="I24" s="40">
        <v>30747</v>
      </c>
      <c r="J24" s="40">
        <v>480799</v>
      </c>
      <c r="K24" s="40">
        <v>1359127</v>
      </c>
      <c r="L24" s="40">
        <v>1351476</v>
      </c>
      <c r="M24" s="40">
        <v>3971577</v>
      </c>
      <c r="N24" s="40">
        <v>0</v>
      </c>
      <c r="O24" s="40">
        <v>22497680</v>
      </c>
      <c r="P24" s="40">
        <v>3952483</v>
      </c>
      <c r="Q24" s="40">
        <v>2025549</v>
      </c>
      <c r="R24" s="40">
        <v>37042</v>
      </c>
      <c r="S24" s="40">
        <v>10838638</v>
      </c>
      <c r="T24" s="40">
        <v>96361893</v>
      </c>
      <c r="U24" s="40">
        <v>5368371</v>
      </c>
      <c r="V24" s="40">
        <v>311906</v>
      </c>
      <c r="W24" s="40">
        <v>2344835</v>
      </c>
      <c r="X24" s="40">
        <f>IFERROR(VLOOKUP(A24,'Trans 21-23'!$A$2:$J$229,6,0),0)</f>
        <v>7852768</v>
      </c>
      <c r="Y24" s="41">
        <v>1098787</v>
      </c>
      <c r="Z24" s="41">
        <v>4953204</v>
      </c>
      <c r="AA24" s="41">
        <v>34551611</v>
      </c>
      <c r="AB24" s="41">
        <v>120526855</v>
      </c>
      <c r="AC24" s="41">
        <v>48</v>
      </c>
      <c r="AD24" s="41">
        <v>59142020</v>
      </c>
      <c r="AE24" s="41">
        <v>0</v>
      </c>
      <c r="AF24" s="41">
        <v>1223452860</v>
      </c>
      <c r="AG24" s="41">
        <v>1150247</v>
      </c>
      <c r="AH24" s="41">
        <v>964767</v>
      </c>
      <c r="AI24" s="41">
        <v>11779345</v>
      </c>
      <c r="AJ24" s="41">
        <v>24386</v>
      </c>
      <c r="AK24" s="41">
        <v>9099528</v>
      </c>
      <c r="AL24" s="41">
        <v>9932391</v>
      </c>
      <c r="AM24" s="41">
        <v>7933279</v>
      </c>
      <c r="AN24" s="41">
        <v>1909152</v>
      </c>
      <c r="AO24" s="41">
        <v>90732</v>
      </c>
      <c r="AP24" s="41">
        <v>0</v>
      </c>
      <c r="AQ24" s="41">
        <v>19865554</v>
      </c>
      <c r="AR24" s="41">
        <v>24166</v>
      </c>
      <c r="AS24" s="41">
        <v>19889720</v>
      </c>
      <c r="AT24" s="41">
        <v>0</v>
      </c>
      <c r="AU24" s="41">
        <v>6170</v>
      </c>
      <c r="AV24" s="41">
        <v>0</v>
      </c>
      <c r="AW24" s="41">
        <v>1238405589</v>
      </c>
      <c r="AX24" s="41">
        <v>121183561</v>
      </c>
      <c r="AY24" s="41">
        <v>668772233</v>
      </c>
      <c r="AZ24" s="41">
        <v>196708813</v>
      </c>
      <c r="BA24" s="41">
        <v>253553036</v>
      </c>
      <c r="BB24" s="41">
        <v>5353032066</v>
      </c>
      <c r="BC24" s="41">
        <v>7718334899</v>
      </c>
      <c r="BD24" s="41">
        <v>321342824</v>
      </c>
      <c r="BE24" s="41">
        <v>1618746757</v>
      </c>
      <c r="BF24" s="41">
        <v>127953989</v>
      </c>
      <c r="BG24" s="41">
        <v>0</v>
      </c>
      <c r="BH24" s="41">
        <v>58067587</v>
      </c>
      <c r="BI24" s="41">
        <v>14996347</v>
      </c>
      <c r="BJ24" s="41">
        <v>1220307</v>
      </c>
      <c r="BK24" s="41">
        <v>0</v>
      </c>
      <c r="BL24" s="41">
        <v>0</v>
      </c>
      <c r="BM24" s="41">
        <v>961754</v>
      </c>
      <c r="BN24" s="41">
        <v>83022673</v>
      </c>
      <c r="BO24" s="41">
        <v>0</v>
      </c>
      <c r="BP24" s="41">
        <v>2853110</v>
      </c>
      <c r="BQ24" s="41">
        <v>147961784</v>
      </c>
      <c r="BR24" s="41">
        <v>0</v>
      </c>
      <c r="BS24" s="42">
        <f>IFERROR(VLOOKUP(A24,'Trans 21-23'!$A$2:$J$229,5,0),0)</f>
        <v>500344006</v>
      </c>
      <c r="BT24" s="43"/>
      <c r="BU24" s="6">
        <f t="shared" si="0"/>
        <v>5353032066</v>
      </c>
      <c r="BV24" s="6">
        <f t="shared" si="1"/>
        <v>6170</v>
      </c>
      <c r="BW24" s="6">
        <f t="shared" si="2"/>
        <v>1150247</v>
      </c>
      <c r="BX24" s="6">
        <f t="shared" si="3"/>
        <v>150932123</v>
      </c>
      <c r="BY24" s="6">
        <f t="shared" si="4"/>
        <v>161130505</v>
      </c>
      <c r="BZ24" s="6">
        <f t="shared" si="5"/>
        <v>196708813</v>
      </c>
      <c r="CA24" s="6">
        <f t="shared" si="6"/>
        <v>59142020</v>
      </c>
      <c r="CB24" s="6">
        <f t="shared" si="7"/>
        <v>964767</v>
      </c>
      <c r="CC24" s="6">
        <f t="shared" si="8"/>
        <v>19865554</v>
      </c>
      <c r="CD24" s="6">
        <f t="shared" si="9"/>
        <v>1</v>
      </c>
      <c r="CE24" s="44">
        <f t="shared" si="10"/>
        <v>13</v>
      </c>
      <c r="CF24" s="27"/>
      <c r="CG24" s="28">
        <f t="shared" si="11"/>
        <v>867.59028622366293</v>
      </c>
      <c r="CH24" s="28">
        <f t="shared" si="12"/>
        <v>5.3640652833695723</v>
      </c>
      <c r="CI24" s="28">
        <f t="shared" si="13"/>
        <v>131.21714118793616</v>
      </c>
      <c r="CJ24" s="28">
        <f t="shared" si="14"/>
        <v>171.01441081785043</v>
      </c>
      <c r="CK24" s="23">
        <f t="shared" si="15"/>
        <v>4.85648172711418E-2</v>
      </c>
      <c r="CL24" s="29" t="str">
        <f t="shared" si="16"/>
        <v/>
      </c>
      <c r="CM24" s="29" t="str">
        <f t="shared" si="17"/>
        <v/>
      </c>
      <c r="CN24" s="29" t="str">
        <f t="shared" si="18"/>
        <v/>
      </c>
      <c r="CO24" s="29" t="str">
        <f t="shared" si="19"/>
        <v/>
      </c>
      <c r="CP24" s="29" t="str">
        <f t="shared" si="20"/>
        <v/>
      </c>
      <c r="CQ24" s="29">
        <f t="shared" si="21"/>
        <v>0</v>
      </c>
      <c r="CR24" s="13"/>
      <c r="CS24" s="7">
        <f>VLOOKUP(A24,'Empresas 21-23'!$A$2:$M$228,13,0)</f>
        <v>1</v>
      </c>
      <c r="CT24" s="30"/>
      <c r="CU24" s="6">
        <f t="shared" si="22"/>
        <v>4929140746.6000004</v>
      </c>
      <c r="CV24" s="6">
        <f t="shared" si="23"/>
        <v>196708813</v>
      </c>
      <c r="CW24" s="6">
        <f t="shared" si="24"/>
        <v>321342824</v>
      </c>
      <c r="CX24" s="23">
        <f t="shared" si="56"/>
        <v>0.6663709649303633</v>
      </c>
      <c r="CY24" s="23">
        <f t="shared" si="57"/>
        <v>2.6593081485760547E-2</v>
      </c>
      <c r="CZ24" s="6">
        <f t="shared" si="25"/>
        <v>5143274274.3023281</v>
      </c>
      <c r="DA24" s="6">
        <f t="shared" si="26"/>
        <v>205254308.90349641</v>
      </c>
      <c r="DB24" s="6">
        <f t="shared" si="27"/>
        <v>150932123</v>
      </c>
      <c r="DC24" s="6">
        <f t="shared" si="28"/>
        <v>158784891</v>
      </c>
      <c r="DD24" s="6">
        <f t="shared" si="29"/>
        <v>161130505</v>
      </c>
      <c r="DE24" s="6">
        <f t="shared" si="30"/>
        <v>59142020</v>
      </c>
      <c r="DF24" s="6">
        <f t="shared" si="31"/>
        <v>80134338.723023295</v>
      </c>
      <c r="DG24" s="30"/>
      <c r="DH24" s="32">
        <f>VLOOKUP(A24,'T_med_comp-USA'!$A$7:$Q$233,17,0)</f>
        <v>11.559327414718121</v>
      </c>
      <c r="DI24" s="6" t="str">
        <f t="shared" si="32"/>
        <v>6_2010</v>
      </c>
      <c r="DJ24" s="32">
        <f>IF(DI24="","",VLOOKUP(DI24,'CPI USA'!$T:$U,2,FALSE))</f>
        <v>218.05600000000001</v>
      </c>
      <c r="DK24" s="32">
        <f>IF(DI24="","",VLOOKUP(DI24,'PPI USA'!$S:$T,2,FALSE))</f>
        <v>160.80000000000001</v>
      </c>
      <c r="DL24" s="32">
        <f>IF(DI24="","",VLOOKUP(DI24,'CPI USA'!$T:$V,3,FALSE))</f>
        <v>0.67050107279443949</v>
      </c>
      <c r="DM24" s="32">
        <f>IF(DI24="","",VLOOKUP(DI24,'CPI USA'!$T:$X,5,FALSE))</f>
        <v>0.4987389730136107</v>
      </c>
      <c r="DN24" s="32">
        <f t="shared" si="33"/>
        <v>1.4703278680244813</v>
      </c>
      <c r="DO24" s="32">
        <f t="shared" si="34"/>
        <v>1.4857204383544427</v>
      </c>
      <c r="DP24" s="32">
        <f t="shared" si="35"/>
        <v>0.38472649722153579</v>
      </c>
      <c r="DQ24" s="32">
        <f>IF(DP24="","",DP24*$DO$1/'CPI USA'!$U$508+(1-DP24)*AVERAGE($DO$1,$DQ$1)/AVERAGE('CPI USA'!$U$508,'PPI USA'!$T$514))</f>
        <v>1.1632411803226703</v>
      </c>
      <c r="DR24" s="6">
        <f t="shared" si="36"/>
        <v>16216654</v>
      </c>
      <c r="DS24" s="32">
        <f t="shared" si="37"/>
        <v>0.2</v>
      </c>
      <c r="DT24" s="28">
        <f>IF(DS24="","",DS24*$DO$1/'CPI USA'!$U$508+(1-DS24)*AVERAGE($DO$1,$DQ$1)/AVERAGE('CPI USA'!$U$508,'PPI USA'!$T$514))</f>
        <v>1.1741595760647974</v>
      </c>
      <c r="DU24" s="6">
        <f t="shared" si="38"/>
        <v>961754</v>
      </c>
      <c r="DV24" s="6">
        <f t="shared" si="39"/>
        <v>18909.896144044429</v>
      </c>
      <c r="DW24" s="6">
        <f t="shared" si="40"/>
        <v>877445.52865893836</v>
      </c>
      <c r="DX24" s="16">
        <f t="shared" si="41"/>
        <v>0.2</v>
      </c>
      <c r="DY24" s="28">
        <f>IF(DX24="","",DX24*$DO$1/'CPI USA'!$U$508+(1-DX24)*AVERAGE($DO$1,$DQ$1)/AVERAGE('CPI USA'!$U$508,'PPI USA'!$T$514))</f>
        <v>1.1741595760647974</v>
      </c>
      <c r="DZ24" s="30"/>
      <c r="EA24" s="45" t="str">
        <f t="shared" si="42"/>
        <v>C000312</v>
      </c>
      <c r="EB24" s="29">
        <f t="shared" si="43"/>
        <v>7562299498.4001036</v>
      </c>
      <c r="EC24" s="29">
        <f t="shared" si="44"/>
        <v>304950521.7982409</v>
      </c>
      <c r="ED24" s="29">
        <f t="shared" si="45"/>
        <v>184705124.02424654</v>
      </c>
      <c r="EE24" s="29">
        <f t="shared" si="46"/>
        <v>189192925.44190672</v>
      </c>
      <c r="EF24" s="29">
        <f t="shared" si="47"/>
        <v>94090501.183257908</v>
      </c>
      <c r="EG24" s="29">
        <f t="shared" si="48"/>
        <v>6170</v>
      </c>
      <c r="EH24" s="29">
        <f t="shared" si="49"/>
        <v>1150247</v>
      </c>
      <c r="EI24" s="29">
        <f t="shared" si="50"/>
        <v>964767</v>
      </c>
      <c r="EJ24" s="29">
        <f t="shared" si="51"/>
        <v>19865554</v>
      </c>
      <c r="EK24" s="29">
        <f t="shared" si="52"/>
        <v>20829952.989847716</v>
      </c>
      <c r="EL24" s="29">
        <f>IF(CD24=1,VLOOKUP(EA24,'EIA 2021'!$A$2:$J$213,4,0)*EH24,"")</f>
        <v>221261512.92000002</v>
      </c>
      <c r="EM24" s="29">
        <f>IF(CD24=1,VLOOKUP(EA24,'EIA 2021'!$A$2:$J$213,7,0)*EH24,"")</f>
        <v>2172816.5830000001</v>
      </c>
      <c r="EN24" s="29">
        <f>IF(CD24=1,VLOOKUP(EA24,'EIA 2021'!$A$2:$J$213,10,0),"")</f>
        <v>25714</v>
      </c>
      <c r="EO24" s="28">
        <f>IF(CD24=1,VLOOKUP(EA24,'EIA 2021'!$A$2:$Z$213,26,0),"")</f>
        <v>0</v>
      </c>
      <c r="EP24" s="23">
        <f t="shared" si="53"/>
        <v>4.6298663771241005E-2</v>
      </c>
      <c r="EQ24" s="32">
        <f t="shared" si="54"/>
        <v>368.01015228426331</v>
      </c>
      <c r="ER24" s="32">
        <f t="shared" si="55"/>
        <v>964398.98984771571</v>
      </c>
      <c r="ES24" s="6"/>
      <c r="ET24" s="32"/>
    </row>
    <row r="25" spans="1:150" ht="15.75" customHeight="1">
      <c r="A25" s="7" t="s">
        <v>276</v>
      </c>
      <c r="B25" s="7" t="s">
        <v>277</v>
      </c>
      <c r="C25" s="32" t="s">
        <v>278</v>
      </c>
      <c r="D25" s="40">
        <v>0</v>
      </c>
      <c r="E25" s="40">
        <v>0</v>
      </c>
      <c r="F25" s="40">
        <v>0</v>
      </c>
      <c r="G25" s="40">
        <v>192006009</v>
      </c>
      <c r="H25" s="40">
        <v>192413990</v>
      </c>
      <c r="I25" s="40">
        <v>676246</v>
      </c>
      <c r="J25" s="40">
        <v>137221</v>
      </c>
      <c r="K25" s="40">
        <v>442847</v>
      </c>
      <c r="L25" s="40">
        <v>827486</v>
      </c>
      <c r="M25" s="40">
        <v>1750419</v>
      </c>
      <c r="N25" s="40">
        <v>0</v>
      </c>
      <c r="O25" s="40">
        <v>7185297</v>
      </c>
      <c r="P25" s="40">
        <v>3555962</v>
      </c>
      <c r="Q25" s="40">
        <v>1242762</v>
      </c>
      <c r="R25" s="40">
        <v>0</v>
      </c>
      <c r="S25" s="40">
        <v>7305707</v>
      </c>
      <c r="T25" s="40">
        <v>47433918</v>
      </c>
      <c r="U25" s="40">
        <v>3028442</v>
      </c>
      <c r="V25" s="40">
        <v>276322</v>
      </c>
      <c r="W25" s="40">
        <v>1036605</v>
      </c>
      <c r="X25" s="40">
        <f>IFERROR(VLOOKUP(A25,'Trans 21-23'!$A$2:$J$229,6,0),0)</f>
        <v>1566597</v>
      </c>
      <c r="Y25" s="41">
        <v>7894737</v>
      </c>
      <c r="Z25" s="41">
        <v>3836738</v>
      </c>
      <c r="AA25" s="41">
        <v>35352244</v>
      </c>
      <c r="AB25" s="41">
        <v>11173084</v>
      </c>
      <c r="AC25" s="41">
        <v>667149</v>
      </c>
      <c r="AD25" s="41">
        <v>11545710</v>
      </c>
      <c r="AE25" s="41">
        <v>0</v>
      </c>
      <c r="AF25" s="41">
        <v>679545219</v>
      </c>
      <c r="AG25" s="41">
        <v>1062269</v>
      </c>
      <c r="AH25" s="41">
        <v>249329</v>
      </c>
      <c r="AI25" s="41">
        <v>4189600</v>
      </c>
      <c r="AJ25" s="41">
        <v>45375</v>
      </c>
      <c r="AK25" s="41">
        <v>19315093</v>
      </c>
      <c r="AL25" s="41">
        <v>9485086</v>
      </c>
      <c r="AM25" s="41">
        <v>6131519</v>
      </c>
      <c r="AN25" s="41">
        <v>7458151</v>
      </c>
      <c r="AO25" s="41">
        <v>135233</v>
      </c>
      <c r="AP25" s="41">
        <v>0</v>
      </c>
      <c r="AQ25" s="41">
        <v>23209989</v>
      </c>
      <c r="AR25" s="41">
        <v>0</v>
      </c>
      <c r="AS25" s="41">
        <v>23209989</v>
      </c>
      <c r="AT25" s="41">
        <v>0</v>
      </c>
      <c r="AU25" s="41">
        <v>5504</v>
      </c>
      <c r="AV25" s="41">
        <v>0</v>
      </c>
      <c r="AW25" s="41">
        <v>892605280</v>
      </c>
      <c r="AX25" s="41">
        <v>71598418</v>
      </c>
      <c r="AY25" s="41">
        <v>411809477</v>
      </c>
      <c r="AZ25" s="41">
        <v>226853880</v>
      </c>
      <c r="BA25" s="41">
        <v>84755037</v>
      </c>
      <c r="BB25" s="41">
        <v>3410160707</v>
      </c>
      <c r="BC25" s="41">
        <v>4108178564</v>
      </c>
      <c r="BD25" s="41">
        <v>258125631</v>
      </c>
      <c r="BE25" s="41">
        <v>1278795186</v>
      </c>
      <c r="BF25" s="41">
        <v>92897245</v>
      </c>
      <c r="BG25" s="41">
        <v>0</v>
      </c>
      <c r="BH25" s="41">
        <v>28805959</v>
      </c>
      <c r="BI25" s="41">
        <v>9203602</v>
      </c>
      <c r="BJ25" s="41">
        <v>0</v>
      </c>
      <c r="BK25" s="41">
        <v>542958</v>
      </c>
      <c r="BL25" s="41">
        <v>0</v>
      </c>
      <c r="BM25" s="41">
        <v>939235</v>
      </c>
      <c r="BN25" s="41">
        <v>39577088</v>
      </c>
      <c r="BO25" s="41">
        <v>0</v>
      </c>
      <c r="BP25" s="41">
        <v>17082461</v>
      </c>
      <c r="BQ25" s="41">
        <v>106583347</v>
      </c>
      <c r="BR25" s="41">
        <v>0</v>
      </c>
      <c r="BS25" s="42">
        <f>IFERROR(VLOOKUP(A25,'Trans 21-23'!$A$2:$J$229,5,0),0)</f>
        <v>99816693</v>
      </c>
      <c r="BT25" s="43"/>
      <c r="BU25" s="6">
        <f t="shared" si="0"/>
        <v>3410160707</v>
      </c>
      <c r="BV25" s="6">
        <f t="shared" si="1"/>
        <v>5504</v>
      </c>
      <c r="BW25" s="6">
        <f t="shared" si="2"/>
        <v>1062269</v>
      </c>
      <c r="BX25" s="6">
        <f t="shared" si="3"/>
        <v>74899234</v>
      </c>
      <c r="BY25" s="6">
        <f t="shared" si="4"/>
        <v>58923952</v>
      </c>
      <c r="BZ25" s="6">
        <f t="shared" si="5"/>
        <v>226853880</v>
      </c>
      <c r="CA25" s="6">
        <f t="shared" si="6"/>
        <v>11545710</v>
      </c>
      <c r="CB25" s="6">
        <f t="shared" si="7"/>
        <v>249329</v>
      </c>
      <c r="CC25" s="6">
        <f t="shared" si="8"/>
        <v>23209989</v>
      </c>
      <c r="CD25" s="6">
        <f t="shared" si="9"/>
        <v>1</v>
      </c>
      <c r="CE25" s="44">
        <f t="shared" si="10"/>
        <v>15</v>
      </c>
      <c r="CF25" s="27"/>
      <c r="CG25" s="28">
        <f t="shared" si="11"/>
        <v>619.57861682412783</v>
      </c>
      <c r="CH25" s="28">
        <f t="shared" si="12"/>
        <v>5.181361783126496</v>
      </c>
      <c r="CI25" s="28">
        <f t="shared" si="13"/>
        <v>70.50872613245798</v>
      </c>
      <c r="CJ25" s="28">
        <f t="shared" si="14"/>
        <v>213.55596369657781</v>
      </c>
      <c r="CK25" s="23">
        <f t="shared" si="15"/>
        <v>1.074231444056264E-2</v>
      </c>
      <c r="CL25" s="29" t="str">
        <f t="shared" si="16"/>
        <v/>
      </c>
      <c r="CM25" s="29" t="str">
        <f t="shared" si="17"/>
        <v/>
      </c>
      <c r="CN25" s="29" t="str">
        <f t="shared" si="18"/>
        <v/>
      </c>
      <c r="CO25" s="29" t="str">
        <f t="shared" si="19"/>
        <v/>
      </c>
      <c r="CP25" s="29" t="str">
        <f t="shared" si="20"/>
        <v/>
      </c>
      <c r="CQ25" s="29">
        <f t="shared" si="21"/>
        <v>0</v>
      </c>
      <c r="CR25" s="13"/>
      <c r="CS25" s="7">
        <f>VLOOKUP(A25,'Empresas 21-23'!$A$2:$M$228,13,0)</f>
        <v>1</v>
      </c>
      <c r="CT25" s="30"/>
      <c r="CU25" s="6">
        <f t="shared" si="22"/>
        <v>2908323746</v>
      </c>
      <c r="CV25" s="6">
        <f t="shared" si="23"/>
        <v>226853880</v>
      </c>
      <c r="CW25" s="6">
        <f t="shared" si="24"/>
        <v>258125631</v>
      </c>
      <c r="CX25" s="23">
        <f t="shared" si="56"/>
        <v>0.7553983793500223</v>
      </c>
      <c r="CY25" s="23">
        <f t="shared" si="57"/>
        <v>5.8922275601866379E-2</v>
      </c>
      <c r="CZ25" s="6">
        <f t="shared" si="25"/>
        <v>3103311429.3261018</v>
      </c>
      <c r="DA25" s="6">
        <f t="shared" si="26"/>
        <v>242063229.56968766</v>
      </c>
      <c r="DB25" s="6">
        <f t="shared" si="27"/>
        <v>74899234</v>
      </c>
      <c r="DC25" s="6">
        <f t="shared" si="28"/>
        <v>76465831</v>
      </c>
      <c r="DD25" s="6">
        <f t="shared" si="29"/>
        <v>58923952</v>
      </c>
      <c r="DE25" s="6">
        <f t="shared" si="30"/>
        <v>11545710</v>
      </c>
      <c r="DF25" s="6">
        <f t="shared" si="31"/>
        <v>3286835.0886035492</v>
      </c>
      <c r="DG25" s="30"/>
      <c r="DH25" s="32">
        <f>VLOOKUP(A25,'T_med_comp-USA'!$A$7:$Q$233,17,0)</f>
        <v>13.459237507581568</v>
      </c>
      <c r="DI25" s="6" t="str">
        <f t="shared" si="32"/>
        <v>7_2008</v>
      </c>
      <c r="DJ25" s="32">
        <f>IF(DI25="","",VLOOKUP(DI25,'CPI USA'!$T:$U,2,FALSE))</f>
        <v>215.303</v>
      </c>
      <c r="DK25" s="32">
        <f>IF(DI25="","",VLOOKUP(DI25,'PPI USA'!$S:$T,2,FALSE))</f>
        <v>159.30000000000001</v>
      </c>
      <c r="DL25" s="32">
        <f>IF(DI25="","",VLOOKUP(DI25,'CPI USA'!$T:$V,3,FALSE))</f>
        <v>0.67018812038291731</v>
      </c>
      <c r="DM25" s="32">
        <f>IF(DI25="","",VLOOKUP(DI25,'CPI USA'!$T:$X,5,FALSE))</f>
        <v>0.49838492968660258</v>
      </c>
      <c r="DN25" s="32">
        <f t="shared" si="33"/>
        <v>1.4884333659448254</v>
      </c>
      <c r="DO25" s="32">
        <f t="shared" si="34"/>
        <v>1.5036496327119213</v>
      </c>
      <c r="DP25" s="32">
        <f t="shared" si="35"/>
        <v>0.3845961762439386</v>
      </c>
      <c r="DQ25" s="32">
        <f>IF(DP25="","",DP25*$DO$1/'CPI USA'!$U$508+(1-DP25)*AVERAGE($DO$1,$DQ$1)/AVERAGE('CPI USA'!$U$508,'PPI USA'!$T$514))</f>
        <v>1.163248883040084</v>
      </c>
      <c r="DR25" s="6">
        <f t="shared" si="36"/>
        <v>9746560</v>
      </c>
      <c r="DS25" s="32">
        <f t="shared" si="37"/>
        <v>0.2</v>
      </c>
      <c r="DT25" s="28">
        <f>IF(DS25="","",DS25*$DO$1/'CPI USA'!$U$508+(1-DS25)*AVERAGE($DO$1,$DQ$1)/AVERAGE('CPI USA'!$U$508,'PPI USA'!$T$514))</f>
        <v>1.1741595760647974</v>
      </c>
      <c r="DU25" s="6">
        <f t="shared" si="38"/>
        <v>939235</v>
      </c>
      <c r="DV25" s="6">
        <f t="shared" si="39"/>
        <v>179265.77014371677</v>
      </c>
      <c r="DW25" s="6">
        <f t="shared" si="40"/>
        <v>1089545.0972158506</v>
      </c>
      <c r="DX25" s="16">
        <f t="shared" si="41"/>
        <v>0.3314876067234504</v>
      </c>
      <c r="DY25" s="28">
        <f>IF(DX25="","",DX25*$DO$1/'CPI USA'!$U$508+(1-DX25)*AVERAGE($DO$1,$DQ$1)/AVERAGE('CPI USA'!$U$508,'PPI USA'!$T$514))</f>
        <v>1.1663879041769787</v>
      </c>
      <c r="DZ25" s="30"/>
      <c r="EA25" s="45" t="str">
        <f t="shared" si="42"/>
        <v>C000313</v>
      </c>
      <c r="EB25" s="29">
        <f t="shared" si="43"/>
        <v>4619072276.3268967</v>
      </c>
      <c r="EC25" s="29">
        <f t="shared" si="44"/>
        <v>363978286.23552233</v>
      </c>
      <c r="ED25" s="29">
        <f t="shared" si="45"/>
        <v>88948792.501481831</v>
      </c>
      <c r="EE25" s="29">
        <f t="shared" si="46"/>
        <v>69186122.500382468</v>
      </c>
      <c r="EF25" s="29">
        <f t="shared" si="47"/>
        <v>3833724.6903716479</v>
      </c>
      <c r="EG25" s="29">
        <f t="shared" si="48"/>
        <v>5504</v>
      </c>
      <c r="EH25" s="29">
        <f t="shared" si="49"/>
        <v>1062269</v>
      </c>
      <c r="EI25" s="29">
        <f t="shared" si="50"/>
        <v>249329</v>
      </c>
      <c r="EJ25" s="29">
        <f t="shared" si="51"/>
        <v>23209989</v>
      </c>
      <c r="EK25" s="29">
        <f t="shared" si="52"/>
        <v>23459318</v>
      </c>
      <c r="EL25" s="29">
        <f>IF(CD25=1,VLOOKUP(EA25,'EIA 2021'!$A$2:$J$213,4,0)*EH25,"")</f>
        <v>121563939.822</v>
      </c>
      <c r="EM25" s="29">
        <f>IF(CD25=1,VLOOKUP(EA25,'EIA 2021'!$A$2:$J$213,7,0)*EH25,"")</f>
        <v>1491425.676</v>
      </c>
      <c r="EN25" s="29">
        <f>IF(CD25=1,VLOOKUP(EA25,'EIA 2021'!$A$2:$J$213,10,0),"")</f>
        <v>326402</v>
      </c>
      <c r="EO25" s="28">
        <f>IF(CD25=1,VLOOKUP(EA25,'EIA 2021'!$A$2:$Z$213,26,0),"")</f>
        <v>0</v>
      </c>
      <c r="EP25" s="23">
        <f t="shared" si="53"/>
        <v>1.062814358030357E-2</v>
      </c>
      <c r="EQ25" s="32">
        <f t="shared" si="54"/>
        <v>0</v>
      </c>
      <c r="ER25" s="32">
        <f t="shared" si="55"/>
        <v>249329</v>
      </c>
      <c r="ES25" s="6"/>
      <c r="ET25" s="32"/>
    </row>
    <row r="26" spans="1:150" ht="15.75" customHeight="1">
      <c r="A26" s="7" t="s">
        <v>279</v>
      </c>
      <c r="B26" s="7" t="s">
        <v>280</v>
      </c>
      <c r="C26" s="32" t="s">
        <v>281</v>
      </c>
      <c r="D26" s="40">
        <v>0</v>
      </c>
      <c r="E26" s="40">
        <v>0</v>
      </c>
      <c r="F26" s="40">
        <v>0</v>
      </c>
      <c r="G26" s="40">
        <v>105210729</v>
      </c>
      <c r="H26" s="40">
        <v>105440092</v>
      </c>
      <c r="I26" s="40">
        <v>191378</v>
      </c>
      <c r="J26" s="40">
        <v>82180</v>
      </c>
      <c r="K26" s="40">
        <v>232048</v>
      </c>
      <c r="L26" s="40">
        <v>101509</v>
      </c>
      <c r="M26" s="40">
        <v>1601305</v>
      </c>
      <c r="N26" s="40">
        <v>0</v>
      </c>
      <c r="O26" s="40">
        <v>5301872</v>
      </c>
      <c r="P26" s="40">
        <v>3135</v>
      </c>
      <c r="Q26" s="40">
        <v>939199</v>
      </c>
      <c r="R26" s="40">
        <v>484812</v>
      </c>
      <c r="S26" s="40">
        <v>7932297</v>
      </c>
      <c r="T26" s="40">
        <v>48001918</v>
      </c>
      <c r="U26" s="40">
        <v>2446803</v>
      </c>
      <c r="V26" s="40">
        <v>232287</v>
      </c>
      <c r="W26" s="40">
        <v>710927</v>
      </c>
      <c r="X26" s="40">
        <f>IFERROR(VLOOKUP(A26,'Trans 21-23'!$A$2:$J$229,6,0),0)</f>
        <v>3894393</v>
      </c>
      <c r="Y26" s="41">
        <v>5785198</v>
      </c>
      <c r="Z26" s="41">
        <v>3030012</v>
      </c>
      <c r="AA26" s="41">
        <v>21991367</v>
      </c>
      <c r="AB26" s="41">
        <v>8133553</v>
      </c>
      <c r="AC26" s="41">
        <v>112947</v>
      </c>
      <c r="AD26" s="41">
        <v>256062</v>
      </c>
      <c r="AE26" s="41">
        <v>0</v>
      </c>
      <c r="AF26" s="41">
        <v>477915524</v>
      </c>
      <c r="AG26" s="41">
        <v>755210</v>
      </c>
      <c r="AH26" s="41">
        <v>220026</v>
      </c>
      <c r="AI26" s="41">
        <v>2268910</v>
      </c>
      <c r="AJ26" s="41">
        <v>30556</v>
      </c>
      <c r="AK26" s="41">
        <v>15544842</v>
      </c>
      <c r="AL26" s="41">
        <v>5638602</v>
      </c>
      <c r="AM26" s="41">
        <v>5751471</v>
      </c>
      <c r="AN26" s="41">
        <v>6034574</v>
      </c>
      <c r="AO26" s="41">
        <v>138523</v>
      </c>
      <c r="AP26" s="41">
        <v>0</v>
      </c>
      <c r="AQ26" s="41">
        <v>17563170</v>
      </c>
      <c r="AR26" s="41">
        <v>0</v>
      </c>
      <c r="AS26" s="41">
        <v>17563170</v>
      </c>
      <c r="AT26" s="41">
        <v>0</v>
      </c>
      <c r="AU26" s="41">
        <v>4055</v>
      </c>
      <c r="AV26" s="41">
        <v>0</v>
      </c>
      <c r="AW26" s="41">
        <v>599457358</v>
      </c>
      <c r="AX26" s="41">
        <v>83167983</v>
      </c>
      <c r="AY26" s="41">
        <v>524794291</v>
      </c>
      <c r="AZ26" s="41">
        <v>188503578</v>
      </c>
      <c r="BA26" s="41">
        <v>85590626</v>
      </c>
      <c r="BB26" s="41">
        <v>2811678720</v>
      </c>
      <c r="BC26" s="41">
        <v>3664452234</v>
      </c>
      <c r="BD26" s="41">
        <v>234508720</v>
      </c>
      <c r="BE26" s="41">
        <v>1152270995</v>
      </c>
      <c r="BF26" s="41">
        <v>91422886</v>
      </c>
      <c r="BG26" s="41">
        <v>0</v>
      </c>
      <c r="BH26" s="41">
        <v>27668866</v>
      </c>
      <c r="BI26" s="41">
        <v>5894860</v>
      </c>
      <c r="BJ26" s="41">
        <v>0</v>
      </c>
      <c r="BK26" s="41">
        <v>69299</v>
      </c>
      <c r="BL26" s="41">
        <v>0</v>
      </c>
      <c r="BM26" s="41">
        <v>814828</v>
      </c>
      <c r="BN26" s="41">
        <v>34600124</v>
      </c>
      <c r="BO26" s="41">
        <v>0</v>
      </c>
      <c r="BP26" s="41">
        <v>7992140</v>
      </c>
      <c r="BQ26" s="41">
        <v>80439254</v>
      </c>
      <c r="BR26" s="41">
        <v>0</v>
      </c>
      <c r="BS26" s="42">
        <f>IFERROR(VLOOKUP(A26,'Trans 21-23'!$A$2:$J$229,5,0),0)</f>
        <v>248133690</v>
      </c>
      <c r="BT26" s="43"/>
      <c r="BU26" s="6">
        <f t="shared" si="0"/>
        <v>2811678720</v>
      </c>
      <c r="BV26" s="6">
        <f t="shared" si="1"/>
        <v>4055</v>
      </c>
      <c r="BW26" s="6">
        <f t="shared" si="2"/>
        <v>755210</v>
      </c>
      <c r="BX26" s="6">
        <f t="shared" si="3"/>
        <v>68261670</v>
      </c>
      <c r="BY26" s="6">
        <f t="shared" si="4"/>
        <v>39053077</v>
      </c>
      <c r="BZ26" s="6">
        <f t="shared" si="5"/>
        <v>188503578</v>
      </c>
      <c r="CA26" s="6">
        <f t="shared" si="6"/>
        <v>256062</v>
      </c>
      <c r="CB26" s="6">
        <f t="shared" si="7"/>
        <v>220026</v>
      </c>
      <c r="CC26" s="6">
        <f t="shared" si="8"/>
        <v>17563170</v>
      </c>
      <c r="CD26" s="6">
        <f t="shared" si="9"/>
        <v>1</v>
      </c>
      <c r="CE26" s="44">
        <f t="shared" si="10"/>
        <v>14</v>
      </c>
      <c r="CF26" s="27"/>
      <c r="CG26" s="28">
        <f t="shared" si="11"/>
        <v>693.38562762022195</v>
      </c>
      <c r="CH26" s="28">
        <f t="shared" si="12"/>
        <v>5.369367460706294</v>
      </c>
      <c r="CI26" s="28">
        <f t="shared" si="13"/>
        <v>90.387667006527991</v>
      </c>
      <c r="CJ26" s="28">
        <f t="shared" si="14"/>
        <v>249.60418691489784</v>
      </c>
      <c r="CK26" s="23">
        <f t="shared" si="15"/>
        <v>1.2527692893708824E-2</v>
      </c>
      <c r="CL26" s="29" t="str">
        <f t="shared" si="16"/>
        <v/>
      </c>
      <c r="CM26" s="29" t="str">
        <f t="shared" si="17"/>
        <v/>
      </c>
      <c r="CN26" s="29" t="str">
        <f t="shared" si="18"/>
        <v/>
      </c>
      <c r="CO26" s="29" t="str">
        <f t="shared" si="19"/>
        <v/>
      </c>
      <c r="CP26" s="29" t="str">
        <f t="shared" si="20"/>
        <v/>
      </c>
      <c r="CQ26" s="29">
        <f t="shared" si="21"/>
        <v>0</v>
      </c>
      <c r="CR26" s="13"/>
      <c r="CS26" s="7">
        <f>VLOOKUP(A26,'Empresas 21-23'!$A$2:$M$228,13,0)</f>
        <v>1</v>
      </c>
      <c r="CT26" s="30"/>
      <c r="CU26" s="6">
        <f t="shared" si="22"/>
        <v>2420940841.5999999</v>
      </c>
      <c r="CV26" s="6">
        <f t="shared" si="23"/>
        <v>188503578</v>
      </c>
      <c r="CW26" s="6">
        <f t="shared" si="24"/>
        <v>234508720</v>
      </c>
      <c r="CX26" s="23">
        <f t="shared" si="56"/>
        <v>0.70582528013025458</v>
      </c>
      <c r="CY26" s="23">
        <f t="shared" si="57"/>
        <v>5.4958216434347965E-2</v>
      </c>
      <c r="CZ26" s="6">
        <f t="shared" si="25"/>
        <v>2586463024.5869875</v>
      </c>
      <c r="DA26" s="6">
        <f t="shared" si="26"/>
        <v>201391758.98950189</v>
      </c>
      <c r="DB26" s="6">
        <f t="shared" si="27"/>
        <v>68261670</v>
      </c>
      <c r="DC26" s="6">
        <f t="shared" si="28"/>
        <v>72156063</v>
      </c>
      <c r="DD26" s="6">
        <f t="shared" si="29"/>
        <v>39053077</v>
      </c>
      <c r="DE26" s="6">
        <f t="shared" si="30"/>
        <v>256062</v>
      </c>
      <c r="DF26" s="6">
        <f t="shared" si="31"/>
        <v>76504.440934065307</v>
      </c>
      <c r="DG26" s="30"/>
      <c r="DH26" s="32">
        <f>VLOOKUP(A26,'T_med_comp-USA'!$A$7:$Q$233,17,0)</f>
        <v>12.359669161241621</v>
      </c>
      <c r="DI26" s="6" t="str">
        <f t="shared" si="32"/>
        <v>8_2009</v>
      </c>
      <c r="DJ26" s="32">
        <f>IF(DI26="","",VLOOKUP(DI26,'CPI USA'!$T:$U,2,FALSE))</f>
        <v>214.53700000000001</v>
      </c>
      <c r="DK26" s="32">
        <f>IF(DI26="","",VLOOKUP(DI26,'PPI USA'!$S:$T,2,FALSE))</f>
        <v>159.1</v>
      </c>
      <c r="DL26" s="32">
        <f>IF(DI26="","",VLOOKUP(DI26,'CPI USA'!$T:$V,3,FALSE))</f>
        <v>0.66997101349938215</v>
      </c>
      <c r="DM26" s="32">
        <f>IF(DI26="","",VLOOKUP(DI26,'CPI USA'!$T:$X,5,FALSE))</f>
        <v>0.49813941766071862</v>
      </c>
      <c r="DN26" s="32">
        <f t="shared" si="33"/>
        <v>1.4932638886873792</v>
      </c>
      <c r="DO26" s="32">
        <f t="shared" si="34"/>
        <v>1.5082750176818205</v>
      </c>
      <c r="DP26" s="32">
        <f t="shared" si="35"/>
        <v>0.40533532215077656</v>
      </c>
      <c r="DQ26" s="32">
        <f>IF(DP26="","",DP26*$DO$1/'CPI USA'!$U$508+(1-DP26)*AVERAGE($DO$1,$DQ$1)/AVERAGE('CPI USA'!$U$508,'PPI USA'!$T$514))</f>
        <v>1.1620230805387082</v>
      </c>
      <c r="DR26" s="6">
        <f t="shared" si="36"/>
        <v>5964159</v>
      </c>
      <c r="DS26" s="32">
        <f t="shared" si="37"/>
        <v>0.2</v>
      </c>
      <c r="DT26" s="28">
        <f>IF(DS26="","",DS26*$DO$1/'CPI USA'!$U$508+(1-DS26)*AVERAGE($DO$1,$DQ$1)/AVERAGE('CPI USA'!$U$508,'PPI USA'!$T$514))</f>
        <v>1.1741595760647974</v>
      </c>
      <c r="DU26" s="6">
        <f t="shared" si="38"/>
        <v>814828</v>
      </c>
      <c r="DV26" s="6">
        <f t="shared" si="39"/>
        <v>89889.287403774288</v>
      </c>
      <c r="DW26" s="6">
        <f t="shared" si="40"/>
        <v>879429.77155756229</v>
      </c>
      <c r="DX26" s="16">
        <f t="shared" si="41"/>
        <v>0.9</v>
      </c>
      <c r="DY26" s="28">
        <f>IF(DX26="","",DX26*$DO$1/'CPI USA'!$U$508+(1-DX26)*AVERAGE($DO$1,$DQ$1)/AVERAGE('CPI USA'!$U$508,'PPI USA'!$T$514))</f>
        <v>1.1327855602389947</v>
      </c>
      <c r="DZ26" s="30"/>
      <c r="EA26" s="45" t="str">
        <f t="shared" si="42"/>
        <v>C000314</v>
      </c>
      <c r="EB26" s="29">
        <f t="shared" si="43"/>
        <v>3862271834.0408854</v>
      </c>
      <c r="EC26" s="29">
        <f t="shared" si="44"/>
        <v>303754158.85086387</v>
      </c>
      <c r="ED26" s="29">
        <f t="shared" si="45"/>
        <v>83847010.606805101</v>
      </c>
      <c r="EE26" s="29">
        <f t="shared" si="46"/>
        <v>45854544.334345892</v>
      </c>
      <c r="EF26" s="29">
        <f t="shared" si="47"/>
        <v>86663.12598426624</v>
      </c>
      <c r="EG26" s="29">
        <f t="shared" si="48"/>
        <v>4055</v>
      </c>
      <c r="EH26" s="29">
        <f t="shared" si="49"/>
        <v>755210</v>
      </c>
      <c r="EI26" s="29">
        <f t="shared" si="50"/>
        <v>220026</v>
      </c>
      <c r="EJ26" s="29">
        <f t="shared" si="51"/>
        <v>17563170</v>
      </c>
      <c r="EK26" s="29">
        <f t="shared" si="52"/>
        <v>17783196</v>
      </c>
      <c r="EL26" s="29">
        <f>IF(CD26=1,VLOOKUP(EA26,'EIA 2021'!$A$2:$J$213,4,0)*EH26,"")</f>
        <v>102475955.32000001</v>
      </c>
      <c r="EM26" s="29">
        <f>IF(CD26=1,VLOOKUP(EA26,'EIA 2021'!$A$2:$J$213,7,0)*EH26,"")</f>
        <v>1181148.44</v>
      </c>
      <c r="EN26" s="29">
        <f>IF(CD26=1,VLOOKUP(EA26,'EIA 2021'!$A$2:$J$213,10,0),"")</f>
        <v>338725</v>
      </c>
      <c r="EO26" s="28">
        <f>IF(CD26=1,VLOOKUP(EA26,'EIA 2021'!$A$2:$Z$213,26,0),"")</f>
        <v>0</v>
      </c>
      <c r="EP26" s="23">
        <f t="shared" si="53"/>
        <v>1.2372691612913675E-2</v>
      </c>
      <c r="EQ26" s="32">
        <f t="shared" si="54"/>
        <v>0</v>
      </c>
      <c r="ER26" s="32">
        <f t="shared" si="55"/>
        <v>220026</v>
      </c>
      <c r="ES26" s="6"/>
      <c r="ET26" s="32"/>
    </row>
    <row r="27" spans="1:150" ht="15.75" customHeight="1">
      <c r="A27" s="7" t="s">
        <v>282</v>
      </c>
      <c r="B27" s="7" t="s">
        <v>283</v>
      </c>
      <c r="C27" s="32" t="s">
        <v>284</v>
      </c>
      <c r="D27" s="40">
        <v>0</v>
      </c>
      <c r="E27" s="40">
        <v>0</v>
      </c>
      <c r="F27" s="40">
        <v>0</v>
      </c>
      <c r="G27" s="40">
        <v>52027126</v>
      </c>
      <c r="H27" s="40">
        <v>52138530</v>
      </c>
      <c r="I27" s="40">
        <v>0</v>
      </c>
      <c r="J27" s="40">
        <v>26689</v>
      </c>
      <c r="K27" s="40">
        <v>216896</v>
      </c>
      <c r="L27" s="40">
        <v>51605</v>
      </c>
      <c r="M27" s="40">
        <v>868370</v>
      </c>
      <c r="N27" s="40">
        <v>0</v>
      </c>
      <c r="O27" s="40">
        <v>2172061</v>
      </c>
      <c r="P27" s="40">
        <v>214500</v>
      </c>
      <c r="Q27" s="40">
        <v>428066</v>
      </c>
      <c r="R27" s="40">
        <v>0</v>
      </c>
      <c r="S27" s="40">
        <v>2400514</v>
      </c>
      <c r="T27" s="40">
        <v>12266045</v>
      </c>
      <c r="U27" s="40">
        <v>1207492</v>
      </c>
      <c r="V27" s="40">
        <v>99912</v>
      </c>
      <c r="W27" s="40">
        <v>375040</v>
      </c>
      <c r="X27" s="40">
        <f>IFERROR(VLOOKUP(A27,'Trans 21-23'!$A$2:$J$229,6,0),0)</f>
        <v>185945</v>
      </c>
      <c r="Y27" s="41">
        <v>2364389</v>
      </c>
      <c r="Z27" s="41">
        <v>1336719</v>
      </c>
      <c r="AA27" s="41">
        <v>12262732</v>
      </c>
      <c r="AB27" s="41">
        <v>4487690</v>
      </c>
      <c r="AC27" s="41">
        <v>14</v>
      </c>
      <c r="AD27" s="41">
        <v>63069</v>
      </c>
      <c r="AE27" s="41">
        <v>0</v>
      </c>
      <c r="AF27" s="41">
        <v>228522844</v>
      </c>
      <c r="AG27" s="41">
        <v>314440</v>
      </c>
      <c r="AH27" s="41">
        <v>61494</v>
      </c>
      <c r="AI27" s="41">
        <v>1134459</v>
      </c>
      <c r="AJ27" s="41">
        <v>5951</v>
      </c>
      <c r="AK27" s="41">
        <v>9678912</v>
      </c>
      <c r="AL27" s="41">
        <v>2612631</v>
      </c>
      <c r="AM27" s="41">
        <v>1740587</v>
      </c>
      <c r="AN27" s="41">
        <v>6355491</v>
      </c>
      <c r="AO27" s="41">
        <v>37217</v>
      </c>
      <c r="AP27" s="41">
        <v>0</v>
      </c>
      <c r="AQ27" s="41">
        <v>10745926</v>
      </c>
      <c r="AR27" s="41">
        <v>0</v>
      </c>
      <c r="AS27" s="41">
        <v>10745926</v>
      </c>
      <c r="AT27" s="41">
        <v>0</v>
      </c>
      <c r="AU27" s="41">
        <v>2190</v>
      </c>
      <c r="AV27" s="41">
        <v>0</v>
      </c>
      <c r="AW27" s="41">
        <v>257801156</v>
      </c>
      <c r="AX27" s="41">
        <v>14484938</v>
      </c>
      <c r="AY27" s="41">
        <v>176958427</v>
      </c>
      <c r="AZ27" s="41">
        <v>74965941</v>
      </c>
      <c r="BA27" s="41">
        <v>63723129</v>
      </c>
      <c r="BB27" s="41">
        <v>1177939076</v>
      </c>
      <c r="BC27" s="41">
        <v>1356782271</v>
      </c>
      <c r="BD27" s="41">
        <v>92666902</v>
      </c>
      <c r="BE27" s="41">
        <v>604804747</v>
      </c>
      <c r="BF27" s="41">
        <v>36583032</v>
      </c>
      <c r="BG27" s="41">
        <v>0</v>
      </c>
      <c r="BH27" s="41">
        <v>9994220</v>
      </c>
      <c r="BI27" s="41">
        <v>3094461</v>
      </c>
      <c r="BJ27" s="41">
        <v>0</v>
      </c>
      <c r="BK27" s="41">
        <v>0</v>
      </c>
      <c r="BL27" s="41">
        <v>0</v>
      </c>
      <c r="BM27" s="41">
        <v>370399</v>
      </c>
      <c r="BN27" s="41">
        <v>13479413</v>
      </c>
      <c r="BO27" s="41">
        <v>0</v>
      </c>
      <c r="BP27" s="41">
        <v>5131101</v>
      </c>
      <c r="BQ27" s="41">
        <v>30021811</v>
      </c>
      <c r="BR27" s="41">
        <v>0</v>
      </c>
      <c r="BS27" s="42">
        <f>IFERROR(VLOOKUP(A27,'Trans 21-23'!$A$2:$J$229,5,0),0)</f>
        <v>11847613</v>
      </c>
      <c r="BT27" s="43"/>
      <c r="BU27" s="6">
        <f t="shared" si="0"/>
        <v>1177939076</v>
      </c>
      <c r="BV27" s="6">
        <f t="shared" si="1"/>
        <v>2190</v>
      </c>
      <c r="BW27" s="6">
        <f t="shared" si="2"/>
        <v>314440</v>
      </c>
      <c r="BX27" s="6">
        <f t="shared" si="3"/>
        <v>20327190</v>
      </c>
      <c r="BY27" s="6">
        <f t="shared" si="4"/>
        <v>20451544</v>
      </c>
      <c r="BZ27" s="6">
        <f t="shared" si="5"/>
        <v>74965941</v>
      </c>
      <c r="CA27" s="6">
        <f t="shared" si="6"/>
        <v>63069</v>
      </c>
      <c r="CB27" s="6">
        <f t="shared" si="7"/>
        <v>61494</v>
      </c>
      <c r="CC27" s="6">
        <f t="shared" si="8"/>
        <v>10745926</v>
      </c>
      <c r="CD27" s="6">
        <f t="shared" si="9"/>
        <v>1</v>
      </c>
      <c r="CE27" s="44">
        <f t="shared" si="10"/>
        <v>17</v>
      </c>
      <c r="CF27" s="27"/>
      <c r="CG27" s="28">
        <f t="shared" si="11"/>
        <v>537.87172420091326</v>
      </c>
      <c r="CH27" s="28">
        <f t="shared" si="12"/>
        <v>6.9647627528304286</v>
      </c>
      <c r="CI27" s="28">
        <f t="shared" si="13"/>
        <v>64.645687571555783</v>
      </c>
      <c r="CJ27" s="28">
        <f t="shared" si="14"/>
        <v>238.41095598524362</v>
      </c>
      <c r="CK27" s="23">
        <f t="shared" si="15"/>
        <v>5.7225408029052127E-3</v>
      </c>
      <c r="CL27" s="29" t="str">
        <f t="shared" si="16"/>
        <v/>
      </c>
      <c r="CM27" s="29" t="str">
        <f t="shared" si="17"/>
        <v/>
      </c>
      <c r="CN27" s="29" t="str">
        <f t="shared" si="18"/>
        <v/>
      </c>
      <c r="CO27" s="29" t="str">
        <f t="shared" si="19"/>
        <v/>
      </c>
      <c r="CP27" s="29" t="str">
        <f t="shared" si="20"/>
        <v/>
      </c>
      <c r="CQ27" s="29">
        <f t="shared" si="21"/>
        <v>0</v>
      </c>
      <c r="CR27" s="13"/>
      <c r="CS27" s="7">
        <f>VLOOKUP(A27,'Empresas 21-23'!$A$2:$M$228,13,0)</f>
        <v>1</v>
      </c>
      <c r="CT27" s="30"/>
      <c r="CU27" s="6">
        <f t="shared" si="22"/>
        <v>936231600</v>
      </c>
      <c r="CV27" s="6">
        <f t="shared" si="23"/>
        <v>74965941</v>
      </c>
      <c r="CW27" s="6">
        <f t="shared" si="24"/>
        <v>92666902</v>
      </c>
      <c r="CX27" s="23">
        <f t="shared" si="56"/>
        <v>0.74062195821622034</v>
      </c>
      <c r="CY27" s="23">
        <f t="shared" si="57"/>
        <v>5.9303084859495925E-2</v>
      </c>
      <c r="CZ27" s="6">
        <f t="shared" si="25"/>
        <v>1004862742.4210706</v>
      </c>
      <c r="DA27" s="6">
        <f t="shared" si="26"/>
        <v>80461374.152972594</v>
      </c>
      <c r="DB27" s="6">
        <f t="shared" si="27"/>
        <v>20327190</v>
      </c>
      <c r="DC27" s="6">
        <f t="shared" si="28"/>
        <v>20513135</v>
      </c>
      <c r="DD27" s="6">
        <f t="shared" si="29"/>
        <v>20451544</v>
      </c>
      <c r="DE27" s="6">
        <f t="shared" si="30"/>
        <v>63069</v>
      </c>
      <c r="DF27" s="6">
        <f t="shared" si="31"/>
        <v>14652.807946376513</v>
      </c>
      <c r="DG27" s="30"/>
      <c r="DH27" s="32">
        <f>VLOOKUP(A27,'T_med_comp-USA'!$A$7:$Q$233,17,0)</f>
        <v>16.299955558740695</v>
      </c>
      <c r="DI27" s="6" t="str">
        <f t="shared" si="32"/>
        <v>9_2005</v>
      </c>
      <c r="DJ27" s="32">
        <f>IF(DI27="","",VLOOKUP(DI27,'CPI USA'!$T:$U,2,FALSE))</f>
        <v>195.3</v>
      </c>
      <c r="DK27" s="32">
        <f>IF(DI27="","",VLOOKUP(DI27,'PPI USA'!$S:$T,2,FALSE))</f>
        <v>131.30000000000001</v>
      </c>
      <c r="DL27" s="32">
        <f>IF(DI27="","",VLOOKUP(DI27,'CPI USA'!$T:$V,3,FALSE))</f>
        <v>0.67888602568792966</v>
      </c>
      <c r="DM27" s="32">
        <f>IF(DI27="","",VLOOKUP(DI27,'CPI USA'!$T:$X,5,FALSE))</f>
        <v>0.50828944385363772</v>
      </c>
      <c r="DN27" s="32">
        <f t="shared" si="33"/>
        <v>1.6621774217199745</v>
      </c>
      <c r="DO27" s="32">
        <f t="shared" si="34"/>
        <v>1.6905992787819408</v>
      </c>
      <c r="DP27" s="32">
        <f t="shared" si="35"/>
        <v>0.4916675644789073</v>
      </c>
      <c r="DQ27" s="32">
        <f>IF(DP27="","",DP27*$DO$1/'CPI USA'!$U$508+(1-DP27)*AVERAGE($DO$1,$DQ$1)/AVERAGE('CPI USA'!$U$508,'PPI USA'!$T$514))</f>
        <v>1.1569203497381921</v>
      </c>
      <c r="DR27" s="6">
        <f t="shared" si="36"/>
        <v>3094461</v>
      </c>
      <c r="DS27" s="32">
        <f t="shared" si="37"/>
        <v>0.2</v>
      </c>
      <c r="DT27" s="28">
        <f>IF(DS27="","",DS27*$DO$1/'CPI USA'!$U$508+(1-DS27)*AVERAGE($DO$1,$DQ$1)/AVERAGE('CPI USA'!$U$508,'PPI USA'!$T$514))</f>
        <v>1.1741595760647974</v>
      </c>
      <c r="DU27" s="6">
        <f t="shared" si="38"/>
        <v>370399</v>
      </c>
      <c r="DV27" s="6">
        <f t="shared" si="39"/>
        <v>76355.984995968378</v>
      </c>
      <c r="DW27" s="6">
        <f t="shared" si="40"/>
        <v>433804.75720804883</v>
      </c>
      <c r="DX27" s="16">
        <f t="shared" si="41"/>
        <v>0.9</v>
      </c>
      <c r="DY27" s="28">
        <f>IF(DX27="","",DX27*$DO$1/'CPI USA'!$U$508+(1-DX27)*AVERAGE($DO$1,$DQ$1)/AVERAGE('CPI USA'!$U$508,'PPI USA'!$T$514))</f>
        <v>1.1327855602389947</v>
      </c>
      <c r="DZ27" s="30"/>
      <c r="EA27" s="45" t="str">
        <f t="shared" si="42"/>
        <v>C000315</v>
      </c>
      <c r="EB27" s="29">
        <f t="shared" si="43"/>
        <v>1670260162.3799179</v>
      </c>
      <c r="EC27" s="29">
        <f t="shared" si="44"/>
        <v>136027941.11281937</v>
      </c>
      <c r="ED27" s="29">
        <f t="shared" si="45"/>
        <v>23732063.318426751</v>
      </c>
      <c r="EE27" s="29">
        <f t="shared" si="46"/>
        <v>24013376.232910551</v>
      </c>
      <c r="EF27" s="29">
        <f t="shared" si="47"/>
        <v>16598.489258610512</v>
      </c>
      <c r="EG27" s="29">
        <f t="shared" si="48"/>
        <v>2190</v>
      </c>
      <c r="EH27" s="29">
        <f t="shared" si="49"/>
        <v>314440</v>
      </c>
      <c r="EI27" s="29">
        <f t="shared" si="50"/>
        <v>61494</v>
      </c>
      <c r="EJ27" s="29">
        <f t="shared" si="51"/>
        <v>10745926</v>
      </c>
      <c r="EK27" s="29">
        <f t="shared" si="52"/>
        <v>10807420</v>
      </c>
      <c r="EL27" s="29">
        <f>IF(CD27=1,VLOOKUP(EA27,'EIA 2021'!$A$2:$J$213,4,0)*EH27,"")</f>
        <v>21571527.319999997</v>
      </c>
      <c r="EM27" s="29">
        <f>IF(CD27=1,VLOOKUP(EA27,'EIA 2021'!$A$2:$J$213,7,0)*EH27,"")</f>
        <v>351858.36</v>
      </c>
      <c r="EN27" s="29">
        <f>IF(CD27=1,VLOOKUP(EA27,'EIA 2021'!$A$2:$J$213,10,0),"")</f>
        <v>125586</v>
      </c>
      <c r="EO27" s="28">
        <f>IF(CD27=1,VLOOKUP(EA27,'EIA 2021'!$A$2:$Z$213,26,0),"")</f>
        <v>0</v>
      </c>
      <c r="EP27" s="23">
        <f t="shared" si="53"/>
        <v>5.6899796621210242E-3</v>
      </c>
      <c r="EQ27" s="32">
        <f t="shared" si="54"/>
        <v>0</v>
      </c>
      <c r="ER27" s="32">
        <f t="shared" si="55"/>
        <v>61494</v>
      </c>
      <c r="ES27" s="6"/>
      <c r="ET27" s="32"/>
    </row>
    <row r="28" spans="1:150" ht="15.75" customHeight="1">
      <c r="A28" s="7" t="s">
        <v>285</v>
      </c>
      <c r="B28" s="7" t="s">
        <v>286</v>
      </c>
      <c r="C28" s="32" t="s">
        <v>287</v>
      </c>
      <c r="D28" s="40">
        <v>0</v>
      </c>
      <c r="E28" s="40">
        <v>0</v>
      </c>
      <c r="F28" s="40">
        <v>0</v>
      </c>
      <c r="G28" s="40">
        <v>107670991</v>
      </c>
      <c r="H28" s="40">
        <v>107672636</v>
      </c>
      <c r="I28" s="40">
        <v>0</v>
      </c>
      <c r="J28" s="40">
        <v>56741</v>
      </c>
      <c r="K28" s="40">
        <v>1435</v>
      </c>
      <c r="L28" s="40">
        <v>175722</v>
      </c>
      <c r="M28" s="40">
        <v>1003603</v>
      </c>
      <c r="N28" s="40">
        <v>0</v>
      </c>
      <c r="O28" s="40">
        <v>1271110</v>
      </c>
      <c r="P28" s="40">
        <v>37736</v>
      </c>
      <c r="Q28" s="40">
        <v>177855</v>
      </c>
      <c r="R28" s="40">
        <v>0</v>
      </c>
      <c r="S28" s="40">
        <v>965756</v>
      </c>
      <c r="T28" s="40">
        <v>13293220</v>
      </c>
      <c r="U28" s="40">
        <v>331947</v>
      </c>
      <c r="V28" s="40">
        <v>30526</v>
      </c>
      <c r="W28" s="40">
        <v>162285</v>
      </c>
      <c r="X28" s="40">
        <f>IFERROR(VLOOKUP(A28,'Trans 21-23'!$A$2:$J$229,6,0),0)</f>
        <v>144699</v>
      </c>
      <c r="Y28" s="41">
        <v>72789</v>
      </c>
      <c r="Z28" s="41">
        <v>547694</v>
      </c>
      <c r="AA28" s="41">
        <v>4546298</v>
      </c>
      <c r="AB28" s="41">
        <v>12379358</v>
      </c>
      <c r="AC28" s="41">
        <v>6</v>
      </c>
      <c r="AD28" s="41">
        <v>2691601</v>
      </c>
      <c r="AE28" s="41">
        <v>0</v>
      </c>
      <c r="AF28" s="41">
        <v>144665285</v>
      </c>
      <c r="AG28" s="41">
        <v>169371</v>
      </c>
      <c r="AH28" s="41">
        <v>60662</v>
      </c>
      <c r="AI28" s="41">
        <v>1731113</v>
      </c>
      <c r="AJ28" s="41">
        <v>1862</v>
      </c>
      <c r="AK28" s="41">
        <v>2776003</v>
      </c>
      <c r="AL28" s="41">
        <v>1662849</v>
      </c>
      <c r="AM28" s="41">
        <v>705940</v>
      </c>
      <c r="AN28" s="41">
        <v>2062761</v>
      </c>
      <c r="AO28" s="41">
        <v>3263</v>
      </c>
      <c r="AP28" s="41">
        <v>0</v>
      </c>
      <c r="AQ28" s="41">
        <v>4434813</v>
      </c>
      <c r="AR28" s="41">
        <v>9779</v>
      </c>
      <c r="AS28" s="41">
        <v>4444592</v>
      </c>
      <c r="AT28" s="41">
        <v>0</v>
      </c>
      <c r="AU28" s="41">
        <v>971</v>
      </c>
      <c r="AV28" s="41">
        <v>0</v>
      </c>
      <c r="AW28" s="41">
        <v>240554637</v>
      </c>
      <c r="AX28" s="41">
        <v>7986907</v>
      </c>
      <c r="AY28" s="41">
        <v>84034301</v>
      </c>
      <c r="AZ28" s="41">
        <v>46534874</v>
      </c>
      <c r="BA28" s="41">
        <v>7786621</v>
      </c>
      <c r="BB28" s="41">
        <v>798746551</v>
      </c>
      <c r="BC28" s="41">
        <v>876683841</v>
      </c>
      <c r="BD28" s="41">
        <v>27139669</v>
      </c>
      <c r="BE28" s="41">
        <v>199592810</v>
      </c>
      <c r="BF28" s="41">
        <v>21453471</v>
      </c>
      <c r="BG28" s="41">
        <v>0</v>
      </c>
      <c r="BH28" s="41">
        <v>5537332</v>
      </c>
      <c r="BI28" s="41">
        <v>333828</v>
      </c>
      <c r="BJ28" s="41">
        <v>232737</v>
      </c>
      <c r="BK28" s="41">
        <v>0</v>
      </c>
      <c r="BL28" s="41">
        <v>0</v>
      </c>
      <c r="BM28" s="41">
        <v>88612</v>
      </c>
      <c r="BN28" s="41">
        <v>6172004</v>
      </c>
      <c r="BO28" s="41">
        <v>0</v>
      </c>
      <c r="BP28" s="41">
        <v>2548972</v>
      </c>
      <c r="BQ28" s="41">
        <v>18217339</v>
      </c>
      <c r="BR28" s="41">
        <v>0</v>
      </c>
      <c r="BS28" s="42">
        <f>IFERROR(VLOOKUP(A28,'Trans 21-23'!$A$2:$J$229,5,0),0)</f>
        <v>9219559</v>
      </c>
      <c r="BT28" s="43"/>
      <c r="BU28" s="6">
        <f t="shared" si="0"/>
        <v>798746551</v>
      </c>
      <c r="BV28" s="6">
        <f t="shared" si="1"/>
        <v>971</v>
      </c>
      <c r="BW28" s="6">
        <f t="shared" si="2"/>
        <v>169371</v>
      </c>
      <c r="BX28" s="6">
        <f t="shared" si="3"/>
        <v>17507936</v>
      </c>
      <c r="BY28" s="6">
        <f t="shared" si="4"/>
        <v>17546145</v>
      </c>
      <c r="BZ28" s="6">
        <f t="shared" si="5"/>
        <v>46534874</v>
      </c>
      <c r="CA28" s="6">
        <f t="shared" si="6"/>
        <v>2691601</v>
      </c>
      <c r="CB28" s="6">
        <f t="shared" si="7"/>
        <v>60662</v>
      </c>
      <c r="CC28" s="6">
        <f t="shared" si="8"/>
        <v>4434813</v>
      </c>
      <c r="CD28" s="6">
        <f t="shared" si="9"/>
        <v>1</v>
      </c>
      <c r="CE28" s="44">
        <f t="shared" si="10"/>
        <v>15</v>
      </c>
      <c r="CF28" s="27"/>
      <c r="CG28" s="28">
        <f t="shared" si="11"/>
        <v>822.60200926879497</v>
      </c>
      <c r="CH28" s="28">
        <f t="shared" si="12"/>
        <v>5.7329767197454107</v>
      </c>
      <c r="CI28" s="28">
        <f t="shared" si="13"/>
        <v>103.37032904098105</v>
      </c>
      <c r="CJ28" s="28">
        <f t="shared" si="14"/>
        <v>274.75113213005767</v>
      </c>
      <c r="CK28" s="23">
        <f t="shared" si="15"/>
        <v>1.3678592535919779E-2</v>
      </c>
      <c r="CL28" s="29" t="str">
        <f t="shared" si="16"/>
        <v/>
      </c>
      <c r="CM28" s="29" t="str">
        <f t="shared" si="17"/>
        <v/>
      </c>
      <c r="CN28" s="29" t="str">
        <f t="shared" si="18"/>
        <v/>
      </c>
      <c r="CO28" s="29" t="str">
        <f t="shared" si="19"/>
        <v/>
      </c>
      <c r="CP28" s="29" t="str">
        <f t="shared" si="20"/>
        <v/>
      </c>
      <c r="CQ28" s="29">
        <f t="shared" si="21"/>
        <v>0</v>
      </c>
      <c r="CR28" s="13"/>
      <c r="CS28" s="7">
        <f>VLOOKUP(A28,'Empresas 21-23'!$A$2:$M$228,13,0)</f>
        <v>1</v>
      </c>
      <c r="CT28" s="30"/>
      <c r="CU28" s="6">
        <f t="shared" si="22"/>
        <v>698431890.20000005</v>
      </c>
      <c r="CV28" s="6">
        <f t="shared" si="23"/>
        <v>46534874</v>
      </c>
      <c r="CW28" s="6">
        <f t="shared" si="24"/>
        <v>27139669</v>
      </c>
      <c r="CX28" s="23">
        <f t="shared" si="56"/>
        <v>0.8221254564736159</v>
      </c>
      <c r="CY28" s="23">
        <f t="shared" si="57"/>
        <v>5.4776285370126701E-2</v>
      </c>
      <c r="CZ28" s="6">
        <f t="shared" si="25"/>
        <v>720744102.96516788</v>
      </c>
      <c r="DA28" s="6">
        <f t="shared" si="26"/>
        <v>48021484.253994778</v>
      </c>
      <c r="DB28" s="6">
        <f t="shared" si="27"/>
        <v>17507936</v>
      </c>
      <c r="DC28" s="6">
        <f t="shared" si="28"/>
        <v>17652635</v>
      </c>
      <c r="DD28" s="6">
        <f t="shared" si="29"/>
        <v>17546145</v>
      </c>
      <c r="DE28" s="6">
        <f t="shared" si="30"/>
        <v>2691601</v>
      </c>
      <c r="DF28" s="6">
        <f t="shared" si="31"/>
        <v>2762045.9715044275</v>
      </c>
      <c r="DG28" s="30"/>
      <c r="DH28" s="32">
        <f>VLOOKUP(A28,'T_med_comp-USA'!$A$7:$Q$233,17,0)</f>
        <v>9.3301527217448079</v>
      </c>
      <c r="DI28" s="6" t="str">
        <f t="shared" si="32"/>
        <v>9_2012</v>
      </c>
      <c r="DJ28" s="32">
        <f>IF(DI28="","",VLOOKUP(DI28,'CPI USA'!$T:$U,2,FALSE))</f>
        <v>229.59399999999999</v>
      </c>
      <c r="DK28" s="32">
        <f>IF(DI28="","",VLOOKUP(DI28,'PPI USA'!$S:$T,2,FALSE))</f>
        <v>175.1</v>
      </c>
      <c r="DL28" s="32">
        <f>IF(DI28="","",VLOOKUP(DI28,'CPI USA'!$T:$V,3,FALSE))</f>
        <v>0.66730871354337351</v>
      </c>
      <c r="DM28" s="32">
        <f>IF(DI28="","",VLOOKUP(DI28,'CPI USA'!$T:$X,5,FALSE))</f>
        <v>0.49513551903851311</v>
      </c>
      <c r="DN28" s="32">
        <f t="shared" si="33"/>
        <v>1.3897894616766442</v>
      </c>
      <c r="DO28" s="32">
        <f t="shared" si="34"/>
        <v>1.4008620811189902</v>
      </c>
      <c r="DP28" s="32">
        <f t="shared" si="35"/>
        <v>0.31627554498714183</v>
      </c>
      <c r="DQ28" s="32">
        <f>IF(DP28="","",DP28*$DO$1/'CPI USA'!$U$508+(1-DP28)*AVERAGE($DO$1,$DQ$1)/AVERAGE('CPI USA'!$U$508,'PPI USA'!$T$514))</f>
        <v>1.1672870242955804</v>
      </c>
      <c r="DR28" s="6">
        <f t="shared" si="36"/>
        <v>566565</v>
      </c>
      <c r="DS28" s="32">
        <f t="shared" si="37"/>
        <v>0.2</v>
      </c>
      <c r="DT28" s="28">
        <f>IF(DS28="","",DS28*$DO$1/'CPI USA'!$U$508+(1-DS28)*AVERAGE($DO$1,$DQ$1)/AVERAGE('CPI USA'!$U$508,'PPI USA'!$T$514))</f>
        <v>1.1741595760647974</v>
      </c>
      <c r="DU28" s="6">
        <f t="shared" si="38"/>
        <v>88612</v>
      </c>
      <c r="DV28" s="6">
        <f t="shared" si="39"/>
        <v>14415.638008989705</v>
      </c>
      <c r="DW28" s="6">
        <f t="shared" si="40"/>
        <v>101890.74578696939</v>
      </c>
      <c r="DX28" s="16">
        <f t="shared" si="41"/>
        <v>0.2</v>
      </c>
      <c r="DY28" s="28">
        <f>IF(DX28="","",DX28*$DO$1/'CPI USA'!$U$508+(1-DX28)*AVERAGE($DO$1,$DQ$1)/AVERAGE('CPI USA'!$U$508,'PPI USA'!$T$514))</f>
        <v>1.1741595760647974</v>
      </c>
      <c r="DZ28" s="30"/>
      <c r="EA28" s="45" t="str">
        <f t="shared" si="42"/>
        <v>C000316</v>
      </c>
      <c r="EB28" s="29">
        <f t="shared" si="43"/>
        <v>1001682558.8665764</v>
      </c>
      <c r="EC28" s="29">
        <f t="shared" si="44"/>
        <v>67271476.370473951</v>
      </c>
      <c r="ED28" s="29">
        <f t="shared" si="45"/>
        <v>20605691.780126013</v>
      </c>
      <c r="EE28" s="29">
        <f t="shared" si="46"/>
        <v>20601974.174771465</v>
      </c>
      <c r="EF28" s="29">
        <f t="shared" si="47"/>
        <v>3243082.7269731201</v>
      </c>
      <c r="EG28" s="29">
        <f t="shared" si="48"/>
        <v>971</v>
      </c>
      <c r="EH28" s="29">
        <f t="shared" si="49"/>
        <v>169371</v>
      </c>
      <c r="EI28" s="29">
        <f t="shared" si="50"/>
        <v>60662</v>
      </c>
      <c r="EJ28" s="29">
        <f t="shared" si="51"/>
        <v>4434813</v>
      </c>
      <c r="EK28" s="29">
        <f t="shared" si="52"/>
        <v>4495326.0812182743</v>
      </c>
      <c r="EL28" s="29">
        <f>IF(CD28=1,VLOOKUP(EA28,'EIA 2021'!$A$2:$J$213,4,0)*EH28,"")</f>
        <v>17483660.217</v>
      </c>
      <c r="EM28" s="29">
        <f>IF(CD28=1,VLOOKUP(EA28,'EIA 2021'!$A$2:$J$213,7,0)*EH28,"")</f>
        <v>191050.48799999998</v>
      </c>
      <c r="EN28" s="29">
        <f>IF(CD28=1,VLOOKUP(EA28,'EIA 2021'!$A$2:$J$213,10,0),"")</f>
        <v>172835</v>
      </c>
      <c r="EO28" s="28">
        <f>IF(CD28=1,VLOOKUP(EA28,'EIA 2021'!$A$2:$Z$213,26,0),"")</f>
        <v>0</v>
      </c>
      <c r="EP28" s="23">
        <f t="shared" si="53"/>
        <v>1.3461332976733584E-2</v>
      </c>
      <c r="EQ28" s="32">
        <f t="shared" si="54"/>
        <v>148.91878172588804</v>
      </c>
      <c r="ER28" s="32">
        <f t="shared" si="55"/>
        <v>60513.081218274114</v>
      </c>
      <c r="ES28" s="6"/>
      <c r="ET28" s="32"/>
    </row>
    <row r="29" spans="1:150" ht="15.75" customHeight="1">
      <c r="A29" s="7" t="s">
        <v>288</v>
      </c>
      <c r="B29" s="7" t="s">
        <v>289</v>
      </c>
      <c r="C29" s="32" t="s">
        <v>290</v>
      </c>
      <c r="D29" s="40">
        <v>0</v>
      </c>
      <c r="E29" s="40">
        <v>0</v>
      </c>
      <c r="F29" s="40">
        <v>0</v>
      </c>
      <c r="G29" s="40">
        <v>260148453</v>
      </c>
      <c r="H29" s="40">
        <v>260148453</v>
      </c>
      <c r="I29" s="40">
        <v>54598</v>
      </c>
      <c r="J29" s="40">
        <v>464018</v>
      </c>
      <c r="K29" s="40">
        <v>283916</v>
      </c>
      <c r="L29" s="40">
        <v>177366</v>
      </c>
      <c r="M29" s="40">
        <v>1149222</v>
      </c>
      <c r="N29" s="40">
        <v>0</v>
      </c>
      <c r="O29" s="40">
        <v>9773873</v>
      </c>
      <c r="P29" s="40">
        <v>3259026</v>
      </c>
      <c r="Q29" s="40">
        <v>688375</v>
      </c>
      <c r="R29" s="40">
        <v>0</v>
      </c>
      <c r="S29" s="40">
        <v>5973219</v>
      </c>
      <c r="T29" s="40">
        <v>38596636</v>
      </c>
      <c r="U29" s="40">
        <v>1381230</v>
      </c>
      <c r="V29" s="40">
        <v>160870</v>
      </c>
      <c r="W29" s="40">
        <v>232866</v>
      </c>
      <c r="X29" s="40">
        <f>IFERROR(VLOOKUP(A29,'Trans 21-23'!$A$2:$J$229,6,0),0)</f>
        <v>172136</v>
      </c>
      <c r="Y29" s="41">
        <v>1111185</v>
      </c>
      <c r="Z29" s="41">
        <v>2834093</v>
      </c>
      <c r="AA29" s="41">
        <v>19219444</v>
      </c>
      <c r="AB29" s="41">
        <v>40600839</v>
      </c>
      <c r="AC29" s="41">
        <v>24</v>
      </c>
      <c r="AD29" s="41">
        <v>42295018</v>
      </c>
      <c r="AE29" s="41">
        <v>0</v>
      </c>
      <c r="AF29" s="41">
        <v>380123780</v>
      </c>
      <c r="AG29" s="41">
        <v>588261</v>
      </c>
      <c r="AH29" s="41">
        <v>294153</v>
      </c>
      <c r="AI29" s="41">
        <v>4826561</v>
      </c>
      <c r="AJ29" s="41">
        <v>5316</v>
      </c>
      <c r="AK29" s="41">
        <v>8763605</v>
      </c>
      <c r="AL29" s="41">
        <v>4362887</v>
      </c>
      <c r="AM29" s="41">
        <v>2389755</v>
      </c>
      <c r="AN29" s="41">
        <v>6426713</v>
      </c>
      <c r="AO29" s="41">
        <v>33179</v>
      </c>
      <c r="AP29" s="41">
        <v>0</v>
      </c>
      <c r="AQ29" s="41">
        <v>13212534</v>
      </c>
      <c r="AR29" s="41">
        <v>78163</v>
      </c>
      <c r="AS29" s="41">
        <v>13290697</v>
      </c>
      <c r="AT29" s="41">
        <v>0</v>
      </c>
      <c r="AU29" s="41">
        <v>2898</v>
      </c>
      <c r="AV29" s="41">
        <v>0</v>
      </c>
      <c r="AW29" s="41">
        <v>1119747627</v>
      </c>
      <c r="AX29" s="41">
        <v>40793017</v>
      </c>
      <c r="AY29" s="41">
        <v>209862770</v>
      </c>
      <c r="AZ29" s="41">
        <v>135335873</v>
      </c>
      <c r="BA29" s="41">
        <v>41162226</v>
      </c>
      <c r="BB29" s="41">
        <v>3118384511</v>
      </c>
      <c r="BC29" s="41">
        <v>3446676754</v>
      </c>
      <c r="BD29" s="41">
        <v>198471196</v>
      </c>
      <c r="BE29" s="41">
        <v>909723086</v>
      </c>
      <c r="BF29" s="41">
        <v>64999788</v>
      </c>
      <c r="BG29" s="41">
        <v>0</v>
      </c>
      <c r="BH29" s="41">
        <v>28998422</v>
      </c>
      <c r="BI29" s="41">
        <v>1142499</v>
      </c>
      <c r="BJ29" s="41">
        <v>105542</v>
      </c>
      <c r="BK29" s="41">
        <v>0</v>
      </c>
      <c r="BL29" s="41">
        <v>0</v>
      </c>
      <c r="BM29" s="41">
        <v>664188</v>
      </c>
      <c r="BN29" s="41">
        <v>31507224</v>
      </c>
      <c r="BO29" s="41">
        <v>0</v>
      </c>
      <c r="BP29" s="41">
        <v>9334440</v>
      </c>
      <c r="BQ29" s="41">
        <v>68164937</v>
      </c>
      <c r="BR29" s="41">
        <v>0</v>
      </c>
      <c r="BS29" s="42">
        <f>IFERROR(VLOOKUP(A29,'Trans 21-23'!$A$2:$J$229,5,0),0)</f>
        <v>10967749</v>
      </c>
      <c r="BT29" s="43"/>
      <c r="BU29" s="6">
        <f t="shared" si="0"/>
        <v>3118384511</v>
      </c>
      <c r="BV29" s="6">
        <f t="shared" si="1"/>
        <v>2898</v>
      </c>
      <c r="BW29" s="6">
        <f t="shared" si="2"/>
        <v>588261</v>
      </c>
      <c r="BX29" s="6">
        <f t="shared" si="3"/>
        <v>62195215</v>
      </c>
      <c r="BY29" s="6">
        <f t="shared" si="4"/>
        <v>63765585</v>
      </c>
      <c r="BZ29" s="6">
        <f t="shared" si="5"/>
        <v>135335873</v>
      </c>
      <c r="CA29" s="6">
        <f t="shared" si="6"/>
        <v>42295018</v>
      </c>
      <c r="CB29" s="6">
        <f t="shared" si="7"/>
        <v>294153</v>
      </c>
      <c r="CC29" s="6">
        <f t="shared" si="8"/>
        <v>13212534</v>
      </c>
      <c r="CD29" s="6">
        <f t="shared" si="9"/>
        <v>1</v>
      </c>
      <c r="CE29" s="44">
        <f t="shared" si="10"/>
        <v>14</v>
      </c>
      <c r="CF29" s="27"/>
      <c r="CG29" s="28">
        <f t="shared" si="11"/>
        <v>1076.0471052449966</v>
      </c>
      <c r="CH29" s="28">
        <f t="shared" si="12"/>
        <v>4.9263847169878678</v>
      </c>
      <c r="CI29" s="28">
        <f t="shared" si="13"/>
        <v>105.72724521938392</v>
      </c>
      <c r="CJ29" s="28">
        <f t="shared" si="14"/>
        <v>230.06093043733989</v>
      </c>
      <c r="CK29" s="23">
        <f t="shared" si="15"/>
        <v>2.22631782820767E-2</v>
      </c>
      <c r="CL29" s="29" t="str">
        <f t="shared" si="16"/>
        <v/>
      </c>
      <c r="CM29" s="29" t="str">
        <f t="shared" si="17"/>
        <v/>
      </c>
      <c r="CN29" s="29" t="str">
        <f t="shared" si="18"/>
        <v/>
      </c>
      <c r="CO29" s="29" t="str">
        <f t="shared" si="19"/>
        <v/>
      </c>
      <c r="CP29" s="29" t="str">
        <f t="shared" si="20"/>
        <v/>
      </c>
      <c r="CQ29" s="29">
        <f t="shared" si="21"/>
        <v>0</v>
      </c>
      <c r="CR29" s="13"/>
      <c r="CS29" s="7">
        <f>VLOOKUP(A29,'Empresas 21-23'!$A$2:$M$228,13,0)</f>
        <v>1</v>
      </c>
      <c r="CT29" s="30"/>
      <c r="CU29" s="6">
        <f t="shared" si="22"/>
        <v>2802460688.8000002</v>
      </c>
      <c r="CV29" s="6">
        <f t="shared" si="23"/>
        <v>135335873</v>
      </c>
      <c r="CW29" s="6">
        <f t="shared" si="24"/>
        <v>198471196</v>
      </c>
      <c r="CX29" s="23">
        <f t="shared" si="56"/>
        <v>0.86277196401496958</v>
      </c>
      <c r="CY29" s="23">
        <f t="shared" si="57"/>
        <v>4.1664811719406586E-2</v>
      </c>
      <c r="CZ29" s="6">
        <f t="shared" si="25"/>
        <v>2973696072.3733201</v>
      </c>
      <c r="DA29" s="6">
        <f t="shared" si="26"/>
        <v>143605138.01306543</v>
      </c>
      <c r="DB29" s="6">
        <f t="shared" si="27"/>
        <v>62195215</v>
      </c>
      <c r="DC29" s="6">
        <f t="shared" si="28"/>
        <v>62367351</v>
      </c>
      <c r="DD29" s="6">
        <f t="shared" si="29"/>
        <v>63765585</v>
      </c>
      <c r="DE29" s="6">
        <f t="shared" si="30"/>
        <v>42295018</v>
      </c>
      <c r="DF29" s="6">
        <f t="shared" si="31"/>
        <v>68676281.894203693</v>
      </c>
      <c r="DG29" s="30"/>
      <c r="DH29" s="32">
        <f>VLOOKUP(A29,'T_med_comp-USA'!$A$7:$Q$233,17,0)</f>
        <v>13.492364913065993</v>
      </c>
      <c r="DI29" s="6" t="str">
        <f t="shared" si="32"/>
        <v>7_2008</v>
      </c>
      <c r="DJ29" s="32">
        <f>IF(DI29="","",VLOOKUP(DI29,'CPI USA'!$T:$U,2,FALSE))</f>
        <v>215.303</v>
      </c>
      <c r="DK29" s="32">
        <f>IF(DI29="","",VLOOKUP(DI29,'PPI USA'!$S:$T,2,FALSE))</f>
        <v>159.30000000000001</v>
      </c>
      <c r="DL29" s="32">
        <f>IF(DI29="","",VLOOKUP(DI29,'CPI USA'!$T:$V,3,FALSE))</f>
        <v>0.67018812038291731</v>
      </c>
      <c r="DM29" s="32">
        <f>IF(DI29="","",VLOOKUP(DI29,'CPI USA'!$T:$X,5,FALSE))</f>
        <v>0.49838492968660258</v>
      </c>
      <c r="DN29" s="32">
        <f t="shared" si="33"/>
        <v>1.4884333659448254</v>
      </c>
      <c r="DO29" s="32">
        <f t="shared" si="34"/>
        <v>1.5036496327119213</v>
      </c>
      <c r="DP29" s="32">
        <f t="shared" si="35"/>
        <v>0.46624844049498021</v>
      </c>
      <c r="DQ29" s="32">
        <f>IF(DP29="","",DP29*$DO$1/'CPI USA'!$U$508+(1-DP29)*AVERAGE($DO$1,$DQ$1)/AVERAGE('CPI USA'!$U$508,'PPI USA'!$T$514))</f>
        <v>1.1584227657924622</v>
      </c>
      <c r="DR29" s="6">
        <f t="shared" si="36"/>
        <v>1248041</v>
      </c>
      <c r="DS29" s="32">
        <f t="shared" si="37"/>
        <v>0.2</v>
      </c>
      <c r="DT29" s="28">
        <f>IF(DS29="","",DS29*$DO$1/'CPI USA'!$U$508+(1-DS29)*AVERAGE($DO$1,$DQ$1)/AVERAGE('CPI USA'!$U$508,'PPI USA'!$T$514))</f>
        <v>1.1741595760647974</v>
      </c>
      <c r="DU29" s="6">
        <f t="shared" si="38"/>
        <v>664188</v>
      </c>
      <c r="DV29" s="6">
        <f t="shared" si="39"/>
        <v>105384.50890054523</v>
      </c>
      <c r="DW29" s="6">
        <f t="shared" si="40"/>
        <v>738778.07883923734</v>
      </c>
      <c r="DX29" s="16">
        <f t="shared" si="41"/>
        <v>0.2</v>
      </c>
      <c r="DY29" s="28">
        <f>IF(DX29="","",DX29*$DO$1/'CPI USA'!$U$508+(1-DX29)*AVERAGE($DO$1,$DQ$1)/AVERAGE('CPI USA'!$U$508,'PPI USA'!$T$514))</f>
        <v>1.1741595760647974</v>
      </c>
      <c r="DZ29" s="30"/>
      <c r="EA29" s="45" t="str">
        <f t="shared" si="42"/>
        <v>C000317</v>
      </c>
      <c r="EB29" s="29">
        <f t="shared" si="43"/>
        <v>4426148454.2995281</v>
      </c>
      <c r="EC29" s="29">
        <f t="shared" si="44"/>
        <v>215931813.02889061</v>
      </c>
      <c r="ED29" s="29">
        <f t="shared" si="45"/>
        <v>72247759.240569279</v>
      </c>
      <c r="EE29" s="29">
        <f t="shared" si="46"/>
        <v>74870972.251123801</v>
      </c>
      <c r="EF29" s="29">
        <f t="shared" si="47"/>
        <v>80636914.034604728</v>
      </c>
      <c r="EG29" s="29">
        <f t="shared" si="48"/>
        <v>2898</v>
      </c>
      <c r="EH29" s="29">
        <f t="shared" si="49"/>
        <v>588261</v>
      </c>
      <c r="EI29" s="29">
        <f t="shared" si="50"/>
        <v>294153</v>
      </c>
      <c r="EJ29" s="29">
        <f t="shared" si="51"/>
        <v>13212534</v>
      </c>
      <c r="EK29" s="29">
        <f t="shared" si="52"/>
        <v>13505496.700507615</v>
      </c>
      <c r="EL29" s="29">
        <f>IF(CD29=1,VLOOKUP(EA29,'EIA 2021'!$A$2:$J$213,4,0)*EH29,"")</f>
        <v>149579477.514</v>
      </c>
      <c r="EM29" s="29">
        <f>IF(CD29=1,VLOOKUP(EA29,'EIA 2021'!$A$2:$J$213,7,0)*EH29,"")</f>
        <v>1274761.5869999998</v>
      </c>
      <c r="EN29" s="29">
        <f>IF(CD29=1,VLOOKUP(EA29,'EIA 2021'!$A$2:$J$213,10,0),"")</f>
        <v>29</v>
      </c>
      <c r="EO29" s="28">
        <f>IF(CD29=1,VLOOKUP(EA29,'EIA 2021'!$A$2:$Z$213,26,0),"")</f>
        <v>0</v>
      </c>
      <c r="EP29" s="23">
        <f t="shared" si="53"/>
        <v>2.1692108554334247E-2</v>
      </c>
      <c r="EQ29" s="32">
        <f t="shared" si="54"/>
        <v>1190.2994923857914</v>
      </c>
      <c r="ER29" s="32">
        <f t="shared" si="55"/>
        <v>292962.70050761418</v>
      </c>
      <c r="ES29" s="6"/>
      <c r="ET29" s="32"/>
    </row>
    <row r="30" spans="1:150" ht="15.75" customHeight="1">
      <c r="A30" s="7" t="s">
        <v>291</v>
      </c>
      <c r="B30" s="7" t="s">
        <v>292</v>
      </c>
      <c r="C30" s="32" t="s">
        <v>293</v>
      </c>
      <c r="D30" s="40">
        <v>0</v>
      </c>
      <c r="E30" s="40">
        <v>0</v>
      </c>
      <c r="F30" s="40">
        <v>0</v>
      </c>
      <c r="G30" s="40">
        <v>330204215</v>
      </c>
      <c r="H30" s="40">
        <v>330204227</v>
      </c>
      <c r="I30" s="40">
        <v>344466</v>
      </c>
      <c r="J30" s="40">
        <v>1084444</v>
      </c>
      <c r="K30" s="40">
        <v>187219</v>
      </c>
      <c r="L30" s="40">
        <v>476754</v>
      </c>
      <c r="M30" s="40">
        <v>0</v>
      </c>
      <c r="N30" s="40">
        <v>0</v>
      </c>
      <c r="O30" s="40">
        <v>7614670</v>
      </c>
      <c r="P30" s="40">
        <v>600961</v>
      </c>
      <c r="Q30" s="40">
        <v>613564</v>
      </c>
      <c r="R30" s="40">
        <v>22241</v>
      </c>
      <c r="S30" s="40">
        <v>5348676</v>
      </c>
      <c r="T30" s="40">
        <v>54903780</v>
      </c>
      <c r="U30" s="40">
        <v>2730069</v>
      </c>
      <c r="V30" s="40">
        <v>189920</v>
      </c>
      <c r="W30" s="40">
        <v>666717</v>
      </c>
      <c r="X30" s="40">
        <f>IFERROR(VLOOKUP(A30,'Trans 21-23'!$A$2:$J$229,6,0),0)</f>
        <v>291690</v>
      </c>
      <c r="Y30" s="41">
        <v>670013</v>
      </c>
      <c r="Z30" s="41">
        <v>1711253</v>
      </c>
      <c r="AA30" s="41">
        <v>17128958</v>
      </c>
      <c r="AB30" s="41">
        <v>38422823</v>
      </c>
      <c r="AC30" s="41">
        <v>22</v>
      </c>
      <c r="AD30" s="41">
        <v>18373504</v>
      </c>
      <c r="AE30" s="41">
        <v>0</v>
      </c>
      <c r="AF30" s="41">
        <v>458419905</v>
      </c>
      <c r="AG30" s="41">
        <v>581453</v>
      </c>
      <c r="AH30" s="41">
        <v>411818</v>
      </c>
      <c r="AI30" s="41">
        <v>5828574</v>
      </c>
      <c r="AJ30" s="41">
        <v>7677</v>
      </c>
      <c r="AK30" s="41">
        <v>8839106</v>
      </c>
      <c r="AL30" s="41">
        <v>5832422</v>
      </c>
      <c r="AM30" s="41">
        <v>2151245</v>
      </c>
      <c r="AN30" s="41">
        <v>6201038</v>
      </c>
      <c r="AO30" s="41">
        <v>26511</v>
      </c>
      <c r="AP30" s="41">
        <v>0</v>
      </c>
      <c r="AQ30" s="41">
        <v>14211216</v>
      </c>
      <c r="AR30" s="41">
        <v>36969</v>
      </c>
      <c r="AS30" s="41">
        <v>14248185</v>
      </c>
      <c r="AT30" s="41">
        <v>0</v>
      </c>
      <c r="AU30" s="41">
        <v>3072</v>
      </c>
      <c r="AV30" s="41">
        <v>0</v>
      </c>
      <c r="AW30" s="41">
        <v>786202796</v>
      </c>
      <c r="AX30" s="41">
        <v>34289819</v>
      </c>
      <c r="AY30" s="41">
        <v>297754822</v>
      </c>
      <c r="AZ30" s="41">
        <v>134513496</v>
      </c>
      <c r="BA30" s="41">
        <v>17302751</v>
      </c>
      <c r="BB30" s="41">
        <v>2756276821</v>
      </c>
      <c r="BC30" s="41">
        <v>3108352080</v>
      </c>
      <c r="BD30" s="41">
        <v>207882661</v>
      </c>
      <c r="BE30" s="41">
        <v>763114663</v>
      </c>
      <c r="BF30" s="41">
        <v>64755865</v>
      </c>
      <c r="BG30" s="41">
        <v>0</v>
      </c>
      <c r="BH30" s="41">
        <v>30732601</v>
      </c>
      <c r="BI30" s="41">
        <v>1078407</v>
      </c>
      <c r="BJ30" s="41">
        <v>215503</v>
      </c>
      <c r="BK30" s="41">
        <v>0</v>
      </c>
      <c r="BL30" s="41">
        <v>0</v>
      </c>
      <c r="BM30" s="41">
        <v>402389</v>
      </c>
      <c r="BN30" s="41">
        <v>32725492</v>
      </c>
      <c r="BO30" s="41">
        <v>0</v>
      </c>
      <c r="BP30" s="41">
        <v>6327270</v>
      </c>
      <c r="BQ30" s="41">
        <v>68498534</v>
      </c>
      <c r="BR30" s="41">
        <v>0</v>
      </c>
      <c r="BS30" s="42">
        <f>IFERROR(VLOOKUP(A30,'Trans 21-23'!$A$2:$J$229,5,0),0)</f>
        <v>18585192</v>
      </c>
      <c r="BT30" s="43"/>
      <c r="BU30" s="6">
        <f t="shared" si="0"/>
        <v>2756276821</v>
      </c>
      <c r="BV30" s="6">
        <f t="shared" si="1"/>
        <v>3072</v>
      </c>
      <c r="BW30" s="6">
        <f t="shared" si="2"/>
        <v>581453</v>
      </c>
      <c r="BX30" s="6">
        <f t="shared" si="3"/>
        <v>74783481</v>
      </c>
      <c r="BY30" s="6">
        <f t="shared" si="4"/>
        <v>57933069</v>
      </c>
      <c r="BZ30" s="6">
        <f t="shared" si="5"/>
        <v>134513496</v>
      </c>
      <c r="CA30" s="6">
        <f t="shared" si="6"/>
        <v>18373504</v>
      </c>
      <c r="CB30" s="6">
        <f t="shared" si="7"/>
        <v>411818</v>
      </c>
      <c r="CC30" s="6">
        <f t="shared" si="8"/>
        <v>14211216</v>
      </c>
      <c r="CD30" s="6">
        <f t="shared" si="9"/>
        <v>1</v>
      </c>
      <c r="CE30" s="44">
        <f t="shared" si="10"/>
        <v>14</v>
      </c>
      <c r="CF30" s="27"/>
      <c r="CG30" s="28">
        <f t="shared" si="11"/>
        <v>897.22552766927083</v>
      </c>
      <c r="CH30" s="28">
        <f t="shared" si="12"/>
        <v>5.2833161063748921</v>
      </c>
      <c r="CI30" s="28">
        <f t="shared" si="13"/>
        <v>128.61483387307314</v>
      </c>
      <c r="CJ30" s="28">
        <f t="shared" si="14"/>
        <v>231.34027341848781</v>
      </c>
      <c r="CK30" s="23">
        <f t="shared" si="15"/>
        <v>2.8978378767868986E-2</v>
      </c>
      <c r="CL30" s="29" t="str">
        <f t="shared" si="16"/>
        <v/>
      </c>
      <c r="CM30" s="29" t="str">
        <f t="shared" si="17"/>
        <v/>
      </c>
      <c r="CN30" s="29" t="str">
        <f t="shared" si="18"/>
        <v/>
      </c>
      <c r="CO30" s="29" t="str">
        <f t="shared" si="19"/>
        <v/>
      </c>
      <c r="CP30" s="29" t="str">
        <f t="shared" si="20"/>
        <v/>
      </c>
      <c r="CQ30" s="29">
        <f t="shared" si="21"/>
        <v>0</v>
      </c>
      <c r="CR30" s="13"/>
      <c r="CS30" s="7">
        <f>VLOOKUP(A30,'Empresas 21-23'!$A$2:$M$228,13,0)</f>
        <v>1</v>
      </c>
      <c r="CT30" s="30"/>
      <c r="CU30" s="6">
        <f t="shared" si="22"/>
        <v>2423818981.4000001</v>
      </c>
      <c r="CV30" s="6">
        <f t="shared" si="23"/>
        <v>134513496</v>
      </c>
      <c r="CW30" s="6">
        <f t="shared" si="24"/>
        <v>207882661</v>
      </c>
      <c r="CX30" s="23">
        <f t="shared" si="56"/>
        <v>0.83566438091792206</v>
      </c>
      <c r="CY30" s="23">
        <f t="shared" si="57"/>
        <v>4.6376457244764351E-2</v>
      </c>
      <c r="CZ30" s="6">
        <f t="shared" si="25"/>
        <v>2597539116.6081352</v>
      </c>
      <c r="DA30" s="6">
        <f t="shared" si="26"/>
        <v>144154357.33979434</v>
      </c>
      <c r="DB30" s="6">
        <f t="shared" si="27"/>
        <v>74783481</v>
      </c>
      <c r="DC30" s="6">
        <f t="shared" si="28"/>
        <v>75075171</v>
      </c>
      <c r="DD30" s="6">
        <f t="shared" si="29"/>
        <v>57933069</v>
      </c>
      <c r="DE30" s="6">
        <f t="shared" si="30"/>
        <v>18373504</v>
      </c>
      <c r="DF30" s="6">
        <f t="shared" si="31"/>
        <v>22248534.790225111</v>
      </c>
      <c r="DG30" s="30"/>
      <c r="DH30" s="32">
        <f>VLOOKUP(A30,'T_med_comp-USA'!$A$7:$Q$233,17,0)</f>
        <v>11.435554261282661</v>
      </c>
      <c r="DI30" s="6" t="str">
        <f t="shared" si="32"/>
        <v>7_2010</v>
      </c>
      <c r="DJ30" s="32">
        <f>IF(DI30="","",VLOOKUP(DI30,'CPI USA'!$T:$U,2,FALSE))</f>
        <v>218.05600000000001</v>
      </c>
      <c r="DK30" s="32">
        <f>IF(DI30="","",VLOOKUP(DI30,'PPI USA'!$S:$T,2,FALSE))</f>
        <v>160.80000000000001</v>
      </c>
      <c r="DL30" s="32">
        <f>IF(DI30="","",VLOOKUP(DI30,'CPI USA'!$T:$V,3,FALSE))</f>
        <v>0.67050107279443949</v>
      </c>
      <c r="DM30" s="32">
        <f>IF(DI30="","",VLOOKUP(DI30,'CPI USA'!$T:$X,5,FALSE))</f>
        <v>0.4987389730136107</v>
      </c>
      <c r="DN30" s="32">
        <f t="shared" si="33"/>
        <v>1.4703278680244813</v>
      </c>
      <c r="DO30" s="32">
        <f t="shared" si="34"/>
        <v>1.4857204383544427</v>
      </c>
      <c r="DP30" s="32">
        <f t="shared" si="35"/>
        <v>0.41095440582660225</v>
      </c>
      <c r="DQ30" s="32">
        <f>IF(DP30="","",DP30*$DO$1/'CPI USA'!$U$508+(1-DP30)*AVERAGE($DO$1,$DQ$1)/AVERAGE('CPI USA'!$U$508,'PPI USA'!$T$514))</f>
        <v>1.1616909604573793</v>
      </c>
      <c r="DR30" s="6">
        <f t="shared" si="36"/>
        <v>1293910</v>
      </c>
      <c r="DS30" s="32">
        <f t="shared" si="37"/>
        <v>0.2</v>
      </c>
      <c r="DT30" s="28">
        <f>IF(DS30="","",DS30*$DO$1/'CPI USA'!$U$508+(1-DS30)*AVERAGE($DO$1,$DQ$1)/AVERAGE('CPI USA'!$U$508,'PPI USA'!$T$514))</f>
        <v>1.1741595760647974</v>
      </c>
      <c r="DU30" s="6">
        <f t="shared" si="38"/>
        <v>402389</v>
      </c>
      <c r="DV30" s="6">
        <f t="shared" si="39"/>
        <v>40951.778751514525</v>
      </c>
      <c r="DW30" s="6">
        <f t="shared" si="40"/>
        <v>433871.50076869573</v>
      </c>
      <c r="DX30" s="16">
        <f t="shared" si="41"/>
        <v>0.2</v>
      </c>
      <c r="DY30" s="28">
        <f>IF(DX30="","",DX30*$DO$1/'CPI USA'!$U$508+(1-DX30)*AVERAGE($DO$1,$DQ$1)/AVERAGE('CPI USA'!$U$508,'PPI USA'!$T$514))</f>
        <v>1.1741595760647974</v>
      </c>
      <c r="DZ30" s="30"/>
      <c r="EA30" s="45" t="str">
        <f t="shared" si="42"/>
        <v>C000318</v>
      </c>
      <c r="EB30" s="29">
        <f t="shared" si="43"/>
        <v>3819234151.4326339</v>
      </c>
      <c r="EC30" s="29">
        <f t="shared" si="44"/>
        <v>214173074.97758222</v>
      </c>
      <c r="ED30" s="29">
        <f t="shared" si="45"/>
        <v>87214147.505491987</v>
      </c>
      <c r="EE30" s="29">
        <f t="shared" si="46"/>
        <v>68022667.737172648</v>
      </c>
      <c r="EF30" s="29">
        <f t="shared" si="47"/>
        <v>26123330.177353613</v>
      </c>
      <c r="EG30" s="29">
        <f t="shared" si="48"/>
        <v>3072</v>
      </c>
      <c r="EH30" s="29">
        <f t="shared" si="49"/>
        <v>581453</v>
      </c>
      <c r="EI30" s="29">
        <f t="shared" si="50"/>
        <v>411818</v>
      </c>
      <c r="EJ30" s="29">
        <f t="shared" si="51"/>
        <v>14211216</v>
      </c>
      <c r="EK30" s="29">
        <f t="shared" si="52"/>
        <v>14622471.020304568</v>
      </c>
      <c r="EL30" s="29">
        <f>IF(CD30=1,VLOOKUP(EA30,'EIA 2021'!$A$2:$J$213,4,0)*EH30,"")</f>
        <v>107260053.457</v>
      </c>
      <c r="EM30" s="29">
        <f>IF(CD30=1,VLOOKUP(EA30,'EIA 2021'!$A$2:$J$213,7,0)*EH30,"")</f>
        <v>883227.10699999996</v>
      </c>
      <c r="EN30" s="29">
        <f>IF(CD30=1,VLOOKUP(EA30,'EIA 2021'!$A$2:$J$213,10,0),"")</f>
        <v>591576</v>
      </c>
      <c r="EO30" s="28">
        <f>IF(CD30=1,VLOOKUP(EA30,'EIA 2021'!$A$2:$Z$213,26,0),"")</f>
        <v>0</v>
      </c>
      <c r="EP30" s="23">
        <f t="shared" si="53"/>
        <v>2.8124864787456599E-2</v>
      </c>
      <c r="EQ30" s="32">
        <f t="shared" si="54"/>
        <v>562.97969543147337</v>
      </c>
      <c r="ER30" s="32">
        <f t="shared" si="55"/>
        <v>411255.02030456852</v>
      </c>
      <c r="ES30" s="6"/>
      <c r="ET30" s="32"/>
    </row>
    <row r="31" spans="1:150" ht="15.75" customHeight="1">
      <c r="A31" s="7" t="s">
        <v>294</v>
      </c>
      <c r="B31" s="7" t="s">
        <v>295</v>
      </c>
      <c r="C31" s="32" t="s">
        <v>296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f>IFERROR(VLOOKUP(A31,'Trans 21-23'!$A$2:$J$229,6,0),0)</f>
        <v>13839035</v>
      </c>
      <c r="Y31" s="41">
        <v>0</v>
      </c>
      <c r="Z31" s="41">
        <v>0</v>
      </c>
      <c r="AA31" s="41">
        <v>2477</v>
      </c>
      <c r="AB31" s="41">
        <v>3903</v>
      </c>
      <c r="AC31" s="41">
        <v>6</v>
      </c>
      <c r="AD31" s="41">
        <v>8983215</v>
      </c>
      <c r="AE31" s="41">
        <v>0</v>
      </c>
      <c r="AF31" s="41">
        <v>121553005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1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11631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6057089370</v>
      </c>
      <c r="BD31" s="41">
        <v>200304452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v>0</v>
      </c>
      <c r="BP31" s="41">
        <v>0</v>
      </c>
      <c r="BQ31" s="41">
        <v>0</v>
      </c>
      <c r="BR31" s="41">
        <v>0</v>
      </c>
      <c r="BS31" s="42">
        <f>IFERROR(VLOOKUP(A31,'Trans 21-23'!$A$2:$J$229,5,0),0)</f>
        <v>881762751</v>
      </c>
      <c r="BT31" s="43"/>
      <c r="BU31" s="6">
        <f t="shared" si="0"/>
        <v>0</v>
      </c>
      <c r="BV31" s="6">
        <f t="shared" si="1"/>
        <v>11631</v>
      </c>
      <c r="BW31" s="6">
        <f t="shared" si="2"/>
        <v>0</v>
      </c>
      <c r="BX31" s="6">
        <f t="shared" si="3"/>
        <v>0</v>
      </c>
      <c r="BY31" s="6">
        <f t="shared" si="4"/>
        <v>6386</v>
      </c>
      <c r="BZ31" s="6">
        <f t="shared" si="5"/>
        <v>0</v>
      </c>
      <c r="CA31" s="6">
        <f t="shared" si="6"/>
        <v>8983215</v>
      </c>
      <c r="CB31" s="6">
        <f t="shared" si="7"/>
        <v>0</v>
      </c>
      <c r="CC31" s="6">
        <f t="shared" si="8"/>
        <v>0</v>
      </c>
      <c r="CD31" s="6">
        <f t="shared" si="9"/>
        <v>0</v>
      </c>
      <c r="CE31" s="44">
        <f t="shared" si="10"/>
        <v>58</v>
      </c>
      <c r="CF31" s="27"/>
      <c r="CG31" s="28" t="str">
        <f t="shared" si="11"/>
        <v/>
      </c>
      <c r="CH31" s="28" t="str">
        <f t="shared" si="12"/>
        <v/>
      </c>
      <c r="CI31" s="28" t="str">
        <f t="shared" si="13"/>
        <v/>
      </c>
      <c r="CJ31" s="28" t="str">
        <f t="shared" si="14"/>
        <v/>
      </c>
      <c r="CK31" s="23" t="str">
        <f t="shared" si="15"/>
        <v/>
      </c>
      <c r="CL31" s="29" t="str">
        <f t="shared" si="16"/>
        <v/>
      </c>
      <c r="CM31" s="29" t="str">
        <f t="shared" si="17"/>
        <v/>
      </c>
      <c r="CN31" s="29" t="str">
        <f t="shared" si="18"/>
        <v/>
      </c>
      <c r="CO31" s="29" t="str">
        <f t="shared" si="19"/>
        <v/>
      </c>
      <c r="CP31" s="29" t="str">
        <f t="shared" si="20"/>
        <v/>
      </c>
      <c r="CQ31" s="29">
        <f t="shared" si="21"/>
        <v>0</v>
      </c>
      <c r="CR31" s="13"/>
      <c r="CS31" s="7" t="str">
        <f>VLOOKUP(A31,'Empresas 21-23'!$A$2:$M$228,13,0)</f>
        <v/>
      </c>
      <c r="CT31" s="30"/>
      <c r="CU31" s="6">
        <f t="shared" si="22"/>
        <v>881762751</v>
      </c>
      <c r="CV31" s="6">
        <f t="shared" si="23"/>
        <v>0</v>
      </c>
      <c r="CW31" s="6">
        <f t="shared" si="24"/>
        <v>200304452</v>
      </c>
      <c r="CX31" s="23">
        <f t="shared" si="56"/>
        <v>0.1505540605204789</v>
      </c>
      <c r="CY31" s="23">
        <f t="shared" si="57"/>
        <v>0</v>
      </c>
      <c r="CZ31" s="6">
        <f t="shared" si="25"/>
        <v>911919399.58892941</v>
      </c>
      <c r="DA31" s="6">
        <f t="shared" si="26"/>
        <v>0</v>
      </c>
      <c r="DB31" s="6">
        <f t="shared" si="27"/>
        <v>0</v>
      </c>
      <c r="DC31" s="6">
        <f t="shared" si="28"/>
        <v>13839035</v>
      </c>
      <c r="DD31" s="6">
        <f t="shared" si="29"/>
        <v>6386</v>
      </c>
      <c r="DE31" s="6">
        <f t="shared" si="30"/>
        <v>8983215</v>
      </c>
      <c r="DF31" s="6">
        <f t="shared" si="31"/>
        <v>1104882.523175312</v>
      </c>
      <c r="DG31" s="30"/>
      <c r="DH31" s="32" t="str">
        <f>VLOOKUP(A31,'T_med_comp-USA'!$A$7:$Q$233,17,0)</f>
        <v>-</v>
      </c>
      <c r="DI31" s="6" t="str">
        <f t="shared" si="32"/>
        <v/>
      </c>
      <c r="DJ31" s="32" t="str">
        <f>IF(DI31="","",VLOOKUP(DI31,'CPI USA'!$T:$U,2,FALSE))</f>
        <v/>
      </c>
      <c r="DK31" s="32" t="str">
        <f>IF(DI31="","",VLOOKUP(DI31,'PPI USA'!$S:$T,2,FALSE))</f>
        <v/>
      </c>
      <c r="DL31" s="32" t="str">
        <f>IF(DI31="","",VLOOKUP(DI31,'CPI USA'!$T:$V,3,FALSE))</f>
        <v/>
      </c>
      <c r="DM31" s="32" t="str">
        <f>IF(DI31="","",VLOOKUP(DI31,'CPI USA'!$T:$X,5,FALSE))</f>
        <v/>
      </c>
      <c r="DN31" s="32" t="str">
        <f t="shared" si="33"/>
        <v/>
      </c>
      <c r="DO31" s="32" t="str">
        <f t="shared" si="34"/>
        <v/>
      </c>
      <c r="DP31" s="32" t="str">
        <f t="shared" si="35"/>
        <v/>
      </c>
      <c r="DQ31" s="32" t="str">
        <f>IF(DP31="","",DP31*$DO$1/'CPI USA'!$U$508+(1-DP31)*AVERAGE($DO$1,$DQ$1)/AVERAGE('CPI USA'!$U$508,'PPI USA'!$T$514))</f>
        <v/>
      </c>
      <c r="DR31" s="6">
        <f t="shared" si="36"/>
        <v>0</v>
      </c>
      <c r="DS31" s="32">
        <f t="shared" si="37"/>
        <v>0.2</v>
      </c>
      <c r="DT31" s="28">
        <f>IF(DS31="","",DS31*$DO$1/'CPI USA'!$U$508+(1-DS31)*AVERAGE($DO$1,$DQ$1)/AVERAGE('CPI USA'!$U$508,'PPI USA'!$T$514))</f>
        <v>1.1741595760647974</v>
      </c>
      <c r="DU31" s="6" t="str">
        <f t="shared" si="38"/>
        <v/>
      </c>
      <c r="DV31" s="6" t="str">
        <f t="shared" si="39"/>
        <v/>
      </c>
      <c r="DW31" s="6">
        <f t="shared" si="40"/>
        <v>0</v>
      </c>
      <c r="DX31" s="16" t="str">
        <f t="shared" si="41"/>
        <v/>
      </c>
      <c r="DY31" s="28" t="str">
        <f>IF(DX31="","",DX31*$DO$1/'CPI USA'!$U$508+(1-DX31)*AVERAGE($DO$1,$DQ$1)/AVERAGE('CPI USA'!$U$508,'PPI USA'!$T$514))</f>
        <v/>
      </c>
      <c r="DZ31" s="30"/>
      <c r="EA31" s="45" t="str">
        <f t="shared" si="42"/>
        <v>C000319</v>
      </c>
      <c r="EB31" s="29" t="str">
        <f t="shared" si="43"/>
        <v/>
      </c>
      <c r="EC31" s="29" t="str">
        <f t="shared" si="44"/>
        <v/>
      </c>
      <c r="ED31" s="29" t="str">
        <f t="shared" si="45"/>
        <v/>
      </c>
      <c r="EE31" s="29" t="str">
        <f t="shared" si="46"/>
        <v/>
      </c>
      <c r="EF31" s="29" t="str">
        <f t="shared" si="47"/>
        <v/>
      </c>
      <c r="EG31" s="29" t="str">
        <f t="shared" si="48"/>
        <v/>
      </c>
      <c r="EH31" s="29" t="str">
        <f t="shared" si="49"/>
        <v/>
      </c>
      <c r="EI31" s="29" t="str">
        <f t="shared" si="50"/>
        <v/>
      </c>
      <c r="EJ31" s="29" t="str">
        <f t="shared" si="51"/>
        <v/>
      </c>
      <c r="EK31" s="29" t="str">
        <f t="shared" si="52"/>
        <v/>
      </c>
      <c r="EL31" s="29" t="str">
        <f>IF(CD31=1,VLOOKUP(EA31,'EIA 2021'!$A$2:$J$213,4,0)*EH31,"")</f>
        <v/>
      </c>
      <c r="EM31" s="29" t="str">
        <f>IF(CD31=1,VLOOKUP(EA31,'EIA 2021'!$A$2:$J$213,7,0)*EH31,"")</f>
        <v/>
      </c>
      <c r="EN31" s="29" t="str">
        <f>IF(CD31=1,VLOOKUP(EA31,'EIA 2021'!$A$2:$J$213,10,0),"")</f>
        <v/>
      </c>
      <c r="EO31" s="28" t="str">
        <f>IF(CD31=1,VLOOKUP(EA31,'EIA 2021'!$A$2:$Z$213,26,0),"")</f>
        <v/>
      </c>
      <c r="EP31" s="23" t="str">
        <f t="shared" si="53"/>
        <v/>
      </c>
      <c r="EQ31" s="32" t="str">
        <f t="shared" si="54"/>
        <v/>
      </c>
      <c r="ER31" s="32" t="str">
        <f t="shared" si="55"/>
        <v/>
      </c>
      <c r="ES31" s="6"/>
      <c r="ET31" s="32"/>
    </row>
    <row r="32" spans="1:150" ht="15.75" customHeight="1">
      <c r="A32" s="7" t="s">
        <v>297</v>
      </c>
      <c r="B32" s="7" t="s">
        <v>298</v>
      </c>
      <c r="C32" s="32" t="s">
        <v>299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f>IFERROR(VLOOKUP(A32,'Trans 21-23'!$A$2:$J$229,6,0),0)</f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21523</v>
      </c>
      <c r="AE32" s="41">
        <v>0</v>
      </c>
      <c r="AF32" s="41">
        <v>257850</v>
      </c>
      <c r="AG32" s="41">
        <v>1</v>
      </c>
      <c r="AH32" s="41">
        <v>0</v>
      </c>
      <c r="AI32" s="41">
        <v>10543</v>
      </c>
      <c r="AJ32" s="41">
        <v>0</v>
      </c>
      <c r="AK32" s="41">
        <v>0</v>
      </c>
      <c r="AL32" s="41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10543</v>
      </c>
      <c r="AS32" s="41">
        <v>10543</v>
      </c>
      <c r="AT32" s="41">
        <v>0</v>
      </c>
      <c r="AU32" s="41">
        <v>7</v>
      </c>
      <c r="AV32" s="41">
        <v>0</v>
      </c>
      <c r="AW32" s="41">
        <v>1331245</v>
      </c>
      <c r="AX32" s="41">
        <v>0</v>
      </c>
      <c r="AY32" s="41">
        <v>0</v>
      </c>
      <c r="AZ32" s="41">
        <v>0</v>
      </c>
      <c r="BA32" s="41">
        <v>0</v>
      </c>
      <c r="BB32" s="41">
        <v>1331245</v>
      </c>
      <c r="BC32" s="41">
        <v>9540503</v>
      </c>
      <c r="BD32" s="41">
        <v>21495</v>
      </c>
      <c r="BE32" s="41">
        <v>149409</v>
      </c>
      <c r="BF32" s="41">
        <v>53418</v>
      </c>
      <c r="BG32" s="41">
        <v>0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0</v>
      </c>
      <c r="BQ32" s="41">
        <v>0</v>
      </c>
      <c r="BR32" s="41">
        <v>0</v>
      </c>
      <c r="BS32" s="42">
        <f>IFERROR(VLOOKUP(A32,'Trans 21-23'!$A$2:$J$229,5,0),0)</f>
        <v>0</v>
      </c>
      <c r="BT32" s="43"/>
      <c r="BU32" s="6">
        <f t="shared" si="0"/>
        <v>1331245</v>
      </c>
      <c r="BV32" s="6">
        <f t="shared" si="1"/>
        <v>7</v>
      </c>
      <c r="BW32" s="6">
        <f t="shared" si="2"/>
        <v>1</v>
      </c>
      <c r="BX32" s="6">
        <f t="shared" si="3"/>
        <v>0</v>
      </c>
      <c r="BY32" s="6">
        <f t="shared" si="4"/>
        <v>0</v>
      </c>
      <c r="BZ32" s="6">
        <f t="shared" si="5"/>
        <v>0</v>
      </c>
      <c r="CA32" s="6">
        <f t="shared" si="6"/>
        <v>21523</v>
      </c>
      <c r="CB32" s="6">
        <f t="shared" si="7"/>
        <v>0</v>
      </c>
      <c r="CC32" s="6">
        <f t="shared" si="8"/>
        <v>0</v>
      </c>
      <c r="CD32" s="6">
        <f t="shared" si="9"/>
        <v>0</v>
      </c>
      <c r="CE32" s="44">
        <f t="shared" si="10"/>
        <v>55</v>
      </c>
      <c r="CF32" s="27"/>
      <c r="CG32" s="28" t="str">
        <f t="shared" si="11"/>
        <v/>
      </c>
      <c r="CH32" s="28" t="str">
        <f t="shared" si="12"/>
        <v/>
      </c>
      <c r="CI32" s="28" t="str">
        <f t="shared" si="13"/>
        <v/>
      </c>
      <c r="CJ32" s="28" t="str">
        <f t="shared" si="14"/>
        <v/>
      </c>
      <c r="CK32" s="23" t="str">
        <f t="shared" si="15"/>
        <v/>
      </c>
      <c r="CL32" s="29" t="str">
        <f t="shared" si="16"/>
        <v/>
      </c>
      <c r="CM32" s="29" t="str">
        <f t="shared" si="17"/>
        <v/>
      </c>
      <c r="CN32" s="29" t="str">
        <f t="shared" si="18"/>
        <v/>
      </c>
      <c r="CO32" s="29" t="str">
        <f t="shared" si="19"/>
        <v/>
      </c>
      <c r="CP32" s="29" t="str">
        <f t="shared" si="20"/>
        <v/>
      </c>
      <c r="CQ32" s="29">
        <f t="shared" si="21"/>
        <v>0</v>
      </c>
      <c r="CR32" s="13"/>
      <c r="CS32" s="7" t="str">
        <f>VLOOKUP(A32,'Empresas 21-23'!$A$2:$M$228,13,0)</f>
        <v/>
      </c>
      <c r="CT32" s="30"/>
      <c r="CU32" s="6">
        <f t="shared" si="22"/>
        <v>1331245</v>
      </c>
      <c r="CV32" s="6">
        <f t="shared" si="23"/>
        <v>0</v>
      </c>
      <c r="CW32" s="6">
        <f t="shared" si="24"/>
        <v>21495</v>
      </c>
      <c r="CX32" s="23">
        <f t="shared" si="56"/>
        <v>0.13985123239732544</v>
      </c>
      <c r="CY32" s="23">
        <f t="shared" si="57"/>
        <v>0</v>
      </c>
      <c r="CZ32" s="6">
        <f t="shared" si="25"/>
        <v>1334251.1022403806</v>
      </c>
      <c r="DA32" s="6">
        <f t="shared" si="26"/>
        <v>0</v>
      </c>
      <c r="DB32" s="6">
        <f t="shared" si="27"/>
        <v>0</v>
      </c>
      <c r="DC32" s="6">
        <f t="shared" si="28"/>
        <v>0</v>
      </c>
      <c r="DD32" s="6">
        <f t="shared" si="29"/>
        <v>0</v>
      </c>
      <c r="DE32" s="6">
        <f t="shared" si="30"/>
        <v>21523</v>
      </c>
      <c r="DF32" s="6">
        <f t="shared" si="31"/>
        <v>0</v>
      </c>
      <c r="DG32" s="30"/>
      <c r="DH32" s="32">
        <f>VLOOKUP(A32,'T_med_comp-USA'!$A$7:$Q$233,17,0)</f>
        <v>3.29697854655734</v>
      </c>
      <c r="DI32" s="6" t="str">
        <f t="shared" si="32"/>
        <v>9_2018</v>
      </c>
      <c r="DJ32" s="32">
        <f>IF(DI32="","",VLOOKUP(DI32,'CPI USA'!$T:$U,2,FALSE))</f>
        <v>252.43899999999999</v>
      </c>
      <c r="DK32" s="32">
        <f>IF(DI32="","",VLOOKUP(DI32,'PPI USA'!$S:$T,2,FALSE))</f>
        <v>213.5</v>
      </c>
      <c r="DL32" s="32">
        <f>IF(DI32="","",VLOOKUP(DI32,'CPI USA'!$T:$V,3,FALSE))</f>
        <v>0.66243304941135561</v>
      </c>
      <c r="DM32" s="32">
        <f>IF(DI32="","",VLOOKUP(DI32,'CPI USA'!$T:$X,5,FALSE))</f>
        <v>0.48966629901144693</v>
      </c>
      <c r="DN32" s="32">
        <f t="shared" si="33"/>
        <v>1.2444992973064792</v>
      </c>
      <c r="DO32" s="32">
        <f t="shared" si="34"/>
        <v>1.2444692065628193</v>
      </c>
      <c r="DP32" s="32" t="str">
        <f t="shared" si="35"/>
        <v/>
      </c>
      <c r="DQ32" s="32" t="str">
        <f>IF(DP32="","",DP32*$DO$1/'CPI USA'!$U$508+(1-DP32)*AVERAGE($DO$1,$DQ$1)/AVERAGE('CPI USA'!$U$508,'PPI USA'!$T$514))</f>
        <v/>
      </c>
      <c r="DR32" s="6">
        <f t="shared" si="36"/>
        <v>0</v>
      </c>
      <c r="DS32" s="32" t="str">
        <f t="shared" si="37"/>
        <v/>
      </c>
      <c r="DT32" s="28" t="str">
        <f>IF(DS32="","",DS32*$DO$1/'CPI USA'!$U$508+(1-DS32)*AVERAGE($DO$1,$DQ$1)/AVERAGE('CPI USA'!$U$508,'PPI USA'!$T$514))</f>
        <v/>
      </c>
      <c r="DU32" s="6" t="str">
        <f t="shared" si="38"/>
        <v/>
      </c>
      <c r="DV32" s="6" t="str">
        <f t="shared" si="39"/>
        <v/>
      </c>
      <c r="DW32" s="6">
        <f t="shared" si="40"/>
        <v>0</v>
      </c>
      <c r="DX32" s="16" t="str">
        <f t="shared" si="41"/>
        <v/>
      </c>
      <c r="DY32" s="28" t="str">
        <f>IF(DX32="","",DX32*$DO$1/'CPI USA'!$U$508+(1-DX32)*AVERAGE($DO$1,$DQ$1)/AVERAGE('CPI USA'!$U$508,'PPI USA'!$T$514))</f>
        <v/>
      </c>
      <c r="DZ32" s="30"/>
      <c r="EA32" s="45" t="str">
        <f t="shared" si="42"/>
        <v>C000367</v>
      </c>
      <c r="EB32" s="29" t="str">
        <f t="shared" si="43"/>
        <v/>
      </c>
      <c r="EC32" s="29" t="str">
        <f t="shared" si="44"/>
        <v/>
      </c>
      <c r="ED32" s="29" t="str">
        <f t="shared" si="45"/>
        <v/>
      </c>
      <c r="EE32" s="29" t="str">
        <f t="shared" si="46"/>
        <v/>
      </c>
      <c r="EF32" s="29" t="str">
        <f t="shared" si="47"/>
        <v/>
      </c>
      <c r="EG32" s="29" t="str">
        <f t="shared" si="48"/>
        <v/>
      </c>
      <c r="EH32" s="29" t="str">
        <f t="shared" si="49"/>
        <v/>
      </c>
      <c r="EI32" s="29" t="str">
        <f t="shared" si="50"/>
        <v/>
      </c>
      <c r="EJ32" s="29" t="str">
        <f t="shared" si="51"/>
        <v/>
      </c>
      <c r="EK32" s="29" t="str">
        <f t="shared" si="52"/>
        <v/>
      </c>
      <c r="EL32" s="29" t="str">
        <f>IF(CD32=1,VLOOKUP(EA32,'EIA 2021'!$A$2:$J$213,4,0)*EH32,"")</f>
        <v/>
      </c>
      <c r="EM32" s="29" t="str">
        <f>IF(CD32=1,VLOOKUP(EA32,'EIA 2021'!$A$2:$J$213,7,0)*EH32,"")</f>
        <v/>
      </c>
      <c r="EN32" s="29" t="str">
        <f>IF(CD32=1,VLOOKUP(EA32,'EIA 2021'!$A$2:$J$213,10,0),"")</f>
        <v/>
      </c>
      <c r="EO32" s="28" t="str">
        <f>IF(CD32=1,VLOOKUP(EA32,'EIA 2021'!$A$2:$Z$213,26,0),"")</f>
        <v/>
      </c>
      <c r="EP32" s="23" t="str">
        <f t="shared" si="53"/>
        <v/>
      </c>
      <c r="EQ32" s="32" t="str">
        <f t="shared" si="54"/>
        <v/>
      </c>
      <c r="ER32" s="32" t="str">
        <f t="shared" si="55"/>
        <v/>
      </c>
      <c r="ES32" s="6"/>
      <c r="ET32" s="32"/>
    </row>
    <row r="33" spans="1:150" ht="15.75" customHeight="1">
      <c r="A33" s="7" t="s">
        <v>300</v>
      </c>
      <c r="B33" s="7" t="s">
        <v>301</v>
      </c>
      <c r="C33" s="32" t="s">
        <v>302</v>
      </c>
      <c r="D33" s="40">
        <v>34555011</v>
      </c>
      <c r="E33" s="40">
        <v>0</v>
      </c>
      <c r="F33" s="40">
        <v>97277819</v>
      </c>
      <c r="G33" s="40">
        <v>156401039</v>
      </c>
      <c r="H33" s="40">
        <v>186924069</v>
      </c>
      <c r="I33" s="40">
        <v>3834402</v>
      </c>
      <c r="J33" s="40">
        <v>1033177</v>
      </c>
      <c r="K33" s="40">
        <v>0</v>
      </c>
      <c r="L33" s="40">
        <v>2986138</v>
      </c>
      <c r="M33" s="40">
        <v>1766600</v>
      </c>
      <c r="N33" s="40">
        <v>730717</v>
      </c>
      <c r="O33" s="40">
        <v>5301940</v>
      </c>
      <c r="P33" s="40">
        <v>236112</v>
      </c>
      <c r="Q33" s="40">
        <v>1335012</v>
      </c>
      <c r="R33" s="40">
        <v>501697</v>
      </c>
      <c r="S33" s="40">
        <v>688988</v>
      </c>
      <c r="T33" s="40">
        <v>16559877</v>
      </c>
      <c r="U33" s="40">
        <v>656866</v>
      </c>
      <c r="V33" s="40">
        <v>346050</v>
      </c>
      <c r="W33" s="40">
        <v>1364862</v>
      </c>
      <c r="X33" s="40">
        <f>IFERROR(VLOOKUP(A33,'Trans 21-23'!$A$2:$J$229,6,0),0)</f>
        <v>1936351</v>
      </c>
      <c r="Y33" s="41">
        <v>1897373</v>
      </c>
      <c r="Z33" s="41">
        <v>35578</v>
      </c>
      <c r="AA33" s="41">
        <v>14816829</v>
      </c>
      <c r="AB33" s="41">
        <v>35522528</v>
      </c>
      <c r="AC33" s="41">
        <v>131462</v>
      </c>
      <c r="AD33" s="41">
        <v>113825000</v>
      </c>
      <c r="AE33" s="41">
        <v>0</v>
      </c>
      <c r="AF33" s="41">
        <v>617834338</v>
      </c>
      <c r="AG33" s="41">
        <v>402518</v>
      </c>
      <c r="AH33" s="41">
        <v>492745</v>
      </c>
      <c r="AI33" s="41">
        <v>12257982</v>
      </c>
      <c r="AJ33" s="41">
        <v>11101</v>
      </c>
      <c r="AK33" s="41">
        <v>0</v>
      </c>
      <c r="AL33" s="41">
        <v>3955384</v>
      </c>
      <c r="AM33" s="41">
        <v>3157795</v>
      </c>
      <c r="AN33" s="41">
        <v>2090406</v>
      </c>
      <c r="AO33" s="41">
        <v>17479</v>
      </c>
      <c r="AP33" s="41">
        <v>0</v>
      </c>
      <c r="AQ33" s="41">
        <v>9234848</v>
      </c>
      <c r="AR33" s="41">
        <v>2519288</v>
      </c>
      <c r="AS33" s="41">
        <v>11754136</v>
      </c>
      <c r="AT33" s="41">
        <v>0</v>
      </c>
      <c r="AU33" s="41">
        <v>1889</v>
      </c>
      <c r="AV33" s="41">
        <v>0</v>
      </c>
      <c r="AW33" s="41">
        <v>318896637</v>
      </c>
      <c r="AX33" s="41">
        <v>143929806</v>
      </c>
      <c r="AY33" s="41">
        <v>251298614</v>
      </c>
      <c r="AZ33" s="41">
        <v>84979393</v>
      </c>
      <c r="BA33" s="41">
        <v>74954337</v>
      </c>
      <c r="BB33" s="41">
        <v>2086180516</v>
      </c>
      <c r="BC33" s="41">
        <v>4775009486</v>
      </c>
      <c r="BD33" s="41">
        <v>168899049</v>
      </c>
      <c r="BE33" s="41">
        <v>688522138</v>
      </c>
      <c r="BF33" s="41">
        <v>53293772</v>
      </c>
      <c r="BG33" s="41">
        <v>0</v>
      </c>
      <c r="BH33" s="41">
        <v>15982395</v>
      </c>
      <c r="BI33" s="41">
        <v>5840091</v>
      </c>
      <c r="BJ33" s="41">
        <v>371441</v>
      </c>
      <c r="BK33" s="41">
        <v>0</v>
      </c>
      <c r="BL33" s="41">
        <v>0</v>
      </c>
      <c r="BM33" s="41">
        <v>25718437</v>
      </c>
      <c r="BN33" s="41">
        <v>72571022</v>
      </c>
      <c r="BO33" s="41">
        <v>6461523</v>
      </c>
      <c r="BP33" s="41">
        <v>43032749</v>
      </c>
      <c r="BQ33" s="41">
        <v>203325929</v>
      </c>
      <c r="BR33" s="41">
        <v>13784</v>
      </c>
      <c r="BS33" s="42">
        <f>IFERROR(VLOOKUP(A33,'Trans 21-23'!$A$2:$J$229,5,0),0)</f>
        <v>319993663</v>
      </c>
      <c r="BT33" s="43"/>
      <c r="BU33" s="6">
        <f t="shared" si="0"/>
        <v>2086180516</v>
      </c>
      <c r="BV33" s="6">
        <f t="shared" si="1"/>
        <v>1889</v>
      </c>
      <c r="BW33" s="6">
        <f t="shared" si="2"/>
        <v>402518</v>
      </c>
      <c r="BX33" s="6">
        <f t="shared" si="3"/>
        <v>37342438</v>
      </c>
      <c r="BY33" s="6">
        <f t="shared" si="4"/>
        <v>52403770</v>
      </c>
      <c r="BZ33" s="6">
        <f t="shared" si="5"/>
        <v>84979393</v>
      </c>
      <c r="CA33" s="6">
        <f t="shared" si="6"/>
        <v>113825000</v>
      </c>
      <c r="CB33" s="6">
        <f t="shared" si="7"/>
        <v>492745</v>
      </c>
      <c r="CC33" s="6">
        <f t="shared" si="8"/>
        <v>9234848</v>
      </c>
      <c r="CD33" s="6">
        <f t="shared" si="9"/>
        <v>1</v>
      </c>
      <c r="CE33" s="44">
        <f t="shared" si="10"/>
        <v>10</v>
      </c>
      <c r="CF33" s="27"/>
      <c r="CG33" s="28">
        <f t="shared" si="11"/>
        <v>1104.3835447326628</v>
      </c>
      <c r="CH33" s="28">
        <f t="shared" si="12"/>
        <v>4.6929578304572717</v>
      </c>
      <c r="CI33" s="28">
        <f t="shared" si="13"/>
        <v>92.772094664089551</v>
      </c>
      <c r="CJ33" s="28">
        <f t="shared" si="14"/>
        <v>211.11948533978605</v>
      </c>
      <c r="CK33" s="23">
        <f t="shared" si="15"/>
        <v>5.3357131595452356E-2</v>
      </c>
      <c r="CL33" s="29" t="str">
        <f t="shared" si="16"/>
        <v/>
      </c>
      <c r="CM33" s="29" t="str">
        <f t="shared" si="17"/>
        <v/>
      </c>
      <c r="CN33" s="29" t="str">
        <f t="shared" si="18"/>
        <v/>
      </c>
      <c r="CO33" s="29" t="str">
        <f t="shared" si="19"/>
        <v/>
      </c>
      <c r="CP33" s="29" t="str">
        <f t="shared" si="20"/>
        <v/>
      </c>
      <c r="CQ33" s="29">
        <f t="shared" si="21"/>
        <v>0</v>
      </c>
      <c r="CR33" s="13"/>
      <c r="CS33" s="7">
        <f>VLOOKUP(A33,'Empresas 21-23'!$A$2:$M$228,13,0)</f>
        <v>1</v>
      </c>
      <c r="CT33" s="30"/>
      <c r="CU33" s="6">
        <f t="shared" si="22"/>
        <v>2009103397</v>
      </c>
      <c r="CV33" s="6">
        <f t="shared" si="23"/>
        <v>84979393</v>
      </c>
      <c r="CW33" s="6">
        <f t="shared" si="24"/>
        <v>168899049</v>
      </c>
      <c r="CX33" s="23">
        <f t="shared" si="56"/>
        <v>0.43618220285411713</v>
      </c>
      <c r="CY33" s="23">
        <f t="shared" si="57"/>
        <v>1.8449273885701233E-2</v>
      </c>
      <c r="CZ33" s="6">
        <f t="shared" si="25"/>
        <v>2082774156.2527854</v>
      </c>
      <c r="DA33" s="6">
        <f t="shared" si="26"/>
        <v>88095457.814035475</v>
      </c>
      <c r="DB33" s="6">
        <f t="shared" si="27"/>
        <v>37342438</v>
      </c>
      <c r="DC33" s="6">
        <f t="shared" si="28"/>
        <v>39278789</v>
      </c>
      <c r="DD33" s="6">
        <f t="shared" si="29"/>
        <v>52403770</v>
      </c>
      <c r="DE33" s="6">
        <f t="shared" si="30"/>
        <v>113825000</v>
      </c>
      <c r="DF33" s="6">
        <f t="shared" si="31"/>
        <v>56332684.92716039</v>
      </c>
      <c r="DG33" s="30"/>
      <c r="DH33" s="32">
        <f>VLOOKUP(A33,'T_med_comp-USA'!$A$7:$Q$233,17,0)</f>
        <v>12.979402473562621</v>
      </c>
      <c r="DI33" s="6" t="str">
        <f t="shared" si="32"/>
        <v>1_2009</v>
      </c>
      <c r="DJ33" s="32">
        <f>IF(DI33="","",VLOOKUP(DI33,'CPI USA'!$T:$U,2,FALSE))</f>
        <v>214.53700000000001</v>
      </c>
      <c r="DK33" s="32">
        <f>IF(DI33="","",VLOOKUP(DI33,'PPI USA'!$S:$T,2,FALSE))</f>
        <v>159.1</v>
      </c>
      <c r="DL33" s="32">
        <f>IF(DI33="","",VLOOKUP(DI33,'CPI USA'!$T:$V,3,FALSE))</f>
        <v>0.66997101349938215</v>
      </c>
      <c r="DM33" s="32">
        <f>IF(DI33="","",VLOOKUP(DI33,'CPI USA'!$T:$X,5,FALSE))</f>
        <v>0.49813941766071862</v>
      </c>
      <c r="DN33" s="32">
        <f t="shared" si="33"/>
        <v>1.4932638886873792</v>
      </c>
      <c r="DO33" s="32">
        <f t="shared" si="34"/>
        <v>1.5082750176818205</v>
      </c>
      <c r="DP33" s="32">
        <f t="shared" si="35"/>
        <v>0.46610302274973459</v>
      </c>
      <c r="DQ33" s="32">
        <f>IF(DP33="","",DP33*$DO$1/'CPI USA'!$U$508+(1-DP33)*AVERAGE($DO$1,$DQ$1)/AVERAGE('CPI USA'!$U$508,'PPI USA'!$T$514))</f>
        <v>1.1584313608154524</v>
      </c>
      <c r="DR33" s="6">
        <f t="shared" si="36"/>
        <v>6211532</v>
      </c>
      <c r="DS33" s="32">
        <f t="shared" si="37"/>
        <v>0.2</v>
      </c>
      <c r="DT33" s="28">
        <f>IF(DS33="","",DS33*$DO$1/'CPI USA'!$U$508+(1-DS33)*AVERAGE($DO$1,$DQ$1)/AVERAGE('CPI USA'!$U$508,'PPI USA'!$T$514))</f>
        <v>1.1741595760647974</v>
      </c>
      <c r="DU33" s="6">
        <f t="shared" si="38"/>
        <v>28008335.469385631</v>
      </c>
      <c r="DV33" s="6">
        <f t="shared" si="39"/>
        <v>6904442.4977613715</v>
      </c>
      <c r="DW33" s="6">
        <f t="shared" si="40"/>
        <v>10677149.421570348</v>
      </c>
      <c r="DX33" s="16">
        <f t="shared" si="41"/>
        <v>0.2</v>
      </c>
      <c r="DY33" s="28">
        <f>IF(DX33="","",DX33*$DO$1/'CPI USA'!$U$508+(1-DX33)*AVERAGE($DO$1,$DQ$1)/AVERAGE('CPI USA'!$U$508,'PPI USA'!$T$514))</f>
        <v>1.1741595760647974</v>
      </c>
      <c r="DZ33" s="30"/>
      <c r="EA33" s="45" t="str">
        <f t="shared" si="42"/>
        <v>C000379</v>
      </c>
      <c r="EB33" s="29">
        <f t="shared" si="43"/>
        <v>3110131435.8236098</v>
      </c>
      <c r="EC33" s="29">
        <f t="shared" si="44"/>
        <v>132872178.19215243</v>
      </c>
      <c r="ED33" s="29">
        <f t="shared" si="45"/>
        <v>45501780.992453024</v>
      </c>
      <c r="EE33" s="29">
        <f t="shared" si="46"/>
        <v>61530388.367397144</v>
      </c>
      <c r="EF33" s="29">
        <f t="shared" si="47"/>
        <v>66143561.452666447</v>
      </c>
      <c r="EG33" s="29">
        <f t="shared" si="48"/>
        <v>1889</v>
      </c>
      <c r="EH33" s="29">
        <f t="shared" si="49"/>
        <v>402518</v>
      </c>
      <c r="EI33" s="29">
        <f t="shared" si="50"/>
        <v>492745</v>
      </c>
      <c r="EJ33" s="29">
        <f t="shared" si="51"/>
        <v>9234848</v>
      </c>
      <c r="EK33" s="29">
        <f t="shared" si="52"/>
        <v>9689228.2081218269</v>
      </c>
      <c r="EL33" s="29">
        <f>IF(CD33=1,VLOOKUP(EA33,'EIA 2021'!$A$2:$J$213,4,0)*EH33,"")</f>
        <v>79698564</v>
      </c>
      <c r="EM33" s="29">
        <f>IF(CD33=1,VLOOKUP(EA33,'EIA 2021'!$A$2:$J$213,7,0)*EH33,"")</f>
        <v>1195478.46</v>
      </c>
      <c r="EN33" s="29">
        <f>IF(CD33=1,VLOOKUP(EA33,'EIA 2021'!$A$2:$J$213,10,0),"")</f>
        <v>141412</v>
      </c>
      <c r="EO33" s="28">
        <f>IF(CD33=1,VLOOKUP(EA33,'EIA 2021'!$A$2:$Z$213,26,0),"")</f>
        <v>0</v>
      </c>
      <c r="EP33" s="23">
        <f t="shared" si="53"/>
        <v>4.6895397482840898E-2</v>
      </c>
      <c r="EQ33" s="32">
        <f t="shared" si="54"/>
        <v>38364.791878172662</v>
      </c>
      <c r="ER33" s="32">
        <f t="shared" si="55"/>
        <v>454380.20812182734</v>
      </c>
      <c r="ES33" s="6"/>
      <c r="ET33" s="32"/>
    </row>
    <row r="34" spans="1:150" ht="15.75" customHeight="1">
      <c r="A34" s="7" t="s">
        <v>303</v>
      </c>
      <c r="B34" s="7" t="s">
        <v>304</v>
      </c>
      <c r="C34" s="32" t="s">
        <v>305</v>
      </c>
      <c r="D34" s="40">
        <v>267513939</v>
      </c>
      <c r="E34" s="40">
        <v>121881166</v>
      </c>
      <c r="F34" s="40">
        <v>0</v>
      </c>
      <c r="G34" s="40">
        <v>5391099060</v>
      </c>
      <c r="H34" s="40">
        <v>5571134555</v>
      </c>
      <c r="I34" s="40">
        <v>15293547</v>
      </c>
      <c r="J34" s="40">
        <v>5210342</v>
      </c>
      <c r="K34" s="40">
        <v>0</v>
      </c>
      <c r="L34" s="40">
        <v>72057381</v>
      </c>
      <c r="M34" s="40">
        <v>71092265</v>
      </c>
      <c r="N34" s="40">
        <v>18765400</v>
      </c>
      <c r="O34" s="40">
        <v>542057378</v>
      </c>
      <c r="P34" s="40">
        <v>571300</v>
      </c>
      <c r="Q34" s="40">
        <v>7864077</v>
      </c>
      <c r="R34" s="40">
        <v>2517441</v>
      </c>
      <c r="S34" s="40">
        <v>47639024</v>
      </c>
      <c r="T34" s="40">
        <v>2298804751</v>
      </c>
      <c r="U34" s="40">
        <v>54563198</v>
      </c>
      <c r="V34" s="40">
        <v>2239287</v>
      </c>
      <c r="W34" s="40">
        <v>1444761</v>
      </c>
      <c r="X34" s="40">
        <f>IFERROR(VLOOKUP(A34,'Trans 21-23'!$A$2:$J$229,6,0),0)</f>
        <v>0</v>
      </c>
      <c r="Y34" s="41">
        <v>1773277</v>
      </c>
      <c r="Z34" s="41">
        <v>9722333</v>
      </c>
      <c r="AA34" s="41">
        <v>311354925</v>
      </c>
      <c r="AB34" s="41">
        <v>458358903</v>
      </c>
      <c r="AC34" s="41">
        <v>2017198</v>
      </c>
      <c r="AD34" s="41">
        <v>2972622938</v>
      </c>
      <c r="AE34" s="41">
        <v>0</v>
      </c>
      <c r="AF34" s="41">
        <v>14402288951</v>
      </c>
      <c r="AG34" s="41">
        <v>5623301</v>
      </c>
      <c r="AH34" s="41">
        <v>33719679</v>
      </c>
      <c r="AI34" s="41">
        <v>84756483</v>
      </c>
      <c r="AJ34" s="41">
        <v>0</v>
      </c>
      <c r="AK34" s="41">
        <v>44663224</v>
      </c>
      <c r="AL34" s="41">
        <v>28659453</v>
      </c>
      <c r="AM34" s="41">
        <v>35422303</v>
      </c>
      <c r="AN34" s="41">
        <v>13891540</v>
      </c>
      <c r="AO34" s="41">
        <v>288087</v>
      </c>
      <c r="AP34" s="41">
        <v>11546</v>
      </c>
      <c r="AQ34" s="41">
        <v>78857062</v>
      </c>
      <c r="AR34" s="41">
        <v>16842966</v>
      </c>
      <c r="AS34" s="41">
        <v>95700028</v>
      </c>
      <c r="AT34" s="41">
        <v>314926</v>
      </c>
      <c r="AU34" s="41">
        <v>11748</v>
      </c>
      <c r="AV34" s="41">
        <v>0</v>
      </c>
      <c r="AW34" s="41">
        <v>5736575561</v>
      </c>
      <c r="AX34" s="41">
        <v>3583942682</v>
      </c>
      <c r="AY34" s="41">
        <v>5848855156</v>
      </c>
      <c r="AZ34" s="41">
        <v>1372456458</v>
      </c>
      <c r="BA34" s="41">
        <v>316635464</v>
      </c>
      <c r="BB34" s="41">
        <v>37714142407</v>
      </c>
      <c r="BC34" s="41">
        <v>71827480627</v>
      </c>
      <c r="BD34" s="41">
        <v>1379381445</v>
      </c>
      <c r="BE34" s="41">
        <v>16056038423</v>
      </c>
      <c r="BF34" s="41">
        <v>1407258088</v>
      </c>
      <c r="BG34" s="41">
        <v>0</v>
      </c>
      <c r="BH34" s="41">
        <v>561936147</v>
      </c>
      <c r="BI34" s="41">
        <v>125393946</v>
      </c>
      <c r="BJ34" s="41">
        <v>46421479</v>
      </c>
      <c r="BK34" s="41">
        <v>1438679</v>
      </c>
      <c r="BL34" s="41">
        <v>0</v>
      </c>
      <c r="BM34" s="41">
        <v>405958047</v>
      </c>
      <c r="BN34" s="41">
        <v>1736871956</v>
      </c>
      <c r="BO34" s="41">
        <v>0</v>
      </c>
      <c r="BP34" s="41">
        <v>30797802</v>
      </c>
      <c r="BQ34" s="41">
        <v>4274850816</v>
      </c>
      <c r="BR34" s="41">
        <v>269207</v>
      </c>
      <c r="BS34" s="42">
        <f>IFERROR(VLOOKUP(A34,'Trans 21-23'!$A$2:$J$229,5,0),0)</f>
        <v>0</v>
      </c>
      <c r="BT34" s="43"/>
      <c r="BU34" s="6">
        <f t="shared" si="0"/>
        <v>37714142407</v>
      </c>
      <c r="BV34" s="6">
        <f t="shared" si="1"/>
        <v>11748</v>
      </c>
      <c r="BW34" s="6">
        <f t="shared" si="2"/>
        <v>5623301</v>
      </c>
      <c r="BX34" s="6">
        <f t="shared" si="3"/>
        <v>3140120152</v>
      </c>
      <c r="BY34" s="6">
        <f t="shared" si="4"/>
        <v>783226636</v>
      </c>
      <c r="BZ34" s="6">
        <f t="shared" si="5"/>
        <v>1372456458</v>
      </c>
      <c r="CA34" s="6">
        <f t="shared" si="6"/>
        <v>2972622938</v>
      </c>
      <c r="CB34" s="6">
        <f t="shared" si="7"/>
        <v>33719679</v>
      </c>
      <c r="CC34" s="6">
        <f t="shared" si="8"/>
        <v>78857062</v>
      </c>
      <c r="CD34" s="6">
        <f t="shared" si="9"/>
        <v>1</v>
      </c>
      <c r="CE34" s="44">
        <f t="shared" si="10"/>
        <v>10</v>
      </c>
      <c r="CF34" s="27"/>
      <c r="CG34" s="28">
        <f t="shared" si="11"/>
        <v>3210.2606747531495</v>
      </c>
      <c r="CH34" s="28">
        <f t="shared" si="12"/>
        <v>2.0891643538199358</v>
      </c>
      <c r="CI34" s="28">
        <f t="shared" si="13"/>
        <v>558.41224789496414</v>
      </c>
      <c r="CJ34" s="28">
        <f t="shared" si="14"/>
        <v>244.06597797272457</v>
      </c>
      <c r="CK34" s="23">
        <f t="shared" si="15"/>
        <v>0.42760506345011939</v>
      </c>
      <c r="CL34" s="29" t="str">
        <f t="shared" si="16"/>
        <v/>
      </c>
      <c r="CM34" s="29" t="str">
        <f t="shared" si="17"/>
        <v/>
      </c>
      <c r="CN34" s="29" t="str">
        <f t="shared" si="18"/>
        <v/>
      </c>
      <c r="CO34" s="29" t="str">
        <f t="shared" si="19"/>
        <v/>
      </c>
      <c r="CP34" s="29">
        <f t="shared" si="20"/>
        <v>1</v>
      </c>
      <c r="CQ34" s="29">
        <f t="shared" si="21"/>
        <v>1</v>
      </c>
      <c r="CR34" s="13"/>
      <c r="CS34" s="7" t="str">
        <f>VLOOKUP(A34,'Empresas 21-23'!$A$2:$M$228,13,0)</f>
        <v/>
      </c>
      <c r="CT34" s="30"/>
      <c r="CU34" s="6">
        <f t="shared" si="22"/>
        <v>30365371782.200001</v>
      </c>
      <c r="CV34" s="6">
        <f t="shared" si="23"/>
        <v>1372456458</v>
      </c>
      <c r="CW34" s="6">
        <f t="shared" si="24"/>
        <v>1379381445</v>
      </c>
      <c r="CX34" s="23">
        <f t="shared" si="56"/>
        <v>0.43103181114585093</v>
      </c>
      <c r="CY34" s="23">
        <f t="shared" si="57"/>
        <v>1.9481809643356177E-2</v>
      </c>
      <c r="CZ34" s="6">
        <f t="shared" si="25"/>
        <v>30959929064.699333</v>
      </c>
      <c r="DA34" s="6">
        <f t="shared" si="26"/>
        <v>1399329304.7370675</v>
      </c>
      <c r="DB34" s="6">
        <f t="shared" si="27"/>
        <v>3140120152</v>
      </c>
      <c r="DC34" s="6">
        <f t="shared" si="28"/>
        <v>3140120152</v>
      </c>
      <c r="DD34" s="6">
        <f t="shared" si="29"/>
        <v>783226636</v>
      </c>
      <c r="DE34" s="6">
        <f t="shared" si="30"/>
        <v>2972622938</v>
      </c>
      <c r="DF34" s="6">
        <f t="shared" si="31"/>
        <v>2132444668.2226326</v>
      </c>
      <c r="DG34" s="30"/>
      <c r="DH34" s="32">
        <f>VLOOKUP(A34,'T_med_comp-USA'!$A$7:$Q$233,17,0)</f>
        <v>11.417401688452827</v>
      </c>
      <c r="DI34" s="6" t="str">
        <f t="shared" si="32"/>
        <v>8_2010</v>
      </c>
      <c r="DJ34" s="32">
        <f>IF(DI34="","",VLOOKUP(DI34,'CPI USA'!$T:$U,2,FALSE))</f>
        <v>218.05600000000001</v>
      </c>
      <c r="DK34" s="32">
        <f>IF(DI34="","",VLOOKUP(DI34,'PPI USA'!$S:$T,2,FALSE))</f>
        <v>160.80000000000001</v>
      </c>
      <c r="DL34" s="32">
        <f>IF(DI34="","",VLOOKUP(DI34,'CPI USA'!$T:$V,3,FALSE))</f>
        <v>0.67050107279443949</v>
      </c>
      <c r="DM34" s="32">
        <f>IF(DI34="","",VLOOKUP(DI34,'CPI USA'!$T:$X,5,FALSE))</f>
        <v>0.4987389730136107</v>
      </c>
      <c r="DN34" s="32">
        <f t="shared" si="33"/>
        <v>1.4703278680244813</v>
      </c>
      <c r="DO34" s="32">
        <f t="shared" si="34"/>
        <v>1.4857204383544427</v>
      </c>
      <c r="DP34" s="32">
        <f t="shared" si="35"/>
        <v>0.2</v>
      </c>
      <c r="DQ34" s="32">
        <f>IF(DP34="","",DP34*$DO$1/'CPI USA'!$U$508+(1-DP34)*AVERAGE($DO$1,$DQ$1)/AVERAGE('CPI USA'!$U$508,'PPI USA'!$T$514))</f>
        <v>1.1741595760647974</v>
      </c>
      <c r="DR34" s="6">
        <f t="shared" si="36"/>
        <v>173254104</v>
      </c>
      <c r="DS34" s="32">
        <f t="shared" si="37"/>
        <v>0.22120558218604813</v>
      </c>
      <c r="DT34" s="28">
        <f>IF(DS34="","",DS34*$DO$1/'CPI USA'!$U$508+(1-DS34)*AVERAGE($DO$1,$DQ$1)/AVERAGE('CPI USA'!$U$508,'PPI USA'!$T$514))</f>
        <v>1.1729062045034246</v>
      </c>
      <c r="DU34" s="6">
        <f t="shared" si="38"/>
        <v>405958047</v>
      </c>
      <c r="DV34" s="6">
        <f t="shared" si="39"/>
        <v>2945914.0850903359</v>
      </c>
      <c r="DW34" s="6">
        <f t="shared" si="40"/>
        <v>173082537.68882996</v>
      </c>
      <c r="DX34" s="16">
        <f t="shared" si="41"/>
        <v>0.2</v>
      </c>
      <c r="DY34" s="28">
        <f>IF(DX34="","",DX34*$DO$1/'CPI USA'!$U$508+(1-DX34)*AVERAGE($DO$1,$DQ$1)/AVERAGE('CPI USA'!$U$508,'PPI USA'!$T$514))</f>
        <v>1.1741595760647974</v>
      </c>
      <c r="DZ34" s="30"/>
      <c r="EA34" s="45" t="str">
        <f t="shared" si="42"/>
        <v>C000388</v>
      </c>
      <c r="EB34" s="29">
        <f t="shared" si="43"/>
        <v>45521246495.888542</v>
      </c>
      <c r="EC34" s="29">
        <f t="shared" si="44"/>
        <v>2079012148.0361733</v>
      </c>
      <c r="ED34" s="29">
        <f t="shared" si="45"/>
        <v>3687002146.4648471</v>
      </c>
      <c r="EE34" s="29">
        <f t="shared" si="46"/>
        <v>918651380.89674532</v>
      </c>
      <c r="EF34" s="29">
        <f t="shared" si="47"/>
        <v>2503830327.6219239</v>
      </c>
      <c r="EG34" s="29">
        <f t="shared" si="48"/>
        <v>11748</v>
      </c>
      <c r="EH34" s="29">
        <f t="shared" si="49"/>
        <v>5623301</v>
      </c>
      <c r="EI34" s="29">
        <f t="shared" si="50"/>
        <v>33719679</v>
      </c>
      <c r="EJ34" s="29">
        <f t="shared" si="51"/>
        <v>78857062</v>
      </c>
      <c r="EK34" s="29">
        <f t="shared" si="52"/>
        <v>112320249.1319797</v>
      </c>
      <c r="EL34" s="29">
        <f>IF(CD34=1,VLOOKUP(EA34,'EIA 2021'!$A$2:$J$213,4,0)*EH34,"")</f>
        <v>1227004278.2</v>
      </c>
      <c r="EM34" s="29">
        <f>IF(CD34=1,VLOOKUP(EA34,'EIA 2021'!$A$2:$J$213,7,0)*EH34,"")</f>
        <v>10330003.936999999</v>
      </c>
      <c r="EN34" s="29">
        <f>IF(CD34=1,VLOOKUP(EA34,'EIA 2021'!$A$2:$J$213,10,0),"")</f>
        <v>5571340</v>
      </c>
      <c r="EO34" s="28">
        <f>IF(CD34=1,VLOOKUP(EA34,'EIA 2021'!$A$2:$Z$213,26,0),"")</f>
        <v>0</v>
      </c>
      <c r="EP34" s="23">
        <f t="shared" si="53"/>
        <v>0.2979265750440015</v>
      </c>
      <c r="EQ34" s="32">
        <f t="shared" si="54"/>
        <v>256491.86802030355</v>
      </c>
      <c r="ER34" s="32">
        <f t="shared" si="55"/>
        <v>33463187.131979696</v>
      </c>
      <c r="ES34" s="6"/>
      <c r="ET34" s="32"/>
    </row>
    <row r="35" spans="1:150" ht="15.75" customHeight="1">
      <c r="A35" s="7" t="s">
        <v>306</v>
      </c>
      <c r="B35" s="7" t="s">
        <v>307</v>
      </c>
      <c r="C35" s="32" t="s">
        <v>308</v>
      </c>
      <c r="D35" s="40">
        <v>627340893</v>
      </c>
      <c r="E35" s="40">
        <v>57756285</v>
      </c>
      <c r="F35" s="40">
        <v>84654960</v>
      </c>
      <c r="G35" s="40">
        <v>566116835</v>
      </c>
      <c r="H35" s="40">
        <v>372796322</v>
      </c>
      <c r="I35" s="40">
        <v>57205447</v>
      </c>
      <c r="J35" s="40">
        <v>5290966</v>
      </c>
      <c r="K35" s="40">
        <v>1947813</v>
      </c>
      <c r="L35" s="40">
        <v>7853092</v>
      </c>
      <c r="M35" s="40">
        <v>1107912</v>
      </c>
      <c r="N35" s="40">
        <v>318935</v>
      </c>
      <c r="O35" s="40">
        <v>29926522</v>
      </c>
      <c r="P35" s="40">
        <v>0</v>
      </c>
      <c r="Q35" s="40">
        <v>2682932</v>
      </c>
      <c r="R35" s="40">
        <v>1807008</v>
      </c>
      <c r="S35" s="40">
        <v>14924357</v>
      </c>
      <c r="T35" s="40">
        <v>191933212</v>
      </c>
      <c r="U35" s="40">
        <v>11741364</v>
      </c>
      <c r="V35" s="40">
        <v>0</v>
      </c>
      <c r="W35" s="40">
        <v>0</v>
      </c>
      <c r="X35" s="40">
        <f>IFERROR(VLOOKUP(A35,'Trans 21-23'!$A$2:$J$229,6,0),0)</f>
        <v>0</v>
      </c>
      <c r="Y35" s="41">
        <v>6415079</v>
      </c>
      <c r="Z35" s="41">
        <v>0</v>
      </c>
      <c r="AA35" s="41">
        <v>181946499</v>
      </c>
      <c r="AB35" s="41">
        <v>138314201</v>
      </c>
      <c r="AC35" s="41">
        <v>13341432</v>
      </c>
      <c r="AD35" s="41">
        <v>390790254</v>
      </c>
      <c r="AE35" s="41">
        <v>0</v>
      </c>
      <c r="AF35" s="41">
        <v>3106112555</v>
      </c>
      <c r="AG35" s="41">
        <v>2244945</v>
      </c>
      <c r="AH35" s="41">
        <v>1859971</v>
      </c>
      <c r="AI35" s="41">
        <v>47670776</v>
      </c>
      <c r="AJ35" s="41">
        <v>65539</v>
      </c>
      <c r="AK35" s="41">
        <v>0</v>
      </c>
      <c r="AL35" s="41">
        <v>16385999</v>
      </c>
      <c r="AM35" s="41">
        <v>16393143</v>
      </c>
      <c r="AN35" s="41">
        <v>8487229</v>
      </c>
      <c r="AO35" s="41">
        <v>215595</v>
      </c>
      <c r="AP35" s="41">
        <v>0</v>
      </c>
      <c r="AQ35" s="41">
        <v>41481966</v>
      </c>
      <c r="AR35" s="41">
        <v>4263300</v>
      </c>
      <c r="AS35" s="41">
        <v>45745266</v>
      </c>
      <c r="AT35" s="41">
        <v>0</v>
      </c>
      <c r="AU35" s="41">
        <v>10992</v>
      </c>
      <c r="AV35" s="41">
        <v>0</v>
      </c>
      <c r="AW35" s="41">
        <v>2720095095</v>
      </c>
      <c r="AX35" s="41">
        <v>514988884</v>
      </c>
      <c r="AY35" s="41">
        <v>1774779221</v>
      </c>
      <c r="AZ35" s="41">
        <v>433419836</v>
      </c>
      <c r="BA35" s="41">
        <v>263396380</v>
      </c>
      <c r="BB35" s="41">
        <v>10987799788</v>
      </c>
      <c r="BC35" s="41">
        <v>26765651873</v>
      </c>
      <c r="BD35" s="41">
        <v>1493324816</v>
      </c>
      <c r="BE35" s="41">
        <v>3388721004</v>
      </c>
      <c r="BF35" s="41">
        <v>425212316</v>
      </c>
      <c r="BG35" s="41">
        <v>0</v>
      </c>
      <c r="BH35" s="41">
        <v>114948629</v>
      </c>
      <c r="BI35" s="41">
        <v>46014660</v>
      </c>
      <c r="BJ35" s="41">
        <v>23636901</v>
      </c>
      <c r="BK35" s="41">
        <v>4492136</v>
      </c>
      <c r="BL35" s="41">
        <v>0</v>
      </c>
      <c r="BM35" s="41">
        <v>132445721</v>
      </c>
      <c r="BN35" s="41">
        <v>578230767</v>
      </c>
      <c r="BO35" s="41">
        <v>0</v>
      </c>
      <c r="BP35" s="41">
        <v>7941940</v>
      </c>
      <c r="BQ35" s="41">
        <v>1038534673</v>
      </c>
      <c r="BR35" s="41">
        <v>0</v>
      </c>
      <c r="BS35" s="42">
        <f>IFERROR(VLOOKUP(A35,'Trans 21-23'!$A$2:$J$229,5,0),0)</f>
        <v>0</v>
      </c>
      <c r="BT35" s="43"/>
      <c r="BU35" s="6">
        <f t="shared" si="0"/>
        <v>10987799788</v>
      </c>
      <c r="BV35" s="6">
        <f t="shared" si="1"/>
        <v>10992</v>
      </c>
      <c r="BW35" s="6">
        <f t="shared" si="2"/>
        <v>2244945</v>
      </c>
      <c r="BX35" s="6">
        <f t="shared" si="3"/>
        <v>326739560</v>
      </c>
      <c r="BY35" s="6">
        <f t="shared" si="4"/>
        <v>340017211</v>
      </c>
      <c r="BZ35" s="6">
        <f t="shared" si="5"/>
        <v>433419836</v>
      </c>
      <c r="CA35" s="6">
        <f t="shared" si="6"/>
        <v>390790254</v>
      </c>
      <c r="CB35" s="6">
        <f t="shared" si="7"/>
        <v>1859971</v>
      </c>
      <c r="CC35" s="6">
        <f t="shared" si="8"/>
        <v>41481966</v>
      </c>
      <c r="CD35" s="6">
        <f t="shared" si="9"/>
        <v>1</v>
      </c>
      <c r="CE35" s="44">
        <f t="shared" si="10"/>
        <v>15</v>
      </c>
      <c r="CF35" s="27"/>
      <c r="CG35" s="28">
        <f t="shared" si="11"/>
        <v>999.61788464337701</v>
      </c>
      <c r="CH35" s="28">
        <f t="shared" si="12"/>
        <v>4.896333763187962</v>
      </c>
      <c r="CI35" s="28">
        <f t="shared" si="13"/>
        <v>145.54457236146098</v>
      </c>
      <c r="CJ35" s="28">
        <f t="shared" si="14"/>
        <v>193.06479045143644</v>
      </c>
      <c r="CK35" s="23">
        <f t="shared" si="15"/>
        <v>4.4838062882554798E-2</v>
      </c>
      <c r="CL35" s="29" t="str">
        <f t="shared" si="16"/>
        <v/>
      </c>
      <c r="CM35" s="29" t="str">
        <f t="shared" si="17"/>
        <v/>
      </c>
      <c r="CN35" s="29" t="str">
        <f t="shared" si="18"/>
        <v/>
      </c>
      <c r="CO35" s="29" t="str">
        <f t="shared" si="19"/>
        <v/>
      </c>
      <c r="CP35" s="29" t="str">
        <f t="shared" si="20"/>
        <v/>
      </c>
      <c r="CQ35" s="29">
        <f t="shared" si="21"/>
        <v>0</v>
      </c>
      <c r="CR35" s="13"/>
      <c r="CS35" s="7">
        <f>VLOOKUP(A35,'Empresas 21-23'!$A$2:$M$228,13,0)</f>
        <v>1</v>
      </c>
      <c r="CT35" s="30"/>
      <c r="CU35" s="6">
        <f t="shared" si="22"/>
        <v>8917122709</v>
      </c>
      <c r="CV35" s="6">
        <f t="shared" si="23"/>
        <v>433419836</v>
      </c>
      <c r="CW35" s="6">
        <f t="shared" si="24"/>
        <v>1493324816</v>
      </c>
      <c r="CX35" s="23">
        <f t="shared" si="56"/>
        <v>0.35284137819552752</v>
      </c>
      <c r="CY35" s="23">
        <f t="shared" si="57"/>
        <v>1.7149977325888958E-2</v>
      </c>
      <c r="CZ35" s="6">
        <f t="shared" si="25"/>
        <v>9444029495.1710224</v>
      </c>
      <c r="DA35" s="6">
        <f t="shared" si="26"/>
        <v>459030322.73458731</v>
      </c>
      <c r="DB35" s="6">
        <f t="shared" si="27"/>
        <v>326739560</v>
      </c>
      <c r="DC35" s="6">
        <f t="shared" si="28"/>
        <v>326739560</v>
      </c>
      <c r="DD35" s="6">
        <f t="shared" si="29"/>
        <v>340017211</v>
      </c>
      <c r="DE35" s="6">
        <f t="shared" si="30"/>
        <v>390790254</v>
      </c>
      <c r="DF35" s="6">
        <f t="shared" si="31"/>
        <v>165670385.08832231</v>
      </c>
      <c r="DG35" s="30"/>
      <c r="DH35" s="32">
        <f>VLOOKUP(A35,'T_med_comp-USA'!$A$7:$Q$233,17,0)</f>
        <v>7.5595135170292345</v>
      </c>
      <c r="DI35" s="6" t="str">
        <f t="shared" si="32"/>
        <v>6_2014</v>
      </c>
      <c r="DJ35" s="32">
        <f>IF(DI35="","",VLOOKUP(DI35,'CPI USA'!$T:$U,2,FALSE))</f>
        <v>238.34299999999999</v>
      </c>
      <c r="DK35" s="32">
        <f>IF(DI35="","",VLOOKUP(DI35,'PPI USA'!$S:$T,2,FALSE))</f>
        <v>186.8</v>
      </c>
      <c r="DL35" s="32">
        <f>IF(DI35="","",VLOOKUP(DI35,'CPI USA'!$T:$V,3,FALSE))</f>
        <v>0.66756601812039096</v>
      </c>
      <c r="DM35" s="32">
        <f>IF(DI35="","",VLOOKUP(DI35,'CPI USA'!$T:$X,5,FALSE))</f>
        <v>0.49542529667095003</v>
      </c>
      <c r="DN35" s="32">
        <f t="shared" si="33"/>
        <v>1.3333321386506967</v>
      </c>
      <c r="DO35" s="32">
        <f t="shared" si="34"/>
        <v>1.3411868456226204</v>
      </c>
      <c r="DP35" s="32">
        <f t="shared" si="35"/>
        <v>0.35180505537805096</v>
      </c>
      <c r="DQ35" s="32">
        <f>IF(DP35="","",DP35*$DO$1/'CPI USA'!$U$508+(1-DP35)*AVERAGE($DO$1,$DQ$1)/AVERAGE('CPI USA'!$U$508,'PPI USA'!$T$514))</f>
        <v>1.1651870264024424</v>
      </c>
      <c r="DR35" s="6">
        <f t="shared" si="36"/>
        <v>74143697</v>
      </c>
      <c r="DS35" s="32">
        <f t="shared" si="37"/>
        <v>0.2180586588012452</v>
      </c>
      <c r="DT35" s="28">
        <f>IF(DS35="","",DS35*$DO$1/'CPI USA'!$U$508+(1-DS35)*AVERAGE($DO$1,$DQ$1)/AVERAGE('CPI USA'!$U$508,'PPI USA'!$T$514))</f>
        <v>1.1730922057290323</v>
      </c>
      <c r="DU35" s="6">
        <f t="shared" si="38"/>
        <v>132445721</v>
      </c>
      <c r="DV35" s="6">
        <f t="shared" si="39"/>
        <v>1020651.4520792182</v>
      </c>
      <c r="DW35" s="6">
        <f t="shared" si="40"/>
        <v>43646011.679184794</v>
      </c>
      <c r="DX35" s="16">
        <f t="shared" si="41"/>
        <v>0.26345089773236297</v>
      </c>
      <c r="DY35" s="28">
        <f>IF(DX35="","",DX35*$DO$1/'CPI USA'!$U$508+(1-DX35)*AVERAGE($DO$1,$DQ$1)/AVERAGE('CPI USA'!$U$508,'PPI USA'!$T$514))</f>
        <v>1.1704092639977399</v>
      </c>
      <c r="DZ35" s="30"/>
      <c r="EA35" s="45" t="str">
        <f t="shared" si="42"/>
        <v>C000415</v>
      </c>
      <c r="EB35" s="29">
        <f t="shared" si="43"/>
        <v>12592028044.276638</v>
      </c>
      <c r="EC35" s="29">
        <f t="shared" si="44"/>
        <v>615645430.59353459</v>
      </c>
      <c r="ED35" s="29">
        <f t="shared" si="45"/>
        <v>380712696.32444245</v>
      </c>
      <c r="EE35" s="29">
        <f t="shared" si="46"/>
        <v>398871540.0378238</v>
      </c>
      <c r="EF35" s="29">
        <f t="shared" si="47"/>
        <v>193902153.47744545</v>
      </c>
      <c r="EG35" s="29">
        <f t="shared" si="48"/>
        <v>10992</v>
      </c>
      <c r="EH35" s="29">
        <f t="shared" si="49"/>
        <v>2244945</v>
      </c>
      <c r="EI35" s="29">
        <f t="shared" si="50"/>
        <v>1859971</v>
      </c>
      <c r="EJ35" s="29">
        <f t="shared" si="51"/>
        <v>41481966</v>
      </c>
      <c r="EK35" s="29">
        <f t="shared" si="52"/>
        <v>43277013.649746194</v>
      </c>
      <c r="EL35" s="29">
        <f>IF(CD35=1,VLOOKUP(EA35,'EIA 2021'!$A$2:$J$213,4,0)*EH35,"")</f>
        <v>304416786.94499999</v>
      </c>
      <c r="EM35" s="29">
        <f>IF(CD35=1,VLOOKUP(EA35,'EIA 2021'!$A$2:$J$213,7,0)*EH35,"")</f>
        <v>3549258.0449999999</v>
      </c>
      <c r="EN35" s="29">
        <f>IF(CD35=1,VLOOKUP(EA35,'EIA 2021'!$A$2:$J$213,10,0),"")</f>
        <v>2568600</v>
      </c>
      <c r="EO35" s="28">
        <f>IF(CD35=1,VLOOKUP(EA35,'EIA 2021'!$A$2:$Z$213,26,0),"")</f>
        <v>0</v>
      </c>
      <c r="EP35" s="23">
        <f t="shared" si="53"/>
        <v>4.1478084977721652E-2</v>
      </c>
      <c r="EQ35" s="32">
        <f t="shared" si="54"/>
        <v>64923.350253807381</v>
      </c>
      <c r="ER35" s="32">
        <f t="shared" si="55"/>
        <v>1795047.6497461926</v>
      </c>
      <c r="ES35" s="6"/>
      <c r="ET35" s="32"/>
    </row>
    <row r="36" spans="1:150" ht="15.75" customHeight="1">
      <c r="A36" s="7" t="s">
        <v>309</v>
      </c>
      <c r="B36" s="7" t="s">
        <v>310</v>
      </c>
      <c r="C36" s="32" t="s">
        <v>311</v>
      </c>
      <c r="D36" s="40">
        <v>424571967</v>
      </c>
      <c r="E36" s="40">
        <v>0</v>
      </c>
      <c r="F36" s="40">
        <v>0</v>
      </c>
      <c r="G36" s="40">
        <v>159952881</v>
      </c>
      <c r="H36" s="40">
        <v>132162583</v>
      </c>
      <c r="I36" s="40">
        <v>1377596</v>
      </c>
      <c r="J36" s="40">
        <v>218127</v>
      </c>
      <c r="K36" s="40">
        <v>0</v>
      </c>
      <c r="L36" s="40">
        <v>1109735</v>
      </c>
      <c r="M36" s="40">
        <v>778391</v>
      </c>
      <c r="N36" s="40">
        <v>0</v>
      </c>
      <c r="O36" s="40">
        <v>1442143</v>
      </c>
      <c r="P36" s="40">
        <v>2991030</v>
      </c>
      <c r="Q36" s="40">
        <v>914796</v>
      </c>
      <c r="R36" s="40">
        <v>0</v>
      </c>
      <c r="S36" s="40">
        <v>3822331</v>
      </c>
      <c r="T36" s="40">
        <v>21529480</v>
      </c>
      <c r="U36" s="40">
        <v>260471</v>
      </c>
      <c r="V36" s="40">
        <v>355948</v>
      </c>
      <c r="W36" s="40">
        <v>0</v>
      </c>
      <c r="X36" s="40">
        <f>IFERROR(VLOOKUP(A36,'Trans 21-23'!$A$2:$J$229,6,0),0)</f>
        <v>190283</v>
      </c>
      <c r="Y36" s="41">
        <v>777919</v>
      </c>
      <c r="Z36" s="41">
        <v>2341642</v>
      </c>
      <c r="AA36" s="41">
        <v>17237073</v>
      </c>
      <c r="AB36" s="41">
        <v>14810283</v>
      </c>
      <c r="AC36" s="41">
        <v>4199271</v>
      </c>
      <c r="AD36" s="41">
        <v>73848930</v>
      </c>
      <c r="AE36" s="41">
        <v>0</v>
      </c>
      <c r="AF36" s="41">
        <v>843344126</v>
      </c>
      <c r="AG36" s="41">
        <v>291377</v>
      </c>
      <c r="AH36" s="41">
        <v>633205</v>
      </c>
      <c r="AI36" s="41">
        <v>12052537</v>
      </c>
      <c r="AJ36" s="41">
        <v>27153</v>
      </c>
      <c r="AK36" s="41">
        <v>0</v>
      </c>
      <c r="AL36" s="41">
        <v>3653029</v>
      </c>
      <c r="AM36" s="41">
        <v>2563592</v>
      </c>
      <c r="AN36" s="41">
        <v>2169700</v>
      </c>
      <c r="AO36" s="41">
        <v>18544</v>
      </c>
      <c r="AP36" s="41">
        <v>107663</v>
      </c>
      <c r="AQ36" s="41">
        <v>8512528</v>
      </c>
      <c r="AR36" s="41">
        <v>2879651</v>
      </c>
      <c r="AS36" s="41">
        <v>11392179</v>
      </c>
      <c r="AT36" s="41">
        <v>0</v>
      </c>
      <c r="AU36" s="41">
        <v>2649</v>
      </c>
      <c r="AV36" s="41">
        <v>0</v>
      </c>
      <c r="AW36" s="41">
        <v>454028627</v>
      </c>
      <c r="AX36" s="41">
        <v>82536328</v>
      </c>
      <c r="AY36" s="41">
        <v>122881833</v>
      </c>
      <c r="AZ36" s="41">
        <v>88903716</v>
      </c>
      <c r="BA36" s="41">
        <v>82616882</v>
      </c>
      <c r="BB36" s="41">
        <v>1932871283</v>
      </c>
      <c r="BC36" s="41">
        <v>5645368881</v>
      </c>
      <c r="BD36" s="41">
        <v>253204113</v>
      </c>
      <c r="BE36" s="41">
        <v>593068265</v>
      </c>
      <c r="BF36" s="41">
        <v>46398510</v>
      </c>
      <c r="BG36" s="41">
        <v>0</v>
      </c>
      <c r="BH36" s="41">
        <v>14428676</v>
      </c>
      <c r="BI36" s="41">
        <v>4140640</v>
      </c>
      <c r="BJ36" s="41">
        <v>3405057</v>
      </c>
      <c r="BK36" s="41">
        <v>1673592</v>
      </c>
      <c r="BL36" s="41">
        <v>0</v>
      </c>
      <c r="BM36" s="41">
        <v>2913120</v>
      </c>
      <c r="BN36" s="41">
        <v>64659154</v>
      </c>
      <c r="BO36" s="41">
        <v>4044655</v>
      </c>
      <c r="BP36" s="41">
        <v>9915785</v>
      </c>
      <c r="BQ36" s="41">
        <v>94713385</v>
      </c>
      <c r="BR36" s="41">
        <v>0</v>
      </c>
      <c r="BS36" s="42">
        <f>IFERROR(VLOOKUP(A36,'Trans 21-23'!$A$2:$J$229,5,0),0)</f>
        <v>12123990</v>
      </c>
      <c r="BT36" s="43"/>
      <c r="BU36" s="6">
        <f t="shared" si="0"/>
        <v>1932871283</v>
      </c>
      <c r="BV36" s="6">
        <f t="shared" si="1"/>
        <v>2649</v>
      </c>
      <c r="BW36" s="6">
        <f t="shared" si="2"/>
        <v>291377</v>
      </c>
      <c r="BX36" s="6">
        <f t="shared" si="3"/>
        <v>34800048</v>
      </c>
      <c r="BY36" s="6">
        <f t="shared" si="4"/>
        <v>39366188</v>
      </c>
      <c r="BZ36" s="6">
        <f t="shared" si="5"/>
        <v>88903716</v>
      </c>
      <c r="CA36" s="6">
        <f t="shared" si="6"/>
        <v>73848930</v>
      </c>
      <c r="CB36" s="6">
        <f t="shared" si="7"/>
        <v>633205</v>
      </c>
      <c r="CC36" s="6">
        <f t="shared" si="8"/>
        <v>8512528</v>
      </c>
      <c r="CD36" s="6">
        <f t="shared" si="9"/>
        <v>1</v>
      </c>
      <c r="CE36" s="44">
        <f t="shared" si="10"/>
        <v>13</v>
      </c>
      <c r="CF36" s="27"/>
      <c r="CG36" s="28">
        <f t="shared" si="11"/>
        <v>729.66073348433372</v>
      </c>
      <c r="CH36" s="28">
        <f t="shared" si="12"/>
        <v>9.0913146885306659</v>
      </c>
      <c r="CI36" s="28">
        <f t="shared" si="13"/>
        <v>119.43306438051047</v>
      </c>
      <c r="CJ36" s="28">
        <f t="shared" si="14"/>
        <v>305.11576411315923</v>
      </c>
      <c r="CK36" s="23">
        <f t="shared" si="15"/>
        <v>7.4385071038826536E-2</v>
      </c>
      <c r="CL36" s="29" t="str">
        <f t="shared" si="16"/>
        <v/>
      </c>
      <c r="CM36" s="29" t="str">
        <f t="shared" si="17"/>
        <v/>
      </c>
      <c r="CN36" s="29" t="str">
        <f t="shared" si="18"/>
        <v/>
      </c>
      <c r="CO36" s="29" t="str">
        <f t="shared" si="19"/>
        <v/>
      </c>
      <c r="CP36" s="29" t="str">
        <f t="shared" si="20"/>
        <v/>
      </c>
      <c r="CQ36" s="29">
        <f t="shared" si="21"/>
        <v>0</v>
      </c>
      <c r="CR36" s="13"/>
      <c r="CS36" s="7">
        <f>VLOOKUP(A36,'Empresas 21-23'!$A$2:$M$228,13,0)</f>
        <v>1</v>
      </c>
      <c r="CT36" s="30"/>
      <c r="CU36" s="6">
        <f t="shared" si="22"/>
        <v>1650223778.4000001</v>
      </c>
      <c r="CV36" s="6">
        <f t="shared" si="23"/>
        <v>88903716</v>
      </c>
      <c r="CW36" s="6">
        <f t="shared" si="24"/>
        <v>253204113</v>
      </c>
      <c r="CX36" s="23">
        <f t="shared" si="56"/>
        <v>0.30604105204524051</v>
      </c>
      <c r="CY36" s="23">
        <f t="shared" si="57"/>
        <v>1.648757406813723E-2</v>
      </c>
      <c r="CZ36" s="6">
        <f t="shared" si="25"/>
        <v>1727714631.5247021</v>
      </c>
      <c r="DA36" s="6">
        <f t="shared" si="26"/>
        <v>93078437.567444488</v>
      </c>
      <c r="DB36" s="6">
        <f t="shared" si="27"/>
        <v>34800048</v>
      </c>
      <c r="DC36" s="6">
        <f t="shared" si="28"/>
        <v>34990331</v>
      </c>
      <c r="DD36" s="6">
        <f t="shared" si="29"/>
        <v>39366188</v>
      </c>
      <c r="DE36" s="6">
        <f t="shared" si="30"/>
        <v>73848930</v>
      </c>
      <c r="DF36" s="6">
        <f t="shared" si="31"/>
        <v>25809046.315241352</v>
      </c>
      <c r="DG36" s="30"/>
      <c r="DH36" s="32">
        <f>VLOOKUP(A36,'T_med_comp-USA'!$A$7:$Q$233,17,0)</f>
        <v>13.841143974915161</v>
      </c>
      <c r="DI36" s="6" t="str">
        <f t="shared" si="32"/>
        <v>3_2008</v>
      </c>
      <c r="DJ36" s="32">
        <f>IF(DI36="","",VLOOKUP(DI36,'CPI USA'!$T:$U,2,FALSE))</f>
        <v>215.303</v>
      </c>
      <c r="DK36" s="32">
        <f>IF(DI36="","",VLOOKUP(DI36,'PPI USA'!$S:$T,2,FALSE))</f>
        <v>159.30000000000001</v>
      </c>
      <c r="DL36" s="32">
        <f>IF(DI36="","",VLOOKUP(DI36,'CPI USA'!$T:$V,3,FALSE))</f>
        <v>0.67018812038291731</v>
      </c>
      <c r="DM36" s="32">
        <f>IF(DI36="","",VLOOKUP(DI36,'CPI USA'!$T:$X,5,FALSE))</f>
        <v>0.49838492968660258</v>
      </c>
      <c r="DN36" s="32">
        <f t="shared" si="33"/>
        <v>1.4884333659448254</v>
      </c>
      <c r="DO36" s="32">
        <f t="shared" si="34"/>
        <v>1.5036496327119213</v>
      </c>
      <c r="DP36" s="32">
        <f t="shared" si="35"/>
        <v>0.44055226228555916</v>
      </c>
      <c r="DQ36" s="32">
        <f>IF(DP36="","",DP36*$DO$1/'CPI USA'!$U$508+(1-DP36)*AVERAGE($DO$1,$DQ$1)/AVERAGE('CPI USA'!$U$508,'PPI USA'!$T$514))</f>
        <v>1.1599415573408898</v>
      </c>
      <c r="DR36" s="6">
        <f t="shared" si="36"/>
        <v>9219289</v>
      </c>
      <c r="DS36" s="32">
        <f t="shared" si="37"/>
        <v>0.24884267677399949</v>
      </c>
      <c r="DT36" s="28">
        <f>IF(DS36="","",DS36*$DO$1/'CPI USA'!$U$508+(1-DS36)*AVERAGE($DO$1,$DQ$1)/AVERAGE('CPI USA'!$U$508,'PPI USA'!$T$514))</f>
        <v>1.1712726936621944</v>
      </c>
      <c r="DU36" s="6">
        <f t="shared" si="38"/>
        <v>3095345.7893074197</v>
      </c>
      <c r="DV36" s="6">
        <f t="shared" si="39"/>
        <v>340644.91918639204</v>
      </c>
      <c r="DW36" s="6">
        <f t="shared" si="40"/>
        <v>1256654.0541929586</v>
      </c>
      <c r="DX36" s="16">
        <f t="shared" si="41"/>
        <v>0.2</v>
      </c>
      <c r="DY36" s="28">
        <f>IF(DX36="","",DX36*$DO$1/'CPI USA'!$U$508+(1-DX36)*AVERAGE($DO$1,$DQ$1)/AVERAGE('CPI USA'!$U$508,'PPI USA'!$T$514))</f>
        <v>1.1741595760647974</v>
      </c>
      <c r="DZ36" s="30"/>
      <c r="EA36" s="45" t="str">
        <f t="shared" si="42"/>
        <v>C000447</v>
      </c>
      <c r="EB36" s="29">
        <f t="shared" si="43"/>
        <v>2571588104.392436</v>
      </c>
      <c r="EC36" s="29">
        <f t="shared" si="44"/>
        <v>139957358.46168742</v>
      </c>
      <c r="ED36" s="29">
        <f t="shared" si="45"/>
        <v>40586739.032013215</v>
      </c>
      <c r="EE36" s="29">
        <f t="shared" si="46"/>
        <v>46108541.057972357</v>
      </c>
      <c r="EF36" s="29">
        <f t="shared" si="47"/>
        <v>30303938.880140506</v>
      </c>
      <c r="EG36" s="29">
        <f t="shared" si="48"/>
        <v>2649</v>
      </c>
      <c r="EH36" s="29">
        <f t="shared" si="49"/>
        <v>291377</v>
      </c>
      <c r="EI36" s="29">
        <f t="shared" si="50"/>
        <v>633205</v>
      </c>
      <c r="EJ36" s="29">
        <f t="shared" si="51"/>
        <v>8512528</v>
      </c>
      <c r="EK36" s="29">
        <f t="shared" si="52"/>
        <v>9101880.4467005078</v>
      </c>
      <c r="EL36" s="29">
        <f>IF(CD36=1,VLOOKUP(EA36,'EIA 2021'!$A$2:$J$213,4,0)*EH36,"")</f>
        <v>804200.5199999999</v>
      </c>
      <c r="EM36" s="29">
        <f>IF(CD36=1,VLOOKUP(EA36,'EIA 2021'!$A$2:$J$213,7,0)*EH36,"")</f>
        <v>917837.54999999993</v>
      </c>
      <c r="EN36" s="29">
        <f>IF(CD36=1,VLOOKUP(EA36,'EIA 2021'!$A$2:$J$213,10,0),"")</f>
        <v>291376</v>
      </c>
      <c r="EO36" s="28">
        <f>IF(CD36=1,VLOOKUP(EA36,'EIA 2021'!$A$2:$Z$213,26,0),"")</f>
        <v>0</v>
      </c>
      <c r="EP36" s="23">
        <f t="shared" si="53"/>
        <v>6.4750624901269926E-2</v>
      </c>
      <c r="EQ36" s="32">
        <f t="shared" si="54"/>
        <v>43852.553299492225</v>
      </c>
      <c r="ER36" s="32">
        <f t="shared" si="55"/>
        <v>589352.44670050777</v>
      </c>
      <c r="ES36" s="6"/>
      <c r="ET36" s="32"/>
    </row>
    <row r="37" spans="1:150" ht="15.75" customHeight="1">
      <c r="A37" s="7" t="s">
        <v>312</v>
      </c>
      <c r="B37" s="7" t="s">
        <v>313</v>
      </c>
      <c r="C37" s="32" t="s">
        <v>314</v>
      </c>
      <c r="D37" s="40">
        <v>157185039</v>
      </c>
      <c r="E37" s="40">
        <v>38902940</v>
      </c>
      <c r="F37" s="40">
        <v>37985764</v>
      </c>
      <c r="G37" s="40">
        <v>83978706</v>
      </c>
      <c r="H37" s="40">
        <v>84943070</v>
      </c>
      <c r="I37" s="40">
        <v>981209</v>
      </c>
      <c r="J37" s="40">
        <v>1160369</v>
      </c>
      <c r="K37" s="40">
        <v>0</v>
      </c>
      <c r="L37" s="40">
        <v>744711</v>
      </c>
      <c r="M37" s="40">
        <v>775119</v>
      </c>
      <c r="N37" s="40">
        <v>625418</v>
      </c>
      <c r="O37" s="40">
        <v>9649064</v>
      </c>
      <c r="P37" s="40">
        <v>338795</v>
      </c>
      <c r="Q37" s="40">
        <v>58303</v>
      </c>
      <c r="R37" s="40">
        <v>7203</v>
      </c>
      <c r="S37" s="40">
        <v>2028776</v>
      </c>
      <c r="T37" s="40">
        <v>6812627</v>
      </c>
      <c r="U37" s="40">
        <v>1078981</v>
      </c>
      <c r="V37" s="40">
        <v>2350</v>
      </c>
      <c r="W37" s="40">
        <v>648703</v>
      </c>
      <c r="X37" s="40">
        <f>IFERROR(VLOOKUP(A37,'Trans 21-23'!$A$2:$J$229,6,0),0)</f>
        <v>2659749</v>
      </c>
      <c r="Y37" s="41">
        <v>2128854</v>
      </c>
      <c r="Z37" s="41">
        <v>364851</v>
      </c>
      <c r="AA37" s="41">
        <v>21432893</v>
      </c>
      <c r="AB37" s="41">
        <v>152811</v>
      </c>
      <c r="AC37" s="41">
        <v>0</v>
      </c>
      <c r="AD37" s="41">
        <v>110713732</v>
      </c>
      <c r="AE37" s="41">
        <v>0</v>
      </c>
      <c r="AF37" s="41">
        <v>649313854</v>
      </c>
      <c r="AG37" s="41">
        <v>445670</v>
      </c>
      <c r="AH37" s="41">
        <v>453096</v>
      </c>
      <c r="AI37" s="41">
        <v>11867768</v>
      </c>
      <c r="AJ37" s="41">
        <v>13068</v>
      </c>
      <c r="AK37" s="41">
        <v>0</v>
      </c>
      <c r="AL37" s="41">
        <v>3182430</v>
      </c>
      <c r="AM37" s="41">
        <v>2358972</v>
      </c>
      <c r="AN37" s="41">
        <v>1041238</v>
      </c>
      <c r="AO37" s="41">
        <v>39189</v>
      </c>
      <c r="AP37" s="41">
        <v>1502307</v>
      </c>
      <c r="AQ37" s="41">
        <v>8124136</v>
      </c>
      <c r="AR37" s="41">
        <v>3277468</v>
      </c>
      <c r="AS37" s="41">
        <v>11401604</v>
      </c>
      <c r="AT37" s="41">
        <v>0</v>
      </c>
      <c r="AU37" s="41">
        <v>2051</v>
      </c>
      <c r="AV37" s="41">
        <v>0</v>
      </c>
      <c r="AW37" s="41">
        <v>140160297</v>
      </c>
      <c r="AX37" s="41">
        <v>155360679</v>
      </c>
      <c r="AY37" s="41">
        <v>185145893</v>
      </c>
      <c r="AZ37" s="41">
        <v>70189514</v>
      </c>
      <c r="BA37" s="41">
        <v>12332655</v>
      </c>
      <c r="BB37" s="41">
        <v>1520311137</v>
      </c>
      <c r="BC37" s="41">
        <v>5719241489</v>
      </c>
      <c r="BD37" s="41">
        <v>281228008</v>
      </c>
      <c r="BE37" s="41">
        <v>430918242</v>
      </c>
      <c r="BF37" s="41">
        <v>26452600</v>
      </c>
      <c r="BG37" s="41">
        <v>0</v>
      </c>
      <c r="BH37" s="41">
        <v>15660913</v>
      </c>
      <c r="BI37" s="41">
        <v>8496879</v>
      </c>
      <c r="BJ37" s="41">
        <v>0</v>
      </c>
      <c r="BK37" s="41">
        <v>0</v>
      </c>
      <c r="BL37" s="41">
        <v>0</v>
      </c>
      <c r="BM37" s="41">
        <v>42384427</v>
      </c>
      <c r="BN37" s="41">
        <v>93791624</v>
      </c>
      <c r="BO37" s="41">
        <v>1731698</v>
      </c>
      <c r="BP37" s="41">
        <v>1475760</v>
      </c>
      <c r="BQ37" s="41">
        <v>124771385</v>
      </c>
      <c r="BR37" s="41">
        <v>0</v>
      </c>
      <c r="BS37" s="42">
        <f>IFERROR(VLOOKUP(A37,'Trans 21-23'!$A$2:$J$229,5,0),0)</f>
        <v>169467586</v>
      </c>
      <c r="BT37" s="43"/>
      <c r="BU37" s="6">
        <f t="shared" si="0"/>
        <v>1520311137</v>
      </c>
      <c r="BV37" s="6">
        <f t="shared" si="1"/>
        <v>2051</v>
      </c>
      <c r="BW37" s="6">
        <f t="shared" si="2"/>
        <v>445670</v>
      </c>
      <c r="BX37" s="6">
        <f t="shared" si="3"/>
        <v>24911628</v>
      </c>
      <c r="BY37" s="6">
        <f t="shared" si="4"/>
        <v>24079409</v>
      </c>
      <c r="BZ37" s="6">
        <f t="shared" si="5"/>
        <v>70189514</v>
      </c>
      <c r="CA37" s="6">
        <f t="shared" si="6"/>
        <v>110713732</v>
      </c>
      <c r="CB37" s="6">
        <f t="shared" si="7"/>
        <v>453096</v>
      </c>
      <c r="CC37" s="6">
        <f t="shared" si="8"/>
        <v>8124136</v>
      </c>
      <c r="CD37" s="6">
        <f t="shared" si="9"/>
        <v>1</v>
      </c>
      <c r="CE37" s="44">
        <f t="shared" si="10"/>
        <v>11</v>
      </c>
      <c r="CF37" s="27"/>
      <c r="CG37" s="28">
        <f t="shared" si="11"/>
        <v>741.25360165772793</v>
      </c>
      <c r="CH37" s="28">
        <f t="shared" si="12"/>
        <v>4.6020598200462226</v>
      </c>
      <c r="CI37" s="28">
        <f t="shared" si="13"/>
        <v>55.897026948190366</v>
      </c>
      <c r="CJ37" s="28">
        <f t="shared" si="14"/>
        <v>157.49212197365765</v>
      </c>
      <c r="CK37" s="23">
        <f t="shared" si="15"/>
        <v>5.5771592203774041E-2</v>
      </c>
      <c r="CL37" s="29" t="str">
        <f t="shared" si="16"/>
        <v/>
      </c>
      <c r="CM37" s="29" t="str">
        <f t="shared" si="17"/>
        <v/>
      </c>
      <c r="CN37" s="29" t="str">
        <f t="shared" si="18"/>
        <v/>
      </c>
      <c r="CO37" s="29" t="str">
        <f t="shared" si="19"/>
        <v/>
      </c>
      <c r="CP37" s="29" t="str">
        <f t="shared" si="20"/>
        <v/>
      </c>
      <c r="CQ37" s="29">
        <f t="shared" si="21"/>
        <v>0</v>
      </c>
      <c r="CR37" s="13"/>
      <c r="CS37" s="7">
        <f>VLOOKUP(A37,'Empresas 21-23'!$A$2:$M$228,13,0)</f>
        <v>1</v>
      </c>
      <c r="CT37" s="30"/>
      <c r="CU37" s="6">
        <f t="shared" si="22"/>
        <v>1402952610.8</v>
      </c>
      <c r="CV37" s="6">
        <f t="shared" si="23"/>
        <v>70189514</v>
      </c>
      <c r="CW37" s="6">
        <f t="shared" si="24"/>
        <v>281228008</v>
      </c>
      <c r="CX37" s="23">
        <f t="shared" si="56"/>
        <v>0.25798991041522945</v>
      </c>
      <c r="CY37" s="23">
        <f t="shared" si="57"/>
        <v>1.290719749872573E-2</v>
      </c>
      <c r="CZ37" s="6">
        <f t="shared" si="25"/>
        <v>1475506599.3901734</v>
      </c>
      <c r="DA37" s="6">
        <f t="shared" si="26"/>
        <v>73819379.441429213</v>
      </c>
      <c r="DB37" s="6">
        <f t="shared" si="27"/>
        <v>24911628</v>
      </c>
      <c r="DC37" s="6">
        <f t="shared" si="28"/>
        <v>27571377</v>
      </c>
      <c r="DD37" s="6">
        <f t="shared" si="29"/>
        <v>24079409</v>
      </c>
      <c r="DE37" s="6">
        <f t="shared" si="30"/>
        <v>110713732</v>
      </c>
      <c r="DF37" s="6">
        <f t="shared" si="31"/>
        <v>26042285.749475393</v>
      </c>
      <c r="DG37" s="30"/>
      <c r="DH37" s="32">
        <f>VLOOKUP(A37,'T_med_comp-USA'!$A$7:$Q$233,17,0)</f>
        <v>13.765194100478434</v>
      </c>
      <c r="DI37" s="6" t="str">
        <f t="shared" si="32"/>
        <v>3_2008</v>
      </c>
      <c r="DJ37" s="32">
        <f>IF(DI37="","",VLOOKUP(DI37,'CPI USA'!$T:$U,2,FALSE))</f>
        <v>215.303</v>
      </c>
      <c r="DK37" s="32">
        <f>IF(DI37="","",VLOOKUP(DI37,'PPI USA'!$S:$T,2,FALSE))</f>
        <v>159.30000000000001</v>
      </c>
      <c r="DL37" s="32">
        <f>IF(DI37="","",VLOOKUP(DI37,'CPI USA'!$T:$V,3,FALSE))</f>
        <v>0.67018812038291731</v>
      </c>
      <c r="DM37" s="32">
        <f>IF(DI37="","",VLOOKUP(DI37,'CPI USA'!$T:$X,5,FALSE))</f>
        <v>0.49838492968660258</v>
      </c>
      <c r="DN37" s="32">
        <f t="shared" si="33"/>
        <v>1.4884333659448254</v>
      </c>
      <c r="DO37" s="32">
        <f t="shared" si="34"/>
        <v>1.5036496327119213</v>
      </c>
      <c r="DP37" s="32">
        <f t="shared" si="35"/>
        <v>0.6402658356269838</v>
      </c>
      <c r="DQ37" s="32">
        <f>IF(DP37="","",DP37*$DO$1/'CPI USA'!$U$508+(1-DP37)*AVERAGE($DO$1,$DQ$1)/AVERAGE('CPI USA'!$U$508,'PPI USA'!$T$514))</f>
        <v>1.1481373394208101</v>
      </c>
      <c r="DR37" s="6">
        <f t="shared" si="36"/>
        <v>8496879</v>
      </c>
      <c r="DS37" s="32">
        <f t="shared" si="37"/>
        <v>0.359384193478894</v>
      </c>
      <c r="DT37" s="28">
        <f>IF(DS37="","",DS37*$DO$1/'CPI USA'!$U$508+(1-DS37)*AVERAGE($DO$1,$DQ$1)/AVERAGE('CPI USA'!$U$508,'PPI USA'!$T$514))</f>
        <v>1.1647390558599708</v>
      </c>
      <c r="DU37" s="6">
        <f t="shared" si="38"/>
        <v>43166981.180606216</v>
      </c>
      <c r="DV37" s="6">
        <f t="shared" si="39"/>
        <v>507311.1230793469</v>
      </c>
      <c r="DW37" s="6">
        <f t="shared" si="40"/>
        <v>11249133.176536497</v>
      </c>
      <c r="DX37" s="16">
        <f t="shared" si="41"/>
        <v>0.43195644517352338</v>
      </c>
      <c r="DY37" s="28">
        <f>IF(DX37="","",DX37*$DO$1/'CPI USA'!$U$508+(1-DX37)*AVERAGE($DO$1,$DQ$1)/AVERAGE('CPI USA'!$U$508,'PPI USA'!$T$514))</f>
        <v>1.1604496194455027</v>
      </c>
      <c r="DZ37" s="30"/>
      <c r="EA37" s="45" t="str">
        <f t="shared" si="42"/>
        <v>C000465</v>
      </c>
      <c r="EB37" s="29">
        <f t="shared" si="43"/>
        <v>2196193254.2041192</v>
      </c>
      <c r="EC37" s="29">
        <f t="shared" si="44"/>
        <v>110998482.784127</v>
      </c>
      <c r="ED37" s="29">
        <f t="shared" si="45"/>
        <v>31655727.432948116</v>
      </c>
      <c r="EE37" s="29">
        <f t="shared" si="46"/>
        <v>28046228.104326084</v>
      </c>
      <c r="EF37" s="29">
        <f t="shared" si="47"/>
        <v>30220760.58746976</v>
      </c>
      <c r="EG37" s="29">
        <f t="shared" si="48"/>
        <v>2051</v>
      </c>
      <c r="EH37" s="29">
        <f t="shared" si="49"/>
        <v>445670</v>
      </c>
      <c r="EI37" s="29">
        <f t="shared" si="50"/>
        <v>453096</v>
      </c>
      <c r="EJ37" s="29">
        <f t="shared" si="51"/>
        <v>8124136</v>
      </c>
      <c r="EK37" s="29">
        <f t="shared" si="52"/>
        <v>8527321.3197969534</v>
      </c>
      <c r="EL37" s="29">
        <f>IF(CD37=1,VLOOKUP(EA37,'EIA 2021'!$A$2:$J$213,4,0)*EH37,"")</f>
        <v>69630143.789999992</v>
      </c>
      <c r="EM37" s="29">
        <f>IF(CD37=1,VLOOKUP(EA37,'EIA 2021'!$A$2:$J$213,7,0)*EH37,"")</f>
        <v>576696.98</v>
      </c>
      <c r="EN37" s="29">
        <f>IF(CD37=1,VLOOKUP(EA37,'EIA 2021'!$A$2:$J$213,10,0),"")</f>
        <v>118000</v>
      </c>
      <c r="EO37" s="28">
        <f>IF(CD37=1,VLOOKUP(EA37,'EIA 2021'!$A$2:$Z$213,26,0),"")</f>
        <v>0</v>
      </c>
      <c r="EP37" s="23">
        <f t="shared" si="53"/>
        <v>4.7281591097185799E-2</v>
      </c>
      <c r="EQ37" s="32">
        <f t="shared" si="54"/>
        <v>49910.680203045718</v>
      </c>
      <c r="ER37" s="32">
        <f t="shared" si="55"/>
        <v>403185.31979695428</v>
      </c>
      <c r="ES37" s="6"/>
      <c r="ET37" s="32"/>
    </row>
    <row r="38" spans="1:150" ht="15.75" customHeight="1">
      <c r="A38" s="7" t="s">
        <v>315</v>
      </c>
      <c r="B38" s="7" t="s">
        <v>316</v>
      </c>
      <c r="C38" s="32" t="s">
        <v>317</v>
      </c>
      <c r="D38" s="40">
        <v>118736376</v>
      </c>
      <c r="E38" s="40">
        <v>0</v>
      </c>
      <c r="F38" s="40">
        <v>117024877</v>
      </c>
      <c r="G38" s="40">
        <v>159578692</v>
      </c>
      <c r="H38" s="40">
        <v>161833774</v>
      </c>
      <c r="I38" s="40">
        <v>41831</v>
      </c>
      <c r="J38" s="40">
        <v>241904</v>
      </c>
      <c r="K38" s="40">
        <v>1836186</v>
      </c>
      <c r="L38" s="40">
        <v>152377</v>
      </c>
      <c r="M38" s="40">
        <v>198248</v>
      </c>
      <c r="N38" s="40">
        <v>0</v>
      </c>
      <c r="O38" s="40">
        <v>2816833</v>
      </c>
      <c r="P38" s="40">
        <v>0</v>
      </c>
      <c r="Q38" s="40">
        <v>6904</v>
      </c>
      <c r="R38" s="40">
        <v>46432</v>
      </c>
      <c r="S38" s="40">
        <v>1330672</v>
      </c>
      <c r="T38" s="40">
        <v>19915961</v>
      </c>
      <c r="U38" s="40">
        <v>3602066</v>
      </c>
      <c r="V38" s="40">
        <v>231713</v>
      </c>
      <c r="W38" s="40">
        <v>12</v>
      </c>
      <c r="X38" s="40">
        <f>IFERROR(VLOOKUP(A38,'Trans 21-23'!$A$2:$J$229,6,0),0)</f>
        <v>0</v>
      </c>
      <c r="Y38" s="41">
        <v>1306245</v>
      </c>
      <c r="Z38" s="41">
        <v>0</v>
      </c>
      <c r="AA38" s="41">
        <v>11736600</v>
      </c>
      <c r="AB38" s="41">
        <v>10983997</v>
      </c>
      <c r="AC38" s="41">
        <v>18093</v>
      </c>
      <c r="AD38" s="41">
        <v>44575873</v>
      </c>
      <c r="AE38" s="41">
        <v>0</v>
      </c>
      <c r="AF38" s="41">
        <v>706431369</v>
      </c>
      <c r="AG38" s="41">
        <v>454904</v>
      </c>
      <c r="AH38" s="41">
        <v>387086</v>
      </c>
      <c r="AI38" s="41">
        <v>13845865</v>
      </c>
      <c r="AJ38" s="41">
        <v>49669</v>
      </c>
      <c r="AK38" s="41">
        <v>0</v>
      </c>
      <c r="AL38" s="41">
        <v>3024810</v>
      </c>
      <c r="AM38" s="41">
        <v>4019005</v>
      </c>
      <c r="AN38" s="41">
        <v>3973044</v>
      </c>
      <c r="AO38" s="41">
        <v>26707</v>
      </c>
      <c r="AP38" s="41">
        <v>0</v>
      </c>
      <c r="AQ38" s="41">
        <v>11046096</v>
      </c>
      <c r="AR38" s="41">
        <v>2363014</v>
      </c>
      <c r="AS38" s="41">
        <v>13409110</v>
      </c>
      <c r="AT38" s="41">
        <v>0</v>
      </c>
      <c r="AU38" s="41">
        <v>2181</v>
      </c>
      <c r="AV38" s="41">
        <v>0</v>
      </c>
      <c r="AW38" s="41">
        <v>195510118</v>
      </c>
      <c r="AX38" s="41">
        <v>7851677</v>
      </c>
      <c r="AY38" s="41">
        <v>570957894</v>
      </c>
      <c r="AZ38" s="41">
        <v>104858466</v>
      </c>
      <c r="BA38" s="41">
        <v>18373766</v>
      </c>
      <c r="BB38" s="41">
        <v>2064476560</v>
      </c>
      <c r="BC38" s="41">
        <v>5121408388</v>
      </c>
      <c r="BD38" s="41">
        <v>31917127</v>
      </c>
      <c r="BE38" s="41">
        <v>468997948</v>
      </c>
      <c r="BF38" s="41">
        <v>40491889</v>
      </c>
      <c r="BG38" s="41">
        <v>0</v>
      </c>
      <c r="BH38" s="41">
        <v>11859538</v>
      </c>
      <c r="BI38" s="41">
        <v>3149917</v>
      </c>
      <c r="BJ38" s="41">
        <v>2996238</v>
      </c>
      <c r="BK38" s="41">
        <v>0</v>
      </c>
      <c r="BL38" s="41">
        <v>0</v>
      </c>
      <c r="BM38" s="41">
        <v>18365186</v>
      </c>
      <c r="BN38" s="41">
        <v>64243408</v>
      </c>
      <c r="BO38" s="41">
        <v>5174939</v>
      </c>
      <c r="BP38" s="41">
        <v>16966741</v>
      </c>
      <c r="BQ38" s="41">
        <v>130643312</v>
      </c>
      <c r="BR38" s="41">
        <v>2530</v>
      </c>
      <c r="BS38" s="42">
        <f>IFERROR(VLOOKUP(A38,'Trans 21-23'!$A$2:$J$229,5,0),0)</f>
        <v>0</v>
      </c>
      <c r="BT38" s="43"/>
      <c r="BU38" s="6">
        <f t="shared" si="0"/>
        <v>2064476560</v>
      </c>
      <c r="BV38" s="6">
        <f t="shared" si="1"/>
        <v>2181</v>
      </c>
      <c r="BW38" s="6">
        <f t="shared" si="2"/>
        <v>454904</v>
      </c>
      <c r="BX38" s="6">
        <f t="shared" si="3"/>
        <v>30421139</v>
      </c>
      <c r="BY38" s="6">
        <f t="shared" si="4"/>
        <v>24044935</v>
      </c>
      <c r="BZ38" s="6">
        <f t="shared" si="5"/>
        <v>104858466</v>
      </c>
      <c r="CA38" s="6">
        <f t="shared" si="6"/>
        <v>44575873</v>
      </c>
      <c r="CB38" s="6">
        <f t="shared" si="7"/>
        <v>387086</v>
      </c>
      <c r="CC38" s="6">
        <f t="shared" si="8"/>
        <v>11046096</v>
      </c>
      <c r="CD38" s="6">
        <f t="shared" si="9"/>
        <v>1</v>
      </c>
      <c r="CE38" s="44">
        <f t="shared" si="10"/>
        <v>14</v>
      </c>
      <c r="CF38" s="27"/>
      <c r="CG38" s="28">
        <f t="shared" si="11"/>
        <v>946.57338835396604</v>
      </c>
      <c r="CH38" s="28">
        <f t="shared" si="12"/>
        <v>4.7944181629530629</v>
      </c>
      <c r="CI38" s="28">
        <f t="shared" si="13"/>
        <v>66.873755781439598</v>
      </c>
      <c r="CJ38" s="28">
        <f t="shared" si="14"/>
        <v>230.50680143502805</v>
      </c>
      <c r="CK38" s="23">
        <f t="shared" si="15"/>
        <v>3.5042787967803288E-2</v>
      </c>
      <c r="CL38" s="29" t="str">
        <f t="shared" si="16"/>
        <v/>
      </c>
      <c r="CM38" s="29" t="str">
        <f t="shared" si="17"/>
        <v/>
      </c>
      <c r="CN38" s="29" t="str">
        <f t="shared" si="18"/>
        <v/>
      </c>
      <c r="CO38" s="29" t="str">
        <f t="shared" si="19"/>
        <v/>
      </c>
      <c r="CP38" s="29" t="str">
        <f t="shared" si="20"/>
        <v/>
      </c>
      <c r="CQ38" s="29">
        <f t="shared" si="21"/>
        <v>0</v>
      </c>
      <c r="CR38" s="13"/>
      <c r="CS38" s="7">
        <f>VLOOKUP(A38,'Empresas 21-23'!$A$2:$M$228,13,0)</f>
        <v>1</v>
      </c>
      <c r="CT38" s="30"/>
      <c r="CU38" s="6">
        <f t="shared" si="22"/>
        <v>1593958585.4000001</v>
      </c>
      <c r="CV38" s="6">
        <f t="shared" si="23"/>
        <v>104858466</v>
      </c>
      <c r="CW38" s="6">
        <f t="shared" si="24"/>
        <v>31917127</v>
      </c>
      <c r="CX38" s="23">
        <f t="shared" si="56"/>
        <v>0.31318623093319031</v>
      </c>
      <c r="CY38" s="23">
        <f t="shared" si="57"/>
        <v>2.0602936643887088E-2</v>
      </c>
      <c r="CZ38" s="6">
        <f t="shared" si="25"/>
        <v>1603954590.1073461</v>
      </c>
      <c r="DA38" s="6">
        <f t="shared" si="26"/>
        <v>105516052.54543591</v>
      </c>
      <c r="DB38" s="6">
        <f t="shared" si="27"/>
        <v>30421139</v>
      </c>
      <c r="DC38" s="6">
        <f t="shared" si="28"/>
        <v>30421139</v>
      </c>
      <c r="DD38" s="6">
        <f t="shared" si="29"/>
        <v>24044935</v>
      </c>
      <c r="DE38" s="6">
        <f t="shared" si="30"/>
        <v>44575873</v>
      </c>
      <c r="DF38" s="6">
        <f t="shared" si="31"/>
        <v>9187423.3275223691</v>
      </c>
      <c r="DG38" s="30"/>
      <c r="DH38" s="32">
        <f>VLOOKUP(A38,'T_med_comp-USA'!$A$7:$Q$233,17,0)</f>
        <v>10.373982767263257</v>
      </c>
      <c r="DI38" s="6" t="str">
        <f t="shared" si="32"/>
        <v>8_2011</v>
      </c>
      <c r="DJ38" s="32">
        <f>IF(DI38="","",VLOOKUP(DI38,'CPI USA'!$T:$U,2,FALSE))</f>
        <v>224.93899999999999</v>
      </c>
      <c r="DK38" s="32">
        <f>IF(DI38="","",VLOOKUP(DI38,'PPI USA'!$S:$T,2,FALSE))</f>
        <v>169.6</v>
      </c>
      <c r="DL38" s="32">
        <f>IF(DI38="","",VLOOKUP(DI38,'CPI USA'!$T:$V,3,FALSE))</f>
        <v>0.6684022975047168</v>
      </c>
      <c r="DM38" s="32">
        <f>IF(DI38="","",VLOOKUP(DI38,'CPI USA'!$T:$X,5,FALSE))</f>
        <v>0.49636791791307899</v>
      </c>
      <c r="DN38" s="32">
        <f t="shared" si="33"/>
        <v>1.4208751760332547</v>
      </c>
      <c r="DO38" s="32">
        <f t="shared" si="34"/>
        <v>1.4334111417560953</v>
      </c>
      <c r="DP38" s="32">
        <f t="shared" si="35"/>
        <v>0.42124814074727046</v>
      </c>
      <c r="DQ38" s="32">
        <f>IF(DP38="","",DP38*$DO$1/'CPI USA'!$U$508+(1-DP38)*AVERAGE($DO$1,$DQ$1)/AVERAGE('CPI USA'!$U$508,'PPI USA'!$T$514))</f>
        <v>1.1610825416695016</v>
      </c>
      <c r="DR38" s="6">
        <f t="shared" si="36"/>
        <v>6146155</v>
      </c>
      <c r="DS38" s="32">
        <f t="shared" si="37"/>
        <v>0.27620122325649571</v>
      </c>
      <c r="DT38" s="28">
        <f>IF(DS38="","",DS38*$DO$1/'CPI USA'!$U$508+(1-DS38)*AVERAGE($DO$1,$DQ$1)/AVERAGE('CPI USA'!$U$508,'PPI USA'!$T$514))</f>
        <v>1.1696556466119978</v>
      </c>
      <c r="DU38" s="6">
        <f t="shared" si="38"/>
        <v>19844539.605799586</v>
      </c>
      <c r="DV38" s="6">
        <f t="shared" si="39"/>
        <v>2741086.853146072</v>
      </c>
      <c r="DW38" s="6">
        <f t="shared" si="40"/>
        <v>6330141.3933777083</v>
      </c>
      <c r="DX38" s="16">
        <f t="shared" si="41"/>
        <v>0.68900073151247709</v>
      </c>
      <c r="DY38" s="28">
        <f>IF(DX38="","",DX38*$DO$1/'CPI USA'!$U$508+(1-DX38)*AVERAGE($DO$1,$DQ$1)/AVERAGE('CPI USA'!$U$508,'PPI USA'!$T$514))</f>
        <v>1.1452568274870454</v>
      </c>
      <c r="DZ38" s="30"/>
      <c r="EA38" s="45" t="str">
        <f t="shared" si="42"/>
        <v>C000500</v>
      </c>
      <c r="EB38" s="29">
        <f t="shared" si="43"/>
        <v>2279019260.5681224</v>
      </c>
      <c r="EC38" s="29">
        <f t="shared" si="44"/>
        <v>151247885.35274944</v>
      </c>
      <c r="ED38" s="29">
        <f t="shared" si="45"/>
        <v>35321453.390601203</v>
      </c>
      <c r="EE38" s="29">
        <f t="shared" si="46"/>
        <v>28124293.995168459</v>
      </c>
      <c r="EF38" s="29">
        <f t="shared" si="47"/>
        <v>10521959.292858742</v>
      </c>
      <c r="EG38" s="29">
        <f t="shared" si="48"/>
        <v>2181</v>
      </c>
      <c r="EH38" s="29">
        <f t="shared" si="49"/>
        <v>454904</v>
      </c>
      <c r="EI38" s="29">
        <f t="shared" si="50"/>
        <v>387086</v>
      </c>
      <c r="EJ38" s="29">
        <f t="shared" si="51"/>
        <v>11046096</v>
      </c>
      <c r="EK38" s="29">
        <f t="shared" si="52"/>
        <v>11397197.015228426</v>
      </c>
      <c r="EL38" s="29">
        <f>IF(CD38=1,VLOOKUP(EA38,'EIA 2021'!$A$2:$J$213,4,0)*EH38,"")</f>
        <v>43215880</v>
      </c>
      <c r="EM38" s="29">
        <f>IF(CD38=1,VLOOKUP(EA38,'EIA 2021'!$A$2:$J$213,7,0)*EH38,"")</f>
        <v>664159.84</v>
      </c>
      <c r="EN38" s="29">
        <f>IF(CD38=1,VLOOKUP(EA38,'EIA 2021'!$A$2:$J$213,10,0),"")</f>
        <v>461548</v>
      </c>
      <c r="EO38" s="28">
        <f>IF(CD38=1,VLOOKUP(EA38,'EIA 2021'!$A$2:$Z$213,26,0),"")</f>
        <v>0</v>
      </c>
      <c r="EP38" s="23">
        <f t="shared" si="53"/>
        <v>3.0805909098465267E-2</v>
      </c>
      <c r="EQ38" s="32">
        <f t="shared" si="54"/>
        <v>35984.98477157345</v>
      </c>
      <c r="ER38" s="32">
        <f t="shared" si="55"/>
        <v>351101.01522842655</v>
      </c>
      <c r="ES38" s="6"/>
      <c r="ET38" s="32"/>
    </row>
    <row r="39" spans="1:150" ht="15.75" customHeight="1">
      <c r="A39" s="7" t="s">
        <v>318</v>
      </c>
      <c r="B39" s="7" t="s">
        <v>319</v>
      </c>
      <c r="C39" s="32" t="s">
        <v>320</v>
      </c>
      <c r="D39" s="40">
        <v>0</v>
      </c>
      <c r="E39" s="40">
        <v>0</v>
      </c>
      <c r="F39" s="40">
        <v>8274</v>
      </c>
      <c r="G39" s="40">
        <v>26304428</v>
      </c>
      <c r="H39" s="40">
        <v>28645899</v>
      </c>
      <c r="I39" s="40">
        <v>1907712</v>
      </c>
      <c r="J39" s="40">
        <v>1116598</v>
      </c>
      <c r="K39" s="40">
        <v>0</v>
      </c>
      <c r="L39" s="40">
        <v>26932</v>
      </c>
      <c r="M39" s="40">
        <v>2402</v>
      </c>
      <c r="N39" s="40">
        <v>0</v>
      </c>
      <c r="O39" s="40">
        <v>1554549</v>
      </c>
      <c r="P39" s="40">
        <v>137268</v>
      </c>
      <c r="Q39" s="40">
        <v>206384</v>
      </c>
      <c r="R39" s="40">
        <v>0</v>
      </c>
      <c r="S39" s="40">
        <v>935594</v>
      </c>
      <c r="T39" s="40">
        <v>6516136</v>
      </c>
      <c r="U39" s="40">
        <v>671781</v>
      </c>
      <c r="V39" s="40">
        <v>174764</v>
      </c>
      <c r="W39" s="40">
        <v>67702</v>
      </c>
      <c r="X39" s="40">
        <f>IFERROR(VLOOKUP(A39,'Trans 21-23'!$A$2:$J$229,6,0),0)</f>
        <v>0</v>
      </c>
      <c r="Y39" s="41">
        <v>717345</v>
      </c>
      <c r="Z39" s="41">
        <v>24019</v>
      </c>
      <c r="AA39" s="41">
        <v>2780246</v>
      </c>
      <c r="AB39" s="41">
        <v>3496814</v>
      </c>
      <c r="AC39" s="41">
        <v>0</v>
      </c>
      <c r="AD39" s="41">
        <v>10894968</v>
      </c>
      <c r="AE39" s="41">
        <v>0</v>
      </c>
      <c r="AF39" s="41">
        <v>72239143</v>
      </c>
      <c r="AG39" s="41">
        <v>53018</v>
      </c>
      <c r="AH39" s="41">
        <v>26170</v>
      </c>
      <c r="AI39" s="41">
        <v>793796</v>
      </c>
      <c r="AJ39" s="41">
        <v>2501</v>
      </c>
      <c r="AK39" s="41">
        <v>0</v>
      </c>
      <c r="AL39" s="41">
        <v>268131</v>
      </c>
      <c r="AM39" s="41">
        <v>140788</v>
      </c>
      <c r="AN39" s="41">
        <v>342376</v>
      </c>
      <c r="AO39" s="41">
        <v>1909</v>
      </c>
      <c r="AP39" s="41">
        <v>0</v>
      </c>
      <c r="AQ39" s="41">
        <v>753204</v>
      </c>
      <c r="AR39" s="41">
        <v>11921</v>
      </c>
      <c r="AS39" s="41">
        <v>765125</v>
      </c>
      <c r="AT39" s="41">
        <v>0</v>
      </c>
      <c r="AU39" s="41">
        <v>163</v>
      </c>
      <c r="AV39" s="41">
        <v>0</v>
      </c>
      <c r="AW39" s="41">
        <v>21364421</v>
      </c>
      <c r="AX39" s="41">
        <v>0</v>
      </c>
      <c r="AY39" s="41">
        <v>36205246</v>
      </c>
      <c r="AZ39" s="41">
        <v>13692072</v>
      </c>
      <c r="BA39" s="41">
        <v>3268344</v>
      </c>
      <c r="BB39" s="41">
        <v>208280204</v>
      </c>
      <c r="BC39" s="41">
        <v>376987319</v>
      </c>
      <c r="BD39" s="41">
        <v>36292439</v>
      </c>
      <c r="BE39" s="41">
        <v>92384865</v>
      </c>
      <c r="BF39" s="41">
        <v>6527427</v>
      </c>
      <c r="BG39" s="41">
        <v>0</v>
      </c>
      <c r="BH39" s="41">
        <v>6615358</v>
      </c>
      <c r="BI39" s="41">
        <v>1696243</v>
      </c>
      <c r="BJ39" s="41">
        <v>161889</v>
      </c>
      <c r="BK39" s="41">
        <v>0</v>
      </c>
      <c r="BL39" s="41">
        <v>0</v>
      </c>
      <c r="BM39" s="41">
        <v>3340151</v>
      </c>
      <c r="BN39" s="41">
        <v>14664499</v>
      </c>
      <c r="BO39" s="41">
        <v>0</v>
      </c>
      <c r="BP39" s="41">
        <v>278418</v>
      </c>
      <c r="BQ39" s="41">
        <v>19480724</v>
      </c>
      <c r="BR39" s="41">
        <v>0</v>
      </c>
      <c r="BS39" s="42">
        <f>IFERROR(VLOOKUP(A39,'Trans 21-23'!$A$2:$J$229,5,0),0)</f>
        <v>0</v>
      </c>
      <c r="BT39" s="43"/>
      <c r="BU39" s="6">
        <f t="shared" si="0"/>
        <v>208280204</v>
      </c>
      <c r="BV39" s="6">
        <f t="shared" si="1"/>
        <v>163</v>
      </c>
      <c r="BW39" s="6">
        <f t="shared" si="2"/>
        <v>53018</v>
      </c>
      <c r="BX39" s="6">
        <f t="shared" si="3"/>
        <v>13317822</v>
      </c>
      <c r="BY39" s="6">
        <f t="shared" si="4"/>
        <v>7018424</v>
      </c>
      <c r="BZ39" s="6">
        <f t="shared" si="5"/>
        <v>13692072</v>
      </c>
      <c r="CA39" s="6">
        <f t="shared" si="6"/>
        <v>10894968</v>
      </c>
      <c r="CB39" s="6">
        <f t="shared" si="7"/>
        <v>26170</v>
      </c>
      <c r="CC39" s="6">
        <f t="shared" si="8"/>
        <v>753204</v>
      </c>
      <c r="CD39" s="6">
        <f t="shared" si="9"/>
        <v>1</v>
      </c>
      <c r="CE39" s="44">
        <f t="shared" si="10"/>
        <v>19</v>
      </c>
      <c r="CF39" s="27"/>
      <c r="CG39" s="28">
        <f t="shared" si="11"/>
        <v>1277.792662576687</v>
      </c>
      <c r="CH39" s="28">
        <f t="shared" si="12"/>
        <v>3.0744275529065601</v>
      </c>
      <c r="CI39" s="28">
        <f t="shared" si="13"/>
        <v>251.19434908898864</v>
      </c>
      <c r="CJ39" s="28">
        <f t="shared" si="14"/>
        <v>258.25327247349958</v>
      </c>
      <c r="CK39" s="23">
        <f t="shared" si="15"/>
        <v>3.4744903107259126E-2</v>
      </c>
      <c r="CL39" s="29" t="str">
        <f t="shared" si="16"/>
        <v/>
      </c>
      <c r="CM39" s="29" t="str">
        <f t="shared" si="17"/>
        <v/>
      </c>
      <c r="CN39" s="29" t="str">
        <f t="shared" si="18"/>
        <v/>
      </c>
      <c r="CO39" s="29" t="str">
        <f t="shared" si="19"/>
        <v/>
      </c>
      <c r="CP39" s="29" t="str">
        <f t="shared" si="20"/>
        <v/>
      </c>
      <c r="CQ39" s="29">
        <f t="shared" si="21"/>
        <v>0</v>
      </c>
      <c r="CR39" s="13"/>
      <c r="CS39" s="7">
        <f>VLOOKUP(A39,'Empresas 21-23'!$A$2:$M$228,13,0)</f>
        <v>1</v>
      </c>
      <c r="CT39" s="30"/>
      <c r="CU39" s="6">
        <f t="shared" si="22"/>
        <v>169596640.40000001</v>
      </c>
      <c r="CV39" s="6">
        <f t="shared" si="23"/>
        <v>13692072</v>
      </c>
      <c r="CW39" s="6">
        <f t="shared" si="24"/>
        <v>36292439</v>
      </c>
      <c r="CX39" s="23">
        <f t="shared" si="56"/>
        <v>0.49779626978838076</v>
      </c>
      <c r="CY39" s="23">
        <f t="shared" si="57"/>
        <v>4.0188663827293206E-2</v>
      </c>
      <c r="CZ39" s="6">
        <f t="shared" si="25"/>
        <v>187662881.15572235</v>
      </c>
      <c r="DA39" s="6">
        <f t="shared" si="26"/>
        <v>15150616.630443545</v>
      </c>
      <c r="DB39" s="6">
        <f t="shared" si="27"/>
        <v>13317822</v>
      </c>
      <c r="DC39" s="6">
        <f t="shared" si="28"/>
        <v>13317822</v>
      </c>
      <c r="DD39" s="6">
        <f t="shared" si="29"/>
        <v>7018424</v>
      </c>
      <c r="DE39" s="6">
        <f t="shared" si="30"/>
        <v>10894968</v>
      </c>
      <c r="DF39" s="6">
        <f t="shared" si="31"/>
        <v>6777691.5220172824</v>
      </c>
      <c r="DG39" s="30"/>
      <c r="DH39" s="32">
        <f>VLOOKUP(A39,'T_med_comp-USA'!$A$7:$Q$233,17,0)</f>
        <v>14.726254913148475</v>
      </c>
      <c r="DI39" s="6" t="str">
        <f t="shared" si="32"/>
        <v>4_2007</v>
      </c>
      <c r="DJ39" s="32">
        <f>IF(DI39="","",VLOOKUP(DI39,'CPI USA'!$T:$U,2,FALSE))</f>
        <v>207.34200000000001</v>
      </c>
      <c r="DK39" s="32">
        <f>IF(DI39="","",VLOOKUP(DI39,'PPI USA'!$S:$T,2,FALSE))</f>
        <v>151.69999999999999</v>
      </c>
      <c r="DL39" s="32">
        <f>IF(DI39="","",VLOOKUP(DI39,'CPI USA'!$T:$V,3,FALSE))</f>
        <v>0.67123734379962852</v>
      </c>
      <c r="DM39" s="32">
        <f>IF(DI39="","",VLOOKUP(DI39,'CPI USA'!$T:$X,5,FALSE))</f>
        <v>0.49957259686190569</v>
      </c>
      <c r="DN39" s="32">
        <f t="shared" si="33"/>
        <v>1.5480022216582647</v>
      </c>
      <c r="DO39" s="32">
        <f t="shared" si="34"/>
        <v>1.5651038394149617</v>
      </c>
      <c r="DP39" s="32">
        <f t="shared" si="35"/>
        <v>0.49672972052036735</v>
      </c>
      <c r="DQ39" s="32">
        <f>IF(DP39="","",DP39*$DO$1/'CPI USA'!$U$508+(1-DP39)*AVERAGE($DO$1,$DQ$1)/AVERAGE('CPI USA'!$U$508,'PPI USA'!$T$514))</f>
        <v>1.1566211472750894</v>
      </c>
      <c r="DR39" s="6">
        <f t="shared" si="36"/>
        <v>1858132</v>
      </c>
      <c r="DS39" s="32">
        <f t="shared" si="37"/>
        <v>0.2647506049791235</v>
      </c>
      <c r="DT39" s="28">
        <f>IF(DS39="","",DS39*$DO$1/'CPI USA'!$U$508+(1-DS39)*AVERAGE($DO$1,$DQ$1)/AVERAGE('CPI USA'!$U$508,'PPI USA'!$T$514))</f>
        <v>1.1703324438431737</v>
      </c>
      <c r="DU39" s="6">
        <f t="shared" si="38"/>
        <v>3340151</v>
      </c>
      <c r="DV39" s="6">
        <f t="shared" si="39"/>
        <v>48429.504306305709</v>
      </c>
      <c r="DW39" s="6">
        <f t="shared" si="40"/>
        <v>1958000.9530113807</v>
      </c>
      <c r="DX39" s="16">
        <f t="shared" si="41"/>
        <v>0.28888906298712896</v>
      </c>
      <c r="DY39" s="28">
        <f>IF(DX39="","",DX39*$DO$1/'CPI USA'!$U$508+(1-DX39)*AVERAGE($DO$1,$DQ$1)/AVERAGE('CPI USA'!$U$508,'PPI USA'!$T$514))</f>
        <v>1.1689057224951256</v>
      </c>
      <c r="DZ39" s="30"/>
      <c r="EA39" s="45" t="str">
        <f t="shared" si="42"/>
        <v>C000501</v>
      </c>
      <c r="EB39" s="29">
        <f t="shared" si="43"/>
        <v>290502556.9518491</v>
      </c>
      <c r="EC39" s="29">
        <f t="shared" si="44"/>
        <v>23712288.25781136</v>
      </c>
      <c r="ED39" s="29">
        <f t="shared" si="45"/>
        <v>15403674.560845425</v>
      </c>
      <c r="EE39" s="29">
        <f t="shared" si="46"/>
        <v>8213889.3118475825</v>
      </c>
      <c r="EF39" s="29">
        <f t="shared" si="47"/>
        <v>7922482.4053926989</v>
      </c>
      <c r="EG39" s="29">
        <f t="shared" si="48"/>
        <v>163</v>
      </c>
      <c r="EH39" s="29">
        <f t="shared" si="49"/>
        <v>53018</v>
      </c>
      <c r="EI39" s="29">
        <f t="shared" si="50"/>
        <v>26170</v>
      </c>
      <c r="EJ39" s="29">
        <f t="shared" si="51"/>
        <v>753204</v>
      </c>
      <c r="EK39" s="29">
        <f t="shared" si="52"/>
        <v>779192.46192893398</v>
      </c>
      <c r="EL39" s="29">
        <f>IF(CD39=1,VLOOKUP(EA39,'EIA 2021'!$A$2:$J$213,4,0)*EH39,"")</f>
        <v>7883776.5999999996</v>
      </c>
      <c r="EM39" s="29">
        <f>IF(CD39=1,VLOOKUP(EA39,'EIA 2021'!$A$2:$J$213,7,0)*EH39,"")</f>
        <v>78466.64</v>
      </c>
      <c r="EN39" s="29">
        <f>IF(CD39=1,VLOOKUP(EA39,'EIA 2021'!$A$2:$J$213,10,0),"")</f>
        <v>58194</v>
      </c>
      <c r="EO39" s="28">
        <f>IF(CD39=1,VLOOKUP(EA39,'EIA 2021'!$A$2:$Z$213,26,0),"")</f>
        <v>0</v>
      </c>
      <c r="EP39" s="23">
        <f t="shared" si="53"/>
        <v>3.3353071543580054E-2</v>
      </c>
      <c r="EQ39" s="32">
        <f t="shared" si="54"/>
        <v>181.53807106599015</v>
      </c>
      <c r="ER39" s="32">
        <f t="shared" si="55"/>
        <v>25988.461928934012</v>
      </c>
      <c r="ES39" s="6"/>
      <c r="ET39" s="32"/>
    </row>
    <row r="40" spans="1:150" ht="15.75" customHeight="1">
      <c r="A40" s="7" t="s">
        <v>321</v>
      </c>
      <c r="B40" s="7" t="s">
        <v>322</v>
      </c>
      <c r="C40" s="32" t="s">
        <v>323</v>
      </c>
      <c r="D40" s="40">
        <v>0</v>
      </c>
      <c r="E40" s="40">
        <v>0</v>
      </c>
      <c r="F40" s="40">
        <v>0</v>
      </c>
      <c r="G40" s="40">
        <v>0</v>
      </c>
      <c r="H40" s="40">
        <v>129106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f>IFERROR(VLOOKUP(A40,'Trans 21-23'!$A$2:$J$229,6,0),0)</f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41">
        <v>1331721</v>
      </c>
      <c r="AE40" s="41">
        <v>0</v>
      </c>
      <c r="AF40" s="41">
        <v>3919946</v>
      </c>
      <c r="AG40" s="41">
        <v>0</v>
      </c>
      <c r="AH40" s="41">
        <v>0</v>
      </c>
      <c r="AI40" s="41">
        <v>205268</v>
      </c>
      <c r="AJ40" s="41">
        <v>0</v>
      </c>
      <c r="AK40" s="41">
        <v>0</v>
      </c>
      <c r="AL40" s="41">
        <v>0</v>
      </c>
      <c r="AM40" s="41">
        <v>0</v>
      </c>
      <c r="AN40" s="41">
        <v>0</v>
      </c>
      <c r="AO40" s="41">
        <v>0</v>
      </c>
      <c r="AP40" s="41">
        <v>0</v>
      </c>
      <c r="AQ40" s="41">
        <v>0</v>
      </c>
      <c r="AR40" s="41">
        <v>205268</v>
      </c>
      <c r="AS40" s="41">
        <v>205268</v>
      </c>
      <c r="AT40" s="41">
        <v>0</v>
      </c>
      <c r="AU40" s="41">
        <v>0</v>
      </c>
      <c r="AV40" s="41">
        <v>0</v>
      </c>
      <c r="AW40" s="41">
        <v>0</v>
      </c>
      <c r="AX40" s="41">
        <v>0</v>
      </c>
      <c r="AY40" s="41">
        <v>0</v>
      </c>
      <c r="AZ40" s="41">
        <v>0</v>
      </c>
      <c r="BA40" s="41">
        <v>0</v>
      </c>
      <c r="BB40" s="41">
        <v>0</v>
      </c>
      <c r="BC40" s="41">
        <v>49564279</v>
      </c>
      <c r="BD40" s="41">
        <v>2490075</v>
      </c>
      <c r="BE40" s="41">
        <v>0</v>
      </c>
      <c r="BF40" s="41">
        <v>0</v>
      </c>
      <c r="BG40" s="41">
        <v>0</v>
      </c>
      <c r="BH40" s="41">
        <v>0</v>
      </c>
      <c r="BI40" s="41">
        <v>0</v>
      </c>
      <c r="BJ40" s="41">
        <v>0</v>
      </c>
      <c r="BK40" s="41">
        <v>0</v>
      </c>
      <c r="BL40" s="41">
        <v>0</v>
      </c>
      <c r="BM40" s="41">
        <v>1280</v>
      </c>
      <c r="BN40" s="41">
        <v>497368</v>
      </c>
      <c r="BO40" s="41">
        <v>11574</v>
      </c>
      <c r="BP40" s="41">
        <v>0</v>
      </c>
      <c r="BQ40" s="41">
        <v>772101</v>
      </c>
      <c r="BR40" s="41">
        <v>0</v>
      </c>
      <c r="BS40" s="42">
        <f>IFERROR(VLOOKUP(A40,'Trans 21-23'!$A$2:$J$229,5,0),0)</f>
        <v>0</v>
      </c>
      <c r="BT40" s="43"/>
      <c r="BU40" s="6">
        <f t="shared" si="0"/>
        <v>0</v>
      </c>
      <c r="BV40" s="6">
        <f t="shared" si="1"/>
        <v>0</v>
      </c>
      <c r="BW40" s="6">
        <f t="shared" si="2"/>
        <v>0</v>
      </c>
      <c r="BX40" s="6">
        <f t="shared" si="3"/>
        <v>0</v>
      </c>
      <c r="BY40" s="6">
        <f t="shared" si="4"/>
        <v>0</v>
      </c>
      <c r="BZ40" s="6">
        <f t="shared" si="5"/>
        <v>0</v>
      </c>
      <c r="CA40" s="6">
        <f t="shared" si="6"/>
        <v>1331721</v>
      </c>
      <c r="CB40" s="6">
        <f t="shared" si="7"/>
        <v>0</v>
      </c>
      <c r="CC40" s="6">
        <f t="shared" si="8"/>
        <v>0</v>
      </c>
      <c r="CD40" s="6">
        <f t="shared" si="9"/>
        <v>0</v>
      </c>
      <c r="CE40" s="44">
        <f t="shared" si="10"/>
        <v>56</v>
      </c>
      <c r="CF40" s="27"/>
      <c r="CG40" s="28" t="str">
        <f t="shared" si="11"/>
        <v/>
      </c>
      <c r="CH40" s="28" t="str">
        <f t="shared" si="12"/>
        <v/>
      </c>
      <c r="CI40" s="28" t="str">
        <f t="shared" si="13"/>
        <v/>
      </c>
      <c r="CJ40" s="28" t="str">
        <f t="shared" si="14"/>
        <v/>
      </c>
      <c r="CK40" s="23" t="str">
        <f t="shared" si="15"/>
        <v/>
      </c>
      <c r="CL40" s="29" t="str">
        <f t="shared" si="16"/>
        <v/>
      </c>
      <c r="CM40" s="29" t="str">
        <f t="shared" si="17"/>
        <v/>
      </c>
      <c r="CN40" s="29" t="str">
        <f t="shared" si="18"/>
        <v/>
      </c>
      <c r="CO40" s="29" t="str">
        <f t="shared" si="19"/>
        <v/>
      </c>
      <c r="CP40" s="29" t="str">
        <f t="shared" si="20"/>
        <v/>
      </c>
      <c r="CQ40" s="29">
        <f t="shared" si="21"/>
        <v>0</v>
      </c>
      <c r="CR40" s="13"/>
      <c r="CS40" s="7" t="str">
        <f>VLOOKUP(A40,'Empresas 21-23'!$A$2:$M$228,13,0)</f>
        <v/>
      </c>
      <c r="CT40" s="30"/>
      <c r="CU40" s="6">
        <f t="shared" si="22"/>
        <v>0</v>
      </c>
      <c r="CV40" s="6">
        <f t="shared" si="23"/>
        <v>0</v>
      </c>
      <c r="CW40" s="6">
        <f t="shared" si="24"/>
        <v>2490075</v>
      </c>
      <c r="CX40" s="23">
        <f t="shared" si="56"/>
        <v>0</v>
      </c>
      <c r="CY40" s="23">
        <f t="shared" si="57"/>
        <v>0</v>
      </c>
      <c r="CZ40" s="6">
        <f t="shared" si="25"/>
        <v>0</v>
      </c>
      <c r="DA40" s="6">
        <f t="shared" si="26"/>
        <v>0</v>
      </c>
      <c r="DB40" s="6">
        <f t="shared" si="27"/>
        <v>0</v>
      </c>
      <c r="DC40" s="6">
        <f t="shared" si="28"/>
        <v>0</v>
      </c>
      <c r="DD40" s="6">
        <f t="shared" si="29"/>
        <v>0</v>
      </c>
      <c r="DE40" s="6">
        <f t="shared" si="30"/>
        <v>1331721</v>
      </c>
      <c r="DF40" s="6">
        <f t="shared" si="31"/>
        <v>0</v>
      </c>
      <c r="DG40" s="30"/>
      <c r="DH40" s="32" t="str">
        <f>VLOOKUP(A40,'T_med_comp-USA'!$A$7:$Q$233,17,0)</f>
        <v>-</v>
      </c>
      <c r="DI40" s="6" t="str">
        <f t="shared" si="32"/>
        <v/>
      </c>
      <c r="DJ40" s="32" t="str">
        <f>IF(DI40="","",VLOOKUP(DI40,'CPI USA'!$T:$U,2,FALSE))</f>
        <v/>
      </c>
      <c r="DK40" s="32" t="str">
        <f>IF(DI40="","",VLOOKUP(DI40,'PPI USA'!$S:$T,2,FALSE))</f>
        <v/>
      </c>
      <c r="DL40" s="32" t="str">
        <f>IF(DI40="","",VLOOKUP(DI40,'CPI USA'!$T:$V,3,FALSE))</f>
        <v/>
      </c>
      <c r="DM40" s="32" t="str">
        <f>IF(DI40="","",VLOOKUP(DI40,'CPI USA'!$T:$X,5,FALSE))</f>
        <v/>
      </c>
      <c r="DN40" s="32" t="str">
        <f t="shared" si="33"/>
        <v/>
      </c>
      <c r="DO40" s="32" t="str">
        <f t="shared" si="34"/>
        <v/>
      </c>
      <c r="DP40" s="32" t="str">
        <f t="shared" si="35"/>
        <v/>
      </c>
      <c r="DQ40" s="32" t="str">
        <f>IF(DP40="","",DP40*$DO$1/'CPI USA'!$U$508+(1-DP40)*AVERAGE($DO$1,$DQ$1)/AVERAGE('CPI USA'!$U$508,'PPI USA'!$T$514))</f>
        <v/>
      </c>
      <c r="DR40" s="6">
        <f t="shared" si="36"/>
        <v>0</v>
      </c>
      <c r="DS40" s="32" t="str">
        <f t="shared" si="37"/>
        <v/>
      </c>
      <c r="DT40" s="28" t="str">
        <f>IF(DS40="","",DS40*$DO$1/'CPI USA'!$U$508+(1-DS40)*AVERAGE($DO$1,$DQ$1)/AVERAGE('CPI USA'!$U$508,'PPI USA'!$T$514))</f>
        <v/>
      </c>
      <c r="DU40" s="6" t="str">
        <f t="shared" si="38"/>
        <v/>
      </c>
      <c r="DV40" s="6">
        <f t="shared" si="39"/>
        <v>0</v>
      </c>
      <c r="DW40" s="6">
        <f t="shared" si="40"/>
        <v>0</v>
      </c>
      <c r="DX40" s="16" t="str">
        <f t="shared" si="41"/>
        <v/>
      </c>
      <c r="DY40" s="28" t="str">
        <f>IF(DX40="","",DX40*$DO$1/'CPI USA'!$U$508+(1-DX40)*AVERAGE($DO$1,$DQ$1)/AVERAGE('CPI USA'!$U$508,'PPI USA'!$T$514))</f>
        <v/>
      </c>
      <c r="DZ40" s="30"/>
      <c r="EA40" s="45" t="str">
        <f t="shared" si="42"/>
        <v>C000502</v>
      </c>
      <c r="EB40" s="29" t="str">
        <f t="shared" si="43"/>
        <v/>
      </c>
      <c r="EC40" s="29" t="str">
        <f t="shared" si="44"/>
        <v/>
      </c>
      <c r="ED40" s="29" t="str">
        <f t="shared" si="45"/>
        <v/>
      </c>
      <c r="EE40" s="29" t="str">
        <f t="shared" si="46"/>
        <v/>
      </c>
      <c r="EF40" s="29" t="str">
        <f t="shared" si="47"/>
        <v/>
      </c>
      <c r="EG40" s="29" t="str">
        <f t="shared" si="48"/>
        <v/>
      </c>
      <c r="EH40" s="29" t="str">
        <f t="shared" si="49"/>
        <v/>
      </c>
      <c r="EI40" s="29" t="str">
        <f t="shared" si="50"/>
        <v/>
      </c>
      <c r="EJ40" s="29" t="str">
        <f t="shared" si="51"/>
        <v/>
      </c>
      <c r="EK40" s="29" t="str">
        <f t="shared" si="52"/>
        <v/>
      </c>
      <c r="EL40" s="29" t="str">
        <f>IF(CD40=1,VLOOKUP(EA40,'EIA 2021'!$A$2:$J$213,4,0)*EH40,"")</f>
        <v/>
      </c>
      <c r="EM40" s="29" t="str">
        <f>IF(CD40=1,VLOOKUP(EA40,'EIA 2021'!$A$2:$J$213,7,0)*EH40,"")</f>
        <v/>
      </c>
      <c r="EN40" s="29" t="str">
        <f>IF(CD40=1,VLOOKUP(EA40,'EIA 2021'!$A$2:$J$213,10,0),"")</f>
        <v/>
      </c>
      <c r="EO40" s="28" t="str">
        <f>IF(CD40=1,VLOOKUP(EA40,'EIA 2021'!$A$2:$Z$213,26,0),"")</f>
        <v/>
      </c>
      <c r="EP40" s="23" t="str">
        <f t="shared" si="53"/>
        <v/>
      </c>
      <c r="EQ40" s="32" t="str">
        <f t="shared" si="54"/>
        <v/>
      </c>
      <c r="ER40" s="32" t="str">
        <f t="shared" si="55"/>
        <v/>
      </c>
      <c r="ES40" s="6"/>
      <c r="ET40" s="32"/>
    </row>
    <row r="41" spans="1:150" ht="15.75" customHeight="1">
      <c r="A41" s="7" t="s">
        <v>324</v>
      </c>
      <c r="B41" s="7" t="s">
        <v>325</v>
      </c>
      <c r="C41" s="32" t="s">
        <v>326</v>
      </c>
      <c r="D41" s="40">
        <v>0</v>
      </c>
      <c r="E41" s="40">
        <v>0</v>
      </c>
      <c r="F41" s="40">
        <v>0</v>
      </c>
      <c r="G41" s="40">
        <v>124353387</v>
      </c>
      <c r="H41" s="40">
        <v>124583961</v>
      </c>
      <c r="I41" s="40">
        <v>6451293</v>
      </c>
      <c r="J41" s="40">
        <v>2656418</v>
      </c>
      <c r="K41" s="40">
        <v>0</v>
      </c>
      <c r="L41" s="40">
        <v>1495765</v>
      </c>
      <c r="M41" s="40">
        <v>1740446</v>
      </c>
      <c r="N41" s="40">
        <v>36468</v>
      </c>
      <c r="O41" s="40">
        <v>2723963</v>
      </c>
      <c r="P41" s="40">
        <v>59516</v>
      </c>
      <c r="Q41" s="40">
        <v>0</v>
      </c>
      <c r="R41" s="40">
        <v>0</v>
      </c>
      <c r="S41" s="40">
        <v>856385</v>
      </c>
      <c r="T41" s="40">
        <v>34818204</v>
      </c>
      <c r="U41" s="40">
        <v>3290770</v>
      </c>
      <c r="V41" s="40">
        <v>34686</v>
      </c>
      <c r="W41" s="40">
        <v>0</v>
      </c>
      <c r="X41" s="40">
        <f>IFERROR(VLOOKUP(A41,'Trans 21-23'!$A$2:$J$229,6,0),0)</f>
        <v>0</v>
      </c>
      <c r="Y41" s="41">
        <v>3769654</v>
      </c>
      <c r="Z41" s="41">
        <v>0</v>
      </c>
      <c r="AA41" s="41">
        <v>17271226</v>
      </c>
      <c r="AB41" s="41">
        <v>42213444</v>
      </c>
      <c r="AC41" s="41">
        <v>6691</v>
      </c>
      <c r="AD41" s="41">
        <v>67509926</v>
      </c>
      <c r="AE41" s="41">
        <v>0</v>
      </c>
      <c r="AF41" s="41">
        <v>324838910</v>
      </c>
      <c r="AG41" s="41">
        <v>238801</v>
      </c>
      <c r="AH41" s="41">
        <v>18770</v>
      </c>
      <c r="AI41" s="41">
        <v>4286209</v>
      </c>
      <c r="AJ41" s="41">
        <v>14906</v>
      </c>
      <c r="AK41" s="41">
        <v>0</v>
      </c>
      <c r="AL41" s="41">
        <v>1745755</v>
      </c>
      <c r="AM41" s="41">
        <v>1826819</v>
      </c>
      <c r="AN41" s="41">
        <v>356665</v>
      </c>
      <c r="AO41" s="41">
        <v>15733</v>
      </c>
      <c r="AP41" s="41">
        <v>100840</v>
      </c>
      <c r="AQ41" s="41">
        <v>4045812</v>
      </c>
      <c r="AR41" s="41">
        <v>206721</v>
      </c>
      <c r="AS41" s="41">
        <v>4252533</v>
      </c>
      <c r="AT41" s="41">
        <v>0</v>
      </c>
      <c r="AU41" s="41">
        <v>1518</v>
      </c>
      <c r="AV41" s="41">
        <v>0</v>
      </c>
      <c r="AW41" s="41">
        <v>239553429</v>
      </c>
      <c r="AX41" s="41">
        <v>33956499</v>
      </c>
      <c r="AY41" s="41">
        <v>164347562</v>
      </c>
      <c r="AZ41" s="41">
        <v>42879077</v>
      </c>
      <c r="BA41" s="41">
        <v>20019318</v>
      </c>
      <c r="BB41" s="41">
        <v>1128998202</v>
      </c>
      <c r="BC41" s="41">
        <v>1593354374</v>
      </c>
      <c r="BD41" s="41">
        <v>72019719</v>
      </c>
      <c r="BE41" s="41">
        <v>342361674</v>
      </c>
      <c r="BF41" s="41">
        <v>31414762</v>
      </c>
      <c r="BG41" s="41">
        <v>0</v>
      </c>
      <c r="BH41" s="41">
        <v>32306294</v>
      </c>
      <c r="BI41" s="41">
        <v>8480471</v>
      </c>
      <c r="BJ41" s="41">
        <v>2461002</v>
      </c>
      <c r="BK41" s="41">
        <v>0</v>
      </c>
      <c r="BL41" s="41">
        <v>0</v>
      </c>
      <c r="BM41" s="41">
        <v>8155170</v>
      </c>
      <c r="BN41" s="41">
        <v>58542377</v>
      </c>
      <c r="BO41" s="41">
        <v>0</v>
      </c>
      <c r="BP41" s="41">
        <v>0</v>
      </c>
      <c r="BQ41" s="41">
        <v>123993828</v>
      </c>
      <c r="BR41" s="41">
        <v>0</v>
      </c>
      <c r="BS41" s="42">
        <f>IFERROR(VLOOKUP(A41,'Trans 21-23'!$A$2:$J$229,5,0),0)</f>
        <v>0</v>
      </c>
      <c r="BT41" s="43"/>
      <c r="BU41" s="6">
        <f t="shared" si="0"/>
        <v>1128998202</v>
      </c>
      <c r="BV41" s="6">
        <f t="shared" si="1"/>
        <v>1518</v>
      </c>
      <c r="BW41" s="6">
        <f t="shared" si="2"/>
        <v>238801</v>
      </c>
      <c r="BX41" s="6">
        <f t="shared" si="3"/>
        <v>54163914</v>
      </c>
      <c r="BY41" s="6">
        <f t="shared" si="4"/>
        <v>63261015</v>
      </c>
      <c r="BZ41" s="6">
        <f t="shared" si="5"/>
        <v>42879077</v>
      </c>
      <c r="CA41" s="6">
        <f t="shared" si="6"/>
        <v>67509926</v>
      </c>
      <c r="CB41" s="6">
        <f t="shared" si="7"/>
        <v>18770</v>
      </c>
      <c r="CC41" s="6">
        <f t="shared" si="8"/>
        <v>4045812</v>
      </c>
      <c r="CD41" s="6">
        <f t="shared" si="9"/>
        <v>1</v>
      </c>
      <c r="CE41" s="44">
        <f t="shared" si="10"/>
        <v>20</v>
      </c>
      <c r="CF41" s="27"/>
      <c r="CG41" s="28">
        <f t="shared" si="11"/>
        <v>743.74058102766799</v>
      </c>
      <c r="CH41" s="28">
        <f t="shared" si="12"/>
        <v>6.3567573000113065</v>
      </c>
      <c r="CI41" s="28">
        <f t="shared" si="13"/>
        <v>226.81611048529948</v>
      </c>
      <c r="CJ41" s="28">
        <f t="shared" si="14"/>
        <v>179.55987202733658</v>
      </c>
      <c r="CK41" s="23">
        <f t="shared" si="15"/>
        <v>4.6393653486617769E-3</v>
      </c>
      <c r="CL41" s="29" t="str">
        <f t="shared" si="16"/>
        <v/>
      </c>
      <c r="CM41" s="29" t="str">
        <f t="shared" si="17"/>
        <v/>
      </c>
      <c r="CN41" s="29" t="str">
        <f t="shared" si="18"/>
        <v/>
      </c>
      <c r="CO41" s="29" t="str">
        <f t="shared" si="19"/>
        <v/>
      </c>
      <c r="CP41" s="29" t="str">
        <f t="shared" si="20"/>
        <v/>
      </c>
      <c r="CQ41" s="29">
        <f t="shared" si="21"/>
        <v>0</v>
      </c>
      <c r="CR41" s="13"/>
      <c r="CS41" s="7">
        <f>VLOOKUP(A41,'Empresas 21-23'!$A$2:$M$228,13,0)</f>
        <v>1</v>
      </c>
      <c r="CT41" s="30"/>
      <c r="CU41" s="6">
        <f t="shared" si="22"/>
        <v>947117370.39999998</v>
      </c>
      <c r="CV41" s="6">
        <f t="shared" si="23"/>
        <v>42879077</v>
      </c>
      <c r="CW41" s="6">
        <f t="shared" si="24"/>
        <v>72019719</v>
      </c>
      <c r="CX41" s="23">
        <f t="shared" si="56"/>
        <v>0.62255688929928432</v>
      </c>
      <c r="CY41" s="23">
        <f t="shared" si="57"/>
        <v>2.8185170737466701E-2</v>
      </c>
      <c r="CZ41" s="6">
        <f t="shared" si="25"/>
        <v>991953742.62884855</v>
      </c>
      <c r="DA41" s="6">
        <f t="shared" si="26"/>
        <v>44908965.076479375</v>
      </c>
      <c r="DB41" s="6">
        <f t="shared" si="27"/>
        <v>54163914</v>
      </c>
      <c r="DC41" s="6">
        <f t="shared" si="28"/>
        <v>54163914</v>
      </c>
      <c r="DD41" s="6">
        <f t="shared" si="29"/>
        <v>63261015</v>
      </c>
      <c r="DE41" s="6">
        <f t="shared" si="30"/>
        <v>67509926</v>
      </c>
      <c r="DF41" s="6">
        <f t="shared" si="31"/>
        <v>59718610.070565537</v>
      </c>
      <c r="DG41" s="30"/>
      <c r="DH41" s="32">
        <f>VLOOKUP(A41,'T_med_comp-USA'!$A$7:$Q$233,17,0)</f>
        <v>11.32383839288137</v>
      </c>
      <c r="DI41" s="6" t="str">
        <f t="shared" si="32"/>
        <v>9_2010</v>
      </c>
      <c r="DJ41" s="32">
        <f>IF(DI41="","",VLOOKUP(DI41,'CPI USA'!$T:$U,2,FALSE))</f>
        <v>218.05600000000001</v>
      </c>
      <c r="DK41" s="32">
        <f>IF(DI41="","",VLOOKUP(DI41,'PPI USA'!$S:$T,2,FALSE))</f>
        <v>160.80000000000001</v>
      </c>
      <c r="DL41" s="32">
        <f>IF(DI41="","",VLOOKUP(DI41,'CPI USA'!$T:$V,3,FALSE))</f>
        <v>0.67050107279443949</v>
      </c>
      <c r="DM41" s="32">
        <f>IF(DI41="","",VLOOKUP(DI41,'CPI USA'!$T:$X,5,FALSE))</f>
        <v>0.4987389730136107</v>
      </c>
      <c r="DN41" s="32">
        <f t="shared" si="33"/>
        <v>1.4703278680244813</v>
      </c>
      <c r="DO41" s="32">
        <f t="shared" si="34"/>
        <v>1.4857204383544427</v>
      </c>
      <c r="DP41" s="32">
        <f t="shared" si="35"/>
        <v>0.59645420011559724</v>
      </c>
      <c r="DQ41" s="32">
        <f>IF(DP41="","",DP41*$DO$1/'CPI USA'!$U$508+(1-DP41)*AVERAGE($DO$1,$DQ$1)/AVERAGE('CPI USA'!$U$508,'PPI USA'!$T$514))</f>
        <v>1.1507268584222421</v>
      </c>
      <c r="DR41" s="6">
        <f t="shared" si="36"/>
        <v>10941473</v>
      </c>
      <c r="DS41" s="32">
        <f t="shared" si="37"/>
        <v>0.2</v>
      </c>
      <c r="DT41" s="28">
        <f>IF(DS41="","",DS41*$DO$1/'CPI USA'!$U$508+(1-DS41)*AVERAGE($DO$1,$DQ$1)/AVERAGE('CPI USA'!$U$508,'PPI USA'!$T$514))</f>
        <v>1.1741595760647974</v>
      </c>
      <c r="DU41" s="6">
        <f t="shared" si="38"/>
        <v>8155170</v>
      </c>
      <c r="DV41" s="6">
        <f t="shared" si="39"/>
        <v>0</v>
      </c>
      <c r="DW41" s="6">
        <f t="shared" si="40"/>
        <v>6024574.1645473335</v>
      </c>
      <c r="DX41" s="16">
        <f t="shared" si="41"/>
        <v>0.2</v>
      </c>
      <c r="DY41" s="28">
        <f>IF(DX41="","",DX41*$DO$1/'CPI USA'!$U$508+(1-DX41)*AVERAGE($DO$1,$DQ$1)/AVERAGE('CPI USA'!$U$508,'PPI USA'!$T$514))</f>
        <v>1.1741595760647974</v>
      </c>
      <c r="DZ41" s="30"/>
      <c r="EA41" s="45" t="str">
        <f t="shared" si="42"/>
        <v>C000507</v>
      </c>
      <c r="EB41" s="29">
        <f t="shared" si="43"/>
        <v>1458497231.5783799</v>
      </c>
      <c r="EC41" s="29">
        <f t="shared" si="44"/>
        <v>66722167.279471293</v>
      </c>
      <c r="ED41" s="29">
        <f t="shared" si="45"/>
        <v>62327870.597072497</v>
      </c>
      <c r="EE41" s="29">
        <f t="shared" si="46"/>
        <v>74278526.553828791</v>
      </c>
      <c r="EF41" s="29">
        <f t="shared" si="47"/>
        <v>70119177.883634165</v>
      </c>
      <c r="EG41" s="29">
        <f t="shared" si="48"/>
        <v>1518</v>
      </c>
      <c r="EH41" s="29">
        <f t="shared" si="49"/>
        <v>238801</v>
      </c>
      <c r="EI41" s="29">
        <f t="shared" si="50"/>
        <v>18770</v>
      </c>
      <c r="EJ41" s="29">
        <f t="shared" si="51"/>
        <v>4045812</v>
      </c>
      <c r="EK41" s="29">
        <f t="shared" si="52"/>
        <v>4061433.9644670049</v>
      </c>
      <c r="EL41" s="29">
        <f>IF(CD41=1,VLOOKUP(EA41,'EIA 2021'!$A$2:$J$213,4,0)*EH41,"")</f>
        <v>25659167.449999999</v>
      </c>
      <c r="EM41" s="29">
        <f>IF(CD41=1,VLOOKUP(EA41,'EIA 2021'!$A$2:$J$213,7,0)*EH41,"")</f>
        <v>306381.68299999996</v>
      </c>
      <c r="EN41" s="29">
        <f>IF(CD41=1,VLOOKUP(EA41,'EIA 2021'!$A$2:$J$213,10,0),"")</f>
        <v>231251</v>
      </c>
      <c r="EO41" s="28">
        <f>IF(CD41=1,VLOOKUP(EA41,'EIA 2021'!$A$2:$Z$213,26,0),"")</f>
        <v>0</v>
      </c>
      <c r="EP41" s="23">
        <f t="shared" si="53"/>
        <v>3.8464159712258668E-3</v>
      </c>
      <c r="EQ41" s="32">
        <f t="shared" si="54"/>
        <v>3148.0355329949234</v>
      </c>
      <c r="ER41" s="32">
        <f t="shared" si="55"/>
        <v>15621.964467005077</v>
      </c>
      <c r="ES41" s="6"/>
      <c r="ET41" s="32"/>
    </row>
    <row r="42" spans="1:150" ht="15.75" customHeight="1">
      <c r="A42" s="7" t="s">
        <v>327</v>
      </c>
      <c r="B42" s="7" t="s">
        <v>328</v>
      </c>
      <c r="C42" s="32" t="s">
        <v>329</v>
      </c>
      <c r="D42" s="40">
        <v>0</v>
      </c>
      <c r="E42" s="40">
        <v>0</v>
      </c>
      <c r="F42" s="40">
        <v>0</v>
      </c>
      <c r="G42" s="40">
        <v>102220751</v>
      </c>
      <c r="H42" s="40">
        <v>102220751</v>
      </c>
      <c r="I42" s="40">
        <v>1892250</v>
      </c>
      <c r="J42" s="40">
        <v>434393</v>
      </c>
      <c r="K42" s="40">
        <v>0</v>
      </c>
      <c r="L42" s="40">
        <v>242546</v>
      </c>
      <c r="M42" s="40">
        <v>337550</v>
      </c>
      <c r="N42" s="40">
        <v>0</v>
      </c>
      <c r="O42" s="40">
        <v>3050336</v>
      </c>
      <c r="P42" s="40">
        <v>18966</v>
      </c>
      <c r="Q42" s="40">
        <v>0</v>
      </c>
      <c r="R42" s="40">
        <v>0</v>
      </c>
      <c r="S42" s="40">
        <v>93660</v>
      </c>
      <c r="T42" s="40">
        <v>13486222</v>
      </c>
      <c r="U42" s="40">
        <v>890752</v>
      </c>
      <c r="V42" s="40">
        <v>0</v>
      </c>
      <c r="W42" s="40">
        <v>0</v>
      </c>
      <c r="X42" s="40">
        <f>IFERROR(VLOOKUP(A42,'Trans 21-23'!$A$2:$J$229,6,0),0)</f>
        <v>0</v>
      </c>
      <c r="Y42" s="41">
        <v>500091</v>
      </c>
      <c r="Z42" s="41">
        <v>0</v>
      </c>
      <c r="AA42" s="41">
        <v>6276471</v>
      </c>
      <c r="AB42" s="41">
        <v>8715359</v>
      </c>
      <c r="AC42" s="41">
        <v>538</v>
      </c>
      <c r="AD42" s="41">
        <v>20982176</v>
      </c>
      <c r="AE42" s="41">
        <v>0</v>
      </c>
      <c r="AF42" s="41">
        <v>162298045</v>
      </c>
      <c r="AG42" s="41">
        <v>74275</v>
      </c>
      <c r="AH42" s="41">
        <v>37309</v>
      </c>
      <c r="AI42" s="41">
        <v>1534340</v>
      </c>
      <c r="AJ42" s="41">
        <v>1442</v>
      </c>
      <c r="AK42" s="41">
        <v>0</v>
      </c>
      <c r="AL42" s="41">
        <v>721186</v>
      </c>
      <c r="AM42" s="41">
        <v>753231</v>
      </c>
      <c r="AN42" s="41">
        <v>14692</v>
      </c>
      <c r="AO42" s="41">
        <v>6480</v>
      </c>
      <c r="AP42" s="41">
        <v>0</v>
      </c>
      <c r="AQ42" s="41">
        <v>1495589</v>
      </c>
      <c r="AR42" s="41">
        <v>0</v>
      </c>
      <c r="AS42" s="41">
        <v>1495589</v>
      </c>
      <c r="AT42" s="41">
        <v>0</v>
      </c>
      <c r="AU42" s="41">
        <v>424</v>
      </c>
      <c r="AV42" s="41">
        <v>0</v>
      </c>
      <c r="AW42" s="41">
        <v>80611289</v>
      </c>
      <c r="AX42" s="41">
        <v>24237454</v>
      </c>
      <c r="AY42" s="41">
        <v>81657493</v>
      </c>
      <c r="AZ42" s="41">
        <v>12647436</v>
      </c>
      <c r="BA42" s="41">
        <v>7780197</v>
      </c>
      <c r="BB42" s="41">
        <v>407310919</v>
      </c>
      <c r="BC42" s="41">
        <v>486197354</v>
      </c>
      <c r="BD42" s="41">
        <v>11471105</v>
      </c>
      <c r="BE42" s="41">
        <v>90876960</v>
      </c>
      <c r="BF42" s="41">
        <v>8437965</v>
      </c>
      <c r="BG42" s="41">
        <v>0</v>
      </c>
      <c r="BH42" s="41">
        <v>5916092</v>
      </c>
      <c r="BI42" s="41">
        <v>588063</v>
      </c>
      <c r="BJ42" s="41">
        <v>0</v>
      </c>
      <c r="BK42" s="41">
        <v>0</v>
      </c>
      <c r="BL42" s="41">
        <v>0</v>
      </c>
      <c r="BM42" s="41">
        <v>2466153</v>
      </c>
      <c r="BN42" s="41">
        <v>14068567</v>
      </c>
      <c r="BO42" s="41">
        <v>0</v>
      </c>
      <c r="BP42" s="41">
        <v>0</v>
      </c>
      <c r="BQ42" s="41">
        <v>20409903</v>
      </c>
      <c r="BR42" s="41">
        <v>0</v>
      </c>
      <c r="BS42" s="42">
        <f>IFERROR(VLOOKUP(A42,'Trans 21-23'!$A$2:$J$229,5,0),0)</f>
        <v>0</v>
      </c>
      <c r="BT42" s="43"/>
      <c r="BU42" s="6">
        <f t="shared" si="0"/>
        <v>407310919</v>
      </c>
      <c r="BV42" s="6">
        <f t="shared" si="1"/>
        <v>424</v>
      </c>
      <c r="BW42" s="6">
        <f t="shared" si="2"/>
        <v>74275</v>
      </c>
      <c r="BX42" s="6">
        <f t="shared" si="3"/>
        <v>20446675</v>
      </c>
      <c r="BY42" s="6">
        <f t="shared" si="4"/>
        <v>15492459</v>
      </c>
      <c r="BZ42" s="6">
        <f t="shared" si="5"/>
        <v>12647436</v>
      </c>
      <c r="CA42" s="6">
        <f t="shared" si="6"/>
        <v>20982176</v>
      </c>
      <c r="CB42" s="6">
        <f t="shared" si="7"/>
        <v>37309</v>
      </c>
      <c r="CC42" s="6">
        <f t="shared" si="8"/>
        <v>1495589</v>
      </c>
      <c r="CD42" s="6">
        <f t="shared" si="9"/>
        <v>1</v>
      </c>
      <c r="CE42" s="44">
        <f t="shared" si="10"/>
        <v>25</v>
      </c>
      <c r="CF42" s="27"/>
      <c r="CG42" s="28">
        <f t="shared" si="11"/>
        <v>960.63895990566039</v>
      </c>
      <c r="CH42" s="28">
        <f t="shared" si="12"/>
        <v>5.7085156512958601</v>
      </c>
      <c r="CI42" s="28">
        <f t="shared" si="13"/>
        <v>275.28340626051835</v>
      </c>
      <c r="CJ42" s="28">
        <f t="shared" si="14"/>
        <v>170.27850555368562</v>
      </c>
      <c r="CK42" s="23">
        <f t="shared" si="15"/>
        <v>2.4946024609702265E-2</v>
      </c>
      <c r="CL42" s="29" t="str">
        <f t="shared" si="16"/>
        <v/>
      </c>
      <c r="CM42" s="29" t="str">
        <f t="shared" si="17"/>
        <v/>
      </c>
      <c r="CN42" s="29" t="str">
        <f t="shared" si="18"/>
        <v/>
      </c>
      <c r="CO42" s="29" t="str">
        <f t="shared" si="19"/>
        <v/>
      </c>
      <c r="CP42" s="29" t="str">
        <f t="shared" si="20"/>
        <v/>
      </c>
      <c r="CQ42" s="29">
        <f t="shared" si="21"/>
        <v>0</v>
      </c>
      <c r="CR42" s="13"/>
      <c r="CS42" s="7">
        <f>VLOOKUP(A42,'Empresas 21-23'!$A$2:$M$228,13,0)</f>
        <v>1</v>
      </c>
      <c r="CT42" s="30"/>
      <c r="CU42" s="6">
        <f t="shared" si="22"/>
        <v>323346317.80000001</v>
      </c>
      <c r="CV42" s="6">
        <f t="shared" si="23"/>
        <v>12647436</v>
      </c>
      <c r="CW42" s="6">
        <f t="shared" si="24"/>
        <v>11471105</v>
      </c>
      <c r="CX42" s="23">
        <f t="shared" si="56"/>
        <v>0.68112163269067516</v>
      </c>
      <c r="CY42" s="23">
        <f t="shared" si="57"/>
        <v>2.6641535046021861E-2</v>
      </c>
      <c r="CZ42" s="6">
        <f t="shared" si="25"/>
        <v>331159535.5663662</v>
      </c>
      <c r="DA42" s="6">
        <f t="shared" si="26"/>
        <v>12953043.845874097</v>
      </c>
      <c r="DB42" s="6">
        <f t="shared" si="27"/>
        <v>20446675</v>
      </c>
      <c r="DC42" s="6">
        <f t="shared" si="28"/>
        <v>20446675</v>
      </c>
      <c r="DD42" s="6">
        <f t="shared" si="29"/>
        <v>15492459</v>
      </c>
      <c r="DE42" s="6">
        <f t="shared" si="30"/>
        <v>20982176</v>
      </c>
      <c r="DF42" s="6">
        <f t="shared" si="31"/>
        <v>19288373.419811241</v>
      </c>
      <c r="DG42" s="30"/>
      <c r="DH42" s="32">
        <f>VLOOKUP(A42,'T_med_comp-USA'!$A$7:$Q$233,17,0)</f>
        <v>12.236553383879</v>
      </c>
      <c r="DI42" s="6" t="str">
        <f t="shared" si="32"/>
        <v>10_2009</v>
      </c>
      <c r="DJ42" s="32">
        <f>IF(DI42="","",VLOOKUP(DI42,'CPI USA'!$T:$U,2,FALSE))</f>
        <v>214.53700000000001</v>
      </c>
      <c r="DK42" s="32">
        <f>IF(DI42="","",VLOOKUP(DI42,'PPI USA'!$S:$T,2,FALSE))</f>
        <v>159.1</v>
      </c>
      <c r="DL42" s="32">
        <f>IF(DI42="","",VLOOKUP(DI42,'CPI USA'!$T:$V,3,FALSE))</f>
        <v>0.66997101349938215</v>
      </c>
      <c r="DM42" s="32">
        <f>IF(DI42="","",VLOOKUP(DI42,'CPI USA'!$T:$X,5,FALSE))</f>
        <v>0.49813941766071862</v>
      </c>
      <c r="DN42" s="32">
        <f t="shared" si="33"/>
        <v>1.4932638886873792</v>
      </c>
      <c r="DO42" s="32">
        <f t="shared" si="34"/>
        <v>1.5082750176818205</v>
      </c>
      <c r="DP42" s="32">
        <f t="shared" si="35"/>
        <v>0.28934249700745968</v>
      </c>
      <c r="DQ42" s="32">
        <f>IF(DP42="","",DP42*$DO$1/'CPI USA'!$U$508+(1-DP42)*AVERAGE($DO$1,$DQ$1)/AVERAGE('CPI USA'!$U$508,'PPI USA'!$T$514))</f>
        <v>1.1688789219432212</v>
      </c>
      <c r="DR42" s="6">
        <f t="shared" si="36"/>
        <v>588063</v>
      </c>
      <c r="DS42" s="32">
        <f t="shared" si="37"/>
        <v>0.2</v>
      </c>
      <c r="DT42" s="28">
        <f>IF(DS42="","",DS42*$DO$1/'CPI USA'!$U$508+(1-DS42)*AVERAGE($DO$1,$DQ$1)/AVERAGE('CPI USA'!$U$508,'PPI USA'!$T$514))</f>
        <v>1.1741595760647974</v>
      </c>
      <c r="DU42" s="6">
        <f t="shared" si="38"/>
        <v>2466153</v>
      </c>
      <c r="DV42" s="6">
        <f t="shared" si="39"/>
        <v>0</v>
      </c>
      <c r="DW42" s="6">
        <f t="shared" si="40"/>
        <v>1140147.4909075671</v>
      </c>
      <c r="DX42" s="16">
        <f t="shared" si="41"/>
        <v>0.2</v>
      </c>
      <c r="DY42" s="28">
        <f>IF(DX42="","",DX42*$DO$1/'CPI USA'!$U$508+(1-DX42)*AVERAGE($DO$1,$DQ$1)/AVERAGE('CPI USA'!$U$508,'PPI USA'!$T$514))</f>
        <v>1.1741595760647974</v>
      </c>
      <c r="DZ42" s="30"/>
      <c r="EA42" s="45" t="str">
        <f t="shared" si="42"/>
        <v>C000509</v>
      </c>
      <c r="EB42" s="29">
        <f t="shared" si="43"/>
        <v>494508575.85573846</v>
      </c>
      <c r="EC42" s="29">
        <f t="shared" si="44"/>
        <v>19536752.43566915</v>
      </c>
      <c r="ED42" s="29">
        <f t="shared" si="45"/>
        <v>23899687.431323413</v>
      </c>
      <c r="EE42" s="29">
        <f t="shared" si="46"/>
        <v>18190619.091641255</v>
      </c>
      <c r="EF42" s="29">
        <f t="shared" si="47"/>
        <v>22647628.357585073</v>
      </c>
      <c r="EG42" s="29">
        <f t="shared" si="48"/>
        <v>424</v>
      </c>
      <c r="EH42" s="29">
        <f t="shared" si="49"/>
        <v>74275</v>
      </c>
      <c r="EI42" s="29">
        <f t="shared" si="50"/>
        <v>37309</v>
      </c>
      <c r="EJ42" s="29">
        <f t="shared" si="51"/>
        <v>1495589</v>
      </c>
      <c r="EK42" s="29">
        <f t="shared" si="52"/>
        <v>1532898</v>
      </c>
      <c r="EL42" s="29">
        <f>IF(CD42=1,VLOOKUP(EA42,'EIA 2021'!$A$2:$J$213,4,0)*EH42,"")</f>
        <v>8010558.75</v>
      </c>
      <c r="EM42" s="29">
        <f>IF(CD42=1,VLOOKUP(EA42,'EIA 2021'!$A$2:$J$213,7,0)*EH42,"")</f>
        <v>66773.225000000006</v>
      </c>
      <c r="EN42" s="29">
        <f>IF(CD42=1,VLOOKUP(EA42,'EIA 2021'!$A$2:$J$213,10,0),"")</f>
        <v>71442</v>
      </c>
      <c r="EO42" s="28">
        <f>IF(CD42=1,VLOOKUP(EA42,'EIA 2021'!$A$2:$Z$213,26,0),"")</f>
        <v>0</v>
      </c>
      <c r="EP42" s="23">
        <f t="shared" si="53"/>
        <v>2.4338866643442682E-2</v>
      </c>
      <c r="EQ42" s="32">
        <f t="shared" si="54"/>
        <v>0</v>
      </c>
      <c r="ER42" s="32">
        <f t="shared" si="55"/>
        <v>37309</v>
      </c>
      <c r="ES42" s="6"/>
      <c r="ET42" s="32"/>
    </row>
    <row r="43" spans="1:150" ht="15.75" customHeight="1">
      <c r="A43" s="7" t="s">
        <v>330</v>
      </c>
      <c r="B43" s="7" t="s">
        <v>331</v>
      </c>
      <c r="C43" s="32" t="s">
        <v>332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f>IFERROR(VLOOKUP(A43,'Trans 21-23'!$A$2:$J$229,6,0),0)</f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8806571</v>
      </c>
      <c r="AE43" s="41">
        <v>0</v>
      </c>
      <c r="AF43" s="41">
        <v>33622770</v>
      </c>
      <c r="AG43" s="41">
        <v>0</v>
      </c>
      <c r="AH43" s="41">
        <v>0</v>
      </c>
      <c r="AI43" s="41">
        <v>0</v>
      </c>
      <c r="AJ43" s="41">
        <v>0</v>
      </c>
      <c r="AK43" s="41">
        <v>0</v>
      </c>
      <c r="AL43" s="41">
        <v>0</v>
      </c>
      <c r="AM43" s="41">
        <v>0</v>
      </c>
      <c r="AN43" s="4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3143193643</v>
      </c>
      <c r="BD43" s="41">
        <v>56114146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0</v>
      </c>
      <c r="BP43" s="41">
        <v>0</v>
      </c>
      <c r="BQ43" s="41">
        <v>0</v>
      </c>
      <c r="BR43" s="41">
        <v>0</v>
      </c>
      <c r="BS43" s="42">
        <f>IFERROR(VLOOKUP(A43,'Trans 21-23'!$A$2:$J$229,5,0),0)</f>
        <v>0</v>
      </c>
      <c r="BT43" s="43"/>
      <c r="BU43" s="6">
        <f t="shared" si="0"/>
        <v>0</v>
      </c>
      <c r="BV43" s="6">
        <f t="shared" si="1"/>
        <v>0</v>
      </c>
      <c r="BW43" s="6">
        <f t="shared" si="2"/>
        <v>0</v>
      </c>
      <c r="BX43" s="6">
        <f t="shared" si="3"/>
        <v>0</v>
      </c>
      <c r="BY43" s="6">
        <f t="shared" si="4"/>
        <v>0</v>
      </c>
      <c r="BZ43" s="6">
        <f t="shared" si="5"/>
        <v>0</v>
      </c>
      <c r="CA43" s="6">
        <f t="shared" si="6"/>
        <v>8806571</v>
      </c>
      <c r="CB43" s="6">
        <f t="shared" si="7"/>
        <v>0</v>
      </c>
      <c r="CC43" s="6">
        <f t="shared" si="8"/>
        <v>0</v>
      </c>
      <c r="CD43" s="6">
        <f t="shared" si="9"/>
        <v>0</v>
      </c>
      <c r="CE43" s="44">
        <f t="shared" si="10"/>
        <v>64</v>
      </c>
      <c r="CF43" s="27"/>
      <c r="CG43" s="28" t="str">
        <f t="shared" si="11"/>
        <v/>
      </c>
      <c r="CH43" s="28" t="str">
        <f t="shared" si="12"/>
        <v/>
      </c>
      <c r="CI43" s="28" t="str">
        <f t="shared" si="13"/>
        <v/>
      </c>
      <c r="CJ43" s="28" t="str">
        <f t="shared" si="14"/>
        <v/>
      </c>
      <c r="CK43" s="23" t="str">
        <f t="shared" si="15"/>
        <v/>
      </c>
      <c r="CL43" s="29" t="str">
        <f t="shared" si="16"/>
        <v/>
      </c>
      <c r="CM43" s="29" t="str">
        <f t="shared" si="17"/>
        <v/>
      </c>
      <c r="CN43" s="29" t="str">
        <f t="shared" si="18"/>
        <v/>
      </c>
      <c r="CO43" s="29" t="str">
        <f t="shared" si="19"/>
        <v/>
      </c>
      <c r="CP43" s="29" t="str">
        <f t="shared" si="20"/>
        <v/>
      </c>
      <c r="CQ43" s="29">
        <f t="shared" si="21"/>
        <v>0</v>
      </c>
      <c r="CR43" s="13"/>
      <c r="CS43" s="7" t="str">
        <f>VLOOKUP(A43,'Empresas 21-23'!$A$2:$M$228,13,0)</f>
        <v/>
      </c>
      <c r="CT43" s="30"/>
      <c r="CU43" s="6">
        <f t="shared" si="22"/>
        <v>0</v>
      </c>
      <c r="CV43" s="6">
        <f t="shared" si="23"/>
        <v>0</v>
      </c>
      <c r="CW43" s="6">
        <f t="shared" si="24"/>
        <v>56114146</v>
      </c>
      <c r="CX43" s="23">
        <f t="shared" si="56"/>
        <v>0</v>
      </c>
      <c r="CY43" s="23">
        <f t="shared" si="57"/>
        <v>0</v>
      </c>
      <c r="CZ43" s="6">
        <f t="shared" si="25"/>
        <v>0</v>
      </c>
      <c r="DA43" s="6">
        <f t="shared" si="26"/>
        <v>0</v>
      </c>
      <c r="DB43" s="6">
        <f t="shared" si="27"/>
        <v>0</v>
      </c>
      <c r="DC43" s="6">
        <f t="shared" si="28"/>
        <v>0</v>
      </c>
      <c r="DD43" s="6">
        <f t="shared" si="29"/>
        <v>0</v>
      </c>
      <c r="DE43" s="6">
        <f t="shared" si="30"/>
        <v>8806571</v>
      </c>
      <c r="DF43" s="6">
        <f t="shared" si="31"/>
        <v>0</v>
      </c>
      <c r="DG43" s="30"/>
      <c r="DH43" s="32" t="str">
        <f>VLOOKUP(A43,'T_med_comp-USA'!$A$7:$Q$233,17,0)</f>
        <v>-</v>
      </c>
      <c r="DI43" s="6" t="str">
        <f t="shared" si="32"/>
        <v/>
      </c>
      <c r="DJ43" s="32" t="str">
        <f>IF(DI43="","",VLOOKUP(DI43,'CPI USA'!$T:$U,2,FALSE))</f>
        <v/>
      </c>
      <c r="DK43" s="32" t="str">
        <f>IF(DI43="","",VLOOKUP(DI43,'PPI USA'!$S:$T,2,FALSE))</f>
        <v/>
      </c>
      <c r="DL43" s="32" t="str">
        <f>IF(DI43="","",VLOOKUP(DI43,'CPI USA'!$T:$V,3,FALSE))</f>
        <v/>
      </c>
      <c r="DM43" s="32" t="str">
        <f>IF(DI43="","",VLOOKUP(DI43,'CPI USA'!$T:$X,5,FALSE))</f>
        <v/>
      </c>
      <c r="DN43" s="32" t="str">
        <f t="shared" si="33"/>
        <v/>
      </c>
      <c r="DO43" s="32" t="str">
        <f t="shared" si="34"/>
        <v/>
      </c>
      <c r="DP43" s="32" t="str">
        <f t="shared" si="35"/>
        <v/>
      </c>
      <c r="DQ43" s="32" t="str">
        <f>IF(DP43="","",DP43*$DO$1/'CPI USA'!$U$508+(1-DP43)*AVERAGE($DO$1,$DQ$1)/AVERAGE('CPI USA'!$U$508,'PPI USA'!$T$514))</f>
        <v/>
      </c>
      <c r="DR43" s="6">
        <f t="shared" si="36"/>
        <v>0</v>
      </c>
      <c r="DS43" s="32" t="str">
        <f t="shared" si="37"/>
        <v/>
      </c>
      <c r="DT43" s="28" t="str">
        <f>IF(DS43="","",DS43*$DO$1/'CPI USA'!$U$508+(1-DS43)*AVERAGE($DO$1,$DQ$1)/AVERAGE('CPI USA'!$U$508,'PPI USA'!$T$514))</f>
        <v/>
      </c>
      <c r="DU43" s="6" t="str">
        <f t="shared" si="38"/>
        <v/>
      </c>
      <c r="DV43" s="6" t="str">
        <f t="shared" si="39"/>
        <v/>
      </c>
      <c r="DW43" s="6">
        <f t="shared" si="40"/>
        <v>0</v>
      </c>
      <c r="DX43" s="16" t="str">
        <f t="shared" si="41"/>
        <v/>
      </c>
      <c r="DY43" s="28" t="str">
        <f>IF(DX43="","",DX43*$DO$1/'CPI USA'!$U$508+(1-DX43)*AVERAGE($DO$1,$DQ$1)/AVERAGE('CPI USA'!$U$508,'PPI USA'!$T$514))</f>
        <v/>
      </c>
      <c r="DZ43" s="30"/>
      <c r="EA43" s="45" t="str">
        <f t="shared" si="42"/>
        <v>C000522</v>
      </c>
      <c r="EB43" s="29" t="str">
        <f t="shared" si="43"/>
        <v/>
      </c>
      <c r="EC43" s="29" t="str">
        <f t="shared" si="44"/>
        <v/>
      </c>
      <c r="ED43" s="29" t="str">
        <f t="shared" si="45"/>
        <v/>
      </c>
      <c r="EE43" s="29" t="str">
        <f t="shared" si="46"/>
        <v/>
      </c>
      <c r="EF43" s="29" t="str">
        <f t="shared" si="47"/>
        <v/>
      </c>
      <c r="EG43" s="29" t="str">
        <f t="shared" si="48"/>
        <v/>
      </c>
      <c r="EH43" s="29" t="str">
        <f t="shared" si="49"/>
        <v/>
      </c>
      <c r="EI43" s="29" t="str">
        <f t="shared" si="50"/>
        <v/>
      </c>
      <c r="EJ43" s="29" t="str">
        <f t="shared" si="51"/>
        <v/>
      </c>
      <c r="EK43" s="29" t="str">
        <f t="shared" si="52"/>
        <v/>
      </c>
      <c r="EL43" s="29" t="str">
        <f>IF(CD43=1,VLOOKUP(EA43,'EIA 2021'!$A$2:$J$213,4,0)*EH43,"")</f>
        <v/>
      </c>
      <c r="EM43" s="29" t="str">
        <f>IF(CD43=1,VLOOKUP(EA43,'EIA 2021'!$A$2:$J$213,7,0)*EH43,"")</f>
        <v/>
      </c>
      <c r="EN43" s="29" t="str">
        <f>IF(CD43=1,VLOOKUP(EA43,'EIA 2021'!$A$2:$J$213,10,0),"")</f>
        <v/>
      </c>
      <c r="EO43" s="28" t="str">
        <f>IF(CD43=1,VLOOKUP(EA43,'EIA 2021'!$A$2:$Z$213,26,0),"")</f>
        <v/>
      </c>
      <c r="EP43" s="23" t="str">
        <f t="shared" si="53"/>
        <v/>
      </c>
      <c r="EQ43" s="32" t="str">
        <f t="shared" si="54"/>
        <v/>
      </c>
      <c r="ER43" s="32" t="str">
        <f t="shared" si="55"/>
        <v/>
      </c>
      <c r="ES43" s="6"/>
      <c r="ET43" s="32"/>
    </row>
    <row r="44" spans="1:150" ht="15.75" customHeight="1">
      <c r="A44" s="7" t="s">
        <v>333</v>
      </c>
      <c r="B44" s="7" t="s">
        <v>334</v>
      </c>
      <c r="C44" s="32" t="s">
        <v>335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f>IFERROR(VLOOKUP(A44,'Trans 21-23'!$A$2:$J$229,6,0),0)</f>
        <v>0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41">
        <v>857753</v>
      </c>
      <c r="AE44" s="41">
        <v>0</v>
      </c>
      <c r="AF44" s="41">
        <v>2339983</v>
      </c>
      <c r="AG44" s="41">
        <v>0</v>
      </c>
      <c r="AH44" s="41">
        <v>0</v>
      </c>
      <c r="AI44" s="41">
        <v>0</v>
      </c>
      <c r="AJ44" s="41">
        <v>0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169237025</v>
      </c>
      <c r="BD44" s="41">
        <v>22621918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0</v>
      </c>
      <c r="BK44" s="41">
        <v>0</v>
      </c>
      <c r="BL44" s="41">
        <v>0</v>
      </c>
      <c r="BM44" s="41">
        <v>0</v>
      </c>
      <c r="BN44" s="41">
        <v>0</v>
      </c>
      <c r="BO44" s="41">
        <v>0</v>
      </c>
      <c r="BP44" s="41">
        <v>0</v>
      </c>
      <c r="BQ44" s="41">
        <v>0</v>
      </c>
      <c r="BR44" s="41">
        <v>0</v>
      </c>
      <c r="BS44" s="42">
        <f>IFERROR(VLOOKUP(A44,'Trans 21-23'!$A$2:$J$229,5,0),0)</f>
        <v>0</v>
      </c>
      <c r="BT44" s="43"/>
      <c r="BU44" s="6">
        <f t="shared" si="0"/>
        <v>0</v>
      </c>
      <c r="BV44" s="6">
        <f t="shared" si="1"/>
        <v>0</v>
      </c>
      <c r="BW44" s="6">
        <f t="shared" si="2"/>
        <v>0</v>
      </c>
      <c r="BX44" s="6">
        <f t="shared" si="3"/>
        <v>0</v>
      </c>
      <c r="BY44" s="6">
        <f t="shared" si="4"/>
        <v>0</v>
      </c>
      <c r="BZ44" s="6">
        <f t="shared" si="5"/>
        <v>0</v>
      </c>
      <c r="CA44" s="6">
        <f t="shared" si="6"/>
        <v>857753</v>
      </c>
      <c r="CB44" s="6">
        <f t="shared" si="7"/>
        <v>0</v>
      </c>
      <c r="CC44" s="6">
        <f t="shared" si="8"/>
        <v>0</v>
      </c>
      <c r="CD44" s="6">
        <f t="shared" si="9"/>
        <v>0</v>
      </c>
      <c r="CE44" s="44">
        <f t="shared" si="10"/>
        <v>64</v>
      </c>
      <c r="CF44" s="27"/>
      <c r="CG44" s="28" t="str">
        <f t="shared" si="11"/>
        <v/>
      </c>
      <c r="CH44" s="28" t="str">
        <f t="shared" si="12"/>
        <v/>
      </c>
      <c r="CI44" s="28" t="str">
        <f t="shared" si="13"/>
        <v/>
      </c>
      <c r="CJ44" s="28" t="str">
        <f t="shared" si="14"/>
        <v/>
      </c>
      <c r="CK44" s="23" t="str">
        <f t="shared" si="15"/>
        <v/>
      </c>
      <c r="CL44" s="29" t="str">
        <f t="shared" si="16"/>
        <v/>
      </c>
      <c r="CM44" s="29" t="str">
        <f t="shared" si="17"/>
        <v/>
      </c>
      <c r="CN44" s="29" t="str">
        <f t="shared" si="18"/>
        <v/>
      </c>
      <c r="CO44" s="29" t="str">
        <f t="shared" si="19"/>
        <v/>
      </c>
      <c r="CP44" s="29" t="str">
        <f t="shared" si="20"/>
        <v/>
      </c>
      <c r="CQ44" s="29">
        <f t="shared" si="21"/>
        <v>0</v>
      </c>
      <c r="CR44" s="13"/>
      <c r="CS44" s="7" t="str">
        <f>VLOOKUP(A44,'Empresas 21-23'!$A$2:$M$228,13,0)</f>
        <v/>
      </c>
      <c r="CT44" s="30"/>
      <c r="CU44" s="6">
        <f t="shared" si="22"/>
        <v>0</v>
      </c>
      <c r="CV44" s="6">
        <f t="shared" si="23"/>
        <v>0</v>
      </c>
      <c r="CW44" s="6">
        <f t="shared" si="24"/>
        <v>22621918</v>
      </c>
      <c r="CX44" s="23">
        <f t="shared" si="56"/>
        <v>0</v>
      </c>
      <c r="CY44" s="23">
        <f t="shared" si="57"/>
        <v>0</v>
      </c>
      <c r="CZ44" s="6">
        <f t="shared" si="25"/>
        <v>0</v>
      </c>
      <c r="DA44" s="6">
        <f t="shared" si="26"/>
        <v>0</v>
      </c>
      <c r="DB44" s="6">
        <f t="shared" si="27"/>
        <v>0</v>
      </c>
      <c r="DC44" s="6">
        <f t="shared" si="28"/>
        <v>0</v>
      </c>
      <c r="DD44" s="6">
        <f t="shared" si="29"/>
        <v>0</v>
      </c>
      <c r="DE44" s="6">
        <f t="shared" si="30"/>
        <v>857753</v>
      </c>
      <c r="DF44" s="6">
        <f t="shared" si="31"/>
        <v>0</v>
      </c>
      <c r="DG44" s="30"/>
      <c r="DH44" s="32" t="str">
        <f>VLOOKUP(A44,'T_med_comp-USA'!$A$7:$Q$233,17,0)</f>
        <v>-</v>
      </c>
      <c r="DI44" s="6" t="str">
        <f t="shared" si="32"/>
        <v/>
      </c>
      <c r="DJ44" s="32" t="str">
        <f>IF(DI44="","",VLOOKUP(DI44,'CPI USA'!$T:$U,2,FALSE))</f>
        <v/>
      </c>
      <c r="DK44" s="32" t="str">
        <f>IF(DI44="","",VLOOKUP(DI44,'PPI USA'!$S:$T,2,FALSE))</f>
        <v/>
      </c>
      <c r="DL44" s="32" t="str">
        <f>IF(DI44="","",VLOOKUP(DI44,'CPI USA'!$T:$V,3,FALSE))</f>
        <v/>
      </c>
      <c r="DM44" s="32" t="str">
        <f>IF(DI44="","",VLOOKUP(DI44,'CPI USA'!$T:$X,5,FALSE))</f>
        <v/>
      </c>
      <c r="DN44" s="32" t="str">
        <f t="shared" si="33"/>
        <v/>
      </c>
      <c r="DO44" s="32" t="str">
        <f t="shared" si="34"/>
        <v/>
      </c>
      <c r="DP44" s="32" t="str">
        <f t="shared" si="35"/>
        <v/>
      </c>
      <c r="DQ44" s="32" t="str">
        <f>IF(DP44="","",DP44*$DO$1/'CPI USA'!$U$508+(1-DP44)*AVERAGE($DO$1,$DQ$1)/AVERAGE('CPI USA'!$U$508,'PPI USA'!$T$514))</f>
        <v/>
      </c>
      <c r="DR44" s="6">
        <f t="shared" si="36"/>
        <v>0</v>
      </c>
      <c r="DS44" s="32" t="str">
        <f t="shared" si="37"/>
        <v/>
      </c>
      <c r="DT44" s="28" t="str">
        <f>IF(DS44="","",DS44*$DO$1/'CPI USA'!$U$508+(1-DS44)*AVERAGE($DO$1,$DQ$1)/AVERAGE('CPI USA'!$U$508,'PPI USA'!$T$514))</f>
        <v/>
      </c>
      <c r="DU44" s="6" t="str">
        <f t="shared" si="38"/>
        <v/>
      </c>
      <c r="DV44" s="6" t="str">
        <f t="shared" si="39"/>
        <v/>
      </c>
      <c r="DW44" s="6">
        <f t="shared" si="40"/>
        <v>0</v>
      </c>
      <c r="DX44" s="16" t="str">
        <f t="shared" si="41"/>
        <v/>
      </c>
      <c r="DY44" s="28" t="str">
        <f>IF(DX44="","",DX44*$DO$1/'CPI USA'!$U$508+(1-DX44)*AVERAGE($DO$1,$DQ$1)/AVERAGE('CPI USA'!$U$508,'PPI USA'!$T$514))</f>
        <v/>
      </c>
      <c r="DZ44" s="30"/>
      <c r="EA44" s="45" t="str">
        <f t="shared" si="42"/>
        <v>C000523</v>
      </c>
      <c r="EB44" s="29" t="str">
        <f t="shared" si="43"/>
        <v/>
      </c>
      <c r="EC44" s="29" t="str">
        <f t="shared" si="44"/>
        <v/>
      </c>
      <c r="ED44" s="29" t="str">
        <f t="shared" si="45"/>
        <v/>
      </c>
      <c r="EE44" s="29" t="str">
        <f t="shared" si="46"/>
        <v/>
      </c>
      <c r="EF44" s="29" t="str">
        <f t="shared" si="47"/>
        <v/>
      </c>
      <c r="EG44" s="29" t="str">
        <f t="shared" si="48"/>
        <v/>
      </c>
      <c r="EH44" s="29" t="str">
        <f t="shared" si="49"/>
        <v/>
      </c>
      <c r="EI44" s="29" t="str">
        <f t="shared" si="50"/>
        <v/>
      </c>
      <c r="EJ44" s="29" t="str">
        <f t="shared" si="51"/>
        <v/>
      </c>
      <c r="EK44" s="29" t="str">
        <f t="shared" si="52"/>
        <v/>
      </c>
      <c r="EL44" s="29" t="str">
        <f>IF(CD44=1,VLOOKUP(EA44,'EIA 2021'!$A$2:$J$213,4,0)*EH44,"")</f>
        <v/>
      </c>
      <c r="EM44" s="29" t="str">
        <f>IF(CD44=1,VLOOKUP(EA44,'EIA 2021'!$A$2:$J$213,7,0)*EH44,"")</f>
        <v/>
      </c>
      <c r="EN44" s="29" t="str">
        <f>IF(CD44=1,VLOOKUP(EA44,'EIA 2021'!$A$2:$J$213,10,0),"")</f>
        <v/>
      </c>
      <c r="EO44" s="28" t="str">
        <f>IF(CD44=1,VLOOKUP(EA44,'EIA 2021'!$A$2:$Z$213,26,0),"")</f>
        <v/>
      </c>
      <c r="EP44" s="23" t="str">
        <f t="shared" si="53"/>
        <v/>
      </c>
      <c r="EQ44" s="32" t="str">
        <f t="shared" si="54"/>
        <v/>
      </c>
      <c r="ER44" s="32" t="str">
        <f t="shared" si="55"/>
        <v/>
      </c>
      <c r="ES44" s="6"/>
      <c r="ET44" s="32"/>
    </row>
    <row r="45" spans="1:150" ht="15.75" customHeight="1">
      <c r="A45" s="7" t="s">
        <v>336</v>
      </c>
      <c r="B45" s="7" t="s">
        <v>337</v>
      </c>
      <c r="C45" s="32" t="s">
        <v>338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f>IFERROR(VLOOKUP(A45,'Trans 21-23'!$A$2:$J$229,6,0),0)</f>
        <v>0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41">
        <v>14624225</v>
      </c>
      <c r="AE45" s="41">
        <v>0</v>
      </c>
      <c r="AF45" s="41">
        <v>47003428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0</v>
      </c>
      <c r="BA45" s="41">
        <v>0</v>
      </c>
      <c r="BB45" s="41">
        <v>0</v>
      </c>
      <c r="BC45" s="41">
        <v>4892978157</v>
      </c>
      <c r="BD45" s="41">
        <v>177450452</v>
      </c>
      <c r="BE45" s="41">
        <v>0</v>
      </c>
      <c r="BF45" s="41">
        <v>0</v>
      </c>
      <c r="BG45" s="41">
        <v>0</v>
      </c>
      <c r="BH45" s="41">
        <v>0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2">
        <f>IFERROR(VLOOKUP(A45,'Trans 21-23'!$A$2:$J$229,5,0),0)</f>
        <v>0</v>
      </c>
      <c r="BT45" s="43"/>
      <c r="BU45" s="6">
        <f t="shared" si="0"/>
        <v>0</v>
      </c>
      <c r="BV45" s="6">
        <f t="shared" si="1"/>
        <v>0</v>
      </c>
      <c r="BW45" s="6">
        <f t="shared" si="2"/>
        <v>0</v>
      </c>
      <c r="BX45" s="6">
        <f t="shared" si="3"/>
        <v>0</v>
      </c>
      <c r="BY45" s="6">
        <f t="shared" si="4"/>
        <v>0</v>
      </c>
      <c r="BZ45" s="6">
        <f t="shared" si="5"/>
        <v>0</v>
      </c>
      <c r="CA45" s="6">
        <f t="shared" si="6"/>
        <v>14624225</v>
      </c>
      <c r="CB45" s="6">
        <f t="shared" si="7"/>
        <v>0</v>
      </c>
      <c r="CC45" s="6">
        <f t="shared" si="8"/>
        <v>0</v>
      </c>
      <c r="CD45" s="6">
        <f t="shared" si="9"/>
        <v>0</v>
      </c>
      <c r="CE45" s="44">
        <f t="shared" si="10"/>
        <v>64</v>
      </c>
      <c r="CF45" s="27"/>
      <c r="CG45" s="28" t="str">
        <f t="shared" si="11"/>
        <v/>
      </c>
      <c r="CH45" s="28" t="str">
        <f t="shared" si="12"/>
        <v/>
      </c>
      <c r="CI45" s="28" t="str">
        <f t="shared" si="13"/>
        <v/>
      </c>
      <c r="CJ45" s="28" t="str">
        <f t="shared" si="14"/>
        <v/>
      </c>
      <c r="CK45" s="23" t="str">
        <f t="shared" si="15"/>
        <v/>
      </c>
      <c r="CL45" s="29" t="str">
        <f t="shared" si="16"/>
        <v/>
      </c>
      <c r="CM45" s="29" t="str">
        <f t="shared" si="17"/>
        <v/>
      </c>
      <c r="CN45" s="29" t="str">
        <f t="shared" si="18"/>
        <v/>
      </c>
      <c r="CO45" s="29" t="str">
        <f t="shared" si="19"/>
        <v/>
      </c>
      <c r="CP45" s="29" t="str">
        <f t="shared" si="20"/>
        <v/>
      </c>
      <c r="CQ45" s="29">
        <f t="shared" si="21"/>
        <v>0</v>
      </c>
      <c r="CR45" s="13"/>
      <c r="CS45" s="7" t="str">
        <f>VLOOKUP(A45,'Empresas 21-23'!$A$2:$M$228,13,0)</f>
        <v/>
      </c>
      <c r="CT45" s="30"/>
      <c r="CU45" s="6">
        <f t="shared" si="22"/>
        <v>0</v>
      </c>
      <c r="CV45" s="6">
        <f t="shared" si="23"/>
        <v>0</v>
      </c>
      <c r="CW45" s="6">
        <f t="shared" si="24"/>
        <v>177450452</v>
      </c>
      <c r="CX45" s="23">
        <f t="shared" si="56"/>
        <v>0</v>
      </c>
      <c r="CY45" s="23">
        <f t="shared" si="57"/>
        <v>0</v>
      </c>
      <c r="CZ45" s="6">
        <f t="shared" si="25"/>
        <v>0</v>
      </c>
      <c r="DA45" s="6">
        <f t="shared" si="26"/>
        <v>0</v>
      </c>
      <c r="DB45" s="6">
        <f t="shared" si="27"/>
        <v>0</v>
      </c>
      <c r="DC45" s="6">
        <f t="shared" si="28"/>
        <v>0</v>
      </c>
      <c r="DD45" s="6">
        <f t="shared" si="29"/>
        <v>0</v>
      </c>
      <c r="DE45" s="6">
        <f t="shared" si="30"/>
        <v>14624225</v>
      </c>
      <c r="DF45" s="6">
        <f t="shared" si="31"/>
        <v>0</v>
      </c>
      <c r="DG45" s="30"/>
      <c r="DH45" s="32" t="str">
        <f>VLOOKUP(A45,'T_med_comp-USA'!$A$7:$Q$233,17,0)</f>
        <v>-</v>
      </c>
      <c r="DI45" s="6" t="str">
        <f t="shared" si="32"/>
        <v/>
      </c>
      <c r="DJ45" s="32" t="str">
        <f>IF(DI45="","",VLOOKUP(DI45,'CPI USA'!$T:$U,2,FALSE))</f>
        <v/>
      </c>
      <c r="DK45" s="32" t="str">
        <f>IF(DI45="","",VLOOKUP(DI45,'PPI USA'!$S:$T,2,FALSE))</f>
        <v/>
      </c>
      <c r="DL45" s="32" t="str">
        <f>IF(DI45="","",VLOOKUP(DI45,'CPI USA'!$T:$V,3,FALSE))</f>
        <v/>
      </c>
      <c r="DM45" s="32" t="str">
        <f>IF(DI45="","",VLOOKUP(DI45,'CPI USA'!$T:$X,5,FALSE))</f>
        <v/>
      </c>
      <c r="DN45" s="32" t="str">
        <f t="shared" si="33"/>
        <v/>
      </c>
      <c r="DO45" s="32" t="str">
        <f t="shared" si="34"/>
        <v/>
      </c>
      <c r="DP45" s="32" t="str">
        <f t="shared" si="35"/>
        <v/>
      </c>
      <c r="DQ45" s="32" t="str">
        <f>IF(DP45="","",DP45*$DO$1/'CPI USA'!$U$508+(1-DP45)*AVERAGE($DO$1,$DQ$1)/AVERAGE('CPI USA'!$U$508,'PPI USA'!$T$514))</f>
        <v/>
      </c>
      <c r="DR45" s="6">
        <f t="shared" si="36"/>
        <v>0</v>
      </c>
      <c r="DS45" s="32" t="str">
        <f t="shared" si="37"/>
        <v/>
      </c>
      <c r="DT45" s="28" t="str">
        <f>IF(DS45="","",DS45*$DO$1/'CPI USA'!$U$508+(1-DS45)*AVERAGE($DO$1,$DQ$1)/AVERAGE('CPI USA'!$U$508,'PPI USA'!$T$514))</f>
        <v/>
      </c>
      <c r="DU45" s="6" t="str">
        <f t="shared" si="38"/>
        <v/>
      </c>
      <c r="DV45" s="6" t="str">
        <f t="shared" si="39"/>
        <v/>
      </c>
      <c r="DW45" s="6">
        <f t="shared" si="40"/>
        <v>0</v>
      </c>
      <c r="DX45" s="16" t="str">
        <f t="shared" si="41"/>
        <v/>
      </c>
      <c r="DY45" s="28" t="str">
        <f>IF(DX45="","",DX45*$DO$1/'CPI USA'!$U$508+(1-DX45)*AVERAGE($DO$1,$DQ$1)/AVERAGE('CPI USA'!$U$508,'PPI USA'!$T$514))</f>
        <v/>
      </c>
      <c r="DZ45" s="30"/>
      <c r="EA45" s="45" t="str">
        <f t="shared" si="42"/>
        <v>C000524</v>
      </c>
      <c r="EB45" s="29" t="str">
        <f t="shared" si="43"/>
        <v/>
      </c>
      <c r="EC45" s="29" t="str">
        <f t="shared" si="44"/>
        <v/>
      </c>
      <c r="ED45" s="29" t="str">
        <f t="shared" si="45"/>
        <v/>
      </c>
      <c r="EE45" s="29" t="str">
        <f t="shared" si="46"/>
        <v/>
      </c>
      <c r="EF45" s="29" t="str">
        <f t="shared" si="47"/>
        <v/>
      </c>
      <c r="EG45" s="29" t="str">
        <f t="shared" si="48"/>
        <v/>
      </c>
      <c r="EH45" s="29" t="str">
        <f t="shared" si="49"/>
        <v/>
      </c>
      <c r="EI45" s="29" t="str">
        <f t="shared" si="50"/>
        <v/>
      </c>
      <c r="EJ45" s="29" t="str">
        <f t="shared" si="51"/>
        <v/>
      </c>
      <c r="EK45" s="29" t="str">
        <f t="shared" si="52"/>
        <v/>
      </c>
      <c r="EL45" s="29" t="str">
        <f>IF(CD45=1,VLOOKUP(EA45,'EIA 2021'!$A$2:$J$213,4,0)*EH45,"")</f>
        <v/>
      </c>
      <c r="EM45" s="29" t="str">
        <f>IF(CD45=1,VLOOKUP(EA45,'EIA 2021'!$A$2:$J$213,7,0)*EH45,"")</f>
        <v/>
      </c>
      <c r="EN45" s="29" t="str">
        <f>IF(CD45=1,VLOOKUP(EA45,'EIA 2021'!$A$2:$J$213,10,0),"")</f>
        <v/>
      </c>
      <c r="EO45" s="28" t="str">
        <f>IF(CD45=1,VLOOKUP(EA45,'EIA 2021'!$A$2:$Z$213,26,0),"")</f>
        <v/>
      </c>
      <c r="EP45" s="23" t="str">
        <f t="shared" si="53"/>
        <v/>
      </c>
      <c r="EQ45" s="32" t="str">
        <f t="shared" si="54"/>
        <v/>
      </c>
      <c r="ER45" s="32" t="str">
        <f t="shared" si="55"/>
        <v/>
      </c>
      <c r="ES45" s="6"/>
      <c r="ET45" s="32"/>
    </row>
    <row r="46" spans="1:150" ht="15.75" customHeight="1">
      <c r="A46" s="7" t="s">
        <v>339</v>
      </c>
      <c r="B46" s="7" t="s">
        <v>340</v>
      </c>
      <c r="C46" s="32" t="s">
        <v>341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f>IFERROR(VLOOKUP(A46,'Trans 21-23'!$A$2:$J$229,6,0),0)</f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41">
        <v>3657242</v>
      </c>
      <c r="AE46" s="41">
        <v>0</v>
      </c>
      <c r="AF46" s="41">
        <v>15802656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0</v>
      </c>
      <c r="BA46" s="41">
        <v>0</v>
      </c>
      <c r="BB46" s="41">
        <v>0</v>
      </c>
      <c r="BC46" s="41">
        <v>1370736411</v>
      </c>
      <c r="BD46" s="41">
        <v>20207089</v>
      </c>
      <c r="BE46" s="41">
        <v>0</v>
      </c>
      <c r="BF46" s="41">
        <v>0</v>
      </c>
      <c r="BG46" s="41">
        <v>0</v>
      </c>
      <c r="BH46" s="41">
        <v>0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2">
        <f>IFERROR(VLOOKUP(A46,'Trans 21-23'!$A$2:$J$229,5,0),0)</f>
        <v>0</v>
      </c>
      <c r="BT46" s="43"/>
      <c r="BU46" s="6">
        <f t="shared" si="0"/>
        <v>0</v>
      </c>
      <c r="BV46" s="6">
        <f t="shared" si="1"/>
        <v>0</v>
      </c>
      <c r="BW46" s="6">
        <f t="shared" si="2"/>
        <v>0</v>
      </c>
      <c r="BX46" s="6">
        <f t="shared" si="3"/>
        <v>0</v>
      </c>
      <c r="BY46" s="6">
        <f t="shared" si="4"/>
        <v>0</v>
      </c>
      <c r="BZ46" s="6">
        <f t="shared" si="5"/>
        <v>0</v>
      </c>
      <c r="CA46" s="6">
        <f t="shared" si="6"/>
        <v>3657242</v>
      </c>
      <c r="CB46" s="6">
        <f t="shared" si="7"/>
        <v>0</v>
      </c>
      <c r="CC46" s="6">
        <f t="shared" si="8"/>
        <v>0</v>
      </c>
      <c r="CD46" s="6">
        <f t="shared" si="9"/>
        <v>0</v>
      </c>
      <c r="CE46" s="44">
        <f t="shared" si="10"/>
        <v>64</v>
      </c>
      <c r="CF46" s="27"/>
      <c r="CG46" s="28" t="str">
        <f t="shared" si="11"/>
        <v/>
      </c>
      <c r="CH46" s="28" t="str">
        <f t="shared" si="12"/>
        <v/>
      </c>
      <c r="CI46" s="28" t="str">
        <f t="shared" si="13"/>
        <v/>
      </c>
      <c r="CJ46" s="28" t="str">
        <f t="shared" si="14"/>
        <v/>
      </c>
      <c r="CK46" s="23" t="str">
        <f t="shared" si="15"/>
        <v/>
      </c>
      <c r="CL46" s="29" t="str">
        <f t="shared" si="16"/>
        <v/>
      </c>
      <c r="CM46" s="29" t="str">
        <f t="shared" si="17"/>
        <v/>
      </c>
      <c r="CN46" s="29" t="str">
        <f t="shared" si="18"/>
        <v/>
      </c>
      <c r="CO46" s="29" t="str">
        <f t="shared" si="19"/>
        <v/>
      </c>
      <c r="CP46" s="29" t="str">
        <f t="shared" si="20"/>
        <v/>
      </c>
      <c r="CQ46" s="29">
        <f t="shared" si="21"/>
        <v>0</v>
      </c>
      <c r="CR46" s="13"/>
      <c r="CS46" s="7" t="str">
        <f>VLOOKUP(A46,'Empresas 21-23'!$A$2:$M$228,13,0)</f>
        <v/>
      </c>
      <c r="CT46" s="30"/>
      <c r="CU46" s="6">
        <f t="shared" si="22"/>
        <v>0</v>
      </c>
      <c r="CV46" s="6">
        <f t="shared" si="23"/>
        <v>0</v>
      </c>
      <c r="CW46" s="6">
        <f t="shared" si="24"/>
        <v>20207089</v>
      </c>
      <c r="CX46" s="23">
        <f t="shared" si="56"/>
        <v>0</v>
      </c>
      <c r="CY46" s="23">
        <f t="shared" si="57"/>
        <v>0</v>
      </c>
      <c r="CZ46" s="6">
        <f t="shared" si="25"/>
        <v>0</v>
      </c>
      <c r="DA46" s="6">
        <f t="shared" si="26"/>
        <v>0</v>
      </c>
      <c r="DB46" s="6">
        <f t="shared" si="27"/>
        <v>0</v>
      </c>
      <c r="DC46" s="6">
        <f t="shared" si="28"/>
        <v>0</v>
      </c>
      <c r="DD46" s="6">
        <f t="shared" si="29"/>
        <v>0</v>
      </c>
      <c r="DE46" s="6">
        <f t="shared" si="30"/>
        <v>3657242</v>
      </c>
      <c r="DF46" s="6">
        <f t="shared" si="31"/>
        <v>0</v>
      </c>
      <c r="DG46" s="30"/>
      <c r="DH46" s="32" t="str">
        <f>VLOOKUP(A46,'T_med_comp-USA'!$A$7:$Q$233,17,0)</f>
        <v>-</v>
      </c>
      <c r="DI46" s="6" t="str">
        <f t="shared" si="32"/>
        <v/>
      </c>
      <c r="DJ46" s="32" t="str">
        <f>IF(DI46="","",VLOOKUP(DI46,'CPI USA'!$T:$U,2,FALSE))</f>
        <v/>
      </c>
      <c r="DK46" s="32" t="str">
        <f>IF(DI46="","",VLOOKUP(DI46,'PPI USA'!$S:$T,2,FALSE))</f>
        <v/>
      </c>
      <c r="DL46" s="32" t="str">
        <f>IF(DI46="","",VLOOKUP(DI46,'CPI USA'!$T:$V,3,FALSE))</f>
        <v/>
      </c>
      <c r="DM46" s="32" t="str">
        <f>IF(DI46="","",VLOOKUP(DI46,'CPI USA'!$T:$X,5,FALSE))</f>
        <v/>
      </c>
      <c r="DN46" s="32" t="str">
        <f t="shared" si="33"/>
        <v/>
      </c>
      <c r="DO46" s="32" t="str">
        <f t="shared" si="34"/>
        <v/>
      </c>
      <c r="DP46" s="32" t="str">
        <f t="shared" si="35"/>
        <v/>
      </c>
      <c r="DQ46" s="32" t="str">
        <f>IF(DP46="","",DP46*$DO$1/'CPI USA'!$U$508+(1-DP46)*AVERAGE($DO$1,$DQ$1)/AVERAGE('CPI USA'!$U$508,'PPI USA'!$T$514))</f>
        <v/>
      </c>
      <c r="DR46" s="6">
        <f t="shared" si="36"/>
        <v>0</v>
      </c>
      <c r="DS46" s="32" t="str">
        <f t="shared" si="37"/>
        <v/>
      </c>
      <c r="DT46" s="28" t="str">
        <f>IF(DS46="","",DS46*$DO$1/'CPI USA'!$U$508+(1-DS46)*AVERAGE($DO$1,$DQ$1)/AVERAGE('CPI USA'!$U$508,'PPI USA'!$T$514))</f>
        <v/>
      </c>
      <c r="DU46" s="6" t="str">
        <f t="shared" si="38"/>
        <v/>
      </c>
      <c r="DV46" s="6" t="str">
        <f t="shared" si="39"/>
        <v/>
      </c>
      <c r="DW46" s="6">
        <f t="shared" si="40"/>
        <v>0</v>
      </c>
      <c r="DX46" s="16" t="str">
        <f t="shared" si="41"/>
        <v/>
      </c>
      <c r="DY46" s="28" t="str">
        <f>IF(DX46="","",DX46*$DO$1/'CPI USA'!$U$508+(1-DX46)*AVERAGE($DO$1,$DQ$1)/AVERAGE('CPI USA'!$U$508,'PPI USA'!$T$514))</f>
        <v/>
      </c>
      <c r="DZ46" s="30"/>
      <c r="EA46" s="45" t="str">
        <f t="shared" si="42"/>
        <v>C000525</v>
      </c>
      <c r="EB46" s="29" t="str">
        <f t="shared" si="43"/>
        <v/>
      </c>
      <c r="EC46" s="29" t="str">
        <f t="shared" si="44"/>
        <v/>
      </c>
      <c r="ED46" s="29" t="str">
        <f t="shared" si="45"/>
        <v/>
      </c>
      <c r="EE46" s="29" t="str">
        <f t="shared" si="46"/>
        <v/>
      </c>
      <c r="EF46" s="29" t="str">
        <f t="shared" si="47"/>
        <v/>
      </c>
      <c r="EG46" s="29" t="str">
        <f t="shared" si="48"/>
        <v/>
      </c>
      <c r="EH46" s="29" t="str">
        <f t="shared" si="49"/>
        <v/>
      </c>
      <c r="EI46" s="29" t="str">
        <f t="shared" si="50"/>
        <v/>
      </c>
      <c r="EJ46" s="29" t="str">
        <f t="shared" si="51"/>
        <v/>
      </c>
      <c r="EK46" s="29" t="str">
        <f t="shared" si="52"/>
        <v/>
      </c>
      <c r="EL46" s="29" t="str">
        <f>IF(CD46=1,VLOOKUP(EA46,'EIA 2021'!$A$2:$J$213,4,0)*EH46,"")</f>
        <v/>
      </c>
      <c r="EM46" s="29" t="str">
        <f>IF(CD46=1,VLOOKUP(EA46,'EIA 2021'!$A$2:$J$213,7,0)*EH46,"")</f>
        <v/>
      </c>
      <c r="EN46" s="29" t="str">
        <f>IF(CD46=1,VLOOKUP(EA46,'EIA 2021'!$A$2:$J$213,10,0),"")</f>
        <v/>
      </c>
      <c r="EO46" s="28" t="str">
        <f>IF(CD46=1,VLOOKUP(EA46,'EIA 2021'!$A$2:$Z$213,26,0),"")</f>
        <v/>
      </c>
      <c r="EP46" s="23" t="str">
        <f t="shared" si="53"/>
        <v/>
      </c>
      <c r="EQ46" s="32" t="str">
        <f t="shared" si="54"/>
        <v/>
      </c>
      <c r="ER46" s="32" t="str">
        <f t="shared" si="55"/>
        <v/>
      </c>
      <c r="ES46" s="6"/>
      <c r="ET46" s="32"/>
    </row>
    <row r="47" spans="1:150" ht="15.75" customHeight="1">
      <c r="A47" s="7" t="s">
        <v>342</v>
      </c>
      <c r="B47" s="7" t="s">
        <v>343</v>
      </c>
      <c r="C47" s="32" t="s">
        <v>344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f>IFERROR(VLOOKUP(A47,'Trans 21-23'!$A$2:$J$229,6,0),0)</f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41">
        <v>66097</v>
      </c>
      <c r="AE47" s="41">
        <v>0</v>
      </c>
      <c r="AF47" s="41">
        <v>68142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2">
        <f>IFERROR(VLOOKUP(A47,'Trans 21-23'!$A$2:$J$229,5,0),0)</f>
        <v>0</v>
      </c>
      <c r="BT47" s="43"/>
      <c r="BU47" s="6">
        <f t="shared" si="0"/>
        <v>0</v>
      </c>
      <c r="BV47" s="6">
        <f t="shared" si="1"/>
        <v>0</v>
      </c>
      <c r="BW47" s="6">
        <f t="shared" si="2"/>
        <v>0</v>
      </c>
      <c r="BX47" s="6">
        <f t="shared" si="3"/>
        <v>0</v>
      </c>
      <c r="BY47" s="6">
        <f t="shared" si="4"/>
        <v>0</v>
      </c>
      <c r="BZ47" s="6">
        <f t="shared" si="5"/>
        <v>0</v>
      </c>
      <c r="CA47" s="6">
        <f t="shared" si="6"/>
        <v>66097</v>
      </c>
      <c r="CB47" s="6">
        <f t="shared" si="7"/>
        <v>0</v>
      </c>
      <c r="CC47" s="6">
        <f t="shared" si="8"/>
        <v>0</v>
      </c>
      <c r="CD47" s="6">
        <f t="shared" si="9"/>
        <v>0</v>
      </c>
      <c r="CE47" s="44">
        <f t="shared" si="10"/>
        <v>66</v>
      </c>
      <c r="CF47" s="27"/>
      <c r="CG47" s="28" t="str">
        <f t="shared" si="11"/>
        <v/>
      </c>
      <c r="CH47" s="28" t="str">
        <f t="shared" si="12"/>
        <v/>
      </c>
      <c r="CI47" s="28" t="str">
        <f t="shared" si="13"/>
        <v/>
      </c>
      <c r="CJ47" s="28" t="str">
        <f t="shared" si="14"/>
        <v/>
      </c>
      <c r="CK47" s="23" t="str">
        <f t="shared" si="15"/>
        <v/>
      </c>
      <c r="CL47" s="29" t="str">
        <f t="shared" si="16"/>
        <v/>
      </c>
      <c r="CM47" s="29" t="str">
        <f t="shared" si="17"/>
        <v/>
      </c>
      <c r="CN47" s="29" t="str">
        <f t="shared" si="18"/>
        <v/>
      </c>
      <c r="CO47" s="29" t="str">
        <f t="shared" si="19"/>
        <v/>
      </c>
      <c r="CP47" s="29" t="str">
        <f t="shared" si="20"/>
        <v/>
      </c>
      <c r="CQ47" s="29">
        <f t="shared" si="21"/>
        <v>0</v>
      </c>
      <c r="CR47" s="13"/>
      <c r="CS47" s="7" t="str">
        <f>VLOOKUP(A47,'Empresas 21-23'!$A$2:$M$228,13,0)</f>
        <v/>
      </c>
      <c r="CT47" s="30"/>
      <c r="CU47" s="6">
        <f t="shared" si="22"/>
        <v>0</v>
      </c>
      <c r="CV47" s="6">
        <f t="shared" si="23"/>
        <v>0</v>
      </c>
      <c r="CW47" s="6">
        <f t="shared" si="24"/>
        <v>0</v>
      </c>
      <c r="CX47" s="23" t="str">
        <f>IFERROR(CU47/(BC47-BD47),"")</f>
        <v/>
      </c>
      <c r="CY47" s="23" t="str">
        <f>IFERROR(CV47/(BC47-BD47),"")</f>
        <v/>
      </c>
      <c r="CZ47" s="6" t="e">
        <f t="shared" si="25"/>
        <v>#VALUE!</v>
      </c>
      <c r="DA47" s="6" t="e">
        <f t="shared" si="26"/>
        <v>#VALUE!</v>
      </c>
      <c r="DB47" s="6">
        <f t="shared" si="27"/>
        <v>0</v>
      </c>
      <c r="DC47" s="6">
        <f t="shared" si="28"/>
        <v>0</v>
      </c>
      <c r="DD47" s="6">
        <f t="shared" si="29"/>
        <v>0</v>
      </c>
      <c r="DE47" s="6">
        <f t="shared" si="30"/>
        <v>66097</v>
      </c>
      <c r="DF47" s="6">
        <f t="shared" si="31"/>
        <v>0</v>
      </c>
      <c r="DG47" s="30"/>
      <c r="DH47" s="32" t="str">
        <f>VLOOKUP(A47,'T_med_comp-USA'!$A$7:$Q$233,17,0)</f>
        <v>-</v>
      </c>
      <c r="DI47" s="6" t="str">
        <f t="shared" si="32"/>
        <v/>
      </c>
      <c r="DJ47" s="32" t="str">
        <f>IF(DI47="","",VLOOKUP(DI47,'CPI USA'!$T:$U,2,FALSE))</f>
        <v/>
      </c>
      <c r="DK47" s="32" t="str">
        <f>IF(DI47="","",VLOOKUP(DI47,'PPI USA'!$S:$T,2,FALSE))</f>
        <v/>
      </c>
      <c r="DL47" s="32" t="str">
        <f>IF(DI47="","",VLOOKUP(DI47,'CPI USA'!$T:$V,3,FALSE))</f>
        <v/>
      </c>
      <c r="DM47" s="32" t="str">
        <f>IF(DI47="","",VLOOKUP(DI47,'CPI USA'!$T:$X,5,FALSE))</f>
        <v/>
      </c>
      <c r="DN47" s="32" t="str">
        <f t="shared" si="33"/>
        <v/>
      </c>
      <c r="DO47" s="32" t="str">
        <f t="shared" si="34"/>
        <v/>
      </c>
      <c r="DP47" s="32" t="str">
        <f t="shared" si="35"/>
        <v/>
      </c>
      <c r="DQ47" s="32" t="str">
        <f>IF(DP47="","",DP47*$DO$1/'CPI USA'!$U$508+(1-DP47)*AVERAGE($DO$1,$DQ$1)/AVERAGE('CPI USA'!$U$508,'PPI USA'!$T$514))</f>
        <v/>
      </c>
      <c r="DR47" s="6">
        <f t="shared" si="36"/>
        <v>0</v>
      </c>
      <c r="DS47" s="32" t="str">
        <f t="shared" si="37"/>
        <v/>
      </c>
      <c r="DT47" s="28" t="str">
        <f>IF(DS47="","",DS47*$DO$1/'CPI USA'!$U$508+(1-DS47)*AVERAGE($DO$1,$DQ$1)/AVERAGE('CPI USA'!$U$508,'PPI USA'!$T$514))</f>
        <v/>
      </c>
      <c r="DU47" s="6" t="str">
        <f t="shared" si="38"/>
        <v/>
      </c>
      <c r="DV47" s="6" t="str">
        <f t="shared" si="39"/>
        <v/>
      </c>
      <c r="DW47" s="6">
        <f t="shared" si="40"/>
        <v>0</v>
      </c>
      <c r="DX47" s="16" t="e">
        <f t="shared" si="41"/>
        <v>#VALUE!</v>
      </c>
      <c r="DY47" s="28" t="e">
        <f>IF(DX47="","",DX47*$DO$1/'CPI USA'!$U$508+(1-DX47)*AVERAGE($DO$1,$DQ$1)/AVERAGE('CPI USA'!$U$508,'PPI USA'!$T$514))</f>
        <v>#VALUE!</v>
      </c>
      <c r="DZ47" s="30"/>
      <c r="EA47" s="45" t="str">
        <f t="shared" si="42"/>
        <v>C000526</v>
      </c>
      <c r="EB47" s="29" t="str">
        <f t="shared" si="43"/>
        <v/>
      </c>
      <c r="EC47" s="29" t="str">
        <f t="shared" si="44"/>
        <v/>
      </c>
      <c r="ED47" s="29" t="str">
        <f t="shared" si="45"/>
        <v/>
      </c>
      <c r="EE47" s="29" t="str">
        <f t="shared" si="46"/>
        <v/>
      </c>
      <c r="EF47" s="29" t="str">
        <f t="shared" si="47"/>
        <v/>
      </c>
      <c r="EG47" s="29" t="str">
        <f t="shared" si="48"/>
        <v/>
      </c>
      <c r="EH47" s="29" t="str">
        <f t="shared" si="49"/>
        <v/>
      </c>
      <c r="EI47" s="29" t="str">
        <f t="shared" si="50"/>
        <v/>
      </c>
      <c r="EJ47" s="29" t="str">
        <f t="shared" si="51"/>
        <v/>
      </c>
      <c r="EK47" s="29" t="str">
        <f t="shared" si="52"/>
        <v/>
      </c>
      <c r="EL47" s="29" t="str">
        <f>IF(CD47=1,VLOOKUP(EA47,'EIA 2021'!$A$2:$J$213,4,0)*EH47,"")</f>
        <v/>
      </c>
      <c r="EM47" s="29" t="str">
        <f>IF(CD47=1,VLOOKUP(EA47,'EIA 2021'!$A$2:$J$213,7,0)*EH47,"")</f>
        <v/>
      </c>
      <c r="EN47" s="29" t="str">
        <f>IF(CD47=1,VLOOKUP(EA47,'EIA 2021'!$A$2:$J$213,10,0),"")</f>
        <v/>
      </c>
      <c r="EO47" s="28" t="str">
        <f>IF(CD47=1,VLOOKUP(EA47,'EIA 2021'!$A$2:$Z$213,26,0),"")</f>
        <v/>
      </c>
      <c r="EP47" s="23" t="str">
        <f t="shared" si="53"/>
        <v/>
      </c>
      <c r="EQ47" s="32" t="str">
        <f t="shared" si="54"/>
        <v/>
      </c>
      <c r="ER47" s="32" t="str">
        <f t="shared" si="55"/>
        <v/>
      </c>
      <c r="ES47" s="6"/>
      <c r="ET47" s="32"/>
    </row>
    <row r="48" spans="1:150" ht="15.75" customHeight="1">
      <c r="A48" s="7" t="s">
        <v>345</v>
      </c>
      <c r="B48" s="7" t="s">
        <v>346</v>
      </c>
      <c r="C48" s="32" t="s">
        <v>347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f>IFERROR(VLOOKUP(A48,'Trans 21-23'!$A$2:$J$229,6,0),0)</f>
        <v>0</v>
      </c>
      <c r="Y48" s="41">
        <v>0</v>
      </c>
      <c r="Z48" s="41">
        <v>0</v>
      </c>
      <c r="AA48" s="41">
        <v>0</v>
      </c>
      <c r="AB48" s="41">
        <v>0</v>
      </c>
      <c r="AC48" s="41">
        <v>0</v>
      </c>
      <c r="AD48" s="41">
        <v>4224710</v>
      </c>
      <c r="AE48" s="41">
        <v>0</v>
      </c>
      <c r="AF48" s="41">
        <v>19394714</v>
      </c>
      <c r="AG48" s="41">
        <v>0</v>
      </c>
      <c r="AH48" s="41">
        <v>0</v>
      </c>
      <c r="AI48" s="41">
        <v>0</v>
      </c>
      <c r="AJ48" s="41">
        <v>0</v>
      </c>
      <c r="AK48" s="41">
        <v>0</v>
      </c>
      <c r="AL48" s="41">
        <v>0</v>
      </c>
      <c r="AM48" s="41">
        <v>0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1">
        <v>0</v>
      </c>
      <c r="AZ48" s="41">
        <v>0</v>
      </c>
      <c r="BA48" s="41">
        <v>0</v>
      </c>
      <c r="BB48" s="41">
        <v>0</v>
      </c>
      <c r="BC48" s="41">
        <v>1803141964</v>
      </c>
      <c r="BD48" s="41">
        <v>51301381</v>
      </c>
      <c r="BE48" s="41">
        <v>0</v>
      </c>
      <c r="BF48" s="41">
        <v>0</v>
      </c>
      <c r="BG48" s="41">
        <v>0</v>
      </c>
      <c r="BH48" s="41">
        <v>0</v>
      </c>
      <c r="BI48" s="41">
        <v>0</v>
      </c>
      <c r="BJ48" s="41">
        <v>0</v>
      </c>
      <c r="BK48" s="41">
        <v>0</v>
      </c>
      <c r="BL48" s="41">
        <v>0</v>
      </c>
      <c r="BM48" s="41">
        <v>0</v>
      </c>
      <c r="BN48" s="41">
        <v>0</v>
      </c>
      <c r="BO48" s="41">
        <v>0</v>
      </c>
      <c r="BP48" s="41">
        <v>0</v>
      </c>
      <c r="BQ48" s="41">
        <v>0</v>
      </c>
      <c r="BR48" s="41">
        <v>0</v>
      </c>
      <c r="BS48" s="42">
        <f>IFERROR(VLOOKUP(A48,'Trans 21-23'!$A$2:$J$229,5,0),0)</f>
        <v>0</v>
      </c>
      <c r="BT48" s="43"/>
      <c r="BU48" s="6">
        <f t="shared" si="0"/>
        <v>0</v>
      </c>
      <c r="BV48" s="6">
        <f t="shared" si="1"/>
        <v>0</v>
      </c>
      <c r="BW48" s="6">
        <f t="shared" si="2"/>
        <v>0</v>
      </c>
      <c r="BX48" s="6">
        <f t="shared" si="3"/>
        <v>0</v>
      </c>
      <c r="BY48" s="6">
        <f t="shared" si="4"/>
        <v>0</v>
      </c>
      <c r="BZ48" s="6">
        <f t="shared" si="5"/>
        <v>0</v>
      </c>
      <c r="CA48" s="6">
        <f t="shared" si="6"/>
        <v>4224710</v>
      </c>
      <c r="CB48" s="6">
        <f t="shared" si="7"/>
        <v>0</v>
      </c>
      <c r="CC48" s="6">
        <f t="shared" si="8"/>
        <v>0</v>
      </c>
      <c r="CD48" s="6">
        <f t="shared" si="9"/>
        <v>0</v>
      </c>
      <c r="CE48" s="44">
        <f t="shared" si="10"/>
        <v>64</v>
      </c>
      <c r="CF48" s="27"/>
      <c r="CG48" s="28" t="str">
        <f t="shared" si="11"/>
        <v/>
      </c>
      <c r="CH48" s="28" t="str">
        <f t="shared" si="12"/>
        <v/>
      </c>
      <c r="CI48" s="28" t="str">
        <f t="shared" si="13"/>
        <v/>
      </c>
      <c r="CJ48" s="28" t="str">
        <f t="shared" si="14"/>
        <v/>
      </c>
      <c r="CK48" s="23" t="str">
        <f t="shared" si="15"/>
        <v/>
      </c>
      <c r="CL48" s="29" t="str">
        <f t="shared" si="16"/>
        <v/>
      </c>
      <c r="CM48" s="29" t="str">
        <f t="shared" si="17"/>
        <v/>
      </c>
      <c r="CN48" s="29" t="str">
        <f t="shared" si="18"/>
        <v/>
      </c>
      <c r="CO48" s="29" t="str">
        <f t="shared" si="19"/>
        <v/>
      </c>
      <c r="CP48" s="29" t="str">
        <f t="shared" si="20"/>
        <v/>
      </c>
      <c r="CQ48" s="29">
        <f t="shared" si="21"/>
        <v>0</v>
      </c>
      <c r="CR48" s="13"/>
      <c r="CS48" s="7" t="str">
        <f>VLOOKUP(A48,'Empresas 21-23'!$A$2:$M$228,13,0)</f>
        <v/>
      </c>
      <c r="CT48" s="30"/>
      <c r="CU48" s="6">
        <f t="shared" si="22"/>
        <v>0</v>
      </c>
      <c r="CV48" s="6">
        <f t="shared" si="23"/>
        <v>0</v>
      </c>
      <c r="CW48" s="6">
        <f t="shared" si="24"/>
        <v>51301381</v>
      </c>
      <c r="CX48" s="23">
        <f t="shared" ref="CX48:CX79" si="58">CU48/(BC48-BD48)</f>
        <v>0</v>
      </c>
      <c r="CY48" s="23">
        <f t="shared" ref="CY48:CY79" si="59">CV48/(BC48-BD48)</f>
        <v>0</v>
      </c>
      <c r="CZ48" s="6">
        <f t="shared" si="25"/>
        <v>0</v>
      </c>
      <c r="DA48" s="6">
        <f t="shared" si="26"/>
        <v>0</v>
      </c>
      <c r="DB48" s="6">
        <f t="shared" si="27"/>
        <v>0</v>
      </c>
      <c r="DC48" s="6">
        <f t="shared" si="28"/>
        <v>0</v>
      </c>
      <c r="DD48" s="6">
        <f t="shared" si="29"/>
        <v>0</v>
      </c>
      <c r="DE48" s="6">
        <f t="shared" si="30"/>
        <v>4224710</v>
      </c>
      <c r="DF48" s="6">
        <f t="shared" si="31"/>
        <v>0</v>
      </c>
      <c r="DG48" s="30"/>
      <c r="DH48" s="32" t="str">
        <f>VLOOKUP(A48,'T_med_comp-USA'!$A$7:$Q$233,17,0)</f>
        <v>-</v>
      </c>
      <c r="DI48" s="6" t="str">
        <f t="shared" si="32"/>
        <v/>
      </c>
      <c r="DJ48" s="32" t="str">
        <f>IF(DI48="","",VLOOKUP(DI48,'CPI USA'!$T:$U,2,FALSE))</f>
        <v/>
      </c>
      <c r="DK48" s="32" t="str">
        <f>IF(DI48="","",VLOOKUP(DI48,'PPI USA'!$S:$T,2,FALSE))</f>
        <v/>
      </c>
      <c r="DL48" s="32" t="str">
        <f>IF(DI48="","",VLOOKUP(DI48,'CPI USA'!$T:$V,3,FALSE))</f>
        <v/>
      </c>
      <c r="DM48" s="32" t="str">
        <f>IF(DI48="","",VLOOKUP(DI48,'CPI USA'!$T:$X,5,FALSE))</f>
        <v/>
      </c>
      <c r="DN48" s="32" t="str">
        <f t="shared" si="33"/>
        <v/>
      </c>
      <c r="DO48" s="32" t="str">
        <f t="shared" si="34"/>
        <v/>
      </c>
      <c r="DP48" s="32" t="str">
        <f t="shared" si="35"/>
        <v/>
      </c>
      <c r="DQ48" s="32" t="str">
        <f>IF(DP48="","",DP48*$DO$1/'CPI USA'!$U$508+(1-DP48)*AVERAGE($DO$1,$DQ$1)/AVERAGE('CPI USA'!$U$508,'PPI USA'!$T$514))</f>
        <v/>
      </c>
      <c r="DR48" s="6">
        <f t="shared" si="36"/>
        <v>0</v>
      </c>
      <c r="DS48" s="32" t="str">
        <f t="shared" si="37"/>
        <v/>
      </c>
      <c r="DT48" s="28" t="str">
        <f>IF(DS48="","",DS48*$DO$1/'CPI USA'!$U$508+(1-DS48)*AVERAGE($DO$1,$DQ$1)/AVERAGE('CPI USA'!$U$508,'PPI USA'!$T$514))</f>
        <v/>
      </c>
      <c r="DU48" s="6" t="str">
        <f t="shared" si="38"/>
        <v/>
      </c>
      <c r="DV48" s="6" t="str">
        <f t="shared" si="39"/>
        <v/>
      </c>
      <c r="DW48" s="6">
        <f t="shared" si="40"/>
        <v>0</v>
      </c>
      <c r="DX48" s="16" t="str">
        <f t="shared" si="41"/>
        <v/>
      </c>
      <c r="DY48" s="28" t="str">
        <f>IF(DX48="","",DX48*$DO$1/'CPI USA'!$U$508+(1-DX48)*AVERAGE($DO$1,$DQ$1)/AVERAGE('CPI USA'!$U$508,'PPI USA'!$T$514))</f>
        <v/>
      </c>
      <c r="DZ48" s="30"/>
      <c r="EA48" s="45" t="str">
        <f t="shared" si="42"/>
        <v>C000527</v>
      </c>
      <c r="EB48" s="29" t="str">
        <f t="shared" si="43"/>
        <v/>
      </c>
      <c r="EC48" s="29" t="str">
        <f t="shared" si="44"/>
        <v/>
      </c>
      <c r="ED48" s="29" t="str">
        <f t="shared" si="45"/>
        <v/>
      </c>
      <c r="EE48" s="29" t="str">
        <f t="shared" si="46"/>
        <v/>
      </c>
      <c r="EF48" s="29" t="str">
        <f t="shared" si="47"/>
        <v/>
      </c>
      <c r="EG48" s="29" t="str">
        <f t="shared" si="48"/>
        <v/>
      </c>
      <c r="EH48" s="29" t="str">
        <f t="shared" si="49"/>
        <v/>
      </c>
      <c r="EI48" s="29" t="str">
        <f t="shared" si="50"/>
        <v/>
      </c>
      <c r="EJ48" s="29" t="str">
        <f t="shared" si="51"/>
        <v/>
      </c>
      <c r="EK48" s="29" t="str">
        <f t="shared" si="52"/>
        <v/>
      </c>
      <c r="EL48" s="29" t="str">
        <f>IF(CD48=1,VLOOKUP(EA48,'EIA 2021'!$A$2:$J$213,4,0)*EH48,"")</f>
        <v/>
      </c>
      <c r="EM48" s="29" t="str">
        <f>IF(CD48=1,VLOOKUP(EA48,'EIA 2021'!$A$2:$J$213,7,0)*EH48,"")</f>
        <v/>
      </c>
      <c r="EN48" s="29" t="str">
        <f>IF(CD48=1,VLOOKUP(EA48,'EIA 2021'!$A$2:$J$213,10,0),"")</f>
        <v/>
      </c>
      <c r="EO48" s="28" t="str">
        <f>IF(CD48=1,VLOOKUP(EA48,'EIA 2021'!$A$2:$Z$213,26,0),"")</f>
        <v/>
      </c>
      <c r="EP48" s="23" t="str">
        <f t="shared" si="53"/>
        <v/>
      </c>
      <c r="EQ48" s="32" t="str">
        <f t="shared" si="54"/>
        <v/>
      </c>
      <c r="ER48" s="32" t="str">
        <f t="shared" si="55"/>
        <v/>
      </c>
      <c r="ES48" s="6"/>
      <c r="ET48" s="32"/>
    </row>
    <row r="49" spans="1:150" ht="15.75" customHeight="1">
      <c r="A49" s="7" t="s">
        <v>348</v>
      </c>
      <c r="B49" s="7" t="s">
        <v>349</v>
      </c>
      <c r="C49" s="32" t="s">
        <v>350</v>
      </c>
      <c r="D49" s="40">
        <v>384765119</v>
      </c>
      <c r="E49" s="40">
        <v>0</v>
      </c>
      <c r="F49" s="40">
        <v>18842965</v>
      </c>
      <c r="G49" s="40">
        <v>579121879</v>
      </c>
      <c r="H49" s="40">
        <v>588373130</v>
      </c>
      <c r="I49" s="40">
        <v>5546699</v>
      </c>
      <c r="J49" s="40">
        <v>1368052</v>
      </c>
      <c r="K49" s="40">
        <v>7211</v>
      </c>
      <c r="L49" s="40">
        <v>587051</v>
      </c>
      <c r="M49" s="40">
        <v>2170984</v>
      </c>
      <c r="N49" s="40">
        <v>624927</v>
      </c>
      <c r="O49" s="40">
        <v>10652763</v>
      </c>
      <c r="P49" s="40">
        <v>1451899</v>
      </c>
      <c r="Q49" s="40">
        <v>181056</v>
      </c>
      <c r="R49" s="40">
        <v>199244</v>
      </c>
      <c r="S49" s="40">
        <v>1369389</v>
      </c>
      <c r="T49" s="40">
        <v>126395547</v>
      </c>
      <c r="U49" s="40">
        <v>1277470</v>
      </c>
      <c r="V49" s="40">
        <v>1892232</v>
      </c>
      <c r="W49" s="40">
        <v>4759687</v>
      </c>
      <c r="X49" s="40">
        <f>IFERROR(VLOOKUP(A49,'Trans 21-23'!$A$2:$J$229,6,0),0)</f>
        <v>4620416</v>
      </c>
      <c r="Y49" s="41">
        <v>1785362</v>
      </c>
      <c r="Z49" s="41">
        <v>380371</v>
      </c>
      <c r="AA49" s="41">
        <v>34489770</v>
      </c>
      <c r="AB49" s="41">
        <v>15769820</v>
      </c>
      <c r="AC49" s="41">
        <v>168708</v>
      </c>
      <c r="AD49" s="41">
        <v>105165681</v>
      </c>
      <c r="AE49" s="41">
        <v>0</v>
      </c>
      <c r="AF49" s="41">
        <v>1859923604</v>
      </c>
      <c r="AG49" s="41">
        <v>964457</v>
      </c>
      <c r="AH49" s="41">
        <v>2146304</v>
      </c>
      <c r="AI49" s="41">
        <v>35616745</v>
      </c>
      <c r="AJ49" s="41">
        <v>0</v>
      </c>
      <c r="AK49" s="41">
        <v>341985</v>
      </c>
      <c r="AL49" s="41">
        <v>11206650</v>
      </c>
      <c r="AM49" s="41">
        <v>5949362</v>
      </c>
      <c r="AN49" s="41">
        <v>8879317</v>
      </c>
      <c r="AO49" s="41">
        <v>64162</v>
      </c>
      <c r="AP49" s="41">
        <v>745795</v>
      </c>
      <c r="AQ49" s="41">
        <v>26845286</v>
      </c>
      <c r="AR49" s="41">
        <v>6967140</v>
      </c>
      <c r="AS49" s="41">
        <v>33812426</v>
      </c>
      <c r="AT49" s="41">
        <v>0</v>
      </c>
      <c r="AU49" s="41">
        <v>5975</v>
      </c>
      <c r="AV49" s="41">
        <v>0</v>
      </c>
      <c r="AW49" s="41">
        <v>1164492018</v>
      </c>
      <c r="AX49" s="41">
        <v>144533172</v>
      </c>
      <c r="AY49" s="41">
        <v>324295551</v>
      </c>
      <c r="AZ49" s="41">
        <v>202324879</v>
      </c>
      <c r="BA49" s="41">
        <v>32070814</v>
      </c>
      <c r="BB49" s="41">
        <v>4682118772</v>
      </c>
      <c r="BC49" s="41">
        <v>16295313011</v>
      </c>
      <c r="BD49" s="41">
        <v>371837469</v>
      </c>
      <c r="BE49" s="41">
        <v>1621676367</v>
      </c>
      <c r="BF49" s="41">
        <v>162137437</v>
      </c>
      <c r="BG49" s="41">
        <v>0</v>
      </c>
      <c r="BH49" s="41">
        <v>33517733</v>
      </c>
      <c r="BI49" s="41">
        <v>6558776</v>
      </c>
      <c r="BJ49" s="41">
        <v>2780566</v>
      </c>
      <c r="BK49" s="41">
        <v>0</v>
      </c>
      <c r="BL49" s="41">
        <v>0</v>
      </c>
      <c r="BM49" s="41">
        <v>5384599</v>
      </c>
      <c r="BN49" s="41">
        <v>98887776</v>
      </c>
      <c r="BO49" s="41">
        <v>7439232</v>
      </c>
      <c r="BP49" s="41">
        <v>22613051</v>
      </c>
      <c r="BQ49" s="41">
        <v>180835686</v>
      </c>
      <c r="BR49" s="41">
        <v>0</v>
      </c>
      <c r="BS49" s="42">
        <f>IFERROR(VLOOKUP(A49,'Trans 21-23'!$A$2:$J$229,5,0),0)</f>
        <v>294392672</v>
      </c>
      <c r="BT49" s="43"/>
      <c r="BU49" s="6">
        <f t="shared" si="0"/>
        <v>4682118772</v>
      </c>
      <c r="BV49" s="6">
        <f t="shared" si="1"/>
        <v>5975</v>
      </c>
      <c r="BW49" s="6">
        <f t="shared" si="2"/>
        <v>964457</v>
      </c>
      <c r="BX49" s="6">
        <f t="shared" si="3"/>
        <v>158484211</v>
      </c>
      <c r="BY49" s="6">
        <f t="shared" si="4"/>
        <v>52594031</v>
      </c>
      <c r="BZ49" s="6">
        <f t="shared" si="5"/>
        <v>202324879</v>
      </c>
      <c r="CA49" s="6">
        <f t="shared" si="6"/>
        <v>105165681</v>
      </c>
      <c r="CB49" s="6">
        <f t="shared" si="7"/>
        <v>2146304</v>
      </c>
      <c r="CC49" s="6">
        <f t="shared" si="8"/>
        <v>26845286</v>
      </c>
      <c r="CD49" s="6">
        <f t="shared" si="9"/>
        <v>1</v>
      </c>
      <c r="CE49" s="44">
        <f t="shared" si="10"/>
        <v>9</v>
      </c>
      <c r="CF49" s="27"/>
      <c r="CG49" s="28">
        <f t="shared" si="11"/>
        <v>783.61820451882841</v>
      </c>
      <c r="CH49" s="28">
        <f t="shared" si="12"/>
        <v>6.1951958459526963</v>
      </c>
      <c r="CI49" s="28">
        <f t="shared" si="13"/>
        <v>164.32480763787291</v>
      </c>
      <c r="CJ49" s="28">
        <f t="shared" si="14"/>
        <v>209.78112969266644</v>
      </c>
      <c r="CK49" s="23">
        <f t="shared" si="15"/>
        <v>7.9950871076583052E-2</v>
      </c>
      <c r="CL49" s="29" t="str">
        <f t="shared" si="16"/>
        <v/>
      </c>
      <c r="CM49" s="29" t="str">
        <f t="shared" si="17"/>
        <v/>
      </c>
      <c r="CN49" s="29" t="str">
        <f t="shared" si="18"/>
        <v/>
      </c>
      <c r="CO49" s="29" t="str">
        <f t="shared" si="19"/>
        <v/>
      </c>
      <c r="CP49" s="29" t="str">
        <f t="shared" si="20"/>
        <v/>
      </c>
      <c r="CQ49" s="29">
        <f t="shared" si="21"/>
        <v>0</v>
      </c>
      <c r="CR49" s="13"/>
      <c r="CS49" s="7">
        <f>VLOOKUP(A49,'Empresas 21-23'!$A$2:$M$228,13,0)</f>
        <v>1</v>
      </c>
      <c r="CT49" s="30"/>
      <c r="CU49" s="6">
        <f t="shared" si="22"/>
        <v>4460818517.1999998</v>
      </c>
      <c r="CV49" s="6">
        <f t="shared" si="23"/>
        <v>202324879</v>
      </c>
      <c r="CW49" s="6">
        <f t="shared" si="24"/>
        <v>371837469</v>
      </c>
      <c r="CX49" s="23">
        <f t="shared" si="58"/>
        <v>0.28014100975845868</v>
      </c>
      <c r="CY49" s="23">
        <f t="shared" si="59"/>
        <v>1.2706075282770074E-2</v>
      </c>
      <c r="CZ49" s="6">
        <f t="shared" si="25"/>
        <v>4564985441.2316895</v>
      </c>
      <c r="DA49" s="6">
        <f t="shared" si="26"/>
        <v>207049473.87406868</v>
      </c>
      <c r="DB49" s="6">
        <f t="shared" si="27"/>
        <v>158484211</v>
      </c>
      <c r="DC49" s="6">
        <f t="shared" si="28"/>
        <v>163104627</v>
      </c>
      <c r="DD49" s="6">
        <f t="shared" si="29"/>
        <v>52594031</v>
      </c>
      <c r="DE49" s="6">
        <f t="shared" si="30"/>
        <v>105165681</v>
      </c>
      <c r="DF49" s="6">
        <f t="shared" si="31"/>
        <v>29738842.300382949</v>
      </c>
      <c r="DG49" s="30"/>
      <c r="DH49" s="32">
        <f>VLOOKUP(A49,'T_med_comp-USA'!$A$7:$Q$233,17,0)</f>
        <v>9.9793273012488459</v>
      </c>
      <c r="DI49" s="6" t="str">
        <f t="shared" si="32"/>
        <v>1_2012</v>
      </c>
      <c r="DJ49" s="32">
        <f>IF(DI49="","",VLOOKUP(DI49,'CPI USA'!$T:$U,2,FALSE))</f>
        <v>229.59399999999999</v>
      </c>
      <c r="DK49" s="32">
        <f>IF(DI49="","",VLOOKUP(DI49,'PPI USA'!$S:$T,2,FALSE))</f>
        <v>175.1</v>
      </c>
      <c r="DL49" s="32">
        <f>IF(DI49="","",VLOOKUP(DI49,'CPI USA'!$T:$V,3,FALSE))</f>
        <v>0.66730871354337351</v>
      </c>
      <c r="DM49" s="32">
        <f>IF(DI49="","",VLOOKUP(DI49,'CPI USA'!$T:$X,5,FALSE))</f>
        <v>0.49513551903851311</v>
      </c>
      <c r="DN49" s="32">
        <f t="shared" si="33"/>
        <v>1.3897894616766442</v>
      </c>
      <c r="DO49" s="32">
        <f t="shared" si="34"/>
        <v>1.4008620811189902</v>
      </c>
      <c r="DP49" s="32">
        <f t="shared" si="35"/>
        <v>0.22739955920235816</v>
      </c>
      <c r="DQ49" s="32">
        <f>IF(DP49="","",DP49*$DO$1/'CPI USA'!$U$508+(1-DP49)*AVERAGE($DO$1,$DQ$1)/AVERAGE('CPI USA'!$U$508,'PPI USA'!$T$514))</f>
        <v>1.1725401049275712</v>
      </c>
      <c r="DR49" s="6">
        <f t="shared" si="36"/>
        <v>9339342</v>
      </c>
      <c r="DS49" s="32">
        <f t="shared" si="37"/>
        <v>0.2</v>
      </c>
      <c r="DT49" s="28">
        <f>IF(DS49="","",DS49*$DO$1/'CPI USA'!$U$508+(1-DS49)*AVERAGE($DO$1,$DQ$1)/AVERAGE('CPI USA'!$U$508,'PPI USA'!$T$514))</f>
        <v>1.1741595760647974</v>
      </c>
      <c r="DU49" s="6">
        <f t="shared" si="38"/>
        <v>5789677.1887133149</v>
      </c>
      <c r="DV49" s="6">
        <f t="shared" si="39"/>
        <v>769562.5332086588</v>
      </c>
      <c r="DW49" s="6">
        <f t="shared" si="40"/>
        <v>2842715.6527960459</v>
      </c>
      <c r="DX49" s="16">
        <f t="shared" si="41"/>
        <v>0.2</v>
      </c>
      <c r="DY49" s="28">
        <f>IF(DX49="","",DX49*$DO$1/'CPI USA'!$U$508+(1-DX49)*AVERAGE($DO$1,$DQ$1)/AVERAGE('CPI USA'!$U$508,'PPI USA'!$T$514))</f>
        <v>1.1741595760647974</v>
      </c>
      <c r="DZ49" s="30"/>
      <c r="EA49" s="45" t="str">
        <f t="shared" si="42"/>
        <v>C000530</v>
      </c>
      <c r="EB49" s="29">
        <f t="shared" si="43"/>
        <v>6344368658.9311075</v>
      </c>
      <c r="EC49" s="29">
        <f t="shared" si="44"/>
        <v>290047756.86581987</v>
      </c>
      <c r="ED49" s="29">
        <f t="shared" si="45"/>
        <v>191246716.45675236</v>
      </c>
      <c r="EE49" s="29">
        <f t="shared" si="46"/>
        <v>61753785.142498814</v>
      </c>
      <c r="EF49" s="29">
        <f t="shared" si="47"/>
        <v>34918146.468075506</v>
      </c>
      <c r="EG49" s="29">
        <f t="shared" si="48"/>
        <v>5975</v>
      </c>
      <c r="EH49" s="29">
        <f t="shared" si="49"/>
        <v>964457</v>
      </c>
      <c r="EI49" s="29">
        <f t="shared" si="50"/>
        <v>2146304</v>
      </c>
      <c r="EJ49" s="29">
        <f t="shared" si="51"/>
        <v>26845286</v>
      </c>
      <c r="EK49" s="29">
        <f t="shared" si="52"/>
        <v>28885491.421319798</v>
      </c>
      <c r="EL49" s="29">
        <f>IF(CD49=1,VLOOKUP(EA49,'EIA 2021'!$A$2:$J$213,4,0)*EH49,"")</f>
        <v>338813744.10000002</v>
      </c>
      <c r="EM49" s="29">
        <f>IF(CD49=1,VLOOKUP(EA49,'EIA 2021'!$A$2:$J$213,7,0)*EH49,"")</f>
        <v>1636683.5290000001</v>
      </c>
      <c r="EN49" s="29">
        <f>IF(CD49=1,VLOOKUP(EA49,'EIA 2021'!$A$2:$J$213,10,0),"")</f>
        <v>542651</v>
      </c>
      <c r="EO49" s="28">
        <f>IF(CD49=1,VLOOKUP(EA49,'EIA 2021'!$A$2:$Z$213,26,0),"")</f>
        <v>0</v>
      </c>
      <c r="EP49" s="23">
        <f t="shared" si="53"/>
        <v>7.063080186387144E-2</v>
      </c>
      <c r="EQ49" s="32">
        <f t="shared" si="54"/>
        <v>106098.5786802033</v>
      </c>
      <c r="ER49" s="32">
        <f t="shared" si="55"/>
        <v>2040205.4213197967</v>
      </c>
      <c r="ES49" s="6"/>
      <c r="ET49" s="32"/>
    </row>
    <row r="50" spans="1:150" ht="15.75" customHeight="1">
      <c r="A50" s="7" t="s">
        <v>351</v>
      </c>
      <c r="B50" s="7" t="s">
        <v>352</v>
      </c>
      <c r="C50" s="32" t="s">
        <v>353</v>
      </c>
      <c r="D50" s="40">
        <v>83441345</v>
      </c>
      <c r="E50" s="40">
        <v>87999744</v>
      </c>
      <c r="F50" s="40">
        <v>0</v>
      </c>
      <c r="G50" s="40">
        <v>425317314</v>
      </c>
      <c r="H50" s="40">
        <v>430413901</v>
      </c>
      <c r="I50" s="40">
        <v>2914527</v>
      </c>
      <c r="J50" s="40">
        <v>1122761</v>
      </c>
      <c r="K50" s="40">
        <v>368317</v>
      </c>
      <c r="L50" s="40">
        <v>1845869</v>
      </c>
      <c r="M50" s="40">
        <v>4084291</v>
      </c>
      <c r="N50" s="40">
        <v>248067</v>
      </c>
      <c r="O50" s="40">
        <v>10626921</v>
      </c>
      <c r="P50" s="40">
        <v>2077482</v>
      </c>
      <c r="Q50" s="40">
        <v>66102</v>
      </c>
      <c r="R50" s="40">
        <v>64315</v>
      </c>
      <c r="S50" s="40">
        <v>1955271</v>
      </c>
      <c r="T50" s="40">
        <v>45667608</v>
      </c>
      <c r="U50" s="40">
        <v>1961672</v>
      </c>
      <c r="V50" s="40">
        <v>268535</v>
      </c>
      <c r="W50" s="40">
        <v>253771</v>
      </c>
      <c r="X50" s="40">
        <f>IFERROR(VLOOKUP(A50,'Trans 21-23'!$A$2:$J$229,6,0),0)</f>
        <v>0</v>
      </c>
      <c r="Y50" s="41">
        <v>2340412</v>
      </c>
      <c r="Z50" s="41">
        <v>100291</v>
      </c>
      <c r="AA50" s="41">
        <v>16759359</v>
      </c>
      <c r="AB50" s="41">
        <v>6784801</v>
      </c>
      <c r="AC50" s="41">
        <v>522418</v>
      </c>
      <c r="AD50" s="41">
        <v>112140182</v>
      </c>
      <c r="AE50" s="41">
        <v>0</v>
      </c>
      <c r="AF50" s="41">
        <v>1391615542</v>
      </c>
      <c r="AG50" s="41">
        <v>604564</v>
      </c>
      <c r="AH50" s="41">
        <v>1385569</v>
      </c>
      <c r="AI50" s="41">
        <v>26216020</v>
      </c>
      <c r="AJ50" s="41">
        <v>0</v>
      </c>
      <c r="AK50" s="41">
        <v>48</v>
      </c>
      <c r="AL50" s="41">
        <v>5463352</v>
      </c>
      <c r="AM50" s="41">
        <v>4599874</v>
      </c>
      <c r="AN50" s="41">
        <v>7372784</v>
      </c>
      <c r="AO50" s="41">
        <v>58034</v>
      </c>
      <c r="AP50" s="41">
        <v>0</v>
      </c>
      <c r="AQ50" s="41">
        <v>17494044</v>
      </c>
      <c r="AR50" s="41">
        <v>7336358</v>
      </c>
      <c r="AS50" s="41">
        <v>24830402</v>
      </c>
      <c r="AT50" s="41">
        <v>0</v>
      </c>
      <c r="AU50" s="41">
        <v>4012</v>
      </c>
      <c r="AV50" s="41">
        <v>0</v>
      </c>
      <c r="AW50" s="41">
        <v>588305398</v>
      </c>
      <c r="AX50" s="41">
        <v>170033068</v>
      </c>
      <c r="AY50" s="41">
        <v>304863444</v>
      </c>
      <c r="AZ50" s="41">
        <v>134087429</v>
      </c>
      <c r="BA50" s="41">
        <v>24773229</v>
      </c>
      <c r="BB50" s="41">
        <v>2799907103</v>
      </c>
      <c r="BC50" s="41">
        <v>10513224923</v>
      </c>
      <c r="BD50" s="41">
        <v>191501494</v>
      </c>
      <c r="BE50" s="41">
        <v>762943085</v>
      </c>
      <c r="BF50" s="41">
        <v>94767352</v>
      </c>
      <c r="BG50" s="41">
        <v>0</v>
      </c>
      <c r="BH50" s="41">
        <v>17702324</v>
      </c>
      <c r="BI50" s="41">
        <v>2937174</v>
      </c>
      <c r="BJ50" s="41">
        <v>3824419</v>
      </c>
      <c r="BK50" s="41">
        <v>0</v>
      </c>
      <c r="BL50" s="41">
        <v>0</v>
      </c>
      <c r="BM50" s="41">
        <v>4714721</v>
      </c>
      <c r="BN50" s="41">
        <v>166050146</v>
      </c>
      <c r="BO50" s="41">
        <v>7545475</v>
      </c>
      <c r="BP50" s="41">
        <v>26045127</v>
      </c>
      <c r="BQ50" s="41">
        <v>251070521</v>
      </c>
      <c r="BR50" s="41">
        <v>0</v>
      </c>
      <c r="BS50" s="42">
        <f>IFERROR(VLOOKUP(A50,'Trans 21-23'!$A$2:$J$229,5,0),0)</f>
        <v>0</v>
      </c>
      <c r="BT50" s="43"/>
      <c r="BU50" s="6">
        <f t="shared" si="0"/>
        <v>2799907103</v>
      </c>
      <c r="BV50" s="6">
        <f t="shared" si="1"/>
        <v>4012</v>
      </c>
      <c r="BW50" s="6">
        <f t="shared" si="2"/>
        <v>604564</v>
      </c>
      <c r="BX50" s="6">
        <f t="shared" si="3"/>
        <v>73525509</v>
      </c>
      <c r="BY50" s="6">
        <f t="shared" si="4"/>
        <v>26507281</v>
      </c>
      <c r="BZ50" s="6">
        <f t="shared" si="5"/>
        <v>134087429</v>
      </c>
      <c r="CA50" s="6">
        <f t="shared" si="6"/>
        <v>112140182</v>
      </c>
      <c r="CB50" s="6">
        <f t="shared" si="7"/>
        <v>1385569</v>
      </c>
      <c r="CC50" s="6">
        <f t="shared" si="8"/>
        <v>17494044</v>
      </c>
      <c r="CD50" s="6">
        <f t="shared" si="9"/>
        <v>1</v>
      </c>
      <c r="CE50" s="44">
        <f t="shared" si="10"/>
        <v>12</v>
      </c>
      <c r="CF50" s="27"/>
      <c r="CG50" s="28">
        <f t="shared" si="11"/>
        <v>697.88312637088734</v>
      </c>
      <c r="CH50" s="28">
        <f t="shared" si="12"/>
        <v>6.6361874011684456</v>
      </c>
      <c r="CI50" s="28">
        <f t="shared" si="13"/>
        <v>121.61741188691354</v>
      </c>
      <c r="CJ50" s="28">
        <f t="shared" si="14"/>
        <v>221.79195089353649</v>
      </c>
      <c r="CK50" s="23">
        <f t="shared" si="15"/>
        <v>7.9202327374962592E-2</v>
      </c>
      <c r="CL50" s="29" t="str">
        <f t="shared" si="16"/>
        <v/>
      </c>
      <c r="CM50" s="29" t="str">
        <f t="shared" si="17"/>
        <v/>
      </c>
      <c r="CN50" s="29" t="str">
        <f t="shared" si="18"/>
        <v/>
      </c>
      <c r="CO50" s="29" t="str">
        <f t="shared" si="19"/>
        <v/>
      </c>
      <c r="CP50" s="29" t="str">
        <f t="shared" si="20"/>
        <v/>
      </c>
      <c r="CQ50" s="29">
        <f t="shared" si="21"/>
        <v>0</v>
      </c>
      <c r="CR50" s="13"/>
      <c r="CS50" s="7">
        <f>VLOOKUP(A50,'Empresas 21-23'!$A$2:$M$228,13,0)</f>
        <v>1</v>
      </c>
      <c r="CT50" s="30"/>
      <c r="CU50" s="6">
        <f t="shared" si="22"/>
        <v>2356108537.8000002</v>
      </c>
      <c r="CV50" s="6">
        <f t="shared" si="23"/>
        <v>134087429</v>
      </c>
      <c r="CW50" s="6">
        <f t="shared" si="24"/>
        <v>191501494</v>
      </c>
      <c r="CX50" s="23">
        <f t="shared" si="58"/>
        <v>0.22826697053132214</v>
      </c>
      <c r="CY50" s="23">
        <f t="shared" si="59"/>
        <v>1.2990798476857735E-2</v>
      </c>
      <c r="CZ50" s="6">
        <f t="shared" si="25"/>
        <v>2399822003.6876025</v>
      </c>
      <c r="DA50" s="6">
        <f t="shared" si="26"/>
        <v>136575186.31657118</v>
      </c>
      <c r="DB50" s="6">
        <f t="shared" si="27"/>
        <v>73525509</v>
      </c>
      <c r="DC50" s="6">
        <f t="shared" si="28"/>
        <v>73525509</v>
      </c>
      <c r="DD50" s="6">
        <f t="shared" si="29"/>
        <v>26507281</v>
      </c>
      <c r="DE50" s="6">
        <f t="shared" si="30"/>
        <v>112140182</v>
      </c>
      <c r="DF50" s="6">
        <f t="shared" si="31"/>
        <v>16554542.592289219</v>
      </c>
      <c r="DG50" s="30"/>
      <c r="DH50" s="32">
        <f>VLOOKUP(A50,'T_med_comp-USA'!$A$7:$Q$233,17,0)</f>
        <v>8.3802091462703405</v>
      </c>
      <c r="DI50" s="6" t="str">
        <f t="shared" si="32"/>
        <v>8_2013</v>
      </c>
      <c r="DJ50" s="32">
        <f>IF(DI50="","",VLOOKUP(DI50,'CPI USA'!$T:$U,2,FALSE))</f>
        <v>233.87700000000001</v>
      </c>
      <c r="DK50" s="32">
        <f>IF(DI50="","",VLOOKUP(DI50,'PPI USA'!$S:$T,2,FALSE))</f>
        <v>175.2</v>
      </c>
      <c r="DL50" s="32">
        <f>IF(DI50="","",VLOOKUP(DI50,'CPI USA'!$T:$V,3,FALSE))</f>
        <v>0.67305131835944076</v>
      </c>
      <c r="DM50" s="32">
        <f>IF(DI50="","",VLOOKUP(DI50,'CPI USA'!$T:$X,5,FALSE))</f>
        <v>0.50163050295255052</v>
      </c>
      <c r="DN50" s="32">
        <f t="shared" si="33"/>
        <v>1.3675350167423739</v>
      </c>
      <c r="DO50" s="32">
        <f t="shared" si="34"/>
        <v>1.3802235637774118</v>
      </c>
      <c r="DP50" s="32">
        <f t="shared" si="35"/>
        <v>0.25170494599973542</v>
      </c>
      <c r="DQ50" s="32">
        <f>IF(DP50="","",DP50*$DO$1/'CPI USA'!$U$508+(1-DP50)*AVERAGE($DO$1,$DQ$1)/AVERAGE('CPI USA'!$U$508,'PPI USA'!$T$514))</f>
        <v>1.1711035171304183</v>
      </c>
      <c r="DR50" s="6">
        <f t="shared" si="36"/>
        <v>6761593</v>
      </c>
      <c r="DS50" s="32">
        <f t="shared" si="37"/>
        <v>0.26667564104983044</v>
      </c>
      <c r="DT50" s="28">
        <f>IF(DS50="","",DS50*$DO$1/'CPI USA'!$U$508+(1-DS50)*AVERAGE($DO$1,$DQ$1)/AVERAGE('CPI USA'!$U$508,'PPI USA'!$T$514))</f>
        <v>1.170218663167667</v>
      </c>
      <c r="DU50" s="6">
        <f t="shared" si="38"/>
        <v>4928962.3619887754</v>
      </c>
      <c r="DV50" s="6">
        <f t="shared" si="39"/>
        <v>545696.22135431971</v>
      </c>
      <c r="DW50" s="6">
        <f t="shared" si="40"/>
        <v>806573.17330057058</v>
      </c>
      <c r="DX50" s="16">
        <f t="shared" si="41"/>
        <v>0.2</v>
      </c>
      <c r="DY50" s="28">
        <f>IF(DX50="","",DX50*$DO$1/'CPI USA'!$U$508+(1-DX50)*AVERAGE($DO$1,$DQ$1)/AVERAGE('CPI USA'!$U$508,'PPI USA'!$T$514))</f>
        <v>1.1741595760647974</v>
      </c>
      <c r="DZ50" s="30"/>
      <c r="EA50" s="45" t="str">
        <f t="shared" si="42"/>
        <v>C000532</v>
      </c>
      <c r="EB50" s="29">
        <f t="shared" si="43"/>
        <v>3281840623.991643</v>
      </c>
      <c r="EC50" s="29">
        <f t="shared" si="44"/>
        <v>188504290.38142189</v>
      </c>
      <c r="ED50" s="29">
        <f t="shared" si="45"/>
        <v>86105982.188704222</v>
      </c>
      <c r="EE50" s="29">
        <f t="shared" si="46"/>
        <v>31019314.936029699</v>
      </c>
      <c r="EF50" s="29">
        <f t="shared" si="47"/>
        <v>19437674.71210894</v>
      </c>
      <c r="EG50" s="29">
        <f t="shared" si="48"/>
        <v>4012</v>
      </c>
      <c r="EH50" s="29">
        <f t="shared" si="49"/>
        <v>604564</v>
      </c>
      <c r="EI50" s="29">
        <f t="shared" si="50"/>
        <v>1385569</v>
      </c>
      <c r="EJ50" s="29">
        <f t="shared" si="51"/>
        <v>17494044</v>
      </c>
      <c r="EK50" s="29">
        <f t="shared" si="52"/>
        <v>18767891.812182739</v>
      </c>
      <c r="EL50" s="29">
        <f>IF(CD50=1,VLOOKUP(EA50,'EIA 2021'!$A$2:$J$213,4,0)*EH50,"")</f>
        <v>89717297.600000009</v>
      </c>
      <c r="EM50" s="29">
        <f>IF(CD50=1,VLOOKUP(EA50,'EIA 2021'!$A$2:$J$213,7,0)*EH50,"")</f>
        <v>681948.19199999992</v>
      </c>
      <c r="EN50" s="29">
        <f>IF(CD50=1,VLOOKUP(EA50,'EIA 2021'!$A$2:$J$213,10,0),"")</f>
        <v>480920</v>
      </c>
      <c r="EO50" s="28">
        <f>IF(CD50=1,VLOOKUP(EA50,'EIA 2021'!$A$2:$Z$213,26,0),"")</f>
        <v>0</v>
      </c>
      <c r="EP50" s="23">
        <f t="shared" si="53"/>
        <v>6.7873782784481557E-2</v>
      </c>
      <c r="EQ50" s="32">
        <f t="shared" si="54"/>
        <v>111721.18781725876</v>
      </c>
      <c r="ER50" s="32">
        <f t="shared" si="55"/>
        <v>1273847.8121827412</v>
      </c>
      <c r="ES50" s="6"/>
      <c r="ET50" s="32"/>
    </row>
    <row r="51" spans="1:150" ht="15.75" customHeight="1">
      <c r="A51" s="7" t="s">
        <v>354</v>
      </c>
      <c r="B51" s="7" t="s">
        <v>355</v>
      </c>
      <c r="C51" s="32" t="s">
        <v>356</v>
      </c>
      <c r="D51" s="40">
        <v>80123189</v>
      </c>
      <c r="E51" s="40">
        <v>0</v>
      </c>
      <c r="F51" s="40">
        <v>0</v>
      </c>
      <c r="G51" s="40">
        <v>188731639</v>
      </c>
      <c r="H51" s="40">
        <v>189630777</v>
      </c>
      <c r="I51" s="40">
        <v>829970</v>
      </c>
      <c r="J51" s="40">
        <v>259294</v>
      </c>
      <c r="K51" s="40">
        <v>3410</v>
      </c>
      <c r="L51" s="40">
        <v>397079</v>
      </c>
      <c r="M51" s="40">
        <v>152750</v>
      </c>
      <c r="N51" s="40">
        <v>193715</v>
      </c>
      <c r="O51" s="40">
        <v>2424122</v>
      </c>
      <c r="P51" s="40">
        <v>242074</v>
      </c>
      <c r="Q51" s="40">
        <v>26434</v>
      </c>
      <c r="R51" s="40">
        <v>8122</v>
      </c>
      <c r="S51" s="40">
        <v>683774</v>
      </c>
      <c r="T51" s="40">
        <v>33683296</v>
      </c>
      <c r="U51" s="40">
        <v>19443</v>
      </c>
      <c r="V51" s="40">
        <v>52827</v>
      </c>
      <c r="W51" s="40">
        <v>20541</v>
      </c>
      <c r="X51" s="40">
        <f>IFERROR(VLOOKUP(A51,'Trans 21-23'!$A$2:$J$229,6,0),0)</f>
        <v>1452697</v>
      </c>
      <c r="Y51" s="41">
        <v>1151401</v>
      </c>
      <c r="Z51" s="41">
        <v>50515</v>
      </c>
      <c r="AA51" s="41">
        <v>6125263</v>
      </c>
      <c r="AB51" s="41">
        <v>1526129</v>
      </c>
      <c r="AC51" s="41">
        <v>51323</v>
      </c>
      <c r="AD51" s="41">
        <v>23221122</v>
      </c>
      <c r="AE51" s="41">
        <v>0</v>
      </c>
      <c r="AF51" s="41">
        <v>455971214</v>
      </c>
      <c r="AG51" s="41">
        <v>165428</v>
      </c>
      <c r="AH51" s="41">
        <v>598550</v>
      </c>
      <c r="AI51" s="41">
        <v>6579314</v>
      </c>
      <c r="AJ51" s="41">
        <v>0</v>
      </c>
      <c r="AK51" s="41">
        <v>0</v>
      </c>
      <c r="AL51" s="41">
        <v>1979060</v>
      </c>
      <c r="AM51" s="41">
        <v>1144445</v>
      </c>
      <c r="AN51" s="41">
        <v>1960411</v>
      </c>
      <c r="AO51" s="41">
        <v>9393</v>
      </c>
      <c r="AP51" s="41">
        <v>0</v>
      </c>
      <c r="AQ51" s="41">
        <v>5093309</v>
      </c>
      <c r="AR51" s="41">
        <v>887455</v>
      </c>
      <c r="AS51" s="41">
        <v>5980764</v>
      </c>
      <c r="AT51" s="41">
        <v>0</v>
      </c>
      <c r="AU51" s="41">
        <v>1067</v>
      </c>
      <c r="AV51" s="41">
        <v>0</v>
      </c>
      <c r="AW51" s="41">
        <v>300863515</v>
      </c>
      <c r="AX51" s="41">
        <v>8173222</v>
      </c>
      <c r="AY51" s="41">
        <v>12380723</v>
      </c>
      <c r="AZ51" s="41">
        <v>25354737</v>
      </c>
      <c r="BA51" s="41">
        <v>4673548</v>
      </c>
      <c r="BB51" s="41">
        <v>1016850323</v>
      </c>
      <c r="BC51" s="41">
        <v>3133182480</v>
      </c>
      <c r="BD51" s="41">
        <v>66456088</v>
      </c>
      <c r="BE51" s="41">
        <v>304769753</v>
      </c>
      <c r="BF51" s="41">
        <v>34631574</v>
      </c>
      <c r="BG51" s="41">
        <v>0</v>
      </c>
      <c r="BH51" s="41">
        <v>8007603</v>
      </c>
      <c r="BI51" s="41">
        <v>1389246</v>
      </c>
      <c r="BJ51" s="41">
        <v>198050</v>
      </c>
      <c r="BK51" s="41">
        <v>0</v>
      </c>
      <c r="BL51" s="41">
        <v>0</v>
      </c>
      <c r="BM51" s="41">
        <v>1683933</v>
      </c>
      <c r="BN51" s="41">
        <v>23302535</v>
      </c>
      <c r="BO51" s="41">
        <v>2492180</v>
      </c>
      <c r="BP51" s="41">
        <v>7356826</v>
      </c>
      <c r="BQ51" s="41">
        <v>44267250</v>
      </c>
      <c r="BR51" s="41">
        <v>0</v>
      </c>
      <c r="BS51" s="42">
        <f>IFERROR(VLOOKUP(A51,'Trans 21-23'!$A$2:$J$229,5,0),0)</f>
        <v>92559491</v>
      </c>
      <c r="BT51" s="43"/>
      <c r="BU51" s="6">
        <f t="shared" si="0"/>
        <v>1016850323</v>
      </c>
      <c r="BV51" s="6">
        <f t="shared" si="1"/>
        <v>1067</v>
      </c>
      <c r="BW51" s="6">
        <f t="shared" si="2"/>
        <v>165428</v>
      </c>
      <c r="BX51" s="6">
        <f t="shared" si="3"/>
        <v>38996851</v>
      </c>
      <c r="BY51" s="6">
        <f t="shared" si="4"/>
        <v>8904631</v>
      </c>
      <c r="BZ51" s="6">
        <f t="shared" si="5"/>
        <v>25354737</v>
      </c>
      <c r="CA51" s="6">
        <f t="shared" si="6"/>
        <v>23221122</v>
      </c>
      <c r="CB51" s="6">
        <f t="shared" si="7"/>
        <v>598550</v>
      </c>
      <c r="CC51" s="6">
        <f t="shared" si="8"/>
        <v>5093309</v>
      </c>
      <c r="CD51" s="6">
        <f t="shared" si="9"/>
        <v>1</v>
      </c>
      <c r="CE51" s="44">
        <f t="shared" si="10"/>
        <v>12</v>
      </c>
      <c r="CF51" s="27"/>
      <c r="CG51" s="28">
        <f t="shared" si="11"/>
        <v>952.99936551077792</v>
      </c>
      <c r="CH51" s="28">
        <f t="shared" si="12"/>
        <v>6.4499359237855742</v>
      </c>
      <c r="CI51" s="28">
        <f t="shared" si="13"/>
        <v>235.73307420751021</v>
      </c>
      <c r="CJ51" s="28">
        <f t="shared" si="14"/>
        <v>153.26750610537516</v>
      </c>
      <c r="CK51" s="23">
        <f t="shared" si="15"/>
        <v>0.11751692269210448</v>
      </c>
      <c r="CL51" s="29" t="str">
        <f t="shared" si="16"/>
        <v/>
      </c>
      <c r="CM51" s="29" t="str">
        <f t="shared" si="17"/>
        <v/>
      </c>
      <c r="CN51" s="29" t="str">
        <f t="shared" si="18"/>
        <v/>
      </c>
      <c r="CO51" s="29" t="str">
        <f t="shared" si="19"/>
        <v/>
      </c>
      <c r="CP51" s="29" t="str">
        <f t="shared" si="20"/>
        <v/>
      </c>
      <c r="CQ51" s="29">
        <f t="shared" si="21"/>
        <v>0</v>
      </c>
      <c r="CR51" s="13"/>
      <c r="CS51" s="7">
        <f>VLOOKUP(A51,'Empresas 21-23'!$A$2:$M$228,13,0)</f>
        <v>1</v>
      </c>
      <c r="CT51" s="30"/>
      <c r="CU51" s="6">
        <f t="shared" si="22"/>
        <v>1067049162</v>
      </c>
      <c r="CV51" s="6">
        <f t="shared" si="23"/>
        <v>25354737</v>
      </c>
      <c r="CW51" s="6">
        <f t="shared" si="24"/>
        <v>66456088</v>
      </c>
      <c r="CX51" s="23">
        <f t="shared" si="58"/>
        <v>0.34794403725860656</v>
      </c>
      <c r="CY51" s="23">
        <f t="shared" si="59"/>
        <v>8.267688003123299E-3</v>
      </c>
      <c r="CZ51" s="6">
        <f t="shared" si="25"/>
        <v>1090172161.5591333</v>
      </c>
      <c r="DA51" s="6">
        <f t="shared" si="26"/>
        <v>25904175.201492105</v>
      </c>
      <c r="DB51" s="6">
        <f t="shared" si="27"/>
        <v>38996851</v>
      </c>
      <c r="DC51" s="6">
        <f t="shared" si="28"/>
        <v>40449548</v>
      </c>
      <c r="DD51" s="6">
        <f t="shared" si="29"/>
        <v>8904631</v>
      </c>
      <c r="DE51" s="6">
        <f t="shared" si="30"/>
        <v>23221122</v>
      </c>
      <c r="DF51" s="6">
        <f t="shared" si="31"/>
        <v>7031206.4457828775</v>
      </c>
      <c r="DG51" s="30"/>
      <c r="DH51" s="32">
        <f>VLOOKUP(A51,'T_med_comp-USA'!$A$7:$Q$233,17,0)</f>
        <v>8.9477469822084732</v>
      </c>
      <c r="DI51" s="6" t="str">
        <f t="shared" si="32"/>
        <v>1_2013</v>
      </c>
      <c r="DJ51" s="32">
        <f>IF(DI51="","",VLOOKUP(DI51,'CPI USA'!$T:$U,2,FALSE))</f>
        <v>230.28</v>
      </c>
      <c r="DK51" s="32">
        <f>IF(DI51="","",VLOOKUP(DI51,'PPI USA'!$S:$T,2,FALSE))</f>
        <v>166.2</v>
      </c>
      <c r="DL51" s="32">
        <f>IF(DI51="","",VLOOKUP(DI51,'CPI USA'!$T:$V,3,FALSE))</f>
        <v>0.67305131835944076</v>
      </c>
      <c r="DM51" s="32">
        <f>IF(DI51="","",VLOOKUP(DI51,'CPI USA'!$T:$X,5,FALSE))</f>
        <v>0.50163050295255052</v>
      </c>
      <c r="DN51" s="32">
        <f t="shared" si="33"/>
        <v>1.3963809315743387</v>
      </c>
      <c r="DO51" s="32">
        <f t="shared" si="34"/>
        <v>1.4131920249632246</v>
      </c>
      <c r="DP51" s="32">
        <f t="shared" si="35"/>
        <v>0.22730058808246795</v>
      </c>
      <c r="DQ51" s="32">
        <f>IF(DP51="","",DP51*$DO$1/'CPI USA'!$U$508+(1-DP51)*AVERAGE($DO$1,$DQ$1)/AVERAGE('CPI USA'!$U$508,'PPI USA'!$T$514))</f>
        <v>1.1725459546885435</v>
      </c>
      <c r="DR51" s="6">
        <f t="shared" si="36"/>
        <v>1587296</v>
      </c>
      <c r="DS51" s="32">
        <f t="shared" si="37"/>
        <v>0.2</v>
      </c>
      <c r="DT51" s="28">
        <f>IF(DS51="","",DS51*$DO$1/'CPI USA'!$U$508+(1-DS51)*AVERAGE($DO$1,$DQ$1)/AVERAGE('CPI USA'!$U$508,'PPI USA'!$T$514))</f>
        <v>1.1741595760647974</v>
      </c>
      <c r="DU51" s="6">
        <f t="shared" si="38"/>
        <v>1864027.746942339</v>
      </c>
      <c r="DV51" s="6">
        <f t="shared" si="39"/>
        <v>335634.23916934687</v>
      </c>
      <c r="DW51" s="6">
        <f t="shared" si="40"/>
        <v>905718.39462449157</v>
      </c>
      <c r="DX51" s="16">
        <f t="shared" si="41"/>
        <v>0.2</v>
      </c>
      <c r="DY51" s="28">
        <f>IF(DX51="","",DX51*$DO$1/'CPI USA'!$U$508+(1-DX51)*AVERAGE($DO$1,$DQ$1)/AVERAGE('CPI USA'!$U$508,'PPI USA'!$T$514))</f>
        <v>1.1741595760647974</v>
      </c>
      <c r="DZ51" s="30"/>
      <c r="EA51" s="45" t="str">
        <f t="shared" si="42"/>
        <v>C000533</v>
      </c>
      <c r="EB51" s="29">
        <f t="shared" si="43"/>
        <v>1522295618.534353</v>
      </c>
      <c r="EC51" s="29">
        <f t="shared" si="44"/>
        <v>36607573.807998776</v>
      </c>
      <c r="ED51" s="29">
        <f t="shared" si="45"/>
        <v>47428953.876380064</v>
      </c>
      <c r="EE51" s="29">
        <f t="shared" si="46"/>
        <v>10455457.759973453</v>
      </c>
      <c r="EF51" s="29">
        <f t="shared" si="47"/>
        <v>8255758.3796044942</v>
      </c>
      <c r="EG51" s="29">
        <f t="shared" si="48"/>
        <v>1067</v>
      </c>
      <c r="EH51" s="29">
        <f t="shared" si="49"/>
        <v>165428</v>
      </c>
      <c r="EI51" s="29">
        <f t="shared" si="50"/>
        <v>598550</v>
      </c>
      <c r="EJ51" s="29">
        <f t="shared" si="51"/>
        <v>5093309</v>
      </c>
      <c r="EK51" s="29">
        <f t="shared" si="52"/>
        <v>5678344.4568527918</v>
      </c>
      <c r="EL51" s="29">
        <f>IF(CD51=1,VLOOKUP(EA51,'EIA 2021'!$A$2:$J$213,4,0)*EH51,"")</f>
        <v>67031425.600000001</v>
      </c>
      <c r="EM51" s="29">
        <f>IF(CD51=1,VLOOKUP(EA51,'EIA 2021'!$A$2:$J$213,7,0)*EH51,"")</f>
        <v>438053.34400000004</v>
      </c>
      <c r="EN51" s="29">
        <f>IF(CD51=1,VLOOKUP(EA51,'EIA 2021'!$A$2:$J$213,10,0),"")</f>
        <v>167676</v>
      </c>
      <c r="EO51" s="28">
        <f>IF(CD51=1,VLOOKUP(EA51,'EIA 2021'!$A$2:$Z$213,26,0),"")</f>
        <v>0</v>
      </c>
      <c r="EP51" s="23">
        <f t="shared" si="53"/>
        <v>0.10302922996274978</v>
      </c>
      <c r="EQ51" s="32">
        <f t="shared" si="54"/>
        <v>13514.543147208169</v>
      </c>
      <c r="ER51" s="32">
        <f t="shared" si="55"/>
        <v>585035.45685279183</v>
      </c>
      <c r="ES51" s="6"/>
      <c r="ET51" s="32"/>
    </row>
    <row r="52" spans="1:150" ht="15.75" customHeight="1">
      <c r="A52" s="7" t="s">
        <v>357</v>
      </c>
      <c r="B52" s="7" t="s">
        <v>358</v>
      </c>
      <c r="C52" s="32" t="s">
        <v>359</v>
      </c>
      <c r="D52" s="40">
        <v>0</v>
      </c>
      <c r="E52" s="40">
        <v>0</v>
      </c>
      <c r="F52" s="40">
        <v>0</v>
      </c>
      <c r="G52" s="40">
        <v>118047129</v>
      </c>
      <c r="H52" s="40">
        <v>118047129</v>
      </c>
      <c r="I52" s="40">
        <v>406536</v>
      </c>
      <c r="J52" s="40">
        <v>113627</v>
      </c>
      <c r="K52" s="40">
        <v>1</v>
      </c>
      <c r="L52" s="40">
        <v>146160</v>
      </c>
      <c r="M52" s="40">
        <v>95648</v>
      </c>
      <c r="N52" s="40">
        <v>57752</v>
      </c>
      <c r="O52" s="40">
        <v>518676</v>
      </c>
      <c r="P52" s="40">
        <v>430110</v>
      </c>
      <c r="Q52" s="40">
        <v>2507</v>
      </c>
      <c r="R52" s="40">
        <v>10456</v>
      </c>
      <c r="S52" s="40">
        <v>75755</v>
      </c>
      <c r="T52" s="40">
        <v>7392501</v>
      </c>
      <c r="U52" s="40">
        <v>53111</v>
      </c>
      <c r="V52" s="40">
        <v>13673</v>
      </c>
      <c r="W52" s="40">
        <v>228316</v>
      </c>
      <c r="X52" s="40">
        <f>IFERROR(VLOOKUP(A52,'Trans 21-23'!$A$2:$J$229,6,0),0)</f>
        <v>63199</v>
      </c>
      <c r="Y52" s="41">
        <v>76355</v>
      </c>
      <c r="Z52" s="41">
        <v>16869</v>
      </c>
      <c r="AA52" s="41">
        <v>1278534</v>
      </c>
      <c r="AB52" s="41">
        <v>295612</v>
      </c>
      <c r="AC52" s="41">
        <v>5930</v>
      </c>
      <c r="AD52" s="41">
        <v>2228034</v>
      </c>
      <c r="AE52" s="41">
        <v>0</v>
      </c>
      <c r="AF52" s="41">
        <v>131501673</v>
      </c>
      <c r="AG52" s="41">
        <v>48597</v>
      </c>
      <c r="AH52" s="41">
        <v>48633</v>
      </c>
      <c r="AI52" s="41">
        <v>1675182</v>
      </c>
      <c r="AJ52" s="41">
        <v>0</v>
      </c>
      <c r="AK52" s="41">
        <v>0</v>
      </c>
      <c r="AL52" s="41">
        <v>653124</v>
      </c>
      <c r="AM52" s="41">
        <v>352894</v>
      </c>
      <c r="AN52" s="41">
        <v>588374</v>
      </c>
      <c r="AO52" s="41">
        <v>8671</v>
      </c>
      <c r="AP52" s="41">
        <v>23485</v>
      </c>
      <c r="AQ52" s="41">
        <v>1626549</v>
      </c>
      <c r="AR52" s="41">
        <v>0</v>
      </c>
      <c r="AS52" s="41">
        <v>1626549</v>
      </c>
      <c r="AT52" s="41">
        <v>0</v>
      </c>
      <c r="AU52" s="41">
        <v>337</v>
      </c>
      <c r="AV52" s="41">
        <v>0</v>
      </c>
      <c r="AW52" s="41">
        <v>46763496</v>
      </c>
      <c r="AX52" s="41">
        <v>7553434</v>
      </c>
      <c r="AY52" s="41">
        <v>10428518</v>
      </c>
      <c r="AZ52" s="41">
        <v>6548332</v>
      </c>
      <c r="BA52" s="41">
        <v>9075870</v>
      </c>
      <c r="BB52" s="41">
        <v>204833442</v>
      </c>
      <c r="BC52" s="41">
        <v>268962988</v>
      </c>
      <c r="BD52" s="41">
        <v>9899633</v>
      </c>
      <c r="BE52" s="41">
        <v>73680009</v>
      </c>
      <c r="BF52" s="41">
        <v>7055469</v>
      </c>
      <c r="BG52" s="41">
        <v>0</v>
      </c>
      <c r="BH52" s="41">
        <v>1689890</v>
      </c>
      <c r="BI52" s="41">
        <v>284582</v>
      </c>
      <c r="BJ52" s="41">
        <v>71989</v>
      </c>
      <c r="BK52" s="41">
        <v>0</v>
      </c>
      <c r="BL52" s="41">
        <v>0</v>
      </c>
      <c r="BM52" s="41">
        <v>88098</v>
      </c>
      <c r="BN52" s="41">
        <v>1960991</v>
      </c>
      <c r="BO52" s="41">
        <v>142576</v>
      </c>
      <c r="BP52" s="41">
        <v>420177</v>
      </c>
      <c r="BQ52" s="41">
        <v>5433528</v>
      </c>
      <c r="BR52" s="41">
        <v>0</v>
      </c>
      <c r="BS52" s="42">
        <f>IFERROR(VLOOKUP(A52,'Trans 21-23'!$A$2:$J$229,5,0),0)</f>
        <v>6438855</v>
      </c>
      <c r="BT52" s="43"/>
      <c r="BU52" s="6">
        <f t="shared" si="0"/>
        <v>204833442</v>
      </c>
      <c r="BV52" s="6">
        <f t="shared" si="1"/>
        <v>337</v>
      </c>
      <c r="BW52" s="6">
        <f t="shared" si="2"/>
        <v>48597</v>
      </c>
      <c r="BX52" s="6">
        <f t="shared" si="3"/>
        <v>9544829</v>
      </c>
      <c r="BY52" s="6">
        <f t="shared" si="4"/>
        <v>1673300</v>
      </c>
      <c r="BZ52" s="6">
        <f t="shared" si="5"/>
        <v>6548332</v>
      </c>
      <c r="CA52" s="6">
        <f t="shared" si="6"/>
        <v>2228034</v>
      </c>
      <c r="CB52" s="6">
        <f t="shared" si="7"/>
        <v>48633</v>
      </c>
      <c r="CC52" s="6">
        <f t="shared" si="8"/>
        <v>1626549</v>
      </c>
      <c r="CD52" s="6">
        <f t="shared" si="9"/>
        <v>1</v>
      </c>
      <c r="CE52" s="44">
        <f t="shared" si="10"/>
        <v>13</v>
      </c>
      <c r="CF52" s="27"/>
      <c r="CG52" s="28">
        <f t="shared" si="11"/>
        <v>607.81436795252228</v>
      </c>
      <c r="CH52" s="28">
        <f t="shared" si="12"/>
        <v>6.9345844393686855</v>
      </c>
      <c r="CI52" s="28">
        <f t="shared" si="13"/>
        <v>196.40778237339754</v>
      </c>
      <c r="CJ52" s="28">
        <f t="shared" si="14"/>
        <v>134.74765932053418</v>
      </c>
      <c r="CK52" s="23">
        <f t="shared" si="15"/>
        <v>2.9899498877685209E-2</v>
      </c>
      <c r="CL52" s="29" t="str">
        <f t="shared" si="16"/>
        <v/>
      </c>
      <c r="CM52" s="29" t="str">
        <f t="shared" si="17"/>
        <v/>
      </c>
      <c r="CN52" s="29" t="str">
        <f t="shared" si="18"/>
        <v/>
      </c>
      <c r="CO52" s="29" t="str">
        <f t="shared" si="19"/>
        <v/>
      </c>
      <c r="CP52" s="29" t="str">
        <f t="shared" si="20"/>
        <v/>
      </c>
      <c r="CQ52" s="29">
        <f t="shared" si="21"/>
        <v>0</v>
      </c>
      <c r="CR52" s="13"/>
      <c r="CS52" s="7">
        <f>VLOOKUP(A52,'Empresas 21-23'!$A$2:$M$228,13,0)</f>
        <v>1</v>
      </c>
      <c r="CT52" s="30"/>
      <c r="CU52" s="6">
        <f t="shared" si="22"/>
        <v>184858923.80000001</v>
      </c>
      <c r="CV52" s="6">
        <f t="shared" si="23"/>
        <v>6548332</v>
      </c>
      <c r="CW52" s="6">
        <f t="shared" si="24"/>
        <v>9899633</v>
      </c>
      <c r="CX52" s="23">
        <f t="shared" si="58"/>
        <v>0.71356647025589559</v>
      </c>
      <c r="CY52" s="23">
        <f t="shared" si="59"/>
        <v>2.5276952041325951E-2</v>
      </c>
      <c r="CZ52" s="6">
        <f t="shared" si="25"/>
        <v>191922969.97663879</v>
      </c>
      <c r="DA52" s="6">
        <f t="shared" si="26"/>
        <v>6798564.5485677281</v>
      </c>
      <c r="DB52" s="6">
        <f t="shared" si="27"/>
        <v>9544829</v>
      </c>
      <c r="DC52" s="6">
        <f t="shared" si="28"/>
        <v>9608028</v>
      </c>
      <c r="DD52" s="6">
        <f t="shared" si="29"/>
        <v>1673300</v>
      </c>
      <c r="DE52" s="6">
        <f t="shared" si="30"/>
        <v>2228034</v>
      </c>
      <c r="DF52" s="6">
        <f t="shared" si="31"/>
        <v>2238913.2819684837</v>
      </c>
      <c r="DG52" s="30"/>
      <c r="DH52" s="32">
        <f>VLOOKUP(A52,'T_med_comp-USA'!$A$7:$Q$233,17,0)</f>
        <v>11.027134065289319</v>
      </c>
      <c r="DI52" s="6" t="str">
        <f t="shared" si="32"/>
        <v>12_2010</v>
      </c>
      <c r="DJ52" s="32">
        <f>IF(DI52="","",VLOOKUP(DI52,'CPI USA'!$T:$U,2,FALSE))</f>
        <v>218.05600000000001</v>
      </c>
      <c r="DK52" s="32">
        <f>IF(DI52="","",VLOOKUP(DI52,'PPI USA'!$S:$T,2,FALSE))</f>
        <v>160.80000000000001</v>
      </c>
      <c r="DL52" s="32">
        <f>IF(DI52="","",VLOOKUP(DI52,'CPI USA'!$T:$V,3,FALSE))</f>
        <v>0.67050107279443949</v>
      </c>
      <c r="DM52" s="32">
        <f>IF(DI52="","",VLOOKUP(DI52,'CPI USA'!$T:$X,5,FALSE))</f>
        <v>0.4987389730136107</v>
      </c>
      <c r="DN52" s="32">
        <f t="shared" si="33"/>
        <v>1.4703278680244813</v>
      </c>
      <c r="DO52" s="32">
        <f t="shared" si="34"/>
        <v>1.4857204383544427</v>
      </c>
      <c r="DP52" s="32">
        <f t="shared" si="35"/>
        <v>0.2</v>
      </c>
      <c r="DQ52" s="32">
        <f>IF(DP52="","",DP52*$DO$1/'CPI USA'!$U$508+(1-DP52)*AVERAGE($DO$1,$DQ$1)/AVERAGE('CPI USA'!$U$508,'PPI USA'!$T$514))</f>
        <v>1.1741595760647974</v>
      </c>
      <c r="DR52" s="6">
        <f t="shared" si="36"/>
        <v>356571</v>
      </c>
      <c r="DS52" s="32">
        <f t="shared" si="37"/>
        <v>0.22858775197202691</v>
      </c>
      <c r="DT52" s="28">
        <f>IF(DS52="","",DS52*$DO$1/'CPI USA'!$U$508+(1-DS52)*AVERAGE($DO$1,$DQ$1)/AVERAGE('CPI USA'!$U$508,'PPI USA'!$T$514))</f>
        <v>1.1724698759183476</v>
      </c>
      <c r="DU52" s="6">
        <f t="shared" si="38"/>
        <v>94503.26164984949</v>
      </c>
      <c r="DV52" s="6">
        <f t="shared" si="39"/>
        <v>7383.6348873238676</v>
      </c>
      <c r="DW52" s="6">
        <f t="shared" si="40"/>
        <v>106327.6476915806</v>
      </c>
      <c r="DX52" s="16">
        <f t="shared" si="41"/>
        <v>0.2</v>
      </c>
      <c r="DY52" s="28">
        <f>IF(DX52="","",DX52*$DO$1/'CPI USA'!$U$508+(1-DX52)*AVERAGE($DO$1,$DQ$1)/AVERAGE('CPI USA'!$U$508,'PPI USA'!$T$514))</f>
        <v>1.1741595760647974</v>
      </c>
      <c r="DZ52" s="30"/>
      <c r="EA52" s="45" t="str">
        <f t="shared" si="42"/>
        <v>C000534</v>
      </c>
      <c r="EB52" s="29">
        <f t="shared" si="43"/>
        <v>282189691.27067786</v>
      </c>
      <c r="EC52" s="29">
        <f t="shared" si="44"/>
        <v>10100766.30127902</v>
      </c>
      <c r="ED52" s="29">
        <f t="shared" si="45"/>
        <v>11281358.083298704</v>
      </c>
      <c r="EE52" s="29">
        <f t="shared" si="46"/>
        <v>1961893.8433741711</v>
      </c>
      <c r="EF52" s="29">
        <f t="shared" si="47"/>
        <v>2628841.4700019588</v>
      </c>
      <c r="EG52" s="29">
        <f t="shared" si="48"/>
        <v>337</v>
      </c>
      <c r="EH52" s="29">
        <f t="shared" si="49"/>
        <v>48597</v>
      </c>
      <c r="EI52" s="29">
        <f t="shared" si="50"/>
        <v>48633</v>
      </c>
      <c r="EJ52" s="29">
        <f t="shared" si="51"/>
        <v>1626549</v>
      </c>
      <c r="EK52" s="29">
        <f t="shared" si="52"/>
        <v>1675182</v>
      </c>
      <c r="EL52" s="29">
        <f>IF(CD52=1,VLOOKUP(EA52,'EIA 2021'!$A$2:$J$213,4,0)*EH52,"")</f>
        <v>10963483.199999999</v>
      </c>
      <c r="EM52" s="29">
        <f>IF(CD52=1,VLOOKUP(EA52,'EIA 2021'!$A$2:$J$213,7,0)*EH52,"")</f>
        <v>62592.936000000002</v>
      </c>
      <c r="EN52" s="29">
        <f>IF(CD52=1,VLOOKUP(EA52,'EIA 2021'!$A$2:$J$213,10,0),"")</f>
        <v>48878</v>
      </c>
      <c r="EO52" s="28">
        <f>IF(CD52=1,VLOOKUP(EA52,'EIA 2021'!$A$2:$Z$213,26,0),"")</f>
        <v>0</v>
      </c>
      <c r="EP52" s="23">
        <f t="shared" si="53"/>
        <v>2.903147240120775E-2</v>
      </c>
      <c r="EQ52" s="32">
        <f t="shared" si="54"/>
        <v>0</v>
      </c>
      <c r="ER52" s="32">
        <f t="shared" si="55"/>
        <v>48633</v>
      </c>
      <c r="ES52" s="6"/>
      <c r="ET52" s="32"/>
    </row>
    <row r="53" spans="1:150" ht="15.75" customHeight="1">
      <c r="A53" s="7" t="s">
        <v>360</v>
      </c>
      <c r="B53" s="7" t="s">
        <v>361</v>
      </c>
      <c r="C53" s="32" t="s">
        <v>362</v>
      </c>
      <c r="D53" s="40">
        <v>0</v>
      </c>
      <c r="E53" s="40">
        <v>0</v>
      </c>
      <c r="F53" s="40">
        <v>0</v>
      </c>
      <c r="G53" s="40">
        <v>697709821</v>
      </c>
      <c r="H53" s="40">
        <v>738000535</v>
      </c>
      <c r="I53" s="40">
        <v>9050350</v>
      </c>
      <c r="J53" s="40">
        <v>3096339</v>
      </c>
      <c r="K53" s="40">
        <v>12</v>
      </c>
      <c r="L53" s="40">
        <v>3611180</v>
      </c>
      <c r="M53" s="40">
        <v>9229481</v>
      </c>
      <c r="N53" s="40">
        <v>103421</v>
      </c>
      <c r="O53" s="40">
        <v>35031349</v>
      </c>
      <c r="P53" s="40">
        <v>6793933</v>
      </c>
      <c r="Q53" s="40">
        <v>255920</v>
      </c>
      <c r="R53" s="40">
        <v>49364</v>
      </c>
      <c r="S53" s="40">
        <v>5027807</v>
      </c>
      <c r="T53" s="40">
        <v>95807118</v>
      </c>
      <c r="U53" s="40">
        <v>8131446</v>
      </c>
      <c r="V53" s="40">
        <v>1923940</v>
      </c>
      <c r="W53" s="40">
        <v>4224301</v>
      </c>
      <c r="X53" s="40">
        <f>IFERROR(VLOOKUP(A53,'Trans 21-23'!$A$2:$J$229,6,0),0)</f>
        <v>0</v>
      </c>
      <c r="Y53" s="41">
        <v>4235740</v>
      </c>
      <c r="Z53" s="41">
        <v>648095</v>
      </c>
      <c r="AA53" s="41">
        <v>102647090</v>
      </c>
      <c r="AB53" s="41">
        <v>14197893</v>
      </c>
      <c r="AC53" s="41">
        <v>276110</v>
      </c>
      <c r="AD53" s="41">
        <v>81849577</v>
      </c>
      <c r="AE53" s="41">
        <v>0</v>
      </c>
      <c r="AF53" s="41">
        <v>1709965184</v>
      </c>
      <c r="AG53" s="41">
        <v>1511447</v>
      </c>
      <c r="AH53" s="41">
        <v>610162</v>
      </c>
      <c r="AI53" s="41">
        <v>13750545</v>
      </c>
      <c r="AJ53" s="41">
        <v>0</v>
      </c>
      <c r="AK53" s="41">
        <v>33397420</v>
      </c>
      <c r="AL53" s="41">
        <v>14546502</v>
      </c>
      <c r="AM53" s="41">
        <v>15036325</v>
      </c>
      <c r="AN53" s="41">
        <v>14321447</v>
      </c>
      <c r="AO53" s="41">
        <v>111154</v>
      </c>
      <c r="AP53" s="41">
        <v>581</v>
      </c>
      <c r="AQ53" s="41">
        <v>44016009</v>
      </c>
      <c r="AR53" s="41">
        <v>2521794</v>
      </c>
      <c r="AS53" s="41">
        <v>46537803</v>
      </c>
      <c r="AT53" s="41">
        <v>0</v>
      </c>
      <c r="AU53" s="41">
        <v>2712</v>
      </c>
      <c r="AV53" s="41">
        <v>0</v>
      </c>
      <c r="AW53" s="41">
        <v>1104685951</v>
      </c>
      <c r="AX53" s="41">
        <v>426705846</v>
      </c>
      <c r="AY53" s="41">
        <v>798198789</v>
      </c>
      <c r="AZ53" s="41">
        <v>271540584</v>
      </c>
      <c r="BA53" s="41">
        <v>43714593</v>
      </c>
      <c r="BB53" s="41">
        <v>6068306961</v>
      </c>
      <c r="BC53" s="41">
        <v>10013027829</v>
      </c>
      <c r="BD53" s="41">
        <v>711056206</v>
      </c>
      <c r="BE53" s="41">
        <v>1778399304</v>
      </c>
      <c r="BF53" s="41">
        <v>179242741</v>
      </c>
      <c r="BG53" s="41">
        <v>0</v>
      </c>
      <c r="BH53" s="41">
        <v>53002618</v>
      </c>
      <c r="BI53" s="41">
        <v>8420762</v>
      </c>
      <c r="BJ53" s="41">
        <v>5137865</v>
      </c>
      <c r="BK53" s="41">
        <v>23581</v>
      </c>
      <c r="BL53" s="41">
        <v>0</v>
      </c>
      <c r="BM53" s="41">
        <v>5108465</v>
      </c>
      <c r="BN53" s="41">
        <v>71854532</v>
      </c>
      <c r="BO53" s="41">
        <v>5194075</v>
      </c>
      <c r="BP53" s="41">
        <v>15315361</v>
      </c>
      <c r="BQ53" s="41">
        <v>176041871</v>
      </c>
      <c r="BR53" s="41">
        <v>0</v>
      </c>
      <c r="BS53" s="42">
        <f>IFERROR(VLOOKUP(A53,'Trans 21-23'!$A$2:$J$229,5,0),0)</f>
        <v>0</v>
      </c>
      <c r="BT53" s="43"/>
      <c r="BU53" s="6">
        <f t="shared" si="0"/>
        <v>6068306961</v>
      </c>
      <c r="BV53" s="6">
        <f t="shared" si="1"/>
        <v>2712</v>
      </c>
      <c r="BW53" s="6">
        <f t="shared" si="2"/>
        <v>1511447</v>
      </c>
      <c r="BX53" s="6">
        <f t="shared" si="3"/>
        <v>182335961</v>
      </c>
      <c r="BY53" s="6">
        <f t="shared" si="4"/>
        <v>122004928</v>
      </c>
      <c r="BZ53" s="6">
        <f t="shared" si="5"/>
        <v>271540584</v>
      </c>
      <c r="CA53" s="6">
        <f t="shared" si="6"/>
        <v>81849577</v>
      </c>
      <c r="CB53" s="6">
        <f t="shared" si="7"/>
        <v>610162</v>
      </c>
      <c r="CC53" s="6">
        <f t="shared" si="8"/>
        <v>44016009</v>
      </c>
      <c r="CD53" s="6">
        <f t="shared" si="9"/>
        <v>1</v>
      </c>
      <c r="CE53" s="44">
        <f t="shared" si="10"/>
        <v>12</v>
      </c>
      <c r="CF53" s="27"/>
      <c r="CG53" s="28">
        <f t="shared" si="11"/>
        <v>2237.5763130530977</v>
      </c>
      <c r="CH53" s="28">
        <f t="shared" si="12"/>
        <v>1.7943070448384892</v>
      </c>
      <c r="CI53" s="28">
        <f t="shared" si="13"/>
        <v>120.63668855077287</v>
      </c>
      <c r="CJ53" s="28">
        <f t="shared" si="14"/>
        <v>179.65604086679849</v>
      </c>
      <c r="CK53" s="23">
        <f t="shared" si="15"/>
        <v>1.3862274519255029E-2</v>
      </c>
      <c r="CL53" s="29" t="str">
        <f t="shared" si="16"/>
        <v/>
      </c>
      <c r="CM53" s="29" t="str">
        <f t="shared" si="17"/>
        <v/>
      </c>
      <c r="CN53" s="29" t="str">
        <f t="shared" si="18"/>
        <v/>
      </c>
      <c r="CO53" s="29" t="str">
        <f t="shared" si="19"/>
        <v/>
      </c>
      <c r="CP53" s="29" t="str">
        <f t="shared" si="20"/>
        <v/>
      </c>
      <c r="CQ53" s="29">
        <f t="shared" si="21"/>
        <v>0</v>
      </c>
      <c r="CR53" s="13"/>
      <c r="CS53" s="7">
        <f>VLOOKUP(A53,'Empresas 21-23'!$A$2:$M$228,13,0)</f>
        <v>1</v>
      </c>
      <c r="CT53" s="30"/>
      <c r="CU53" s="6">
        <f t="shared" si="22"/>
        <v>5018109003</v>
      </c>
      <c r="CV53" s="6">
        <f t="shared" si="23"/>
        <v>271540584</v>
      </c>
      <c r="CW53" s="6">
        <f t="shared" si="24"/>
        <v>711056206</v>
      </c>
      <c r="CX53" s="23">
        <f t="shared" si="58"/>
        <v>0.53946724483573494</v>
      </c>
      <c r="CY53" s="23">
        <f t="shared" si="59"/>
        <v>2.9191723540479348E-2</v>
      </c>
      <c r="CZ53" s="6">
        <f t="shared" si="25"/>
        <v>5401700535.3741703</v>
      </c>
      <c r="DA53" s="6">
        <f t="shared" si="26"/>
        <v>292297540.18729413</v>
      </c>
      <c r="DB53" s="6">
        <f t="shared" si="27"/>
        <v>182335961</v>
      </c>
      <c r="DC53" s="6">
        <f t="shared" si="28"/>
        <v>182335961</v>
      </c>
      <c r="DD53" s="6">
        <f t="shared" si="29"/>
        <v>122004928</v>
      </c>
      <c r="DE53" s="6">
        <f t="shared" si="30"/>
        <v>81849577</v>
      </c>
      <c r="DF53" s="6">
        <f t="shared" si="31"/>
        <v>27985340.111681595</v>
      </c>
      <c r="DG53" s="30"/>
      <c r="DH53" s="32">
        <f>VLOOKUP(A53,'T_med_comp-USA'!$A$7:$Q$233,17,0)</f>
        <v>10.729629606155994</v>
      </c>
      <c r="DI53" s="6" t="str">
        <f t="shared" si="32"/>
        <v>4_2011</v>
      </c>
      <c r="DJ53" s="32">
        <f>IF(DI53="","",VLOOKUP(DI53,'CPI USA'!$T:$U,2,FALSE))</f>
        <v>224.93899999999999</v>
      </c>
      <c r="DK53" s="32">
        <f>IF(DI53="","",VLOOKUP(DI53,'PPI USA'!$S:$T,2,FALSE))</f>
        <v>169.6</v>
      </c>
      <c r="DL53" s="32">
        <f>IF(DI53="","",VLOOKUP(DI53,'CPI USA'!$T:$V,3,FALSE))</f>
        <v>0.6684022975047168</v>
      </c>
      <c r="DM53" s="32">
        <f>IF(DI53="","",VLOOKUP(DI53,'CPI USA'!$T:$X,5,FALSE))</f>
        <v>0.49636791791307899</v>
      </c>
      <c r="DN53" s="32">
        <f t="shared" si="33"/>
        <v>1.4208751760332547</v>
      </c>
      <c r="DO53" s="32">
        <f t="shared" si="34"/>
        <v>1.4334111417560953</v>
      </c>
      <c r="DP53" s="32">
        <f t="shared" si="35"/>
        <v>0.31169914962990564</v>
      </c>
      <c r="DQ53" s="32">
        <f>IF(DP53="","",DP53*$DO$1/'CPI USA'!$U$508+(1-DP53)*AVERAGE($DO$1,$DQ$1)/AVERAGE('CPI USA'!$U$508,'PPI USA'!$T$514))</f>
        <v>1.1675575155154883</v>
      </c>
      <c r="DR53" s="6">
        <f t="shared" si="36"/>
        <v>13582208</v>
      </c>
      <c r="DS53" s="32">
        <f t="shared" si="37"/>
        <v>0.2</v>
      </c>
      <c r="DT53" s="28">
        <f>IF(DS53="","",DS53*$DO$1/'CPI USA'!$U$508+(1-DS53)*AVERAGE($DO$1,$DQ$1)/AVERAGE('CPI USA'!$U$508,'PPI USA'!$T$514))</f>
        <v>1.1741595760647974</v>
      </c>
      <c r="DU53" s="6">
        <f t="shared" si="38"/>
        <v>5477735.3801184734</v>
      </c>
      <c r="DV53" s="6">
        <f t="shared" si="39"/>
        <v>486777.10746575036</v>
      </c>
      <c r="DW53" s="6">
        <f t="shared" si="40"/>
        <v>5527083.8888857104</v>
      </c>
      <c r="DX53" s="16">
        <f t="shared" si="41"/>
        <v>0.2</v>
      </c>
      <c r="DY53" s="28">
        <f>IF(DX53="","",DX53*$DO$1/'CPI USA'!$U$508+(1-DX53)*AVERAGE($DO$1,$DQ$1)/AVERAGE('CPI USA'!$U$508,'PPI USA'!$T$514))</f>
        <v>1.1741595760647974</v>
      </c>
      <c r="DZ53" s="30"/>
      <c r="EA53" s="45" t="str">
        <f t="shared" si="42"/>
        <v>C000535</v>
      </c>
      <c r="EB53" s="29">
        <f t="shared" si="43"/>
        <v>7675142199.078701</v>
      </c>
      <c r="EC53" s="29">
        <f t="shared" si="44"/>
        <v>418982550.81236744</v>
      </c>
      <c r="ED53" s="29">
        <f t="shared" si="45"/>
        <v>212887721.61428896</v>
      </c>
      <c r="EE53" s="29">
        <f t="shared" si="46"/>
        <v>143253254.53829613</v>
      </c>
      <c r="EF53" s="29">
        <f t="shared" si="47"/>
        <v>32859255.08156123</v>
      </c>
      <c r="EG53" s="29">
        <f t="shared" si="48"/>
        <v>2712</v>
      </c>
      <c r="EH53" s="29">
        <f t="shared" si="49"/>
        <v>1511447</v>
      </c>
      <c r="EI53" s="29">
        <f t="shared" si="50"/>
        <v>610162</v>
      </c>
      <c r="EJ53" s="29">
        <f t="shared" si="51"/>
        <v>44016009</v>
      </c>
      <c r="EK53" s="29">
        <f t="shared" si="52"/>
        <v>44587768.045685276</v>
      </c>
      <c r="EL53" s="29">
        <f>IF(CD53=1,VLOOKUP(EA53,'EIA 2021'!$A$2:$J$213,4,0)*EH53,"")</f>
        <v>259062015.80000001</v>
      </c>
      <c r="EM53" s="29">
        <f>IF(CD53=1,VLOOKUP(EA53,'EIA 2021'!$A$2:$J$213,7,0)*EH53,"")</f>
        <v>2061613.7080000001</v>
      </c>
      <c r="EN53" s="29">
        <f>IF(CD53=1,VLOOKUP(EA53,'EIA 2021'!$A$2:$J$213,10,0),"")</f>
        <v>1523835</v>
      </c>
      <c r="EO53" s="28">
        <f>IF(CD53=1,VLOOKUP(EA53,'EIA 2021'!$A$2:$Z$213,26,0),"")</f>
        <v>0</v>
      </c>
      <c r="EP53" s="23">
        <f t="shared" si="53"/>
        <v>1.282322643060865E-2</v>
      </c>
      <c r="EQ53" s="32">
        <f t="shared" si="54"/>
        <v>38402.954314720817</v>
      </c>
      <c r="ER53" s="32">
        <f t="shared" si="55"/>
        <v>571759.04568527918</v>
      </c>
      <c r="ES53" s="6"/>
      <c r="ET53" s="32"/>
    </row>
    <row r="54" spans="1:150" ht="15.75" customHeight="1">
      <c r="A54" s="7" t="s">
        <v>363</v>
      </c>
      <c r="B54" s="7" t="s">
        <v>364</v>
      </c>
      <c r="C54" s="32" t="s">
        <v>365</v>
      </c>
      <c r="D54" s="40">
        <v>493515607</v>
      </c>
      <c r="E54" s="40">
        <v>0</v>
      </c>
      <c r="F54" s="40">
        <v>27594151</v>
      </c>
      <c r="G54" s="40">
        <v>1077323348</v>
      </c>
      <c r="H54" s="40">
        <v>1080715200</v>
      </c>
      <c r="I54" s="40">
        <v>2866371</v>
      </c>
      <c r="J54" s="40">
        <v>1076854</v>
      </c>
      <c r="K54" s="40">
        <v>2319769</v>
      </c>
      <c r="L54" s="40">
        <v>1918585</v>
      </c>
      <c r="M54" s="40">
        <v>4592895</v>
      </c>
      <c r="N54" s="40">
        <v>411417</v>
      </c>
      <c r="O54" s="40">
        <v>6501551</v>
      </c>
      <c r="P54" s="40">
        <v>820601</v>
      </c>
      <c r="Q54" s="40">
        <v>98967</v>
      </c>
      <c r="R54" s="40">
        <v>167710</v>
      </c>
      <c r="S54" s="40">
        <v>1591312</v>
      </c>
      <c r="T54" s="40">
        <v>48762887</v>
      </c>
      <c r="U54" s="40">
        <v>965963</v>
      </c>
      <c r="V54" s="40">
        <v>136514</v>
      </c>
      <c r="W54" s="40">
        <v>143396</v>
      </c>
      <c r="X54" s="40">
        <f>IFERROR(VLOOKUP(A54,'Trans 21-23'!$A$2:$J$229,6,0),0)</f>
        <v>0</v>
      </c>
      <c r="Y54" s="41">
        <v>4708820</v>
      </c>
      <c r="Z54" s="41">
        <v>358571</v>
      </c>
      <c r="AA54" s="41">
        <v>15062991</v>
      </c>
      <c r="AB54" s="41">
        <v>34781793</v>
      </c>
      <c r="AC54" s="41">
        <v>192883</v>
      </c>
      <c r="AD54" s="41">
        <v>53075139</v>
      </c>
      <c r="AE54" s="41">
        <v>0</v>
      </c>
      <c r="AF54" s="41">
        <v>1044234178</v>
      </c>
      <c r="AG54" s="41">
        <v>568227</v>
      </c>
      <c r="AH54" s="41">
        <v>2081295</v>
      </c>
      <c r="AI54" s="41">
        <v>21431896</v>
      </c>
      <c r="AJ54" s="41">
        <v>4</v>
      </c>
      <c r="AK54" s="41">
        <v>0</v>
      </c>
      <c r="AL54" s="41">
        <v>6243064</v>
      </c>
      <c r="AM54" s="41">
        <v>4910704</v>
      </c>
      <c r="AN54" s="41">
        <v>5829679</v>
      </c>
      <c r="AO54" s="41">
        <v>41801</v>
      </c>
      <c r="AP54" s="41">
        <v>1180529</v>
      </c>
      <c r="AQ54" s="41">
        <v>18205777</v>
      </c>
      <c r="AR54" s="41">
        <v>1144820</v>
      </c>
      <c r="AS54" s="41">
        <v>19350597</v>
      </c>
      <c r="AT54" s="41">
        <v>0</v>
      </c>
      <c r="AU54" s="41">
        <v>4042</v>
      </c>
      <c r="AV54" s="41">
        <v>0</v>
      </c>
      <c r="AW54" s="41">
        <v>518633650</v>
      </c>
      <c r="AX54" s="41">
        <v>106786748</v>
      </c>
      <c r="AY54" s="41">
        <v>410266021</v>
      </c>
      <c r="AZ54" s="41">
        <v>114895263</v>
      </c>
      <c r="BA54" s="41">
        <v>67410236</v>
      </c>
      <c r="BB54" s="41">
        <v>3004408432</v>
      </c>
      <c r="BC54" s="41">
        <v>6321771835</v>
      </c>
      <c r="BD54" s="41">
        <v>232718070</v>
      </c>
      <c r="BE54" s="41">
        <v>728895288</v>
      </c>
      <c r="BF54" s="41">
        <v>86803793</v>
      </c>
      <c r="BG54" s="41">
        <v>0</v>
      </c>
      <c r="BH54" s="41">
        <v>19718695</v>
      </c>
      <c r="BI54" s="41">
        <v>2402615</v>
      </c>
      <c r="BJ54" s="41">
        <v>3615893</v>
      </c>
      <c r="BK54" s="41">
        <v>0</v>
      </c>
      <c r="BL54" s="41">
        <v>0</v>
      </c>
      <c r="BM54" s="41">
        <v>3654694</v>
      </c>
      <c r="BN54" s="41">
        <v>58480837</v>
      </c>
      <c r="BO54" s="41">
        <v>3573418</v>
      </c>
      <c r="BP54" s="41">
        <v>9986998</v>
      </c>
      <c r="BQ54" s="41">
        <v>111224815</v>
      </c>
      <c r="BR54" s="41">
        <v>0</v>
      </c>
      <c r="BS54" s="42">
        <f>IFERROR(VLOOKUP(A54,'Trans 21-23'!$A$2:$J$229,5,0),0)</f>
        <v>0</v>
      </c>
      <c r="BT54" s="43"/>
      <c r="BU54" s="6">
        <f t="shared" si="0"/>
        <v>3004408432</v>
      </c>
      <c r="BV54" s="6">
        <f t="shared" si="1"/>
        <v>4042</v>
      </c>
      <c r="BW54" s="6">
        <f t="shared" si="2"/>
        <v>568227</v>
      </c>
      <c r="BX54" s="6">
        <f t="shared" si="3"/>
        <v>72374792</v>
      </c>
      <c r="BY54" s="6">
        <f t="shared" si="4"/>
        <v>55105058</v>
      </c>
      <c r="BZ54" s="6">
        <f t="shared" si="5"/>
        <v>114895263</v>
      </c>
      <c r="CA54" s="6">
        <f t="shared" si="6"/>
        <v>53075139</v>
      </c>
      <c r="CB54" s="6">
        <f t="shared" si="7"/>
        <v>2081295</v>
      </c>
      <c r="CC54" s="6">
        <f t="shared" si="8"/>
        <v>18205777</v>
      </c>
      <c r="CD54" s="6">
        <f t="shared" si="9"/>
        <v>0</v>
      </c>
      <c r="CE54" s="44">
        <f t="shared" si="10"/>
        <v>11</v>
      </c>
      <c r="CF54" s="27"/>
      <c r="CG54" s="28" t="str">
        <f t="shared" si="11"/>
        <v/>
      </c>
      <c r="CH54" s="28" t="str">
        <f t="shared" si="12"/>
        <v/>
      </c>
      <c r="CI54" s="28" t="str">
        <f t="shared" si="13"/>
        <v/>
      </c>
      <c r="CJ54" s="28" t="str">
        <f t="shared" si="14"/>
        <v/>
      </c>
      <c r="CK54" s="23" t="str">
        <f t="shared" si="15"/>
        <v/>
      </c>
      <c r="CL54" s="29" t="str">
        <f t="shared" si="16"/>
        <v/>
      </c>
      <c r="CM54" s="29" t="str">
        <f t="shared" si="17"/>
        <v/>
      </c>
      <c r="CN54" s="29" t="str">
        <f t="shared" si="18"/>
        <v/>
      </c>
      <c r="CO54" s="29" t="str">
        <f t="shared" si="19"/>
        <v/>
      </c>
      <c r="CP54" s="29" t="str">
        <f t="shared" si="20"/>
        <v/>
      </c>
      <c r="CQ54" s="29">
        <f t="shared" si="21"/>
        <v>0</v>
      </c>
      <c r="CR54" s="13"/>
      <c r="CS54" s="7">
        <f>VLOOKUP(A54,'Empresas 21-23'!$A$2:$M$228,13,0)</f>
        <v>1</v>
      </c>
      <c r="CT54" s="30"/>
      <c r="CU54" s="6">
        <f t="shared" si="22"/>
        <v>2511871271.5999999</v>
      </c>
      <c r="CV54" s="6">
        <f t="shared" si="23"/>
        <v>114895263</v>
      </c>
      <c r="CW54" s="6">
        <f t="shared" si="24"/>
        <v>232718070</v>
      </c>
      <c r="CX54" s="23">
        <f t="shared" si="58"/>
        <v>0.41252243263777455</v>
      </c>
      <c r="CY54" s="23">
        <f t="shared" si="59"/>
        <v>1.8869149039284269E-2</v>
      </c>
      <c r="CZ54" s="6">
        <f t="shared" si="25"/>
        <v>2607872695.9551678</v>
      </c>
      <c r="DA54" s="6">
        <f t="shared" si="26"/>
        <v>119286454.94696459</v>
      </c>
      <c r="DB54" s="6">
        <f t="shared" si="27"/>
        <v>72374792</v>
      </c>
      <c r="DC54" s="6">
        <f t="shared" si="28"/>
        <v>72374792</v>
      </c>
      <c r="DD54" s="6">
        <f t="shared" si="29"/>
        <v>55105058</v>
      </c>
      <c r="DE54" s="6">
        <f t="shared" si="30"/>
        <v>53075139</v>
      </c>
      <c r="DF54" s="47">
        <f t="shared" si="31"/>
        <v>-11079725.506098123</v>
      </c>
      <c r="DG54" s="30"/>
      <c r="DH54" s="32">
        <f>VLOOKUP(A54,'T_med_comp-USA'!$A$7:$Q$233,17,0)</f>
        <v>8.3844850962185049</v>
      </c>
      <c r="DI54" s="6" t="str">
        <f t="shared" si="32"/>
        <v>8_2013</v>
      </c>
      <c r="DJ54" s="32">
        <f>IF(DI54="","",VLOOKUP(DI54,'CPI USA'!$T:$U,2,FALSE))</f>
        <v>233.87700000000001</v>
      </c>
      <c r="DK54" s="32">
        <f>IF(DI54="","",VLOOKUP(DI54,'PPI USA'!$S:$T,2,FALSE))</f>
        <v>175.2</v>
      </c>
      <c r="DL54" s="32">
        <f>IF(DI54="","",VLOOKUP(DI54,'CPI USA'!$T:$V,3,FALSE))</f>
        <v>0.67305131835944076</v>
      </c>
      <c r="DM54" s="32">
        <f>IF(DI54="","",VLOOKUP(DI54,'CPI USA'!$T:$X,5,FALSE))</f>
        <v>0.50163050295255052</v>
      </c>
      <c r="DN54" s="32">
        <f t="shared" si="33"/>
        <v>1.3675350167423739</v>
      </c>
      <c r="DO54" s="32">
        <f t="shared" si="34"/>
        <v>1.3802235637774118</v>
      </c>
      <c r="DP54" s="32">
        <f t="shared" si="35"/>
        <v>0.28910048962344459</v>
      </c>
      <c r="DQ54" s="32">
        <f>IF(DP54="","",DP54*$DO$1/'CPI USA'!$U$508+(1-DP54)*AVERAGE($DO$1,$DQ$1)/AVERAGE('CPI USA'!$U$508,'PPI USA'!$T$514))</f>
        <v>1.1688932259679872</v>
      </c>
      <c r="DR54" s="6">
        <f t="shared" si="36"/>
        <v>6018508</v>
      </c>
      <c r="DS54" s="32">
        <f t="shared" si="37"/>
        <v>0.2</v>
      </c>
      <c r="DT54" s="28">
        <f>IF(DS54="","",DS54*$DO$1/'CPI USA'!$U$508+(1-DS54)*AVERAGE($DO$1,$DQ$1)/AVERAGE('CPI USA'!$U$508,'PPI USA'!$T$514))</f>
        <v>1.1741595760647974</v>
      </c>
      <c r="DU54" s="6">
        <f t="shared" si="38"/>
        <v>3878010.7306427574</v>
      </c>
      <c r="DV54" s="6">
        <f t="shared" si="39"/>
        <v>360531.49653169629</v>
      </c>
      <c r="DW54" s="6">
        <f t="shared" si="40"/>
        <v>1865366.9701215292</v>
      </c>
      <c r="DX54" s="16">
        <f t="shared" si="41"/>
        <v>0.2</v>
      </c>
      <c r="DY54" s="28">
        <f>IF(DX54="","",DX54*$DO$1/'CPI USA'!$U$508+(1-DX54)*AVERAGE($DO$1,$DQ$1)/AVERAGE('CPI USA'!$U$508,'PPI USA'!$T$514))</f>
        <v>1.1741595760647974</v>
      </c>
      <c r="DZ54" s="30"/>
      <c r="EA54" s="45" t="str">
        <f t="shared" si="42"/>
        <v>C000536</v>
      </c>
      <c r="EB54" s="29" t="str">
        <f t="shared" si="43"/>
        <v/>
      </c>
      <c r="EC54" s="29" t="str">
        <f t="shared" si="44"/>
        <v/>
      </c>
      <c r="ED54" s="29" t="str">
        <f t="shared" si="45"/>
        <v/>
      </c>
      <c r="EE54" s="29" t="str">
        <f t="shared" si="46"/>
        <v/>
      </c>
      <c r="EF54" s="29" t="str">
        <f t="shared" si="47"/>
        <v/>
      </c>
      <c r="EG54" s="29" t="str">
        <f t="shared" si="48"/>
        <v/>
      </c>
      <c r="EH54" s="29" t="str">
        <f t="shared" si="49"/>
        <v/>
      </c>
      <c r="EI54" s="29" t="str">
        <f t="shared" si="50"/>
        <v/>
      </c>
      <c r="EJ54" s="29" t="str">
        <f t="shared" si="51"/>
        <v/>
      </c>
      <c r="EK54" s="29" t="str">
        <f t="shared" si="52"/>
        <v/>
      </c>
      <c r="EL54" s="29" t="str">
        <f>IF(CD54=1,VLOOKUP(EA54,'EIA 2021'!$A$2:$J$213,4,0)*EH54,"")</f>
        <v/>
      </c>
      <c r="EM54" s="29" t="str">
        <f>IF(CD54=1,VLOOKUP(EA54,'EIA 2021'!$A$2:$J$213,7,0)*EH54,"")</f>
        <v/>
      </c>
      <c r="EN54" s="29" t="str">
        <f>IF(CD54=1,VLOOKUP(EA54,'EIA 2021'!$A$2:$J$213,10,0),"")</f>
        <v/>
      </c>
      <c r="EO54" s="28" t="str">
        <f>IF(CD54=1,VLOOKUP(EA54,'EIA 2021'!$A$2:$Z$213,26,0),"")</f>
        <v/>
      </c>
      <c r="EP54" s="23" t="str">
        <f t="shared" si="53"/>
        <v/>
      </c>
      <c r="EQ54" s="32" t="str">
        <f t="shared" si="54"/>
        <v/>
      </c>
      <c r="ER54" s="32" t="str">
        <f t="shared" si="55"/>
        <v/>
      </c>
      <c r="ES54" s="6"/>
      <c r="ET54" s="32"/>
    </row>
    <row r="55" spans="1:150" ht="15.75" customHeight="1">
      <c r="A55" s="7" t="s">
        <v>366</v>
      </c>
      <c r="B55" s="7" t="s">
        <v>367</v>
      </c>
      <c r="C55" s="32" t="s">
        <v>368</v>
      </c>
      <c r="D55" s="40">
        <v>940584853</v>
      </c>
      <c r="E55" s="40">
        <v>0</v>
      </c>
      <c r="F55" s="40">
        <v>76365832</v>
      </c>
      <c r="G55" s="40">
        <v>479682114</v>
      </c>
      <c r="H55" s="40">
        <v>300813705</v>
      </c>
      <c r="I55" s="40">
        <v>2363218</v>
      </c>
      <c r="J55" s="40">
        <v>858366</v>
      </c>
      <c r="K55" s="40">
        <v>39086</v>
      </c>
      <c r="L55" s="40">
        <v>2085049</v>
      </c>
      <c r="M55" s="40">
        <v>1879998</v>
      </c>
      <c r="N55" s="40">
        <v>380631</v>
      </c>
      <c r="O55" s="40">
        <v>17886759</v>
      </c>
      <c r="P55" s="40">
        <v>912011</v>
      </c>
      <c r="Q55" s="40">
        <v>108509</v>
      </c>
      <c r="R55" s="40">
        <v>26808</v>
      </c>
      <c r="S55" s="40">
        <v>1654779</v>
      </c>
      <c r="T55" s="40">
        <v>54066160</v>
      </c>
      <c r="U55" s="40">
        <v>461217</v>
      </c>
      <c r="V55" s="40">
        <v>78436</v>
      </c>
      <c r="W55" s="40">
        <v>293702</v>
      </c>
      <c r="X55" s="40">
        <f>IFERROR(VLOOKUP(A55,'Trans 21-23'!$A$2:$J$229,6,0),0)</f>
        <v>0</v>
      </c>
      <c r="Y55" s="41">
        <v>3719375</v>
      </c>
      <c r="Z55" s="41">
        <v>517763</v>
      </c>
      <c r="AA55" s="41">
        <v>19904710</v>
      </c>
      <c r="AB55" s="41">
        <v>18116067</v>
      </c>
      <c r="AC55" s="41">
        <v>201346</v>
      </c>
      <c r="AD55" s="41">
        <v>76840894</v>
      </c>
      <c r="AE55" s="41">
        <v>0</v>
      </c>
      <c r="AF55" s="41">
        <v>1800676201</v>
      </c>
      <c r="AG55" s="41">
        <v>546238</v>
      </c>
      <c r="AH55" s="41">
        <v>455091</v>
      </c>
      <c r="AI55" s="41">
        <v>24527882</v>
      </c>
      <c r="AJ55" s="41">
        <v>41555</v>
      </c>
      <c r="AK55" s="41">
        <v>0</v>
      </c>
      <c r="AL55" s="41">
        <v>6204614</v>
      </c>
      <c r="AM55" s="41">
        <v>5488715</v>
      </c>
      <c r="AN55" s="41">
        <v>4682106</v>
      </c>
      <c r="AO55" s="41">
        <v>76946</v>
      </c>
      <c r="AP55" s="41">
        <v>0</v>
      </c>
      <c r="AQ55" s="41">
        <v>16452381</v>
      </c>
      <c r="AR55" s="41">
        <v>7578855</v>
      </c>
      <c r="AS55" s="41">
        <v>24031236</v>
      </c>
      <c r="AT55" s="41">
        <v>0</v>
      </c>
      <c r="AU55" s="41">
        <v>4563</v>
      </c>
      <c r="AV55" s="41">
        <v>0</v>
      </c>
      <c r="AW55" s="41">
        <v>535257956</v>
      </c>
      <c r="AX55" s="41">
        <v>79609887</v>
      </c>
      <c r="AY55" s="41">
        <v>253826448</v>
      </c>
      <c r="AZ55" s="41">
        <v>91646024</v>
      </c>
      <c r="BA55" s="41">
        <v>47571521</v>
      </c>
      <c r="BB55" s="41">
        <v>2525610276</v>
      </c>
      <c r="BC55" s="41">
        <v>10134663920</v>
      </c>
      <c r="BD55" s="41">
        <v>334941348</v>
      </c>
      <c r="BE55" s="41">
        <v>811978546</v>
      </c>
      <c r="BF55" s="41">
        <v>71236667</v>
      </c>
      <c r="BG55" s="41">
        <v>0</v>
      </c>
      <c r="BH55" s="41">
        <v>28470973</v>
      </c>
      <c r="BI55" s="41">
        <v>4471779</v>
      </c>
      <c r="BJ55" s="41">
        <v>3611760</v>
      </c>
      <c r="BK55" s="41">
        <v>0</v>
      </c>
      <c r="BL55" s="41">
        <v>0</v>
      </c>
      <c r="BM55" s="41">
        <v>4570324</v>
      </c>
      <c r="BN55" s="41">
        <v>87941032</v>
      </c>
      <c r="BO55" s="41">
        <v>4462894</v>
      </c>
      <c r="BP55" s="41">
        <v>14956212</v>
      </c>
      <c r="BQ55" s="41">
        <v>148580981</v>
      </c>
      <c r="BR55" s="41">
        <v>0</v>
      </c>
      <c r="BS55" s="42">
        <f>IFERROR(VLOOKUP(A55,'Trans 21-23'!$A$2:$J$229,5,0),0)</f>
        <v>0</v>
      </c>
      <c r="BT55" s="43"/>
      <c r="BU55" s="6">
        <f t="shared" si="0"/>
        <v>2525610276</v>
      </c>
      <c r="BV55" s="6">
        <f t="shared" si="1"/>
        <v>4563</v>
      </c>
      <c r="BW55" s="6">
        <f t="shared" si="2"/>
        <v>546238</v>
      </c>
      <c r="BX55" s="6">
        <f t="shared" si="3"/>
        <v>83094729</v>
      </c>
      <c r="BY55" s="6">
        <f t="shared" si="4"/>
        <v>42459261</v>
      </c>
      <c r="BZ55" s="6">
        <f t="shared" si="5"/>
        <v>91646024</v>
      </c>
      <c r="CA55" s="6">
        <f t="shared" si="6"/>
        <v>76840894</v>
      </c>
      <c r="CB55" s="6">
        <f t="shared" si="7"/>
        <v>455091</v>
      </c>
      <c r="CC55" s="6">
        <f t="shared" si="8"/>
        <v>16452381</v>
      </c>
      <c r="CD55" s="6">
        <f t="shared" si="9"/>
        <v>1</v>
      </c>
      <c r="CE55" s="44">
        <f t="shared" si="10"/>
        <v>12</v>
      </c>
      <c r="CF55" s="27"/>
      <c r="CG55" s="28">
        <f t="shared" si="11"/>
        <v>553.49775936883634</v>
      </c>
      <c r="CH55" s="28">
        <f t="shared" si="12"/>
        <v>8.3535015872202223</v>
      </c>
      <c r="CI55" s="28">
        <f t="shared" si="13"/>
        <v>152.12183883215741</v>
      </c>
      <c r="CJ55" s="28">
        <f t="shared" si="14"/>
        <v>167.77672736060106</v>
      </c>
      <c r="CK55" s="23">
        <f t="shared" si="15"/>
        <v>2.7661102669577126E-2</v>
      </c>
      <c r="CL55" s="29" t="str">
        <f t="shared" si="16"/>
        <v/>
      </c>
      <c r="CM55" s="29" t="str">
        <f t="shared" si="17"/>
        <v/>
      </c>
      <c r="CN55" s="29" t="str">
        <f t="shared" si="18"/>
        <v/>
      </c>
      <c r="CO55" s="29" t="str">
        <f t="shared" si="19"/>
        <v/>
      </c>
      <c r="CP55" s="29" t="str">
        <f t="shared" si="20"/>
        <v/>
      </c>
      <c r="CQ55" s="29">
        <f t="shared" si="21"/>
        <v>0</v>
      </c>
      <c r="CR55" s="13"/>
      <c r="CS55" s="7">
        <f>VLOOKUP(A55,'Empresas 21-23'!$A$2:$M$228,13,0)</f>
        <v>1</v>
      </c>
      <c r="CT55" s="30"/>
      <c r="CU55" s="6">
        <f t="shared" si="22"/>
        <v>2186330930</v>
      </c>
      <c r="CV55" s="6">
        <f t="shared" si="23"/>
        <v>91646024</v>
      </c>
      <c r="CW55" s="6">
        <f t="shared" si="24"/>
        <v>334941348</v>
      </c>
      <c r="CX55" s="23">
        <f t="shared" si="58"/>
        <v>0.22310130862753572</v>
      </c>
      <c r="CY55" s="23">
        <f t="shared" si="59"/>
        <v>9.3518998447826678E-3</v>
      </c>
      <c r="CZ55" s="6">
        <f t="shared" si="25"/>
        <v>2261056783.0522709</v>
      </c>
      <c r="DA55" s="6">
        <f t="shared" si="26"/>
        <v>94778361.940372497</v>
      </c>
      <c r="DB55" s="6">
        <f t="shared" si="27"/>
        <v>83094729</v>
      </c>
      <c r="DC55" s="6">
        <f t="shared" si="28"/>
        <v>83094729</v>
      </c>
      <c r="DD55" s="6">
        <f t="shared" si="29"/>
        <v>42459261</v>
      </c>
      <c r="DE55" s="6">
        <f t="shared" si="30"/>
        <v>76840894</v>
      </c>
      <c r="DF55" s="6">
        <f t="shared" si="31"/>
        <v>23758610.708057825</v>
      </c>
      <c r="DG55" s="30"/>
      <c r="DH55" s="32">
        <f>VLOOKUP(A55,'T_med_comp-USA'!$A$7:$Q$233,17,0)</f>
        <v>11.033614909800562</v>
      </c>
      <c r="DI55" s="6" t="str">
        <f t="shared" si="32"/>
        <v>12_2010</v>
      </c>
      <c r="DJ55" s="32">
        <f>IF(DI55="","",VLOOKUP(DI55,'CPI USA'!$T:$U,2,FALSE))</f>
        <v>218.05600000000001</v>
      </c>
      <c r="DK55" s="32">
        <f>IF(DI55="","",VLOOKUP(DI55,'PPI USA'!$S:$T,2,FALSE))</f>
        <v>160.80000000000001</v>
      </c>
      <c r="DL55" s="32">
        <f>IF(DI55="","",VLOOKUP(DI55,'CPI USA'!$T:$V,3,FALSE))</f>
        <v>0.67050107279443949</v>
      </c>
      <c r="DM55" s="32">
        <f>IF(DI55="","",VLOOKUP(DI55,'CPI USA'!$T:$X,5,FALSE))</f>
        <v>0.4987389730136107</v>
      </c>
      <c r="DN55" s="32">
        <f t="shared" si="33"/>
        <v>1.4703278680244813</v>
      </c>
      <c r="DO55" s="32">
        <f t="shared" si="34"/>
        <v>1.4857204383544427</v>
      </c>
      <c r="DP55" s="32">
        <f t="shared" si="35"/>
        <v>0.36002088862742587</v>
      </c>
      <c r="DQ55" s="32">
        <f>IF(DP55="","",DP55*$DO$1/'CPI USA'!$U$508+(1-DP55)*AVERAGE($DO$1,$DQ$1)/AVERAGE('CPI USA'!$U$508,'PPI USA'!$T$514))</f>
        <v>1.1647014235240398</v>
      </c>
      <c r="DR55" s="6">
        <f t="shared" si="36"/>
        <v>8083539</v>
      </c>
      <c r="DS55" s="32">
        <f t="shared" si="37"/>
        <v>0.2000451252063189</v>
      </c>
      <c r="DT55" s="28">
        <f>IF(DS55="","",DS55*$DO$1/'CPI USA'!$U$508+(1-DS55)*AVERAGE($DO$1,$DQ$1)/AVERAGE('CPI USA'!$U$508,'PPI USA'!$T$514))</f>
        <v>1.1741569089062254</v>
      </c>
      <c r="DU55" s="6">
        <f t="shared" si="38"/>
        <v>4802262.0509163914</v>
      </c>
      <c r="DV55" s="6">
        <f t="shared" si="39"/>
        <v>511542.39714860049</v>
      </c>
      <c r="DW55" s="6">
        <f t="shared" si="40"/>
        <v>2208792.9154896108</v>
      </c>
      <c r="DX55" s="16">
        <f t="shared" si="41"/>
        <v>0.2</v>
      </c>
      <c r="DY55" s="28">
        <f>IF(DX55="","",DX55*$DO$1/'CPI USA'!$U$508+(1-DX55)*AVERAGE($DO$1,$DQ$1)/AVERAGE('CPI USA'!$U$508,'PPI USA'!$T$514))</f>
        <v>1.1741595760647974</v>
      </c>
      <c r="DZ55" s="30"/>
      <c r="EA55" s="45" t="str">
        <f t="shared" si="42"/>
        <v>C000537</v>
      </c>
      <c r="EB55" s="29">
        <f t="shared" si="43"/>
        <v>3324494799.3075376</v>
      </c>
      <c r="EC55" s="29">
        <f t="shared" si="44"/>
        <v>140814149.44856626</v>
      </c>
      <c r="ED55" s="29">
        <f t="shared" si="45"/>
        <v>96780549.153644308</v>
      </c>
      <c r="EE55" s="29">
        <f t="shared" si="46"/>
        <v>49853834.650202647</v>
      </c>
      <c r="EF55" s="29">
        <f t="shared" si="47"/>
        <v>27896400.276861731</v>
      </c>
      <c r="EG55" s="29">
        <f t="shared" si="48"/>
        <v>4563</v>
      </c>
      <c r="EH55" s="29">
        <f t="shared" si="49"/>
        <v>546238</v>
      </c>
      <c r="EI55" s="29">
        <f t="shared" si="50"/>
        <v>455091</v>
      </c>
      <c r="EJ55" s="29">
        <f t="shared" si="51"/>
        <v>16452381</v>
      </c>
      <c r="EK55" s="29">
        <f t="shared" si="52"/>
        <v>16792057.964467004</v>
      </c>
      <c r="EL55" s="29">
        <f>IF(CD55=1,VLOOKUP(EA55,'EIA 2021'!$A$2:$J$213,4,0)*EH55,"")</f>
        <v>78658272</v>
      </c>
      <c r="EM55" s="29">
        <f>IF(CD55=1,VLOOKUP(EA55,'EIA 2021'!$A$2:$J$213,7,0)*EH55,"")</f>
        <v>938983.12200000009</v>
      </c>
      <c r="EN55" s="29">
        <f>IF(CD55=1,VLOOKUP(EA55,'EIA 2021'!$A$2:$J$213,10,0),"")</f>
        <v>114638</v>
      </c>
      <c r="EO55" s="28">
        <f>IF(CD55=1,VLOOKUP(EA55,'EIA 2021'!$A$2:$Z$213,26,0),"")</f>
        <v>0</v>
      </c>
      <c r="EP55" s="23">
        <f t="shared" si="53"/>
        <v>2.0228429724681845E-2</v>
      </c>
      <c r="EQ55" s="32">
        <f t="shared" si="54"/>
        <v>115414.03553299513</v>
      </c>
      <c r="ER55" s="32">
        <f t="shared" si="55"/>
        <v>339676.96446700487</v>
      </c>
      <c r="ES55" s="6"/>
      <c r="ET55" s="32"/>
    </row>
    <row r="56" spans="1:150" ht="15.75" customHeight="1">
      <c r="A56" s="7" t="s">
        <v>369</v>
      </c>
      <c r="B56" s="7" t="s">
        <v>370</v>
      </c>
      <c r="C56" s="32" t="s">
        <v>371</v>
      </c>
      <c r="D56" s="40">
        <v>8966693</v>
      </c>
      <c r="E56" s="40">
        <v>0</v>
      </c>
      <c r="F56" s="40">
        <v>0</v>
      </c>
      <c r="G56" s="40">
        <v>106122196</v>
      </c>
      <c r="H56" s="40">
        <v>106511966</v>
      </c>
      <c r="I56" s="40">
        <v>240944</v>
      </c>
      <c r="J56" s="40">
        <v>119365</v>
      </c>
      <c r="K56" s="40">
        <v>0</v>
      </c>
      <c r="L56" s="40">
        <v>10059</v>
      </c>
      <c r="M56" s="40">
        <v>72892</v>
      </c>
      <c r="N56" s="40">
        <v>44229</v>
      </c>
      <c r="O56" s="40">
        <v>725104</v>
      </c>
      <c r="P56" s="40">
        <v>97564</v>
      </c>
      <c r="Q56" s="40">
        <v>1005</v>
      </c>
      <c r="R56" s="40">
        <v>4760</v>
      </c>
      <c r="S56" s="40">
        <v>141464</v>
      </c>
      <c r="T56" s="40">
        <v>11662580</v>
      </c>
      <c r="U56" s="40">
        <v>271906</v>
      </c>
      <c r="V56" s="40">
        <v>30485</v>
      </c>
      <c r="W56" s="40">
        <v>154319</v>
      </c>
      <c r="X56" s="40">
        <f>IFERROR(VLOOKUP(A56,'Trans 21-23'!$A$2:$J$229,6,0),0)</f>
        <v>0</v>
      </c>
      <c r="Y56" s="41">
        <v>124997</v>
      </c>
      <c r="Z56" s="41">
        <v>18268</v>
      </c>
      <c r="AA56" s="41">
        <v>1491645</v>
      </c>
      <c r="AB56" s="41">
        <v>2003555</v>
      </c>
      <c r="AC56" s="41">
        <v>5513</v>
      </c>
      <c r="AD56" s="41">
        <v>9483938</v>
      </c>
      <c r="AE56" s="41">
        <v>0</v>
      </c>
      <c r="AF56" s="41">
        <v>229267993</v>
      </c>
      <c r="AG56" s="41">
        <v>41695</v>
      </c>
      <c r="AH56" s="41">
        <v>208547</v>
      </c>
      <c r="AI56" s="41">
        <v>5272034</v>
      </c>
      <c r="AJ56" s="41">
        <v>0</v>
      </c>
      <c r="AK56" s="41">
        <v>0</v>
      </c>
      <c r="AL56" s="41">
        <v>398799</v>
      </c>
      <c r="AM56" s="41">
        <v>387267</v>
      </c>
      <c r="AN56" s="41">
        <v>3868412</v>
      </c>
      <c r="AO56" s="41">
        <v>5564</v>
      </c>
      <c r="AP56" s="41">
        <v>0</v>
      </c>
      <c r="AQ56" s="41">
        <v>4660041</v>
      </c>
      <c r="AR56" s="41">
        <v>403446</v>
      </c>
      <c r="AS56" s="41">
        <v>5063487</v>
      </c>
      <c r="AT56" s="41">
        <v>0</v>
      </c>
      <c r="AU56" s="41">
        <v>663</v>
      </c>
      <c r="AV56" s="41">
        <v>0</v>
      </c>
      <c r="AW56" s="41">
        <v>44127127</v>
      </c>
      <c r="AX56" s="41">
        <v>21669906</v>
      </c>
      <c r="AY56" s="41">
        <v>31951638</v>
      </c>
      <c r="AZ56" s="41">
        <v>5771296</v>
      </c>
      <c r="BA56" s="41">
        <v>1656784</v>
      </c>
      <c r="BB56" s="41">
        <v>244507646</v>
      </c>
      <c r="BC56" s="41">
        <v>1475492671</v>
      </c>
      <c r="BD56" s="41">
        <v>11595423</v>
      </c>
      <c r="BE56" s="41">
        <v>71605509</v>
      </c>
      <c r="BF56" s="41">
        <v>8631094</v>
      </c>
      <c r="BG56" s="41">
        <v>0</v>
      </c>
      <c r="BH56" s="41">
        <v>1911102</v>
      </c>
      <c r="BI56" s="41">
        <v>217134</v>
      </c>
      <c r="BJ56" s="41">
        <v>0</v>
      </c>
      <c r="BK56" s="41">
        <v>0</v>
      </c>
      <c r="BL56" s="41">
        <v>0</v>
      </c>
      <c r="BM56" s="41">
        <v>23482</v>
      </c>
      <c r="BN56" s="41">
        <v>11393358</v>
      </c>
      <c r="BO56" s="41">
        <v>231111</v>
      </c>
      <c r="BP56" s="41">
        <v>327994</v>
      </c>
      <c r="BQ56" s="41">
        <v>14148776</v>
      </c>
      <c r="BR56" s="41">
        <v>0</v>
      </c>
      <c r="BS56" s="42">
        <f>IFERROR(VLOOKUP(A56,'Trans 21-23'!$A$2:$J$229,5,0),0)</f>
        <v>0</v>
      </c>
      <c r="BT56" s="43"/>
      <c r="BU56" s="6">
        <f t="shared" si="0"/>
        <v>244507646</v>
      </c>
      <c r="BV56" s="6">
        <f t="shared" si="1"/>
        <v>663</v>
      </c>
      <c r="BW56" s="6">
        <f t="shared" si="2"/>
        <v>41695</v>
      </c>
      <c r="BX56" s="6">
        <f t="shared" si="3"/>
        <v>13576676</v>
      </c>
      <c r="BY56" s="6">
        <f t="shared" si="4"/>
        <v>3643978</v>
      </c>
      <c r="BZ56" s="6">
        <f t="shared" si="5"/>
        <v>5771296</v>
      </c>
      <c r="CA56" s="6">
        <f t="shared" si="6"/>
        <v>9483938</v>
      </c>
      <c r="CB56" s="6">
        <f t="shared" si="7"/>
        <v>208547</v>
      </c>
      <c r="CC56" s="6">
        <f t="shared" si="8"/>
        <v>4660041</v>
      </c>
      <c r="CD56" s="6">
        <f t="shared" si="9"/>
        <v>1</v>
      </c>
      <c r="CE56" s="44">
        <f t="shared" si="10"/>
        <v>16</v>
      </c>
      <c r="CF56" s="27"/>
      <c r="CG56" s="28">
        <f t="shared" si="11"/>
        <v>368.78981297134237</v>
      </c>
      <c r="CH56" s="28">
        <f t="shared" si="12"/>
        <v>15.901187192708958</v>
      </c>
      <c r="CI56" s="28">
        <f t="shared" si="13"/>
        <v>325.6188032138146</v>
      </c>
      <c r="CJ56" s="28">
        <f t="shared" si="14"/>
        <v>138.41698045329176</v>
      </c>
      <c r="CK56" s="23">
        <f t="shared" si="15"/>
        <v>4.4752181364927902E-2</v>
      </c>
      <c r="CL56" s="29" t="str">
        <f t="shared" si="16"/>
        <v/>
      </c>
      <c r="CM56" s="29" t="str">
        <f t="shared" si="17"/>
        <v/>
      </c>
      <c r="CN56" s="29" t="str">
        <f t="shared" si="18"/>
        <v/>
      </c>
      <c r="CO56" s="29" t="str">
        <f t="shared" si="19"/>
        <v/>
      </c>
      <c r="CP56" s="29" t="str">
        <f t="shared" si="20"/>
        <v/>
      </c>
      <c r="CQ56" s="29">
        <f t="shared" si="21"/>
        <v>0</v>
      </c>
      <c r="CR56" s="13"/>
      <c r="CS56" s="7" t="str">
        <f>VLOOKUP(A56,'Empresas 21-23'!$A$2:$M$228,13,0)</f>
        <v/>
      </c>
      <c r="CT56" s="30"/>
      <c r="CU56" s="6">
        <f t="shared" si="22"/>
        <v>204906639.59999999</v>
      </c>
      <c r="CV56" s="6">
        <f t="shared" si="23"/>
        <v>5771296</v>
      </c>
      <c r="CW56" s="6">
        <f t="shared" si="24"/>
        <v>11595423</v>
      </c>
      <c r="CX56" s="23">
        <f t="shared" si="58"/>
        <v>0.13997337578163135</v>
      </c>
      <c r="CY56" s="23">
        <f t="shared" si="59"/>
        <v>3.9424187782884611E-3</v>
      </c>
      <c r="CZ56" s="6">
        <f t="shared" si="25"/>
        <v>206529690.10092595</v>
      </c>
      <c r="DA56" s="6">
        <f t="shared" si="26"/>
        <v>5817010.0133773983</v>
      </c>
      <c r="DB56" s="6">
        <f t="shared" si="27"/>
        <v>13576676</v>
      </c>
      <c r="DC56" s="6">
        <f t="shared" si="28"/>
        <v>13576676</v>
      </c>
      <c r="DD56" s="6">
        <f t="shared" si="29"/>
        <v>3643978</v>
      </c>
      <c r="DE56" s="6">
        <f t="shared" si="30"/>
        <v>9483938</v>
      </c>
      <c r="DF56" s="6">
        <f t="shared" si="31"/>
        <v>1565782.9903205775</v>
      </c>
      <c r="DG56" s="30"/>
      <c r="DH56" s="32">
        <f>VLOOKUP(A56,'T_med_comp-USA'!$A$7:$Q$233,17,0)</f>
        <v>8.0656661752939076</v>
      </c>
      <c r="DI56" s="6" t="str">
        <f t="shared" si="32"/>
        <v>12_2013</v>
      </c>
      <c r="DJ56" s="32">
        <f>IF(DI56="","",VLOOKUP(DI56,'CPI USA'!$T:$U,2,FALSE))</f>
        <v>233.04900000000001</v>
      </c>
      <c r="DK56" s="32">
        <f>IF(DI56="","",VLOOKUP(DI56,'PPI USA'!$S:$T,2,FALSE))</f>
        <v>167.2</v>
      </c>
      <c r="DL56" s="32">
        <f>IF(DI56="","",VLOOKUP(DI56,'CPI USA'!$T:$V,3,FALSE))</f>
        <v>0.67305131835944076</v>
      </c>
      <c r="DM56" s="32">
        <f>IF(DI56="","",VLOOKUP(DI56,'CPI USA'!$T:$X,5,FALSE))</f>
        <v>0.50163050295255052</v>
      </c>
      <c r="DN56" s="32">
        <f t="shared" si="33"/>
        <v>1.3809682329132076</v>
      </c>
      <c r="DO56" s="32">
        <f t="shared" si="34"/>
        <v>1.3981975138665637</v>
      </c>
      <c r="DP56" s="32">
        <f t="shared" si="35"/>
        <v>0.2</v>
      </c>
      <c r="DQ56" s="32">
        <f>IF(DP56="","",DP56*$DO$1/'CPI USA'!$U$508+(1-DP56)*AVERAGE($DO$1,$DQ$1)/AVERAGE('CPI USA'!$U$508,'PPI USA'!$T$514))</f>
        <v>1.1741595760647974</v>
      </c>
      <c r="DR56" s="6">
        <f t="shared" si="36"/>
        <v>217134</v>
      </c>
      <c r="DS56" s="32">
        <f t="shared" si="37"/>
        <v>0.2</v>
      </c>
      <c r="DT56" s="28">
        <f>IF(DS56="","",DS56*$DO$1/'CPI USA'!$U$508+(1-DS56)*AVERAGE($DO$1,$DQ$1)/AVERAGE('CPI USA'!$U$508,'PPI USA'!$T$514))</f>
        <v>1.1741595760647974</v>
      </c>
      <c r="DU56" s="6">
        <f t="shared" si="38"/>
        <v>23958.325636568254</v>
      </c>
      <c r="DV56" s="6">
        <f t="shared" si="39"/>
        <v>557.27346744923693</v>
      </c>
      <c r="DW56" s="6">
        <f t="shared" si="40"/>
        <v>4579.4207971642581</v>
      </c>
      <c r="DX56" s="16">
        <f t="shared" si="41"/>
        <v>0.2</v>
      </c>
      <c r="DY56" s="28">
        <f>IF(DX56="","",DX56*$DO$1/'CPI USA'!$U$508+(1-DX56)*AVERAGE($DO$1,$DQ$1)/AVERAGE('CPI USA'!$U$508,'PPI USA'!$T$514))</f>
        <v>1.1741595760647974</v>
      </c>
      <c r="DZ56" s="30"/>
      <c r="EA56" s="45" t="str">
        <f t="shared" si="42"/>
        <v>C000538</v>
      </c>
      <c r="EB56" s="29">
        <f t="shared" si="43"/>
        <v>285210941.18278807</v>
      </c>
      <c r="EC56" s="29">
        <f t="shared" si="44"/>
        <v>8133328.9388411846</v>
      </c>
      <c r="ED56" s="29">
        <f t="shared" si="45"/>
        <v>15941184.136529109</v>
      </c>
      <c r="EE56" s="29">
        <f t="shared" si="46"/>
        <v>4278611.6636694483</v>
      </c>
      <c r="EF56" s="29">
        <f t="shared" si="47"/>
        <v>1838479.0921242801</v>
      </c>
      <c r="EG56" s="29">
        <f t="shared" si="48"/>
        <v>663</v>
      </c>
      <c r="EH56" s="29">
        <f t="shared" si="49"/>
        <v>41695</v>
      </c>
      <c r="EI56" s="29">
        <f t="shared" si="50"/>
        <v>208547</v>
      </c>
      <c r="EJ56" s="29">
        <f t="shared" si="51"/>
        <v>4660041</v>
      </c>
      <c r="EK56" s="29">
        <f t="shared" si="52"/>
        <v>4862444.1522842636</v>
      </c>
      <c r="EL56" s="29">
        <f>IF(CD56=1,VLOOKUP(EA56,'EIA 2021'!$A$2:$J$213,4,0)*EH56,"")</f>
        <v>35961937.5</v>
      </c>
      <c r="EM56" s="29">
        <f>IF(CD56=1,VLOOKUP(EA56,'EIA 2021'!$A$2:$J$213,7,0)*EH56,"")</f>
        <v>106238.86</v>
      </c>
      <c r="EN56" s="29">
        <f>IF(CD56=1,VLOOKUP(EA56,'EIA 2021'!$A$2:$J$213,10,0),"")</f>
        <v>42029</v>
      </c>
      <c r="EO56" s="28">
        <f>IF(CD56=1,VLOOKUP(EA56,'EIA 2021'!$A$2:$Z$213,26,0),"")</f>
        <v>0</v>
      </c>
      <c r="EP56" s="23">
        <f t="shared" si="53"/>
        <v>4.1625805036584258E-2</v>
      </c>
      <c r="EQ56" s="32">
        <f t="shared" si="54"/>
        <v>6143.8477157360176</v>
      </c>
      <c r="ER56" s="32">
        <f t="shared" si="55"/>
        <v>202403.15228426398</v>
      </c>
      <c r="ES56" s="6"/>
      <c r="ET56" s="32"/>
    </row>
    <row r="57" spans="1:150" ht="15.75" customHeight="1">
      <c r="A57" s="7" t="s">
        <v>372</v>
      </c>
      <c r="B57" s="7" t="s">
        <v>373</v>
      </c>
      <c r="C57" s="32" t="s">
        <v>374</v>
      </c>
      <c r="D57" s="40">
        <v>158440566</v>
      </c>
      <c r="E57" s="40">
        <v>0</v>
      </c>
      <c r="F57" s="40">
        <v>80903811</v>
      </c>
      <c r="G57" s="40">
        <v>202901328</v>
      </c>
      <c r="H57" s="40">
        <v>205985841</v>
      </c>
      <c r="I57" s="40">
        <v>4212325</v>
      </c>
      <c r="J57" s="40">
        <v>722162</v>
      </c>
      <c r="K57" s="40">
        <v>0</v>
      </c>
      <c r="L57" s="40">
        <v>768468</v>
      </c>
      <c r="M57" s="40">
        <v>2881683</v>
      </c>
      <c r="N57" s="40">
        <v>2994944</v>
      </c>
      <c r="O57" s="40">
        <v>5427741</v>
      </c>
      <c r="P57" s="40">
        <v>0</v>
      </c>
      <c r="Q57" s="40">
        <v>1994763</v>
      </c>
      <c r="R57" s="40">
        <v>54963</v>
      </c>
      <c r="S57" s="40">
        <v>2529528</v>
      </c>
      <c r="T57" s="40">
        <v>38069848</v>
      </c>
      <c r="U57" s="40">
        <v>1866695</v>
      </c>
      <c r="V57" s="40">
        <v>21281</v>
      </c>
      <c r="W57" s="40">
        <v>319458</v>
      </c>
      <c r="X57" s="40">
        <f>IFERROR(VLOOKUP(A57,'Trans 21-23'!$A$2:$J$229,6,0),0)</f>
        <v>4320374</v>
      </c>
      <c r="Y57" s="41">
        <v>1450761</v>
      </c>
      <c r="Z57" s="41">
        <v>629689</v>
      </c>
      <c r="AA57" s="41">
        <v>16035476</v>
      </c>
      <c r="AB57" s="41">
        <v>449567</v>
      </c>
      <c r="AC57" s="41">
        <v>714027</v>
      </c>
      <c r="AD57" s="41">
        <v>185266840</v>
      </c>
      <c r="AE57" s="41">
        <v>0</v>
      </c>
      <c r="AF57" s="41">
        <v>910002413</v>
      </c>
      <c r="AG57" s="41">
        <v>481135</v>
      </c>
      <c r="AH57" s="41">
        <v>890707</v>
      </c>
      <c r="AI57" s="41">
        <v>16622367</v>
      </c>
      <c r="AJ57" s="41">
        <v>0</v>
      </c>
      <c r="AK57" s="41">
        <v>0</v>
      </c>
      <c r="AL57" s="41">
        <v>3546813</v>
      </c>
      <c r="AM57" s="41">
        <v>3698032</v>
      </c>
      <c r="AN57" s="41">
        <v>8253705</v>
      </c>
      <c r="AO57" s="41">
        <v>43459</v>
      </c>
      <c r="AP57" s="41">
        <v>18026</v>
      </c>
      <c r="AQ57" s="41">
        <v>15607008</v>
      </c>
      <c r="AR57" s="41">
        <v>124652</v>
      </c>
      <c r="AS57" s="41">
        <v>15731660</v>
      </c>
      <c r="AT57" s="41">
        <v>17655</v>
      </c>
      <c r="AU57" s="41">
        <v>5684</v>
      </c>
      <c r="AV57" s="41">
        <v>0</v>
      </c>
      <c r="AW57" s="41">
        <v>328284427</v>
      </c>
      <c r="AX57" s="41">
        <v>5056449</v>
      </c>
      <c r="AY57" s="41">
        <v>498298376</v>
      </c>
      <c r="AZ57" s="41">
        <v>84551257</v>
      </c>
      <c r="BA57" s="41">
        <v>54325335</v>
      </c>
      <c r="BB57" s="41">
        <v>2640161323</v>
      </c>
      <c r="BC57" s="41">
        <v>7817313585</v>
      </c>
      <c r="BD57" s="41">
        <v>117200963</v>
      </c>
      <c r="BE57" s="41">
        <v>1091906408</v>
      </c>
      <c r="BF57" s="41">
        <v>79237036</v>
      </c>
      <c r="BG57" s="41">
        <v>0</v>
      </c>
      <c r="BH57" s="41">
        <v>21441184</v>
      </c>
      <c r="BI57" s="41">
        <v>6593738</v>
      </c>
      <c r="BJ57" s="41">
        <v>146258</v>
      </c>
      <c r="BK57" s="41">
        <v>0</v>
      </c>
      <c r="BL57" s="41">
        <v>0</v>
      </c>
      <c r="BM57" s="41">
        <v>25078794</v>
      </c>
      <c r="BN57" s="41">
        <v>104578479</v>
      </c>
      <c r="BO57" s="41">
        <v>29522137</v>
      </c>
      <c r="BP57" s="41">
        <v>93810036</v>
      </c>
      <c r="BQ57" s="41">
        <v>337221990</v>
      </c>
      <c r="BR57" s="41">
        <v>29318</v>
      </c>
      <c r="BS57" s="42">
        <f>IFERROR(VLOOKUP(A57,'Trans 21-23'!$A$2:$J$229,5,0),0)</f>
        <v>275275302</v>
      </c>
      <c r="BT57" s="43"/>
      <c r="BU57" s="6">
        <f t="shared" si="0"/>
        <v>2640161323</v>
      </c>
      <c r="BV57" s="6">
        <f t="shared" si="1"/>
        <v>5684</v>
      </c>
      <c r="BW57" s="6">
        <f t="shared" si="2"/>
        <v>481135</v>
      </c>
      <c r="BX57" s="6">
        <f t="shared" si="3"/>
        <v>61863859</v>
      </c>
      <c r="BY57" s="6">
        <f t="shared" si="4"/>
        <v>19279520</v>
      </c>
      <c r="BZ57" s="6">
        <f t="shared" si="5"/>
        <v>84551257</v>
      </c>
      <c r="CA57" s="6">
        <f t="shared" si="6"/>
        <v>185266840</v>
      </c>
      <c r="CB57" s="6">
        <f t="shared" si="7"/>
        <v>890707</v>
      </c>
      <c r="CC57" s="6">
        <f t="shared" si="8"/>
        <v>15607008</v>
      </c>
      <c r="CD57" s="6">
        <f t="shared" si="9"/>
        <v>1</v>
      </c>
      <c r="CE57" s="44">
        <f t="shared" si="10"/>
        <v>10</v>
      </c>
      <c r="CF57" s="27"/>
      <c r="CG57" s="28">
        <f t="shared" si="11"/>
        <v>464.49002867698806</v>
      </c>
      <c r="CH57" s="28">
        <f t="shared" si="12"/>
        <v>11.813732112608728</v>
      </c>
      <c r="CI57" s="28">
        <f t="shared" si="13"/>
        <v>128.5790038138984</v>
      </c>
      <c r="CJ57" s="28">
        <f t="shared" si="14"/>
        <v>175.73291695677929</v>
      </c>
      <c r="CK57" s="23">
        <f t="shared" si="15"/>
        <v>5.7070964530805651E-2</v>
      </c>
      <c r="CL57" s="29" t="str">
        <f t="shared" si="16"/>
        <v/>
      </c>
      <c r="CM57" s="29" t="str">
        <f t="shared" si="17"/>
        <v/>
      </c>
      <c r="CN57" s="29" t="str">
        <f t="shared" si="18"/>
        <v/>
      </c>
      <c r="CO57" s="29" t="str">
        <f t="shared" si="19"/>
        <v/>
      </c>
      <c r="CP57" s="29" t="str">
        <f t="shared" si="20"/>
        <v/>
      </c>
      <c r="CQ57" s="29">
        <f t="shared" si="21"/>
        <v>0</v>
      </c>
      <c r="CR57" s="13"/>
      <c r="CS57" s="7">
        <f>VLOOKUP(A57,'Empresas 21-23'!$A$2:$M$228,13,0)</f>
        <v>1</v>
      </c>
      <c r="CT57" s="30"/>
      <c r="CU57" s="6">
        <f t="shared" si="22"/>
        <v>2474547138</v>
      </c>
      <c r="CV57" s="6">
        <f t="shared" si="23"/>
        <v>84551257</v>
      </c>
      <c r="CW57" s="6">
        <f t="shared" si="24"/>
        <v>117200963</v>
      </c>
      <c r="CX57" s="23">
        <f t="shared" si="58"/>
        <v>0.32136505782135821</v>
      </c>
      <c r="CY57" s="23">
        <f t="shared" si="59"/>
        <v>1.0980522123589272E-2</v>
      </c>
      <c r="CZ57" s="6">
        <f t="shared" si="25"/>
        <v>2512211432.251214</v>
      </c>
      <c r="DA57" s="6">
        <f t="shared" si="26"/>
        <v>85838184.767127469</v>
      </c>
      <c r="DB57" s="6">
        <f t="shared" si="27"/>
        <v>61863859</v>
      </c>
      <c r="DC57" s="6">
        <f t="shared" si="28"/>
        <v>66184233</v>
      </c>
      <c r="DD57" s="6">
        <f t="shared" si="29"/>
        <v>19279520</v>
      </c>
      <c r="DE57" s="6">
        <f t="shared" si="30"/>
        <v>185266840</v>
      </c>
      <c r="DF57" s="6">
        <f t="shared" si="31"/>
        <v>56668919.079416066</v>
      </c>
      <c r="DG57" s="30"/>
      <c r="DH57" s="32">
        <f>VLOOKUP(A57,'T_med_comp-USA'!$A$7:$Q$233,17,0)</f>
        <v>13.853946087478489</v>
      </c>
      <c r="DI57" s="6" t="str">
        <f t="shared" si="32"/>
        <v>2_2008</v>
      </c>
      <c r="DJ57" s="32">
        <f>IF(DI57="","",VLOOKUP(DI57,'CPI USA'!$T:$U,2,FALSE))</f>
        <v>215.303</v>
      </c>
      <c r="DK57" s="32">
        <f>IF(DI57="","",VLOOKUP(DI57,'PPI USA'!$S:$T,2,FALSE))</f>
        <v>159.30000000000001</v>
      </c>
      <c r="DL57" s="32">
        <f>IF(DI57="","",VLOOKUP(DI57,'CPI USA'!$T:$V,3,FALSE))</f>
        <v>0.67018812038291731</v>
      </c>
      <c r="DM57" s="32">
        <f>IF(DI57="","",VLOOKUP(DI57,'CPI USA'!$T:$X,5,FALSE))</f>
        <v>0.49838492968660258</v>
      </c>
      <c r="DN57" s="32">
        <f t="shared" si="33"/>
        <v>1.4884333659448254</v>
      </c>
      <c r="DO57" s="32">
        <f t="shared" si="34"/>
        <v>1.5036496327119213</v>
      </c>
      <c r="DP57" s="32">
        <f t="shared" si="35"/>
        <v>0.44442676735744113</v>
      </c>
      <c r="DQ57" s="32">
        <f>IF(DP57="","",DP57*$DO$1/'CPI USA'!$U$508+(1-DP57)*AVERAGE($DO$1,$DQ$1)/AVERAGE('CPI USA'!$U$508,'PPI USA'!$T$514))</f>
        <v>1.1597125518635165</v>
      </c>
      <c r="DR57" s="6">
        <f t="shared" si="36"/>
        <v>6739996</v>
      </c>
      <c r="DS57" s="32">
        <f t="shared" si="37"/>
        <v>0.44828259095076867</v>
      </c>
      <c r="DT57" s="28">
        <f>IF(DS57="","",DS57*$DO$1/'CPI USA'!$U$508+(1-DS57)*AVERAGE($DO$1,$DQ$1)/AVERAGE('CPI USA'!$U$508,'PPI USA'!$T$514))</f>
        <v>1.1594846505686998</v>
      </c>
      <c r="DU57" s="6">
        <f t="shared" si="38"/>
        <v>32158449.387441408</v>
      </c>
      <c r="DV57" s="6">
        <f t="shared" si="39"/>
        <v>9665271.279062096</v>
      </c>
      <c r="DW57" s="6">
        <f t="shared" si="40"/>
        <v>11270404.882943988</v>
      </c>
      <c r="DX57" s="16">
        <f t="shared" si="41"/>
        <v>0.2</v>
      </c>
      <c r="DY57" s="28">
        <f>IF(DX57="","",DX57*$DO$1/'CPI USA'!$U$508+(1-DX57)*AVERAGE($DO$1,$DQ$1)/AVERAGE('CPI USA'!$U$508,'PPI USA'!$T$514))</f>
        <v>1.1741595760647974</v>
      </c>
      <c r="DZ57" s="30"/>
      <c r="EA57" s="45" t="str">
        <f t="shared" si="42"/>
        <v>C000542</v>
      </c>
      <c r="EB57" s="29">
        <f t="shared" si="43"/>
        <v>3739259318.0707455</v>
      </c>
      <c r="EC57" s="29">
        <f t="shared" si="44"/>
        <v>129070554.99774925</v>
      </c>
      <c r="ED57" s="29">
        <f t="shared" si="45"/>
        <v>76754685.745559558</v>
      </c>
      <c r="EE57" s="29">
        <f t="shared" si="46"/>
        <v>22354307.510332257</v>
      </c>
      <c r="EF57" s="29">
        <f t="shared" si="47"/>
        <v>66538354.002337478</v>
      </c>
      <c r="EG57" s="29">
        <f t="shared" si="48"/>
        <v>5684</v>
      </c>
      <c r="EH57" s="29">
        <f t="shared" si="49"/>
        <v>481135</v>
      </c>
      <c r="EI57" s="29">
        <f t="shared" si="50"/>
        <v>890707</v>
      </c>
      <c r="EJ57" s="29">
        <f t="shared" si="51"/>
        <v>15607008</v>
      </c>
      <c r="EK57" s="29">
        <f t="shared" si="52"/>
        <v>16495816.746192893</v>
      </c>
      <c r="EL57" s="29">
        <f>IF(CD57=1,VLOOKUP(EA57,'EIA 2021'!$A$2:$J$213,4,0)*EH57,"")</f>
        <v>84198625</v>
      </c>
      <c r="EM57" s="29">
        <f>IF(CD57=1,VLOOKUP(EA57,'EIA 2021'!$A$2:$J$213,7,0)*EH57,"")</f>
        <v>746721.52</v>
      </c>
      <c r="EN57" s="29">
        <f>IF(CD57=1,VLOOKUP(EA57,'EIA 2021'!$A$2:$J$213,10,0),"")</f>
        <v>481658</v>
      </c>
      <c r="EO57" s="28">
        <f>IF(CD57=1,VLOOKUP(EA57,'EIA 2021'!$A$2:$Z$213,26,0),"")</f>
        <v>0</v>
      </c>
      <c r="EP57" s="23">
        <f t="shared" si="53"/>
        <v>5.3880857181444114E-2</v>
      </c>
      <c r="EQ57" s="32">
        <f t="shared" si="54"/>
        <v>1898.2538071065937</v>
      </c>
      <c r="ER57" s="32">
        <f t="shared" si="55"/>
        <v>888808.74619289336</v>
      </c>
      <c r="ES57" s="6"/>
      <c r="ET57" s="32"/>
    </row>
    <row r="58" spans="1:150" ht="15.75" customHeight="1">
      <c r="A58" s="7" t="s">
        <v>375</v>
      </c>
      <c r="B58" s="7" t="s">
        <v>376</v>
      </c>
      <c r="C58" s="32" t="s">
        <v>377</v>
      </c>
      <c r="D58" s="40">
        <v>215889406</v>
      </c>
      <c r="E58" s="40">
        <v>0</v>
      </c>
      <c r="F58" s="40">
        <v>51094314</v>
      </c>
      <c r="G58" s="40">
        <v>58394569</v>
      </c>
      <c r="H58" s="40">
        <v>60328698</v>
      </c>
      <c r="I58" s="40">
        <v>2011275</v>
      </c>
      <c r="J58" s="40">
        <v>2383079</v>
      </c>
      <c r="K58" s="40">
        <v>188147</v>
      </c>
      <c r="L58" s="40">
        <v>4895868</v>
      </c>
      <c r="M58" s="40">
        <v>7088114</v>
      </c>
      <c r="N58" s="40">
        <v>98</v>
      </c>
      <c r="O58" s="40">
        <v>7207941</v>
      </c>
      <c r="P58" s="40">
        <v>14104</v>
      </c>
      <c r="Q58" s="40">
        <v>7450</v>
      </c>
      <c r="R58" s="40">
        <v>6336</v>
      </c>
      <c r="S58" s="40">
        <v>941612</v>
      </c>
      <c r="T58" s="40">
        <v>16610960</v>
      </c>
      <c r="U58" s="40">
        <v>1764958</v>
      </c>
      <c r="V58" s="40">
        <v>119493</v>
      </c>
      <c r="W58" s="40">
        <v>765058</v>
      </c>
      <c r="X58" s="40">
        <f>IFERROR(VLOOKUP(A58,'Trans 21-23'!$A$2:$J$229,6,0),0)</f>
        <v>1726778</v>
      </c>
      <c r="Y58" s="41">
        <v>4684953</v>
      </c>
      <c r="Z58" s="41">
        <v>0</v>
      </c>
      <c r="AA58" s="41">
        <v>15489988</v>
      </c>
      <c r="AB58" s="41">
        <v>10752128</v>
      </c>
      <c r="AC58" s="41">
        <v>1444264</v>
      </c>
      <c r="AD58" s="41">
        <v>78148277</v>
      </c>
      <c r="AE58" s="41">
        <v>0</v>
      </c>
      <c r="AF58" s="41">
        <v>618468812</v>
      </c>
      <c r="AG58" s="41">
        <v>427175</v>
      </c>
      <c r="AH58" s="41">
        <v>500466</v>
      </c>
      <c r="AI58" s="41">
        <v>13160112</v>
      </c>
      <c r="AJ58" s="41">
        <v>23581</v>
      </c>
      <c r="AK58" s="41">
        <v>1284</v>
      </c>
      <c r="AL58" s="41">
        <v>4193142</v>
      </c>
      <c r="AM58" s="41">
        <v>3607268</v>
      </c>
      <c r="AN58" s="41">
        <v>2449628</v>
      </c>
      <c r="AO58" s="41">
        <v>9084</v>
      </c>
      <c r="AP58" s="41">
        <v>1030295</v>
      </c>
      <c r="AQ58" s="41">
        <v>11289417</v>
      </c>
      <c r="AR58" s="41">
        <v>1345364</v>
      </c>
      <c r="AS58" s="41">
        <v>12634781</v>
      </c>
      <c r="AT58" s="41">
        <v>0</v>
      </c>
      <c r="AU58" s="41">
        <v>2540</v>
      </c>
      <c r="AV58" s="41">
        <v>0</v>
      </c>
      <c r="AW58" s="41">
        <v>416940939</v>
      </c>
      <c r="AX58" s="41">
        <v>91409960</v>
      </c>
      <c r="AY58" s="41">
        <v>364687880</v>
      </c>
      <c r="AZ58" s="41">
        <v>45293803</v>
      </c>
      <c r="BA58" s="41">
        <v>138243143</v>
      </c>
      <c r="BB58" s="41">
        <v>1748416366</v>
      </c>
      <c r="BC58" s="41">
        <v>6415856730</v>
      </c>
      <c r="BD58" s="41">
        <v>26808178</v>
      </c>
      <c r="BE58" s="41">
        <v>574233831</v>
      </c>
      <c r="BF58" s="41">
        <v>41272952</v>
      </c>
      <c r="BG58" s="41">
        <v>0</v>
      </c>
      <c r="BH58" s="41">
        <v>11016958</v>
      </c>
      <c r="BI58" s="41">
        <v>4615116</v>
      </c>
      <c r="BJ58" s="41">
        <v>972546</v>
      </c>
      <c r="BK58" s="41">
        <v>0</v>
      </c>
      <c r="BL58" s="41">
        <v>0</v>
      </c>
      <c r="BM58" s="41">
        <v>18420183</v>
      </c>
      <c r="BN58" s="41">
        <v>70189033</v>
      </c>
      <c r="BO58" s="41">
        <v>17404880</v>
      </c>
      <c r="BP58" s="41">
        <v>3019962</v>
      </c>
      <c r="BQ58" s="41">
        <v>130830643</v>
      </c>
      <c r="BR58" s="41">
        <v>0</v>
      </c>
      <c r="BS58" s="42">
        <f>IFERROR(VLOOKUP(A58,'Trans 21-23'!$A$2:$J$229,5,0),0)</f>
        <v>110022710</v>
      </c>
      <c r="BT58" s="43"/>
      <c r="BU58" s="6">
        <f t="shared" si="0"/>
        <v>1748416366</v>
      </c>
      <c r="BV58" s="6">
        <f t="shared" si="1"/>
        <v>2540</v>
      </c>
      <c r="BW58" s="6">
        <f t="shared" si="2"/>
        <v>427175</v>
      </c>
      <c r="BX58" s="6">
        <f t="shared" si="3"/>
        <v>44004493</v>
      </c>
      <c r="BY58" s="6">
        <f t="shared" si="4"/>
        <v>32371333</v>
      </c>
      <c r="BZ58" s="6">
        <f t="shared" si="5"/>
        <v>45293803</v>
      </c>
      <c r="CA58" s="6">
        <f t="shared" si="6"/>
        <v>78148277</v>
      </c>
      <c r="CB58" s="6">
        <f t="shared" si="7"/>
        <v>500466</v>
      </c>
      <c r="CC58" s="6">
        <f t="shared" si="8"/>
        <v>11289417</v>
      </c>
      <c r="CD58" s="6">
        <f t="shared" si="9"/>
        <v>1</v>
      </c>
      <c r="CE58" s="44">
        <f t="shared" si="10"/>
        <v>9</v>
      </c>
      <c r="CF58" s="27"/>
      <c r="CG58" s="28">
        <f t="shared" si="11"/>
        <v>688.35289999999998</v>
      </c>
      <c r="CH58" s="28">
        <f t="shared" si="12"/>
        <v>5.9460408497688304</v>
      </c>
      <c r="CI58" s="28">
        <f t="shared" si="13"/>
        <v>103.01280037455375</v>
      </c>
      <c r="CJ58" s="28">
        <f t="shared" si="14"/>
        <v>106.0310247556622</v>
      </c>
      <c r="CK58" s="23">
        <f t="shared" si="15"/>
        <v>4.43305442610544E-2</v>
      </c>
      <c r="CL58" s="29" t="str">
        <f t="shared" si="16"/>
        <v/>
      </c>
      <c r="CM58" s="29" t="str">
        <f t="shared" si="17"/>
        <v/>
      </c>
      <c r="CN58" s="29" t="str">
        <f t="shared" si="18"/>
        <v/>
      </c>
      <c r="CO58" s="29" t="str">
        <f t="shared" si="19"/>
        <v/>
      </c>
      <c r="CP58" s="29" t="str">
        <f t="shared" si="20"/>
        <v/>
      </c>
      <c r="CQ58" s="29">
        <f t="shared" si="21"/>
        <v>0</v>
      </c>
      <c r="CR58" s="13"/>
      <c r="CS58" s="7">
        <f>VLOOKUP(A58,'Empresas 21-23'!$A$2:$M$228,13,0)</f>
        <v>1</v>
      </c>
      <c r="CT58" s="30"/>
      <c r="CU58" s="6">
        <f t="shared" si="22"/>
        <v>1401243426</v>
      </c>
      <c r="CV58" s="6">
        <f t="shared" si="23"/>
        <v>45293803</v>
      </c>
      <c r="CW58" s="6">
        <f t="shared" si="24"/>
        <v>26808178</v>
      </c>
      <c r="CX58" s="23">
        <f t="shared" si="58"/>
        <v>0.21931957702236601</v>
      </c>
      <c r="CY58" s="23">
        <f t="shared" si="59"/>
        <v>7.0892876507913571E-3</v>
      </c>
      <c r="CZ58" s="6">
        <f t="shared" si="25"/>
        <v>1407122984.2597003</v>
      </c>
      <c r="DA58" s="6">
        <f t="shared" si="26"/>
        <v>45483853.885235615</v>
      </c>
      <c r="DB58" s="6">
        <f t="shared" si="27"/>
        <v>44004493</v>
      </c>
      <c r="DC58" s="6">
        <f t="shared" si="28"/>
        <v>45731271</v>
      </c>
      <c r="DD58" s="6">
        <f t="shared" si="29"/>
        <v>32371333</v>
      </c>
      <c r="DE58" s="6">
        <f t="shared" si="30"/>
        <v>78148277</v>
      </c>
      <c r="DF58" s="6">
        <f t="shared" si="31"/>
        <v>28654231.668614339</v>
      </c>
      <c r="DG58" s="30"/>
      <c r="DH58" s="32">
        <f>VLOOKUP(A58,'T_med_comp-USA'!$A$7:$Q$233,17,0)</f>
        <v>13.535161028803008</v>
      </c>
      <c r="DI58" s="6" t="str">
        <f t="shared" si="32"/>
        <v>6_2008</v>
      </c>
      <c r="DJ58" s="32">
        <f>IF(DI58="","",VLOOKUP(DI58,'CPI USA'!$T:$U,2,FALSE))</f>
        <v>215.303</v>
      </c>
      <c r="DK58" s="32">
        <f>IF(DI58="","",VLOOKUP(DI58,'PPI USA'!$S:$T,2,FALSE))</f>
        <v>159.30000000000001</v>
      </c>
      <c r="DL58" s="32">
        <f>IF(DI58="","",VLOOKUP(DI58,'CPI USA'!$T:$V,3,FALSE))</f>
        <v>0.67018812038291731</v>
      </c>
      <c r="DM58" s="32">
        <f>IF(DI58="","",VLOOKUP(DI58,'CPI USA'!$T:$X,5,FALSE))</f>
        <v>0.49838492968660258</v>
      </c>
      <c r="DN58" s="32">
        <f t="shared" si="33"/>
        <v>1.4884333659448254</v>
      </c>
      <c r="DO58" s="32">
        <f t="shared" si="34"/>
        <v>1.5036496327119213</v>
      </c>
      <c r="DP58" s="32">
        <f t="shared" si="35"/>
        <v>0.31244195070329012</v>
      </c>
      <c r="DQ58" s="32">
        <f>IF(DP58="","",DP58*$DO$1/'CPI USA'!$U$508+(1-DP58)*AVERAGE($DO$1,$DQ$1)/AVERAGE('CPI USA'!$U$508,'PPI USA'!$T$514))</f>
        <v>1.1675136117106801</v>
      </c>
      <c r="DR58" s="6">
        <f t="shared" si="36"/>
        <v>5587662</v>
      </c>
      <c r="DS58" s="32">
        <f t="shared" si="37"/>
        <v>0.21541414262516301</v>
      </c>
      <c r="DT58" s="28">
        <f>IF(DS58="","",DS58*$DO$1/'CPI USA'!$U$508+(1-DS58)*AVERAGE($DO$1,$DQ$1)/AVERAGE('CPI USA'!$U$508,'PPI USA'!$T$514))</f>
        <v>1.1732485118063478</v>
      </c>
      <c r="DU58" s="6">
        <f t="shared" si="38"/>
        <v>22987863.462174766</v>
      </c>
      <c r="DV58" s="6">
        <f t="shared" si="39"/>
        <v>435239.46713847801</v>
      </c>
      <c r="DW58" s="6">
        <f t="shared" si="40"/>
        <v>5541203.6145608854</v>
      </c>
      <c r="DX58" s="16">
        <f t="shared" si="41"/>
        <v>0.2</v>
      </c>
      <c r="DY58" s="28">
        <f>IF(DX58="","",DX58*$DO$1/'CPI USA'!$U$508+(1-DX58)*AVERAGE($DO$1,$DQ$1)/AVERAGE('CPI USA'!$U$508,'PPI USA'!$T$514))</f>
        <v>1.1741595760647974</v>
      </c>
      <c r="DZ58" s="30"/>
      <c r="EA58" s="45" t="str">
        <f t="shared" si="42"/>
        <v>C000553</v>
      </c>
      <c r="EB58" s="29">
        <f t="shared" si="43"/>
        <v>2094408799.7599933</v>
      </c>
      <c r="EC58" s="29">
        <f t="shared" si="44"/>
        <v>68391780.188857228</v>
      </c>
      <c r="ED58" s="29">
        <f t="shared" si="45"/>
        <v>53391881.373329885</v>
      </c>
      <c r="EE58" s="29">
        <f t="shared" si="46"/>
        <v>37979618.267437719</v>
      </c>
      <c r="EF58" s="29">
        <f t="shared" si="47"/>
        <v>33644640.508482702</v>
      </c>
      <c r="EG58" s="29">
        <f t="shared" si="48"/>
        <v>2540</v>
      </c>
      <c r="EH58" s="29">
        <f t="shared" si="49"/>
        <v>427175</v>
      </c>
      <c r="EI58" s="29">
        <f t="shared" si="50"/>
        <v>500466</v>
      </c>
      <c r="EJ58" s="29">
        <f t="shared" si="51"/>
        <v>11289417</v>
      </c>
      <c r="EK58" s="29">
        <f t="shared" si="52"/>
        <v>11769395.223350253</v>
      </c>
      <c r="EL58" s="29">
        <f>IF(CD58=1,VLOOKUP(EA58,'EIA 2021'!$A$2:$J$213,4,0)*EH58,"")</f>
        <v>33734009.75</v>
      </c>
      <c r="EM58" s="29">
        <f>IF(CD58=1,VLOOKUP(EA58,'EIA 2021'!$A$2:$J$213,7,0)*EH58,"")</f>
        <v>404961.89999999997</v>
      </c>
      <c r="EN58" s="29">
        <f>IF(CD58=1,VLOOKUP(EA58,'EIA 2021'!$A$2:$J$213,10,0),"")</f>
        <v>47258</v>
      </c>
      <c r="EO58" s="28">
        <f>IF(CD58=1,VLOOKUP(EA58,'EIA 2021'!$A$2:$Z$213,26,0),"")</f>
        <v>0</v>
      </c>
      <c r="EP58" s="23">
        <f t="shared" si="53"/>
        <v>4.0781893567308061E-2</v>
      </c>
      <c r="EQ58" s="32">
        <f t="shared" si="54"/>
        <v>20487.776649746113</v>
      </c>
      <c r="ER58" s="32">
        <f t="shared" si="55"/>
        <v>479978.22335025389</v>
      </c>
      <c r="ES58" s="6"/>
      <c r="ET58" s="32"/>
    </row>
    <row r="59" spans="1:150" ht="15.75" customHeight="1">
      <c r="A59" s="7" t="s">
        <v>378</v>
      </c>
      <c r="B59" s="7" t="s">
        <v>379</v>
      </c>
      <c r="C59" s="32" t="s">
        <v>380</v>
      </c>
      <c r="D59" s="40">
        <v>311647960</v>
      </c>
      <c r="E59" s="40">
        <v>0</v>
      </c>
      <c r="F59" s="40">
        <v>135637591</v>
      </c>
      <c r="G59" s="40">
        <v>40034915</v>
      </c>
      <c r="H59" s="40">
        <v>42839803</v>
      </c>
      <c r="I59" s="40">
        <v>2532353</v>
      </c>
      <c r="J59" s="40">
        <v>2059733</v>
      </c>
      <c r="K59" s="40">
        <v>356403</v>
      </c>
      <c r="L59" s="40">
        <v>6979280</v>
      </c>
      <c r="M59" s="40">
        <v>1516010</v>
      </c>
      <c r="N59" s="40">
        <v>412</v>
      </c>
      <c r="O59" s="40">
        <v>8235177</v>
      </c>
      <c r="P59" s="40">
        <v>0</v>
      </c>
      <c r="Q59" s="40">
        <v>113049</v>
      </c>
      <c r="R59" s="40">
        <v>0</v>
      </c>
      <c r="S59" s="40">
        <v>1640589</v>
      </c>
      <c r="T59" s="40">
        <v>32139354</v>
      </c>
      <c r="U59" s="40">
        <v>437444</v>
      </c>
      <c r="V59" s="40">
        <v>26984</v>
      </c>
      <c r="W59" s="40">
        <v>799571</v>
      </c>
      <c r="X59" s="40">
        <f>IFERROR(VLOOKUP(A59,'Trans 21-23'!$A$2:$J$229,6,0),0)</f>
        <v>8764445</v>
      </c>
      <c r="Y59" s="41">
        <v>9878317</v>
      </c>
      <c r="Z59" s="41">
        <v>0</v>
      </c>
      <c r="AA59" s="41">
        <v>41567259</v>
      </c>
      <c r="AB59" s="41">
        <v>11078302</v>
      </c>
      <c r="AC59" s="41">
        <v>1892657</v>
      </c>
      <c r="AD59" s="41">
        <v>103770470</v>
      </c>
      <c r="AE59" s="41">
        <v>0</v>
      </c>
      <c r="AF59" s="41">
        <v>932693905</v>
      </c>
      <c r="AG59" s="41">
        <v>565168</v>
      </c>
      <c r="AH59" s="41">
        <v>1172464</v>
      </c>
      <c r="AI59" s="41">
        <v>21012932</v>
      </c>
      <c r="AJ59" s="41">
        <v>26587</v>
      </c>
      <c r="AK59" s="41">
        <v>51</v>
      </c>
      <c r="AL59" s="41">
        <v>6323749</v>
      </c>
      <c r="AM59" s="41">
        <v>3973078</v>
      </c>
      <c r="AN59" s="41">
        <v>6245694</v>
      </c>
      <c r="AO59" s="41">
        <v>24605</v>
      </c>
      <c r="AP59" s="41">
        <v>1572049</v>
      </c>
      <c r="AQ59" s="41">
        <v>18139175</v>
      </c>
      <c r="AR59" s="41">
        <v>1674655</v>
      </c>
      <c r="AS59" s="41">
        <v>19813830</v>
      </c>
      <c r="AT59" s="41">
        <v>0</v>
      </c>
      <c r="AU59" s="41">
        <v>3824</v>
      </c>
      <c r="AV59" s="41">
        <v>0</v>
      </c>
      <c r="AW59" s="41">
        <v>491074605</v>
      </c>
      <c r="AX59" s="41">
        <v>2686876</v>
      </c>
      <c r="AY59" s="41">
        <v>236232844</v>
      </c>
      <c r="AZ59" s="41">
        <v>79505096</v>
      </c>
      <c r="BA59" s="41">
        <v>147217458</v>
      </c>
      <c r="BB59" s="41">
        <v>2272975373</v>
      </c>
      <c r="BC59" s="41">
        <v>10746349463</v>
      </c>
      <c r="BD59" s="41">
        <v>257108426</v>
      </c>
      <c r="BE59" s="41">
        <v>726162878</v>
      </c>
      <c r="BF59" s="41">
        <v>40597256</v>
      </c>
      <c r="BG59" s="41">
        <v>0</v>
      </c>
      <c r="BH59" s="41">
        <v>17966250</v>
      </c>
      <c r="BI59" s="41">
        <v>13625975</v>
      </c>
      <c r="BJ59" s="41">
        <v>1354967</v>
      </c>
      <c r="BK59" s="41">
        <v>0</v>
      </c>
      <c r="BL59" s="41">
        <v>0</v>
      </c>
      <c r="BM59" s="41">
        <v>25501237</v>
      </c>
      <c r="BN59" s="41">
        <v>110814488</v>
      </c>
      <c r="BO59" s="41">
        <v>28006355</v>
      </c>
      <c r="BP59" s="41">
        <v>2721738</v>
      </c>
      <c r="BQ59" s="41">
        <v>147585648</v>
      </c>
      <c r="BR59" s="41">
        <v>0</v>
      </c>
      <c r="BS59" s="42">
        <f>IFERROR(VLOOKUP(A59,'Trans 21-23'!$A$2:$J$229,5,0),0)</f>
        <v>558432069</v>
      </c>
      <c r="BT59" s="43"/>
      <c r="BU59" s="6">
        <f t="shared" si="0"/>
        <v>2272975373</v>
      </c>
      <c r="BV59" s="6">
        <f t="shared" si="1"/>
        <v>3824</v>
      </c>
      <c r="BW59" s="6">
        <f t="shared" si="2"/>
        <v>565168</v>
      </c>
      <c r="BX59" s="6">
        <f t="shared" si="3"/>
        <v>56836359</v>
      </c>
      <c r="BY59" s="6">
        <f t="shared" si="4"/>
        <v>64416535</v>
      </c>
      <c r="BZ59" s="6">
        <f t="shared" si="5"/>
        <v>79505096</v>
      </c>
      <c r="CA59" s="6">
        <f t="shared" si="6"/>
        <v>103770470</v>
      </c>
      <c r="CB59" s="6">
        <f t="shared" si="7"/>
        <v>1172464</v>
      </c>
      <c r="CC59" s="6">
        <f t="shared" si="8"/>
        <v>18139175</v>
      </c>
      <c r="CD59" s="6">
        <f t="shared" si="9"/>
        <v>1</v>
      </c>
      <c r="CE59" s="44">
        <f t="shared" si="10"/>
        <v>11</v>
      </c>
      <c r="CF59" s="27"/>
      <c r="CG59" s="28">
        <f t="shared" si="11"/>
        <v>594.39732557531374</v>
      </c>
      <c r="CH59" s="28">
        <f t="shared" si="12"/>
        <v>6.7661297171814399</v>
      </c>
      <c r="CI59" s="28">
        <f t="shared" si="13"/>
        <v>100.56542302465816</v>
      </c>
      <c r="CJ59" s="28">
        <f t="shared" si="14"/>
        <v>140.67515499815983</v>
      </c>
      <c r="CK59" s="23">
        <f t="shared" si="15"/>
        <v>6.4637118281288972E-2</v>
      </c>
      <c r="CL59" s="29" t="str">
        <f t="shared" si="16"/>
        <v/>
      </c>
      <c r="CM59" s="29" t="str">
        <f t="shared" si="17"/>
        <v/>
      </c>
      <c r="CN59" s="29" t="str">
        <f t="shared" si="18"/>
        <v/>
      </c>
      <c r="CO59" s="29" t="str">
        <f t="shared" si="19"/>
        <v/>
      </c>
      <c r="CP59" s="29" t="str">
        <f t="shared" si="20"/>
        <v/>
      </c>
      <c r="CQ59" s="29">
        <f t="shared" si="21"/>
        <v>0</v>
      </c>
      <c r="CR59" s="13"/>
      <c r="CS59" s="7">
        <f>VLOOKUP(A59,'Empresas 21-23'!$A$2:$M$228,13,0)</f>
        <v>1</v>
      </c>
      <c r="CT59" s="30"/>
      <c r="CU59" s="6">
        <f t="shared" si="22"/>
        <v>2461333056</v>
      </c>
      <c r="CV59" s="6">
        <f t="shared" si="23"/>
        <v>79505096</v>
      </c>
      <c r="CW59" s="6">
        <f t="shared" si="24"/>
        <v>257108426</v>
      </c>
      <c r="CX59" s="23">
        <f t="shared" si="58"/>
        <v>0.23465311239562853</v>
      </c>
      <c r="CY59" s="23">
        <f t="shared" si="59"/>
        <v>7.57968052402951E-3</v>
      </c>
      <c r="CZ59" s="6">
        <f t="shared" si="25"/>
        <v>2521664348.3840413</v>
      </c>
      <c r="DA59" s="6">
        <f t="shared" si="26"/>
        <v>81453895.729116082</v>
      </c>
      <c r="DB59" s="6">
        <f t="shared" si="27"/>
        <v>56836359</v>
      </c>
      <c r="DC59" s="6">
        <f t="shared" si="28"/>
        <v>65600804</v>
      </c>
      <c r="DD59" s="6">
        <f t="shared" si="29"/>
        <v>64416535</v>
      </c>
      <c r="DE59" s="6">
        <f t="shared" si="30"/>
        <v>103770470</v>
      </c>
      <c r="DF59" s="6">
        <f t="shared" si="31"/>
        <v>39823012.976804107</v>
      </c>
      <c r="DG59" s="30"/>
      <c r="DH59" s="32">
        <f>VLOOKUP(A59,'T_med_comp-USA'!$A$7:$Q$233,17,0)</f>
        <v>17.183348409152249</v>
      </c>
      <c r="DI59" s="6" t="str">
        <f t="shared" si="32"/>
        <v>10_2004</v>
      </c>
      <c r="DJ59" s="32">
        <f>IF(DI59="","",VLOOKUP(DI59,'CPI USA'!$T:$U,2,FALSE))</f>
        <v>188.9</v>
      </c>
      <c r="DK59" s="32">
        <f>IF(DI59="","",VLOOKUP(DI59,'PPI USA'!$S:$T,2,FALSE))</f>
        <v>123.7</v>
      </c>
      <c r="DL59" s="32">
        <f>IF(DI59="","",VLOOKUP(DI59,'CPI USA'!$T:$V,3,FALSE))</f>
        <v>0.68116912558338294</v>
      </c>
      <c r="DM59" s="32">
        <f>IF(DI59="","",VLOOKUP(DI59,'CPI USA'!$T:$X,5,FALSE))</f>
        <v>0.51091164550905577</v>
      </c>
      <c r="DN59" s="32">
        <f t="shared" si="33"/>
        <v>1.7242718973721483</v>
      </c>
      <c r="DO59" s="32">
        <f t="shared" si="34"/>
        <v>1.7568944717328012</v>
      </c>
      <c r="DP59" s="32">
        <f t="shared" si="35"/>
        <v>0.39599465405711098</v>
      </c>
      <c r="DQ59" s="32">
        <f>IF(DP59="","",DP59*$DO$1/'CPI USA'!$U$508+(1-DP59)*AVERAGE($DO$1,$DQ$1)/AVERAGE('CPI USA'!$U$508,'PPI USA'!$T$514))</f>
        <v>1.1625751676094664</v>
      </c>
      <c r="DR59" s="6">
        <f t="shared" si="36"/>
        <v>14980942</v>
      </c>
      <c r="DS59" s="32">
        <f t="shared" si="37"/>
        <v>0.29133985220988606</v>
      </c>
      <c r="DT59" s="28">
        <f>IF(DS59="","",DS59*$DO$1/'CPI USA'!$U$508+(1-DS59)*AVERAGE($DO$1,$DQ$1)/AVERAGE('CPI USA'!$U$508,'PPI USA'!$T$514))</f>
        <v>1.1687608667921427</v>
      </c>
      <c r="DU59" s="6">
        <f t="shared" si="38"/>
        <v>31946212.826275848</v>
      </c>
      <c r="DV59" s="6">
        <f t="shared" si="39"/>
        <v>479123.37717452197</v>
      </c>
      <c r="DW59" s="6">
        <f t="shared" si="40"/>
        <v>9640650.7564212214</v>
      </c>
      <c r="DX59" s="16">
        <f t="shared" si="41"/>
        <v>0.24208742723803081</v>
      </c>
      <c r="DY59" s="28">
        <f>IF(DX59="","",DX59*$DO$1/'CPI USA'!$U$508+(1-DX59)*AVERAGE($DO$1,$DQ$1)/AVERAGE('CPI USA'!$U$508,'PPI USA'!$T$514))</f>
        <v>1.1716719676639207</v>
      </c>
      <c r="DZ59" s="30"/>
      <c r="EA59" s="45" t="str">
        <f t="shared" si="42"/>
        <v>C000555</v>
      </c>
      <c r="EB59" s="29">
        <f t="shared" si="43"/>
        <v>4348034970.5238523</v>
      </c>
      <c r="EC59" s="29">
        <f t="shared" si="44"/>
        <v>143105899.10758406</v>
      </c>
      <c r="ED59" s="29">
        <f t="shared" si="45"/>
        <v>76265865.705615759</v>
      </c>
      <c r="EE59" s="29">
        <f t="shared" si="46"/>
        <v>75287525.282346398</v>
      </c>
      <c r="EF59" s="29">
        <f t="shared" si="47"/>
        <v>46659507.972837918</v>
      </c>
      <c r="EG59" s="29">
        <f t="shared" si="48"/>
        <v>3824</v>
      </c>
      <c r="EH59" s="29">
        <f t="shared" si="49"/>
        <v>565168</v>
      </c>
      <c r="EI59" s="29">
        <f t="shared" si="50"/>
        <v>1172464</v>
      </c>
      <c r="EJ59" s="29">
        <f t="shared" si="51"/>
        <v>18139175</v>
      </c>
      <c r="EK59" s="29">
        <f t="shared" si="52"/>
        <v>19286136.639593907</v>
      </c>
      <c r="EL59" s="29">
        <f>IF(CD59=1,VLOOKUP(EA59,'EIA 2021'!$A$2:$J$213,4,0)*EH59,"")</f>
        <v>44795215.68</v>
      </c>
      <c r="EM59" s="29">
        <f>IF(CD59=1,VLOOKUP(EA59,'EIA 2021'!$A$2:$J$213,7,0)*EH59,"")</f>
        <v>512042.20800000004</v>
      </c>
      <c r="EN59" s="29">
        <f>IF(CD59=1,VLOOKUP(EA59,'EIA 2021'!$A$2:$J$213,10,0),"")</f>
        <v>40821</v>
      </c>
      <c r="EO59" s="28">
        <f>IF(CD59=1,VLOOKUP(EA59,'EIA 2021'!$A$2:$Z$213,26,0),"")</f>
        <v>0</v>
      </c>
      <c r="EP59" s="23">
        <f t="shared" si="53"/>
        <v>5.9470782615903897E-2</v>
      </c>
      <c r="EQ59" s="32">
        <f t="shared" si="54"/>
        <v>25502.360406091437</v>
      </c>
      <c r="ER59" s="32">
        <f t="shared" si="55"/>
        <v>1146961.6395939086</v>
      </c>
      <c r="ES59" s="6"/>
      <c r="ET59" s="32"/>
    </row>
    <row r="60" spans="1:150" ht="15.75" customHeight="1">
      <c r="A60" s="7" t="s">
        <v>381</v>
      </c>
      <c r="B60" s="7" t="s">
        <v>382</v>
      </c>
      <c r="C60" s="32" t="s">
        <v>383</v>
      </c>
      <c r="D60" s="40">
        <v>484139</v>
      </c>
      <c r="E60" s="40">
        <v>0</v>
      </c>
      <c r="F60" s="40">
        <v>0</v>
      </c>
      <c r="G60" s="40">
        <v>213520143</v>
      </c>
      <c r="H60" s="40">
        <v>215447599</v>
      </c>
      <c r="I60" s="40">
        <v>9037836</v>
      </c>
      <c r="J60" s="40">
        <v>126870</v>
      </c>
      <c r="K60" s="40">
        <v>303152</v>
      </c>
      <c r="L60" s="40">
        <v>570827</v>
      </c>
      <c r="M60" s="40">
        <v>87682</v>
      </c>
      <c r="N60" s="40">
        <v>514024</v>
      </c>
      <c r="O60" s="40">
        <v>63637</v>
      </c>
      <c r="P60" s="40">
        <v>34603</v>
      </c>
      <c r="Q60" s="40">
        <v>1227339</v>
      </c>
      <c r="R60" s="40">
        <v>0</v>
      </c>
      <c r="S60" s="40">
        <v>4322803</v>
      </c>
      <c r="T60" s="40">
        <v>29398423</v>
      </c>
      <c r="U60" s="40">
        <v>432721</v>
      </c>
      <c r="V60" s="40">
        <v>310885</v>
      </c>
      <c r="W60" s="40">
        <v>65567</v>
      </c>
      <c r="X60" s="40">
        <f>IFERROR(VLOOKUP(A60,'Trans 21-23'!$A$2:$J$229,6,0),0)</f>
        <v>1438459</v>
      </c>
      <c r="Y60" s="41">
        <v>67787</v>
      </c>
      <c r="Z60" s="41">
        <v>304122</v>
      </c>
      <c r="AA60" s="41">
        <v>23257802</v>
      </c>
      <c r="AB60" s="41">
        <v>3106383</v>
      </c>
      <c r="AC60" s="41">
        <v>0</v>
      </c>
      <c r="AD60" s="41">
        <v>67333378</v>
      </c>
      <c r="AE60" s="41">
        <v>0</v>
      </c>
      <c r="AF60" s="41">
        <v>431940950</v>
      </c>
      <c r="AG60" s="41">
        <v>534193</v>
      </c>
      <c r="AH60" s="41">
        <v>133745</v>
      </c>
      <c r="AI60" s="41">
        <v>4351184</v>
      </c>
      <c r="AJ60" s="41">
        <v>3636</v>
      </c>
      <c r="AK60" s="41">
        <v>0</v>
      </c>
      <c r="AL60" s="41">
        <v>2947772</v>
      </c>
      <c r="AM60" s="41">
        <v>585562</v>
      </c>
      <c r="AN60" s="41">
        <v>117303</v>
      </c>
      <c r="AO60" s="41">
        <v>1221</v>
      </c>
      <c r="AP60" s="41">
        <v>63547</v>
      </c>
      <c r="AQ60" s="41">
        <v>3720682</v>
      </c>
      <c r="AR60" s="41">
        <v>493121</v>
      </c>
      <c r="AS60" s="41">
        <v>0</v>
      </c>
      <c r="AT60" s="41">
        <v>5277</v>
      </c>
      <c r="AU60" s="41">
        <v>3317</v>
      </c>
      <c r="AV60" s="41">
        <v>0</v>
      </c>
      <c r="AW60" s="41">
        <v>189449116</v>
      </c>
      <c r="AX60" s="41">
        <v>20498434</v>
      </c>
      <c r="AY60" s="41">
        <v>272743024</v>
      </c>
      <c r="AZ60" s="41">
        <v>61224680</v>
      </c>
      <c r="BA60" s="41">
        <v>0</v>
      </c>
      <c r="BB60" s="41">
        <v>2033671845</v>
      </c>
      <c r="BC60" s="41">
        <v>2610797178</v>
      </c>
      <c r="BD60" s="41">
        <v>49702481</v>
      </c>
      <c r="BE60" s="41">
        <v>946552733</v>
      </c>
      <c r="BF60" s="41">
        <v>61012545</v>
      </c>
      <c r="BG60" s="41">
        <v>0</v>
      </c>
      <c r="BH60" s="41">
        <v>20255837</v>
      </c>
      <c r="BI60" s="41">
        <v>9044870</v>
      </c>
      <c r="BJ60" s="41">
        <v>797959</v>
      </c>
      <c r="BK60" s="41">
        <v>0</v>
      </c>
      <c r="BL60" s="41">
        <v>0</v>
      </c>
      <c r="BM60" s="41">
        <v>13359920</v>
      </c>
      <c r="BN60" s="41">
        <v>47870031</v>
      </c>
      <c r="BO60" s="41">
        <v>294510</v>
      </c>
      <c r="BP60" s="41">
        <v>249780</v>
      </c>
      <c r="BQ60" s="41">
        <v>68120343</v>
      </c>
      <c r="BR60" s="41">
        <v>0</v>
      </c>
      <c r="BS60" s="42">
        <f>IFERROR(VLOOKUP(A60,'Trans 21-23'!$A$2:$J$229,5,0),0)</f>
        <v>135768754</v>
      </c>
      <c r="BT60" s="43"/>
      <c r="BU60" s="6">
        <f t="shared" si="0"/>
        <v>2033671845</v>
      </c>
      <c r="BV60" s="6">
        <f t="shared" si="1"/>
        <v>3317</v>
      </c>
      <c r="BW60" s="6">
        <f t="shared" si="2"/>
        <v>534193</v>
      </c>
      <c r="BX60" s="6">
        <f t="shared" si="3"/>
        <v>46496369</v>
      </c>
      <c r="BY60" s="6">
        <f t="shared" si="4"/>
        <v>26736094</v>
      </c>
      <c r="BZ60" s="6">
        <f t="shared" si="5"/>
        <v>61224680</v>
      </c>
      <c r="CA60" s="6">
        <f t="shared" si="6"/>
        <v>67333378</v>
      </c>
      <c r="CB60" s="6">
        <f t="shared" si="7"/>
        <v>133745</v>
      </c>
      <c r="CC60" s="6">
        <f t="shared" si="8"/>
        <v>3720682</v>
      </c>
      <c r="CD60" s="6">
        <f t="shared" si="9"/>
        <v>1</v>
      </c>
      <c r="CE60" s="44">
        <f t="shared" si="10"/>
        <v>13</v>
      </c>
      <c r="CF60" s="27"/>
      <c r="CG60" s="28">
        <f t="shared" si="11"/>
        <v>613.10577178173048</v>
      </c>
      <c r="CH60" s="28">
        <f t="shared" si="12"/>
        <v>6.2093662777310819</v>
      </c>
      <c r="CI60" s="28">
        <f t="shared" si="13"/>
        <v>87.040393640500724</v>
      </c>
      <c r="CJ60" s="28">
        <f t="shared" si="14"/>
        <v>114.6115355311657</v>
      </c>
      <c r="CK60" s="23">
        <f t="shared" si="15"/>
        <v>3.594636682199661E-2</v>
      </c>
      <c r="CL60" s="29" t="str">
        <f t="shared" si="16"/>
        <v/>
      </c>
      <c r="CM60" s="29" t="str">
        <f t="shared" si="17"/>
        <v/>
      </c>
      <c r="CN60" s="29" t="str">
        <f t="shared" si="18"/>
        <v/>
      </c>
      <c r="CO60" s="29" t="str">
        <f t="shared" si="19"/>
        <v/>
      </c>
      <c r="CP60" s="29" t="str">
        <f t="shared" si="20"/>
        <v/>
      </c>
      <c r="CQ60" s="29">
        <f t="shared" si="21"/>
        <v>0</v>
      </c>
      <c r="CR60" s="13"/>
      <c r="CS60" s="7">
        <f>VLOOKUP(A60,'Empresas 21-23'!$A$2:$M$228,13,0)</f>
        <v>1</v>
      </c>
      <c r="CT60" s="30"/>
      <c r="CU60" s="6">
        <f t="shared" si="22"/>
        <v>1932271044.2</v>
      </c>
      <c r="CV60" s="6">
        <f t="shared" si="23"/>
        <v>61224680</v>
      </c>
      <c r="CW60" s="6">
        <f t="shared" si="24"/>
        <v>49702481</v>
      </c>
      <c r="CX60" s="23">
        <f t="shared" si="58"/>
        <v>0.75447075286337995</v>
      </c>
      <c r="CY60" s="23">
        <f t="shared" si="59"/>
        <v>2.3905668178422691E-2</v>
      </c>
      <c r="CZ60" s="6">
        <f t="shared" si="25"/>
        <v>1969770112.4592478</v>
      </c>
      <c r="DA60" s="6">
        <f t="shared" si="26"/>
        <v>62412851.01843036</v>
      </c>
      <c r="DB60" s="6">
        <f t="shared" si="27"/>
        <v>46496369</v>
      </c>
      <c r="DC60" s="6">
        <f t="shared" si="28"/>
        <v>47934828</v>
      </c>
      <c r="DD60" s="6">
        <f t="shared" si="29"/>
        <v>26736094</v>
      </c>
      <c r="DE60" s="6">
        <f t="shared" si="30"/>
        <v>67333378</v>
      </c>
      <c r="DF60" s="6">
        <f t="shared" si="31"/>
        <v>33817502.692700654</v>
      </c>
      <c r="DG60" s="30"/>
      <c r="DH60" s="32">
        <f>VLOOKUP(A60,'T_med_comp-USA'!$A$7:$Q$233,17,0)</f>
        <v>15.225034598435256</v>
      </c>
      <c r="DI60" s="6" t="str">
        <f t="shared" si="32"/>
        <v>10_2006</v>
      </c>
      <c r="DJ60" s="32">
        <f>IF(DI60="","",VLOOKUP(DI60,'CPI USA'!$T:$U,2,FALSE))</f>
        <v>201.6</v>
      </c>
      <c r="DK60" s="32">
        <f>IF(DI60="","",VLOOKUP(DI60,'PPI USA'!$S:$T,2,FALSE))</f>
        <v>145.30000000000001</v>
      </c>
      <c r="DL60" s="32">
        <f>IF(DI60="","",VLOOKUP(DI60,'CPI USA'!$T:$V,3,FALSE))</f>
        <v>0.67263024008352756</v>
      </c>
      <c r="DM60" s="32">
        <f>IF(DI60="","",VLOOKUP(DI60,'CPI USA'!$T:$X,5,FALSE))</f>
        <v>0.50115228263529643</v>
      </c>
      <c r="DN60" s="32">
        <f t="shared" si="33"/>
        <v>1.595396421204319</v>
      </c>
      <c r="DO60" s="32">
        <f t="shared" si="34"/>
        <v>1.6147712829199015</v>
      </c>
      <c r="DP60" s="32">
        <f t="shared" si="35"/>
        <v>0.43832361729072422</v>
      </c>
      <c r="DQ60" s="32">
        <f>IF(DP60="","",DP60*$DO$1/'CPI USA'!$U$508+(1-DP60)*AVERAGE($DO$1,$DQ$1)/AVERAGE('CPI USA'!$U$508,'PPI USA'!$T$514))</f>
        <v>1.1600732830455844</v>
      </c>
      <c r="DR60" s="6">
        <f t="shared" si="36"/>
        <v>9842829</v>
      </c>
      <c r="DS60" s="32">
        <f t="shared" si="37"/>
        <v>0.37041255443171267</v>
      </c>
      <c r="DT60" s="28">
        <f>IF(DS60="","",DS60*$DO$1/'CPI USA'!$U$508+(1-DS60)*AVERAGE($DO$1,$DQ$1)/AVERAGE('CPI USA'!$U$508,'PPI USA'!$T$514))</f>
        <v>1.1640872164591214</v>
      </c>
      <c r="DU60" s="6">
        <f t="shared" si="38"/>
        <v>13442114.014856601</v>
      </c>
      <c r="DV60" s="6">
        <f t="shared" si="39"/>
        <v>49167.719701986265</v>
      </c>
      <c r="DW60" s="6">
        <f t="shared" si="40"/>
        <v>8482751.616358459</v>
      </c>
      <c r="DX60" s="16">
        <f t="shared" si="41"/>
        <v>0.25083909043908853</v>
      </c>
      <c r="DY60" s="28">
        <f>IF(DX60="","",DX60*$DO$1/'CPI USA'!$U$508+(1-DX60)*AVERAGE($DO$1,$DQ$1)/AVERAGE('CPI USA'!$U$508,'PPI USA'!$T$514))</f>
        <v>1.1711546941613742</v>
      </c>
      <c r="DZ60" s="30"/>
      <c r="EA60" s="45" t="str">
        <f t="shared" si="42"/>
        <v>C000602</v>
      </c>
      <c r="EB60" s="29">
        <f t="shared" si="43"/>
        <v>3142564188.012713</v>
      </c>
      <c r="EC60" s="29">
        <f t="shared" si="44"/>
        <v>100782479.50971948</v>
      </c>
      <c r="ED60" s="29">
        <f t="shared" si="45"/>
        <v>55607913.290185407</v>
      </c>
      <c r="EE60" s="29">
        <f t="shared" si="46"/>
        <v>31123145.243449416</v>
      </c>
      <c r="EF60" s="29">
        <f t="shared" si="47"/>
        <v>39605527.023371279</v>
      </c>
      <c r="EG60" s="29">
        <f t="shared" si="48"/>
        <v>3317</v>
      </c>
      <c r="EH60" s="29">
        <f t="shared" si="49"/>
        <v>534193</v>
      </c>
      <c r="EI60" s="29">
        <f t="shared" si="50"/>
        <v>133745</v>
      </c>
      <c r="EJ60" s="29">
        <f t="shared" si="51"/>
        <v>3720682</v>
      </c>
      <c r="EK60" s="29">
        <f t="shared" si="52"/>
        <v>-366885.45685279189</v>
      </c>
      <c r="EL60" s="29">
        <f>IF(CD60=1,VLOOKUP(EA60,'EIA 2021'!$A$2:$J$213,4,0)*EH60,"")</f>
        <v>57687502.07</v>
      </c>
      <c r="EM60" s="29">
        <f>IF(CD60=1,VLOOKUP(EA60,'EIA 2021'!$A$2:$J$213,7,0)*EH60,"")</f>
        <v>528851.06999999995</v>
      </c>
      <c r="EN60" s="29">
        <f>IF(CD60=1,VLOOKUP(EA60,'EIA 2021'!$A$2:$J$213,10,0),"")</f>
        <v>342852</v>
      </c>
      <c r="EO60" s="28">
        <f>IF(CD60=1,VLOOKUP(EA60,'EIA 2021'!$A$2:$Z$213,26,0),"")</f>
        <v>0</v>
      </c>
      <c r="EP60" s="23">
        <f t="shared" si="53"/>
        <v>-0.34407344523840994</v>
      </c>
      <c r="EQ60" s="32">
        <f t="shared" si="54"/>
        <v>7509.4568527918891</v>
      </c>
      <c r="ER60" s="32">
        <f t="shared" si="55"/>
        <v>126235.54314720811</v>
      </c>
      <c r="ES60" s="6"/>
      <c r="ET60" s="32"/>
    </row>
    <row r="61" spans="1:150" ht="15.75" customHeight="1">
      <c r="A61" s="7" t="s">
        <v>384</v>
      </c>
      <c r="B61" s="7" t="s">
        <v>385</v>
      </c>
      <c r="C61" s="32" t="s">
        <v>386</v>
      </c>
      <c r="D61" s="40">
        <v>0</v>
      </c>
      <c r="E61" s="40">
        <v>0</v>
      </c>
      <c r="F61" s="40">
        <v>0</v>
      </c>
      <c r="G61" s="40">
        <v>29853497</v>
      </c>
      <c r="H61" s="40">
        <v>32730313</v>
      </c>
      <c r="I61" s="40">
        <v>2162042</v>
      </c>
      <c r="J61" s="40">
        <v>1782051</v>
      </c>
      <c r="K61" s="40">
        <v>1087768</v>
      </c>
      <c r="L61" s="40">
        <v>15414167</v>
      </c>
      <c r="M61" s="40">
        <v>92334</v>
      </c>
      <c r="N61" s="40">
        <v>643497</v>
      </c>
      <c r="O61" s="40">
        <v>12631285</v>
      </c>
      <c r="P61" s="40">
        <v>5030273</v>
      </c>
      <c r="Q61" s="40">
        <v>14021</v>
      </c>
      <c r="R61" s="40">
        <v>539</v>
      </c>
      <c r="S61" s="40">
        <v>1189022</v>
      </c>
      <c r="T61" s="40">
        <v>65901261</v>
      </c>
      <c r="U61" s="40">
        <v>1082019</v>
      </c>
      <c r="V61" s="40">
        <v>0</v>
      </c>
      <c r="W61" s="40">
        <v>12685519</v>
      </c>
      <c r="X61" s="40">
        <f>IFERROR(VLOOKUP(A61,'Trans 21-23'!$A$2:$J$229,6,0),0)</f>
        <v>15158133</v>
      </c>
      <c r="Y61" s="41">
        <v>2526799</v>
      </c>
      <c r="Z61" s="41">
        <v>0</v>
      </c>
      <c r="AA61" s="41">
        <v>40556891</v>
      </c>
      <c r="AB61" s="41">
        <v>33445709</v>
      </c>
      <c r="AC61" s="41">
        <v>1148780</v>
      </c>
      <c r="AD61" s="41">
        <v>60486394</v>
      </c>
      <c r="AE61" s="41">
        <v>0</v>
      </c>
      <c r="AF61" s="41">
        <v>531250992</v>
      </c>
      <c r="AG61" s="41">
        <v>653222</v>
      </c>
      <c r="AH61" s="41">
        <v>5598</v>
      </c>
      <c r="AI61" s="41">
        <v>326628</v>
      </c>
      <c r="AJ61" s="41">
        <v>0</v>
      </c>
      <c r="AK61" s="41">
        <v>0</v>
      </c>
      <c r="AL61" s="41">
        <v>103</v>
      </c>
      <c r="AM61" s="41">
        <v>152</v>
      </c>
      <c r="AN61" s="41">
        <v>0</v>
      </c>
      <c r="AO61" s="41">
        <v>1</v>
      </c>
      <c r="AP61" s="41">
        <v>0</v>
      </c>
      <c r="AQ61" s="41">
        <v>256</v>
      </c>
      <c r="AR61" s="41">
        <v>331970</v>
      </c>
      <c r="AS61" s="41">
        <v>332226</v>
      </c>
      <c r="AT61" s="41">
        <v>0</v>
      </c>
      <c r="AU61" s="41">
        <v>1773</v>
      </c>
      <c r="AV61" s="41">
        <v>0</v>
      </c>
      <c r="AW61" s="41">
        <v>408369720</v>
      </c>
      <c r="AX61" s="41">
        <v>8380954</v>
      </c>
      <c r="AY61" s="41">
        <v>64565176</v>
      </c>
      <c r="AZ61" s="41">
        <v>81167613</v>
      </c>
      <c r="BA61" s="41">
        <v>14850971</v>
      </c>
      <c r="BB61" s="41">
        <v>1702239191</v>
      </c>
      <c r="BC61" s="41">
        <v>4742018454</v>
      </c>
      <c r="BD61" s="41">
        <v>394842542</v>
      </c>
      <c r="BE61" s="41">
        <v>493158650</v>
      </c>
      <c r="BF61" s="41">
        <v>35043995</v>
      </c>
      <c r="BG61" s="41">
        <v>0</v>
      </c>
      <c r="BH61" s="41">
        <v>26207694</v>
      </c>
      <c r="BI61" s="41">
        <v>12924443</v>
      </c>
      <c r="BJ61" s="41">
        <v>338729</v>
      </c>
      <c r="BK61" s="41">
        <v>659176</v>
      </c>
      <c r="BL61" s="41">
        <v>0</v>
      </c>
      <c r="BM61" s="41">
        <v>7392915</v>
      </c>
      <c r="BN61" s="41">
        <v>55233302</v>
      </c>
      <c r="BO61" s="41">
        <v>21498139</v>
      </c>
      <c r="BP61" s="41">
        <v>189611</v>
      </c>
      <c r="BQ61" s="41">
        <v>83424774</v>
      </c>
      <c r="BR61" s="41">
        <v>0</v>
      </c>
      <c r="BS61" s="42">
        <f>IFERROR(VLOOKUP(A61,'Trans 21-23'!$A$2:$J$229,5,0),0)</f>
        <v>965809900</v>
      </c>
      <c r="BT61" s="43"/>
      <c r="BU61" s="6">
        <f t="shared" si="0"/>
        <v>1702239191</v>
      </c>
      <c r="BV61" s="6">
        <f t="shared" si="1"/>
        <v>1773</v>
      </c>
      <c r="BW61" s="6">
        <f t="shared" si="2"/>
        <v>653222</v>
      </c>
      <c r="BX61" s="6">
        <f t="shared" si="3"/>
        <v>119715798</v>
      </c>
      <c r="BY61" s="6">
        <f t="shared" si="4"/>
        <v>77678179</v>
      </c>
      <c r="BZ61" s="6">
        <f t="shared" si="5"/>
        <v>81167613</v>
      </c>
      <c r="CA61" s="6">
        <f t="shared" si="6"/>
        <v>60486394</v>
      </c>
      <c r="CB61" s="6">
        <f t="shared" si="7"/>
        <v>5598</v>
      </c>
      <c r="CC61" s="6">
        <f t="shared" si="8"/>
        <v>256</v>
      </c>
      <c r="CD61" s="6">
        <v>0</v>
      </c>
      <c r="CE61" s="44">
        <f t="shared" si="10"/>
        <v>15</v>
      </c>
      <c r="CF61" s="27"/>
      <c r="CG61" s="28" t="str">
        <f t="shared" si="11"/>
        <v/>
      </c>
      <c r="CH61" s="28" t="str">
        <f t="shared" si="12"/>
        <v/>
      </c>
      <c r="CI61" s="28" t="str">
        <f t="shared" si="13"/>
        <v/>
      </c>
      <c r="CJ61" s="28" t="str">
        <f t="shared" si="14"/>
        <v/>
      </c>
      <c r="CK61" s="23" t="str">
        <f t="shared" si="15"/>
        <v/>
      </c>
      <c r="CL61" s="29" t="str">
        <f t="shared" si="16"/>
        <v/>
      </c>
      <c r="CM61" s="29" t="str">
        <f t="shared" si="17"/>
        <v/>
      </c>
      <c r="CN61" s="29" t="str">
        <f t="shared" si="18"/>
        <v/>
      </c>
      <c r="CO61" s="29" t="str">
        <f t="shared" si="19"/>
        <v/>
      </c>
      <c r="CP61" s="29" t="str">
        <f t="shared" si="20"/>
        <v/>
      </c>
      <c r="CQ61" s="29">
        <f t="shared" si="21"/>
        <v>0</v>
      </c>
      <c r="CR61" s="13"/>
      <c r="CS61" s="7" t="str">
        <f>VLOOKUP(A61,'Empresas 21-23'!$A$2:$M$228,13,0)</f>
        <v/>
      </c>
      <c r="CT61" s="30"/>
      <c r="CU61" s="6">
        <f t="shared" si="22"/>
        <v>2528262829</v>
      </c>
      <c r="CV61" s="6">
        <f t="shared" si="23"/>
        <v>81167613</v>
      </c>
      <c r="CW61" s="6">
        <f t="shared" si="24"/>
        <v>394842542</v>
      </c>
      <c r="CX61" s="23">
        <f t="shared" si="58"/>
        <v>0.58158742139257602</v>
      </c>
      <c r="CY61" s="23">
        <f t="shared" si="59"/>
        <v>1.8671343107129361E-2</v>
      </c>
      <c r="CZ61" s="6">
        <f t="shared" si="25"/>
        <v>2757898284.8578701</v>
      </c>
      <c r="DA61" s="6">
        <f t="shared" si="26"/>
        <v>88539853.574973136</v>
      </c>
      <c r="DB61" s="6">
        <f t="shared" si="27"/>
        <v>119715798</v>
      </c>
      <c r="DC61" s="6">
        <f t="shared" si="28"/>
        <v>134873931</v>
      </c>
      <c r="DD61" s="6">
        <f t="shared" si="29"/>
        <v>77678179</v>
      </c>
      <c r="DE61" s="6">
        <f t="shared" si="30"/>
        <v>60486394</v>
      </c>
      <c r="DF61" s="6">
        <f t="shared" si="31"/>
        <v>29350466.644389126</v>
      </c>
      <c r="DG61" s="30"/>
      <c r="DH61" s="32">
        <f>VLOOKUP(A61,'T_med_comp-USA'!$A$7:$Q$233,17,0)</f>
        <v>13.253804205895468</v>
      </c>
      <c r="DI61" s="6" t="str">
        <f t="shared" si="32"/>
        <v>10_2008</v>
      </c>
      <c r="DJ61" s="32">
        <f>IF(DI61="","",VLOOKUP(DI61,'CPI USA'!$T:$U,2,FALSE))</f>
        <v>215.303</v>
      </c>
      <c r="DK61" s="32">
        <f>IF(DI61="","",VLOOKUP(DI61,'PPI USA'!$S:$T,2,FALSE))</f>
        <v>159.30000000000001</v>
      </c>
      <c r="DL61" s="32">
        <f>IF(DI61="","",VLOOKUP(DI61,'CPI USA'!$T:$V,3,FALSE))</f>
        <v>0.67018812038291731</v>
      </c>
      <c r="DM61" s="32">
        <f>IF(DI61="","",VLOOKUP(DI61,'CPI USA'!$T:$X,5,FALSE))</f>
        <v>0.49838492968660258</v>
      </c>
      <c r="DN61" s="32">
        <f t="shared" si="33"/>
        <v>1.4884333659448254</v>
      </c>
      <c r="DO61" s="32">
        <f t="shared" si="34"/>
        <v>1.5036496327119213</v>
      </c>
      <c r="DP61" s="32">
        <f t="shared" si="35"/>
        <v>0.3041232979780103</v>
      </c>
      <c r="DQ61" s="32">
        <f>IF(DP61="","",DP61*$DO$1/'CPI USA'!$U$508+(1-DP61)*AVERAGE($DO$1,$DQ$1)/AVERAGE('CPI USA'!$U$508,'PPI USA'!$T$514))</f>
        <v>1.168005291809973</v>
      </c>
      <c r="DR61" s="6">
        <f t="shared" si="36"/>
        <v>13922348</v>
      </c>
      <c r="DS61" s="32">
        <f t="shared" si="37"/>
        <v>0.248992230737723</v>
      </c>
      <c r="DT61" s="28">
        <f>IF(DS61="","",DS61*$DO$1/'CPI USA'!$U$508+(1-DS61)*AVERAGE($DO$1,$DQ$1)/AVERAGE('CPI USA'!$U$508,'PPI USA'!$T$514))</f>
        <v>1.1712638541649631</v>
      </c>
      <c r="DU61" s="6">
        <f t="shared" si="38"/>
        <v>10270416.589261945</v>
      </c>
      <c r="DV61" s="6">
        <f t="shared" si="39"/>
        <v>16841.175718788465</v>
      </c>
      <c r="DW61" s="6">
        <f t="shared" si="40"/>
        <v>7474260.4773747353</v>
      </c>
      <c r="DX61" s="16">
        <f t="shared" si="41"/>
        <v>0.25465559263275206</v>
      </c>
      <c r="DY61" s="28">
        <f>IF(DX61="","",DX61*$DO$1/'CPI USA'!$U$508+(1-DX61)*AVERAGE($DO$1,$DQ$1)/AVERAGE('CPI USA'!$U$508,'PPI USA'!$T$514))</f>
        <v>1.1709291169868601</v>
      </c>
      <c r="DZ61" s="30"/>
      <c r="EA61" s="45" t="str">
        <f t="shared" si="42"/>
        <v>C000615</v>
      </c>
      <c r="EB61" s="29" t="str">
        <f t="shared" si="43"/>
        <v/>
      </c>
      <c r="EC61" s="29" t="str">
        <f t="shared" si="44"/>
        <v/>
      </c>
      <c r="ED61" s="29" t="str">
        <f t="shared" si="45"/>
        <v/>
      </c>
      <c r="EE61" s="29" t="str">
        <f t="shared" si="46"/>
        <v/>
      </c>
      <c r="EF61" s="29" t="str">
        <f t="shared" si="47"/>
        <v/>
      </c>
      <c r="EG61" s="29" t="str">
        <f t="shared" si="48"/>
        <v/>
      </c>
      <c r="EH61" s="29" t="str">
        <f t="shared" si="49"/>
        <v/>
      </c>
      <c r="EI61" s="29" t="str">
        <f t="shared" si="50"/>
        <v/>
      </c>
      <c r="EJ61" s="29" t="str">
        <f t="shared" si="51"/>
        <v/>
      </c>
      <c r="EK61" s="29" t="str">
        <f t="shared" si="52"/>
        <v/>
      </c>
      <c r="EL61" s="29" t="str">
        <f>IF(CD61=1,VLOOKUP(EA61,'EIA 2021'!$A$2:$J$213,4,0)*EH61,"")</f>
        <v/>
      </c>
      <c r="EM61" s="29" t="str">
        <f>IF(CD61=1,VLOOKUP(EA61,'EIA 2021'!$A$2:$J$213,7,0)*EH61,"")</f>
        <v/>
      </c>
      <c r="EN61" s="29" t="str">
        <f>IF(CD61=1,VLOOKUP(EA61,'EIA 2021'!$A$2:$J$213,10,0),"")</f>
        <v/>
      </c>
      <c r="EO61" s="28" t="str">
        <f>IF(CD61=1,VLOOKUP(EA61,'EIA 2021'!$A$2:$Z$213,26,0),"")</f>
        <v/>
      </c>
      <c r="EP61" s="23" t="str">
        <f t="shared" si="53"/>
        <v/>
      </c>
      <c r="EQ61" s="32" t="str">
        <f t="shared" si="54"/>
        <v/>
      </c>
      <c r="ER61" s="32" t="str">
        <f t="shared" si="55"/>
        <v/>
      </c>
      <c r="ES61" s="6"/>
      <c r="ET61" s="32"/>
    </row>
    <row r="62" spans="1:150" ht="15.75" customHeight="1">
      <c r="A62" s="7" t="s">
        <v>387</v>
      </c>
      <c r="B62" s="7" t="s">
        <v>388</v>
      </c>
      <c r="C62" s="32" t="s">
        <v>389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f>IFERROR(VLOOKUP(A62,'Trans 21-23'!$A$2:$J$229,6,0),0)</f>
        <v>0</v>
      </c>
      <c r="Y62" s="41">
        <v>0</v>
      </c>
      <c r="Z62" s="41">
        <v>0</v>
      </c>
      <c r="AA62" s="41">
        <v>2419</v>
      </c>
      <c r="AB62" s="41">
        <v>0</v>
      </c>
      <c r="AC62" s="41">
        <v>0</v>
      </c>
      <c r="AD62" s="41">
        <v>496009</v>
      </c>
      <c r="AE62" s="41">
        <v>0</v>
      </c>
      <c r="AF62" s="41">
        <v>1257084</v>
      </c>
      <c r="AG62" s="41">
        <v>0</v>
      </c>
      <c r="AH62" s="41">
        <v>0</v>
      </c>
      <c r="AI62" s="41">
        <v>0</v>
      </c>
      <c r="AJ62" s="41">
        <v>0</v>
      </c>
      <c r="AK62" s="41">
        <v>0</v>
      </c>
      <c r="AL62" s="41">
        <v>0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141757625</v>
      </c>
      <c r="BD62" s="41">
        <v>781989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2">
        <f>IFERROR(VLOOKUP(A62,'Trans 21-23'!$A$2:$J$229,5,0),0)</f>
        <v>0</v>
      </c>
      <c r="BT62" s="43"/>
      <c r="BU62" s="6">
        <f t="shared" si="0"/>
        <v>0</v>
      </c>
      <c r="BV62" s="6">
        <f t="shared" si="1"/>
        <v>0</v>
      </c>
      <c r="BW62" s="6">
        <f t="shared" si="2"/>
        <v>0</v>
      </c>
      <c r="BX62" s="6">
        <f t="shared" si="3"/>
        <v>0</v>
      </c>
      <c r="BY62" s="6">
        <f t="shared" si="4"/>
        <v>2419</v>
      </c>
      <c r="BZ62" s="6">
        <f t="shared" si="5"/>
        <v>0</v>
      </c>
      <c r="CA62" s="6">
        <f t="shared" si="6"/>
        <v>496009</v>
      </c>
      <c r="CB62" s="6">
        <f t="shared" si="7"/>
        <v>0</v>
      </c>
      <c r="CC62" s="6">
        <f t="shared" si="8"/>
        <v>0</v>
      </c>
      <c r="CD62" s="6">
        <f t="shared" ref="CD62:CD94" si="60">IF(OR(BU62&lt;=0,BV62&lt;=0,BW62&lt;=0,BX62&lt;=0,BY62&lt;=0,BZ62&lt;=0,CA62&lt;=0,CB62&lt;=0,CC62&lt;=0,DF62&lt;=0),0,1)</f>
        <v>0</v>
      </c>
      <c r="CE62" s="44">
        <f t="shared" si="10"/>
        <v>63</v>
      </c>
      <c r="CF62" s="27"/>
      <c r="CG62" s="28" t="str">
        <f t="shared" si="11"/>
        <v/>
      </c>
      <c r="CH62" s="28" t="str">
        <f t="shared" si="12"/>
        <v/>
      </c>
      <c r="CI62" s="28" t="str">
        <f t="shared" si="13"/>
        <v/>
      </c>
      <c r="CJ62" s="28" t="str">
        <f t="shared" si="14"/>
        <v/>
      </c>
      <c r="CK62" s="23" t="str">
        <f t="shared" si="15"/>
        <v/>
      </c>
      <c r="CL62" s="29" t="str">
        <f t="shared" si="16"/>
        <v/>
      </c>
      <c r="CM62" s="29" t="str">
        <f t="shared" si="17"/>
        <v/>
      </c>
      <c r="CN62" s="29" t="str">
        <f t="shared" si="18"/>
        <v/>
      </c>
      <c r="CO62" s="29" t="str">
        <f t="shared" si="19"/>
        <v/>
      </c>
      <c r="CP62" s="29" t="str">
        <f t="shared" si="20"/>
        <v/>
      </c>
      <c r="CQ62" s="29">
        <f t="shared" si="21"/>
        <v>0</v>
      </c>
      <c r="CR62" s="13"/>
      <c r="CS62" s="7" t="str">
        <f>VLOOKUP(A62,'Empresas 21-23'!$A$2:$M$228,13,0)</f>
        <v/>
      </c>
      <c r="CT62" s="30"/>
      <c r="CU62" s="6">
        <f t="shared" si="22"/>
        <v>0</v>
      </c>
      <c r="CV62" s="6">
        <f t="shared" si="23"/>
        <v>0</v>
      </c>
      <c r="CW62" s="6">
        <f t="shared" si="24"/>
        <v>781989</v>
      </c>
      <c r="CX62" s="23">
        <f t="shared" si="58"/>
        <v>0</v>
      </c>
      <c r="CY62" s="23">
        <f t="shared" si="59"/>
        <v>0</v>
      </c>
      <c r="CZ62" s="6">
        <f t="shared" si="25"/>
        <v>0</v>
      </c>
      <c r="DA62" s="6">
        <f t="shared" si="26"/>
        <v>0</v>
      </c>
      <c r="DB62" s="6">
        <f t="shared" si="27"/>
        <v>0</v>
      </c>
      <c r="DC62" s="6">
        <f t="shared" si="28"/>
        <v>0</v>
      </c>
      <c r="DD62" s="6">
        <f t="shared" si="29"/>
        <v>2419</v>
      </c>
      <c r="DE62" s="6">
        <f t="shared" si="30"/>
        <v>496009</v>
      </c>
      <c r="DF62" s="6">
        <f t="shared" si="31"/>
        <v>1576.5144972571691</v>
      </c>
      <c r="DG62" s="30"/>
      <c r="DH62" s="32" t="str">
        <f>VLOOKUP(A62,'T_med_comp-USA'!$A$7:$Q$233,17,0)</f>
        <v>-</v>
      </c>
      <c r="DI62" s="6" t="str">
        <f t="shared" si="32"/>
        <v/>
      </c>
      <c r="DJ62" s="32" t="str">
        <f>IF(DI62="","",VLOOKUP(DI62,'CPI USA'!$T:$U,2,FALSE))</f>
        <v/>
      </c>
      <c r="DK62" s="32" t="str">
        <f>IF(DI62="","",VLOOKUP(DI62,'PPI USA'!$S:$T,2,FALSE))</f>
        <v/>
      </c>
      <c r="DL62" s="32" t="str">
        <f>IF(DI62="","",VLOOKUP(DI62,'CPI USA'!$T:$V,3,FALSE))</f>
        <v/>
      </c>
      <c r="DM62" s="32" t="str">
        <f>IF(DI62="","",VLOOKUP(DI62,'CPI USA'!$T:$X,5,FALSE))</f>
        <v/>
      </c>
      <c r="DN62" s="32" t="str">
        <f t="shared" si="33"/>
        <v/>
      </c>
      <c r="DO62" s="32" t="str">
        <f t="shared" si="34"/>
        <v/>
      </c>
      <c r="DP62" s="32" t="str">
        <f t="shared" si="35"/>
        <v/>
      </c>
      <c r="DQ62" s="32" t="str">
        <f>IF(DP62="","",DP62*$DO$1/'CPI USA'!$U$508+(1-DP62)*AVERAGE($DO$1,$DQ$1)/AVERAGE('CPI USA'!$U$508,'PPI USA'!$T$514))</f>
        <v/>
      </c>
      <c r="DR62" s="6">
        <f t="shared" si="36"/>
        <v>0</v>
      </c>
      <c r="DS62" s="32">
        <f t="shared" si="37"/>
        <v>0.2</v>
      </c>
      <c r="DT62" s="28">
        <f>IF(DS62="","",DS62*$DO$1/'CPI USA'!$U$508+(1-DS62)*AVERAGE($DO$1,$DQ$1)/AVERAGE('CPI USA'!$U$508,'PPI USA'!$T$514))</f>
        <v>1.1741595760647974</v>
      </c>
      <c r="DU62" s="6" t="str">
        <f t="shared" si="38"/>
        <v/>
      </c>
      <c r="DV62" s="6" t="str">
        <f t="shared" si="39"/>
        <v/>
      </c>
      <c r="DW62" s="6">
        <f t="shared" si="40"/>
        <v>0</v>
      </c>
      <c r="DX62" s="16" t="str">
        <f t="shared" si="41"/>
        <v/>
      </c>
      <c r="DY62" s="28" t="str">
        <f>IF(DX62="","",DX62*$DO$1/'CPI USA'!$U$508+(1-DX62)*AVERAGE($DO$1,$DQ$1)/AVERAGE('CPI USA'!$U$508,'PPI USA'!$T$514))</f>
        <v/>
      </c>
      <c r="DZ62" s="30"/>
      <c r="EA62" s="45" t="str">
        <f t="shared" si="42"/>
        <v>C000616</v>
      </c>
      <c r="EB62" s="29" t="str">
        <f t="shared" si="43"/>
        <v/>
      </c>
      <c r="EC62" s="29" t="str">
        <f t="shared" si="44"/>
        <v/>
      </c>
      <c r="ED62" s="29" t="str">
        <f t="shared" si="45"/>
        <v/>
      </c>
      <c r="EE62" s="29" t="str">
        <f t="shared" si="46"/>
        <v/>
      </c>
      <c r="EF62" s="29" t="str">
        <f t="shared" si="47"/>
        <v/>
      </c>
      <c r="EG62" s="29" t="str">
        <f t="shared" si="48"/>
        <v/>
      </c>
      <c r="EH62" s="29" t="str">
        <f t="shared" si="49"/>
        <v/>
      </c>
      <c r="EI62" s="29" t="str">
        <f t="shared" si="50"/>
        <v/>
      </c>
      <c r="EJ62" s="29" t="str">
        <f t="shared" si="51"/>
        <v/>
      </c>
      <c r="EK62" s="29" t="str">
        <f t="shared" si="52"/>
        <v/>
      </c>
      <c r="EL62" s="29" t="str">
        <f>IF(CD62=1,VLOOKUP(EA62,'EIA 2021'!$A$2:$J$213,4,0)*EH62,"")</f>
        <v/>
      </c>
      <c r="EM62" s="29" t="str">
        <f>IF(CD62=1,VLOOKUP(EA62,'EIA 2021'!$A$2:$J$213,7,0)*EH62,"")</f>
        <v/>
      </c>
      <c r="EN62" s="29" t="str">
        <f>IF(CD62=1,VLOOKUP(EA62,'EIA 2021'!$A$2:$J$213,10,0),"")</f>
        <v/>
      </c>
      <c r="EO62" s="28" t="str">
        <f>IF(CD62=1,VLOOKUP(EA62,'EIA 2021'!$A$2:$Z$213,26,0),"")</f>
        <v/>
      </c>
      <c r="EP62" s="23" t="str">
        <f t="shared" si="53"/>
        <v/>
      </c>
      <c r="EQ62" s="32" t="str">
        <f t="shared" si="54"/>
        <v/>
      </c>
      <c r="ER62" s="32" t="str">
        <f t="shared" si="55"/>
        <v/>
      </c>
      <c r="ES62" s="6"/>
      <c r="ET62" s="32"/>
    </row>
    <row r="63" spans="1:150" ht="15.75" customHeight="1">
      <c r="A63" s="7" t="s">
        <v>390</v>
      </c>
      <c r="B63" s="7" t="s">
        <v>391</v>
      </c>
      <c r="C63" s="32" t="s">
        <v>392</v>
      </c>
      <c r="D63" s="40">
        <v>0</v>
      </c>
      <c r="E63" s="40">
        <v>0</v>
      </c>
      <c r="F63" s="40">
        <v>0</v>
      </c>
      <c r="G63" s="40">
        <v>136997564</v>
      </c>
      <c r="H63" s="40">
        <v>152864757</v>
      </c>
      <c r="I63" s="40">
        <v>2757922</v>
      </c>
      <c r="J63" s="40">
        <v>3341811</v>
      </c>
      <c r="K63" s="40">
        <v>1134851</v>
      </c>
      <c r="L63" s="40">
        <v>8046189</v>
      </c>
      <c r="M63" s="40">
        <v>1011857</v>
      </c>
      <c r="N63" s="40">
        <v>352516</v>
      </c>
      <c r="O63" s="40">
        <v>4847641</v>
      </c>
      <c r="P63" s="40">
        <v>86542</v>
      </c>
      <c r="Q63" s="40">
        <v>1492802</v>
      </c>
      <c r="R63" s="40">
        <v>0</v>
      </c>
      <c r="S63" s="40">
        <v>4352686</v>
      </c>
      <c r="T63" s="40">
        <v>61493470</v>
      </c>
      <c r="U63" s="40">
        <v>3362925</v>
      </c>
      <c r="V63" s="40">
        <v>0</v>
      </c>
      <c r="W63" s="40">
        <v>2225028</v>
      </c>
      <c r="X63" s="40">
        <f>IFERROR(VLOOKUP(A63,'Trans 21-23'!$A$2:$J$229,6,0),0)</f>
        <v>7166897</v>
      </c>
      <c r="Y63" s="41">
        <v>1379523</v>
      </c>
      <c r="Z63" s="41">
        <v>0</v>
      </c>
      <c r="AA63" s="41">
        <v>38551556</v>
      </c>
      <c r="AB63" s="41">
        <v>48488839</v>
      </c>
      <c r="AC63" s="41">
        <v>5452910</v>
      </c>
      <c r="AD63" s="41">
        <v>29431614</v>
      </c>
      <c r="AE63" s="41">
        <v>0</v>
      </c>
      <c r="AF63" s="41">
        <v>378756809</v>
      </c>
      <c r="AG63" s="41">
        <v>388685</v>
      </c>
      <c r="AH63" s="41">
        <v>467474</v>
      </c>
      <c r="AI63" s="41">
        <v>7664784</v>
      </c>
      <c r="AJ63" s="41">
        <v>12811</v>
      </c>
      <c r="AK63" s="41">
        <v>0</v>
      </c>
      <c r="AL63" s="41">
        <v>2875542</v>
      </c>
      <c r="AM63" s="41">
        <v>2490686</v>
      </c>
      <c r="AN63" s="41">
        <v>1098648</v>
      </c>
      <c r="AO63" s="41">
        <v>33232</v>
      </c>
      <c r="AP63" s="41">
        <v>485223</v>
      </c>
      <c r="AQ63" s="41">
        <v>6983377</v>
      </c>
      <c r="AR63" s="41">
        <v>201122</v>
      </c>
      <c r="AS63" s="41">
        <v>7184499</v>
      </c>
      <c r="AT63" s="41">
        <v>0</v>
      </c>
      <c r="AU63" s="41">
        <v>1561</v>
      </c>
      <c r="AV63" s="41">
        <v>0</v>
      </c>
      <c r="AW63" s="41">
        <v>255887185</v>
      </c>
      <c r="AX63" s="41">
        <v>180612827</v>
      </c>
      <c r="AY63" s="41">
        <v>257484694</v>
      </c>
      <c r="AZ63" s="41">
        <v>44753540</v>
      </c>
      <c r="BA63" s="41">
        <v>17593982</v>
      </c>
      <c r="BB63" s="41">
        <v>1620539346</v>
      </c>
      <c r="BC63" s="41">
        <v>3157232391</v>
      </c>
      <c r="BD63" s="41">
        <v>36041418</v>
      </c>
      <c r="BE63" s="41">
        <v>484275868</v>
      </c>
      <c r="BF63" s="41">
        <v>33111655</v>
      </c>
      <c r="BG63" s="41">
        <v>0</v>
      </c>
      <c r="BH63" s="41">
        <v>23989670</v>
      </c>
      <c r="BI63" s="41">
        <v>4884598</v>
      </c>
      <c r="BJ63" s="41">
        <v>725782</v>
      </c>
      <c r="BK63" s="41">
        <v>246638</v>
      </c>
      <c r="BL63" s="41">
        <v>0</v>
      </c>
      <c r="BM63" s="41">
        <v>4113683</v>
      </c>
      <c r="BN63" s="41">
        <v>39250541</v>
      </c>
      <c r="BO63" s="41">
        <v>14291553</v>
      </c>
      <c r="BP63" s="41">
        <v>276865</v>
      </c>
      <c r="BQ63" s="41">
        <v>83839496</v>
      </c>
      <c r="BR63" s="41">
        <v>46</v>
      </c>
      <c r="BS63" s="42">
        <f>IFERROR(VLOOKUP(A63,'Trans 21-23'!$A$2:$J$229,5,0),0)</f>
        <v>456643286</v>
      </c>
      <c r="BT63" s="43"/>
      <c r="BU63" s="6">
        <f t="shared" si="0"/>
        <v>1620539346</v>
      </c>
      <c r="BV63" s="6">
        <f t="shared" si="1"/>
        <v>1561</v>
      </c>
      <c r="BW63" s="6">
        <f t="shared" si="2"/>
        <v>388685</v>
      </c>
      <c r="BX63" s="6">
        <f t="shared" si="3"/>
        <v>94506240</v>
      </c>
      <c r="BY63" s="6">
        <f t="shared" si="4"/>
        <v>93872828</v>
      </c>
      <c r="BZ63" s="6">
        <f t="shared" si="5"/>
        <v>44753540</v>
      </c>
      <c r="CA63" s="6">
        <f t="shared" si="6"/>
        <v>29431614</v>
      </c>
      <c r="CB63" s="6">
        <f t="shared" si="7"/>
        <v>467474</v>
      </c>
      <c r="CC63" s="6">
        <f t="shared" si="8"/>
        <v>6983377</v>
      </c>
      <c r="CD63" s="6">
        <f t="shared" si="60"/>
        <v>1</v>
      </c>
      <c r="CE63" s="44">
        <f t="shared" si="10"/>
        <v>12</v>
      </c>
      <c r="CF63" s="27"/>
      <c r="CG63" s="28">
        <f t="shared" si="11"/>
        <v>1038.141797565663</v>
      </c>
      <c r="CH63" s="28">
        <f t="shared" si="12"/>
        <v>4.0161055867862148</v>
      </c>
      <c r="CI63" s="28">
        <f t="shared" si="13"/>
        <v>243.14352238959569</v>
      </c>
      <c r="CJ63" s="28">
        <f t="shared" si="14"/>
        <v>115.14089815660496</v>
      </c>
      <c r="CK63" s="23">
        <f t="shared" si="15"/>
        <v>6.6940965667470056E-2</v>
      </c>
      <c r="CL63" s="29" t="str">
        <f t="shared" si="16"/>
        <v/>
      </c>
      <c r="CM63" s="29" t="str">
        <f t="shared" si="17"/>
        <v/>
      </c>
      <c r="CN63" s="29" t="str">
        <f t="shared" si="18"/>
        <v/>
      </c>
      <c r="CO63" s="29" t="str">
        <f t="shared" si="19"/>
        <v/>
      </c>
      <c r="CP63" s="29" t="str">
        <f t="shared" si="20"/>
        <v/>
      </c>
      <c r="CQ63" s="29">
        <f t="shared" si="21"/>
        <v>0</v>
      </c>
      <c r="CR63" s="13"/>
      <c r="CS63" s="7">
        <f>VLOOKUP(A63,'Empresas 21-23'!$A$2:$M$228,13,0)</f>
        <v>1</v>
      </c>
      <c r="CT63" s="30"/>
      <c r="CU63" s="6">
        <f t="shared" si="22"/>
        <v>1751976597.4000001</v>
      </c>
      <c r="CV63" s="6">
        <f t="shared" si="23"/>
        <v>44753540</v>
      </c>
      <c r="CW63" s="6">
        <f t="shared" si="24"/>
        <v>36041418</v>
      </c>
      <c r="CX63" s="23">
        <f t="shared" si="58"/>
        <v>0.56131669370940473</v>
      </c>
      <c r="CY63" s="23">
        <f t="shared" si="59"/>
        <v>1.4338609968804367E-2</v>
      </c>
      <c r="CZ63" s="6">
        <f t="shared" si="25"/>
        <v>1772207246.9883587</v>
      </c>
      <c r="DA63" s="6">
        <f t="shared" si="26"/>
        <v>45270323.835424647</v>
      </c>
      <c r="DB63" s="6">
        <f t="shared" si="27"/>
        <v>94506240</v>
      </c>
      <c r="DC63" s="6">
        <f t="shared" si="28"/>
        <v>101673137</v>
      </c>
      <c r="DD63" s="6">
        <f t="shared" si="29"/>
        <v>93872828</v>
      </c>
      <c r="DE63" s="6">
        <f t="shared" si="30"/>
        <v>29431614</v>
      </c>
      <c r="DF63" s="6">
        <f t="shared" si="31"/>
        <v>29294617.378067281</v>
      </c>
      <c r="DG63" s="30"/>
      <c r="DH63" s="32">
        <f>VLOOKUP(A63,'T_med_comp-USA'!$A$7:$Q$233,17,0)</f>
        <v>13.765181674941019</v>
      </c>
      <c r="DI63" s="6" t="str">
        <f t="shared" si="32"/>
        <v>3_2008</v>
      </c>
      <c r="DJ63" s="32">
        <f>IF(DI63="","",VLOOKUP(DI63,'CPI USA'!$T:$U,2,FALSE))</f>
        <v>215.303</v>
      </c>
      <c r="DK63" s="32">
        <f>IF(DI63="","",VLOOKUP(DI63,'PPI USA'!$S:$T,2,FALSE))</f>
        <v>159.30000000000001</v>
      </c>
      <c r="DL63" s="32">
        <f>IF(DI63="","",VLOOKUP(DI63,'CPI USA'!$T:$V,3,FALSE))</f>
        <v>0.67018812038291731</v>
      </c>
      <c r="DM63" s="32">
        <f>IF(DI63="","",VLOOKUP(DI63,'CPI USA'!$T:$X,5,FALSE))</f>
        <v>0.49838492968660258</v>
      </c>
      <c r="DN63" s="32">
        <f t="shared" si="33"/>
        <v>1.4884333659448254</v>
      </c>
      <c r="DO63" s="32">
        <f t="shared" si="34"/>
        <v>1.5036496327119213</v>
      </c>
      <c r="DP63" s="32">
        <f t="shared" si="35"/>
        <v>0.34626890546828337</v>
      </c>
      <c r="DQ63" s="32">
        <f>IF(DP63="","",DP63*$DO$1/'CPI USA'!$U$508+(1-DP63)*AVERAGE($DO$1,$DQ$1)/AVERAGE('CPI USA'!$U$508,'PPI USA'!$T$514))</f>
        <v>1.1655142446224149</v>
      </c>
      <c r="DR63" s="6">
        <f t="shared" si="36"/>
        <v>5857018</v>
      </c>
      <c r="DS63" s="32">
        <f t="shared" si="37"/>
        <v>0.2</v>
      </c>
      <c r="DT63" s="28">
        <f>IF(DS63="","",DS63*$DO$1/'CPI USA'!$U$508+(1-DS63)*AVERAGE($DO$1,$DQ$1)/AVERAGE('CPI USA'!$U$508,'PPI USA'!$T$514))</f>
        <v>1.1741595760647974</v>
      </c>
      <c r="DU63" s="6">
        <f t="shared" si="38"/>
        <v>5611520.1538802227</v>
      </c>
      <c r="DV63" s="6">
        <f t="shared" si="39"/>
        <v>13629.714983423632</v>
      </c>
      <c r="DW63" s="6">
        <f t="shared" si="40"/>
        <v>4277446.5984867364</v>
      </c>
      <c r="DX63" s="16">
        <f t="shared" si="41"/>
        <v>0.2</v>
      </c>
      <c r="DY63" s="28">
        <f>IF(DX63="","",DX63*$DO$1/'CPI USA'!$U$508+(1-DX63)*AVERAGE($DO$1,$DQ$1)/AVERAGE('CPI USA'!$U$508,'PPI USA'!$T$514))</f>
        <v>1.1741595760647974</v>
      </c>
      <c r="DZ63" s="30"/>
      <c r="EA63" s="45" t="str">
        <f t="shared" si="42"/>
        <v>C000617</v>
      </c>
      <c r="EB63" s="29">
        <f t="shared" si="43"/>
        <v>2637812397.7866955</v>
      </c>
      <c r="EC63" s="29">
        <f t="shared" si="44"/>
        <v>68070705.807886004</v>
      </c>
      <c r="ED63" s="29">
        <f t="shared" si="45"/>
        <v>118501489.46894631</v>
      </c>
      <c r="EE63" s="29">
        <f t="shared" si="46"/>
        <v>110221679.92848364</v>
      </c>
      <c r="EF63" s="29">
        <f t="shared" si="47"/>
        <v>34396555.521611921</v>
      </c>
      <c r="EG63" s="29">
        <f t="shared" si="48"/>
        <v>1561</v>
      </c>
      <c r="EH63" s="29">
        <f t="shared" si="49"/>
        <v>388685</v>
      </c>
      <c r="EI63" s="29">
        <f t="shared" si="50"/>
        <v>467474</v>
      </c>
      <c r="EJ63" s="29">
        <f t="shared" si="51"/>
        <v>6983377</v>
      </c>
      <c r="EK63" s="29">
        <f t="shared" si="52"/>
        <v>7447788.2284263959</v>
      </c>
      <c r="EL63" s="29">
        <f>IF(CD63=1,VLOOKUP(EA63,'EIA 2021'!$A$2:$J$213,4,0)*EH63,"")</f>
        <v>47341833</v>
      </c>
      <c r="EM63" s="29">
        <f>IF(CD63=1,VLOOKUP(EA63,'EIA 2021'!$A$2:$J$213,7,0)*EH63,"")</f>
        <v>532498.45000000007</v>
      </c>
      <c r="EN63" s="29">
        <f>IF(CD63=1,VLOOKUP(EA63,'EIA 2021'!$A$2:$J$213,10,0),"")</f>
        <v>677</v>
      </c>
      <c r="EO63" s="28">
        <f>IF(CD63=1,VLOOKUP(EA63,'EIA 2021'!$A$2:$Z$213,26,0),"")</f>
        <v>0</v>
      </c>
      <c r="EP63" s="23">
        <f t="shared" si="53"/>
        <v>6.2355589899005352E-2</v>
      </c>
      <c r="EQ63" s="32">
        <f t="shared" si="54"/>
        <v>3062.7715736040554</v>
      </c>
      <c r="ER63" s="32">
        <f t="shared" si="55"/>
        <v>464411.22842639592</v>
      </c>
      <c r="ES63" s="6"/>
      <c r="ET63" s="32"/>
    </row>
    <row r="64" spans="1:150" ht="15.75" customHeight="1">
      <c r="A64" s="7" t="s">
        <v>393</v>
      </c>
      <c r="B64" s="7" t="s">
        <v>394</v>
      </c>
      <c r="C64" s="32" t="s">
        <v>395</v>
      </c>
      <c r="D64" s="40">
        <v>0</v>
      </c>
      <c r="E64" s="40">
        <v>0</v>
      </c>
      <c r="F64" s="40">
        <v>0</v>
      </c>
      <c r="G64" s="40">
        <v>396439188</v>
      </c>
      <c r="H64" s="40">
        <v>433387561</v>
      </c>
      <c r="I64" s="40">
        <v>5306525</v>
      </c>
      <c r="J64" s="40">
        <v>1975536</v>
      </c>
      <c r="K64" s="40">
        <v>1050980</v>
      </c>
      <c r="L64" s="40">
        <v>14163141</v>
      </c>
      <c r="M64" s="40">
        <v>933523</v>
      </c>
      <c r="N64" s="40">
        <v>792769</v>
      </c>
      <c r="O64" s="40">
        <v>15664523</v>
      </c>
      <c r="P64" s="40">
        <v>945574</v>
      </c>
      <c r="Q64" s="40">
        <v>6544554</v>
      </c>
      <c r="R64" s="40">
        <v>15666</v>
      </c>
      <c r="S64" s="40">
        <v>8123332</v>
      </c>
      <c r="T64" s="40">
        <v>226009038</v>
      </c>
      <c r="U64" s="40">
        <v>796712</v>
      </c>
      <c r="V64" s="40">
        <v>0</v>
      </c>
      <c r="W64" s="40">
        <v>-15529071</v>
      </c>
      <c r="X64" s="40">
        <f>IFERROR(VLOOKUP(A64,'Trans 21-23'!$A$2:$J$229,6,0),0)</f>
        <v>0</v>
      </c>
      <c r="Y64" s="41">
        <v>9050526</v>
      </c>
      <c r="Z64" s="41">
        <v>0</v>
      </c>
      <c r="AA64" s="41">
        <v>73327685</v>
      </c>
      <c r="AB64" s="41">
        <v>102956262</v>
      </c>
      <c r="AC64" s="41">
        <v>5877967</v>
      </c>
      <c r="AD64" s="41">
        <v>132293710</v>
      </c>
      <c r="AE64" s="41">
        <v>0</v>
      </c>
      <c r="AF64" s="41">
        <v>1074774347</v>
      </c>
      <c r="AG64" s="41">
        <v>913611</v>
      </c>
      <c r="AH64" s="41">
        <v>882426</v>
      </c>
      <c r="AI64" s="41">
        <v>17259399</v>
      </c>
      <c r="AJ64" s="41">
        <v>33952</v>
      </c>
      <c r="AK64" s="41">
        <v>0</v>
      </c>
      <c r="AL64" s="41">
        <v>7111863</v>
      </c>
      <c r="AM64" s="41">
        <v>4309135</v>
      </c>
      <c r="AN64" s="41">
        <v>2714184</v>
      </c>
      <c r="AO64" s="41">
        <v>42455</v>
      </c>
      <c r="AP64" s="41">
        <v>1217014</v>
      </c>
      <c r="AQ64" s="41">
        <v>15394940</v>
      </c>
      <c r="AR64" s="41">
        <v>948081</v>
      </c>
      <c r="AS64" s="41">
        <v>16343021</v>
      </c>
      <c r="AT64" s="41">
        <v>0</v>
      </c>
      <c r="AU64" s="41">
        <v>3044</v>
      </c>
      <c r="AV64" s="41">
        <v>0</v>
      </c>
      <c r="AW64" s="41">
        <v>704337908</v>
      </c>
      <c r="AX64" s="41">
        <v>36916540</v>
      </c>
      <c r="AY64" s="41">
        <v>174339171</v>
      </c>
      <c r="AZ64" s="41">
        <v>115055062</v>
      </c>
      <c r="BA64" s="41">
        <v>51607420</v>
      </c>
      <c r="BB64" s="41">
        <v>3269518092</v>
      </c>
      <c r="BC64" s="41">
        <v>5257504055</v>
      </c>
      <c r="BD64" s="41">
        <v>194314243</v>
      </c>
      <c r="BE64" s="41">
        <v>1310910835</v>
      </c>
      <c r="BF64" s="41">
        <v>68118111</v>
      </c>
      <c r="BG64" s="41">
        <v>0</v>
      </c>
      <c r="BH64" s="41">
        <v>65783273</v>
      </c>
      <c r="BI64" s="41">
        <v>22918906</v>
      </c>
      <c r="BJ64" s="41">
        <v>409694</v>
      </c>
      <c r="BK64" s="41">
        <v>1469438</v>
      </c>
      <c r="BL64" s="41">
        <v>0</v>
      </c>
      <c r="BM64" s="41">
        <v>12886964</v>
      </c>
      <c r="BN64" s="41">
        <v>120043166</v>
      </c>
      <c r="BO64" s="41">
        <v>43519892</v>
      </c>
      <c r="BP64" s="41">
        <v>1459316</v>
      </c>
      <c r="BQ64" s="41">
        <v>216499356</v>
      </c>
      <c r="BR64" s="41">
        <v>289</v>
      </c>
      <c r="BS64" s="42">
        <f>IFERROR(VLOOKUP(A64,'Trans 21-23'!$A$2:$J$229,5,0),0)</f>
        <v>0</v>
      </c>
      <c r="BT64" s="43"/>
      <c r="BU64" s="6">
        <f t="shared" si="0"/>
        <v>3269518092</v>
      </c>
      <c r="BV64" s="6">
        <f t="shared" si="1"/>
        <v>3044</v>
      </c>
      <c r="BW64" s="6">
        <f t="shared" si="2"/>
        <v>913611</v>
      </c>
      <c r="BX64" s="6">
        <f t="shared" si="3"/>
        <v>266792802</v>
      </c>
      <c r="BY64" s="6">
        <f t="shared" si="4"/>
        <v>191212440</v>
      </c>
      <c r="BZ64" s="6">
        <f t="shared" si="5"/>
        <v>115055062</v>
      </c>
      <c r="CA64" s="6">
        <f t="shared" si="6"/>
        <v>132293710</v>
      </c>
      <c r="CB64" s="6">
        <f t="shared" si="7"/>
        <v>882426</v>
      </c>
      <c r="CC64" s="6">
        <f t="shared" si="8"/>
        <v>15394940</v>
      </c>
      <c r="CD64" s="6">
        <f t="shared" si="60"/>
        <v>1</v>
      </c>
      <c r="CE64" s="44">
        <f t="shared" si="10"/>
        <v>13</v>
      </c>
      <c r="CF64" s="27"/>
      <c r="CG64" s="28">
        <f t="shared" si="11"/>
        <v>1074.0861011826546</v>
      </c>
      <c r="CH64" s="28">
        <f t="shared" si="12"/>
        <v>3.3318337892166361</v>
      </c>
      <c r="CI64" s="48">
        <f t="shared" si="13"/>
        <v>292.02012891701173</v>
      </c>
      <c r="CJ64" s="28">
        <f t="shared" si="14"/>
        <v>125.9344097214241</v>
      </c>
      <c r="CK64" s="23">
        <f t="shared" si="15"/>
        <v>5.7319223069398129E-2</v>
      </c>
      <c r="CL64" s="29" t="str">
        <f t="shared" si="16"/>
        <v/>
      </c>
      <c r="CM64" s="29" t="str">
        <f t="shared" si="17"/>
        <v/>
      </c>
      <c r="CN64" s="29" t="str">
        <f t="shared" si="18"/>
        <v/>
      </c>
      <c r="CO64" s="29" t="str">
        <f t="shared" si="19"/>
        <v/>
      </c>
      <c r="CP64" s="29" t="str">
        <f t="shared" si="20"/>
        <v/>
      </c>
      <c r="CQ64" s="29">
        <f t="shared" si="21"/>
        <v>0</v>
      </c>
      <c r="CR64" s="13"/>
      <c r="CS64" s="7">
        <f>VLOOKUP(A64,'Empresas 21-23'!$A$2:$M$228,13,0)</f>
        <v>1</v>
      </c>
      <c r="CT64" s="30"/>
      <c r="CU64" s="6">
        <f t="shared" si="22"/>
        <v>2976102183.4000001</v>
      </c>
      <c r="CV64" s="6">
        <f t="shared" si="23"/>
        <v>115055062</v>
      </c>
      <c r="CW64" s="6">
        <f t="shared" si="24"/>
        <v>194314243</v>
      </c>
      <c r="CX64" s="23">
        <f t="shared" si="58"/>
        <v>0.58779194419030012</v>
      </c>
      <c r="CY64" s="23">
        <f t="shared" si="59"/>
        <v>2.2723829497229998E-2</v>
      </c>
      <c r="CZ64" s="6">
        <f t="shared" si="25"/>
        <v>3090318530.0768366</v>
      </c>
      <c r="DA64" s="6">
        <f t="shared" si="26"/>
        <v>119470625.72681531</v>
      </c>
      <c r="DB64" s="6">
        <f t="shared" si="27"/>
        <v>266792802</v>
      </c>
      <c r="DC64" s="6">
        <f t="shared" si="28"/>
        <v>266792802</v>
      </c>
      <c r="DD64" s="6">
        <f t="shared" si="29"/>
        <v>191212440</v>
      </c>
      <c r="DE64" s="6">
        <f t="shared" si="30"/>
        <v>132293710</v>
      </c>
      <c r="DF64" s="6">
        <f t="shared" si="31"/>
        <v>119017946.8550223</v>
      </c>
      <c r="DG64" s="30"/>
      <c r="DH64" s="32">
        <f>VLOOKUP(A64,'T_med_comp-USA'!$A$7:$Q$233,17,0)</f>
        <v>17.175025864341666</v>
      </c>
      <c r="DI64" s="6" t="str">
        <f t="shared" si="32"/>
        <v>11_2004</v>
      </c>
      <c r="DJ64" s="32">
        <f>IF(DI64="","",VLOOKUP(DI64,'CPI USA'!$T:$U,2,FALSE))</f>
        <v>188.9</v>
      </c>
      <c r="DK64" s="32">
        <f>IF(DI64="","",VLOOKUP(DI64,'PPI USA'!$S:$T,2,FALSE))</f>
        <v>123.7</v>
      </c>
      <c r="DL64" s="32">
        <f>IF(DI64="","",VLOOKUP(DI64,'CPI USA'!$T:$V,3,FALSE))</f>
        <v>0.68116912558338294</v>
      </c>
      <c r="DM64" s="32">
        <f>IF(DI64="","",VLOOKUP(DI64,'CPI USA'!$T:$X,5,FALSE))</f>
        <v>0.51091164550905577</v>
      </c>
      <c r="DN64" s="32">
        <f t="shared" si="33"/>
        <v>1.7242718973721483</v>
      </c>
      <c r="DO64" s="32">
        <f t="shared" si="34"/>
        <v>1.7568944717328012</v>
      </c>
      <c r="DP64" s="32">
        <f t="shared" si="35"/>
        <v>0.33596122034467368</v>
      </c>
      <c r="DQ64" s="32">
        <f>IF(DP64="","",DP64*$DO$1/'CPI USA'!$U$508+(1-DP64)*AVERAGE($DO$1,$DQ$1)/AVERAGE('CPI USA'!$U$508,'PPI USA'!$T$514))</f>
        <v>1.1661234879473175</v>
      </c>
      <c r="DR64" s="6">
        <f t="shared" si="36"/>
        <v>24798038</v>
      </c>
      <c r="DS64" s="32">
        <f t="shared" si="37"/>
        <v>0.2</v>
      </c>
      <c r="DT64" s="28">
        <f>IF(DS64="","",DS64*$DO$1/'CPI USA'!$U$508+(1-DS64)*AVERAGE($DO$1,$DQ$1)/AVERAGE('CPI USA'!$U$508,'PPI USA'!$T$514))</f>
        <v>1.1741595760647974</v>
      </c>
      <c r="DU64" s="6">
        <f t="shared" si="38"/>
        <v>17558944.089961041</v>
      </c>
      <c r="DV64" s="6">
        <f t="shared" si="39"/>
        <v>87454.191120053729</v>
      </c>
      <c r="DW64" s="6">
        <f t="shared" si="40"/>
        <v>13315492.618117655</v>
      </c>
      <c r="DX64" s="16">
        <f t="shared" si="41"/>
        <v>0.2</v>
      </c>
      <c r="DY64" s="28">
        <f>IF(DX64="","",DX64*$DO$1/'CPI USA'!$U$508+(1-DX64)*AVERAGE($DO$1,$DQ$1)/AVERAGE('CPI USA'!$U$508,'PPI USA'!$T$514))</f>
        <v>1.1741595760647974</v>
      </c>
      <c r="DZ64" s="30"/>
      <c r="EA64" s="45" t="str">
        <f t="shared" si="42"/>
        <v>C000618</v>
      </c>
      <c r="EB64" s="29">
        <f t="shared" si="43"/>
        <v>5328549395.3398952</v>
      </c>
      <c r="EC64" s="29">
        <f t="shared" si="44"/>
        <v>209897281.87390041</v>
      </c>
      <c r="ED64" s="29">
        <f t="shared" si="45"/>
        <v>311113352.82747805</v>
      </c>
      <c r="EE64" s="29">
        <f t="shared" si="46"/>
        <v>224513917.4887155</v>
      </c>
      <c r="EF64" s="29">
        <f t="shared" si="47"/>
        <v>139746062.02339557</v>
      </c>
      <c r="EG64" s="29">
        <f t="shared" si="48"/>
        <v>3044</v>
      </c>
      <c r="EH64" s="29">
        <f t="shared" si="49"/>
        <v>913611</v>
      </c>
      <c r="EI64" s="29">
        <f t="shared" si="50"/>
        <v>882426</v>
      </c>
      <c r="EJ64" s="29">
        <f t="shared" si="51"/>
        <v>15394940</v>
      </c>
      <c r="EK64" s="29">
        <f t="shared" si="52"/>
        <v>16262928.218274111</v>
      </c>
      <c r="EL64" s="29">
        <f>IF(CD64=1,VLOOKUP(EA64,'EIA 2021'!$A$2:$J$213,4,0)*EH64,"")</f>
        <v>161160980.40000001</v>
      </c>
      <c r="EM64" s="29">
        <f>IF(CD64=1,VLOOKUP(EA64,'EIA 2021'!$A$2:$J$213,7,0)*EH64,"")</f>
        <v>1973399.7600000002</v>
      </c>
      <c r="EN64" s="29">
        <f>IF(CD64=1,VLOOKUP(EA64,'EIA 2021'!$A$2:$J$213,10,0),"")</f>
        <v>960</v>
      </c>
      <c r="EO64" s="28">
        <f>IF(CD64=1,VLOOKUP(EA64,'EIA 2021'!$A$2:$Z$213,26,0),"")</f>
        <v>0</v>
      </c>
      <c r="EP64" s="23">
        <f t="shared" si="53"/>
        <v>5.3372197591008377E-2</v>
      </c>
      <c r="EQ64" s="32">
        <f t="shared" si="54"/>
        <v>14437.781725888373</v>
      </c>
      <c r="ER64" s="32">
        <f t="shared" si="55"/>
        <v>867988.21827411163</v>
      </c>
      <c r="ES64" s="6"/>
      <c r="ET64" s="32"/>
    </row>
    <row r="65" spans="1:150" ht="15.75" customHeight="1">
      <c r="A65" s="7" t="s">
        <v>396</v>
      </c>
      <c r="B65" s="7" t="s">
        <v>397</v>
      </c>
      <c r="C65" s="32" t="s">
        <v>398</v>
      </c>
      <c r="D65" s="40">
        <v>95323833</v>
      </c>
      <c r="E65" s="40">
        <v>0</v>
      </c>
      <c r="F65" s="40">
        <v>85225955</v>
      </c>
      <c r="G65" s="40">
        <v>386658508</v>
      </c>
      <c r="H65" s="40">
        <v>342078976</v>
      </c>
      <c r="I65" s="40">
        <v>4083135</v>
      </c>
      <c r="J65" s="40">
        <v>1579041</v>
      </c>
      <c r="K65" s="40">
        <v>4899999</v>
      </c>
      <c r="L65" s="40">
        <v>4854331</v>
      </c>
      <c r="M65" s="40">
        <v>4573059</v>
      </c>
      <c r="N65" s="40">
        <v>1011897</v>
      </c>
      <c r="O65" s="40">
        <v>4109601</v>
      </c>
      <c r="P65" s="40">
        <v>439479</v>
      </c>
      <c r="Q65" s="40">
        <v>10926</v>
      </c>
      <c r="R65" s="40">
        <v>0</v>
      </c>
      <c r="S65" s="40">
        <v>4077874</v>
      </c>
      <c r="T65" s="40">
        <v>17694888</v>
      </c>
      <c r="U65" s="40">
        <v>597945</v>
      </c>
      <c r="V65" s="40">
        <v>57820</v>
      </c>
      <c r="W65" s="40">
        <v>98043</v>
      </c>
      <c r="X65" s="40">
        <f>IFERROR(VLOOKUP(A65,'Trans 21-23'!$A$2:$J$229,6,0),0)</f>
        <v>2030721</v>
      </c>
      <c r="Y65" s="41">
        <v>5014025</v>
      </c>
      <c r="Z65" s="41">
        <v>841948</v>
      </c>
      <c r="AA65" s="41">
        <v>19077480</v>
      </c>
      <c r="AB65" s="41">
        <v>38406390</v>
      </c>
      <c r="AC65" s="41">
        <v>0</v>
      </c>
      <c r="AD65" s="41">
        <v>162042477</v>
      </c>
      <c r="AE65" s="41">
        <v>0</v>
      </c>
      <c r="AF65" s="41">
        <v>917515192</v>
      </c>
      <c r="AG65" s="41">
        <v>596393</v>
      </c>
      <c r="AH65" s="41">
        <v>1076855</v>
      </c>
      <c r="AI65" s="41">
        <v>17821743</v>
      </c>
      <c r="AJ65" s="41">
        <v>0</v>
      </c>
      <c r="AK65" s="41">
        <v>0</v>
      </c>
      <c r="AL65" s="41">
        <v>5644996</v>
      </c>
      <c r="AM65" s="41">
        <v>6261255</v>
      </c>
      <c r="AN65" s="41">
        <v>3471486</v>
      </c>
      <c r="AO65" s="41">
        <v>28062</v>
      </c>
      <c r="AP65" s="41">
        <v>0</v>
      </c>
      <c r="AQ65" s="41">
        <v>15405799</v>
      </c>
      <c r="AR65" s="41">
        <v>1339089</v>
      </c>
      <c r="AS65" s="41">
        <v>16744888</v>
      </c>
      <c r="AT65" s="41">
        <v>0</v>
      </c>
      <c r="AU65" s="41">
        <v>3751</v>
      </c>
      <c r="AV65" s="41">
        <v>0</v>
      </c>
      <c r="AW65" s="41">
        <v>152118967</v>
      </c>
      <c r="AX65" s="41">
        <v>53351941</v>
      </c>
      <c r="AY65" s="41">
        <v>313609491</v>
      </c>
      <c r="AZ65" s="41">
        <v>110068259</v>
      </c>
      <c r="BA65" s="41">
        <v>5558315</v>
      </c>
      <c r="BB65" s="41">
        <v>2058818808</v>
      </c>
      <c r="BC65" s="41">
        <v>6508861593</v>
      </c>
      <c r="BD65" s="41">
        <v>461020058</v>
      </c>
      <c r="BE65" s="41">
        <v>686873398</v>
      </c>
      <c r="BF65" s="41">
        <v>45252952</v>
      </c>
      <c r="BG65" s="41">
        <v>0</v>
      </c>
      <c r="BH65" s="41">
        <v>25513565</v>
      </c>
      <c r="BI65" s="41">
        <v>9156914</v>
      </c>
      <c r="BJ65" s="41">
        <v>4680357</v>
      </c>
      <c r="BK65" s="41">
        <v>0</v>
      </c>
      <c r="BL65" s="41">
        <v>0</v>
      </c>
      <c r="BM65" s="41">
        <v>77141877</v>
      </c>
      <c r="BN65" s="41">
        <v>153730277</v>
      </c>
      <c r="BO65" s="41">
        <v>0</v>
      </c>
      <c r="BP65" s="41">
        <v>88973554</v>
      </c>
      <c r="BQ65" s="41">
        <v>242703831</v>
      </c>
      <c r="BR65" s="41">
        <v>0</v>
      </c>
      <c r="BS65" s="42">
        <f>IFERROR(VLOOKUP(A65,'Trans 21-23'!$A$2:$J$229,5,0),0)</f>
        <v>129388640</v>
      </c>
      <c r="BT65" s="43"/>
      <c r="BU65" s="6">
        <f t="shared" si="0"/>
        <v>2058818808</v>
      </c>
      <c r="BV65" s="6">
        <f t="shared" si="1"/>
        <v>3751</v>
      </c>
      <c r="BW65" s="6">
        <f t="shared" si="2"/>
        <v>596393</v>
      </c>
      <c r="BX65" s="6">
        <f t="shared" si="3"/>
        <v>48088038</v>
      </c>
      <c r="BY65" s="6">
        <f t="shared" si="4"/>
        <v>63339843</v>
      </c>
      <c r="BZ65" s="6">
        <f t="shared" si="5"/>
        <v>110068259</v>
      </c>
      <c r="CA65" s="6">
        <f t="shared" si="6"/>
        <v>162042477</v>
      </c>
      <c r="CB65" s="6">
        <f t="shared" si="7"/>
        <v>1076855</v>
      </c>
      <c r="CC65" s="6">
        <f t="shared" si="8"/>
        <v>15405799</v>
      </c>
      <c r="CD65" s="6">
        <f t="shared" si="60"/>
        <v>1</v>
      </c>
      <c r="CE65" s="44">
        <f t="shared" si="10"/>
        <v>14</v>
      </c>
      <c r="CF65" s="27"/>
      <c r="CG65" s="28">
        <f t="shared" si="11"/>
        <v>548.87198293788322</v>
      </c>
      <c r="CH65" s="28">
        <f t="shared" si="12"/>
        <v>6.2894769053292041</v>
      </c>
      <c r="CI65" s="28">
        <f t="shared" si="13"/>
        <v>80.631459457102949</v>
      </c>
      <c r="CJ65" s="28">
        <f t="shared" si="14"/>
        <v>184.55659103980094</v>
      </c>
      <c r="CK65" s="23">
        <f t="shared" si="15"/>
        <v>6.9899328168568212E-2</v>
      </c>
      <c r="CL65" s="29" t="str">
        <f t="shared" si="16"/>
        <v/>
      </c>
      <c r="CM65" s="29" t="str">
        <f t="shared" si="17"/>
        <v/>
      </c>
      <c r="CN65" s="29" t="str">
        <f t="shared" si="18"/>
        <v/>
      </c>
      <c r="CO65" s="29" t="str">
        <f t="shared" si="19"/>
        <v/>
      </c>
      <c r="CP65" s="29" t="str">
        <f t="shared" si="20"/>
        <v/>
      </c>
      <c r="CQ65" s="29">
        <f t="shared" si="21"/>
        <v>0</v>
      </c>
      <c r="CR65" s="13"/>
      <c r="CS65" s="7">
        <f>VLOOKUP(A65,'Empresas 21-23'!$A$2:$M$228,13,0)</f>
        <v>1</v>
      </c>
      <c r="CT65" s="30"/>
      <c r="CU65" s="6">
        <f t="shared" si="22"/>
        <v>1852404014.8</v>
      </c>
      <c r="CV65" s="6">
        <f t="shared" si="23"/>
        <v>110068259</v>
      </c>
      <c r="CW65" s="6">
        <f t="shared" si="24"/>
        <v>461020058</v>
      </c>
      <c r="CX65" s="23">
        <f t="shared" si="58"/>
        <v>0.30629175782463686</v>
      </c>
      <c r="CY65" s="23">
        <f t="shared" si="59"/>
        <v>1.8199593749772414E-2</v>
      </c>
      <c r="CZ65" s="6">
        <f t="shared" si="25"/>
        <v>1993610658.757236</v>
      </c>
      <c r="DA65" s="6">
        <f t="shared" si="26"/>
        <v>118458636.76609652</v>
      </c>
      <c r="DB65" s="6">
        <f t="shared" si="27"/>
        <v>48088038</v>
      </c>
      <c r="DC65" s="6">
        <f t="shared" si="28"/>
        <v>50118759</v>
      </c>
      <c r="DD65" s="6">
        <f t="shared" si="29"/>
        <v>63339843</v>
      </c>
      <c r="DE65" s="6">
        <f t="shared" si="30"/>
        <v>162042477</v>
      </c>
      <c r="DF65" s="6">
        <f t="shared" si="31"/>
        <v>78958945.792141929</v>
      </c>
      <c r="DG65" s="30"/>
      <c r="DH65" s="32">
        <f>VLOOKUP(A65,'T_med_comp-USA'!$A$7:$Q$233,17,0)</f>
        <v>14.93315132486731</v>
      </c>
      <c r="DI65" s="6" t="str">
        <f t="shared" si="32"/>
        <v>1_2007</v>
      </c>
      <c r="DJ65" s="32">
        <f>IF(DI65="","",VLOOKUP(DI65,'CPI USA'!$T:$U,2,FALSE))</f>
        <v>207.34200000000001</v>
      </c>
      <c r="DK65" s="32">
        <f>IF(DI65="","",VLOOKUP(DI65,'PPI USA'!$S:$T,2,FALSE))</f>
        <v>151.69999999999999</v>
      </c>
      <c r="DL65" s="32">
        <f>IF(DI65="","",VLOOKUP(DI65,'CPI USA'!$T:$V,3,FALSE))</f>
        <v>0.67123734379962852</v>
      </c>
      <c r="DM65" s="32">
        <f>IF(DI65="","",VLOOKUP(DI65,'CPI USA'!$T:$X,5,FALSE))</f>
        <v>0.49957259686190569</v>
      </c>
      <c r="DN65" s="32">
        <f t="shared" si="33"/>
        <v>1.5480022216582647</v>
      </c>
      <c r="DO65" s="32">
        <f t="shared" si="34"/>
        <v>1.5651038394149617</v>
      </c>
      <c r="DP65" s="32">
        <f t="shared" si="35"/>
        <v>0.53055949173888106</v>
      </c>
      <c r="DQ65" s="32">
        <f>IF(DP65="","",DP65*$DO$1/'CPI USA'!$U$508+(1-DP65)*AVERAGE($DO$1,$DQ$1)/AVERAGE('CPI USA'!$U$508,'PPI USA'!$T$514))</f>
        <v>1.1546216137182634</v>
      </c>
      <c r="DR65" s="6">
        <f t="shared" si="36"/>
        <v>13837271</v>
      </c>
      <c r="DS65" s="32">
        <f t="shared" si="37"/>
        <v>0.21846077199780872</v>
      </c>
      <c r="DT65" s="28">
        <f>IF(DS65="","",DS65*$DO$1/'CPI USA'!$U$508+(1-DS65)*AVERAGE($DO$1,$DQ$1)/AVERAGE('CPI USA'!$U$508,'PPI USA'!$T$514))</f>
        <v>1.1730684385322347</v>
      </c>
      <c r="DU65" s="6">
        <f t="shared" si="38"/>
        <v>77141877</v>
      </c>
      <c r="DV65" s="6">
        <f t="shared" si="39"/>
        <v>44646943.288346887</v>
      </c>
      <c r="DW65" s="6">
        <f t="shared" si="40"/>
        <v>31174678.061630052</v>
      </c>
      <c r="DX65" s="16">
        <f t="shared" si="41"/>
        <v>0.39482135619815462</v>
      </c>
      <c r="DY65" s="28">
        <f>IF(DX65="","",DX65*$DO$1/'CPI USA'!$U$508+(1-DX65)*AVERAGE($DO$1,$DQ$1)/AVERAGE('CPI USA'!$U$508,'PPI USA'!$T$514))</f>
        <v>1.1626445162440162</v>
      </c>
      <c r="DZ65" s="30"/>
      <c r="EA65" s="45" t="str">
        <f t="shared" si="42"/>
        <v>C000620</v>
      </c>
      <c r="EB65" s="29">
        <f t="shared" si="43"/>
        <v>3086113728.8777981</v>
      </c>
      <c r="EC65" s="29">
        <f t="shared" si="44"/>
        <v>185400067.21448001</v>
      </c>
      <c r="ED65" s="29">
        <f t="shared" si="45"/>
        <v>57868202.394136742</v>
      </c>
      <c r="EE65" s="29">
        <f t="shared" si="46"/>
        <v>74301970.724886894</v>
      </c>
      <c r="EF65" s="29">
        <f t="shared" si="47"/>
        <v>91801185.333642349</v>
      </c>
      <c r="EG65" s="29">
        <f t="shared" si="48"/>
        <v>3751</v>
      </c>
      <c r="EH65" s="29">
        <f t="shared" si="49"/>
        <v>596393</v>
      </c>
      <c r="EI65" s="29">
        <f t="shared" si="50"/>
        <v>1076855</v>
      </c>
      <c r="EJ65" s="29">
        <f t="shared" si="51"/>
        <v>15405799</v>
      </c>
      <c r="EK65" s="29">
        <f t="shared" si="52"/>
        <v>16462261.781725889</v>
      </c>
      <c r="EL65" s="29">
        <f>IF(CD65=1,VLOOKUP(EA65,'EIA 2021'!$A$2:$J$213,4,0)*EH65,"")</f>
        <v>71424025.680000007</v>
      </c>
      <c r="EM65" s="29">
        <f>IF(CD65=1,VLOOKUP(EA65,'EIA 2021'!$A$2:$J$213,7,0)*EH65,"")</f>
        <v>811094.4800000001</v>
      </c>
      <c r="EN65" s="29">
        <f>IF(CD65=1,VLOOKUP(EA65,'EIA 2021'!$A$2:$J$213,10,0),"")</f>
        <v>576216</v>
      </c>
      <c r="EO65" s="28">
        <f>IF(CD65=1,VLOOKUP(EA65,'EIA 2021'!$A$2:$Z$213,26,0),"")</f>
        <v>0</v>
      </c>
      <c r="EP65" s="23">
        <f t="shared" si="53"/>
        <v>6.4174825776287081E-2</v>
      </c>
      <c r="EQ65" s="32">
        <f t="shared" si="54"/>
        <v>20392.218274111627</v>
      </c>
      <c r="ER65" s="32">
        <f t="shared" si="55"/>
        <v>1056462.7817258884</v>
      </c>
      <c r="ES65" s="6"/>
      <c r="ET65" s="32"/>
    </row>
    <row r="66" spans="1:150" ht="15.75" customHeight="1">
      <c r="A66" s="7" t="s">
        <v>399</v>
      </c>
      <c r="B66" s="7" t="s">
        <v>400</v>
      </c>
      <c r="C66" s="32" t="s">
        <v>401</v>
      </c>
      <c r="D66" s="40">
        <v>107834492</v>
      </c>
      <c r="E66" s="40">
        <v>0</v>
      </c>
      <c r="F66" s="40">
        <v>0</v>
      </c>
      <c r="G66" s="40">
        <v>265422648</v>
      </c>
      <c r="H66" s="40">
        <v>266395118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f>IFERROR(VLOOKUP(A66,'Trans 21-23'!$A$2:$J$229,6,0),0)</f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32985452</v>
      </c>
      <c r="AE66" s="41">
        <v>0</v>
      </c>
      <c r="AF66" s="41">
        <v>478805197</v>
      </c>
      <c r="AG66" s="41">
        <v>14</v>
      </c>
      <c r="AH66" s="41">
        <v>10296</v>
      </c>
      <c r="AI66" s="41">
        <v>10186443</v>
      </c>
      <c r="AJ66" s="41">
        <v>0</v>
      </c>
      <c r="AK66" s="41">
        <v>0</v>
      </c>
      <c r="AL66" s="41">
        <v>0</v>
      </c>
      <c r="AM66" s="41">
        <v>0</v>
      </c>
      <c r="AN66" s="41">
        <v>112460</v>
      </c>
      <c r="AO66" s="41">
        <v>0</v>
      </c>
      <c r="AP66" s="41">
        <v>0</v>
      </c>
      <c r="AQ66" s="41">
        <v>112460</v>
      </c>
      <c r="AR66" s="41">
        <v>10063687</v>
      </c>
      <c r="AS66" s="41">
        <v>10176147</v>
      </c>
      <c r="AT66" s="41">
        <v>0</v>
      </c>
      <c r="AU66" s="41">
        <v>1202</v>
      </c>
      <c r="AV66" s="41">
        <v>0</v>
      </c>
      <c r="AW66" s="41">
        <v>0</v>
      </c>
      <c r="AX66" s="41">
        <v>0</v>
      </c>
      <c r="AY66" s="41">
        <v>0</v>
      </c>
      <c r="AZ66" s="41">
        <v>0</v>
      </c>
      <c r="BA66" s="41">
        <v>0</v>
      </c>
      <c r="BB66" s="41">
        <v>0</v>
      </c>
      <c r="BC66" s="41">
        <v>1441946843</v>
      </c>
      <c r="BD66" s="41">
        <v>12058490</v>
      </c>
      <c r="BE66" s="41">
        <v>0</v>
      </c>
      <c r="BF66" s="41">
        <v>0</v>
      </c>
      <c r="BG66" s="41">
        <v>0</v>
      </c>
      <c r="BH66" s="41">
        <v>0</v>
      </c>
      <c r="BI66" s="41">
        <v>0</v>
      </c>
      <c r="BJ66" s="41">
        <v>0</v>
      </c>
      <c r="BK66" s="41">
        <v>0</v>
      </c>
      <c r="BL66" s="41">
        <v>0</v>
      </c>
      <c r="BM66" s="41">
        <v>5591463</v>
      </c>
      <c r="BN66" s="41">
        <v>31599254</v>
      </c>
      <c r="BO66" s="41">
        <v>0</v>
      </c>
      <c r="BP66" s="41">
        <v>0</v>
      </c>
      <c r="BQ66" s="41">
        <v>31710475</v>
      </c>
      <c r="BR66" s="41">
        <v>0</v>
      </c>
      <c r="BS66" s="42">
        <f>IFERROR(VLOOKUP(A66,'Trans 21-23'!$A$2:$J$229,5,0),0)</f>
        <v>0</v>
      </c>
      <c r="BT66" s="43"/>
      <c r="BU66" s="6">
        <f t="shared" si="0"/>
        <v>0</v>
      </c>
      <c r="BV66" s="6">
        <f t="shared" si="1"/>
        <v>1202</v>
      </c>
      <c r="BW66" s="6">
        <f t="shared" si="2"/>
        <v>14</v>
      </c>
      <c r="BX66" s="6">
        <f t="shared" si="3"/>
        <v>0</v>
      </c>
      <c r="BY66" s="6">
        <f t="shared" si="4"/>
        <v>0</v>
      </c>
      <c r="BZ66" s="6">
        <f t="shared" si="5"/>
        <v>0</v>
      </c>
      <c r="CA66" s="6">
        <f t="shared" si="6"/>
        <v>32985452</v>
      </c>
      <c r="CB66" s="6">
        <f t="shared" si="7"/>
        <v>10296</v>
      </c>
      <c r="CC66" s="6">
        <f t="shared" si="8"/>
        <v>112460</v>
      </c>
      <c r="CD66" s="6">
        <f t="shared" si="60"/>
        <v>0</v>
      </c>
      <c r="CE66" s="44">
        <f t="shared" si="10"/>
        <v>50</v>
      </c>
      <c r="CF66" s="27"/>
      <c r="CG66" s="28" t="str">
        <f t="shared" si="11"/>
        <v/>
      </c>
      <c r="CH66" s="28" t="str">
        <f t="shared" si="12"/>
        <v/>
      </c>
      <c r="CI66" s="28" t="str">
        <f t="shared" si="13"/>
        <v/>
      </c>
      <c r="CJ66" s="28" t="str">
        <f t="shared" si="14"/>
        <v/>
      </c>
      <c r="CK66" s="23" t="str">
        <f t="shared" si="15"/>
        <v/>
      </c>
      <c r="CL66" s="29" t="str">
        <f t="shared" si="16"/>
        <v/>
      </c>
      <c r="CM66" s="29" t="str">
        <f t="shared" si="17"/>
        <v/>
      </c>
      <c r="CN66" s="29" t="str">
        <f t="shared" si="18"/>
        <v/>
      </c>
      <c r="CO66" s="29" t="str">
        <f t="shared" si="19"/>
        <v/>
      </c>
      <c r="CP66" s="29" t="str">
        <f t="shared" si="20"/>
        <v/>
      </c>
      <c r="CQ66" s="29">
        <f t="shared" si="21"/>
        <v>0</v>
      </c>
      <c r="CR66" s="13"/>
      <c r="CS66" s="7" t="str">
        <f>VLOOKUP(A66,'Empresas 21-23'!$A$2:$M$228,13,0)</f>
        <v/>
      </c>
      <c r="CT66" s="30"/>
      <c r="CU66" s="6">
        <f t="shared" si="22"/>
        <v>0</v>
      </c>
      <c r="CV66" s="6">
        <f t="shared" si="23"/>
        <v>0</v>
      </c>
      <c r="CW66" s="6">
        <f t="shared" si="24"/>
        <v>12058490</v>
      </c>
      <c r="CX66" s="23">
        <f t="shared" si="58"/>
        <v>0</v>
      </c>
      <c r="CY66" s="23">
        <f t="shared" si="59"/>
        <v>0</v>
      </c>
      <c r="CZ66" s="6">
        <f t="shared" si="25"/>
        <v>0</v>
      </c>
      <c r="DA66" s="6">
        <f t="shared" si="26"/>
        <v>0</v>
      </c>
      <c r="DB66" s="6">
        <f t="shared" si="27"/>
        <v>0</v>
      </c>
      <c r="DC66" s="6">
        <f t="shared" si="28"/>
        <v>0</v>
      </c>
      <c r="DD66" s="6">
        <f t="shared" si="29"/>
        <v>0</v>
      </c>
      <c r="DE66" s="6">
        <f t="shared" si="30"/>
        <v>32985452</v>
      </c>
      <c r="DF66" s="6">
        <f t="shared" si="31"/>
        <v>0</v>
      </c>
      <c r="DG66" s="30"/>
      <c r="DH66" s="32" t="str">
        <f>VLOOKUP(A66,'T_med_comp-USA'!$A$7:$Q$233,17,0)</f>
        <v>-</v>
      </c>
      <c r="DI66" s="6" t="str">
        <f t="shared" si="32"/>
        <v/>
      </c>
      <c r="DJ66" s="32" t="str">
        <f>IF(DI66="","",VLOOKUP(DI66,'CPI USA'!$T:$U,2,FALSE))</f>
        <v/>
      </c>
      <c r="DK66" s="32" t="str">
        <f>IF(DI66="","",VLOOKUP(DI66,'PPI USA'!$S:$T,2,FALSE))</f>
        <v/>
      </c>
      <c r="DL66" s="32" t="str">
        <f>IF(DI66="","",VLOOKUP(DI66,'CPI USA'!$T:$V,3,FALSE))</f>
        <v/>
      </c>
      <c r="DM66" s="32" t="str">
        <f>IF(DI66="","",VLOOKUP(DI66,'CPI USA'!$T:$X,5,FALSE))</f>
        <v/>
      </c>
      <c r="DN66" s="32" t="str">
        <f t="shared" si="33"/>
        <v/>
      </c>
      <c r="DO66" s="32" t="str">
        <f t="shared" si="34"/>
        <v/>
      </c>
      <c r="DP66" s="32" t="str">
        <f t="shared" si="35"/>
        <v/>
      </c>
      <c r="DQ66" s="32" t="str">
        <f>IF(DP66="","",DP66*$DO$1/'CPI USA'!$U$508+(1-DP66)*AVERAGE($DO$1,$DQ$1)/AVERAGE('CPI USA'!$U$508,'PPI USA'!$T$514))</f>
        <v/>
      </c>
      <c r="DR66" s="6">
        <f t="shared" si="36"/>
        <v>0</v>
      </c>
      <c r="DS66" s="32" t="str">
        <f t="shared" si="37"/>
        <v/>
      </c>
      <c r="DT66" s="28" t="str">
        <f>IF(DS66="","",DS66*$DO$1/'CPI USA'!$U$508+(1-DS66)*AVERAGE($DO$1,$DQ$1)/AVERAGE('CPI USA'!$U$508,'PPI USA'!$T$514))</f>
        <v/>
      </c>
      <c r="DU66" s="6" t="str">
        <f t="shared" si="38"/>
        <v/>
      </c>
      <c r="DV66" s="6">
        <f t="shared" si="39"/>
        <v>0</v>
      </c>
      <c r="DW66" s="6">
        <f t="shared" si="40"/>
        <v>0</v>
      </c>
      <c r="DX66" s="16" t="str">
        <f t="shared" si="41"/>
        <v/>
      </c>
      <c r="DY66" s="28" t="str">
        <f>IF(DX66="","",DX66*$DO$1/'CPI USA'!$U$508+(1-DX66)*AVERAGE($DO$1,$DQ$1)/AVERAGE('CPI USA'!$U$508,'PPI USA'!$T$514))</f>
        <v/>
      </c>
      <c r="DZ66" s="30"/>
      <c r="EA66" s="45" t="str">
        <f t="shared" si="42"/>
        <v>C000622</v>
      </c>
      <c r="EB66" s="29" t="str">
        <f t="shared" si="43"/>
        <v/>
      </c>
      <c r="EC66" s="29" t="str">
        <f t="shared" si="44"/>
        <v/>
      </c>
      <c r="ED66" s="29" t="str">
        <f t="shared" si="45"/>
        <v/>
      </c>
      <c r="EE66" s="29" t="str">
        <f t="shared" si="46"/>
        <v/>
      </c>
      <c r="EF66" s="29" t="str">
        <f t="shared" si="47"/>
        <v/>
      </c>
      <c r="EG66" s="29" t="str">
        <f t="shared" si="48"/>
        <v/>
      </c>
      <c r="EH66" s="29" t="str">
        <f t="shared" si="49"/>
        <v/>
      </c>
      <c r="EI66" s="29" t="str">
        <f t="shared" si="50"/>
        <v/>
      </c>
      <c r="EJ66" s="29" t="str">
        <f t="shared" si="51"/>
        <v/>
      </c>
      <c r="EK66" s="29" t="str">
        <f t="shared" si="52"/>
        <v/>
      </c>
      <c r="EL66" s="29" t="str">
        <f>IF(CD66=1,VLOOKUP(EA66,'EIA 2021'!$A$2:$J$213,4,0)*EH66,"")</f>
        <v/>
      </c>
      <c r="EM66" s="29" t="str">
        <f>IF(CD66=1,VLOOKUP(EA66,'EIA 2021'!$A$2:$J$213,7,0)*EH66,"")</f>
        <v/>
      </c>
      <c r="EN66" s="29" t="str">
        <f>IF(CD66=1,VLOOKUP(EA66,'EIA 2021'!$A$2:$J$213,10,0),"")</f>
        <v/>
      </c>
      <c r="EO66" s="28" t="str">
        <f>IF(CD66=1,VLOOKUP(EA66,'EIA 2021'!$A$2:$Z$213,26,0),"")</f>
        <v/>
      </c>
      <c r="EP66" s="23" t="str">
        <f t="shared" si="53"/>
        <v/>
      </c>
      <c r="EQ66" s="32" t="str">
        <f t="shared" si="54"/>
        <v/>
      </c>
      <c r="ER66" s="32" t="str">
        <f t="shared" si="55"/>
        <v/>
      </c>
      <c r="ES66" s="6"/>
      <c r="ET66" s="32"/>
    </row>
    <row r="67" spans="1:150" ht="15.75" customHeight="1">
      <c r="A67" s="7" t="s">
        <v>402</v>
      </c>
      <c r="B67" s="7" t="s">
        <v>403</v>
      </c>
      <c r="C67" s="32" t="s">
        <v>404</v>
      </c>
      <c r="D67" s="40">
        <v>140396456</v>
      </c>
      <c r="E67" s="40">
        <v>0</v>
      </c>
      <c r="F67" s="40">
        <v>1488814</v>
      </c>
      <c r="G67" s="40">
        <v>1684386068</v>
      </c>
      <c r="H67" s="40">
        <v>1692898598</v>
      </c>
      <c r="I67" s="40">
        <v>26150160</v>
      </c>
      <c r="J67" s="40">
        <v>4666542</v>
      </c>
      <c r="K67" s="40">
        <v>1417246</v>
      </c>
      <c r="L67" s="40">
        <v>7633427</v>
      </c>
      <c r="M67" s="40">
        <v>5508523</v>
      </c>
      <c r="N67" s="40">
        <v>4446868</v>
      </c>
      <c r="O67" s="40">
        <v>87876495</v>
      </c>
      <c r="P67" s="40">
        <v>310830</v>
      </c>
      <c r="Q67" s="40">
        <v>829325</v>
      </c>
      <c r="R67" s="40">
        <v>150</v>
      </c>
      <c r="S67" s="40">
        <v>6283430</v>
      </c>
      <c r="T67" s="40">
        <v>108643725</v>
      </c>
      <c r="U67" s="40">
        <v>16914676</v>
      </c>
      <c r="V67" s="40">
        <v>239501</v>
      </c>
      <c r="W67" s="40">
        <v>4382733</v>
      </c>
      <c r="X67" s="40">
        <f>IFERROR(VLOOKUP(A67,'Trans 21-23'!$A$2:$J$229,6,0),0)</f>
        <v>0</v>
      </c>
      <c r="Y67" s="41">
        <v>11779667</v>
      </c>
      <c r="Z67" s="41">
        <v>1684599</v>
      </c>
      <c r="AA67" s="41">
        <v>80919114</v>
      </c>
      <c r="AB67" s="41">
        <v>189873459</v>
      </c>
      <c r="AC67" s="41">
        <v>155328</v>
      </c>
      <c r="AD67" s="41">
        <v>656792066</v>
      </c>
      <c r="AE67" s="41">
        <v>0</v>
      </c>
      <c r="AF67" s="41">
        <v>3211485696</v>
      </c>
      <c r="AG67" s="41">
        <v>1387773</v>
      </c>
      <c r="AH67" s="41">
        <v>354640</v>
      </c>
      <c r="AI67" s="41">
        <v>20907699</v>
      </c>
      <c r="AJ67" s="41">
        <v>59413</v>
      </c>
      <c r="AK67" s="41">
        <v>0</v>
      </c>
      <c r="AL67" s="41">
        <v>5671599</v>
      </c>
      <c r="AM67" s="41">
        <v>4177710</v>
      </c>
      <c r="AN67" s="41">
        <v>1397952</v>
      </c>
      <c r="AO67" s="41">
        <v>51239</v>
      </c>
      <c r="AP67" s="41">
        <v>0</v>
      </c>
      <c r="AQ67" s="41">
        <v>11298500</v>
      </c>
      <c r="AR67" s="41">
        <v>9195146</v>
      </c>
      <c r="AS67" s="41">
        <v>20493646</v>
      </c>
      <c r="AT67" s="41">
        <v>0</v>
      </c>
      <c r="AU67" s="41">
        <v>3860</v>
      </c>
      <c r="AV67" s="41">
        <v>0</v>
      </c>
      <c r="AW67" s="41">
        <v>1159382560</v>
      </c>
      <c r="AX67" s="41">
        <v>1697241556</v>
      </c>
      <c r="AY67" s="41">
        <v>1994588618</v>
      </c>
      <c r="AZ67" s="41">
        <v>286991725</v>
      </c>
      <c r="BA67" s="41">
        <v>35792501</v>
      </c>
      <c r="BB67" s="41">
        <v>8769181629</v>
      </c>
      <c r="BC67" s="41">
        <v>18107371437</v>
      </c>
      <c r="BD67" s="41">
        <v>518902726</v>
      </c>
      <c r="BE67" s="41">
        <v>3515739153</v>
      </c>
      <c r="BF67" s="41">
        <v>317767256</v>
      </c>
      <c r="BG67" s="41">
        <v>0</v>
      </c>
      <c r="BH67" s="41">
        <v>65798992</v>
      </c>
      <c r="BI67" s="41">
        <v>17729049</v>
      </c>
      <c r="BJ67" s="41">
        <v>17269345</v>
      </c>
      <c r="BK67" s="41">
        <v>0</v>
      </c>
      <c r="BL67" s="41">
        <v>0</v>
      </c>
      <c r="BM67" s="41">
        <v>53836477</v>
      </c>
      <c r="BN67" s="41">
        <v>195679706</v>
      </c>
      <c r="BO67" s="41">
        <v>48262727</v>
      </c>
      <c r="BP67" s="41">
        <v>6677793</v>
      </c>
      <c r="BQ67" s="41">
        <v>387716689</v>
      </c>
      <c r="BR67" s="41">
        <v>0</v>
      </c>
      <c r="BS67" s="42">
        <f>IFERROR(VLOOKUP(A67,'Trans 21-23'!$A$2:$J$229,5,0),0)</f>
        <v>0</v>
      </c>
      <c r="BT67" s="43"/>
      <c r="BU67" s="6">
        <f t="shared" si="0"/>
        <v>8769181629</v>
      </c>
      <c r="BV67" s="6">
        <f t="shared" si="1"/>
        <v>3860</v>
      </c>
      <c r="BW67" s="6">
        <f t="shared" si="2"/>
        <v>1387773</v>
      </c>
      <c r="BX67" s="6">
        <f t="shared" si="3"/>
        <v>275303631</v>
      </c>
      <c r="BY67" s="6">
        <f t="shared" si="4"/>
        <v>284412167</v>
      </c>
      <c r="BZ67" s="6">
        <f t="shared" si="5"/>
        <v>286991725</v>
      </c>
      <c r="CA67" s="6">
        <f t="shared" si="6"/>
        <v>656792066</v>
      </c>
      <c r="CB67" s="6">
        <f t="shared" si="7"/>
        <v>354640</v>
      </c>
      <c r="CC67" s="6">
        <f t="shared" si="8"/>
        <v>11298500</v>
      </c>
      <c r="CD67" s="6">
        <f t="shared" si="60"/>
        <v>1</v>
      </c>
      <c r="CE67" s="44">
        <f t="shared" si="10"/>
        <v>12</v>
      </c>
      <c r="CF67" s="27"/>
      <c r="CG67" s="28">
        <f t="shared" si="11"/>
        <v>2271.808712176166</v>
      </c>
      <c r="CH67" s="28">
        <f t="shared" si="12"/>
        <v>2.7814347159081492</v>
      </c>
      <c r="CI67" s="28">
        <f t="shared" si="13"/>
        <v>198.37799913962874</v>
      </c>
      <c r="CJ67" s="28">
        <f t="shared" si="14"/>
        <v>206.8001935475038</v>
      </c>
      <c r="CK67" s="23">
        <f t="shared" si="15"/>
        <v>3.1388237376642918E-2</v>
      </c>
      <c r="CL67" s="29" t="str">
        <f t="shared" si="16"/>
        <v/>
      </c>
      <c r="CM67" s="29" t="str">
        <f t="shared" si="17"/>
        <v/>
      </c>
      <c r="CN67" s="29" t="str">
        <f t="shared" si="18"/>
        <v/>
      </c>
      <c r="CO67" s="29" t="str">
        <f t="shared" si="19"/>
        <v/>
      </c>
      <c r="CP67" s="29" t="str">
        <f t="shared" si="20"/>
        <v/>
      </c>
      <c r="CQ67" s="29">
        <f t="shared" si="21"/>
        <v>0</v>
      </c>
      <c r="CR67" s="13"/>
      <c r="CS67" s="7">
        <f>VLOOKUP(A67,'Empresas 21-23'!$A$2:$M$228,13,0)</f>
        <v>1</v>
      </c>
      <c r="CT67" s="30"/>
      <c r="CU67" s="6">
        <f t="shared" si="22"/>
        <v>6231299298.6000004</v>
      </c>
      <c r="CV67" s="6">
        <f t="shared" si="23"/>
        <v>286991725</v>
      </c>
      <c r="CW67" s="6">
        <f t="shared" si="24"/>
        <v>518902726</v>
      </c>
      <c r="CX67" s="23">
        <f t="shared" si="58"/>
        <v>0.35428321822597808</v>
      </c>
      <c r="CY67" s="23">
        <f t="shared" si="59"/>
        <v>1.6317038720972486E-2</v>
      </c>
      <c r="CZ67" s="6">
        <f t="shared" si="25"/>
        <v>6415137826.3135128</v>
      </c>
      <c r="DA67" s="6">
        <f t="shared" si="26"/>
        <v>295458680.8725602</v>
      </c>
      <c r="DB67" s="6">
        <f t="shared" si="27"/>
        <v>275303631</v>
      </c>
      <c r="DC67" s="6">
        <f t="shared" si="28"/>
        <v>275303631</v>
      </c>
      <c r="DD67" s="6">
        <f t="shared" si="29"/>
        <v>284412167</v>
      </c>
      <c r="DE67" s="6">
        <f t="shared" si="30"/>
        <v>656792066</v>
      </c>
      <c r="DF67" s="6">
        <f t="shared" si="31"/>
        <v>510643020.48075116</v>
      </c>
      <c r="DG67" s="30"/>
      <c r="DH67" s="32">
        <f>VLOOKUP(A67,'T_med_comp-USA'!$A$7:$Q$233,17,0)</f>
        <v>10.464831168647338</v>
      </c>
      <c r="DI67" s="6" t="str">
        <f t="shared" si="32"/>
        <v>7_2011</v>
      </c>
      <c r="DJ67" s="32">
        <f>IF(DI67="","",VLOOKUP(DI67,'CPI USA'!$T:$U,2,FALSE))</f>
        <v>224.93899999999999</v>
      </c>
      <c r="DK67" s="32">
        <f>IF(DI67="","",VLOOKUP(DI67,'PPI USA'!$S:$T,2,FALSE))</f>
        <v>169.6</v>
      </c>
      <c r="DL67" s="32">
        <f>IF(DI67="","",VLOOKUP(DI67,'CPI USA'!$T:$V,3,FALSE))</f>
        <v>0.6684022975047168</v>
      </c>
      <c r="DM67" s="32">
        <f>IF(DI67="","",VLOOKUP(DI67,'CPI USA'!$T:$X,5,FALSE))</f>
        <v>0.49636791791307899</v>
      </c>
      <c r="DN67" s="32">
        <f t="shared" si="33"/>
        <v>1.4208751760332547</v>
      </c>
      <c r="DO67" s="32">
        <f t="shared" si="34"/>
        <v>1.4334111417560953</v>
      </c>
      <c r="DP67" s="32">
        <f t="shared" si="35"/>
        <v>0.29795375633567478</v>
      </c>
      <c r="DQ67" s="32">
        <f>IF(DP67="","",DP67*$DO$1/'CPI USA'!$U$508+(1-DP67)*AVERAGE($DO$1,$DQ$1)/AVERAGE('CPI USA'!$U$508,'PPI USA'!$T$514))</f>
        <v>1.1683699471150415</v>
      </c>
      <c r="DR67" s="6">
        <f t="shared" si="36"/>
        <v>34998394</v>
      </c>
      <c r="DS67" s="32">
        <f t="shared" si="37"/>
        <v>0.2</v>
      </c>
      <c r="DT67" s="28">
        <f>IF(DS67="","",DS67*$DO$1/'CPI USA'!$U$508+(1-DS67)*AVERAGE($DO$1,$DQ$1)/AVERAGE('CPI USA'!$U$508,'PPI USA'!$T$514))</f>
        <v>1.1741595760647974</v>
      </c>
      <c r="DU67" s="6">
        <f t="shared" si="38"/>
        <v>67114783.908805251</v>
      </c>
      <c r="DV67" s="6">
        <f t="shared" si="39"/>
        <v>943496.45936214598</v>
      </c>
      <c r="DW67" s="6">
        <f t="shared" si="40"/>
        <v>35057783.441101409</v>
      </c>
      <c r="DX67" s="16">
        <f t="shared" si="41"/>
        <v>0.2</v>
      </c>
      <c r="DY67" s="28">
        <f>IF(DX67="","",DX67*$DO$1/'CPI USA'!$U$508+(1-DX67)*AVERAGE($DO$1,$DQ$1)/AVERAGE('CPI USA'!$U$508,'PPI USA'!$T$514))</f>
        <v>1.1741595760647974</v>
      </c>
      <c r="DZ67" s="30"/>
      <c r="EA67" s="45" t="str">
        <f t="shared" si="42"/>
        <v>C000685</v>
      </c>
      <c r="EB67" s="29">
        <f t="shared" si="43"/>
        <v>9115110088.2408047</v>
      </c>
      <c r="EC67" s="29">
        <f t="shared" si="44"/>
        <v>423513765.0912863</v>
      </c>
      <c r="ED67" s="29">
        <f t="shared" si="45"/>
        <v>321656488.79204887</v>
      </c>
      <c r="EE67" s="29">
        <f t="shared" si="46"/>
        <v>333945269.43239033</v>
      </c>
      <c r="EF67" s="29">
        <f t="shared" si="47"/>
        <v>599576392.44812644</v>
      </c>
      <c r="EG67" s="29">
        <f t="shared" si="48"/>
        <v>3860</v>
      </c>
      <c r="EH67" s="29">
        <f t="shared" si="49"/>
        <v>1387773</v>
      </c>
      <c r="EI67" s="29">
        <f t="shared" si="50"/>
        <v>354640</v>
      </c>
      <c r="EJ67" s="29">
        <f t="shared" si="51"/>
        <v>11298500</v>
      </c>
      <c r="EK67" s="29">
        <f t="shared" si="52"/>
        <v>11513112.395939086</v>
      </c>
      <c r="EL67" s="29">
        <f>IF(CD67=1,VLOOKUP(EA67,'EIA 2021'!$A$2:$J$213,4,0)*EH67,"")</f>
        <v>99420057.719999999</v>
      </c>
      <c r="EM67" s="29">
        <f>IF(CD67=1,VLOOKUP(EA67,'EIA 2021'!$A$2:$J$213,7,0)*EH67,"")</f>
        <v>929807.91</v>
      </c>
      <c r="EN67" s="29">
        <f>IF(CD67=1,VLOOKUP(EA67,'EIA 2021'!$A$2:$J$213,10,0),"")</f>
        <v>1500420</v>
      </c>
      <c r="EO67" s="28">
        <f>IF(CD67=1,VLOOKUP(EA67,'EIA 2021'!$A$2:$Z$213,26,0),"")</f>
        <v>0</v>
      </c>
      <c r="EP67" s="23">
        <f t="shared" si="53"/>
        <v>1.8640693199067863E-2</v>
      </c>
      <c r="EQ67" s="32">
        <f t="shared" si="54"/>
        <v>140027.60406091437</v>
      </c>
      <c r="ER67" s="32">
        <f t="shared" si="55"/>
        <v>214612.39593908563</v>
      </c>
      <c r="ES67" s="6"/>
      <c r="ET67" s="32"/>
    </row>
    <row r="68" spans="1:150" ht="15.75" customHeight="1">
      <c r="A68" s="7" t="s">
        <v>405</v>
      </c>
      <c r="B68" s="7" t="s">
        <v>406</v>
      </c>
      <c r="C68" s="32" t="s">
        <v>407</v>
      </c>
      <c r="D68" s="40">
        <v>77857471</v>
      </c>
      <c r="E68" s="40">
        <v>0</v>
      </c>
      <c r="F68" s="40">
        <v>149291638</v>
      </c>
      <c r="G68" s="40">
        <v>148168687</v>
      </c>
      <c r="H68" s="40">
        <v>149692544</v>
      </c>
      <c r="I68" s="40">
        <v>2217342</v>
      </c>
      <c r="J68" s="40">
        <v>401014</v>
      </c>
      <c r="K68" s="40">
        <v>1631763</v>
      </c>
      <c r="L68" s="40">
        <v>200777</v>
      </c>
      <c r="M68" s="40">
        <v>3575982</v>
      </c>
      <c r="N68" s="40">
        <v>0</v>
      </c>
      <c r="O68" s="40">
        <v>5511726</v>
      </c>
      <c r="P68" s="40">
        <v>1202538</v>
      </c>
      <c r="Q68" s="40">
        <v>0</v>
      </c>
      <c r="R68" s="40">
        <v>28229</v>
      </c>
      <c r="S68" s="40">
        <v>1899378</v>
      </c>
      <c r="T68" s="40">
        <v>12027795</v>
      </c>
      <c r="U68" s="40">
        <v>343448</v>
      </c>
      <c r="V68" s="40">
        <v>0</v>
      </c>
      <c r="W68" s="40">
        <v>2168</v>
      </c>
      <c r="X68" s="40">
        <f>IFERROR(VLOOKUP(A68,'Trans 21-23'!$A$2:$J$229,6,0),0)</f>
        <v>0</v>
      </c>
      <c r="Y68" s="41">
        <v>974768</v>
      </c>
      <c r="Z68" s="41">
        <v>0</v>
      </c>
      <c r="AA68" s="41">
        <v>11613870</v>
      </c>
      <c r="AB68" s="41">
        <v>21575928</v>
      </c>
      <c r="AC68" s="41">
        <v>108648</v>
      </c>
      <c r="AD68" s="41">
        <v>94444389</v>
      </c>
      <c r="AE68" s="41">
        <v>0</v>
      </c>
      <c r="AF68" s="41">
        <v>790012224</v>
      </c>
      <c r="AG68" s="41">
        <v>485273</v>
      </c>
      <c r="AH68" s="41">
        <v>373960</v>
      </c>
      <c r="AI68" s="41">
        <v>16333606</v>
      </c>
      <c r="AJ68" s="41">
        <v>26138</v>
      </c>
      <c r="AK68" s="41">
        <v>0</v>
      </c>
      <c r="AL68" s="41">
        <v>3673405</v>
      </c>
      <c r="AM68" s="41">
        <v>2360615</v>
      </c>
      <c r="AN68" s="41">
        <v>5114547</v>
      </c>
      <c r="AO68" s="41">
        <v>36878</v>
      </c>
      <c r="AP68" s="41">
        <v>0</v>
      </c>
      <c r="AQ68" s="41">
        <v>11185445</v>
      </c>
      <c r="AR68" s="41">
        <v>4748063</v>
      </c>
      <c r="AS68" s="41">
        <v>15933508</v>
      </c>
      <c r="AT68" s="41">
        <v>0</v>
      </c>
      <c r="AU68" s="41">
        <v>2680</v>
      </c>
      <c r="AV68" s="41">
        <v>0</v>
      </c>
      <c r="AW68" s="41">
        <v>553445168</v>
      </c>
      <c r="AX68" s="41">
        <v>58823797</v>
      </c>
      <c r="AY68" s="41">
        <v>662311322</v>
      </c>
      <c r="AZ68" s="41">
        <v>117681709</v>
      </c>
      <c r="BA68" s="41">
        <v>30563273</v>
      </c>
      <c r="BB68" s="41">
        <v>2888038621</v>
      </c>
      <c r="BC68" s="41">
        <v>7278343464</v>
      </c>
      <c r="BD68" s="41">
        <v>149744007</v>
      </c>
      <c r="BE68" s="41">
        <v>774713200</v>
      </c>
      <c r="BF68" s="41">
        <v>59253928</v>
      </c>
      <c r="BG68" s="41">
        <v>0</v>
      </c>
      <c r="BH68" s="41">
        <v>14706319</v>
      </c>
      <c r="BI68" s="41">
        <v>1964383</v>
      </c>
      <c r="BJ68" s="41">
        <v>3296356</v>
      </c>
      <c r="BK68" s="41">
        <v>0</v>
      </c>
      <c r="BL68" s="41">
        <v>0</v>
      </c>
      <c r="BM68" s="41">
        <v>23428838</v>
      </c>
      <c r="BN68" s="41">
        <v>73666873</v>
      </c>
      <c r="BO68" s="41">
        <v>11946630</v>
      </c>
      <c r="BP68" s="41">
        <v>5668255</v>
      </c>
      <c r="BQ68" s="41">
        <v>131476475</v>
      </c>
      <c r="BR68" s="41">
        <v>0</v>
      </c>
      <c r="BS68" s="42">
        <f>IFERROR(VLOOKUP(A68,'Trans 21-23'!$A$2:$J$229,5,0),0)</f>
        <v>0</v>
      </c>
      <c r="BT68" s="43"/>
      <c r="BU68" s="6">
        <f t="shared" si="0"/>
        <v>2888038621</v>
      </c>
      <c r="BV68" s="6">
        <f t="shared" si="1"/>
        <v>2680</v>
      </c>
      <c r="BW68" s="6">
        <f t="shared" si="2"/>
        <v>485273</v>
      </c>
      <c r="BX68" s="6">
        <f t="shared" si="3"/>
        <v>29042160</v>
      </c>
      <c r="BY68" s="6">
        <f t="shared" si="4"/>
        <v>34273214</v>
      </c>
      <c r="BZ68" s="6">
        <f t="shared" si="5"/>
        <v>117681709</v>
      </c>
      <c r="CA68" s="6">
        <f t="shared" si="6"/>
        <v>94444389</v>
      </c>
      <c r="CB68" s="6">
        <f t="shared" si="7"/>
        <v>373960</v>
      </c>
      <c r="CC68" s="6">
        <f t="shared" si="8"/>
        <v>11185445</v>
      </c>
      <c r="CD68" s="6">
        <f t="shared" si="60"/>
        <v>1</v>
      </c>
      <c r="CE68" s="44">
        <f t="shared" si="10"/>
        <v>16</v>
      </c>
      <c r="CF68" s="27"/>
      <c r="CG68" s="28">
        <f t="shared" si="11"/>
        <v>1077.6263511194031</v>
      </c>
      <c r="CH68" s="28">
        <f t="shared" si="12"/>
        <v>5.5226645620094255</v>
      </c>
      <c r="CI68" s="28">
        <f t="shared" si="13"/>
        <v>59.84705516276405</v>
      </c>
      <c r="CJ68" s="28">
        <f t="shared" si="14"/>
        <v>242.50619548171855</v>
      </c>
      <c r="CK68" s="23">
        <f t="shared" si="15"/>
        <v>3.3432733342303324E-2</v>
      </c>
      <c r="CL68" s="29" t="str">
        <f t="shared" si="16"/>
        <v/>
      </c>
      <c r="CM68" s="29" t="str">
        <f t="shared" si="17"/>
        <v/>
      </c>
      <c r="CN68" s="29" t="str">
        <f t="shared" si="18"/>
        <v/>
      </c>
      <c r="CO68" s="29" t="str">
        <f t="shared" si="19"/>
        <v/>
      </c>
      <c r="CP68" s="29" t="str">
        <f t="shared" si="20"/>
        <v/>
      </c>
      <c r="CQ68" s="29">
        <f t="shared" si="21"/>
        <v>0</v>
      </c>
      <c r="CR68" s="13"/>
      <c r="CS68" s="7">
        <f>VLOOKUP(A68,'Empresas 21-23'!$A$2:$M$228,13,0)</f>
        <v>1</v>
      </c>
      <c r="CT68" s="30"/>
      <c r="CU68" s="6">
        <f t="shared" si="22"/>
        <v>2307112567.5999999</v>
      </c>
      <c r="CV68" s="6">
        <f t="shared" si="23"/>
        <v>117681709</v>
      </c>
      <c r="CW68" s="6">
        <f t="shared" si="24"/>
        <v>149744007</v>
      </c>
      <c r="CX68" s="23">
        <f t="shared" si="58"/>
        <v>0.32364177304624786</v>
      </c>
      <c r="CY68" s="23">
        <f t="shared" si="59"/>
        <v>1.6508391263930708E-2</v>
      </c>
      <c r="CZ68" s="6">
        <f t="shared" si="25"/>
        <v>2355575983.5285296</v>
      </c>
      <c r="DA68" s="6">
        <f t="shared" si="26"/>
        <v>120153741.65698478</v>
      </c>
      <c r="DB68" s="6">
        <f t="shared" si="27"/>
        <v>29042160</v>
      </c>
      <c r="DC68" s="6">
        <f t="shared" si="28"/>
        <v>29042160</v>
      </c>
      <c r="DD68" s="6">
        <f t="shared" si="29"/>
        <v>34273214</v>
      </c>
      <c r="DE68" s="6">
        <f t="shared" si="30"/>
        <v>94444389</v>
      </c>
      <c r="DF68" s="6">
        <f t="shared" si="31"/>
        <v>18761501.719794348</v>
      </c>
      <c r="DG68" s="30"/>
      <c r="DH68" s="32">
        <f>VLOOKUP(A68,'T_med_comp-USA'!$A$7:$Q$233,17,0)</f>
        <v>13.043523345608422</v>
      </c>
      <c r="DI68" s="6" t="str">
        <f t="shared" si="32"/>
        <v>12_2008</v>
      </c>
      <c r="DJ68" s="32">
        <f>IF(DI68="","",VLOOKUP(DI68,'CPI USA'!$T:$U,2,FALSE))</f>
        <v>215.303</v>
      </c>
      <c r="DK68" s="32">
        <f>IF(DI68="","",VLOOKUP(DI68,'PPI USA'!$S:$T,2,FALSE))</f>
        <v>159.30000000000001</v>
      </c>
      <c r="DL68" s="32">
        <f>IF(DI68="","",VLOOKUP(DI68,'CPI USA'!$T:$V,3,FALSE))</f>
        <v>0.67018812038291731</v>
      </c>
      <c r="DM68" s="32">
        <f>IF(DI68="","",VLOOKUP(DI68,'CPI USA'!$T:$X,5,FALSE))</f>
        <v>0.49838492968660258</v>
      </c>
      <c r="DN68" s="32">
        <f t="shared" si="33"/>
        <v>1.4884333659448254</v>
      </c>
      <c r="DO68" s="32">
        <f t="shared" si="34"/>
        <v>1.5036496327119213</v>
      </c>
      <c r="DP68" s="32">
        <f t="shared" si="35"/>
        <v>0.58849814774320552</v>
      </c>
      <c r="DQ68" s="32">
        <f>IF(DP68="","",DP68*$DO$1/'CPI USA'!$U$508+(1-DP68)*AVERAGE($DO$1,$DQ$1)/AVERAGE('CPI USA'!$U$508,'PPI USA'!$T$514))</f>
        <v>1.1511971067604796</v>
      </c>
      <c r="DR68" s="6">
        <f t="shared" si="36"/>
        <v>5260739</v>
      </c>
      <c r="DS68" s="32">
        <f t="shared" si="37"/>
        <v>0.2</v>
      </c>
      <c r="DT68" s="28">
        <f>IF(DS68="","",DS68*$DO$1/'CPI USA'!$U$508+(1-DS68)*AVERAGE($DO$1,$DQ$1)/AVERAGE('CPI USA'!$U$508,'PPI USA'!$T$514))</f>
        <v>1.1741595760647974</v>
      </c>
      <c r="DU68" s="6">
        <f t="shared" si="38"/>
        <v>27228315.940592647</v>
      </c>
      <c r="DV68" s="6">
        <f t="shared" si="39"/>
        <v>1055579.8988149581</v>
      </c>
      <c r="DW68" s="6">
        <f t="shared" si="40"/>
        <v>7666216.3831958808</v>
      </c>
      <c r="DX68" s="16">
        <f t="shared" si="41"/>
        <v>0.40861421957004801</v>
      </c>
      <c r="DY68" s="28">
        <f>IF(DX68="","",DX68*$DO$1/'CPI USA'!$U$508+(1-DX68)*AVERAGE($DO$1,$DQ$1)/AVERAGE('CPI USA'!$U$508,'PPI USA'!$T$514))</f>
        <v>1.1618292788905422</v>
      </c>
      <c r="DZ68" s="30"/>
      <c r="EA68" s="45" t="str">
        <f t="shared" si="42"/>
        <v>C000691</v>
      </c>
      <c r="EB68" s="29">
        <f t="shared" si="43"/>
        <v>3506117889.9021621</v>
      </c>
      <c r="EC68" s="29">
        <f t="shared" si="44"/>
        <v>180669129.51148823</v>
      </c>
      <c r="ED68" s="29">
        <f t="shared" si="45"/>
        <v>33433250.56607493</v>
      </c>
      <c r="EE68" s="29">
        <f t="shared" si="46"/>
        <v>40242222.42061808</v>
      </c>
      <c r="EF68" s="29">
        <f t="shared" si="47"/>
        <v>21797662.014012333</v>
      </c>
      <c r="EG68" s="29">
        <f t="shared" si="48"/>
        <v>2680</v>
      </c>
      <c r="EH68" s="29">
        <f t="shared" si="49"/>
        <v>485273</v>
      </c>
      <c r="EI68" s="29">
        <f t="shared" si="50"/>
        <v>373960</v>
      </c>
      <c r="EJ68" s="29">
        <f t="shared" si="51"/>
        <v>11185445</v>
      </c>
      <c r="EK68" s="29">
        <f t="shared" si="52"/>
        <v>11487099.472081218</v>
      </c>
      <c r="EL68" s="29">
        <f>IF(CD68=1,VLOOKUP(EA68,'EIA 2021'!$A$2:$J$213,4,0)*EH68,"")</f>
        <v>39210058.399999999</v>
      </c>
      <c r="EM68" s="29">
        <f>IF(CD68=1,VLOOKUP(EA68,'EIA 2021'!$A$2:$J$213,7,0)*EH68,"")</f>
        <v>359102.02</v>
      </c>
      <c r="EN68" s="29">
        <f>IF(CD68=1,VLOOKUP(EA68,'EIA 2021'!$A$2:$J$213,10,0),"")</f>
        <v>487961</v>
      </c>
      <c r="EO68" s="28">
        <f>IF(CD68=1,VLOOKUP(EA68,'EIA 2021'!$A$2:$Z$213,26,0),"")</f>
        <v>0</v>
      </c>
      <c r="EP68" s="23">
        <f t="shared" si="53"/>
        <v>2.6260282050692866E-2</v>
      </c>
      <c r="EQ68" s="32">
        <f t="shared" si="54"/>
        <v>72305.527918782085</v>
      </c>
      <c r="ER68" s="32">
        <f t="shared" si="55"/>
        <v>301654.47208121791</v>
      </c>
      <c r="ES68" s="6"/>
      <c r="ET68" s="32"/>
    </row>
    <row r="69" spans="1:150" ht="15.75" customHeight="1">
      <c r="A69" s="7" t="s">
        <v>408</v>
      </c>
      <c r="B69" s="7" t="s">
        <v>409</v>
      </c>
      <c r="C69" s="32" t="s">
        <v>410</v>
      </c>
      <c r="D69" s="40">
        <v>113269634</v>
      </c>
      <c r="E69" s="40">
        <v>0</v>
      </c>
      <c r="F69" s="40">
        <v>72067559</v>
      </c>
      <c r="G69" s="40">
        <v>139040515</v>
      </c>
      <c r="H69" s="40">
        <v>146364039</v>
      </c>
      <c r="I69" s="40">
        <v>2478049</v>
      </c>
      <c r="J69" s="40">
        <v>688508</v>
      </c>
      <c r="K69" s="40">
        <v>1935859</v>
      </c>
      <c r="L69" s="40">
        <v>786648</v>
      </c>
      <c r="M69" s="40">
        <v>2528024</v>
      </c>
      <c r="N69" s="40">
        <v>0</v>
      </c>
      <c r="O69" s="40">
        <v>4253711</v>
      </c>
      <c r="P69" s="40">
        <v>549439</v>
      </c>
      <c r="Q69" s="40">
        <v>0</v>
      </c>
      <c r="R69" s="40">
        <v>0</v>
      </c>
      <c r="S69" s="40">
        <v>1899389</v>
      </c>
      <c r="T69" s="40">
        <v>17555180</v>
      </c>
      <c r="U69" s="40">
        <v>1344318</v>
      </c>
      <c r="V69" s="40">
        <v>0</v>
      </c>
      <c r="W69" s="40">
        <v>0</v>
      </c>
      <c r="X69" s="40">
        <f>IFERROR(VLOOKUP(A69,'Trans 21-23'!$A$2:$J$229,6,0),0)</f>
        <v>0</v>
      </c>
      <c r="Y69" s="41">
        <v>1852930</v>
      </c>
      <c r="Z69" s="41">
        <v>0</v>
      </c>
      <c r="AA69" s="41">
        <v>13705547</v>
      </c>
      <c r="AB69" s="41">
        <v>26474198</v>
      </c>
      <c r="AC69" s="41">
        <v>131276</v>
      </c>
      <c r="AD69" s="41">
        <v>113452452</v>
      </c>
      <c r="AE69" s="41">
        <v>0</v>
      </c>
      <c r="AF69" s="41">
        <v>964702002</v>
      </c>
      <c r="AG69" s="41">
        <v>496007</v>
      </c>
      <c r="AH69" s="41">
        <v>170593</v>
      </c>
      <c r="AI69" s="41">
        <v>17433903</v>
      </c>
      <c r="AJ69" s="41">
        <v>23148</v>
      </c>
      <c r="AK69" s="41">
        <v>0</v>
      </c>
      <c r="AL69" s="41">
        <v>3680243</v>
      </c>
      <c r="AM69" s="41">
        <v>4022158</v>
      </c>
      <c r="AN69" s="41">
        <v>6580959</v>
      </c>
      <c r="AO69" s="41">
        <v>34560</v>
      </c>
      <c r="AP69" s="41">
        <v>0</v>
      </c>
      <c r="AQ69" s="41">
        <v>14317920</v>
      </c>
      <c r="AR69" s="41">
        <v>2922242</v>
      </c>
      <c r="AS69" s="41">
        <v>17240162</v>
      </c>
      <c r="AT69" s="41">
        <v>0</v>
      </c>
      <c r="AU69" s="41">
        <v>2892</v>
      </c>
      <c r="AV69" s="41">
        <v>0</v>
      </c>
      <c r="AW69" s="41">
        <v>780635919</v>
      </c>
      <c r="AX69" s="41">
        <v>104700913</v>
      </c>
      <c r="AY69" s="41">
        <v>703594381</v>
      </c>
      <c r="AZ69" s="41">
        <v>123323656</v>
      </c>
      <c r="BA69" s="41">
        <v>74425937</v>
      </c>
      <c r="BB69" s="41">
        <v>3625406968</v>
      </c>
      <c r="BC69" s="41">
        <v>9398086678</v>
      </c>
      <c r="BD69" s="41">
        <v>294806012</v>
      </c>
      <c r="BE69" s="41">
        <v>875545600</v>
      </c>
      <c r="BF69" s="41">
        <v>73191684</v>
      </c>
      <c r="BG69" s="41">
        <v>0</v>
      </c>
      <c r="BH69" s="41">
        <v>19267637</v>
      </c>
      <c r="BI69" s="41">
        <v>2506603</v>
      </c>
      <c r="BJ69" s="41">
        <v>3949027</v>
      </c>
      <c r="BK69" s="41">
        <v>0</v>
      </c>
      <c r="BL69" s="41">
        <v>0</v>
      </c>
      <c r="BM69" s="41">
        <v>31230807</v>
      </c>
      <c r="BN69" s="41">
        <v>78200779</v>
      </c>
      <c r="BO69" s="41">
        <v>13667914</v>
      </c>
      <c r="BP69" s="41">
        <v>8333542</v>
      </c>
      <c r="BQ69" s="41">
        <v>148271245</v>
      </c>
      <c r="BR69" s="41">
        <v>0</v>
      </c>
      <c r="BS69" s="42">
        <f>IFERROR(VLOOKUP(A69,'Trans 21-23'!$A$2:$J$229,5,0),0)</f>
        <v>0</v>
      </c>
      <c r="BT69" s="43"/>
      <c r="BU69" s="6">
        <f t="shared" si="0"/>
        <v>3625406968</v>
      </c>
      <c r="BV69" s="6">
        <f t="shared" si="1"/>
        <v>2892</v>
      </c>
      <c r="BW69" s="6">
        <f t="shared" si="2"/>
        <v>496007</v>
      </c>
      <c r="BX69" s="6">
        <f t="shared" si="3"/>
        <v>34019125</v>
      </c>
      <c r="BY69" s="6">
        <f t="shared" si="4"/>
        <v>42163951</v>
      </c>
      <c r="BZ69" s="6">
        <f t="shared" si="5"/>
        <v>123323656</v>
      </c>
      <c r="CA69" s="6">
        <f t="shared" si="6"/>
        <v>113452452</v>
      </c>
      <c r="CB69" s="6">
        <f t="shared" si="7"/>
        <v>170593</v>
      </c>
      <c r="CC69" s="6">
        <f t="shared" si="8"/>
        <v>14317920</v>
      </c>
      <c r="CD69" s="6">
        <f t="shared" si="60"/>
        <v>1</v>
      </c>
      <c r="CE69" s="44">
        <f t="shared" si="10"/>
        <v>18</v>
      </c>
      <c r="CF69" s="27"/>
      <c r="CG69" s="28">
        <f t="shared" si="11"/>
        <v>1253.5985366528353</v>
      </c>
      <c r="CH69" s="28">
        <f t="shared" si="12"/>
        <v>5.8305628751207141</v>
      </c>
      <c r="CI69" s="28">
        <f t="shared" si="13"/>
        <v>68.585977617251373</v>
      </c>
      <c r="CJ69" s="28">
        <f t="shared" si="14"/>
        <v>248.63289429383053</v>
      </c>
      <c r="CK69" s="23">
        <f t="shared" si="15"/>
        <v>1.1914649613910401E-2</v>
      </c>
      <c r="CL69" s="29" t="str">
        <f t="shared" si="16"/>
        <v/>
      </c>
      <c r="CM69" s="29" t="str">
        <f t="shared" si="17"/>
        <v/>
      </c>
      <c r="CN69" s="29" t="str">
        <f t="shared" si="18"/>
        <v/>
      </c>
      <c r="CO69" s="29" t="str">
        <f t="shared" si="19"/>
        <v/>
      </c>
      <c r="CP69" s="29" t="str">
        <f t="shared" si="20"/>
        <v/>
      </c>
      <c r="CQ69" s="29">
        <f t="shared" si="21"/>
        <v>0</v>
      </c>
      <c r="CR69" s="13"/>
      <c r="CS69" s="7">
        <f>VLOOKUP(A69,'Empresas 21-23'!$A$2:$M$228,13,0)</f>
        <v>1</v>
      </c>
      <c r="CT69" s="30"/>
      <c r="CU69" s="6">
        <f t="shared" si="22"/>
        <v>2942680198.5999999</v>
      </c>
      <c r="CV69" s="6">
        <f t="shared" si="23"/>
        <v>123323656</v>
      </c>
      <c r="CW69" s="6">
        <f t="shared" si="24"/>
        <v>294806012</v>
      </c>
      <c r="CX69" s="23">
        <f t="shared" si="58"/>
        <v>0.32325491287889946</v>
      </c>
      <c r="CY69" s="23">
        <f t="shared" si="59"/>
        <v>1.3547166183791702E-2</v>
      </c>
      <c r="CZ69" s="6">
        <f t="shared" si="25"/>
        <v>3037977690.3252358</v>
      </c>
      <c r="DA69" s="6">
        <f t="shared" si="26"/>
        <v>127317442.03654489</v>
      </c>
      <c r="DB69" s="6">
        <f t="shared" si="27"/>
        <v>34019125</v>
      </c>
      <c r="DC69" s="6">
        <f t="shared" si="28"/>
        <v>34019125</v>
      </c>
      <c r="DD69" s="6">
        <f t="shared" si="29"/>
        <v>42163951</v>
      </c>
      <c r="DE69" s="6">
        <f t="shared" si="30"/>
        <v>113452452</v>
      </c>
      <c r="DF69" s="6">
        <f t="shared" si="31"/>
        <v>16635905.600414921</v>
      </c>
      <c r="DG69" s="30"/>
      <c r="DH69" s="32">
        <f>VLOOKUP(A69,'T_med_comp-USA'!$A$7:$Q$233,17,0)</f>
        <v>12.196453259044141</v>
      </c>
      <c r="DI69" s="6" t="str">
        <f t="shared" si="32"/>
        <v>10_2009</v>
      </c>
      <c r="DJ69" s="32">
        <f>IF(DI69="","",VLOOKUP(DI69,'CPI USA'!$T:$U,2,FALSE))</f>
        <v>214.53700000000001</v>
      </c>
      <c r="DK69" s="32">
        <f>IF(DI69="","",VLOOKUP(DI69,'PPI USA'!$S:$T,2,FALSE))</f>
        <v>159.1</v>
      </c>
      <c r="DL69" s="32">
        <f>IF(DI69="","",VLOOKUP(DI69,'CPI USA'!$T:$V,3,FALSE))</f>
        <v>0.66997101349938215</v>
      </c>
      <c r="DM69" s="32">
        <f>IF(DI69="","",VLOOKUP(DI69,'CPI USA'!$T:$X,5,FALSE))</f>
        <v>0.49813941766071862</v>
      </c>
      <c r="DN69" s="32">
        <f t="shared" si="33"/>
        <v>1.4932638886873792</v>
      </c>
      <c r="DO69" s="32">
        <f t="shared" si="34"/>
        <v>1.5082750176818205</v>
      </c>
      <c r="DP69" s="32">
        <f t="shared" si="35"/>
        <v>0.66536779302960569</v>
      </c>
      <c r="DQ69" s="32">
        <f>IF(DP69="","",DP69*$DO$1/'CPI USA'!$U$508+(1-DP69)*AVERAGE($DO$1,$DQ$1)/AVERAGE('CPI USA'!$U$508,'PPI USA'!$T$514))</f>
        <v>1.1466536697310463</v>
      </c>
      <c r="DR69" s="6">
        <f t="shared" si="36"/>
        <v>6455630</v>
      </c>
      <c r="DS69" s="32">
        <f t="shared" si="37"/>
        <v>0.2</v>
      </c>
      <c r="DT69" s="28">
        <f>IF(DS69="","",DS69*$DO$1/'CPI USA'!$U$508+(1-DS69)*AVERAGE($DO$1,$DQ$1)/AVERAGE('CPI USA'!$U$508,'PPI USA'!$T$514))</f>
        <v>1.1741595760647974</v>
      </c>
      <c r="DU69" s="6">
        <f t="shared" si="38"/>
        <v>36689320.197504058</v>
      </c>
      <c r="DV69" s="6">
        <f t="shared" si="39"/>
        <v>1859850.7496467482</v>
      </c>
      <c r="DW69" s="6">
        <f t="shared" si="40"/>
        <v>12680316.354677273</v>
      </c>
      <c r="DX69" s="16">
        <f t="shared" si="41"/>
        <v>0.76222579396946144</v>
      </c>
      <c r="DY69" s="28">
        <f>IF(DX69="","",DX69*$DO$1/'CPI USA'!$U$508+(1-DX69)*AVERAGE($DO$1,$DQ$1)/AVERAGE('CPI USA'!$U$508,'PPI USA'!$T$514))</f>
        <v>1.140928806211416</v>
      </c>
      <c r="DZ69" s="30"/>
      <c r="EA69" s="45" t="str">
        <f t="shared" si="42"/>
        <v>C000692</v>
      </c>
      <c r="EB69" s="29">
        <f t="shared" si="43"/>
        <v>4536502379.600565</v>
      </c>
      <c r="EC69" s="29">
        <f t="shared" si="44"/>
        <v>192029717.1388739</v>
      </c>
      <c r="ED69" s="29">
        <f t="shared" si="45"/>
        <v>39008154.522289179</v>
      </c>
      <c r="EE69" s="29">
        <f t="shared" si="46"/>
        <v>49507206.831376888</v>
      </c>
      <c r="EF69" s="29">
        <f t="shared" si="47"/>
        <v>18980383.916927204</v>
      </c>
      <c r="EG69" s="29">
        <f t="shared" si="48"/>
        <v>2892</v>
      </c>
      <c r="EH69" s="29">
        <f t="shared" si="49"/>
        <v>496007</v>
      </c>
      <c r="EI69" s="29">
        <f t="shared" si="50"/>
        <v>170593</v>
      </c>
      <c r="EJ69" s="29">
        <f t="shared" si="51"/>
        <v>14317920</v>
      </c>
      <c r="EK69" s="29">
        <f t="shared" si="52"/>
        <v>14444011.852791877</v>
      </c>
      <c r="EL69" s="29">
        <f>IF(CD69=1,VLOOKUP(EA69,'EIA 2021'!$A$2:$J$213,4,0)*EH69,"")</f>
        <v>36754118.699999996</v>
      </c>
      <c r="EM69" s="29">
        <f>IF(CD69=1,VLOOKUP(EA69,'EIA 2021'!$A$2:$J$213,7,0)*EH69,"")</f>
        <v>406725.74</v>
      </c>
      <c r="EN69" s="29">
        <f>IF(CD69=1,VLOOKUP(EA69,'EIA 2021'!$A$2:$J$213,10,0),"")</f>
        <v>488360</v>
      </c>
      <c r="EO69" s="28">
        <f>IF(CD69=1,VLOOKUP(EA69,'EIA 2021'!$A$2:$Z$213,26,0),"")</f>
        <v>0</v>
      </c>
      <c r="EP69" s="23">
        <f t="shared" si="53"/>
        <v>8.7296974051918746E-3</v>
      </c>
      <c r="EQ69" s="32">
        <f t="shared" si="54"/>
        <v>44501.147208122071</v>
      </c>
      <c r="ER69" s="32">
        <f t="shared" si="55"/>
        <v>126091.85279187793</v>
      </c>
      <c r="ES69" s="6"/>
      <c r="ET69" s="32"/>
    </row>
    <row r="70" spans="1:150" ht="15.75" customHeight="1">
      <c r="A70" s="7" t="s">
        <v>411</v>
      </c>
      <c r="B70" s="7" t="s">
        <v>412</v>
      </c>
      <c r="C70" s="32" t="s">
        <v>413</v>
      </c>
      <c r="D70" s="40">
        <v>475714214</v>
      </c>
      <c r="E70" s="40">
        <v>57611296</v>
      </c>
      <c r="F70" s="40">
        <v>30041285</v>
      </c>
      <c r="G70" s="40">
        <v>129690971</v>
      </c>
      <c r="H70" s="40">
        <v>158528956</v>
      </c>
      <c r="I70" s="40">
        <v>8311816</v>
      </c>
      <c r="J70" s="40">
        <v>2684818</v>
      </c>
      <c r="K70" s="40">
        <v>1843818</v>
      </c>
      <c r="L70" s="40">
        <v>10490198</v>
      </c>
      <c r="M70" s="40">
        <v>5501299</v>
      </c>
      <c r="N70" s="40">
        <v>1122489</v>
      </c>
      <c r="O70" s="40">
        <v>23692622</v>
      </c>
      <c r="P70" s="40">
        <v>339188</v>
      </c>
      <c r="Q70" s="40">
        <v>810957</v>
      </c>
      <c r="R70" s="40">
        <v>1306911</v>
      </c>
      <c r="S70" s="40">
        <v>12273848</v>
      </c>
      <c r="T70" s="40">
        <v>67318568</v>
      </c>
      <c r="U70" s="40">
        <v>2940597</v>
      </c>
      <c r="V70" s="40">
        <v>555678</v>
      </c>
      <c r="W70" s="40">
        <v>3230497</v>
      </c>
      <c r="X70" s="40">
        <f>IFERROR(VLOOKUP(A70,'Trans 21-23'!$A$2:$J$229,6,0),0)</f>
        <v>0</v>
      </c>
      <c r="Y70" s="41">
        <v>7144962</v>
      </c>
      <c r="Z70" s="41">
        <v>549045</v>
      </c>
      <c r="AA70" s="41">
        <v>48716262</v>
      </c>
      <c r="AB70" s="41">
        <v>101282415</v>
      </c>
      <c r="AC70" s="41">
        <v>438814</v>
      </c>
      <c r="AD70" s="41">
        <v>192583395</v>
      </c>
      <c r="AE70" s="41">
        <v>0</v>
      </c>
      <c r="AF70" s="41">
        <v>1665167605</v>
      </c>
      <c r="AG70" s="41">
        <v>1244270</v>
      </c>
      <c r="AH70" s="41">
        <v>1454147</v>
      </c>
      <c r="AI70" s="41">
        <v>40000386</v>
      </c>
      <c r="AJ70" s="41">
        <v>0</v>
      </c>
      <c r="AK70" s="41">
        <v>0</v>
      </c>
      <c r="AL70" s="41">
        <v>13345195</v>
      </c>
      <c r="AM70" s="41">
        <v>13544792</v>
      </c>
      <c r="AN70" s="41">
        <v>4149760</v>
      </c>
      <c r="AO70" s="41">
        <v>80959</v>
      </c>
      <c r="AP70" s="41">
        <v>166</v>
      </c>
      <c r="AQ70" s="41">
        <v>31120872</v>
      </c>
      <c r="AR70" s="41">
        <v>7425367</v>
      </c>
      <c r="AS70" s="41">
        <v>38546239</v>
      </c>
      <c r="AT70" s="41">
        <v>0</v>
      </c>
      <c r="AU70" s="41">
        <v>6974</v>
      </c>
      <c r="AV70" s="41">
        <v>0</v>
      </c>
      <c r="AW70" s="41">
        <v>1535816784</v>
      </c>
      <c r="AX70" s="41">
        <v>647109300</v>
      </c>
      <c r="AY70" s="41">
        <v>1043319043</v>
      </c>
      <c r="AZ70" s="41">
        <v>194969426</v>
      </c>
      <c r="BA70" s="41">
        <v>204732995</v>
      </c>
      <c r="BB70" s="41">
        <v>7283255385</v>
      </c>
      <c r="BC70" s="41">
        <v>22134488952</v>
      </c>
      <c r="BD70" s="41">
        <v>911264364</v>
      </c>
      <c r="BE70" s="41">
        <v>3176203911</v>
      </c>
      <c r="BF70" s="41">
        <v>194173509</v>
      </c>
      <c r="BG70" s="41">
        <v>0</v>
      </c>
      <c r="BH70" s="41">
        <v>61049684</v>
      </c>
      <c r="BI70" s="41">
        <v>20452686</v>
      </c>
      <c r="BJ70" s="41">
        <v>7099495</v>
      </c>
      <c r="BK70" s="41">
        <v>274946</v>
      </c>
      <c r="BL70" s="41">
        <v>0</v>
      </c>
      <c r="BM70" s="41">
        <v>64899367</v>
      </c>
      <c r="BN70" s="41">
        <v>357259079</v>
      </c>
      <c r="BO70" s="41">
        <v>8274999</v>
      </c>
      <c r="BP70" s="41">
        <v>2724632</v>
      </c>
      <c r="BQ70" s="41">
        <v>624860107</v>
      </c>
      <c r="BR70" s="41">
        <v>0</v>
      </c>
      <c r="BS70" s="42">
        <f>IFERROR(VLOOKUP(A70,'Trans 21-23'!$A$2:$J$229,5,0),0)</f>
        <v>0</v>
      </c>
      <c r="BT70" s="43"/>
      <c r="BU70" s="6">
        <f t="shared" si="0"/>
        <v>7283255385</v>
      </c>
      <c r="BV70" s="6">
        <f t="shared" si="1"/>
        <v>6974</v>
      </c>
      <c r="BW70" s="6">
        <f t="shared" si="2"/>
        <v>1244270</v>
      </c>
      <c r="BX70" s="6">
        <f t="shared" si="3"/>
        <v>142423304</v>
      </c>
      <c r="BY70" s="6">
        <f t="shared" si="4"/>
        <v>158131498</v>
      </c>
      <c r="BZ70" s="6">
        <f t="shared" si="5"/>
        <v>194969426</v>
      </c>
      <c r="CA70" s="6">
        <f t="shared" si="6"/>
        <v>192583395</v>
      </c>
      <c r="CB70" s="6">
        <f t="shared" si="7"/>
        <v>1454147</v>
      </c>
      <c r="CC70" s="6">
        <f t="shared" si="8"/>
        <v>31120872</v>
      </c>
      <c r="CD70" s="6">
        <f t="shared" si="60"/>
        <v>1</v>
      </c>
      <c r="CE70" s="44">
        <f t="shared" si="10"/>
        <v>10</v>
      </c>
      <c r="CF70" s="27"/>
      <c r="CG70" s="28">
        <f t="shared" si="11"/>
        <v>1044.3440471752224</v>
      </c>
      <c r="CH70" s="28">
        <f t="shared" si="12"/>
        <v>5.604892828726884</v>
      </c>
      <c r="CI70" s="28">
        <f t="shared" si="13"/>
        <v>114.46334316506868</v>
      </c>
      <c r="CJ70" s="28">
        <f t="shared" si="14"/>
        <v>156.69382529515298</v>
      </c>
      <c r="CK70" s="23">
        <f t="shared" si="15"/>
        <v>4.672577940618116E-2</v>
      </c>
      <c r="CL70" s="29" t="str">
        <f t="shared" si="16"/>
        <v/>
      </c>
      <c r="CM70" s="29" t="str">
        <f t="shared" si="17"/>
        <v/>
      </c>
      <c r="CN70" s="29" t="str">
        <f t="shared" si="18"/>
        <v/>
      </c>
      <c r="CO70" s="29" t="str">
        <f t="shared" si="19"/>
        <v/>
      </c>
      <c r="CP70" s="29" t="str">
        <f t="shared" si="20"/>
        <v/>
      </c>
      <c r="CQ70" s="29">
        <f t="shared" si="21"/>
        <v>0</v>
      </c>
      <c r="CR70" s="13"/>
      <c r="CS70" s="7">
        <f>VLOOKUP(A70,'Empresas 21-23'!$A$2:$M$228,13,0)</f>
        <v>1</v>
      </c>
      <c r="CT70" s="30"/>
      <c r="CU70" s="6">
        <f t="shared" si="22"/>
        <v>5869295958.1999998</v>
      </c>
      <c r="CV70" s="6">
        <f t="shared" si="23"/>
        <v>194969426</v>
      </c>
      <c r="CW70" s="6">
        <f t="shared" si="24"/>
        <v>911264364</v>
      </c>
      <c r="CX70" s="23">
        <f t="shared" si="58"/>
        <v>0.27655062188422619</v>
      </c>
      <c r="CY70" s="23">
        <f t="shared" si="59"/>
        <v>9.1866071148415072E-3</v>
      </c>
      <c r="CZ70" s="6">
        <f t="shared" si="25"/>
        <v>6121306684.7651339</v>
      </c>
      <c r="DA70" s="6">
        <f t="shared" si="26"/>
        <v>203340853.68982393</v>
      </c>
      <c r="DB70" s="6">
        <f t="shared" si="27"/>
        <v>142423304</v>
      </c>
      <c r="DC70" s="6">
        <f t="shared" si="28"/>
        <v>142423304</v>
      </c>
      <c r="DD70" s="6">
        <f t="shared" si="29"/>
        <v>158131498</v>
      </c>
      <c r="DE70" s="6">
        <f t="shared" si="30"/>
        <v>192583395</v>
      </c>
      <c r="DF70" s="6">
        <f t="shared" si="31"/>
        <v>77105040.658035204</v>
      </c>
      <c r="DG70" s="30"/>
      <c r="DH70" s="32">
        <f>VLOOKUP(A70,'T_med_comp-USA'!$A$7:$Q$233,17,0)</f>
        <v>16.463784284588034</v>
      </c>
      <c r="DI70" s="6" t="str">
        <f t="shared" si="32"/>
        <v>7_2005</v>
      </c>
      <c r="DJ70" s="32">
        <f>IF(DI70="","",VLOOKUP(DI70,'CPI USA'!$T:$U,2,FALSE))</f>
        <v>195.3</v>
      </c>
      <c r="DK70" s="32">
        <f>IF(DI70="","",VLOOKUP(DI70,'PPI USA'!$S:$T,2,FALSE))</f>
        <v>131.30000000000001</v>
      </c>
      <c r="DL70" s="32">
        <f>IF(DI70="","",VLOOKUP(DI70,'CPI USA'!$T:$V,3,FALSE))</f>
        <v>0.67888602568792966</v>
      </c>
      <c r="DM70" s="32">
        <f>IF(DI70="","",VLOOKUP(DI70,'CPI USA'!$T:$X,5,FALSE))</f>
        <v>0.50828944385363772</v>
      </c>
      <c r="DN70" s="32">
        <f t="shared" si="33"/>
        <v>1.6621774217199745</v>
      </c>
      <c r="DO70" s="32">
        <f t="shared" si="34"/>
        <v>1.6905992787819408</v>
      </c>
      <c r="DP70" s="32">
        <f t="shared" si="35"/>
        <v>0.43857811950469017</v>
      </c>
      <c r="DQ70" s="32">
        <f>IF(DP70="","",DP70*$DO$1/'CPI USA'!$U$508+(1-DP70)*AVERAGE($DO$1,$DQ$1)/AVERAGE('CPI USA'!$U$508,'PPI USA'!$T$514))</f>
        <v>1.1600582405046866</v>
      </c>
      <c r="DR70" s="6">
        <f t="shared" si="36"/>
        <v>27827127</v>
      </c>
      <c r="DS70" s="32">
        <f t="shared" si="37"/>
        <v>0.2</v>
      </c>
      <c r="DT70" s="28">
        <f>IF(DS70="","",DS70*$DO$1/'CPI USA'!$U$508+(1-DS70)*AVERAGE($DO$1,$DQ$1)/AVERAGE('CPI USA'!$U$508,'PPI USA'!$T$514))</f>
        <v>1.1741595760647974</v>
      </c>
      <c r="DU70" s="6">
        <f t="shared" si="38"/>
        <v>66402595.969096772</v>
      </c>
      <c r="DV70" s="6">
        <f t="shared" si="39"/>
        <v>284225.70197904884</v>
      </c>
      <c r="DW70" s="6">
        <f t="shared" si="40"/>
        <v>16589955.005316772</v>
      </c>
      <c r="DX70" s="16">
        <f t="shared" si="41"/>
        <v>0.21516044688821409</v>
      </c>
      <c r="DY70" s="28">
        <f>IF(DX70="","",DX70*$DO$1/'CPI USA'!$U$508+(1-DX70)*AVERAGE($DO$1,$DQ$1)/AVERAGE('CPI USA'!$U$508,'PPI USA'!$T$514))</f>
        <v>1.1732635066798269</v>
      </c>
      <c r="DZ70" s="30"/>
      <c r="EA70" s="45" t="str">
        <f t="shared" si="42"/>
        <v>C000744</v>
      </c>
      <c r="EB70" s="29">
        <f t="shared" si="43"/>
        <v>10174697762.840155</v>
      </c>
      <c r="EC70" s="29">
        <f t="shared" si="44"/>
        <v>343767900.59492046</v>
      </c>
      <c r="ED70" s="29">
        <f t="shared" si="45"/>
        <v>165219327.44510409</v>
      </c>
      <c r="EE70" s="29">
        <f t="shared" si="46"/>
        <v>185671612.65417135</v>
      </c>
      <c r="EF70" s="29">
        <f t="shared" si="47"/>
        <v>90464530.385137007</v>
      </c>
      <c r="EG70" s="29">
        <f t="shared" si="48"/>
        <v>6974</v>
      </c>
      <c r="EH70" s="29">
        <f t="shared" si="49"/>
        <v>1244270</v>
      </c>
      <c r="EI70" s="29">
        <f t="shared" si="50"/>
        <v>1454147</v>
      </c>
      <c r="EJ70" s="29">
        <f t="shared" si="51"/>
        <v>31120872</v>
      </c>
      <c r="EK70" s="29">
        <f t="shared" si="52"/>
        <v>32461942.345177665</v>
      </c>
      <c r="EL70" s="29">
        <f>IF(CD70=1,VLOOKUP(EA70,'EIA 2021'!$A$2:$J$213,4,0)*EH70,"")</f>
        <v>111984300</v>
      </c>
      <c r="EM70" s="29">
        <f>IF(CD70=1,VLOOKUP(EA70,'EIA 2021'!$A$2:$J$213,7,0)*EH70,"")</f>
        <v>1269155.3999999999</v>
      </c>
      <c r="EN70" s="29">
        <f>IF(CD70=1,VLOOKUP(EA70,'EIA 2021'!$A$2:$J$213,10,0),"")</f>
        <v>1235211</v>
      </c>
      <c r="EO70" s="28">
        <f>IF(CD70=1,VLOOKUP(EA70,'EIA 2021'!$A$2:$Z$213,26,0),"")</f>
        <v>0</v>
      </c>
      <c r="EP70" s="23">
        <f t="shared" si="53"/>
        <v>4.1312079570521604E-2</v>
      </c>
      <c r="EQ70" s="32">
        <f t="shared" si="54"/>
        <v>113076.65482233558</v>
      </c>
      <c r="ER70" s="32">
        <f t="shared" si="55"/>
        <v>1341070.3451776644</v>
      </c>
      <c r="ES70" s="6"/>
      <c r="ET70" s="32"/>
    </row>
    <row r="71" spans="1:150" ht="15.75" customHeight="1">
      <c r="A71" s="7" t="s">
        <v>414</v>
      </c>
      <c r="B71" s="7" t="s">
        <v>415</v>
      </c>
      <c r="C71" s="32" t="s">
        <v>416</v>
      </c>
      <c r="D71" s="40">
        <v>0</v>
      </c>
      <c r="E71" s="40">
        <v>0</v>
      </c>
      <c r="F71" s="40">
        <v>0</v>
      </c>
      <c r="G71" s="40">
        <v>295210115</v>
      </c>
      <c r="H71" s="40">
        <v>294904352</v>
      </c>
      <c r="I71" s="40">
        <v>8497970</v>
      </c>
      <c r="J71" s="40">
        <v>4311207</v>
      </c>
      <c r="K71" s="40">
        <v>6159354</v>
      </c>
      <c r="L71" s="40">
        <v>32572585</v>
      </c>
      <c r="M71" s="40">
        <v>4904646</v>
      </c>
      <c r="N71" s="40">
        <v>3258817</v>
      </c>
      <c r="O71" s="40">
        <v>27204487</v>
      </c>
      <c r="P71" s="40">
        <v>604032</v>
      </c>
      <c r="Q71" s="40">
        <v>991362</v>
      </c>
      <c r="R71" s="40">
        <v>1115565</v>
      </c>
      <c r="S71" s="40">
        <v>26760289</v>
      </c>
      <c r="T71" s="40">
        <v>120819217</v>
      </c>
      <c r="U71" s="40">
        <v>5196679</v>
      </c>
      <c r="V71" s="40">
        <v>1024808</v>
      </c>
      <c r="W71" s="40">
        <v>3075485</v>
      </c>
      <c r="X71" s="40">
        <f>IFERROR(VLOOKUP(A71,'Trans 21-23'!$A$2:$J$229,6,0),0)</f>
        <v>0</v>
      </c>
      <c r="Y71" s="41">
        <v>16549046</v>
      </c>
      <c r="Z71" s="41">
        <v>587409</v>
      </c>
      <c r="AA71" s="41">
        <v>23230524</v>
      </c>
      <c r="AB71" s="41">
        <v>39502949</v>
      </c>
      <c r="AC71" s="41">
        <v>101131</v>
      </c>
      <c r="AD71" s="41">
        <v>139515465</v>
      </c>
      <c r="AE71" s="41">
        <v>0</v>
      </c>
      <c r="AF71" s="41">
        <v>903736590</v>
      </c>
      <c r="AG71" s="41">
        <v>1228564</v>
      </c>
      <c r="AH71" s="41">
        <v>346127</v>
      </c>
      <c r="AI71" s="41">
        <v>8439583</v>
      </c>
      <c r="AJ71" s="41">
        <v>0</v>
      </c>
      <c r="AK71" s="41">
        <v>0</v>
      </c>
      <c r="AL71" s="41">
        <v>4744144</v>
      </c>
      <c r="AM71" s="41">
        <v>2656421</v>
      </c>
      <c r="AN71" s="41">
        <v>330009</v>
      </c>
      <c r="AO71" s="41">
        <v>63779</v>
      </c>
      <c r="AP71" s="41">
        <v>54997</v>
      </c>
      <c r="AQ71" s="41">
        <v>7849350</v>
      </c>
      <c r="AR71" s="41">
        <v>244106</v>
      </c>
      <c r="AS71" s="41">
        <v>8093456</v>
      </c>
      <c r="AT71" s="41">
        <v>0</v>
      </c>
      <c r="AU71" s="41">
        <v>1913</v>
      </c>
      <c r="AV71" s="41">
        <v>0</v>
      </c>
      <c r="AW71" s="41">
        <v>1488619566</v>
      </c>
      <c r="AX71" s="41">
        <v>146568098</v>
      </c>
      <c r="AY71" s="41">
        <v>761758313</v>
      </c>
      <c r="AZ71" s="41">
        <v>309469032</v>
      </c>
      <c r="BA71" s="41">
        <v>315274522</v>
      </c>
      <c r="BB71" s="41">
        <v>7438715117</v>
      </c>
      <c r="BC71" s="41">
        <v>12817317517</v>
      </c>
      <c r="BD71" s="41">
        <v>792256691</v>
      </c>
      <c r="BE71" s="41">
        <v>3389404852</v>
      </c>
      <c r="BF71" s="41">
        <v>246767836</v>
      </c>
      <c r="BG71" s="41">
        <v>0</v>
      </c>
      <c r="BH71" s="41">
        <v>102867345</v>
      </c>
      <c r="BI71" s="41">
        <v>14812394</v>
      </c>
      <c r="BJ71" s="41">
        <v>789798</v>
      </c>
      <c r="BK71" s="41">
        <v>0</v>
      </c>
      <c r="BL71" s="41">
        <v>0</v>
      </c>
      <c r="BM71" s="41">
        <v>59087611</v>
      </c>
      <c r="BN71" s="41">
        <v>192363589</v>
      </c>
      <c r="BO71" s="41">
        <v>4658114</v>
      </c>
      <c r="BP71" s="41">
        <v>2773018</v>
      </c>
      <c r="BQ71" s="41">
        <v>493372665</v>
      </c>
      <c r="BR71" s="41">
        <v>0</v>
      </c>
      <c r="BS71" s="42">
        <f>IFERROR(VLOOKUP(A71,'Trans 21-23'!$A$2:$J$229,5,0),0)</f>
        <v>0</v>
      </c>
      <c r="BT71" s="43"/>
      <c r="BU71" s="6">
        <f t="shared" si="0"/>
        <v>7438715117</v>
      </c>
      <c r="BV71" s="6">
        <f t="shared" si="1"/>
        <v>1913</v>
      </c>
      <c r="BW71" s="6">
        <f t="shared" si="2"/>
        <v>1228564</v>
      </c>
      <c r="BX71" s="6">
        <f t="shared" si="3"/>
        <v>246496503</v>
      </c>
      <c r="BY71" s="6">
        <f t="shared" si="4"/>
        <v>79971059</v>
      </c>
      <c r="BZ71" s="6">
        <f t="shared" si="5"/>
        <v>309469032</v>
      </c>
      <c r="CA71" s="6">
        <f t="shared" si="6"/>
        <v>139515465</v>
      </c>
      <c r="CB71" s="6">
        <f t="shared" si="7"/>
        <v>346127</v>
      </c>
      <c r="CC71" s="6">
        <f t="shared" si="8"/>
        <v>7849350</v>
      </c>
      <c r="CD71" s="6">
        <f t="shared" si="60"/>
        <v>1</v>
      </c>
      <c r="CE71" s="44">
        <f t="shared" si="10"/>
        <v>14</v>
      </c>
      <c r="CF71" s="27"/>
      <c r="CG71" s="28">
        <f t="shared" si="11"/>
        <v>3888.507640878202</v>
      </c>
      <c r="CH71" s="28">
        <f t="shared" si="12"/>
        <v>1.557102438293813</v>
      </c>
      <c r="CI71" s="28">
        <f t="shared" si="13"/>
        <v>200.6379016477774</v>
      </c>
      <c r="CJ71" s="28">
        <f t="shared" si="14"/>
        <v>251.89492122510509</v>
      </c>
      <c r="CK71" s="23">
        <f t="shared" si="15"/>
        <v>4.4096262747870846E-2</v>
      </c>
      <c r="CL71" s="29" t="str">
        <f t="shared" si="16"/>
        <v/>
      </c>
      <c r="CM71" s="29" t="str">
        <f t="shared" si="17"/>
        <v/>
      </c>
      <c r="CN71" s="29" t="str">
        <f t="shared" si="18"/>
        <v/>
      </c>
      <c r="CO71" s="29" t="str">
        <f t="shared" si="19"/>
        <v/>
      </c>
      <c r="CP71" s="29" t="str">
        <f t="shared" si="20"/>
        <v/>
      </c>
      <c r="CQ71" s="29">
        <f t="shared" si="21"/>
        <v>0</v>
      </c>
      <c r="CR71" s="13"/>
      <c r="CS71" s="7">
        <f>VLOOKUP(A71,'Empresas 21-23'!$A$2:$M$228,13,0)</f>
        <v>1</v>
      </c>
      <c r="CT71" s="30"/>
      <c r="CU71" s="6">
        <f t="shared" si="22"/>
        <v>6268975716.3999996</v>
      </c>
      <c r="CV71" s="6">
        <f t="shared" si="23"/>
        <v>309469032</v>
      </c>
      <c r="CW71" s="6">
        <f t="shared" si="24"/>
        <v>792256691</v>
      </c>
      <c r="CX71" s="23">
        <f t="shared" si="58"/>
        <v>0.52132590488403407</v>
      </c>
      <c r="CY71" s="23">
        <f t="shared" si="59"/>
        <v>2.5735340259641859E-2</v>
      </c>
      <c r="CZ71" s="6">
        <f t="shared" si="25"/>
        <v>6681999652.7360048</v>
      </c>
      <c r="DA71" s="6">
        <f t="shared" si="26"/>
        <v>329858027.51586294</v>
      </c>
      <c r="DB71" s="6">
        <f t="shared" si="27"/>
        <v>246496503</v>
      </c>
      <c r="DC71" s="6">
        <f t="shared" si="28"/>
        <v>246496503</v>
      </c>
      <c r="DD71" s="6">
        <f t="shared" si="29"/>
        <v>79971059</v>
      </c>
      <c r="DE71" s="6">
        <f t="shared" si="30"/>
        <v>139515465</v>
      </c>
      <c r="DF71" s="6">
        <f t="shared" si="31"/>
        <v>97050172.378659755</v>
      </c>
      <c r="DG71" s="30"/>
      <c r="DH71" s="32">
        <f>VLOOKUP(A71,'T_med_comp-USA'!$A$7:$Q$233,17,0)</f>
        <v>14.001655633406864</v>
      </c>
      <c r="DI71" s="6" t="str">
        <f t="shared" si="32"/>
        <v>1_2008</v>
      </c>
      <c r="DJ71" s="32">
        <f>IF(DI71="","",VLOOKUP(DI71,'CPI USA'!$T:$U,2,FALSE))</f>
        <v>215.303</v>
      </c>
      <c r="DK71" s="32">
        <f>IF(DI71="","",VLOOKUP(DI71,'PPI USA'!$S:$T,2,FALSE))</f>
        <v>159.30000000000001</v>
      </c>
      <c r="DL71" s="32">
        <f>IF(DI71="","",VLOOKUP(DI71,'CPI USA'!$T:$V,3,FALSE))</f>
        <v>0.67018812038291731</v>
      </c>
      <c r="DM71" s="32">
        <f>IF(DI71="","",VLOOKUP(DI71,'CPI USA'!$T:$X,5,FALSE))</f>
        <v>0.49838492968660258</v>
      </c>
      <c r="DN71" s="32">
        <f t="shared" si="33"/>
        <v>1.4884333659448254</v>
      </c>
      <c r="DO71" s="32">
        <f t="shared" si="34"/>
        <v>1.5036496327119213</v>
      </c>
      <c r="DP71" s="32">
        <f t="shared" si="35"/>
        <v>0.42742307641300914</v>
      </c>
      <c r="DQ71" s="32">
        <f>IF(DP71="","",DP71*$DO$1/'CPI USA'!$U$508+(1-DP71)*AVERAGE($DO$1,$DQ$1)/AVERAGE('CPI USA'!$U$508,'PPI USA'!$T$514))</f>
        <v>1.1607175675467052</v>
      </c>
      <c r="DR71" s="6">
        <f t="shared" si="36"/>
        <v>15602192</v>
      </c>
      <c r="DS71" s="32">
        <f t="shared" si="37"/>
        <v>0.2</v>
      </c>
      <c r="DT71" s="28">
        <f>IF(DS71="","",DS71*$DO$1/'CPI USA'!$U$508+(1-DS71)*AVERAGE($DO$1,$DQ$1)/AVERAGE('CPI USA'!$U$508,'PPI USA'!$T$514))</f>
        <v>1.1741595760647974</v>
      </c>
      <c r="DU71" s="6">
        <f t="shared" si="38"/>
        <v>60518426.620858759</v>
      </c>
      <c r="DV71" s="6">
        <f t="shared" si="39"/>
        <v>333981.09819675022</v>
      </c>
      <c r="DW71" s="6">
        <f t="shared" si="40"/>
        <v>37476721.063941739</v>
      </c>
      <c r="DX71" s="16">
        <f t="shared" si="41"/>
        <v>0.38615821224633345</v>
      </c>
      <c r="DY71" s="28">
        <f>IF(DX71="","",DX71*$DO$1/'CPI USA'!$U$508+(1-DX71)*AVERAGE($DO$1,$DQ$1)/AVERAGE('CPI USA'!$U$508,'PPI USA'!$T$514))</f>
        <v>1.1631565577511074</v>
      </c>
      <c r="DZ71" s="30"/>
      <c r="EA71" s="45" t="str">
        <f t="shared" si="42"/>
        <v>C000746</v>
      </c>
      <c r="EB71" s="29">
        <f t="shared" si="43"/>
        <v>9945711234.364006</v>
      </c>
      <c r="EC71" s="29">
        <f t="shared" si="44"/>
        <v>495990901.92130613</v>
      </c>
      <c r="ED71" s="29">
        <f t="shared" si="45"/>
        <v>286112821.37092912</v>
      </c>
      <c r="EE71" s="29">
        <f t="shared" si="46"/>
        <v>93898784.732892901</v>
      </c>
      <c r="EF71" s="29">
        <f t="shared" si="47"/>
        <v>112884544.43311349</v>
      </c>
      <c r="EG71" s="29">
        <f t="shared" si="48"/>
        <v>1913</v>
      </c>
      <c r="EH71" s="29">
        <f t="shared" si="49"/>
        <v>1228564</v>
      </c>
      <c r="EI71" s="29">
        <f t="shared" si="50"/>
        <v>346127</v>
      </c>
      <c r="EJ71" s="29">
        <f t="shared" si="51"/>
        <v>7849350</v>
      </c>
      <c r="EK71" s="29">
        <f t="shared" si="52"/>
        <v>8191759.6497461926</v>
      </c>
      <c r="EL71" s="29">
        <f>IF(CD71=1,VLOOKUP(EA71,'EIA 2021'!$A$2:$J$213,4,0)*EH71,"")</f>
        <v>144724839.19999999</v>
      </c>
      <c r="EM71" s="29">
        <f>IF(CD71=1,VLOOKUP(EA71,'EIA 2021'!$A$2:$J$213,7,0)*EH71,"")</f>
        <v>1363706.04</v>
      </c>
      <c r="EN71" s="29">
        <f>IF(CD71=1,VLOOKUP(EA71,'EIA 2021'!$A$2:$J$213,10,0),"")</f>
        <v>1221970</v>
      </c>
      <c r="EO71" s="28">
        <f>IF(CD71=1,VLOOKUP(EA71,'EIA 2021'!$A$2:$Z$213,26,0),"")</f>
        <v>0</v>
      </c>
      <c r="EP71" s="23">
        <f t="shared" si="53"/>
        <v>4.1799279322947643E-2</v>
      </c>
      <c r="EQ71" s="32">
        <f t="shared" si="54"/>
        <v>3717.3502538071189</v>
      </c>
      <c r="ER71" s="32">
        <f t="shared" si="55"/>
        <v>342409.64974619285</v>
      </c>
      <c r="ES71" s="6"/>
      <c r="ET71" s="32"/>
    </row>
    <row r="72" spans="1:150" ht="15.75" customHeight="1">
      <c r="A72" s="7" t="s">
        <v>417</v>
      </c>
      <c r="B72" s="7" t="s">
        <v>418</v>
      </c>
      <c r="C72" s="32" t="s">
        <v>419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f>IFERROR(VLOOKUP(A72,'Trans 21-23'!$A$2:$J$229,6,0),0)</f>
        <v>0</v>
      </c>
      <c r="Y72" s="41">
        <v>0</v>
      </c>
      <c r="Z72" s="41">
        <v>0</v>
      </c>
      <c r="AA72" s="41">
        <v>4509002</v>
      </c>
      <c r="AB72" s="41">
        <v>2148850</v>
      </c>
      <c r="AC72" s="41">
        <v>0</v>
      </c>
      <c r="AD72" s="41">
        <v>118099229</v>
      </c>
      <c r="AE72" s="41">
        <v>0</v>
      </c>
      <c r="AF72" s="41">
        <v>171900486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51037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1">
        <v>0</v>
      </c>
      <c r="BC72" s="41">
        <v>317629024</v>
      </c>
      <c r="BD72" s="41">
        <v>110323108</v>
      </c>
      <c r="BE72" s="41">
        <v>0</v>
      </c>
      <c r="BF72" s="41">
        <v>0</v>
      </c>
      <c r="BG72" s="41">
        <v>0</v>
      </c>
      <c r="BH72" s="41">
        <v>0</v>
      </c>
      <c r="BI72" s="41">
        <v>4509002</v>
      </c>
      <c r="BJ72" s="41">
        <v>2148850</v>
      </c>
      <c r="BK72" s="41">
        <v>0</v>
      </c>
      <c r="BL72" s="41">
        <v>0</v>
      </c>
      <c r="BM72" s="41">
        <v>43830361</v>
      </c>
      <c r="BN72" s="41">
        <v>84285763</v>
      </c>
      <c r="BO72" s="41">
        <v>0</v>
      </c>
      <c r="BP72" s="41">
        <v>0</v>
      </c>
      <c r="BQ72" s="41">
        <v>84285763</v>
      </c>
      <c r="BR72" s="41">
        <v>0</v>
      </c>
      <c r="BS72" s="42">
        <f>IFERROR(VLOOKUP(A72,'Trans 21-23'!$A$2:$J$229,5,0),0)</f>
        <v>0</v>
      </c>
      <c r="BT72" s="43"/>
      <c r="BU72" s="6">
        <f t="shared" si="0"/>
        <v>0</v>
      </c>
      <c r="BV72" s="6">
        <f t="shared" si="1"/>
        <v>51037</v>
      </c>
      <c r="BW72" s="6">
        <f t="shared" si="2"/>
        <v>0</v>
      </c>
      <c r="BX72" s="6">
        <f t="shared" si="3"/>
        <v>0</v>
      </c>
      <c r="BY72" s="6">
        <f t="shared" si="4"/>
        <v>6657852</v>
      </c>
      <c r="BZ72" s="6">
        <f t="shared" si="5"/>
        <v>0</v>
      </c>
      <c r="CA72" s="6">
        <f t="shared" si="6"/>
        <v>118099229</v>
      </c>
      <c r="CB72" s="6">
        <f t="shared" si="7"/>
        <v>0</v>
      </c>
      <c r="CC72" s="6">
        <f t="shared" si="8"/>
        <v>0</v>
      </c>
      <c r="CD72" s="6">
        <f t="shared" si="60"/>
        <v>0</v>
      </c>
      <c r="CE72" s="44">
        <f t="shared" si="10"/>
        <v>56</v>
      </c>
      <c r="CF72" s="27"/>
      <c r="CG72" s="28" t="str">
        <f t="shared" si="11"/>
        <v/>
      </c>
      <c r="CH72" s="28" t="str">
        <f t="shared" si="12"/>
        <v/>
      </c>
      <c r="CI72" s="28" t="str">
        <f t="shared" si="13"/>
        <v/>
      </c>
      <c r="CJ72" s="28" t="str">
        <f t="shared" si="14"/>
        <v/>
      </c>
      <c r="CK72" s="23" t="str">
        <f t="shared" si="15"/>
        <v/>
      </c>
      <c r="CL72" s="29" t="str">
        <f t="shared" si="16"/>
        <v/>
      </c>
      <c r="CM72" s="29" t="str">
        <f t="shared" si="17"/>
        <v/>
      </c>
      <c r="CN72" s="29" t="str">
        <f t="shared" si="18"/>
        <v/>
      </c>
      <c r="CO72" s="29" t="str">
        <f t="shared" si="19"/>
        <v/>
      </c>
      <c r="CP72" s="29" t="str">
        <f t="shared" si="20"/>
        <v/>
      </c>
      <c r="CQ72" s="29">
        <f t="shared" si="21"/>
        <v>0</v>
      </c>
      <c r="CR72" s="13"/>
      <c r="CS72" s="7" t="str">
        <f>VLOOKUP(A72,'Empresas 21-23'!$A$2:$M$228,13,0)</f>
        <v/>
      </c>
      <c r="CT72" s="30"/>
      <c r="CU72" s="6">
        <f t="shared" si="22"/>
        <v>0</v>
      </c>
      <c r="CV72" s="6">
        <f t="shared" si="23"/>
        <v>0</v>
      </c>
      <c r="CW72" s="6">
        <f t="shared" si="24"/>
        <v>110323108</v>
      </c>
      <c r="CX72" s="23">
        <f t="shared" si="58"/>
        <v>0</v>
      </c>
      <c r="CY72" s="23">
        <f t="shared" si="59"/>
        <v>0</v>
      </c>
      <c r="CZ72" s="6">
        <f t="shared" si="25"/>
        <v>0</v>
      </c>
      <c r="DA72" s="6">
        <f t="shared" si="26"/>
        <v>0</v>
      </c>
      <c r="DB72" s="6">
        <f t="shared" si="27"/>
        <v>0</v>
      </c>
      <c r="DC72" s="6">
        <f t="shared" si="28"/>
        <v>0</v>
      </c>
      <c r="DD72" s="6">
        <f t="shared" si="29"/>
        <v>6657852</v>
      </c>
      <c r="DE72" s="6">
        <f t="shared" si="30"/>
        <v>118099229</v>
      </c>
      <c r="DF72" s="6">
        <f t="shared" si="31"/>
        <v>14614662.032824028</v>
      </c>
      <c r="DG72" s="30"/>
      <c r="DH72" s="32" t="str">
        <f>VLOOKUP(A72,'T_med_comp-USA'!$A$7:$Q$233,17,0)</f>
        <v>-</v>
      </c>
      <c r="DI72" s="6" t="str">
        <f t="shared" si="32"/>
        <v/>
      </c>
      <c r="DJ72" s="32" t="str">
        <f>IF(DI72="","",VLOOKUP(DI72,'CPI USA'!$T:$U,2,FALSE))</f>
        <v/>
      </c>
      <c r="DK72" s="32" t="str">
        <f>IF(DI72="","",VLOOKUP(DI72,'PPI USA'!$S:$T,2,FALSE))</f>
        <v/>
      </c>
      <c r="DL72" s="32" t="str">
        <f>IF(DI72="","",VLOOKUP(DI72,'CPI USA'!$T:$V,3,FALSE))</f>
        <v/>
      </c>
      <c r="DM72" s="32" t="str">
        <f>IF(DI72="","",VLOOKUP(DI72,'CPI USA'!$T:$X,5,FALSE))</f>
        <v/>
      </c>
      <c r="DN72" s="32" t="str">
        <f t="shared" si="33"/>
        <v/>
      </c>
      <c r="DO72" s="32" t="str">
        <f t="shared" si="34"/>
        <v/>
      </c>
      <c r="DP72" s="32" t="str">
        <f t="shared" si="35"/>
        <v/>
      </c>
      <c r="DQ72" s="32" t="str">
        <f>IF(DP72="","",DP72*$DO$1/'CPI USA'!$U$508+(1-DP72)*AVERAGE($DO$1,$DQ$1)/AVERAGE('CPI USA'!$U$508,'PPI USA'!$T$514))</f>
        <v/>
      </c>
      <c r="DR72" s="6">
        <f t="shared" si="36"/>
        <v>6657852</v>
      </c>
      <c r="DS72" s="32">
        <f t="shared" si="37"/>
        <v>0.8</v>
      </c>
      <c r="DT72" s="28">
        <f>IF(DS72="","",DS72*$DO$1/'CPI USA'!$U$508+(1-DS72)*AVERAGE($DO$1,$DQ$1)/AVERAGE('CPI USA'!$U$508,'PPI USA'!$T$514))</f>
        <v>1.1386961339283952</v>
      </c>
      <c r="DU72" s="6" t="str">
        <f t="shared" si="38"/>
        <v/>
      </c>
      <c r="DV72" s="6">
        <f t="shared" si="39"/>
        <v>0</v>
      </c>
      <c r="DW72" s="6">
        <f t="shared" si="40"/>
        <v>0</v>
      </c>
      <c r="DX72" s="16" t="str">
        <f t="shared" si="41"/>
        <v/>
      </c>
      <c r="DY72" s="28" t="str">
        <f>IF(DX72="","",DX72*$DO$1/'CPI USA'!$U$508+(1-DX72)*AVERAGE($DO$1,$DQ$1)/AVERAGE('CPI USA'!$U$508,'PPI USA'!$T$514))</f>
        <v/>
      </c>
      <c r="DZ72" s="30"/>
      <c r="EA72" s="45" t="str">
        <f t="shared" si="42"/>
        <v>C000771</v>
      </c>
      <c r="EB72" s="29" t="str">
        <f t="shared" si="43"/>
        <v/>
      </c>
      <c r="EC72" s="29" t="str">
        <f t="shared" si="44"/>
        <v/>
      </c>
      <c r="ED72" s="29" t="str">
        <f t="shared" si="45"/>
        <v/>
      </c>
      <c r="EE72" s="29" t="str">
        <f t="shared" si="46"/>
        <v/>
      </c>
      <c r="EF72" s="29" t="str">
        <f t="shared" si="47"/>
        <v/>
      </c>
      <c r="EG72" s="29" t="str">
        <f t="shared" si="48"/>
        <v/>
      </c>
      <c r="EH72" s="29" t="str">
        <f t="shared" si="49"/>
        <v/>
      </c>
      <c r="EI72" s="29" t="str">
        <f t="shared" si="50"/>
        <v/>
      </c>
      <c r="EJ72" s="29" t="str">
        <f t="shared" si="51"/>
        <v/>
      </c>
      <c r="EK72" s="29" t="str">
        <f t="shared" si="52"/>
        <v/>
      </c>
      <c r="EL72" s="29" t="str">
        <f>IF(CD72=1,VLOOKUP(EA72,'EIA 2021'!$A$2:$J$213,4,0)*EH72,"")</f>
        <v/>
      </c>
      <c r="EM72" s="29" t="str">
        <f>IF(CD72=1,VLOOKUP(EA72,'EIA 2021'!$A$2:$J$213,7,0)*EH72,"")</f>
        <v/>
      </c>
      <c r="EN72" s="29" t="str">
        <f>IF(CD72=1,VLOOKUP(EA72,'EIA 2021'!$A$2:$J$213,10,0),"")</f>
        <v/>
      </c>
      <c r="EO72" s="28" t="str">
        <f>IF(CD72=1,VLOOKUP(EA72,'EIA 2021'!$A$2:$Z$213,26,0),"")</f>
        <v/>
      </c>
      <c r="EP72" s="23" t="str">
        <f t="shared" si="53"/>
        <v/>
      </c>
      <c r="EQ72" s="32" t="str">
        <f t="shared" si="54"/>
        <v/>
      </c>
      <c r="ER72" s="32" t="str">
        <f t="shared" si="55"/>
        <v/>
      </c>
      <c r="ES72" s="6"/>
      <c r="ET72" s="32"/>
    </row>
    <row r="73" spans="1:150" ht="15.75" customHeight="1">
      <c r="A73" s="7" t="s">
        <v>420</v>
      </c>
      <c r="B73" s="7" t="s">
        <v>421</v>
      </c>
      <c r="C73" s="32" t="s">
        <v>422</v>
      </c>
      <c r="D73" s="40">
        <v>51129597</v>
      </c>
      <c r="E73" s="40">
        <v>0</v>
      </c>
      <c r="F73" s="40">
        <v>71083439</v>
      </c>
      <c r="G73" s="40">
        <v>317205996</v>
      </c>
      <c r="H73" s="40">
        <v>323999733</v>
      </c>
      <c r="I73" s="40">
        <v>1113836</v>
      </c>
      <c r="J73" s="40">
        <v>152675</v>
      </c>
      <c r="K73" s="40">
        <v>58241</v>
      </c>
      <c r="L73" s="40">
        <v>843722</v>
      </c>
      <c r="M73" s="40">
        <v>706234</v>
      </c>
      <c r="N73" s="40">
        <v>9284</v>
      </c>
      <c r="O73" s="40">
        <v>4155454</v>
      </c>
      <c r="P73" s="40">
        <v>122074</v>
      </c>
      <c r="Q73" s="40">
        <v>413153</v>
      </c>
      <c r="R73" s="40">
        <v>20269</v>
      </c>
      <c r="S73" s="40">
        <v>1888827</v>
      </c>
      <c r="T73" s="40">
        <v>18185227</v>
      </c>
      <c r="U73" s="40">
        <v>1634571</v>
      </c>
      <c r="V73" s="40">
        <v>120369</v>
      </c>
      <c r="W73" s="40">
        <v>1831816</v>
      </c>
      <c r="X73" s="40">
        <f>IFERROR(VLOOKUP(A73,'Trans 21-23'!$A$2:$J$229,6,0),0)</f>
        <v>2890971</v>
      </c>
      <c r="Y73" s="41">
        <v>1870929</v>
      </c>
      <c r="Z73" s="41">
        <v>204458</v>
      </c>
      <c r="AA73" s="41">
        <v>21755512</v>
      </c>
      <c r="AB73" s="41">
        <v>2968233</v>
      </c>
      <c r="AC73" s="41">
        <v>1124199</v>
      </c>
      <c r="AD73" s="41">
        <v>100845903</v>
      </c>
      <c r="AE73" s="41">
        <v>0</v>
      </c>
      <c r="AF73" s="41">
        <v>841820703</v>
      </c>
      <c r="AG73" s="41">
        <v>391918</v>
      </c>
      <c r="AH73" s="41">
        <v>1118377</v>
      </c>
      <c r="AI73" s="41">
        <v>18268467</v>
      </c>
      <c r="AJ73" s="41">
        <v>11312</v>
      </c>
      <c r="AK73" s="41">
        <v>0</v>
      </c>
      <c r="AL73" s="41">
        <v>3453912</v>
      </c>
      <c r="AM73" s="41">
        <v>4073500</v>
      </c>
      <c r="AN73" s="41">
        <v>2068345</v>
      </c>
      <c r="AO73" s="41">
        <v>23034</v>
      </c>
      <c r="AP73" s="41">
        <v>0</v>
      </c>
      <c r="AQ73" s="41">
        <v>9618791</v>
      </c>
      <c r="AR73" s="41">
        <v>7519987</v>
      </c>
      <c r="AS73" s="41">
        <v>17138778</v>
      </c>
      <c r="AT73" s="41">
        <v>0</v>
      </c>
      <c r="AU73" s="41">
        <v>2740</v>
      </c>
      <c r="AV73" s="41">
        <v>0</v>
      </c>
      <c r="AW73" s="41">
        <v>221824497</v>
      </c>
      <c r="AX73" s="41">
        <v>52989841</v>
      </c>
      <c r="AY73" s="41">
        <v>168229989</v>
      </c>
      <c r="AZ73" s="41">
        <v>85647603</v>
      </c>
      <c r="BA73" s="41">
        <v>49342669</v>
      </c>
      <c r="BB73" s="41">
        <v>1648359445</v>
      </c>
      <c r="BC73" s="41">
        <v>7726438749</v>
      </c>
      <c r="BD73" s="41">
        <v>300023145</v>
      </c>
      <c r="BE73" s="41">
        <v>366373478</v>
      </c>
      <c r="BF73" s="41">
        <v>41017812</v>
      </c>
      <c r="BG73" s="41">
        <v>0</v>
      </c>
      <c r="BH73" s="41">
        <v>11968058</v>
      </c>
      <c r="BI73" s="41">
        <v>6783446</v>
      </c>
      <c r="BJ73" s="41">
        <v>905779</v>
      </c>
      <c r="BK73" s="41">
        <v>1003978</v>
      </c>
      <c r="BL73" s="41">
        <v>0</v>
      </c>
      <c r="BM73" s="41">
        <v>21107154</v>
      </c>
      <c r="BN73" s="41">
        <v>76007329</v>
      </c>
      <c r="BO73" s="41">
        <v>26830695</v>
      </c>
      <c r="BP73" s="41">
        <v>24468029</v>
      </c>
      <c r="BQ73" s="41">
        <v>128120699</v>
      </c>
      <c r="BR73" s="41">
        <v>0</v>
      </c>
      <c r="BS73" s="42">
        <f>IFERROR(VLOOKUP(A73,'Trans 21-23'!$A$2:$J$229,5,0),0)</f>
        <v>184200033</v>
      </c>
      <c r="BT73" s="43"/>
      <c r="BU73" s="6">
        <f t="shared" si="0"/>
        <v>1648359445</v>
      </c>
      <c r="BV73" s="6">
        <f t="shared" si="1"/>
        <v>2740</v>
      </c>
      <c r="BW73" s="6">
        <f t="shared" si="2"/>
        <v>391918</v>
      </c>
      <c r="BX73" s="6">
        <f t="shared" si="3"/>
        <v>31255752</v>
      </c>
      <c r="BY73" s="6">
        <f t="shared" si="4"/>
        <v>27923331</v>
      </c>
      <c r="BZ73" s="6">
        <f t="shared" si="5"/>
        <v>85647603</v>
      </c>
      <c r="CA73" s="6">
        <f t="shared" si="6"/>
        <v>100845903</v>
      </c>
      <c r="CB73" s="6">
        <f t="shared" si="7"/>
        <v>1118377</v>
      </c>
      <c r="CC73" s="6">
        <f t="shared" si="8"/>
        <v>9618791</v>
      </c>
      <c r="CD73" s="6">
        <f t="shared" si="60"/>
        <v>1</v>
      </c>
      <c r="CE73" s="44">
        <f t="shared" si="10"/>
        <v>9</v>
      </c>
      <c r="CF73" s="27"/>
      <c r="CG73" s="28">
        <f t="shared" si="11"/>
        <v>601.59103832116796</v>
      </c>
      <c r="CH73" s="28">
        <f t="shared" si="12"/>
        <v>6.9912583754765025</v>
      </c>
      <c r="CI73" s="28">
        <f t="shared" si="13"/>
        <v>79.750743778035201</v>
      </c>
      <c r="CJ73" s="28">
        <f t="shared" si="14"/>
        <v>218.53449701213009</v>
      </c>
      <c r="CK73" s="23">
        <f t="shared" si="15"/>
        <v>0.11627001771844299</v>
      </c>
      <c r="CL73" s="29" t="str">
        <f t="shared" si="16"/>
        <v/>
      </c>
      <c r="CM73" s="29" t="str">
        <f t="shared" si="17"/>
        <v/>
      </c>
      <c r="CN73" s="29" t="str">
        <f t="shared" si="18"/>
        <v/>
      </c>
      <c r="CO73" s="29" t="str">
        <f t="shared" si="19"/>
        <v/>
      </c>
      <c r="CP73" s="29" t="str">
        <f t="shared" si="20"/>
        <v/>
      </c>
      <c r="CQ73" s="29">
        <f t="shared" si="21"/>
        <v>0</v>
      </c>
      <c r="CR73" s="13"/>
      <c r="CS73" s="7">
        <f>VLOOKUP(A73,'Empresas 21-23'!$A$2:$M$228,13,0)</f>
        <v>1</v>
      </c>
      <c r="CT73" s="30"/>
      <c r="CU73" s="6">
        <f t="shared" si="22"/>
        <v>1564837308</v>
      </c>
      <c r="CV73" s="6">
        <f t="shared" si="23"/>
        <v>85647603</v>
      </c>
      <c r="CW73" s="6">
        <f t="shared" si="24"/>
        <v>300023145</v>
      </c>
      <c r="CX73" s="23">
        <f t="shared" si="58"/>
        <v>0.21071232630141931</v>
      </c>
      <c r="CY73" s="23">
        <f t="shared" si="59"/>
        <v>1.1532831929560833E-2</v>
      </c>
      <c r="CZ73" s="6">
        <f t="shared" si="25"/>
        <v>1628055882.8272181</v>
      </c>
      <c r="DA73" s="6">
        <f t="shared" si="26"/>
        <v>89107719.506263256</v>
      </c>
      <c r="DB73" s="6">
        <f t="shared" si="27"/>
        <v>31255752</v>
      </c>
      <c r="DC73" s="6">
        <f t="shared" si="28"/>
        <v>34146723</v>
      </c>
      <c r="DD73" s="6">
        <f t="shared" si="29"/>
        <v>27923331</v>
      </c>
      <c r="DE73" s="6">
        <f t="shared" si="30"/>
        <v>100845903</v>
      </c>
      <c r="DF73" s="6">
        <f t="shared" si="31"/>
        <v>21235810.540634938</v>
      </c>
      <c r="DG73" s="30"/>
      <c r="DH73" s="32">
        <f>VLOOKUP(A73,'T_med_comp-USA'!$A$7:$Q$233,17,0)</f>
        <v>8.553637953351247</v>
      </c>
      <c r="DI73" s="6" t="str">
        <f t="shared" si="32"/>
        <v>6_2013</v>
      </c>
      <c r="DJ73" s="32">
        <f>IF(DI73="","",VLOOKUP(DI73,'CPI USA'!$T:$U,2,FALSE))</f>
        <v>233.50399999999999</v>
      </c>
      <c r="DK73" s="32">
        <f>IF(DI73="","",VLOOKUP(DI73,'PPI USA'!$S:$T,2,FALSE))</f>
        <v>176.6</v>
      </c>
      <c r="DL73" s="32">
        <f>IF(DI73="","",VLOOKUP(DI73,'CPI USA'!$T:$V,3,FALSE))</f>
        <v>0.67305131835944076</v>
      </c>
      <c r="DM73" s="32">
        <f>IF(DI73="","",VLOOKUP(DI73,'CPI USA'!$T:$X,5,FALSE))</f>
        <v>0.50163050295255052</v>
      </c>
      <c r="DN73" s="32">
        <f t="shared" si="33"/>
        <v>1.3678188100959208</v>
      </c>
      <c r="DO73" s="32">
        <f t="shared" si="34"/>
        <v>1.3795310735227622</v>
      </c>
      <c r="DP73" s="32">
        <f t="shared" si="35"/>
        <v>0.51807422384297375</v>
      </c>
      <c r="DQ73" s="32">
        <f>IF(DP73="","",DP73*$DO$1/'CPI USA'!$U$508+(1-DP73)*AVERAGE($DO$1,$DQ$1)/AVERAGE('CPI USA'!$U$508,'PPI USA'!$T$514))</f>
        <v>1.1553595646775701</v>
      </c>
      <c r="DR73" s="6">
        <f t="shared" si="36"/>
        <v>8693203</v>
      </c>
      <c r="DS73" s="32">
        <f t="shared" si="37"/>
        <v>0.4212218089467436</v>
      </c>
      <c r="DT73" s="28">
        <f>IF(DS73="","",DS73*$DO$1/'CPI USA'!$U$508+(1-DS73)*AVERAGE($DO$1,$DQ$1)/AVERAGE('CPI USA'!$U$508,'PPI USA'!$T$514))</f>
        <v>1.1610840980299755</v>
      </c>
      <c r="DU73" s="6">
        <f t="shared" si="38"/>
        <v>28558009.315439776</v>
      </c>
      <c r="DV73" s="6">
        <f t="shared" si="39"/>
        <v>4982509.916816094</v>
      </c>
      <c r="DW73" s="6">
        <f t="shared" si="40"/>
        <v>9117402.6380161066</v>
      </c>
      <c r="DX73" s="16">
        <f t="shared" si="41"/>
        <v>0.42934092958542197</v>
      </c>
      <c r="DY73" s="28">
        <f>IF(DX73="","",DX73*$DO$1/'CPI USA'!$U$508+(1-DX73)*AVERAGE($DO$1,$DQ$1)/AVERAGE('CPI USA'!$U$508,'PPI USA'!$T$514))</f>
        <v>1.160604211421695</v>
      </c>
      <c r="DZ73" s="30"/>
      <c r="EA73" s="45" t="str">
        <f t="shared" si="42"/>
        <v>C000772</v>
      </c>
      <c r="EB73" s="29">
        <f t="shared" si="43"/>
        <v>2226885460.4183893</v>
      </c>
      <c r="EC73" s="29">
        <f t="shared" si="44"/>
        <v>122926867.94964053</v>
      </c>
      <c r="ED73" s="29">
        <f t="shared" si="45"/>
        <v>39451743.02044557</v>
      </c>
      <c r="EE73" s="29">
        <f t="shared" si="46"/>
        <v>32421335.588127453</v>
      </c>
      <c r="EF73" s="29">
        <f t="shared" si="47"/>
        <v>24646371.146414131</v>
      </c>
      <c r="EG73" s="29">
        <f t="shared" si="48"/>
        <v>2740</v>
      </c>
      <c r="EH73" s="29">
        <f t="shared" si="49"/>
        <v>391918</v>
      </c>
      <c r="EI73" s="29">
        <f t="shared" si="50"/>
        <v>1118377</v>
      </c>
      <c r="EJ73" s="29">
        <f t="shared" si="51"/>
        <v>9618791</v>
      </c>
      <c r="EK73" s="29">
        <f t="shared" si="52"/>
        <v>10622650.431472082</v>
      </c>
      <c r="EL73" s="29">
        <f>IF(CD73=1,VLOOKUP(EA73,'EIA 2021'!$A$2:$J$213,4,0)*EH73,"")</f>
        <v>39481819.32</v>
      </c>
      <c r="EM73" s="29">
        <f>IF(CD73=1,VLOOKUP(EA73,'EIA 2021'!$A$2:$J$213,7,0)*EH73,"")</f>
        <v>659989.91200000001</v>
      </c>
      <c r="EN73" s="29">
        <f>IF(CD73=1,VLOOKUP(EA73,'EIA 2021'!$A$2:$J$213,10,0),"")</f>
        <v>391865</v>
      </c>
      <c r="EO73" s="28">
        <f>IF(CD73=1,VLOOKUP(EA73,'EIA 2021'!$A$2:$Z$213,26,0),"")</f>
        <v>0</v>
      </c>
      <c r="EP73" s="23">
        <f t="shared" si="53"/>
        <v>9.450178540168401E-2</v>
      </c>
      <c r="EQ73" s="32">
        <f t="shared" si="54"/>
        <v>114517.56852791924</v>
      </c>
      <c r="ER73" s="32">
        <f t="shared" si="55"/>
        <v>1003859.4314720808</v>
      </c>
      <c r="ES73" s="6"/>
      <c r="ET73" s="32"/>
    </row>
    <row r="74" spans="1:150" ht="15.75" customHeight="1">
      <c r="A74" s="7" t="s">
        <v>423</v>
      </c>
      <c r="B74" s="7" t="s">
        <v>424</v>
      </c>
      <c r="C74" s="32" t="s">
        <v>425</v>
      </c>
      <c r="D74" s="40">
        <v>279541683</v>
      </c>
      <c r="E74" s="40">
        <v>0</v>
      </c>
      <c r="F74" s="40">
        <v>514231728</v>
      </c>
      <c r="G74" s="40">
        <v>846470541</v>
      </c>
      <c r="H74" s="40">
        <v>689311039</v>
      </c>
      <c r="I74" s="40">
        <v>13927023</v>
      </c>
      <c r="J74" s="40">
        <v>1050790</v>
      </c>
      <c r="K74" s="40">
        <v>1903348</v>
      </c>
      <c r="L74" s="40">
        <v>1412533</v>
      </c>
      <c r="M74" s="40">
        <v>10918350</v>
      </c>
      <c r="N74" s="40">
        <v>529352</v>
      </c>
      <c r="O74" s="40">
        <v>23783525</v>
      </c>
      <c r="P74" s="40">
        <v>4540546</v>
      </c>
      <c r="Q74" s="40">
        <v>709661</v>
      </c>
      <c r="R74" s="40">
        <v>0</v>
      </c>
      <c r="S74" s="40">
        <v>1532013</v>
      </c>
      <c r="T74" s="40">
        <v>37014036</v>
      </c>
      <c r="U74" s="40">
        <v>10615206</v>
      </c>
      <c r="V74" s="40">
        <v>4501</v>
      </c>
      <c r="W74" s="40">
        <v>1775660</v>
      </c>
      <c r="X74" s="40">
        <f>IFERROR(VLOOKUP(A74,'Trans 21-23'!$A$2:$J$229,6,0),0)</f>
        <v>7263803</v>
      </c>
      <c r="Y74" s="41">
        <v>4849026</v>
      </c>
      <c r="Z74" s="41">
        <v>364729</v>
      </c>
      <c r="AA74" s="41">
        <v>64952693</v>
      </c>
      <c r="AB74" s="41">
        <v>117472257</v>
      </c>
      <c r="AC74" s="41">
        <v>5045152</v>
      </c>
      <c r="AD74" s="41">
        <v>161790092</v>
      </c>
      <c r="AE74" s="41">
        <v>0</v>
      </c>
      <c r="AF74" s="41">
        <v>2171472077</v>
      </c>
      <c r="AG74" s="41">
        <v>1535807</v>
      </c>
      <c r="AH74" s="41">
        <v>1212251</v>
      </c>
      <c r="AI74" s="41">
        <v>37282140</v>
      </c>
      <c r="AJ74" s="41">
        <v>21201</v>
      </c>
      <c r="AK74" s="41">
        <v>0</v>
      </c>
      <c r="AL74" s="41">
        <v>9995805</v>
      </c>
      <c r="AM74" s="41">
        <v>12452383</v>
      </c>
      <c r="AN74" s="41">
        <v>6238027</v>
      </c>
      <c r="AO74" s="41">
        <v>154304</v>
      </c>
      <c r="AP74" s="41">
        <v>86600</v>
      </c>
      <c r="AQ74" s="41">
        <v>28932674</v>
      </c>
      <c r="AR74" s="41">
        <v>7116014</v>
      </c>
      <c r="AS74" s="41">
        <v>36048688</v>
      </c>
      <c r="AT74" s="41">
        <v>0</v>
      </c>
      <c r="AU74" s="41">
        <v>6910</v>
      </c>
      <c r="AV74" s="41">
        <v>0</v>
      </c>
      <c r="AW74" s="41">
        <v>505242644</v>
      </c>
      <c r="AX74" s="41">
        <v>531982188</v>
      </c>
      <c r="AY74" s="41">
        <v>2106004260</v>
      </c>
      <c r="AZ74" s="41">
        <v>272577843</v>
      </c>
      <c r="BA74" s="41">
        <v>185479410</v>
      </c>
      <c r="BB74" s="41">
        <v>6160715962</v>
      </c>
      <c r="BC74" s="41">
        <v>17103952878</v>
      </c>
      <c r="BD74" s="41">
        <v>490044335</v>
      </c>
      <c r="BE74" s="41">
        <v>1624993029</v>
      </c>
      <c r="BF74" s="41">
        <v>131510668</v>
      </c>
      <c r="BG74" s="41">
        <v>0</v>
      </c>
      <c r="BH74" s="41">
        <v>47556876</v>
      </c>
      <c r="BI74" s="41">
        <v>13419292</v>
      </c>
      <c r="BJ74" s="41">
        <v>702942</v>
      </c>
      <c r="BK74" s="41">
        <v>1908964</v>
      </c>
      <c r="BL74" s="41">
        <v>0</v>
      </c>
      <c r="BM74" s="41">
        <v>54320630</v>
      </c>
      <c r="BN74" s="41">
        <v>198774627</v>
      </c>
      <c r="BO74" s="41">
        <v>3839025</v>
      </c>
      <c r="BP74" s="41">
        <v>13301229</v>
      </c>
      <c r="BQ74" s="41">
        <v>410373170</v>
      </c>
      <c r="BR74" s="41">
        <v>5555</v>
      </c>
      <c r="BS74" s="42">
        <f>IFERROR(VLOOKUP(A74,'Trans 21-23'!$A$2:$J$229,5,0),0)</f>
        <v>462817710</v>
      </c>
      <c r="BT74" s="43"/>
      <c r="BU74" s="6">
        <f t="shared" si="0"/>
        <v>6160715962</v>
      </c>
      <c r="BV74" s="6">
        <f t="shared" si="1"/>
        <v>6910</v>
      </c>
      <c r="BW74" s="6">
        <f t="shared" si="2"/>
        <v>1535807</v>
      </c>
      <c r="BX74" s="6">
        <f t="shared" si="3"/>
        <v>109716544</v>
      </c>
      <c r="BY74" s="6">
        <f t="shared" si="4"/>
        <v>192683857</v>
      </c>
      <c r="BZ74" s="6">
        <f t="shared" si="5"/>
        <v>272577843</v>
      </c>
      <c r="CA74" s="6">
        <f t="shared" si="6"/>
        <v>161790092</v>
      </c>
      <c r="CB74" s="6">
        <f t="shared" si="7"/>
        <v>1212251</v>
      </c>
      <c r="CC74" s="6">
        <f t="shared" si="8"/>
        <v>28932674</v>
      </c>
      <c r="CD74" s="6">
        <f t="shared" si="60"/>
        <v>1</v>
      </c>
      <c r="CE74" s="44">
        <f t="shared" si="10"/>
        <v>8</v>
      </c>
      <c r="CF74" s="27"/>
      <c r="CG74" s="28">
        <f t="shared" si="11"/>
        <v>891.56526222865409</v>
      </c>
      <c r="CH74" s="28">
        <f t="shared" si="12"/>
        <v>4.4992632537812369</v>
      </c>
      <c r="CI74" s="28">
        <f t="shared" si="13"/>
        <v>71.439018053700764</v>
      </c>
      <c r="CJ74" s="28">
        <f t="shared" si="14"/>
        <v>177.48183398044156</v>
      </c>
      <c r="CK74" s="23">
        <f t="shared" si="15"/>
        <v>4.1899030832753308E-2</v>
      </c>
      <c r="CL74" s="29" t="str">
        <f t="shared" si="16"/>
        <v/>
      </c>
      <c r="CM74" s="29" t="str">
        <f t="shared" si="17"/>
        <v/>
      </c>
      <c r="CN74" s="29" t="str">
        <f t="shared" si="18"/>
        <v/>
      </c>
      <c r="CO74" s="29" t="str">
        <f t="shared" si="19"/>
        <v/>
      </c>
      <c r="CP74" s="29" t="str">
        <f t="shared" si="20"/>
        <v/>
      </c>
      <c r="CQ74" s="29">
        <f t="shared" si="21"/>
        <v>0</v>
      </c>
      <c r="CR74" s="13"/>
      <c r="CS74" s="7">
        <f>VLOOKUP(A74,'Empresas 21-23'!$A$2:$M$228,13,0)</f>
        <v>1</v>
      </c>
      <c r="CT74" s="30"/>
      <c r="CU74" s="6">
        <f t="shared" si="22"/>
        <v>4582684550.1999998</v>
      </c>
      <c r="CV74" s="6">
        <f t="shared" si="23"/>
        <v>272577843</v>
      </c>
      <c r="CW74" s="6">
        <f t="shared" si="24"/>
        <v>490044335</v>
      </c>
      <c r="CX74" s="23">
        <f t="shared" si="58"/>
        <v>0.27583422277419717</v>
      </c>
      <c r="CY74" s="23">
        <f t="shared" si="59"/>
        <v>1.6406605483262171E-2</v>
      </c>
      <c r="CZ74" s="6">
        <f t="shared" si="25"/>
        <v>4717855548.4696236</v>
      </c>
      <c r="DA74" s="6">
        <f t="shared" si="26"/>
        <v>280617807.07365257</v>
      </c>
      <c r="DB74" s="6">
        <f t="shared" si="27"/>
        <v>109716544</v>
      </c>
      <c r="DC74" s="6">
        <f t="shared" si="28"/>
        <v>116980347</v>
      </c>
      <c r="DD74" s="6">
        <f t="shared" si="29"/>
        <v>192683857</v>
      </c>
      <c r="DE74" s="6">
        <f t="shared" si="30"/>
        <v>161790092</v>
      </c>
      <c r="DF74" s="6">
        <f t="shared" si="31"/>
        <v>95140209.978891701</v>
      </c>
      <c r="DG74" s="30"/>
      <c r="DH74" s="32">
        <f>VLOOKUP(A74,'T_med_comp-USA'!$A$7:$Q$233,17,0)</f>
        <v>11.397196883502778</v>
      </c>
      <c r="DI74" s="6" t="str">
        <f t="shared" si="32"/>
        <v>8_2010</v>
      </c>
      <c r="DJ74" s="32">
        <f>IF(DI74="","",VLOOKUP(DI74,'CPI USA'!$T:$U,2,FALSE))</f>
        <v>218.05600000000001</v>
      </c>
      <c r="DK74" s="32">
        <f>IF(DI74="","",VLOOKUP(DI74,'PPI USA'!$S:$T,2,FALSE))</f>
        <v>160.80000000000001</v>
      </c>
      <c r="DL74" s="32">
        <f>IF(DI74="","",VLOOKUP(DI74,'CPI USA'!$T:$V,3,FALSE))</f>
        <v>0.67050107279443949</v>
      </c>
      <c r="DM74" s="32">
        <f>IF(DI74="","",VLOOKUP(DI74,'CPI USA'!$T:$X,5,FALSE))</f>
        <v>0.4987389730136107</v>
      </c>
      <c r="DN74" s="32">
        <f t="shared" si="33"/>
        <v>1.4703278680244813</v>
      </c>
      <c r="DO74" s="32">
        <f t="shared" si="34"/>
        <v>1.4857204383544427</v>
      </c>
      <c r="DP74" s="32">
        <f t="shared" si="35"/>
        <v>0.44182364720800354</v>
      </c>
      <c r="DQ74" s="32">
        <f>IF(DP74="","",DP74*$DO$1/'CPI USA'!$U$508+(1-DP74)*AVERAGE($DO$1,$DQ$1)/AVERAGE('CPI USA'!$U$508,'PPI USA'!$T$514))</f>
        <v>1.1598664111981727</v>
      </c>
      <c r="DR74" s="6">
        <f t="shared" si="36"/>
        <v>16031198</v>
      </c>
      <c r="DS74" s="32">
        <f t="shared" si="37"/>
        <v>0.2</v>
      </c>
      <c r="DT74" s="28">
        <f>IF(DS74="","",DS74*$DO$1/'CPI USA'!$U$508+(1-DS74)*AVERAGE($DO$1,$DQ$1)/AVERAGE('CPI USA'!$U$508,'PPI USA'!$T$514))</f>
        <v>1.1741595760647974</v>
      </c>
      <c r="DU74" s="6">
        <f t="shared" si="38"/>
        <v>55369749.093986526</v>
      </c>
      <c r="DV74" s="6">
        <f t="shared" si="39"/>
        <v>1819647.9389468369</v>
      </c>
      <c r="DW74" s="6">
        <f t="shared" si="40"/>
        <v>18294908.487216264</v>
      </c>
      <c r="DX74" s="16">
        <f t="shared" si="41"/>
        <v>0.2</v>
      </c>
      <c r="DY74" s="28">
        <f>IF(DX74="","",DX74*$DO$1/'CPI USA'!$U$508+(1-DX74)*AVERAGE($DO$1,$DQ$1)/AVERAGE('CPI USA'!$U$508,'PPI USA'!$T$514))</f>
        <v>1.1741595760647974</v>
      </c>
      <c r="DZ74" s="30"/>
      <c r="EA74" s="45" t="str">
        <f t="shared" si="42"/>
        <v>C000822</v>
      </c>
      <c r="EB74" s="29">
        <f t="shared" si="43"/>
        <v>6936794490.2288113</v>
      </c>
      <c r="EC74" s="29">
        <f t="shared" si="44"/>
        <v>416919611.33552951</v>
      </c>
      <c r="ED74" s="29">
        <f t="shared" si="45"/>
        <v>135681575.25560692</v>
      </c>
      <c r="EE74" s="29">
        <f t="shared" si="46"/>
        <v>226241595.84965003</v>
      </c>
      <c r="EF74" s="29">
        <f t="shared" si="47"/>
        <v>111709788.61553128</v>
      </c>
      <c r="EG74" s="29">
        <f t="shared" si="48"/>
        <v>6910</v>
      </c>
      <c r="EH74" s="29">
        <f t="shared" si="49"/>
        <v>1535807</v>
      </c>
      <c r="EI74" s="29">
        <f t="shared" si="50"/>
        <v>1212251</v>
      </c>
      <c r="EJ74" s="29">
        <f t="shared" si="51"/>
        <v>28932674</v>
      </c>
      <c r="EK74" s="29">
        <f t="shared" si="52"/>
        <v>30036559.304568529</v>
      </c>
      <c r="EL74" s="29">
        <f>IF(CD74=1,VLOOKUP(EA74,'EIA 2021'!$A$2:$J$213,4,0)*EH74,"")</f>
        <v>200522640.95499998</v>
      </c>
      <c r="EM74" s="29">
        <f>IF(CD74=1,VLOOKUP(EA74,'EIA 2021'!$A$2:$J$213,7,0)*EH74,"")</f>
        <v>1835289.365</v>
      </c>
      <c r="EN74" s="29">
        <f>IF(CD74=1,VLOOKUP(EA74,'EIA 2021'!$A$2:$J$213,10,0),"")</f>
        <v>1387453</v>
      </c>
      <c r="EO74" s="28">
        <f>IF(CD74=1,VLOOKUP(EA74,'EIA 2021'!$A$2:$Z$213,26,0),"")</f>
        <v>0</v>
      </c>
      <c r="EP74" s="23">
        <f t="shared" si="53"/>
        <v>3.6751389976968113E-2</v>
      </c>
      <c r="EQ74" s="32">
        <f t="shared" si="54"/>
        <v>108365.6954314718</v>
      </c>
      <c r="ER74" s="32">
        <f t="shared" si="55"/>
        <v>1103885.3045685282</v>
      </c>
      <c r="ES74" s="6"/>
      <c r="ET74" s="32"/>
    </row>
    <row r="75" spans="1:150" ht="15.75" customHeight="1">
      <c r="A75" s="7" t="s">
        <v>426</v>
      </c>
      <c r="B75" s="7" t="s">
        <v>427</v>
      </c>
      <c r="C75" s="32" t="s">
        <v>428</v>
      </c>
      <c r="D75" s="40">
        <v>8152595</v>
      </c>
      <c r="E75" s="40">
        <v>0</v>
      </c>
      <c r="F75" s="40">
        <v>9396621</v>
      </c>
      <c r="G75" s="40">
        <v>1742154</v>
      </c>
      <c r="H75" s="40">
        <v>410928312</v>
      </c>
      <c r="I75" s="40">
        <v>2404264</v>
      </c>
      <c r="J75" s="40">
        <v>923986</v>
      </c>
      <c r="K75" s="40">
        <v>186956</v>
      </c>
      <c r="L75" s="40">
        <v>1252461</v>
      </c>
      <c r="M75" s="40">
        <v>884451</v>
      </c>
      <c r="N75" s="40">
        <v>534190</v>
      </c>
      <c r="O75" s="40">
        <v>5348291</v>
      </c>
      <c r="P75" s="40">
        <v>499971</v>
      </c>
      <c r="Q75" s="40">
        <v>28275</v>
      </c>
      <c r="R75" s="40">
        <v>0</v>
      </c>
      <c r="S75" s="40">
        <v>506789</v>
      </c>
      <c r="T75" s="40">
        <v>10670281</v>
      </c>
      <c r="U75" s="40">
        <v>637212</v>
      </c>
      <c r="V75" s="40">
        <v>0</v>
      </c>
      <c r="W75" s="40">
        <v>369812</v>
      </c>
      <c r="X75" s="40">
        <f>IFERROR(VLOOKUP(A75,'Trans 21-23'!$A$2:$J$229,6,0),0)</f>
        <v>7621716</v>
      </c>
      <c r="Y75" s="41">
        <v>724023</v>
      </c>
      <c r="Z75" s="41">
        <v>154589</v>
      </c>
      <c r="AA75" s="41">
        <v>9364657</v>
      </c>
      <c r="AB75" s="41">
        <v>12597242</v>
      </c>
      <c r="AC75" s="41">
        <v>197303</v>
      </c>
      <c r="AD75" s="41">
        <v>44878856</v>
      </c>
      <c r="AE75" s="41">
        <v>0</v>
      </c>
      <c r="AF75" s="41">
        <v>618406416</v>
      </c>
      <c r="AG75" s="41">
        <v>265235</v>
      </c>
      <c r="AH75" s="41">
        <v>476953</v>
      </c>
      <c r="AI75" s="41">
        <v>7270931</v>
      </c>
      <c r="AJ75" s="41">
        <v>5847</v>
      </c>
      <c r="AK75" s="41">
        <v>0</v>
      </c>
      <c r="AL75" s="41">
        <v>1979671</v>
      </c>
      <c r="AM75" s="41">
        <v>2735311</v>
      </c>
      <c r="AN75" s="41">
        <v>2045905</v>
      </c>
      <c r="AO75" s="41">
        <v>14543</v>
      </c>
      <c r="AP75" s="41">
        <v>10898</v>
      </c>
      <c r="AQ75" s="41">
        <v>6788131</v>
      </c>
      <c r="AR75" s="41">
        <v>0</v>
      </c>
      <c r="AS75" s="41">
        <v>6788131</v>
      </c>
      <c r="AT75" s="41">
        <v>0</v>
      </c>
      <c r="AU75" s="41">
        <v>1329</v>
      </c>
      <c r="AV75" s="41">
        <v>0</v>
      </c>
      <c r="AW75" s="41">
        <v>178628263</v>
      </c>
      <c r="AX75" s="41">
        <v>29331844</v>
      </c>
      <c r="AY75" s="41">
        <v>148074480</v>
      </c>
      <c r="AZ75" s="41">
        <v>38944051</v>
      </c>
      <c r="BA75" s="41">
        <v>19179511</v>
      </c>
      <c r="BB75" s="41">
        <v>1170533426</v>
      </c>
      <c r="BC75" s="41">
        <v>3355647897</v>
      </c>
      <c r="BD75" s="41">
        <v>154700429</v>
      </c>
      <c r="BE75" s="41">
        <v>538358269</v>
      </c>
      <c r="BF75" s="41">
        <v>38939095</v>
      </c>
      <c r="BG75" s="41">
        <v>0</v>
      </c>
      <c r="BH75" s="41">
        <v>11447977</v>
      </c>
      <c r="BI75" s="41">
        <v>2112806</v>
      </c>
      <c r="BJ75" s="41">
        <v>1141706</v>
      </c>
      <c r="BK75" s="41">
        <v>106137</v>
      </c>
      <c r="BL75" s="41">
        <v>0</v>
      </c>
      <c r="BM75" s="41">
        <v>14124313</v>
      </c>
      <c r="BN75" s="41">
        <v>46056709</v>
      </c>
      <c r="BO75" s="41">
        <v>1027595</v>
      </c>
      <c r="BP75" s="41">
        <v>2051718</v>
      </c>
      <c r="BQ75" s="41">
        <v>91927482</v>
      </c>
      <c r="BR75" s="41">
        <v>1803</v>
      </c>
      <c r="BS75" s="42">
        <f>IFERROR(VLOOKUP(A75,'Trans 21-23'!$A$2:$J$229,5,0),0)</f>
        <v>485622406</v>
      </c>
      <c r="BT75" s="43"/>
      <c r="BU75" s="6">
        <f t="shared" si="0"/>
        <v>1170533426</v>
      </c>
      <c r="BV75" s="6">
        <f t="shared" si="1"/>
        <v>1329</v>
      </c>
      <c r="BW75" s="6">
        <f t="shared" si="2"/>
        <v>265235</v>
      </c>
      <c r="BX75" s="6">
        <f t="shared" si="3"/>
        <v>24246939</v>
      </c>
      <c r="BY75" s="6">
        <f t="shared" si="4"/>
        <v>23037814</v>
      </c>
      <c r="BZ75" s="6">
        <f t="shared" si="5"/>
        <v>38944051</v>
      </c>
      <c r="CA75" s="6">
        <f t="shared" si="6"/>
        <v>44878856</v>
      </c>
      <c r="CB75" s="6">
        <f t="shared" si="7"/>
        <v>476953</v>
      </c>
      <c r="CC75" s="6">
        <f t="shared" si="8"/>
        <v>6788131</v>
      </c>
      <c r="CD75" s="6">
        <f t="shared" si="60"/>
        <v>1</v>
      </c>
      <c r="CE75" s="44">
        <f t="shared" si="10"/>
        <v>10</v>
      </c>
      <c r="CF75" s="27"/>
      <c r="CG75" s="28">
        <f t="shared" si="11"/>
        <v>880.7625477802859</v>
      </c>
      <c r="CH75" s="28">
        <f t="shared" si="12"/>
        <v>5.010650932192207</v>
      </c>
      <c r="CI75" s="28">
        <f t="shared" si="13"/>
        <v>91.416815277018486</v>
      </c>
      <c r="CJ75" s="28">
        <f t="shared" si="14"/>
        <v>146.8284766339284</v>
      </c>
      <c r="CK75" s="23">
        <f t="shared" si="15"/>
        <v>7.0262786619763234E-2</v>
      </c>
      <c r="CL75" s="29" t="str">
        <f t="shared" si="16"/>
        <v/>
      </c>
      <c r="CM75" s="29" t="str">
        <f t="shared" si="17"/>
        <v/>
      </c>
      <c r="CN75" s="29" t="str">
        <f t="shared" si="18"/>
        <v/>
      </c>
      <c r="CO75" s="29" t="str">
        <f t="shared" si="19"/>
        <v/>
      </c>
      <c r="CP75" s="29" t="str">
        <f t="shared" si="20"/>
        <v/>
      </c>
      <c r="CQ75" s="29">
        <f t="shared" si="21"/>
        <v>0</v>
      </c>
      <c r="CR75" s="13"/>
      <c r="CS75" s="7">
        <f>VLOOKUP(A75,'Empresas 21-23'!$A$2:$M$228,13,0)</f>
        <v>1</v>
      </c>
      <c r="CT75" s="30"/>
      <c r="CU75" s="6">
        <f t="shared" si="22"/>
        <v>1491588475.5999999</v>
      </c>
      <c r="CV75" s="6">
        <f t="shared" si="23"/>
        <v>38944051</v>
      </c>
      <c r="CW75" s="6">
        <f t="shared" si="24"/>
        <v>154700429</v>
      </c>
      <c r="CX75" s="23">
        <f t="shared" si="58"/>
        <v>0.46598342850405061</v>
      </c>
      <c r="CY75" s="23">
        <f t="shared" si="59"/>
        <v>1.216641366011946E-2</v>
      </c>
      <c r="CZ75" s="6">
        <f t="shared" si="25"/>
        <v>1563676311.8964674</v>
      </c>
      <c r="DA75" s="6">
        <f t="shared" si="26"/>
        <v>40826200.412611939</v>
      </c>
      <c r="DB75" s="6">
        <f t="shared" si="27"/>
        <v>24246939</v>
      </c>
      <c r="DC75" s="6">
        <f t="shared" si="28"/>
        <v>31868655</v>
      </c>
      <c r="DD75" s="6">
        <f t="shared" si="29"/>
        <v>23037814</v>
      </c>
      <c r="DE75" s="6">
        <f t="shared" si="30"/>
        <v>44878856</v>
      </c>
      <c r="DF75" s="6">
        <f t="shared" si="31"/>
        <v>16988203.875194348</v>
      </c>
      <c r="DG75" s="30"/>
      <c r="DH75" s="32">
        <f>VLOOKUP(A75,'T_med_comp-USA'!$A$7:$Q$233,17,0)</f>
        <v>14.322873235005426</v>
      </c>
      <c r="DI75" s="6" t="str">
        <f t="shared" si="32"/>
        <v>9_2007</v>
      </c>
      <c r="DJ75" s="32">
        <f>IF(DI75="","",VLOOKUP(DI75,'CPI USA'!$T:$U,2,FALSE))</f>
        <v>207.34200000000001</v>
      </c>
      <c r="DK75" s="32">
        <f>IF(DI75="","",VLOOKUP(DI75,'PPI USA'!$S:$T,2,FALSE))</f>
        <v>151.69999999999999</v>
      </c>
      <c r="DL75" s="32">
        <f>IF(DI75="","",VLOOKUP(DI75,'CPI USA'!$T:$V,3,FALSE))</f>
        <v>0.67123734379962852</v>
      </c>
      <c r="DM75" s="32">
        <f>IF(DI75="","",VLOOKUP(DI75,'CPI USA'!$T:$X,5,FALSE))</f>
        <v>0.49957259686190569</v>
      </c>
      <c r="DN75" s="32">
        <f t="shared" si="33"/>
        <v>1.5480022216582647</v>
      </c>
      <c r="DO75" s="32">
        <f t="shared" si="34"/>
        <v>1.5651038394149617</v>
      </c>
      <c r="DP75" s="32">
        <f t="shared" si="35"/>
        <v>0.4826753068526537</v>
      </c>
      <c r="DQ75" s="32">
        <f>IF(DP75="","",DP75*$DO$1/'CPI USA'!$U$508+(1-DP75)*AVERAGE($DO$1,$DQ$1)/AVERAGE('CPI USA'!$U$508,'PPI USA'!$T$514))</f>
        <v>1.1574518437515326</v>
      </c>
      <c r="DR75" s="6">
        <f t="shared" si="36"/>
        <v>3360649</v>
      </c>
      <c r="DS75" s="32">
        <f t="shared" si="37"/>
        <v>0.2</v>
      </c>
      <c r="DT75" s="28">
        <f>IF(DS75="","",DS75*$DO$1/'CPI USA'!$U$508+(1-DS75)*AVERAGE($DO$1,$DQ$1)/AVERAGE('CPI USA'!$U$508,'PPI USA'!$T$514))</f>
        <v>1.1741595760647974</v>
      </c>
      <c r="DU75" s="6">
        <f t="shared" si="38"/>
        <v>14439447.835561851</v>
      </c>
      <c r="DV75" s="6">
        <f t="shared" si="39"/>
        <v>322435.16972755862</v>
      </c>
      <c r="DW75" s="6">
        <f t="shared" si="40"/>
        <v>4746392.2027317863</v>
      </c>
      <c r="DX75" s="16">
        <f t="shared" si="41"/>
        <v>0.27939340954474429</v>
      </c>
      <c r="DY75" s="28">
        <f>IF(DX75="","",DX75*$DO$1/'CPI USA'!$U$508+(1-DX75)*AVERAGE($DO$1,$DQ$1)/AVERAGE('CPI USA'!$U$508,'PPI USA'!$T$514))</f>
        <v>1.1694669700891278</v>
      </c>
      <c r="DZ75" s="30"/>
      <c r="EA75" s="45" t="str">
        <f t="shared" si="42"/>
        <v>C000823</v>
      </c>
      <c r="EB75" s="29">
        <f t="shared" si="43"/>
        <v>2420574404.7701335</v>
      </c>
      <c r="EC75" s="29">
        <f t="shared" si="44"/>
        <v>63897243.014503635</v>
      </c>
      <c r="ED75" s="29">
        <f t="shared" si="45"/>
        <v>36886433.4876315</v>
      </c>
      <c r="EE75" s="29">
        <f t="shared" si="46"/>
        <v>27050069.919699654</v>
      </c>
      <c r="EF75" s="29">
        <f t="shared" si="47"/>
        <v>19867143.313179914</v>
      </c>
      <c r="EG75" s="29">
        <f t="shared" si="48"/>
        <v>1329</v>
      </c>
      <c r="EH75" s="29">
        <f t="shared" si="49"/>
        <v>265235</v>
      </c>
      <c r="EI75" s="29">
        <f t="shared" si="50"/>
        <v>476953</v>
      </c>
      <c r="EJ75" s="29">
        <f t="shared" si="51"/>
        <v>6788131</v>
      </c>
      <c r="EK75" s="29">
        <f t="shared" si="52"/>
        <v>7265084</v>
      </c>
      <c r="EL75" s="29">
        <f>IF(CD75=1,VLOOKUP(EA75,'EIA 2021'!$A$2:$J$213,4,0)*EH75,"")</f>
        <v>46938372.714999996</v>
      </c>
      <c r="EM75" s="29">
        <f>IF(CD75=1,VLOOKUP(EA75,'EIA 2021'!$A$2:$J$213,7,0)*EH75,"")</f>
        <v>560176.32000000007</v>
      </c>
      <c r="EN75" s="29">
        <f>IF(CD75=1,VLOOKUP(EA75,'EIA 2021'!$A$2:$J$213,10,0),"")</f>
        <v>9121</v>
      </c>
      <c r="EO75" s="28">
        <f>IF(CD75=1,VLOOKUP(EA75,'EIA 2021'!$A$2:$Z$213,26,0),"")</f>
        <v>0</v>
      </c>
      <c r="EP75" s="23">
        <f t="shared" si="53"/>
        <v>6.5650032401552413E-2</v>
      </c>
      <c r="EQ75" s="32">
        <f t="shared" si="54"/>
        <v>0</v>
      </c>
      <c r="ER75" s="32">
        <f t="shared" si="55"/>
        <v>476953</v>
      </c>
      <c r="ES75" s="6"/>
      <c r="ET75" s="32"/>
    </row>
    <row r="76" spans="1:150" ht="15.75" customHeight="1">
      <c r="A76" s="7" t="s">
        <v>429</v>
      </c>
      <c r="B76" s="7" t="s">
        <v>430</v>
      </c>
      <c r="C76" s="32" t="s">
        <v>431</v>
      </c>
      <c r="D76" s="40">
        <v>232681698</v>
      </c>
      <c r="E76" s="40">
        <v>114109922</v>
      </c>
      <c r="F76" s="40">
        <v>222898257</v>
      </c>
      <c r="G76" s="40">
        <v>936152706</v>
      </c>
      <c r="H76" s="40">
        <v>1017478637</v>
      </c>
      <c r="I76" s="40">
        <v>13890964</v>
      </c>
      <c r="J76" s="40">
        <v>3113343</v>
      </c>
      <c r="K76" s="40">
        <v>918297</v>
      </c>
      <c r="L76" s="40">
        <v>2633788</v>
      </c>
      <c r="M76" s="40">
        <v>9426088</v>
      </c>
      <c r="N76" s="40">
        <v>1783791</v>
      </c>
      <c r="O76" s="40">
        <v>20336023</v>
      </c>
      <c r="P76" s="40">
        <v>2639657</v>
      </c>
      <c r="Q76" s="40">
        <v>16230</v>
      </c>
      <c r="R76" s="40">
        <v>0</v>
      </c>
      <c r="S76" s="40">
        <v>2309146</v>
      </c>
      <c r="T76" s="40">
        <v>47889439</v>
      </c>
      <c r="U76" s="40">
        <v>7055503</v>
      </c>
      <c r="V76" s="40">
        <v>6426</v>
      </c>
      <c r="W76" s="40">
        <v>252217</v>
      </c>
      <c r="X76" s="40">
        <f>IFERROR(VLOOKUP(A76,'Trans 21-23'!$A$2:$J$229,6,0),0)</f>
        <v>7910153</v>
      </c>
      <c r="Y76" s="41">
        <v>542356</v>
      </c>
      <c r="Z76" s="41">
        <v>284499</v>
      </c>
      <c r="AA76" s="41">
        <v>68958520</v>
      </c>
      <c r="AB76" s="41">
        <v>130211537</v>
      </c>
      <c r="AC76" s="41">
        <v>2899102</v>
      </c>
      <c r="AD76" s="41">
        <v>263007517</v>
      </c>
      <c r="AE76" s="41">
        <v>0</v>
      </c>
      <c r="AF76" s="41">
        <v>3037642098</v>
      </c>
      <c r="AG76" s="41">
        <v>1522746</v>
      </c>
      <c r="AH76" s="41">
        <v>1773712</v>
      </c>
      <c r="AI76" s="41">
        <v>56763030</v>
      </c>
      <c r="AJ76" s="41">
        <v>48197</v>
      </c>
      <c r="AK76" s="41">
        <v>282</v>
      </c>
      <c r="AL76" s="41">
        <v>10846862</v>
      </c>
      <c r="AM76" s="41">
        <v>14170236</v>
      </c>
      <c r="AN76" s="41">
        <v>7921431</v>
      </c>
      <c r="AO76" s="41">
        <v>113332</v>
      </c>
      <c r="AP76" s="41">
        <v>80587</v>
      </c>
      <c r="AQ76" s="41">
        <v>33135807</v>
      </c>
      <c r="AR76" s="41">
        <v>15696940</v>
      </c>
      <c r="AS76" s="41">
        <v>48832747</v>
      </c>
      <c r="AT76" s="41">
        <v>0</v>
      </c>
      <c r="AU76" s="41">
        <v>7548</v>
      </c>
      <c r="AV76" s="41">
        <v>0</v>
      </c>
      <c r="AW76" s="41">
        <v>587830254</v>
      </c>
      <c r="AX76" s="41">
        <v>359696434</v>
      </c>
      <c r="AY76" s="41">
        <v>1354765357</v>
      </c>
      <c r="AZ76" s="41">
        <v>99829746</v>
      </c>
      <c r="BA76" s="41">
        <v>85502721</v>
      </c>
      <c r="BB76" s="41">
        <v>4778338628</v>
      </c>
      <c r="BC76" s="41">
        <v>21576291034</v>
      </c>
      <c r="BD76" s="41">
        <v>728564872</v>
      </c>
      <c r="BE76" s="41">
        <v>1806660671</v>
      </c>
      <c r="BF76" s="41">
        <v>130117822</v>
      </c>
      <c r="BG76" s="41">
        <v>0</v>
      </c>
      <c r="BH76" s="41">
        <v>50776958</v>
      </c>
      <c r="BI76" s="41">
        <v>13817750</v>
      </c>
      <c r="BJ76" s="41">
        <v>1166138</v>
      </c>
      <c r="BK76" s="41">
        <v>1101853</v>
      </c>
      <c r="BL76" s="41">
        <v>0</v>
      </c>
      <c r="BM76" s="41">
        <v>89335410</v>
      </c>
      <c r="BN76" s="41">
        <v>425068039</v>
      </c>
      <c r="BO76" s="41">
        <v>9007948</v>
      </c>
      <c r="BP76" s="41">
        <v>14543097</v>
      </c>
      <c r="BQ76" s="41">
        <v>633847259</v>
      </c>
      <c r="BR76" s="41">
        <v>3359</v>
      </c>
      <c r="BS76" s="42">
        <f>IFERROR(VLOOKUP(A76,'Trans 21-23'!$A$2:$J$229,5,0),0)</f>
        <v>1097842089</v>
      </c>
      <c r="BT76" s="43"/>
      <c r="BU76" s="6">
        <f t="shared" si="0"/>
        <v>4778338628</v>
      </c>
      <c r="BV76" s="6">
        <f t="shared" si="1"/>
        <v>7548</v>
      </c>
      <c r="BW76" s="6">
        <f t="shared" si="2"/>
        <v>1522746</v>
      </c>
      <c r="BX76" s="6">
        <f t="shared" si="3"/>
        <v>112270912</v>
      </c>
      <c r="BY76" s="6">
        <f t="shared" si="4"/>
        <v>202896014</v>
      </c>
      <c r="BZ76" s="6">
        <f t="shared" si="5"/>
        <v>99829746</v>
      </c>
      <c r="CA76" s="6">
        <f t="shared" si="6"/>
        <v>263007517</v>
      </c>
      <c r="CB76" s="6">
        <f t="shared" si="7"/>
        <v>1773712</v>
      </c>
      <c r="CC76" s="6">
        <f t="shared" si="8"/>
        <v>33135807</v>
      </c>
      <c r="CD76" s="6">
        <f t="shared" si="60"/>
        <v>1</v>
      </c>
      <c r="CE76" s="44">
        <f t="shared" si="10"/>
        <v>6</v>
      </c>
      <c r="CF76" s="27"/>
      <c r="CG76" s="28">
        <f t="shared" si="11"/>
        <v>633.0602315845257</v>
      </c>
      <c r="CH76" s="28">
        <f t="shared" si="12"/>
        <v>4.956834560721223</v>
      </c>
      <c r="CI76" s="28">
        <f t="shared" si="13"/>
        <v>73.729244404516578</v>
      </c>
      <c r="CJ76" s="28">
        <f t="shared" si="14"/>
        <v>65.559026915848079</v>
      </c>
      <c r="CK76" s="23">
        <f t="shared" si="15"/>
        <v>5.3528558999634442E-2</v>
      </c>
      <c r="CL76" s="29" t="str">
        <f t="shared" si="16"/>
        <v/>
      </c>
      <c r="CM76" s="29" t="str">
        <f t="shared" si="17"/>
        <v/>
      </c>
      <c r="CN76" s="29" t="str">
        <f t="shared" si="18"/>
        <v/>
      </c>
      <c r="CO76" s="29" t="str">
        <f t="shared" si="19"/>
        <v/>
      </c>
      <c r="CP76" s="29" t="str">
        <f t="shared" si="20"/>
        <v/>
      </c>
      <c r="CQ76" s="29">
        <f t="shared" si="21"/>
        <v>0</v>
      </c>
      <c r="CR76" s="13"/>
      <c r="CS76" s="7">
        <f>VLOOKUP(A76,'Empresas 21-23'!$A$2:$M$228,13,0)</f>
        <v>1</v>
      </c>
      <c r="CT76" s="30"/>
      <c r="CU76" s="6">
        <f t="shared" si="22"/>
        <v>4662171175.3999996</v>
      </c>
      <c r="CV76" s="6">
        <f t="shared" si="23"/>
        <v>99829746</v>
      </c>
      <c r="CW76" s="6">
        <f t="shared" si="24"/>
        <v>728564872</v>
      </c>
      <c r="CX76" s="23">
        <f t="shared" si="58"/>
        <v>0.22362972053508307</v>
      </c>
      <c r="CY76" s="23">
        <f t="shared" si="59"/>
        <v>4.7885196315540519E-3</v>
      </c>
      <c r="CZ76" s="6">
        <f t="shared" si="25"/>
        <v>4825099934.1170378</v>
      </c>
      <c r="DA76" s="6">
        <f t="shared" si="26"/>
        <v>103318493.19243267</v>
      </c>
      <c r="DB76" s="6">
        <f t="shared" si="27"/>
        <v>112270912</v>
      </c>
      <c r="DC76" s="6">
        <f t="shared" si="28"/>
        <v>120181065</v>
      </c>
      <c r="DD76" s="6">
        <f t="shared" si="29"/>
        <v>202896014</v>
      </c>
      <c r="DE76" s="6">
        <f t="shared" si="30"/>
        <v>263007517</v>
      </c>
      <c r="DF76" s="6">
        <f t="shared" si="31"/>
        <v>71557160.839192927</v>
      </c>
      <c r="DG76" s="30"/>
      <c r="DH76" s="32">
        <f>VLOOKUP(A76,'T_med_comp-USA'!$A$7:$Q$233,17,0)</f>
        <v>13.00134785928905</v>
      </c>
      <c r="DI76" s="6" t="str">
        <f t="shared" si="32"/>
        <v>1_2009</v>
      </c>
      <c r="DJ76" s="32">
        <f>IF(DI76="","",VLOOKUP(DI76,'CPI USA'!$T:$U,2,FALSE))</f>
        <v>214.53700000000001</v>
      </c>
      <c r="DK76" s="32">
        <f>IF(DI76="","",VLOOKUP(DI76,'PPI USA'!$S:$T,2,FALSE))</f>
        <v>159.1</v>
      </c>
      <c r="DL76" s="32">
        <f>IF(DI76="","",VLOOKUP(DI76,'CPI USA'!$T:$V,3,FALSE))</f>
        <v>0.66997101349938215</v>
      </c>
      <c r="DM76" s="32">
        <f>IF(DI76="","",VLOOKUP(DI76,'CPI USA'!$T:$X,5,FALSE))</f>
        <v>0.49813941766071862</v>
      </c>
      <c r="DN76" s="32">
        <f t="shared" si="33"/>
        <v>1.4932638886873792</v>
      </c>
      <c r="DO76" s="32">
        <f t="shared" si="34"/>
        <v>1.5082750176818205</v>
      </c>
      <c r="DP76" s="32">
        <f t="shared" si="35"/>
        <v>0.4618561580679314</v>
      </c>
      <c r="DQ76" s="32">
        <f>IF(DP76="","",DP76*$DO$1/'CPI USA'!$U$508+(1-DP76)*AVERAGE($DO$1,$DQ$1)/AVERAGE('CPI USA'!$U$508,'PPI USA'!$T$514))</f>
        <v>1.1586823748819595</v>
      </c>
      <c r="DR76" s="6">
        <f t="shared" si="36"/>
        <v>16085741</v>
      </c>
      <c r="DS76" s="32">
        <f t="shared" si="37"/>
        <v>0.2</v>
      </c>
      <c r="DT76" s="28">
        <f>IF(DS76="","",DS76*$DO$1/'CPI USA'!$U$508+(1-DS76)*AVERAGE($DO$1,$DQ$1)/AVERAGE('CPI USA'!$U$508,'PPI USA'!$T$514))</f>
        <v>1.1741595760647974</v>
      </c>
      <c r="DU76" s="6">
        <f t="shared" si="38"/>
        <v>91228586.277689233</v>
      </c>
      <c r="DV76" s="6">
        <f t="shared" si="39"/>
        <v>2097860.1677228352</v>
      </c>
      <c r="DW76" s="6">
        <f t="shared" si="40"/>
        <v>14680139.471552242</v>
      </c>
      <c r="DX76" s="16">
        <f t="shared" si="41"/>
        <v>0.20515262622761452</v>
      </c>
      <c r="DY76" s="28">
        <f>IF(DX76="","",DX76*$DO$1/'CPI USA'!$U$508+(1-DX76)*AVERAGE($DO$1,$DQ$1)/AVERAGE('CPI USA'!$U$508,'PPI USA'!$T$514))</f>
        <v>1.1738550262946748</v>
      </c>
      <c r="DZ76" s="30"/>
      <c r="EA76" s="45" t="str">
        <f t="shared" si="42"/>
        <v>C000824</v>
      </c>
      <c r="EB76" s="29">
        <f t="shared" si="43"/>
        <v>7205147490.9248257</v>
      </c>
      <c r="EC76" s="29">
        <f t="shared" si="44"/>
        <v>155832702.14667544</v>
      </c>
      <c r="ED76" s="29">
        <f t="shared" si="45"/>
        <v>139251681.81004313</v>
      </c>
      <c r="EE76" s="29">
        <f t="shared" si="46"/>
        <v>238232297.78347719</v>
      </c>
      <c r="EF76" s="29">
        <f t="shared" si="47"/>
        <v>83997732.918463081</v>
      </c>
      <c r="EG76" s="29">
        <f t="shared" si="48"/>
        <v>7548</v>
      </c>
      <c r="EH76" s="29">
        <f t="shared" si="49"/>
        <v>1522746</v>
      </c>
      <c r="EI76" s="29">
        <f t="shared" si="50"/>
        <v>1773712</v>
      </c>
      <c r="EJ76" s="29">
        <f t="shared" si="51"/>
        <v>33135807</v>
      </c>
      <c r="EK76" s="29">
        <f t="shared" si="52"/>
        <v>34670479.304568529</v>
      </c>
      <c r="EL76" s="29">
        <f>IF(CD76=1,VLOOKUP(EA76,'EIA 2021'!$A$2:$J$213,4,0)*EH76,"")</f>
        <v>140503773.41999999</v>
      </c>
      <c r="EM76" s="29">
        <f>IF(CD76=1,VLOOKUP(EA76,'EIA 2021'!$A$2:$J$213,7,0)*EH76,"")</f>
        <v>1586701.3320000002</v>
      </c>
      <c r="EN76" s="29">
        <f>IF(CD76=1,VLOOKUP(EA76,'EIA 2021'!$A$2:$J$213,10,0),"")</f>
        <v>1356531</v>
      </c>
      <c r="EO76" s="28">
        <f>IF(CD76=1,VLOOKUP(EA76,'EIA 2021'!$A$2:$Z$213,26,0),"")</f>
        <v>0</v>
      </c>
      <c r="EP76" s="23">
        <f t="shared" si="53"/>
        <v>4.4264525191213711E-2</v>
      </c>
      <c r="EQ76" s="32">
        <f t="shared" si="54"/>
        <v>239039.69543147273</v>
      </c>
      <c r="ER76" s="32">
        <f t="shared" si="55"/>
        <v>1534672.3045685273</v>
      </c>
      <c r="ES76" s="6"/>
      <c r="ET76" s="32"/>
    </row>
    <row r="77" spans="1:150" ht="15.75" customHeight="1">
      <c r="A77" s="7" t="s">
        <v>432</v>
      </c>
      <c r="B77" s="7" t="s">
        <v>433</v>
      </c>
      <c r="C77" s="32" t="s">
        <v>434</v>
      </c>
      <c r="D77" s="40">
        <v>376820788</v>
      </c>
      <c r="E77" s="40">
        <v>0</v>
      </c>
      <c r="F77" s="40">
        <v>59891481</v>
      </c>
      <c r="G77" s="40">
        <v>795215680</v>
      </c>
      <c r="H77" s="40">
        <v>582317032</v>
      </c>
      <c r="I77" s="40">
        <v>5199110</v>
      </c>
      <c r="J77" s="40">
        <v>1127990</v>
      </c>
      <c r="K77" s="40">
        <v>441586</v>
      </c>
      <c r="L77" s="40">
        <v>522722</v>
      </c>
      <c r="M77" s="40">
        <v>1201935</v>
      </c>
      <c r="N77" s="40">
        <v>559704</v>
      </c>
      <c r="O77" s="40">
        <v>6673937</v>
      </c>
      <c r="P77" s="40">
        <v>2302097</v>
      </c>
      <c r="Q77" s="40">
        <v>19330</v>
      </c>
      <c r="R77" s="40">
        <v>0</v>
      </c>
      <c r="S77" s="40">
        <v>629559</v>
      </c>
      <c r="T77" s="40">
        <v>8165333</v>
      </c>
      <c r="U77" s="40">
        <v>23155</v>
      </c>
      <c r="V77" s="40">
        <v>0</v>
      </c>
      <c r="W77" s="40">
        <v>2190</v>
      </c>
      <c r="X77" s="40">
        <f>IFERROR(VLOOKUP(A77,'Trans 21-23'!$A$2:$J$229,6,0),0)</f>
        <v>16562390</v>
      </c>
      <c r="Y77" s="41">
        <v>2251159</v>
      </c>
      <c r="Z77" s="41">
        <v>90903</v>
      </c>
      <c r="AA77" s="41">
        <v>21754068</v>
      </c>
      <c r="AB77" s="41">
        <v>19614675</v>
      </c>
      <c r="AC77" s="41">
        <v>319552</v>
      </c>
      <c r="AD77" s="41">
        <v>106891286</v>
      </c>
      <c r="AE77" s="41">
        <v>0</v>
      </c>
      <c r="AF77" s="41">
        <v>1506357964</v>
      </c>
      <c r="AG77" s="41">
        <v>400214</v>
      </c>
      <c r="AH77" s="41">
        <v>130381</v>
      </c>
      <c r="AI77" s="41">
        <v>29361563</v>
      </c>
      <c r="AJ77" s="41">
        <v>15710</v>
      </c>
      <c r="AK77" s="41">
        <v>0</v>
      </c>
      <c r="AL77" s="41">
        <v>3608168</v>
      </c>
      <c r="AM77" s="41">
        <v>4913365</v>
      </c>
      <c r="AN77" s="41">
        <v>11827687</v>
      </c>
      <c r="AO77" s="41">
        <v>27489</v>
      </c>
      <c r="AP77" s="41">
        <v>483208</v>
      </c>
      <c r="AQ77" s="41">
        <v>20859917</v>
      </c>
      <c r="AR77" s="41">
        <v>8355555</v>
      </c>
      <c r="AS77" s="41">
        <v>29215472</v>
      </c>
      <c r="AT77" s="41">
        <v>0</v>
      </c>
      <c r="AU77" s="41">
        <v>4018</v>
      </c>
      <c r="AV77" s="41">
        <v>0</v>
      </c>
      <c r="AW77" s="41">
        <v>330206378</v>
      </c>
      <c r="AX77" s="41">
        <v>26784413</v>
      </c>
      <c r="AY77" s="41">
        <v>54419733</v>
      </c>
      <c r="AZ77" s="41">
        <v>70349704</v>
      </c>
      <c r="BA77" s="41">
        <v>38373116</v>
      </c>
      <c r="BB77" s="41">
        <v>1773303018</v>
      </c>
      <c r="BC77" s="41">
        <v>10369149311</v>
      </c>
      <c r="BD77" s="41">
        <v>575856326</v>
      </c>
      <c r="BE77" s="41">
        <v>403654371</v>
      </c>
      <c r="BF77" s="41">
        <v>42701996</v>
      </c>
      <c r="BG77" s="41">
        <v>0</v>
      </c>
      <c r="BH77" s="41">
        <v>16242811</v>
      </c>
      <c r="BI77" s="41">
        <v>6829710</v>
      </c>
      <c r="BJ77" s="41">
        <v>2097422</v>
      </c>
      <c r="BK77" s="41">
        <v>237305</v>
      </c>
      <c r="BL77" s="41">
        <v>0</v>
      </c>
      <c r="BM77" s="41">
        <v>35325862</v>
      </c>
      <c r="BN77" s="41">
        <v>119392567</v>
      </c>
      <c r="BO77" s="41">
        <v>1801822</v>
      </c>
      <c r="BP77" s="41">
        <v>1265281</v>
      </c>
      <c r="BQ77" s="41">
        <v>170033606</v>
      </c>
      <c r="BR77" s="41">
        <v>0</v>
      </c>
      <c r="BS77" s="42">
        <f>IFERROR(VLOOKUP(A77,'Trans 21-23'!$A$2:$J$229,5,0),0)</f>
        <v>1055282997</v>
      </c>
      <c r="BT77" s="43"/>
      <c r="BU77" s="6">
        <f t="shared" si="0"/>
        <v>1773303018</v>
      </c>
      <c r="BV77" s="6">
        <f t="shared" si="1"/>
        <v>4018</v>
      </c>
      <c r="BW77" s="6">
        <f t="shared" si="2"/>
        <v>400214</v>
      </c>
      <c r="BX77" s="6">
        <f t="shared" si="3"/>
        <v>26868648</v>
      </c>
      <c r="BY77" s="6">
        <f t="shared" si="4"/>
        <v>44030357</v>
      </c>
      <c r="BZ77" s="6">
        <f t="shared" si="5"/>
        <v>70349704</v>
      </c>
      <c r="CA77" s="6">
        <f t="shared" si="6"/>
        <v>106891286</v>
      </c>
      <c r="CB77" s="6">
        <f t="shared" si="7"/>
        <v>130381</v>
      </c>
      <c r="CC77" s="6">
        <f t="shared" si="8"/>
        <v>20859917</v>
      </c>
      <c r="CD77" s="6">
        <f t="shared" si="60"/>
        <v>1</v>
      </c>
      <c r="CE77" s="44">
        <f t="shared" si="10"/>
        <v>10</v>
      </c>
      <c r="CF77" s="27"/>
      <c r="CG77" s="28">
        <f t="shared" si="11"/>
        <v>441.33972573419612</v>
      </c>
      <c r="CH77" s="28">
        <f t="shared" si="12"/>
        <v>10.039628798592753</v>
      </c>
      <c r="CI77" s="28">
        <f t="shared" si="13"/>
        <v>67.135702399216413</v>
      </c>
      <c r="CJ77" s="28">
        <f t="shared" si="14"/>
        <v>175.78021758359279</v>
      </c>
      <c r="CK77" s="23">
        <f t="shared" si="15"/>
        <v>6.2503125012434132E-3</v>
      </c>
      <c r="CL77" s="29" t="str">
        <f t="shared" si="16"/>
        <v/>
      </c>
      <c r="CM77" s="29" t="str">
        <f t="shared" si="17"/>
        <v/>
      </c>
      <c r="CN77" s="29" t="str">
        <f t="shared" si="18"/>
        <v/>
      </c>
      <c r="CO77" s="29" t="str">
        <f t="shared" si="19"/>
        <v/>
      </c>
      <c r="CP77" s="29" t="str">
        <f t="shared" si="20"/>
        <v/>
      </c>
      <c r="CQ77" s="29">
        <f t="shared" si="21"/>
        <v>0</v>
      </c>
      <c r="CR77" s="13"/>
      <c r="CS77" s="7">
        <f>VLOOKUP(A77,'Empresas 21-23'!$A$2:$M$228,13,0)</f>
        <v>1</v>
      </c>
      <c r="CT77" s="30"/>
      <c r="CU77" s="6">
        <f t="shared" si="22"/>
        <v>2671140707.4000001</v>
      </c>
      <c r="CV77" s="6">
        <f t="shared" si="23"/>
        <v>70349704</v>
      </c>
      <c r="CW77" s="6">
        <f t="shared" si="24"/>
        <v>575856326</v>
      </c>
      <c r="CX77" s="23">
        <f t="shared" si="58"/>
        <v>0.27275204688466698</v>
      </c>
      <c r="CY77" s="23">
        <f t="shared" si="59"/>
        <v>7.1834575058411778E-3</v>
      </c>
      <c r="CZ77" s="6">
        <f t="shared" si="25"/>
        <v>2828206699.0279841</v>
      </c>
      <c r="DA77" s="6">
        <f t="shared" si="26"/>
        <v>74486343.447290823</v>
      </c>
      <c r="DB77" s="6">
        <f t="shared" si="27"/>
        <v>26868648</v>
      </c>
      <c r="DC77" s="6">
        <f t="shared" si="28"/>
        <v>43431038</v>
      </c>
      <c r="DD77" s="6">
        <f t="shared" si="29"/>
        <v>44030357</v>
      </c>
      <c r="DE77" s="6">
        <f t="shared" si="30"/>
        <v>106891286</v>
      </c>
      <c r="DF77" s="6">
        <f t="shared" si="31"/>
        <v>24573981.296543241</v>
      </c>
      <c r="DG77" s="30"/>
      <c r="DH77" s="32">
        <f>VLOOKUP(A77,'T_med_comp-USA'!$A$7:$Q$233,17,0)</f>
        <v>9.1717557883961334</v>
      </c>
      <c r="DI77" s="6" t="str">
        <f t="shared" si="32"/>
        <v>10_2012</v>
      </c>
      <c r="DJ77" s="32">
        <f>IF(DI77="","",VLOOKUP(DI77,'CPI USA'!$T:$U,2,FALSE))</f>
        <v>229.59399999999999</v>
      </c>
      <c r="DK77" s="32">
        <f>IF(DI77="","",VLOOKUP(DI77,'PPI USA'!$S:$T,2,FALSE))</f>
        <v>175.1</v>
      </c>
      <c r="DL77" s="32">
        <f>IF(DI77="","",VLOOKUP(DI77,'CPI USA'!$T:$V,3,FALSE))</f>
        <v>0.66730871354337351</v>
      </c>
      <c r="DM77" s="32">
        <f>IF(DI77="","",VLOOKUP(DI77,'CPI USA'!$T:$X,5,FALSE))</f>
        <v>0.49513551903851311</v>
      </c>
      <c r="DN77" s="32">
        <f t="shared" si="33"/>
        <v>1.3897894616766442</v>
      </c>
      <c r="DO77" s="32">
        <f t="shared" si="34"/>
        <v>1.4008620811189902</v>
      </c>
      <c r="DP77" s="32">
        <f t="shared" si="35"/>
        <v>0.61364980541018932</v>
      </c>
      <c r="DQ77" s="32">
        <f>IF(DP77="","",DP77*$DO$1/'CPI USA'!$U$508+(1-DP77)*AVERAGE($DO$1,$DQ$1)/AVERAGE('CPI USA'!$U$508,'PPI USA'!$T$514))</f>
        <v>1.1497104994999667</v>
      </c>
      <c r="DR77" s="6">
        <f t="shared" si="36"/>
        <v>9164437</v>
      </c>
      <c r="DS77" s="32">
        <f t="shared" si="37"/>
        <v>0.21128020373719208</v>
      </c>
      <c r="DT77" s="28">
        <f>IF(DS77="","",DS77*$DO$1/'CPI USA'!$U$508+(1-DS77)*AVERAGE($DO$1,$DQ$1)/AVERAGE('CPI USA'!$U$508,'PPI USA'!$T$514))</f>
        <v>1.173492851310596</v>
      </c>
      <c r="DU77" s="6">
        <f t="shared" si="38"/>
        <v>35858984.93151854</v>
      </c>
      <c r="DV77" s="6">
        <f t="shared" si="39"/>
        <v>264843.19256721897</v>
      </c>
      <c r="DW77" s="6">
        <f t="shared" si="40"/>
        <v>7687304.854229507</v>
      </c>
      <c r="DX77" s="16">
        <f t="shared" si="41"/>
        <v>0.31282293094732927</v>
      </c>
      <c r="DY77" s="28">
        <f>IF(DX77="","",DX77*$DO$1/'CPI USA'!$U$508+(1-DX77)*AVERAGE($DO$1,$DQ$1)/AVERAGE('CPI USA'!$U$508,'PPI USA'!$T$514))</f>
        <v>1.1674910935926142</v>
      </c>
      <c r="DZ77" s="30"/>
      <c r="EA77" s="45" t="str">
        <f t="shared" si="42"/>
        <v>C000825</v>
      </c>
      <c r="EB77" s="29">
        <f t="shared" si="43"/>
        <v>3930611865.7523808</v>
      </c>
      <c r="EC77" s="29">
        <f t="shared" si="44"/>
        <v>104345094.09651569</v>
      </c>
      <c r="ED77" s="29">
        <f t="shared" si="45"/>
        <v>49933120.392782032</v>
      </c>
      <c r="EE77" s="29">
        <f t="shared" si="46"/>
        <v>51669309.180153459</v>
      </c>
      <c r="EF77" s="29">
        <f t="shared" si="47"/>
        <v>28689904.297825713</v>
      </c>
      <c r="EG77" s="29">
        <f t="shared" si="48"/>
        <v>4018</v>
      </c>
      <c r="EH77" s="29">
        <f t="shared" si="49"/>
        <v>400214</v>
      </c>
      <c r="EI77" s="29">
        <f t="shared" si="50"/>
        <v>130381</v>
      </c>
      <c r="EJ77" s="29">
        <f t="shared" si="51"/>
        <v>20859917</v>
      </c>
      <c r="EK77" s="29">
        <f t="shared" si="52"/>
        <v>20863056.045685276</v>
      </c>
      <c r="EL77" s="29">
        <f>IF(CD77=1,VLOOKUP(EA77,'EIA 2021'!$A$2:$J$213,4,0)*EH77,"")</f>
        <v>51447109.486000001</v>
      </c>
      <c r="EM77" s="29">
        <f>IF(CD77=1,VLOOKUP(EA77,'EIA 2021'!$A$2:$J$213,7,0)*EH77,"")</f>
        <v>729590.12199999997</v>
      </c>
      <c r="EN77" s="29">
        <f>IF(CD77=1,VLOOKUP(EA77,'EIA 2021'!$A$2:$J$213,10,0),"")</f>
        <v>4551</v>
      </c>
      <c r="EO77" s="28">
        <f>IF(CD77=1,VLOOKUP(EA77,'EIA 2021'!$A$2:$Z$213,26,0),"")</f>
        <v>0</v>
      </c>
      <c r="EP77" s="23">
        <f t="shared" si="53"/>
        <v>1.5045953375212464E-4</v>
      </c>
      <c r="EQ77" s="32">
        <f t="shared" si="54"/>
        <v>127241.95431472175</v>
      </c>
      <c r="ER77" s="32">
        <f t="shared" si="55"/>
        <v>3139.0456852782518</v>
      </c>
      <c r="ES77" s="6"/>
      <c r="ET77" s="32"/>
    </row>
    <row r="78" spans="1:150" ht="15.75" customHeight="1">
      <c r="A78" s="7" t="s">
        <v>435</v>
      </c>
      <c r="B78" s="7" t="s">
        <v>436</v>
      </c>
      <c r="C78" s="32" t="s">
        <v>437</v>
      </c>
      <c r="D78" s="40">
        <v>469019845</v>
      </c>
      <c r="E78" s="40">
        <v>0</v>
      </c>
      <c r="F78" s="40">
        <v>0</v>
      </c>
      <c r="G78" s="40">
        <v>588614199</v>
      </c>
      <c r="H78" s="40">
        <v>456208000</v>
      </c>
      <c r="I78" s="40">
        <v>8884899</v>
      </c>
      <c r="J78" s="40">
        <v>557281</v>
      </c>
      <c r="K78" s="40">
        <v>782806</v>
      </c>
      <c r="L78" s="40">
        <v>4548696</v>
      </c>
      <c r="M78" s="40">
        <v>1552096</v>
      </c>
      <c r="N78" s="40">
        <v>558842</v>
      </c>
      <c r="O78" s="40">
        <v>5152370</v>
      </c>
      <c r="P78" s="40">
        <v>1243085</v>
      </c>
      <c r="Q78" s="40">
        <v>2253221</v>
      </c>
      <c r="R78" s="40">
        <v>1365599</v>
      </c>
      <c r="S78" s="40">
        <v>1140093</v>
      </c>
      <c r="T78" s="40">
        <v>16819865</v>
      </c>
      <c r="U78" s="40">
        <v>1484988</v>
      </c>
      <c r="V78" s="40">
        <v>21239</v>
      </c>
      <c r="W78" s="40">
        <v>916824</v>
      </c>
      <c r="X78" s="40">
        <f>IFERROR(VLOOKUP(A78,'Trans 21-23'!$A$2:$J$229,6,0),0)</f>
        <v>2572652</v>
      </c>
      <c r="Y78" s="41">
        <v>2082428</v>
      </c>
      <c r="Z78" s="41">
        <v>160494</v>
      </c>
      <c r="AA78" s="41">
        <v>20986353</v>
      </c>
      <c r="AB78" s="41">
        <v>12957669</v>
      </c>
      <c r="AC78" s="41">
        <v>688050</v>
      </c>
      <c r="AD78" s="41">
        <v>91626249</v>
      </c>
      <c r="AE78" s="41">
        <v>0</v>
      </c>
      <c r="AF78" s="41">
        <v>1202767907</v>
      </c>
      <c r="AG78" s="41">
        <v>481816</v>
      </c>
      <c r="AH78" s="41">
        <v>795226</v>
      </c>
      <c r="AI78" s="41">
        <v>22856535</v>
      </c>
      <c r="AJ78" s="41">
        <v>9709</v>
      </c>
      <c r="AK78" s="41">
        <v>0</v>
      </c>
      <c r="AL78" s="41">
        <v>6201106</v>
      </c>
      <c r="AM78" s="41">
        <v>4494420</v>
      </c>
      <c r="AN78" s="41">
        <v>8728819</v>
      </c>
      <c r="AO78" s="41">
        <v>36176</v>
      </c>
      <c r="AP78" s="41">
        <v>218903</v>
      </c>
      <c r="AQ78" s="41">
        <v>19679424</v>
      </c>
      <c r="AR78" s="41">
        <v>2372176</v>
      </c>
      <c r="AS78" s="41">
        <v>22051600</v>
      </c>
      <c r="AT78" s="41">
        <v>0</v>
      </c>
      <c r="AU78" s="41">
        <v>3704</v>
      </c>
      <c r="AV78" s="41">
        <v>0</v>
      </c>
      <c r="AW78" s="41">
        <v>430865090</v>
      </c>
      <c r="AX78" s="41">
        <v>79707995</v>
      </c>
      <c r="AY78" s="41">
        <v>190943364</v>
      </c>
      <c r="AZ78" s="41">
        <v>119547544</v>
      </c>
      <c r="BA78" s="41">
        <v>32750554</v>
      </c>
      <c r="BB78" s="41">
        <v>2482476753</v>
      </c>
      <c r="BC78" s="41">
        <v>7150772126</v>
      </c>
      <c r="BD78" s="41">
        <v>136624879</v>
      </c>
      <c r="BE78" s="41">
        <v>537611780</v>
      </c>
      <c r="BF78" s="41">
        <v>75219007</v>
      </c>
      <c r="BG78" s="41">
        <v>0</v>
      </c>
      <c r="BH78" s="41">
        <v>12428584</v>
      </c>
      <c r="BI78" s="41">
        <v>1883189</v>
      </c>
      <c r="BJ78" s="41">
        <v>2483167</v>
      </c>
      <c r="BK78" s="41">
        <v>374139</v>
      </c>
      <c r="BL78" s="41">
        <v>0</v>
      </c>
      <c r="BM78" s="41">
        <v>4232406</v>
      </c>
      <c r="BN78" s="41">
        <v>42744368</v>
      </c>
      <c r="BO78" s="41">
        <v>0</v>
      </c>
      <c r="BP78" s="41">
        <v>8948807</v>
      </c>
      <c r="BQ78" s="41">
        <v>81836226</v>
      </c>
      <c r="BR78" s="41">
        <v>0</v>
      </c>
      <c r="BS78" s="42">
        <f>IFERROR(VLOOKUP(A78,'Trans 21-23'!$A$2:$J$229,5,0),0)</f>
        <v>163918110</v>
      </c>
      <c r="BT78" s="43"/>
      <c r="BU78" s="6">
        <f t="shared" si="0"/>
        <v>2482476753</v>
      </c>
      <c r="BV78" s="6">
        <f t="shared" si="1"/>
        <v>3704</v>
      </c>
      <c r="BW78" s="6">
        <f t="shared" si="2"/>
        <v>481816</v>
      </c>
      <c r="BX78" s="6">
        <f t="shared" si="3"/>
        <v>47281904</v>
      </c>
      <c r="BY78" s="6">
        <f t="shared" si="4"/>
        <v>36874994</v>
      </c>
      <c r="BZ78" s="6">
        <f t="shared" si="5"/>
        <v>119547544</v>
      </c>
      <c r="CA78" s="6">
        <f t="shared" si="6"/>
        <v>91626249</v>
      </c>
      <c r="CB78" s="6">
        <f t="shared" si="7"/>
        <v>795226</v>
      </c>
      <c r="CC78" s="6">
        <f t="shared" si="8"/>
        <v>19679424</v>
      </c>
      <c r="CD78" s="6">
        <f t="shared" si="60"/>
        <v>1</v>
      </c>
      <c r="CE78" s="44">
        <f t="shared" si="10"/>
        <v>10</v>
      </c>
      <c r="CF78" s="27"/>
      <c r="CG78" s="28">
        <f t="shared" si="11"/>
        <v>670.21510610151188</v>
      </c>
      <c r="CH78" s="28">
        <f t="shared" si="12"/>
        <v>7.6875819815033122</v>
      </c>
      <c r="CI78" s="28">
        <f t="shared" si="13"/>
        <v>98.132697959386988</v>
      </c>
      <c r="CJ78" s="28">
        <f t="shared" si="14"/>
        <v>248.11866770717452</v>
      </c>
      <c r="CK78" s="23">
        <f t="shared" si="15"/>
        <v>4.0409007905922452E-2</v>
      </c>
      <c r="CL78" s="29" t="str">
        <f t="shared" si="16"/>
        <v/>
      </c>
      <c r="CM78" s="29" t="str">
        <f t="shared" si="17"/>
        <v/>
      </c>
      <c r="CN78" s="29" t="str">
        <f t="shared" si="18"/>
        <v/>
      </c>
      <c r="CO78" s="29" t="str">
        <f t="shared" si="19"/>
        <v/>
      </c>
      <c r="CP78" s="29" t="str">
        <f t="shared" si="20"/>
        <v/>
      </c>
      <c r="CQ78" s="29">
        <f t="shared" si="21"/>
        <v>0</v>
      </c>
      <c r="CR78" s="13"/>
      <c r="CS78" s="7">
        <f>VLOOKUP(A78,'Empresas 21-23'!$A$2:$M$228,13,0)</f>
        <v>1</v>
      </c>
      <c r="CT78" s="30"/>
      <c r="CU78" s="6">
        <f t="shared" si="22"/>
        <v>2331705949.5999999</v>
      </c>
      <c r="CV78" s="6">
        <f t="shared" si="23"/>
        <v>119547544</v>
      </c>
      <c r="CW78" s="6">
        <f t="shared" si="24"/>
        <v>136624879</v>
      </c>
      <c r="CX78" s="23">
        <f t="shared" si="58"/>
        <v>0.3324289992054682</v>
      </c>
      <c r="CY78" s="23">
        <f t="shared" si="59"/>
        <v>1.7043774501758761E-2</v>
      </c>
      <c r="CZ78" s="6">
        <f t="shared" si="25"/>
        <v>2377124021.3925381</v>
      </c>
      <c r="DA78" s="6">
        <f t="shared" si="26"/>
        <v>121876147.62900607</v>
      </c>
      <c r="DB78" s="6">
        <f t="shared" si="27"/>
        <v>47281904</v>
      </c>
      <c r="DC78" s="6">
        <f t="shared" si="28"/>
        <v>49854556</v>
      </c>
      <c r="DD78" s="6">
        <f t="shared" si="29"/>
        <v>36874994</v>
      </c>
      <c r="DE78" s="6">
        <f t="shared" si="30"/>
        <v>91626249</v>
      </c>
      <c r="DF78" s="6">
        <f t="shared" si="31"/>
        <v>42744017.863578267</v>
      </c>
      <c r="DG78" s="30"/>
      <c r="DH78" s="32">
        <f>VLOOKUP(A78,'T_med_comp-USA'!$A$7:$Q$233,17,0)</f>
        <v>6.9758211040944182</v>
      </c>
      <c r="DI78" s="6" t="str">
        <f t="shared" si="32"/>
        <v>1_2015</v>
      </c>
      <c r="DJ78" s="32">
        <f>IF(DI78="","",VLOOKUP(DI78,'CPI USA'!$T:$U,2,FALSE))</f>
        <v>233.70699999999999</v>
      </c>
      <c r="DK78" s="32">
        <f>IF(DI78="","",VLOOKUP(DI78,'PPI USA'!$S:$T,2,FALSE))</f>
        <v>185.9</v>
      </c>
      <c r="DL78" s="32">
        <f>IF(DI78="","",VLOOKUP(DI78,'CPI USA'!$T:$V,3,FALSE))</f>
        <v>0.6679408278919865</v>
      </c>
      <c r="DM78" s="32">
        <f>IF(DI78="","",VLOOKUP(DI78,'CPI USA'!$T:$X,5,FALSE))</f>
        <v>0.49584761624008583</v>
      </c>
      <c r="DN78" s="32">
        <f t="shared" si="33"/>
        <v>1.3567551675445788</v>
      </c>
      <c r="DO78" s="32">
        <f t="shared" si="34"/>
        <v>1.3632042482651483</v>
      </c>
      <c r="DP78" s="32">
        <f t="shared" si="35"/>
        <v>0.26286132639666965</v>
      </c>
      <c r="DQ78" s="32">
        <f>IF(DP78="","",DP78*$DO$1/'CPI USA'!$U$508+(1-DP78)*AVERAGE($DO$1,$DQ$1)/AVERAGE('CPI USA'!$U$508,'PPI USA'!$T$514))</f>
        <v>1.1704441110459876</v>
      </c>
      <c r="DR78" s="6">
        <f t="shared" si="36"/>
        <v>4740495</v>
      </c>
      <c r="DS78" s="32">
        <f t="shared" si="37"/>
        <v>0.2</v>
      </c>
      <c r="DT78" s="28">
        <f>IF(DS78="","",DS78*$DO$1/'CPI USA'!$U$508+(1-DS78)*AVERAGE($DO$1,$DQ$1)/AVERAGE('CPI USA'!$U$508,'PPI USA'!$T$514))</f>
        <v>1.1741595760647974</v>
      </c>
      <c r="DU78" s="6">
        <f t="shared" si="38"/>
        <v>4232406</v>
      </c>
      <c r="DV78" s="6">
        <f t="shared" si="39"/>
        <v>519636.78998761089</v>
      </c>
      <c r="DW78" s="6">
        <f t="shared" si="40"/>
        <v>1908747.3248564044</v>
      </c>
      <c r="DX78" s="16">
        <f t="shared" si="41"/>
        <v>0.2</v>
      </c>
      <c r="DY78" s="28">
        <f>IF(DX78="","",DX78*$DO$1/'CPI USA'!$U$508+(1-DX78)*AVERAGE($DO$1,$DQ$1)/AVERAGE('CPI USA'!$U$508,'PPI USA'!$T$514))</f>
        <v>1.1741595760647974</v>
      </c>
      <c r="DZ78" s="30"/>
      <c r="EA78" s="45" t="str">
        <f t="shared" si="42"/>
        <v>C000851</v>
      </c>
      <c r="EB78" s="29">
        <f t="shared" si="43"/>
        <v>3225175299.9186759</v>
      </c>
      <c r="EC78" s="29">
        <f t="shared" si="44"/>
        <v>166142082.21005145</v>
      </c>
      <c r="ED78" s="29">
        <f t="shared" si="45"/>
        <v>58351971.479012407</v>
      </c>
      <c r="EE78" s="29">
        <f t="shared" si="46"/>
        <v>43297127.322431944</v>
      </c>
      <c r="EF78" s="29">
        <f t="shared" si="47"/>
        <v>50188297.894005187</v>
      </c>
      <c r="EG78" s="29">
        <f t="shared" si="48"/>
        <v>3704</v>
      </c>
      <c r="EH78" s="29">
        <f t="shared" si="49"/>
        <v>481816</v>
      </c>
      <c r="EI78" s="29">
        <f t="shared" si="50"/>
        <v>795226</v>
      </c>
      <c r="EJ78" s="29">
        <f t="shared" si="51"/>
        <v>19679424</v>
      </c>
      <c r="EK78" s="29">
        <f t="shared" si="52"/>
        <v>20438525.492385786</v>
      </c>
      <c r="EL78" s="29">
        <f>IF(CD78=1,VLOOKUP(EA78,'EIA 2021'!$A$2:$J$213,4,0)*EH78,"")</f>
        <v>134956661.60000002</v>
      </c>
      <c r="EM78" s="29">
        <f>IF(CD78=1,VLOOKUP(EA78,'EIA 2021'!$A$2:$J$213,7,0)*EH78,"")</f>
        <v>1594329.1440000001</v>
      </c>
      <c r="EN78" s="29">
        <f>IF(CD78=1,VLOOKUP(EA78,'EIA 2021'!$A$2:$J$213,10,0),"")</f>
        <v>542799</v>
      </c>
      <c r="EO78" s="28">
        <f>IF(CD78=1,VLOOKUP(EA78,'EIA 2021'!$A$2:$Z$213,26,0),"")</f>
        <v>0</v>
      </c>
      <c r="EP78" s="23">
        <f t="shared" si="53"/>
        <v>3.7140717057528652E-2</v>
      </c>
      <c r="EQ78" s="32">
        <f t="shared" si="54"/>
        <v>36124.507614213042</v>
      </c>
      <c r="ER78" s="32">
        <f t="shared" si="55"/>
        <v>759101.49238578696</v>
      </c>
      <c r="ES78" s="6"/>
      <c r="ET78" s="32"/>
    </row>
    <row r="79" spans="1:150" ht="15.75" customHeight="1">
      <c r="A79" s="7" t="s">
        <v>438</v>
      </c>
      <c r="B79" s="7" t="s">
        <v>439</v>
      </c>
      <c r="C79" s="32" t="s">
        <v>440</v>
      </c>
      <c r="D79" s="40">
        <v>0</v>
      </c>
      <c r="E79" s="40">
        <v>58313397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f>IFERROR(VLOOKUP(A79,'Trans 21-23'!$A$2:$J$229,6,0),0)</f>
        <v>0</v>
      </c>
      <c r="Y79" s="41">
        <v>0</v>
      </c>
      <c r="Z79" s="41">
        <v>0</v>
      </c>
      <c r="AA79" s="41">
        <v>0</v>
      </c>
      <c r="AB79" s="41">
        <v>0</v>
      </c>
      <c r="AC79" s="41">
        <v>0</v>
      </c>
      <c r="AD79" s="41">
        <v>90284003</v>
      </c>
      <c r="AE79" s="41">
        <v>0</v>
      </c>
      <c r="AF79" s="41">
        <v>335573646</v>
      </c>
      <c r="AG79" s="41">
        <v>0</v>
      </c>
      <c r="AH79" s="41">
        <v>0</v>
      </c>
      <c r="AI79" s="41">
        <v>10593431</v>
      </c>
      <c r="AJ79" s="41">
        <v>0</v>
      </c>
      <c r="AK79" s="41">
        <v>0</v>
      </c>
      <c r="AL79" s="41">
        <v>0</v>
      </c>
      <c r="AM79" s="41">
        <v>0</v>
      </c>
      <c r="AN79" s="41">
        <v>0</v>
      </c>
      <c r="AO79" s="41">
        <v>0</v>
      </c>
      <c r="AP79" s="41">
        <v>0</v>
      </c>
      <c r="AQ79" s="41">
        <v>0</v>
      </c>
      <c r="AR79" s="41">
        <v>10593431</v>
      </c>
      <c r="AS79" s="41">
        <v>10593431</v>
      </c>
      <c r="AT79" s="41">
        <v>0</v>
      </c>
      <c r="AU79" s="41">
        <v>0</v>
      </c>
      <c r="AV79" s="41">
        <v>0</v>
      </c>
      <c r="AW79" s="41">
        <v>0</v>
      </c>
      <c r="AX79" s="41">
        <v>0</v>
      </c>
      <c r="AY79" s="41">
        <v>0</v>
      </c>
      <c r="AZ79" s="41">
        <v>0</v>
      </c>
      <c r="BA79" s="41">
        <v>0</v>
      </c>
      <c r="BB79" s="41">
        <v>0</v>
      </c>
      <c r="BC79" s="41">
        <v>5363419740</v>
      </c>
      <c r="BD79" s="41">
        <v>9747244</v>
      </c>
      <c r="BE79" s="41">
        <v>0</v>
      </c>
      <c r="BF79" s="41">
        <v>0</v>
      </c>
      <c r="BG79" s="41">
        <v>0</v>
      </c>
      <c r="BH79" s="41">
        <v>0</v>
      </c>
      <c r="BI79" s="41">
        <v>0</v>
      </c>
      <c r="BJ79" s="41">
        <v>0</v>
      </c>
      <c r="BK79" s="41">
        <v>0</v>
      </c>
      <c r="BL79" s="41">
        <v>0</v>
      </c>
      <c r="BM79" s="41">
        <v>16451</v>
      </c>
      <c r="BN79" s="41">
        <v>90740566</v>
      </c>
      <c r="BO79" s="41">
        <v>0</v>
      </c>
      <c r="BP79" s="41">
        <v>9906020</v>
      </c>
      <c r="BQ79" s="41">
        <v>100758086</v>
      </c>
      <c r="BR79" s="41">
        <v>0</v>
      </c>
      <c r="BS79" s="42">
        <f>IFERROR(VLOOKUP(A79,'Trans 21-23'!$A$2:$J$229,5,0),0)</f>
        <v>0</v>
      </c>
      <c r="BT79" s="43"/>
      <c r="BU79" s="6">
        <f t="shared" si="0"/>
        <v>0</v>
      </c>
      <c r="BV79" s="6">
        <f t="shared" si="1"/>
        <v>0</v>
      </c>
      <c r="BW79" s="6">
        <f t="shared" si="2"/>
        <v>0</v>
      </c>
      <c r="BX79" s="6">
        <f t="shared" si="3"/>
        <v>0</v>
      </c>
      <c r="BY79" s="6">
        <f t="shared" si="4"/>
        <v>0</v>
      </c>
      <c r="BZ79" s="6">
        <f t="shared" si="5"/>
        <v>0</v>
      </c>
      <c r="CA79" s="6">
        <f t="shared" si="6"/>
        <v>90284003</v>
      </c>
      <c r="CB79" s="6">
        <f t="shared" si="7"/>
        <v>0</v>
      </c>
      <c r="CC79" s="6">
        <f t="shared" si="8"/>
        <v>0</v>
      </c>
      <c r="CD79" s="6">
        <f t="shared" si="60"/>
        <v>0</v>
      </c>
      <c r="CE79" s="44">
        <f t="shared" si="10"/>
        <v>56</v>
      </c>
      <c r="CF79" s="27"/>
      <c r="CG79" s="28" t="str">
        <f t="shared" si="11"/>
        <v/>
      </c>
      <c r="CH79" s="28" t="str">
        <f t="shared" si="12"/>
        <v/>
      </c>
      <c r="CI79" s="28" t="str">
        <f t="shared" si="13"/>
        <v/>
      </c>
      <c r="CJ79" s="28" t="str">
        <f t="shared" si="14"/>
        <v/>
      </c>
      <c r="CK79" s="23" t="str">
        <f t="shared" si="15"/>
        <v/>
      </c>
      <c r="CL79" s="29" t="str">
        <f t="shared" si="16"/>
        <v/>
      </c>
      <c r="CM79" s="29" t="str">
        <f t="shared" si="17"/>
        <v/>
      </c>
      <c r="CN79" s="29" t="str">
        <f t="shared" si="18"/>
        <v/>
      </c>
      <c r="CO79" s="29" t="str">
        <f t="shared" si="19"/>
        <v/>
      </c>
      <c r="CP79" s="29" t="str">
        <f t="shared" si="20"/>
        <v/>
      </c>
      <c r="CQ79" s="29">
        <f t="shared" si="21"/>
        <v>0</v>
      </c>
      <c r="CR79" s="13"/>
      <c r="CS79" s="7" t="str">
        <f>VLOOKUP(A79,'Empresas 21-23'!$A$2:$M$228,13,0)</f>
        <v/>
      </c>
      <c r="CT79" s="30"/>
      <c r="CU79" s="6">
        <f t="shared" si="22"/>
        <v>0</v>
      </c>
      <c r="CV79" s="6">
        <f t="shared" si="23"/>
        <v>0</v>
      </c>
      <c r="CW79" s="6">
        <f t="shared" si="24"/>
        <v>9747244</v>
      </c>
      <c r="CX79" s="23">
        <f t="shared" si="58"/>
        <v>0</v>
      </c>
      <c r="CY79" s="23">
        <f t="shared" si="59"/>
        <v>0</v>
      </c>
      <c r="CZ79" s="6">
        <f t="shared" si="25"/>
        <v>0</v>
      </c>
      <c r="DA79" s="6">
        <f t="shared" si="26"/>
        <v>0</v>
      </c>
      <c r="DB79" s="6">
        <f t="shared" si="27"/>
        <v>0</v>
      </c>
      <c r="DC79" s="6">
        <f t="shared" si="28"/>
        <v>0</v>
      </c>
      <c r="DD79" s="6">
        <f t="shared" si="29"/>
        <v>0</v>
      </c>
      <c r="DE79" s="6">
        <f t="shared" si="30"/>
        <v>90284003</v>
      </c>
      <c r="DF79" s="6">
        <f t="shared" si="31"/>
        <v>0</v>
      </c>
      <c r="DG79" s="30"/>
      <c r="DH79" s="32" t="str">
        <f>VLOOKUP(A79,'T_med_comp-USA'!$A$7:$Q$233,17,0)</f>
        <v>-</v>
      </c>
      <c r="DI79" s="6" t="str">
        <f t="shared" si="32"/>
        <v/>
      </c>
      <c r="DJ79" s="32" t="str">
        <f>IF(DI79="","",VLOOKUP(DI79,'CPI USA'!$T:$U,2,FALSE))</f>
        <v/>
      </c>
      <c r="DK79" s="32" t="str">
        <f>IF(DI79="","",VLOOKUP(DI79,'PPI USA'!$S:$T,2,FALSE))</f>
        <v/>
      </c>
      <c r="DL79" s="32" t="str">
        <f>IF(DI79="","",VLOOKUP(DI79,'CPI USA'!$T:$V,3,FALSE))</f>
        <v/>
      </c>
      <c r="DM79" s="32" t="str">
        <f>IF(DI79="","",VLOOKUP(DI79,'CPI USA'!$T:$X,5,FALSE))</f>
        <v/>
      </c>
      <c r="DN79" s="32" t="str">
        <f t="shared" si="33"/>
        <v/>
      </c>
      <c r="DO79" s="32" t="str">
        <f t="shared" si="34"/>
        <v/>
      </c>
      <c r="DP79" s="32" t="str">
        <f t="shared" si="35"/>
        <v/>
      </c>
      <c r="DQ79" s="32" t="str">
        <f>IF(DP79="","",DP79*$DO$1/'CPI USA'!$U$508+(1-DP79)*AVERAGE($DO$1,$DQ$1)/AVERAGE('CPI USA'!$U$508,'PPI USA'!$T$514))</f>
        <v/>
      </c>
      <c r="DR79" s="6">
        <f t="shared" si="36"/>
        <v>0</v>
      </c>
      <c r="DS79" s="32" t="str">
        <f t="shared" si="37"/>
        <v/>
      </c>
      <c r="DT79" s="28" t="str">
        <f>IF(DS79="","",DS79*$DO$1/'CPI USA'!$U$508+(1-DS79)*AVERAGE($DO$1,$DQ$1)/AVERAGE('CPI USA'!$U$508,'PPI USA'!$T$514))</f>
        <v/>
      </c>
      <c r="DU79" s="6" t="str">
        <f t="shared" si="38"/>
        <v/>
      </c>
      <c r="DV79" s="6">
        <f t="shared" si="39"/>
        <v>1793.7284444362554</v>
      </c>
      <c r="DW79" s="6">
        <f t="shared" si="40"/>
        <v>0</v>
      </c>
      <c r="DX79" s="16" t="str">
        <f t="shared" si="41"/>
        <v/>
      </c>
      <c r="DY79" s="28" t="str">
        <f>IF(DX79="","",DX79*$DO$1/'CPI USA'!$U$508+(1-DX79)*AVERAGE($DO$1,$DQ$1)/AVERAGE('CPI USA'!$U$508,'PPI USA'!$T$514))</f>
        <v/>
      </c>
      <c r="DZ79" s="30"/>
      <c r="EA79" s="45" t="str">
        <f t="shared" si="42"/>
        <v>C000852</v>
      </c>
      <c r="EB79" s="29" t="str">
        <f t="shared" si="43"/>
        <v/>
      </c>
      <c r="EC79" s="29" t="str">
        <f t="shared" si="44"/>
        <v/>
      </c>
      <c r="ED79" s="29" t="str">
        <f t="shared" si="45"/>
        <v/>
      </c>
      <c r="EE79" s="29" t="str">
        <f t="shared" si="46"/>
        <v/>
      </c>
      <c r="EF79" s="29" t="str">
        <f t="shared" si="47"/>
        <v/>
      </c>
      <c r="EG79" s="29" t="str">
        <f t="shared" si="48"/>
        <v/>
      </c>
      <c r="EH79" s="29" t="str">
        <f t="shared" si="49"/>
        <v/>
      </c>
      <c r="EI79" s="29" t="str">
        <f t="shared" si="50"/>
        <v/>
      </c>
      <c r="EJ79" s="29" t="str">
        <f t="shared" si="51"/>
        <v/>
      </c>
      <c r="EK79" s="29" t="str">
        <f t="shared" si="52"/>
        <v/>
      </c>
      <c r="EL79" s="29" t="str">
        <f>IF(CD79=1,VLOOKUP(EA79,'EIA 2021'!$A$2:$J$213,4,0)*EH79,"")</f>
        <v/>
      </c>
      <c r="EM79" s="29" t="str">
        <f>IF(CD79=1,VLOOKUP(EA79,'EIA 2021'!$A$2:$J$213,7,0)*EH79,"")</f>
        <v/>
      </c>
      <c r="EN79" s="29" t="str">
        <f>IF(CD79=1,VLOOKUP(EA79,'EIA 2021'!$A$2:$J$213,10,0),"")</f>
        <v/>
      </c>
      <c r="EO79" s="28" t="str">
        <f>IF(CD79=1,VLOOKUP(EA79,'EIA 2021'!$A$2:$Z$213,26,0),"")</f>
        <v/>
      </c>
      <c r="EP79" s="23" t="str">
        <f t="shared" si="53"/>
        <v/>
      </c>
      <c r="EQ79" s="32" t="str">
        <f t="shared" si="54"/>
        <v/>
      </c>
      <c r="ER79" s="32" t="str">
        <f t="shared" si="55"/>
        <v/>
      </c>
      <c r="ES79" s="6"/>
      <c r="ET79" s="32"/>
    </row>
    <row r="80" spans="1:150" ht="15.75" customHeight="1">
      <c r="A80" s="7" t="s">
        <v>441</v>
      </c>
      <c r="B80" s="7" t="s">
        <v>442</v>
      </c>
      <c r="C80" s="32" t="s">
        <v>443</v>
      </c>
      <c r="D80" s="40">
        <v>0</v>
      </c>
      <c r="E80" s="40">
        <v>0</v>
      </c>
      <c r="F80" s="40">
        <v>31758227</v>
      </c>
      <c r="G80" s="40">
        <v>87690348</v>
      </c>
      <c r="H80" s="40">
        <v>87690348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f>IFERROR(VLOOKUP(A80,'Trans 21-23'!$A$2:$J$229,6,0),0)</f>
        <v>0</v>
      </c>
      <c r="Y80" s="41">
        <v>0</v>
      </c>
      <c r="Z80" s="41">
        <v>0</v>
      </c>
      <c r="AA80" s="41">
        <v>0</v>
      </c>
      <c r="AB80" s="41">
        <v>0</v>
      </c>
      <c r="AC80" s="41">
        <v>0</v>
      </c>
      <c r="AD80" s="41">
        <v>638818</v>
      </c>
      <c r="AE80" s="41">
        <v>0</v>
      </c>
      <c r="AF80" s="41">
        <v>123662975</v>
      </c>
      <c r="AG80" s="41">
        <v>0</v>
      </c>
      <c r="AH80" s="41">
        <v>0</v>
      </c>
      <c r="AI80" s="41">
        <v>2498950</v>
      </c>
      <c r="AJ80" s="41">
        <v>0</v>
      </c>
      <c r="AK80" s="41">
        <v>0</v>
      </c>
      <c r="AL80" s="41">
        <v>0</v>
      </c>
      <c r="AM80" s="41">
        <v>0</v>
      </c>
      <c r="AN80" s="41">
        <v>0</v>
      </c>
      <c r="AO80" s="41">
        <v>0</v>
      </c>
      <c r="AP80" s="41">
        <v>0</v>
      </c>
      <c r="AQ80" s="41">
        <v>0</v>
      </c>
      <c r="AR80" s="41">
        <v>2498950</v>
      </c>
      <c r="AS80" s="41">
        <v>2498950</v>
      </c>
      <c r="AT80" s="41">
        <v>0</v>
      </c>
      <c r="AU80" s="41">
        <v>0</v>
      </c>
      <c r="AV80" s="41">
        <v>0</v>
      </c>
      <c r="AW80" s="41">
        <v>0</v>
      </c>
      <c r="AX80" s="41">
        <v>0</v>
      </c>
      <c r="AY80" s="41">
        <v>0</v>
      </c>
      <c r="AZ80" s="41">
        <v>0</v>
      </c>
      <c r="BA80" s="41">
        <v>0</v>
      </c>
      <c r="BB80" s="41">
        <v>0</v>
      </c>
      <c r="BC80" s="41">
        <v>0</v>
      </c>
      <c r="BD80" s="41">
        <v>0</v>
      </c>
      <c r="BE80" s="41">
        <v>0</v>
      </c>
      <c r="BF80" s="41">
        <v>0</v>
      </c>
      <c r="BG80" s="41">
        <v>0</v>
      </c>
      <c r="BH80" s="41">
        <v>0</v>
      </c>
      <c r="BI80" s="41">
        <v>0</v>
      </c>
      <c r="BJ80" s="41">
        <v>0</v>
      </c>
      <c r="BK80" s="41">
        <v>0</v>
      </c>
      <c r="BL80" s="41">
        <v>0</v>
      </c>
      <c r="BM80" s="41">
        <v>0</v>
      </c>
      <c r="BN80" s="41">
        <v>0</v>
      </c>
      <c r="BO80" s="41">
        <v>0</v>
      </c>
      <c r="BP80" s="41">
        <v>0</v>
      </c>
      <c r="BQ80" s="41">
        <v>0</v>
      </c>
      <c r="BR80" s="41">
        <v>0</v>
      </c>
      <c r="BS80" s="42">
        <f>IFERROR(VLOOKUP(A80,'Trans 21-23'!$A$2:$J$229,5,0),0)</f>
        <v>0</v>
      </c>
      <c r="BT80" s="43"/>
      <c r="BU80" s="6">
        <f t="shared" si="0"/>
        <v>0</v>
      </c>
      <c r="BV80" s="6">
        <f t="shared" si="1"/>
        <v>0</v>
      </c>
      <c r="BW80" s="6">
        <f t="shared" si="2"/>
        <v>0</v>
      </c>
      <c r="BX80" s="6">
        <f t="shared" si="3"/>
        <v>0</v>
      </c>
      <c r="BY80" s="6">
        <f t="shared" si="4"/>
        <v>0</v>
      </c>
      <c r="BZ80" s="6">
        <f t="shared" si="5"/>
        <v>0</v>
      </c>
      <c r="CA80" s="6">
        <f t="shared" si="6"/>
        <v>638818</v>
      </c>
      <c r="CB80" s="6">
        <f t="shared" si="7"/>
        <v>0</v>
      </c>
      <c r="CC80" s="6">
        <f t="shared" si="8"/>
        <v>0</v>
      </c>
      <c r="CD80" s="6">
        <f t="shared" si="60"/>
        <v>0</v>
      </c>
      <c r="CE80" s="44">
        <f t="shared" si="10"/>
        <v>60</v>
      </c>
      <c r="CF80" s="27"/>
      <c r="CG80" s="28" t="str">
        <f t="shared" si="11"/>
        <v/>
      </c>
      <c r="CH80" s="28" t="str">
        <f t="shared" si="12"/>
        <v/>
      </c>
      <c r="CI80" s="28" t="str">
        <f t="shared" si="13"/>
        <v/>
      </c>
      <c r="CJ80" s="28" t="str">
        <f t="shared" si="14"/>
        <v/>
      </c>
      <c r="CK80" s="23" t="str">
        <f t="shared" si="15"/>
        <v/>
      </c>
      <c r="CL80" s="29" t="str">
        <f t="shared" si="16"/>
        <v/>
      </c>
      <c r="CM80" s="29" t="str">
        <f t="shared" si="17"/>
        <v/>
      </c>
      <c r="CN80" s="29" t="str">
        <f t="shared" si="18"/>
        <v/>
      </c>
      <c r="CO80" s="29" t="str">
        <f t="shared" si="19"/>
        <v/>
      </c>
      <c r="CP80" s="29" t="str">
        <f t="shared" si="20"/>
        <v/>
      </c>
      <c r="CQ80" s="29">
        <f t="shared" si="21"/>
        <v>0</v>
      </c>
      <c r="CR80" s="13"/>
      <c r="CS80" s="7" t="str">
        <f>VLOOKUP(A80,'Empresas 21-23'!$A$2:$M$228,13,0)</f>
        <v/>
      </c>
      <c r="CT80" s="30"/>
      <c r="CU80" s="6">
        <f t="shared" si="22"/>
        <v>0</v>
      </c>
      <c r="CV80" s="6">
        <f t="shared" si="23"/>
        <v>0</v>
      </c>
      <c r="CW80" s="6">
        <f t="shared" si="24"/>
        <v>0</v>
      </c>
      <c r="CX80" s="23" t="str">
        <f>IFERROR(CU80/(BC80-BD80),"")</f>
        <v/>
      </c>
      <c r="CY80" s="23" t="str">
        <f>IFERROR(CV80/(BC80-BD80),"")</f>
        <v/>
      </c>
      <c r="CZ80" s="6" t="e">
        <f t="shared" si="25"/>
        <v>#VALUE!</v>
      </c>
      <c r="DA80" s="6" t="e">
        <f t="shared" si="26"/>
        <v>#VALUE!</v>
      </c>
      <c r="DB80" s="6">
        <f t="shared" si="27"/>
        <v>0</v>
      </c>
      <c r="DC80" s="6">
        <f t="shared" si="28"/>
        <v>0</v>
      </c>
      <c r="DD80" s="6">
        <f t="shared" si="29"/>
        <v>0</v>
      </c>
      <c r="DE80" s="6">
        <f t="shared" si="30"/>
        <v>638818</v>
      </c>
      <c r="DF80" s="6">
        <f t="shared" si="31"/>
        <v>0</v>
      </c>
      <c r="DG80" s="30"/>
      <c r="DH80" s="32" t="str">
        <f>VLOOKUP(A80,'T_med_comp-USA'!$A$7:$Q$233,17,0)</f>
        <v>-</v>
      </c>
      <c r="DI80" s="6" t="str">
        <f t="shared" si="32"/>
        <v/>
      </c>
      <c r="DJ80" s="32" t="str">
        <f>IF(DI80="","",VLOOKUP(DI80,'CPI USA'!$T:$U,2,FALSE))</f>
        <v/>
      </c>
      <c r="DK80" s="32" t="str">
        <f>IF(DI80="","",VLOOKUP(DI80,'PPI USA'!$S:$T,2,FALSE))</f>
        <v/>
      </c>
      <c r="DL80" s="32" t="str">
        <f>IF(DI80="","",VLOOKUP(DI80,'CPI USA'!$T:$V,3,FALSE))</f>
        <v/>
      </c>
      <c r="DM80" s="32" t="str">
        <f>IF(DI80="","",VLOOKUP(DI80,'CPI USA'!$T:$X,5,FALSE))</f>
        <v/>
      </c>
      <c r="DN80" s="32" t="str">
        <f t="shared" si="33"/>
        <v/>
      </c>
      <c r="DO80" s="32" t="str">
        <f t="shared" si="34"/>
        <v/>
      </c>
      <c r="DP80" s="32" t="str">
        <f t="shared" si="35"/>
        <v/>
      </c>
      <c r="DQ80" s="32" t="str">
        <f>IF(DP80="","",DP80*$DO$1/'CPI USA'!$U$508+(1-DP80)*AVERAGE($DO$1,$DQ$1)/AVERAGE('CPI USA'!$U$508,'PPI USA'!$T$514))</f>
        <v/>
      </c>
      <c r="DR80" s="6">
        <f t="shared" si="36"/>
        <v>0</v>
      </c>
      <c r="DS80" s="32" t="str">
        <f t="shared" si="37"/>
        <v/>
      </c>
      <c r="DT80" s="28" t="str">
        <f>IF(DS80="","",DS80*$DO$1/'CPI USA'!$U$508+(1-DS80)*AVERAGE($DO$1,$DQ$1)/AVERAGE('CPI USA'!$U$508,'PPI USA'!$T$514))</f>
        <v/>
      </c>
      <c r="DU80" s="6" t="str">
        <f t="shared" si="38"/>
        <v/>
      </c>
      <c r="DV80" s="6" t="str">
        <f t="shared" si="39"/>
        <v/>
      </c>
      <c r="DW80" s="6">
        <f t="shared" si="40"/>
        <v>0</v>
      </c>
      <c r="DX80" s="16" t="e">
        <f t="shared" si="41"/>
        <v>#VALUE!</v>
      </c>
      <c r="DY80" s="28" t="e">
        <f>IF(DX80="","",DX80*$DO$1/'CPI USA'!$U$508+(1-DX80)*AVERAGE($DO$1,$DQ$1)/AVERAGE('CPI USA'!$U$508,'PPI USA'!$T$514))</f>
        <v>#VALUE!</v>
      </c>
      <c r="DZ80" s="30"/>
      <c r="EA80" s="45" t="str">
        <f t="shared" si="42"/>
        <v>C000862</v>
      </c>
      <c r="EB80" s="29" t="str">
        <f t="shared" si="43"/>
        <v/>
      </c>
      <c r="EC80" s="29" t="str">
        <f t="shared" si="44"/>
        <v/>
      </c>
      <c r="ED80" s="29" t="str">
        <f t="shared" si="45"/>
        <v/>
      </c>
      <c r="EE80" s="29" t="str">
        <f t="shared" si="46"/>
        <v/>
      </c>
      <c r="EF80" s="29" t="str">
        <f t="shared" si="47"/>
        <v/>
      </c>
      <c r="EG80" s="29" t="str">
        <f t="shared" si="48"/>
        <v/>
      </c>
      <c r="EH80" s="29" t="str">
        <f t="shared" si="49"/>
        <v/>
      </c>
      <c r="EI80" s="29" t="str">
        <f t="shared" si="50"/>
        <v/>
      </c>
      <c r="EJ80" s="29" t="str">
        <f t="shared" si="51"/>
        <v/>
      </c>
      <c r="EK80" s="29" t="str">
        <f t="shared" si="52"/>
        <v/>
      </c>
      <c r="EL80" s="29" t="str">
        <f>IF(CD80=1,VLOOKUP(EA80,'EIA 2021'!$A$2:$J$213,4,0)*EH80,"")</f>
        <v/>
      </c>
      <c r="EM80" s="29" t="str">
        <f>IF(CD80=1,VLOOKUP(EA80,'EIA 2021'!$A$2:$J$213,7,0)*EH80,"")</f>
        <v/>
      </c>
      <c r="EN80" s="29" t="str">
        <f>IF(CD80=1,VLOOKUP(EA80,'EIA 2021'!$A$2:$J$213,10,0),"")</f>
        <v/>
      </c>
      <c r="EO80" s="28" t="str">
        <f>IF(CD80=1,VLOOKUP(EA80,'EIA 2021'!$A$2:$Z$213,26,0),"")</f>
        <v/>
      </c>
      <c r="EP80" s="23" t="str">
        <f t="shared" si="53"/>
        <v/>
      </c>
      <c r="EQ80" s="32" t="str">
        <f t="shared" si="54"/>
        <v/>
      </c>
      <c r="ER80" s="32" t="str">
        <f t="shared" si="55"/>
        <v/>
      </c>
      <c r="ES80" s="6"/>
      <c r="ET80" s="32"/>
    </row>
    <row r="81" spans="1:150" ht="15.75" customHeight="1">
      <c r="A81" s="7" t="s">
        <v>444</v>
      </c>
      <c r="B81" s="7" t="s">
        <v>445</v>
      </c>
      <c r="C81" s="32" t="s">
        <v>446</v>
      </c>
      <c r="D81" s="40">
        <v>0</v>
      </c>
      <c r="E81" s="40">
        <v>0</v>
      </c>
      <c r="F81" s="40">
        <v>0</v>
      </c>
      <c r="G81" s="40">
        <v>383614465</v>
      </c>
      <c r="H81" s="40">
        <v>383614466</v>
      </c>
      <c r="I81" s="40">
        <v>199960</v>
      </c>
      <c r="J81" s="40">
        <v>1200729</v>
      </c>
      <c r="K81" s="40">
        <v>1863371</v>
      </c>
      <c r="L81" s="40">
        <v>765009</v>
      </c>
      <c r="M81" s="40">
        <v>1844861</v>
      </c>
      <c r="N81" s="40">
        <v>0</v>
      </c>
      <c r="O81" s="40">
        <v>15745131</v>
      </c>
      <c r="P81" s="40">
        <v>0</v>
      </c>
      <c r="Q81" s="40">
        <v>967030</v>
      </c>
      <c r="R81" s="40">
        <v>0</v>
      </c>
      <c r="S81" s="40">
        <v>9633295</v>
      </c>
      <c r="T81" s="40">
        <v>40976647</v>
      </c>
      <c r="U81" s="40">
        <v>1280436</v>
      </c>
      <c r="V81" s="40">
        <v>248928</v>
      </c>
      <c r="W81" s="40">
        <v>114390</v>
      </c>
      <c r="X81" s="40">
        <f>IFERROR(VLOOKUP(A81,'Trans 21-23'!$A$2:$J$229,6,0),0)</f>
        <v>2638562</v>
      </c>
      <c r="Y81" s="41">
        <v>1048158</v>
      </c>
      <c r="Z81" s="41">
        <v>1751521</v>
      </c>
      <c r="AA81" s="41">
        <v>16528504</v>
      </c>
      <c r="AB81" s="41">
        <v>41532058</v>
      </c>
      <c r="AC81" s="41">
        <v>25</v>
      </c>
      <c r="AD81" s="41">
        <v>5937185</v>
      </c>
      <c r="AE81" s="41">
        <v>0</v>
      </c>
      <c r="AF81" s="41">
        <v>623191364</v>
      </c>
      <c r="AG81" s="41">
        <v>733766</v>
      </c>
      <c r="AH81" s="41">
        <v>368647</v>
      </c>
      <c r="AI81" s="41">
        <v>7926177</v>
      </c>
      <c r="AJ81" s="41">
        <v>8182</v>
      </c>
      <c r="AK81" s="41">
        <v>11774431</v>
      </c>
      <c r="AL81" s="41">
        <v>7206217</v>
      </c>
      <c r="AM81" s="41">
        <v>2714385</v>
      </c>
      <c r="AN81" s="41">
        <v>9333865</v>
      </c>
      <c r="AO81" s="41">
        <v>22080</v>
      </c>
      <c r="AP81" s="41">
        <v>0</v>
      </c>
      <c r="AQ81" s="41">
        <v>19276547</v>
      </c>
      <c r="AR81" s="41">
        <v>47232</v>
      </c>
      <c r="AS81" s="41">
        <v>19323779</v>
      </c>
      <c r="AT81" s="41">
        <v>0</v>
      </c>
      <c r="AU81" s="41">
        <v>3940</v>
      </c>
      <c r="AV81" s="41">
        <v>0</v>
      </c>
      <c r="AW81" s="41">
        <v>773462442</v>
      </c>
      <c r="AX81" s="41">
        <v>23656984</v>
      </c>
      <c r="AY81" s="41">
        <v>199410873</v>
      </c>
      <c r="AZ81" s="41">
        <v>189934801</v>
      </c>
      <c r="BA81" s="41">
        <v>43330293</v>
      </c>
      <c r="BB81" s="41">
        <v>2597230465</v>
      </c>
      <c r="BC81" s="41">
        <v>3743721387</v>
      </c>
      <c r="BD81" s="41">
        <v>259728744</v>
      </c>
      <c r="BE81" s="41">
        <v>746684064</v>
      </c>
      <c r="BF81" s="41">
        <v>66218197</v>
      </c>
      <c r="BG81" s="41">
        <v>0</v>
      </c>
      <c r="BH81" s="41">
        <v>28350931</v>
      </c>
      <c r="BI81" s="41">
        <v>962450</v>
      </c>
      <c r="BJ81" s="41">
        <v>319100</v>
      </c>
      <c r="BK81" s="41">
        <v>0</v>
      </c>
      <c r="BL81" s="41">
        <v>0</v>
      </c>
      <c r="BM81" s="41">
        <v>673366</v>
      </c>
      <c r="BN81" s="41">
        <v>33561982</v>
      </c>
      <c r="BO81" s="41">
        <v>0</v>
      </c>
      <c r="BP81" s="41">
        <v>2433224</v>
      </c>
      <c r="BQ81" s="41">
        <v>66903570</v>
      </c>
      <c r="BR81" s="41">
        <v>0</v>
      </c>
      <c r="BS81" s="42">
        <f>IFERROR(VLOOKUP(A81,'Trans 21-23'!$A$2:$J$229,5,0),0)</f>
        <v>168117622</v>
      </c>
      <c r="BT81" s="43"/>
      <c r="BU81" s="6">
        <f t="shared" si="0"/>
        <v>2597230465</v>
      </c>
      <c r="BV81" s="6">
        <f t="shared" si="1"/>
        <v>3940</v>
      </c>
      <c r="BW81" s="6">
        <f t="shared" si="2"/>
        <v>733766</v>
      </c>
      <c r="BX81" s="6">
        <f t="shared" si="3"/>
        <v>74839787</v>
      </c>
      <c r="BY81" s="6">
        <f t="shared" si="4"/>
        <v>60860266</v>
      </c>
      <c r="BZ81" s="6">
        <f t="shared" si="5"/>
        <v>189934801</v>
      </c>
      <c r="CA81" s="6">
        <f t="shared" si="6"/>
        <v>5937185</v>
      </c>
      <c r="CB81" s="6">
        <f t="shared" si="7"/>
        <v>368647</v>
      </c>
      <c r="CC81" s="6">
        <f t="shared" si="8"/>
        <v>19276547</v>
      </c>
      <c r="CD81" s="6">
        <f t="shared" si="60"/>
        <v>1</v>
      </c>
      <c r="CE81" s="44">
        <f t="shared" si="10"/>
        <v>15</v>
      </c>
      <c r="CF81" s="27"/>
      <c r="CG81" s="28">
        <f t="shared" si="11"/>
        <v>659.19554949238579</v>
      </c>
      <c r="CH81" s="28">
        <f t="shared" si="12"/>
        <v>5.3695592327799329</v>
      </c>
      <c r="CI81" s="28">
        <f t="shared" si="13"/>
        <v>101.99407849368872</v>
      </c>
      <c r="CJ81" s="28">
        <f t="shared" si="14"/>
        <v>258.8492802882663</v>
      </c>
      <c r="CK81" s="23">
        <f t="shared" si="15"/>
        <v>1.9124120103045428E-2</v>
      </c>
      <c r="CL81" s="29" t="str">
        <f t="shared" si="16"/>
        <v/>
      </c>
      <c r="CM81" s="29" t="str">
        <f t="shared" si="17"/>
        <v/>
      </c>
      <c r="CN81" s="29" t="str">
        <f t="shared" si="18"/>
        <v/>
      </c>
      <c r="CO81" s="29" t="str">
        <f t="shared" si="19"/>
        <v/>
      </c>
      <c r="CP81" s="29" t="str">
        <f t="shared" si="20"/>
        <v/>
      </c>
      <c r="CQ81" s="29">
        <f t="shared" si="21"/>
        <v>0</v>
      </c>
      <c r="CR81" s="13"/>
      <c r="CS81" s="7">
        <f>VLOOKUP(A81,'Empresas 21-23'!$A$2:$M$228,13,0)</f>
        <v>1</v>
      </c>
      <c r="CT81" s="30"/>
      <c r="CU81" s="6">
        <f t="shared" si="22"/>
        <v>2398242278.8000002</v>
      </c>
      <c r="CV81" s="6">
        <f t="shared" si="23"/>
        <v>189934801</v>
      </c>
      <c r="CW81" s="6">
        <f t="shared" si="24"/>
        <v>259728744</v>
      </c>
      <c r="CX81" s="23">
        <f t="shared" ref="CX81:CX91" si="61">CU81/(BC81-BD81)</f>
        <v>0.68836031660931385</v>
      </c>
      <c r="CY81" s="23">
        <f t="shared" ref="CY81:CY91" si="62">CV81/(BC81-BD81)</f>
        <v>5.4516418506685121E-2</v>
      </c>
      <c r="CZ81" s="6">
        <f t="shared" si="25"/>
        <v>2577029239.2523794</v>
      </c>
      <c r="DA81" s="6">
        <f t="shared" si="26"/>
        <v>204094281.90611967</v>
      </c>
      <c r="DB81" s="6">
        <f t="shared" si="27"/>
        <v>74839787</v>
      </c>
      <c r="DC81" s="6">
        <f t="shared" si="28"/>
        <v>77478349</v>
      </c>
      <c r="DD81" s="6">
        <f t="shared" si="29"/>
        <v>60860266</v>
      </c>
      <c r="DE81" s="6">
        <f t="shared" si="30"/>
        <v>5937185</v>
      </c>
      <c r="DF81" s="6">
        <f t="shared" si="31"/>
        <v>3515420.9845257555</v>
      </c>
      <c r="DG81" s="30"/>
      <c r="DH81" s="32">
        <f>VLOOKUP(A81,'T_med_comp-USA'!$A$7:$Q$233,17,0)</f>
        <v>11.171653046066682</v>
      </c>
      <c r="DI81" s="6" t="str">
        <f t="shared" si="32"/>
        <v>11_2010</v>
      </c>
      <c r="DJ81" s="32">
        <f>IF(DI81="","",VLOOKUP(DI81,'CPI USA'!$T:$U,2,FALSE))</f>
        <v>218.05600000000001</v>
      </c>
      <c r="DK81" s="32">
        <f>IF(DI81="","",VLOOKUP(DI81,'PPI USA'!$S:$T,2,FALSE))</f>
        <v>160.80000000000001</v>
      </c>
      <c r="DL81" s="32">
        <f>IF(DI81="","",VLOOKUP(DI81,'CPI USA'!$T:$V,3,FALSE))</f>
        <v>0.67050107279443949</v>
      </c>
      <c r="DM81" s="32">
        <f>IF(DI81="","",VLOOKUP(DI81,'CPI USA'!$T:$X,5,FALSE))</f>
        <v>0.4987389730136107</v>
      </c>
      <c r="DN81" s="32">
        <f t="shared" si="33"/>
        <v>1.4703278680244813</v>
      </c>
      <c r="DO81" s="32">
        <f t="shared" si="34"/>
        <v>1.4857204383544427</v>
      </c>
      <c r="DP81" s="32">
        <f t="shared" si="35"/>
        <v>0.37882164202311264</v>
      </c>
      <c r="DQ81" s="32">
        <f>IF(DP81="","",DP81*$DO$1/'CPI USA'!$U$508+(1-DP81)*AVERAGE($DO$1,$DQ$1)/AVERAGE('CPI USA'!$U$508,'PPI USA'!$T$514))</f>
        <v>1.1635901911404254</v>
      </c>
      <c r="DR81" s="6">
        <f t="shared" si="36"/>
        <v>1281550</v>
      </c>
      <c r="DS81" s="32">
        <f t="shared" si="37"/>
        <v>0.2</v>
      </c>
      <c r="DT81" s="28">
        <f>IF(DS81="","",DS81*$DO$1/'CPI USA'!$U$508+(1-DS81)*AVERAGE($DO$1,$DQ$1)/AVERAGE('CPI USA'!$U$508,'PPI USA'!$T$514))</f>
        <v>1.1741595760647974</v>
      </c>
      <c r="DU81" s="6">
        <f t="shared" si="38"/>
        <v>673366</v>
      </c>
      <c r="DV81" s="6">
        <f t="shared" si="39"/>
        <v>25414.014560802887</v>
      </c>
      <c r="DW81" s="6">
        <f t="shared" si="40"/>
        <v>616965.51486895839</v>
      </c>
      <c r="DX81" s="16">
        <f t="shared" si="41"/>
        <v>0.2</v>
      </c>
      <c r="DY81" s="28">
        <f>IF(DX81="","",DX81*$DO$1/'CPI USA'!$U$508+(1-DX81)*AVERAGE($DO$1,$DQ$1)/AVERAGE('CPI USA'!$U$508,'PPI USA'!$T$514))</f>
        <v>1.1741595760647974</v>
      </c>
      <c r="DZ81" s="30"/>
      <c r="EA81" s="45" t="str">
        <f t="shared" si="42"/>
        <v>C000905</v>
      </c>
      <c r="EB81" s="29">
        <f t="shared" si="43"/>
        <v>3789077907.1867023</v>
      </c>
      <c r="EC81" s="29">
        <f t="shared" si="44"/>
        <v>303227045.9791953</v>
      </c>
      <c r="ED81" s="29">
        <f t="shared" si="45"/>
        <v>90153046.92215459</v>
      </c>
      <c r="EE81" s="29">
        <f t="shared" si="46"/>
        <v>71459664.125750795</v>
      </c>
      <c r="EF81" s="29">
        <f t="shared" si="47"/>
        <v>4127665.2128800536</v>
      </c>
      <c r="EG81" s="29">
        <f t="shared" si="48"/>
        <v>3940</v>
      </c>
      <c r="EH81" s="29">
        <f t="shared" si="49"/>
        <v>733766</v>
      </c>
      <c r="EI81" s="29">
        <f t="shared" si="50"/>
        <v>368647</v>
      </c>
      <c r="EJ81" s="29">
        <f t="shared" si="51"/>
        <v>19276547</v>
      </c>
      <c r="EK81" s="29">
        <f t="shared" si="52"/>
        <v>19644474.730964467</v>
      </c>
      <c r="EL81" s="29">
        <f>IF(CD81=1,VLOOKUP(EA81,'EIA 2021'!$A$2:$J$213,4,0)*EH81,"")</f>
        <v>111674782.60399999</v>
      </c>
      <c r="EM81" s="29">
        <f>IF(CD81=1,VLOOKUP(EA81,'EIA 2021'!$A$2:$J$213,7,0)*EH81,"")</f>
        <v>1018467.208</v>
      </c>
      <c r="EN81" s="29">
        <f>IF(CD81=1,VLOOKUP(EA81,'EIA 2021'!$A$2:$J$213,10,0),"")</f>
        <v>743624</v>
      </c>
      <c r="EO81" s="28">
        <f>IF(CD81=1,VLOOKUP(EA81,'EIA 2021'!$A$2:$Z$213,26,0),"")</f>
        <v>0</v>
      </c>
      <c r="EP81" s="23">
        <f t="shared" si="53"/>
        <v>1.8729323944942314E-2</v>
      </c>
      <c r="EQ81" s="32">
        <f t="shared" si="54"/>
        <v>719.2690355329978</v>
      </c>
      <c r="ER81" s="32">
        <f t="shared" si="55"/>
        <v>367927.73096446699</v>
      </c>
      <c r="ES81" s="6"/>
      <c r="ET81" s="32"/>
    </row>
    <row r="82" spans="1:150" ht="15.75" customHeight="1">
      <c r="A82" s="7" t="s">
        <v>447</v>
      </c>
      <c r="B82" s="7" t="s">
        <v>448</v>
      </c>
      <c r="C82" s="32" t="s">
        <v>449</v>
      </c>
      <c r="D82" s="40">
        <v>479625280</v>
      </c>
      <c r="E82" s="40">
        <v>0</v>
      </c>
      <c r="F82" s="40">
        <v>0</v>
      </c>
      <c r="G82" s="40">
        <v>300426647</v>
      </c>
      <c r="H82" s="40">
        <v>199712060</v>
      </c>
      <c r="I82" s="40">
        <v>190419</v>
      </c>
      <c r="J82" s="40">
        <v>93452</v>
      </c>
      <c r="K82" s="40">
        <v>1225936</v>
      </c>
      <c r="L82" s="40">
        <v>644867</v>
      </c>
      <c r="M82" s="40">
        <v>47537</v>
      </c>
      <c r="N82" s="40">
        <v>0</v>
      </c>
      <c r="O82" s="40">
        <v>11825299</v>
      </c>
      <c r="P82" s="40">
        <v>0</v>
      </c>
      <c r="Q82" s="40">
        <v>636011</v>
      </c>
      <c r="R82" s="40">
        <v>0</v>
      </c>
      <c r="S82" s="40">
        <v>4971519</v>
      </c>
      <c r="T82" s="40">
        <v>41793758</v>
      </c>
      <c r="U82" s="40">
        <v>340645</v>
      </c>
      <c r="V82" s="40">
        <v>134238</v>
      </c>
      <c r="W82" s="40">
        <v>889988</v>
      </c>
      <c r="X82" s="40">
        <f>IFERROR(VLOOKUP(A82,'Trans 21-23'!$A$2:$J$229,6,0),0)</f>
        <v>288075</v>
      </c>
      <c r="Y82" s="41">
        <v>895006</v>
      </c>
      <c r="Z82" s="41">
        <v>1682309</v>
      </c>
      <c r="AA82" s="41">
        <v>16806626</v>
      </c>
      <c r="AB82" s="41">
        <v>3173131</v>
      </c>
      <c r="AC82" s="41">
        <v>17</v>
      </c>
      <c r="AD82" s="41">
        <v>4114119</v>
      </c>
      <c r="AE82" s="41">
        <v>0</v>
      </c>
      <c r="AF82" s="41">
        <v>1000626896</v>
      </c>
      <c r="AG82" s="41">
        <v>395034</v>
      </c>
      <c r="AH82" s="41">
        <v>419733</v>
      </c>
      <c r="AI82" s="41">
        <v>15616335</v>
      </c>
      <c r="AJ82" s="41">
        <v>575</v>
      </c>
      <c r="AK82" s="41">
        <v>0</v>
      </c>
      <c r="AL82" s="41">
        <v>3653781</v>
      </c>
      <c r="AM82" s="41">
        <v>2740724</v>
      </c>
      <c r="AN82" s="41">
        <v>5850559</v>
      </c>
      <c r="AO82" s="41">
        <v>22433</v>
      </c>
      <c r="AP82" s="41">
        <v>0</v>
      </c>
      <c r="AQ82" s="41">
        <v>12267497</v>
      </c>
      <c r="AR82" s="41">
        <v>2928530</v>
      </c>
      <c r="AS82" s="41">
        <v>15196027</v>
      </c>
      <c r="AT82" s="41">
        <v>0</v>
      </c>
      <c r="AU82" s="41">
        <v>2158</v>
      </c>
      <c r="AV82" s="41">
        <v>0</v>
      </c>
      <c r="AW82" s="41">
        <v>778974436</v>
      </c>
      <c r="AX82" s="41">
        <v>14411594</v>
      </c>
      <c r="AY82" s="41">
        <v>102424100</v>
      </c>
      <c r="AZ82" s="41">
        <v>97150860</v>
      </c>
      <c r="BA82" s="41">
        <v>17160391</v>
      </c>
      <c r="BB82" s="41">
        <v>2167486474</v>
      </c>
      <c r="BC82" s="41">
        <v>5952296133</v>
      </c>
      <c r="BD82" s="41">
        <v>137056470</v>
      </c>
      <c r="BE82" s="41">
        <v>698073548</v>
      </c>
      <c r="BF82" s="41">
        <v>49541424</v>
      </c>
      <c r="BG82" s="41">
        <v>0</v>
      </c>
      <c r="BH82" s="41">
        <v>16664966</v>
      </c>
      <c r="BI82" s="41">
        <v>8620836</v>
      </c>
      <c r="BJ82" s="41">
        <v>240596</v>
      </c>
      <c r="BK82" s="41">
        <v>0</v>
      </c>
      <c r="BL82" s="41">
        <v>0</v>
      </c>
      <c r="BM82" s="41">
        <v>733789</v>
      </c>
      <c r="BN82" s="41">
        <v>65716401</v>
      </c>
      <c r="BO82" s="41">
        <v>0</v>
      </c>
      <c r="BP82" s="41">
        <v>13151660</v>
      </c>
      <c r="BQ82" s="41">
        <v>103269821</v>
      </c>
      <c r="BR82" s="41">
        <v>0</v>
      </c>
      <c r="BS82" s="42">
        <f>IFERROR(VLOOKUP(A82,'Trans 21-23'!$A$2:$J$229,5,0),0)</f>
        <v>18354880</v>
      </c>
      <c r="BT82" s="43"/>
      <c r="BU82" s="6">
        <f t="shared" si="0"/>
        <v>2167486474</v>
      </c>
      <c r="BV82" s="6">
        <f t="shared" si="1"/>
        <v>2158</v>
      </c>
      <c r="BW82" s="6">
        <f t="shared" si="2"/>
        <v>395034</v>
      </c>
      <c r="BX82" s="6">
        <f t="shared" si="3"/>
        <v>62793669</v>
      </c>
      <c r="BY82" s="6">
        <f t="shared" si="4"/>
        <v>22557089</v>
      </c>
      <c r="BZ82" s="6">
        <f t="shared" si="5"/>
        <v>97150860</v>
      </c>
      <c r="CA82" s="6">
        <f t="shared" si="6"/>
        <v>4114119</v>
      </c>
      <c r="CB82" s="6">
        <f t="shared" si="7"/>
        <v>419733</v>
      </c>
      <c r="CC82" s="6">
        <f t="shared" si="8"/>
        <v>12267497</v>
      </c>
      <c r="CD82" s="6">
        <f t="shared" si="60"/>
        <v>1</v>
      </c>
      <c r="CE82" s="44">
        <f t="shared" si="10"/>
        <v>15</v>
      </c>
      <c r="CF82" s="27"/>
      <c r="CG82" s="28">
        <f t="shared" si="11"/>
        <v>1004.3959564411492</v>
      </c>
      <c r="CH82" s="28">
        <f t="shared" si="12"/>
        <v>5.4628209217434449</v>
      </c>
      <c r="CI82" s="28">
        <f t="shared" si="13"/>
        <v>158.95763149501056</v>
      </c>
      <c r="CJ82" s="28">
        <f t="shared" si="14"/>
        <v>245.93037561323837</v>
      </c>
      <c r="CK82" s="23">
        <f t="shared" si="15"/>
        <v>3.4215048106390408E-2</v>
      </c>
      <c r="CL82" s="29" t="str">
        <f t="shared" si="16"/>
        <v/>
      </c>
      <c r="CM82" s="29" t="str">
        <f t="shared" si="17"/>
        <v/>
      </c>
      <c r="CN82" s="29" t="str">
        <f t="shared" si="18"/>
        <v/>
      </c>
      <c r="CO82" s="29" t="str">
        <f t="shared" si="19"/>
        <v/>
      </c>
      <c r="CP82" s="29" t="str">
        <f t="shared" si="20"/>
        <v/>
      </c>
      <c r="CQ82" s="29">
        <f t="shared" si="21"/>
        <v>0</v>
      </c>
      <c r="CR82" s="13"/>
      <c r="CS82" s="7">
        <f>VLOOKUP(A82,'Empresas 21-23'!$A$2:$M$228,13,0)</f>
        <v>1</v>
      </c>
      <c r="CT82" s="30"/>
      <c r="CU82" s="6">
        <f t="shared" si="22"/>
        <v>2001428686.5999999</v>
      </c>
      <c r="CV82" s="6">
        <f t="shared" si="23"/>
        <v>97150860</v>
      </c>
      <c r="CW82" s="6">
        <f t="shared" si="24"/>
        <v>137056470</v>
      </c>
      <c r="CX82" s="23">
        <f t="shared" si="61"/>
        <v>0.34416959619640014</v>
      </c>
      <c r="CY82" s="23">
        <f t="shared" si="62"/>
        <v>1.6706252128890119E-2</v>
      </c>
      <c r="CZ82" s="6">
        <f t="shared" si="25"/>
        <v>2048599356.5360038</v>
      </c>
      <c r="DA82" s="6">
        <f t="shared" si="26"/>
        <v>99440559.943715662</v>
      </c>
      <c r="DB82" s="6">
        <f t="shared" si="27"/>
        <v>62793669</v>
      </c>
      <c r="DC82" s="6">
        <f t="shared" si="28"/>
        <v>63081744</v>
      </c>
      <c r="DD82" s="6">
        <f t="shared" si="29"/>
        <v>22557089</v>
      </c>
      <c r="DE82" s="6">
        <f t="shared" si="30"/>
        <v>4114119</v>
      </c>
      <c r="DF82" s="6">
        <f t="shared" si="31"/>
        <v>1110831.1328128697</v>
      </c>
      <c r="DG82" s="30"/>
      <c r="DH82" s="32">
        <f>VLOOKUP(A82,'T_med_comp-USA'!$A$7:$Q$233,17,0)</f>
        <v>14.056824095496557</v>
      </c>
      <c r="DI82" s="6" t="str">
        <f t="shared" si="32"/>
        <v>12_2007</v>
      </c>
      <c r="DJ82" s="32">
        <f>IF(DI82="","",VLOOKUP(DI82,'CPI USA'!$T:$U,2,FALSE))</f>
        <v>207.34200000000001</v>
      </c>
      <c r="DK82" s="32">
        <f>IF(DI82="","",VLOOKUP(DI82,'PPI USA'!$S:$T,2,FALSE))</f>
        <v>151.69999999999999</v>
      </c>
      <c r="DL82" s="32">
        <f>IF(DI82="","",VLOOKUP(DI82,'CPI USA'!$T:$V,3,FALSE))</f>
        <v>0.67123734379962852</v>
      </c>
      <c r="DM82" s="32">
        <f>IF(DI82="","",VLOOKUP(DI82,'CPI USA'!$T:$X,5,FALSE))</f>
        <v>0.49957259686190569</v>
      </c>
      <c r="DN82" s="32">
        <f t="shared" si="33"/>
        <v>1.5480022216582647</v>
      </c>
      <c r="DO82" s="32">
        <f t="shared" si="34"/>
        <v>1.5651038394149617</v>
      </c>
      <c r="DP82" s="32">
        <f t="shared" si="35"/>
        <v>0.26539245540820366</v>
      </c>
      <c r="DQ82" s="32">
        <f>IF(DP82="","",DP82*$DO$1/'CPI USA'!$U$508+(1-DP82)*AVERAGE($DO$1,$DQ$1)/AVERAGE('CPI USA'!$U$508,'PPI USA'!$T$514))</f>
        <v>1.1702945068005872</v>
      </c>
      <c r="DR82" s="6">
        <f t="shared" si="36"/>
        <v>8861432</v>
      </c>
      <c r="DS82" s="32">
        <f t="shared" si="37"/>
        <v>0.39284466182671002</v>
      </c>
      <c r="DT82" s="28">
        <f>IF(DS82="","",DS82*$DO$1/'CPI USA'!$U$508+(1-DS82)*AVERAGE($DO$1,$DQ$1)/AVERAGE('CPI USA'!$U$508,'PPI USA'!$T$514))</f>
        <v>1.1627613502214547</v>
      </c>
      <c r="DU82" s="6">
        <f t="shared" si="38"/>
        <v>733789</v>
      </c>
      <c r="DV82" s="6">
        <f t="shared" si="39"/>
        <v>107087.66504611651</v>
      </c>
      <c r="DW82" s="6">
        <f t="shared" si="40"/>
        <v>326623.97961933218</v>
      </c>
      <c r="DX82" s="16">
        <f t="shared" si="41"/>
        <v>0.29403567290398869</v>
      </c>
      <c r="DY82" s="28">
        <f>IF(DX82="","",DX82*$DO$1/'CPI USA'!$U$508+(1-DX82)*AVERAGE($DO$1,$DQ$1)/AVERAGE('CPI USA'!$U$508,'PPI USA'!$T$514))</f>
        <v>1.1686015283234834</v>
      </c>
      <c r="DZ82" s="30"/>
      <c r="EA82" s="45" t="str">
        <f t="shared" si="42"/>
        <v>C000906</v>
      </c>
      <c r="EB82" s="29">
        <f t="shared" si="43"/>
        <v>3171236355.2054253</v>
      </c>
      <c r="EC82" s="29">
        <f t="shared" si="44"/>
        <v>155634802.16148302</v>
      </c>
      <c r="ED82" s="29">
        <f t="shared" si="45"/>
        <v>73824218.482600898</v>
      </c>
      <c r="EE82" s="29">
        <f t="shared" si="46"/>
        <v>26228511.262705524</v>
      </c>
      <c r="EF82" s="29">
        <f t="shared" si="47"/>
        <v>1298118.9595144258</v>
      </c>
      <c r="EG82" s="29">
        <f t="shared" si="48"/>
        <v>2158</v>
      </c>
      <c r="EH82" s="29">
        <f t="shared" si="49"/>
        <v>395034</v>
      </c>
      <c r="EI82" s="29">
        <f t="shared" si="50"/>
        <v>419733</v>
      </c>
      <c r="EJ82" s="29">
        <f t="shared" si="51"/>
        <v>12267497</v>
      </c>
      <c r="EK82" s="29">
        <f t="shared" si="52"/>
        <v>12642633.0964467</v>
      </c>
      <c r="EL82" s="29">
        <f>IF(CD82=1,VLOOKUP(EA82,'EIA 2021'!$A$2:$J$213,4,0)*EH82,"")</f>
        <v>145446778.39199999</v>
      </c>
      <c r="EM82" s="29">
        <f>IF(CD82=1,VLOOKUP(EA82,'EIA 2021'!$A$2:$J$213,7,0)*EH82,"")</f>
        <v>899492.41800000006</v>
      </c>
      <c r="EN82" s="29">
        <f>IF(CD82=1,VLOOKUP(EA82,'EIA 2021'!$A$2:$J$213,10,0),"")</f>
        <v>87420</v>
      </c>
      <c r="EO82" s="28">
        <f>IF(CD82=1,VLOOKUP(EA82,'EIA 2021'!$A$2:$Z$213,26,0),"")</f>
        <v>0</v>
      </c>
      <c r="EP82" s="23">
        <f t="shared" si="53"/>
        <v>2.9672307468302232E-2</v>
      </c>
      <c r="EQ82" s="32">
        <f t="shared" si="54"/>
        <v>44596.903553299606</v>
      </c>
      <c r="ER82" s="32">
        <f t="shared" si="55"/>
        <v>375136.09644670039</v>
      </c>
      <c r="ES82" s="6"/>
      <c r="ET82" s="32"/>
    </row>
    <row r="83" spans="1:150" ht="15.75" customHeight="1">
      <c r="A83" s="7" t="s">
        <v>450</v>
      </c>
      <c r="B83" s="7" t="s">
        <v>451</v>
      </c>
      <c r="C83" s="32" t="s">
        <v>452</v>
      </c>
      <c r="D83" s="40">
        <v>0</v>
      </c>
      <c r="E83" s="40">
        <v>0</v>
      </c>
      <c r="F83" s="40">
        <v>0</v>
      </c>
      <c r="G83" s="40">
        <v>0</v>
      </c>
      <c r="H83" s="40">
        <v>54552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f>IFERROR(VLOOKUP(A83,'Trans 21-23'!$A$2:$J$229,6,0),0)</f>
        <v>0</v>
      </c>
      <c r="Y83" s="41">
        <v>0</v>
      </c>
      <c r="Z83" s="41">
        <v>0</v>
      </c>
      <c r="AA83" s="41">
        <v>0</v>
      </c>
      <c r="AB83" s="41">
        <v>0</v>
      </c>
      <c r="AC83" s="41">
        <v>0</v>
      </c>
      <c r="AD83" s="41">
        <v>727451</v>
      </c>
      <c r="AE83" s="41">
        <v>0</v>
      </c>
      <c r="AF83" s="41">
        <v>7623986</v>
      </c>
      <c r="AG83" s="41">
        <v>0</v>
      </c>
      <c r="AH83" s="41">
        <v>0</v>
      </c>
      <c r="AI83" s="41">
        <v>0</v>
      </c>
      <c r="AJ83" s="41">
        <v>0</v>
      </c>
      <c r="AK83" s="41">
        <v>0</v>
      </c>
      <c r="AL83" s="41">
        <v>0</v>
      </c>
      <c r="AM83" s="41">
        <v>0</v>
      </c>
      <c r="AN83" s="41">
        <v>0</v>
      </c>
      <c r="AO83" s="41">
        <v>0</v>
      </c>
      <c r="AP83" s="41">
        <v>0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1">
        <v>0</v>
      </c>
      <c r="AZ83" s="41">
        <v>0</v>
      </c>
      <c r="BA83" s="41">
        <v>0</v>
      </c>
      <c r="BB83" s="41">
        <v>0</v>
      </c>
      <c r="BC83" s="41">
        <v>343841468</v>
      </c>
      <c r="BD83" s="41">
        <v>1107909</v>
      </c>
      <c r="BE83" s="41">
        <v>0</v>
      </c>
      <c r="BF83" s="41">
        <v>0</v>
      </c>
      <c r="BG83" s="41">
        <v>0</v>
      </c>
      <c r="BH83" s="41">
        <v>0</v>
      </c>
      <c r="BI83" s="41">
        <v>0</v>
      </c>
      <c r="BJ83" s="41">
        <v>0</v>
      </c>
      <c r="BK83" s="41">
        <v>0</v>
      </c>
      <c r="BL83" s="41">
        <v>0</v>
      </c>
      <c r="BM83" s="41">
        <v>0</v>
      </c>
      <c r="BN83" s="41">
        <v>0</v>
      </c>
      <c r="BO83" s="41">
        <v>0</v>
      </c>
      <c r="BP83" s="41">
        <v>0</v>
      </c>
      <c r="BQ83" s="41">
        <v>0</v>
      </c>
      <c r="BR83" s="41">
        <v>0</v>
      </c>
      <c r="BS83" s="42">
        <f>IFERROR(VLOOKUP(A83,'Trans 21-23'!$A$2:$J$229,5,0),0)</f>
        <v>0</v>
      </c>
      <c r="BT83" s="43"/>
      <c r="BU83" s="6">
        <f t="shared" si="0"/>
        <v>0</v>
      </c>
      <c r="BV83" s="6">
        <f t="shared" si="1"/>
        <v>0</v>
      </c>
      <c r="BW83" s="6">
        <f t="shared" si="2"/>
        <v>0</v>
      </c>
      <c r="BX83" s="6">
        <f t="shared" si="3"/>
        <v>0</v>
      </c>
      <c r="BY83" s="6">
        <f t="shared" si="4"/>
        <v>0</v>
      </c>
      <c r="BZ83" s="6">
        <f t="shared" si="5"/>
        <v>0</v>
      </c>
      <c r="CA83" s="6">
        <f t="shared" si="6"/>
        <v>727451</v>
      </c>
      <c r="CB83" s="6">
        <f t="shared" si="7"/>
        <v>0</v>
      </c>
      <c r="CC83" s="6">
        <f t="shared" si="8"/>
        <v>0</v>
      </c>
      <c r="CD83" s="6">
        <f t="shared" si="60"/>
        <v>0</v>
      </c>
      <c r="CE83" s="44">
        <f t="shared" si="10"/>
        <v>63</v>
      </c>
      <c r="CF83" s="27"/>
      <c r="CG83" s="28" t="str">
        <f t="shared" si="11"/>
        <v/>
      </c>
      <c r="CH83" s="28" t="str">
        <f t="shared" si="12"/>
        <v/>
      </c>
      <c r="CI83" s="28" t="str">
        <f t="shared" si="13"/>
        <v/>
      </c>
      <c r="CJ83" s="28" t="str">
        <f t="shared" si="14"/>
        <v/>
      </c>
      <c r="CK83" s="23" t="str">
        <f t="shared" si="15"/>
        <v/>
      </c>
      <c r="CL83" s="29" t="str">
        <f t="shared" si="16"/>
        <v/>
      </c>
      <c r="CM83" s="29" t="str">
        <f t="shared" si="17"/>
        <v/>
      </c>
      <c r="CN83" s="29" t="str">
        <f t="shared" si="18"/>
        <v/>
      </c>
      <c r="CO83" s="29" t="str">
        <f t="shared" si="19"/>
        <v/>
      </c>
      <c r="CP83" s="29" t="str">
        <f t="shared" si="20"/>
        <v/>
      </c>
      <c r="CQ83" s="29">
        <f t="shared" si="21"/>
        <v>0</v>
      </c>
      <c r="CR83" s="13"/>
      <c r="CS83" s="7" t="str">
        <f>VLOOKUP(A83,'Empresas 21-23'!$A$2:$M$228,13,0)</f>
        <v/>
      </c>
      <c r="CT83" s="30"/>
      <c r="CU83" s="6">
        <f t="shared" si="22"/>
        <v>0</v>
      </c>
      <c r="CV83" s="6">
        <f t="shared" si="23"/>
        <v>0</v>
      </c>
      <c r="CW83" s="6">
        <f t="shared" si="24"/>
        <v>1107909</v>
      </c>
      <c r="CX83" s="23">
        <f t="shared" si="61"/>
        <v>0</v>
      </c>
      <c r="CY83" s="23">
        <f t="shared" si="62"/>
        <v>0</v>
      </c>
      <c r="CZ83" s="6">
        <f t="shared" si="25"/>
        <v>0</v>
      </c>
      <c r="DA83" s="6">
        <f t="shared" si="26"/>
        <v>0</v>
      </c>
      <c r="DB83" s="6">
        <f t="shared" si="27"/>
        <v>0</v>
      </c>
      <c r="DC83" s="6">
        <f t="shared" si="28"/>
        <v>0</v>
      </c>
      <c r="DD83" s="6">
        <f t="shared" si="29"/>
        <v>0</v>
      </c>
      <c r="DE83" s="6">
        <f t="shared" si="30"/>
        <v>727451</v>
      </c>
      <c r="DF83" s="6">
        <f t="shared" si="31"/>
        <v>0</v>
      </c>
      <c r="DG83" s="30"/>
      <c r="DH83" s="32" t="str">
        <f>VLOOKUP(A83,'T_med_comp-USA'!$A$7:$Q$233,17,0)</f>
        <v>-</v>
      </c>
      <c r="DI83" s="6" t="str">
        <f t="shared" si="32"/>
        <v/>
      </c>
      <c r="DJ83" s="32" t="str">
        <f>IF(DI83="","",VLOOKUP(DI83,'CPI USA'!$T:$U,2,FALSE))</f>
        <v/>
      </c>
      <c r="DK83" s="32" t="str">
        <f>IF(DI83="","",VLOOKUP(DI83,'PPI USA'!$S:$T,2,FALSE))</f>
        <v/>
      </c>
      <c r="DL83" s="32" t="str">
        <f>IF(DI83="","",VLOOKUP(DI83,'CPI USA'!$T:$V,3,FALSE))</f>
        <v/>
      </c>
      <c r="DM83" s="32" t="str">
        <f>IF(DI83="","",VLOOKUP(DI83,'CPI USA'!$T:$X,5,FALSE))</f>
        <v/>
      </c>
      <c r="DN83" s="32" t="str">
        <f t="shared" si="33"/>
        <v/>
      </c>
      <c r="DO83" s="32" t="str">
        <f t="shared" si="34"/>
        <v/>
      </c>
      <c r="DP83" s="32" t="str">
        <f t="shared" si="35"/>
        <v/>
      </c>
      <c r="DQ83" s="32" t="str">
        <f>IF(DP83="","",DP83*$DO$1/'CPI USA'!$U$508+(1-DP83)*AVERAGE($DO$1,$DQ$1)/AVERAGE('CPI USA'!$U$508,'PPI USA'!$T$514))</f>
        <v/>
      </c>
      <c r="DR83" s="6">
        <f t="shared" si="36"/>
        <v>0</v>
      </c>
      <c r="DS83" s="32" t="str">
        <f t="shared" si="37"/>
        <v/>
      </c>
      <c r="DT83" s="28" t="str">
        <f>IF(DS83="","",DS83*$DO$1/'CPI USA'!$U$508+(1-DS83)*AVERAGE($DO$1,$DQ$1)/AVERAGE('CPI USA'!$U$508,'PPI USA'!$T$514))</f>
        <v/>
      </c>
      <c r="DU83" s="6" t="str">
        <f t="shared" si="38"/>
        <v/>
      </c>
      <c r="DV83" s="6" t="str">
        <f t="shared" si="39"/>
        <v/>
      </c>
      <c r="DW83" s="6">
        <f t="shared" si="40"/>
        <v>0</v>
      </c>
      <c r="DX83" s="16" t="str">
        <f t="shared" si="41"/>
        <v/>
      </c>
      <c r="DY83" s="28" t="str">
        <f>IF(DX83="","",DX83*$DO$1/'CPI USA'!$U$508+(1-DX83)*AVERAGE($DO$1,$DQ$1)/AVERAGE('CPI USA'!$U$508,'PPI USA'!$T$514))</f>
        <v/>
      </c>
      <c r="DZ83" s="30"/>
      <c r="EA83" s="45" t="str">
        <f t="shared" si="42"/>
        <v>C000911</v>
      </c>
      <c r="EB83" s="29" t="str">
        <f t="shared" si="43"/>
        <v/>
      </c>
      <c r="EC83" s="29" t="str">
        <f t="shared" si="44"/>
        <v/>
      </c>
      <c r="ED83" s="29" t="str">
        <f t="shared" si="45"/>
        <v/>
      </c>
      <c r="EE83" s="29" t="str">
        <f t="shared" si="46"/>
        <v/>
      </c>
      <c r="EF83" s="29" t="str">
        <f t="shared" si="47"/>
        <v/>
      </c>
      <c r="EG83" s="29" t="str">
        <f t="shared" si="48"/>
        <v/>
      </c>
      <c r="EH83" s="29" t="str">
        <f t="shared" si="49"/>
        <v/>
      </c>
      <c r="EI83" s="29" t="str">
        <f t="shared" si="50"/>
        <v/>
      </c>
      <c r="EJ83" s="29" t="str">
        <f t="shared" si="51"/>
        <v/>
      </c>
      <c r="EK83" s="29" t="str">
        <f t="shared" si="52"/>
        <v/>
      </c>
      <c r="EL83" s="29" t="str">
        <f>IF(CD83=1,VLOOKUP(EA83,'EIA 2021'!$A$2:$J$213,4,0)*EH83,"")</f>
        <v/>
      </c>
      <c r="EM83" s="29" t="str">
        <f>IF(CD83=1,VLOOKUP(EA83,'EIA 2021'!$A$2:$J$213,7,0)*EH83,"")</f>
        <v/>
      </c>
      <c r="EN83" s="29" t="str">
        <f>IF(CD83=1,VLOOKUP(EA83,'EIA 2021'!$A$2:$J$213,10,0),"")</f>
        <v/>
      </c>
      <c r="EO83" s="28" t="str">
        <f>IF(CD83=1,VLOOKUP(EA83,'EIA 2021'!$A$2:$Z$213,26,0),"")</f>
        <v/>
      </c>
      <c r="EP83" s="23" t="str">
        <f t="shared" si="53"/>
        <v/>
      </c>
      <c r="EQ83" s="32" t="str">
        <f t="shared" si="54"/>
        <v/>
      </c>
      <c r="ER83" s="32" t="str">
        <f t="shared" si="55"/>
        <v/>
      </c>
      <c r="ES83" s="6"/>
      <c r="ET83" s="32"/>
    </row>
    <row r="84" spans="1:150" ht="15.75" customHeight="1">
      <c r="A84" s="7" t="s">
        <v>453</v>
      </c>
      <c r="B84" s="7" t="s">
        <v>454</v>
      </c>
      <c r="C84" s="32" t="s">
        <v>455</v>
      </c>
      <c r="D84" s="40">
        <v>0</v>
      </c>
      <c r="E84" s="40">
        <v>0</v>
      </c>
      <c r="F84" s="40">
        <v>0</v>
      </c>
      <c r="G84" s="40">
        <v>316099803</v>
      </c>
      <c r="H84" s="40">
        <v>316896546</v>
      </c>
      <c r="I84" s="40">
        <v>102671</v>
      </c>
      <c r="J84" s="40">
        <v>102447</v>
      </c>
      <c r="K84" s="40">
        <v>1203186</v>
      </c>
      <c r="L84" s="40">
        <v>1654636</v>
      </c>
      <c r="M84" s="40">
        <v>1651676</v>
      </c>
      <c r="N84" s="40">
        <v>0</v>
      </c>
      <c r="O84" s="40">
        <v>5928976</v>
      </c>
      <c r="P84" s="40">
        <v>0</v>
      </c>
      <c r="Q84" s="40">
        <v>670028</v>
      </c>
      <c r="R84" s="40">
        <v>0</v>
      </c>
      <c r="S84" s="40">
        <v>3393768</v>
      </c>
      <c r="T84" s="40">
        <v>27111363</v>
      </c>
      <c r="U84" s="40">
        <v>1242531</v>
      </c>
      <c r="V84" s="40">
        <v>135327</v>
      </c>
      <c r="W84" s="40">
        <v>274306</v>
      </c>
      <c r="X84" s="40">
        <f>IFERROR(VLOOKUP(A84,'Trans 21-23'!$A$2:$J$229,6,0),0)</f>
        <v>462177</v>
      </c>
      <c r="Y84" s="41">
        <v>624230</v>
      </c>
      <c r="Z84" s="41">
        <v>1437518</v>
      </c>
      <c r="AA84" s="41">
        <v>11121518</v>
      </c>
      <c r="AB84" s="41">
        <v>3414563</v>
      </c>
      <c r="AC84" s="41">
        <v>16</v>
      </c>
      <c r="AD84" s="41">
        <v>1933410</v>
      </c>
      <c r="AE84" s="41">
        <v>0</v>
      </c>
      <c r="AF84" s="41">
        <v>629353384</v>
      </c>
      <c r="AG84" s="41">
        <v>429682</v>
      </c>
      <c r="AH84" s="41">
        <v>154823</v>
      </c>
      <c r="AI84" s="41">
        <v>8798756</v>
      </c>
      <c r="AJ84" s="41">
        <v>4976</v>
      </c>
      <c r="AK84" s="41">
        <v>3112765</v>
      </c>
      <c r="AL84" s="41">
        <v>5237609</v>
      </c>
      <c r="AM84" s="41">
        <v>2808235</v>
      </c>
      <c r="AN84" s="41">
        <v>2394834</v>
      </c>
      <c r="AO84" s="41">
        <v>22514</v>
      </c>
      <c r="AP84" s="41">
        <v>0</v>
      </c>
      <c r="AQ84" s="41">
        <v>10463192</v>
      </c>
      <c r="AR84" s="41">
        <v>1288530</v>
      </c>
      <c r="AS84" s="41">
        <v>11751722</v>
      </c>
      <c r="AT84" s="41">
        <v>0</v>
      </c>
      <c r="AU84" s="41">
        <v>2924</v>
      </c>
      <c r="AV84" s="41">
        <v>0</v>
      </c>
      <c r="AW84" s="41">
        <v>443447855</v>
      </c>
      <c r="AX84" s="41">
        <v>78033076</v>
      </c>
      <c r="AY84" s="41">
        <v>364734773</v>
      </c>
      <c r="AZ84" s="41">
        <v>84588377</v>
      </c>
      <c r="BA84" s="41">
        <v>40467563</v>
      </c>
      <c r="BB84" s="41">
        <v>1994246980</v>
      </c>
      <c r="BC84" s="41">
        <v>2679539652</v>
      </c>
      <c r="BD84" s="41">
        <v>110776535</v>
      </c>
      <c r="BE84" s="41">
        <v>782040940</v>
      </c>
      <c r="BF84" s="41">
        <v>47475342</v>
      </c>
      <c r="BG84" s="41">
        <v>0</v>
      </c>
      <c r="BH84" s="41">
        <v>13740614</v>
      </c>
      <c r="BI84" s="41">
        <v>5216506</v>
      </c>
      <c r="BJ84" s="41">
        <v>242837</v>
      </c>
      <c r="BK84" s="41">
        <v>0</v>
      </c>
      <c r="BL84" s="41">
        <v>0</v>
      </c>
      <c r="BM84" s="41">
        <v>406075</v>
      </c>
      <c r="BN84" s="41">
        <v>21536847</v>
      </c>
      <c r="BO84" s="41">
        <v>0</v>
      </c>
      <c r="BP84" s="41">
        <v>657130</v>
      </c>
      <c r="BQ84" s="41">
        <v>46745962</v>
      </c>
      <c r="BR84" s="41">
        <v>0</v>
      </c>
      <c r="BS84" s="42">
        <f>IFERROR(VLOOKUP(A84,'Trans 21-23'!$A$2:$J$229,5,0),0)</f>
        <v>29447917</v>
      </c>
      <c r="BT84" s="43"/>
      <c r="BU84" s="6">
        <f t="shared" si="0"/>
        <v>1994246980</v>
      </c>
      <c r="BV84" s="6">
        <f t="shared" si="1"/>
        <v>2924</v>
      </c>
      <c r="BW84" s="6">
        <f t="shared" si="2"/>
        <v>429682</v>
      </c>
      <c r="BX84" s="6">
        <f t="shared" si="3"/>
        <v>43470915</v>
      </c>
      <c r="BY84" s="6">
        <f t="shared" si="4"/>
        <v>16597845</v>
      </c>
      <c r="BZ84" s="6">
        <f t="shared" si="5"/>
        <v>84588377</v>
      </c>
      <c r="CA84" s="6">
        <f t="shared" si="6"/>
        <v>1933410</v>
      </c>
      <c r="CB84" s="6">
        <f t="shared" si="7"/>
        <v>154823</v>
      </c>
      <c r="CC84" s="6">
        <f t="shared" si="8"/>
        <v>10463192</v>
      </c>
      <c r="CD84" s="6">
        <f t="shared" si="60"/>
        <v>1</v>
      </c>
      <c r="CE84" s="44">
        <f t="shared" si="10"/>
        <v>15</v>
      </c>
      <c r="CF84" s="27"/>
      <c r="CG84" s="28">
        <f t="shared" si="11"/>
        <v>682.02701094391239</v>
      </c>
      <c r="CH84" s="28">
        <f t="shared" si="12"/>
        <v>6.8050325589622096</v>
      </c>
      <c r="CI84" s="28">
        <f t="shared" si="13"/>
        <v>101.16996988470544</v>
      </c>
      <c r="CJ84" s="28">
        <f t="shared" si="14"/>
        <v>196.86274267946993</v>
      </c>
      <c r="CK84" s="23">
        <f t="shared" si="15"/>
        <v>1.4796918569400236E-2</v>
      </c>
      <c r="CL84" s="29" t="str">
        <f t="shared" si="16"/>
        <v/>
      </c>
      <c r="CM84" s="29" t="str">
        <f t="shared" si="17"/>
        <v/>
      </c>
      <c r="CN84" s="29" t="str">
        <f t="shared" si="18"/>
        <v/>
      </c>
      <c r="CO84" s="29" t="str">
        <f t="shared" si="19"/>
        <v/>
      </c>
      <c r="CP84" s="29" t="str">
        <f t="shared" si="20"/>
        <v/>
      </c>
      <c r="CQ84" s="29">
        <f t="shared" si="21"/>
        <v>0</v>
      </c>
      <c r="CR84" s="13"/>
      <c r="CS84" s="7">
        <f>VLOOKUP(A84,'Empresas 21-23'!$A$2:$M$228,13,0)</f>
        <v>1</v>
      </c>
      <c r="CT84" s="30"/>
      <c r="CU84" s="6">
        <f t="shared" si="22"/>
        <v>1632978247.5999999</v>
      </c>
      <c r="CV84" s="6">
        <f t="shared" si="23"/>
        <v>84588377</v>
      </c>
      <c r="CW84" s="6">
        <f t="shared" si="24"/>
        <v>110776535</v>
      </c>
      <c r="CX84" s="23">
        <f t="shared" si="61"/>
        <v>0.63570604731631231</v>
      </c>
      <c r="CY84" s="23">
        <f t="shared" si="62"/>
        <v>3.292961364954073E-2</v>
      </c>
      <c r="CZ84" s="6">
        <f t="shared" si="25"/>
        <v>1703399560.800247</v>
      </c>
      <c r="DA84" s="6">
        <f t="shared" si="26"/>
        <v>88236205.498984829</v>
      </c>
      <c r="DB84" s="6">
        <f t="shared" si="27"/>
        <v>43470915</v>
      </c>
      <c r="DC84" s="6">
        <f t="shared" si="28"/>
        <v>43933092</v>
      </c>
      <c r="DD84" s="6">
        <f t="shared" si="29"/>
        <v>16597845</v>
      </c>
      <c r="DE84" s="6">
        <f t="shared" si="30"/>
        <v>1933410</v>
      </c>
      <c r="DF84" s="6">
        <f t="shared" si="31"/>
        <v>376883.37932804861</v>
      </c>
      <c r="DG84" s="30"/>
      <c r="DH84" s="32">
        <f>VLOOKUP(A84,'T_med_comp-USA'!$A$7:$Q$233,17,0)</f>
        <v>17.79253095365932</v>
      </c>
      <c r="DI84" s="6" t="str">
        <f t="shared" si="32"/>
        <v>3_2004</v>
      </c>
      <c r="DJ84" s="32">
        <f>IF(DI84="","",VLOOKUP(DI84,'CPI USA'!$T:$U,2,FALSE))</f>
        <v>188.9</v>
      </c>
      <c r="DK84" s="32">
        <f>IF(DI84="","",VLOOKUP(DI84,'PPI USA'!$S:$T,2,FALSE))</f>
        <v>123.7</v>
      </c>
      <c r="DL84" s="32">
        <f>IF(DI84="","",VLOOKUP(DI84,'CPI USA'!$T:$V,3,FALSE))</f>
        <v>0.68116912558338294</v>
      </c>
      <c r="DM84" s="32">
        <f>IF(DI84="","",VLOOKUP(DI84,'CPI USA'!$T:$X,5,FALSE))</f>
        <v>0.51091164550905577</v>
      </c>
      <c r="DN84" s="32">
        <f t="shared" si="33"/>
        <v>1.7242718973721483</v>
      </c>
      <c r="DO84" s="32">
        <f t="shared" si="34"/>
        <v>1.7568944717328012</v>
      </c>
      <c r="DP84" s="32">
        <f t="shared" si="35"/>
        <v>0.31608752656805128</v>
      </c>
      <c r="DQ84" s="32">
        <f>IF(DP84="","",DP84*$DO$1/'CPI USA'!$U$508+(1-DP84)*AVERAGE($DO$1,$DQ$1)/AVERAGE('CPI USA'!$U$508,'PPI USA'!$T$514))</f>
        <v>1.1672981372627904</v>
      </c>
      <c r="DR84" s="6">
        <f t="shared" si="36"/>
        <v>5459343</v>
      </c>
      <c r="DS84" s="32">
        <f t="shared" si="37"/>
        <v>0.32891878433615929</v>
      </c>
      <c r="DT84" s="28">
        <f>IF(DS84="","",DS84*$DO$1/'CPI USA'!$U$508+(1-DS84)*AVERAGE($DO$1,$DQ$1)/AVERAGE('CPI USA'!$U$508,'PPI USA'!$T$514))</f>
        <v>1.1665397363171295</v>
      </c>
      <c r="DU84" s="6">
        <f t="shared" si="38"/>
        <v>406075</v>
      </c>
      <c r="DV84" s="6">
        <f t="shared" si="39"/>
        <v>5789.7771145513079</v>
      </c>
      <c r="DW84" s="6">
        <f t="shared" si="40"/>
        <v>367174.73130648927</v>
      </c>
      <c r="DX84" s="16">
        <f t="shared" si="41"/>
        <v>0.9</v>
      </c>
      <c r="DY84" s="28">
        <f>IF(DX84="","",DX84*$DO$1/'CPI USA'!$U$508+(1-DX84)*AVERAGE($DO$1,$DQ$1)/AVERAGE('CPI USA'!$U$508,'PPI USA'!$T$514))</f>
        <v>1.1327855602389947</v>
      </c>
      <c r="DZ84" s="30"/>
      <c r="EA84" s="45" t="str">
        <f t="shared" si="42"/>
        <v>C000913</v>
      </c>
      <c r="EB84" s="29">
        <f t="shared" si="43"/>
        <v>2937123992.6839256</v>
      </c>
      <c r="EC84" s="29">
        <f t="shared" si="44"/>
        <v>155021701.64784583</v>
      </c>
      <c r="ED84" s="29">
        <f t="shared" si="45"/>
        <v>51283016.455794796</v>
      </c>
      <c r="EE84" s="29">
        <f t="shared" si="46"/>
        <v>19362045.729732584</v>
      </c>
      <c r="EF84" s="29">
        <f t="shared" si="47"/>
        <v>426928.04999688908</v>
      </c>
      <c r="EG84" s="29">
        <f t="shared" si="48"/>
        <v>2924</v>
      </c>
      <c r="EH84" s="29">
        <f t="shared" si="49"/>
        <v>429682</v>
      </c>
      <c r="EI84" s="29">
        <f t="shared" si="50"/>
        <v>154823</v>
      </c>
      <c r="EJ84" s="29">
        <f t="shared" si="51"/>
        <v>10463192</v>
      </c>
      <c r="EK84" s="29">
        <f t="shared" si="52"/>
        <v>10598392.715736041</v>
      </c>
      <c r="EL84" s="29">
        <f>IF(CD84=1,VLOOKUP(EA84,'EIA 2021'!$A$2:$J$213,4,0)*EH84,"")</f>
        <v>56241506.661999993</v>
      </c>
      <c r="EM84" s="29">
        <f>IF(CD84=1,VLOOKUP(EA84,'EIA 2021'!$A$2:$J$213,7,0)*EH84,"")</f>
        <v>458470.69399999996</v>
      </c>
      <c r="EN84" s="29">
        <f>IF(CD84=1,VLOOKUP(EA84,'EIA 2021'!$A$2:$J$213,10,0),"")</f>
        <v>31919</v>
      </c>
      <c r="EO84" s="28">
        <f>IF(CD84=1,VLOOKUP(EA84,'EIA 2021'!$A$2:$Z$213,26,0),"")</f>
        <v>0</v>
      </c>
      <c r="EP84" s="23">
        <f t="shared" si="53"/>
        <v>1.2756718812212003E-2</v>
      </c>
      <c r="EQ84" s="32">
        <f t="shared" si="54"/>
        <v>19622.284263959387</v>
      </c>
      <c r="ER84" s="32">
        <f t="shared" si="55"/>
        <v>135200.71573604061</v>
      </c>
      <c r="ES84" s="6"/>
      <c r="ET84" s="32"/>
    </row>
    <row r="85" spans="1:150" ht="15.75" customHeight="1">
      <c r="A85" s="7" t="s">
        <v>456</v>
      </c>
      <c r="B85" s="7" t="s">
        <v>457</v>
      </c>
      <c r="C85" s="32" t="s">
        <v>458</v>
      </c>
      <c r="D85" s="40">
        <v>0</v>
      </c>
      <c r="E85" s="40">
        <v>0</v>
      </c>
      <c r="F85" s="40">
        <v>0</v>
      </c>
      <c r="G85" s="40">
        <v>30826420</v>
      </c>
      <c r="H85" s="40">
        <v>24286203</v>
      </c>
      <c r="I85" s="40">
        <v>206654</v>
      </c>
      <c r="J85" s="40">
        <v>52755</v>
      </c>
      <c r="K85" s="40">
        <v>737863</v>
      </c>
      <c r="L85" s="40">
        <v>319922</v>
      </c>
      <c r="M85" s="40">
        <v>60128</v>
      </c>
      <c r="N85" s="40">
        <v>0</v>
      </c>
      <c r="O85" s="40">
        <v>1791434</v>
      </c>
      <c r="P85" s="40">
        <v>0</v>
      </c>
      <c r="Q85" s="40">
        <v>0</v>
      </c>
      <c r="R85" s="40">
        <v>8152</v>
      </c>
      <c r="S85" s="40">
        <v>160717</v>
      </c>
      <c r="T85" s="40">
        <v>2667267</v>
      </c>
      <c r="U85" s="40">
        <v>788304</v>
      </c>
      <c r="V85" s="40">
        <v>75</v>
      </c>
      <c r="W85" s="40">
        <v>1224550</v>
      </c>
      <c r="X85" s="40">
        <f>IFERROR(VLOOKUP(A85,'Trans 21-23'!$A$2:$J$229,6,0),0)</f>
        <v>0</v>
      </c>
      <c r="Y85" s="41">
        <v>48273</v>
      </c>
      <c r="Z85" s="41">
        <v>69106</v>
      </c>
      <c r="AA85" s="41">
        <v>2341549</v>
      </c>
      <c r="AB85" s="41">
        <v>2065271</v>
      </c>
      <c r="AC85" s="41">
        <v>1774</v>
      </c>
      <c r="AD85" s="41">
        <v>11158862</v>
      </c>
      <c r="AE85" s="41">
        <v>0</v>
      </c>
      <c r="AF85" s="41">
        <v>49135494</v>
      </c>
      <c r="AG85" s="41">
        <v>49336</v>
      </c>
      <c r="AH85" s="41">
        <v>37734</v>
      </c>
      <c r="AI85" s="41">
        <v>592026</v>
      </c>
      <c r="AJ85" s="41">
        <v>788</v>
      </c>
      <c r="AK85" s="41">
        <v>0</v>
      </c>
      <c r="AL85" s="41">
        <v>288581</v>
      </c>
      <c r="AM85" s="41">
        <v>152741</v>
      </c>
      <c r="AN85" s="41">
        <v>107725</v>
      </c>
      <c r="AO85" s="41">
        <v>315</v>
      </c>
      <c r="AP85" s="41">
        <v>0</v>
      </c>
      <c r="AQ85" s="41">
        <v>549362</v>
      </c>
      <c r="AR85" s="41">
        <v>4142</v>
      </c>
      <c r="AS85" s="41">
        <v>553504</v>
      </c>
      <c r="AT85" s="41">
        <v>0</v>
      </c>
      <c r="AU85" s="41">
        <v>128.5</v>
      </c>
      <c r="AV85" s="41">
        <v>0</v>
      </c>
      <c r="AW85" s="41">
        <v>59295942</v>
      </c>
      <c r="AX85" s="41">
        <v>15492115</v>
      </c>
      <c r="AY85" s="41">
        <v>65623750</v>
      </c>
      <c r="AZ85" s="41">
        <v>3553218</v>
      </c>
      <c r="BA85" s="41">
        <v>712255</v>
      </c>
      <c r="BB85" s="41">
        <v>334215872</v>
      </c>
      <c r="BC85" s="41">
        <v>524968668</v>
      </c>
      <c r="BD85" s="41">
        <v>26953116</v>
      </c>
      <c r="BE85" s="41">
        <v>84386975</v>
      </c>
      <c r="BF85" s="41">
        <v>7662362</v>
      </c>
      <c r="BG85" s="41">
        <v>0</v>
      </c>
      <c r="BH85" s="41">
        <v>1871863</v>
      </c>
      <c r="BI85" s="41">
        <v>974994</v>
      </c>
      <c r="BJ85" s="41">
        <v>2035749</v>
      </c>
      <c r="BK85" s="41">
        <v>0</v>
      </c>
      <c r="BL85" s="41">
        <v>0</v>
      </c>
      <c r="BM85" s="41">
        <v>10256530</v>
      </c>
      <c r="BN85" s="41">
        <v>17882865</v>
      </c>
      <c r="BO85" s="41">
        <v>224805</v>
      </c>
      <c r="BP85" s="41">
        <v>0</v>
      </c>
      <c r="BQ85" s="41">
        <v>23847778</v>
      </c>
      <c r="BR85" s="41">
        <v>0</v>
      </c>
      <c r="BS85" s="42">
        <f>IFERROR(VLOOKUP(A85,'Trans 21-23'!$A$2:$J$229,5,0),0)</f>
        <v>0</v>
      </c>
      <c r="BT85" s="43"/>
      <c r="BU85" s="6">
        <f t="shared" si="0"/>
        <v>334215872</v>
      </c>
      <c r="BV85" s="6">
        <f t="shared" si="1"/>
        <v>128.5</v>
      </c>
      <c r="BW85" s="6">
        <f t="shared" si="2"/>
        <v>49336</v>
      </c>
      <c r="BX85" s="6">
        <f t="shared" si="3"/>
        <v>8017821</v>
      </c>
      <c r="BY85" s="6">
        <f t="shared" si="4"/>
        <v>4525973</v>
      </c>
      <c r="BZ85" s="6">
        <f t="shared" si="5"/>
        <v>3553218</v>
      </c>
      <c r="CA85" s="6">
        <f t="shared" si="6"/>
        <v>11158862</v>
      </c>
      <c r="CB85" s="6">
        <f t="shared" si="7"/>
        <v>37734</v>
      </c>
      <c r="CC85" s="6">
        <f t="shared" si="8"/>
        <v>549362</v>
      </c>
      <c r="CD85" s="6">
        <f t="shared" si="60"/>
        <v>1</v>
      </c>
      <c r="CE85" s="44">
        <f t="shared" si="10"/>
        <v>18</v>
      </c>
      <c r="CF85" s="27"/>
      <c r="CG85" s="28">
        <f t="shared" si="11"/>
        <v>2600.9017276264594</v>
      </c>
      <c r="CH85" s="28">
        <f t="shared" si="12"/>
        <v>2.6045889411383167</v>
      </c>
      <c r="CI85" s="28">
        <f t="shared" si="13"/>
        <v>162.51461407491487</v>
      </c>
      <c r="CJ85" s="28">
        <f t="shared" si="14"/>
        <v>72.020796173179832</v>
      </c>
      <c r="CK85" s="23">
        <f t="shared" si="15"/>
        <v>6.8686949588795732E-2</v>
      </c>
      <c r="CL85" s="29" t="str">
        <f t="shared" si="16"/>
        <v/>
      </c>
      <c r="CM85" s="29" t="str">
        <f t="shared" si="17"/>
        <v/>
      </c>
      <c r="CN85" s="29" t="str">
        <f t="shared" si="18"/>
        <v/>
      </c>
      <c r="CO85" s="29" t="str">
        <f t="shared" si="19"/>
        <v/>
      </c>
      <c r="CP85" s="29" t="str">
        <f t="shared" si="20"/>
        <v/>
      </c>
      <c r="CQ85" s="29">
        <f t="shared" si="21"/>
        <v>0</v>
      </c>
      <c r="CR85" s="13"/>
      <c r="CS85" s="7" t="str">
        <f>VLOOKUP(A85,'Empresas 21-23'!$A$2:$M$228,13,0)</f>
        <v/>
      </c>
      <c r="CT85" s="30"/>
      <c r="CU85" s="6">
        <f t="shared" si="22"/>
        <v>281280880</v>
      </c>
      <c r="CV85" s="6">
        <f t="shared" si="23"/>
        <v>3553218</v>
      </c>
      <c r="CW85" s="6">
        <f t="shared" si="24"/>
        <v>26953116</v>
      </c>
      <c r="CX85" s="23">
        <f t="shared" si="61"/>
        <v>0.56480340597877554</v>
      </c>
      <c r="CY85" s="23">
        <f t="shared" si="62"/>
        <v>7.1347530930118419E-3</v>
      </c>
      <c r="CZ85" s="6">
        <f t="shared" si="25"/>
        <v>296504091.71854103</v>
      </c>
      <c r="DA85" s="6">
        <f t="shared" si="26"/>
        <v>3745521.8277473068</v>
      </c>
      <c r="DB85" s="6">
        <f t="shared" si="27"/>
        <v>8017821</v>
      </c>
      <c r="DC85" s="6">
        <f t="shared" si="28"/>
        <v>8017821</v>
      </c>
      <c r="DD85" s="6">
        <f t="shared" si="29"/>
        <v>4525973</v>
      </c>
      <c r="DE85" s="6">
        <f t="shared" si="30"/>
        <v>11158862</v>
      </c>
      <c r="DF85" s="6">
        <f t="shared" si="31"/>
        <v>10224257.121703638</v>
      </c>
      <c r="DG85" s="30"/>
      <c r="DH85" s="32">
        <f>VLOOKUP(A85,'T_med_comp-USA'!$A$7:$Q$233,17,0)</f>
        <v>10.108970487591627</v>
      </c>
      <c r="DI85" s="6" t="str">
        <f t="shared" si="32"/>
        <v>11_2011</v>
      </c>
      <c r="DJ85" s="32">
        <f>IF(DI85="","",VLOOKUP(DI85,'CPI USA'!$T:$U,2,FALSE))</f>
        <v>224.93899999999999</v>
      </c>
      <c r="DK85" s="32">
        <f>IF(DI85="","",VLOOKUP(DI85,'PPI USA'!$S:$T,2,FALSE))</f>
        <v>169.6</v>
      </c>
      <c r="DL85" s="32">
        <f>IF(DI85="","",VLOOKUP(DI85,'CPI USA'!$T:$V,3,FALSE))</f>
        <v>0.6684022975047168</v>
      </c>
      <c r="DM85" s="32">
        <f>IF(DI85="","",VLOOKUP(DI85,'CPI USA'!$T:$X,5,FALSE))</f>
        <v>0.49636791791307899</v>
      </c>
      <c r="DN85" s="32">
        <f t="shared" si="33"/>
        <v>1.4208751760332547</v>
      </c>
      <c r="DO85" s="32">
        <f t="shared" si="34"/>
        <v>1.4334111417560953</v>
      </c>
      <c r="DP85" s="32">
        <f t="shared" si="35"/>
        <v>0.2363976618914061</v>
      </c>
      <c r="DQ85" s="32">
        <f>IF(DP85="","",DP85*$DO$1/'CPI USA'!$U$508+(1-DP85)*AVERAGE($DO$1,$DQ$1)/AVERAGE('CPI USA'!$U$508,'PPI USA'!$T$514))</f>
        <v>1.172008265437487</v>
      </c>
      <c r="DR85" s="6">
        <f t="shared" si="36"/>
        <v>3010743</v>
      </c>
      <c r="DS85" s="32">
        <f t="shared" si="37"/>
        <v>0.67357692296467486</v>
      </c>
      <c r="DT85" s="28">
        <f>IF(DS85="","",DS85*$DO$1/'CPI USA'!$U$508+(1-DS85)*AVERAGE($DO$1,$DQ$1)/AVERAGE('CPI USA'!$U$508,'PPI USA'!$T$514))</f>
        <v>1.1461684630569753</v>
      </c>
      <c r="DU85" s="6">
        <f t="shared" si="38"/>
        <v>10385464.554203143</v>
      </c>
      <c r="DV85" s="6">
        <f t="shared" si="39"/>
        <v>0</v>
      </c>
      <c r="DW85" s="6">
        <f t="shared" si="40"/>
        <v>2835570.8967852523</v>
      </c>
      <c r="DX85" s="16">
        <f t="shared" si="41"/>
        <v>0.27733759656396134</v>
      </c>
      <c r="DY85" s="28">
        <f>IF(DX85="","",DX85*$DO$1/'CPI USA'!$U$508+(1-DX85)*AVERAGE($DO$1,$DQ$1)/AVERAGE('CPI USA'!$U$508,'PPI USA'!$T$514))</f>
        <v>1.1695884804302732</v>
      </c>
      <c r="DZ85" s="30"/>
      <c r="EA85" s="45" t="str">
        <f t="shared" si="42"/>
        <v>C000945</v>
      </c>
      <c r="EB85" s="29">
        <f t="shared" si="43"/>
        <v>421295303.51516229</v>
      </c>
      <c r="EC85" s="29">
        <f t="shared" si="44"/>
        <v>5368872.7195836436</v>
      </c>
      <c r="ED85" s="29">
        <f t="shared" si="45"/>
        <v>9396952.4827982578</v>
      </c>
      <c r="EE85" s="29">
        <f t="shared" si="46"/>
        <v>5187527.5172473677</v>
      </c>
      <c r="EF85" s="29">
        <f t="shared" si="47"/>
        <v>11958173.350501757</v>
      </c>
      <c r="EG85" s="29">
        <f t="shared" si="48"/>
        <v>128.5</v>
      </c>
      <c r="EH85" s="29">
        <f t="shared" si="49"/>
        <v>49336</v>
      </c>
      <c r="EI85" s="29">
        <f t="shared" si="50"/>
        <v>37734</v>
      </c>
      <c r="EJ85" s="29">
        <f t="shared" si="51"/>
        <v>549362</v>
      </c>
      <c r="EK85" s="29">
        <f t="shared" si="52"/>
        <v>587032.92385786807</v>
      </c>
      <c r="EL85" s="29">
        <f>IF(CD85=1,VLOOKUP(EA85,'EIA 2021'!$A$2:$J$213,4,0)*EH85,"")</f>
        <v>34620057.920000002</v>
      </c>
      <c r="EM85" s="29">
        <f>IF(CD85=1,VLOOKUP(EA85,'EIA 2021'!$A$2:$J$213,7,0)*EH85,"")</f>
        <v>226797.59200000003</v>
      </c>
      <c r="EN85" s="29">
        <f>IF(CD85=1,VLOOKUP(EA85,'EIA 2021'!$A$2:$J$213,10,0),"")</f>
        <v>14551</v>
      </c>
      <c r="EO85" s="28">
        <f>IF(CD85=1,VLOOKUP(EA85,'EIA 2021'!$A$2:$Z$213,26,0),"")</f>
        <v>0</v>
      </c>
      <c r="EP85" s="23">
        <f t="shared" si="53"/>
        <v>6.4171739483199541E-2</v>
      </c>
      <c r="EQ85" s="32">
        <f t="shared" si="54"/>
        <v>63.076142131979395</v>
      </c>
      <c r="ER85" s="32">
        <f t="shared" si="55"/>
        <v>37670.923857868023</v>
      </c>
      <c r="ES85" s="6"/>
      <c r="ET85" s="32"/>
    </row>
    <row r="86" spans="1:150" ht="15.75" customHeight="1">
      <c r="A86" s="7" t="s">
        <v>459</v>
      </c>
      <c r="B86" s="7" t="s">
        <v>460</v>
      </c>
      <c r="C86" s="32" t="s">
        <v>461</v>
      </c>
      <c r="D86" s="40">
        <v>146588296</v>
      </c>
      <c r="E86" s="40">
        <v>0</v>
      </c>
      <c r="F86" s="40">
        <v>6768122</v>
      </c>
      <c r="G86" s="40">
        <v>34939926</v>
      </c>
      <c r="H86" s="40">
        <v>35623005</v>
      </c>
      <c r="I86" s="40">
        <v>1936873</v>
      </c>
      <c r="J86" s="40">
        <v>59784</v>
      </c>
      <c r="K86" s="40">
        <v>614890</v>
      </c>
      <c r="L86" s="40">
        <v>199274</v>
      </c>
      <c r="M86" s="40">
        <v>357204</v>
      </c>
      <c r="N86" s="40">
        <v>58786</v>
      </c>
      <c r="O86" s="40">
        <v>4454996</v>
      </c>
      <c r="P86" s="40">
        <v>0</v>
      </c>
      <c r="Q86" s="40">
        <v>564870</v>
      </c>
      <c r="R86" s="40">
        <v>779658</v>
      </c>
      <c r="S86" s="40">
        <v>534326</v>
      </c>
      <c r="T86" s="40">
        <v>6574348</v>
      </c>
      <c r="U86" s="40">
        <v>437248</v>
      </c>
      <c r="V86" s="40">
        <v>925834</v>
      </c>
      <c r="W86" s="40">
        <v>485819</v>
      </c>
      <c r="X86" s="40">
        <f>IFERROR(VLOOKUP(A86,'Trans 21-23'!$A$2:$J$229,6,0),0)</f>
        <v>2346842</v>
      </c>
      <c r="Y86" s="41">
        <v>919755</v>
      </c>
      <c r="Z86" s="41">
        <v>36506</v>
      </c>
      <c r="AA86" s="41">
        <v>3281821</v>
      </c>
      <c r="AB86" s="41">
        <v>387248</v>
      </c>
      <c r="AC86" s="41">
        <v>9455935</v>
      </c>
      <c r="AD86" s="41">
        <v>42093730</v>
      </c>
      <c r="AE86" s="41">
        <v>0</v>
      </c>
      <c r="AF86" s="41">
        <v>369847658</v>
      </c>
      <c r="AG86" s="41">
        <v>153433</v>
      </c>
      <c r="AH86" s="41">
        <v>284267</v>
      </c>
      <c r="AI86" s="41">
        <v>6397902</v>
      </c>
      <c r="AJ86" s="41">
        <v>11614</v>
      </c>
      <c r="AK86" s="41">
        <v>0</v>
      </c>
      <c r="AL86" s="41">
        <v>1416843</v>
      </c>
      <c r="AM86" s="41">
        <v>1165593</v>
      </c>
      <c r="AN86" s="41">
        <v>2040869</v>
      </c>
      <c r="AO86" s="41">
        <v>20665</v>
      </c>
      <c r="AP86" s="41">
        <v>0</v>
      </c>
      <c r="AQ86" s="41">
        <v>4644664</v>
      </c>
      <c r="AR86" s="41">
        <v>1457357</v>
      </c>
      <c r="AS86" s="41">
        <v>6102021</v>
      </c>
      <c r="AT86" s="41">
        <v>0</v>
      </c>
      <c r="AU86" s="41">
        <v>1123</v>
      </c>
      <c r="AV86" s="41">
        <v>0</v>
      </c>
      <c r="AW86" s="41">
        <v>196940864</v>
      </c>
      <c r="AX86" s="41">
        <v>37601112</v>
      </c>
      <c r="AY86" s="41">
        <v>114107328</v>
      </c>
      <c r="AZ86" s="41">
        <v>25401677</v>
      </c>
      <c r="BA86" s="41">
        <v>17238001</v>
      </c>
      <c r="BB86" s="41">
        <v>955066045</v>
      </c>
      <c r="BC86" s="41">
        <v>3595586746</v>
      </c>
      <c r="BD86" s="41">
        <v>62261320</v>
      </c>
      <c r="BE86" s="41">
        <v>350369582</v>
      </c>
      <c r="BF86" s="41">
        <v>26692821</v>
      </c>
      <c r="BG86" s="41">
        <v>0</v>
      </c>
      <c r="BH86" s="41">
        <v>8451787</v>
      </c>
      <c r="BI86" s="41">
        <v>738855</v>
      </c>
      <c r="BJ86" s="41">
        <v>34267</v>
      </c>
      <c r="BK86" s="41">
        <v>382876</v>
      </c>
      <c r="BL86" s="41">
        <v>0</v>
      </c>
      <c r="BM86" s="41">
        <v>7707596</v>
      </c>
      <c r="BN86" s="41">
        <v>35004082</v>
      </c>
      <c r="BO86" s="41">
        <v>22883999</v>
      </c>
      <c r="BP86" s="41">
        <v>3664649</v>
      </c>
      <c r="BQ86" s="41">
        <v>60590566</v>
      </c>
      <c r="BR86" s="41">
        <v>694</v>
      </c>
      <c r="BS86" s="42">
        <f>IFERROR(VLOOKUP(A86,'Trans 21-23'!$A$2:$J$229,5,0),0)</f>
        <v>149530504</v>
      </c>
      <c r="BT86" s="43"/>
      <c r="BU86" s="6">
        <f t="shared" si="0"/>
        <v>955066045</v>
      </c>
      <c r="BV86" s="6">
        <f t="shared" si="1"/>
        <v>1123</v>
      </c>
      <c r="BW86" s="6">
        <f t="shared" si="2"/>
        <v>153433</v>
      </c>
      <c r="BX86" s="6">
        <f t="shared" si="3"/>
        <v>17983910</v>
      </c>
      <c r="BY86" s="6">
        <f t="shared" si="4"/>
        <v>14081265</v>
      </c>
      <c r="BZ86" s="6">
        <f t="shared" si="5"/>
        <v>25401677</v>
      </c>
      <c r="CA86" s="6">
        <f t="shared" si="6"/>
        <v>42093730</v>
      </c>
      <c r="CB86" s="6">
        <f t="shared" si="7"/>
        <v>284267</v>
      </c>
      <c r="CC86" s="6">
        <f t="shared" si="8"/>
        <v>4644664</v>
      </c>
      <c r="CD86" s="6">
        <f t="shared" si="60"/>
        <v>1</v>
      </c>
      <c r="CE86" s="44">
        <f t="shared" si="10"/>
        <v>9</v>
      </c>
      <c r="CF86" s="27"/>
      <c r="CG86" s="28">
        <f t="shared" si="11"/>
        <v>850.45952359750675</v>
      </c>
      <c r="CH86" s="28">
        <f t="shared" si="12"/>
        <v>7.3191555923432379</v>
      </c>
      <c r="CI86" s="28">
        <f t="shared" si="13"/>
        <v>117.2101829463023</v>
      </c>
      <c r="CJ86" s="28">
        <f t="shared" si="14"/>
        <v>165.55549979469868</v>
      </c>
      <c r="CK86" s="23">
        <f t="shared" si="15"/>
        <v>6.120292016817578E-2</v>
      </c>
      <c r="CL86" s="29" t="str">
        <f t="shared" si="16"/>
        <v/>
      </c>
      <c r="CM86" s="29" t="str">
        <f t="shared" si="17"/>
        <v/>
      </c>
      <c r="CN86" s="29" t="str">
        <f t="shared" si="18"/>
        <v/>
      </c>
      <c r="CO86" s="29" t="str">
        <f t="shared" si="19"/>
        <v/>
      </c>
      <c r="CP86" s="29" t="str">
        <f t="shared" si="20"/>
        <v/>
      </c>
      <c r="CQ86" s="29">
        <f t="shared" si="21"/>
        <v>0</v>
      </c>
      <c r="CR86" s="13"/>
      <c r="CS86" s="7">
        <f>VLOOKUP(A86,'Empresas 21-23'!$A$2:$M$228,13,0)</f>
        <v>1</v>
      </c>
      <c r="CT86" s="30"/>
      <c r="CU86" s="6">
        <f t="shared" si="22"/>
        <v>970931807</v>
      </c>
      <c r="CV86" s="6">
        <f t="shared" si="23"/>
        <v>25401677</v>
      </c>
      <c r="CW86" s="6">
        <f t="shared" si="24"/>
        <v>62261320</v>
      </c>
      <c r="CX86" s="23">
        <f t="shared" si="61"/>
        <v>0.27479263581423646</v>
      </c>
      <c r="CY86" s="23">
        <f t="shared" si="62"/>
        <v>7.1891699567443127E-3</v>
      </c>
      <c r="CZ86" s="6">
        <f t="shared" si="25"/>
        <v>988040759.23207366</v>
      </c>
      <c r="DA86" s="6">
        <f t="shared" si="26"/>
        <v>25849284.211211246</v>
      </c>
      <c r="DB86" s="6">
        <f t="shared" si="27"/>
        <v>17983910</v>
      </c>
      <c r="DC86" s="6">
        <f t="shared" si="28"/>
        <v>20330752</v>
      </c>
      <c r="DD86" s="6">
        <f t="shared" si="29"/>
        <v>14081265</v>
      </c>
      <c r="DE86" s="6">
        <f t="shared" si="30"/>
        <v>42093730</v>
      </c>
      <c r="DF86" s="6">
        <f t="shared" si="31"/>
        <v>10438013.469069192</v>
      </c>
      <c r="DG86" s="30"/>
      <c r="DH86" s="32">
        <f>VLOOKUP(A86,'T_med_comp-USA'!$A$7:$Q$233,17,0)</f>
        <v>13.179521980601256</v>
      </c>
      <c r="DI86" s="6" t="str">
        <f t="shared" si="32"/>
        <v>10_2008</v>
      </c>
      <c r="DJ86" s="32">
        <f>IF(DI86="","",VLOOKUP(DI86,'CPI USA'!$T:$U,2,FALSE))</f>
        <v>215.303</v>
      </c>
      <c r="DK86" s="32">
        <f>IF(DI86="","",VLOOKUP(DI86,'PPI USA'!$S:$T,2,FALSE))</f>
        <v>159.30000000000001</v>
      </c>
      <c r="DL86" s="32">
        <f>IF(DI86="","",VLOOKUP(DI86,'CPI USA'!$T:$V,3,FALSE))</f>
        <v>0.67018812038291731</v>
      </c>
      <c r="DM86" s="32">
        <f>IF(DI86="","",VLOOKUP(DI86,'CPI USA'!$T:$X,5,FALSE))</f>
        <v>0.49838492968660258</v>
      </c>
      <c r="DN86" s="32">
        <f t="shared" si="33"/>
        <v>1.4884333659448254</v>
      </c>
      <c r="DO86" s="32">
        <f t="shared" si="34"/>
        <v>1.5036496327119213</v>
      </c>
      <c r="DP86" s="32">
        <f t="shared" si="35"/>
        <v>0.77720374279771065</v>
      </c>
      <c r="DQ86" s="32">
        <f>IF(DP86="","",DP86*$DO$1/'CPI USA'!$U$508+(1-DP86)*AVERAGE($DO$1,$DQ$1)/AVERAGE('CPI USA'!$U$508,'PPI USA'!$T$514))</f>
        <v>1.1400435235087616</v>
      </c>
      <c r="DR86" s="6">
        <f t="shared" si="36"/>
        <v>1155998</v>
      </c>
      <c r="DS86" s="32">
        <f t="shared" si="37"/>
        <v>0.2</v>
      </c>
      <c r="DT86" s="28">
        <f>IF(DS86="","",DS86*$DO$1/'CPI USA'!$U$508+(1-DS86)*AVERAGE($DO$1,$DQ$1)/AVERAGE('CPI USA'!$U$508,'PPI USA'!$T$514))</f>
        <v>1.1741595760647974</v>
      </c>
      <c r="DU86" s="6">
        <f t="shared" si="38"/>
        <v>12746454.586732943</v>
      </c>
      <c r="DV86" s="6">
        <f t="shared" si="39"/>
        <v>496182.32717804087</v>
      </c>
      <c r="DW86" s="6">
        <f t="shared" si="40"/>
        <v>3634787.7456669263</v>
      </c>
      <c r="DX86" s="16">
        <f t="shared" si="41"/>
        <v>0.3482260064559064</v>
      </c>
      <c r="DY86" s="28">
        <f>IF(DX86="","",DX86*$DO$1/'CPI USA'!$U$508+(1-DX86)*AVERAGE($DO$1,$DQ$1)/AVERAGE('CPI USA'!$U$508,'PPI USA'!$T$514))</f>
        <v>1.1653985687263657</v>
      </c>
      <c r="DZ86" s="30"/>
      <c r="EA86" s="45" t="str">
        <f t="shared" si="42"/>
        <v>C001009</v>
      </c>
      <c r="EB86" s="29">
        <f t="shared" si="43"/>
        <v>1470632832.9544764</v>
      </c>
      <c r="EC86" s="29">
        <f t="shared" si="44"/>
        <v>38868266.710053854</v>
      </c>
      <c r="ED86" s="29">
        <f t="shared" si="45"/>
        <v>23177942.145662803</v>
      </c>
      <c r="EE86" s="29">
        <f t="shared" si="46"/>
        <v>16533652.142856069</v>
      </c>
      <c r="EF86" s="29">
        <f t="shared" si="47"/>
        <v>12164445.957199764</v>
      </c>
      <c r="EG86" s="29">
        <f t="shared" si="48"/>
        <v>1123</v>
      </c>
      <c r="EH86" s="29">
        <f t="shared" si="49"/>
        <v>153433</v>
      </c>
      <c r="EI86" s="29">
        <f t="shared" si="50"/>
        <v>284267</v>
      </c>
      <c r="EJ86" s="29">
        <f t="shared" si="51"/>
        <v>4644664</v>
      </c>
      <c r="EK86" s="29">
        <f t="shared" si="52"/>
        <v>4906737.746192893</v>
      </c>
      <c r="EL86" s="29">
        <f>IF(CD86=1,VLOOKUP(EA86,'EIA 2021'!$A$2:$J$213,4,0)*EH86,"")</f>
        <v>10694280.1</v>
      </c>
      <c r="EM86" s="29">
        <f>IF(CD86=1,VLOOKUP(EA86,'EIA 2021'!$A$2:$J$213,7,0)*EH86,"")</f>
        <v>133486.71</v>
      </c>
      <c r="EN86" s="29">
        <f>IF(CD86=1,VLOOKUP(EA86,'EIA 2021'!$A$2:$J$213,10,0),"")</f>
        <v>154349</v>
      </c>
      <c r="EO86" s="28">
        <f>IF(CD86=1,VLOOKUP(EA86,'EIA 2021'!$A$2:$Z$213,26,0),"")</f>
        <v>0</v>
      </c>
      <c r="EP86" s="23">
        <f t="shared" si="53"/>
        <v>5.3410995196601828E-2</v>
      </c>
      <c r="EQ86" s="32">
        <f t="shared" si="54"/>
        <v>22193.253807106521</v>
      </c>
      <c r="ER86" s="32">
        <f t="shared" si="55"/>
        <v>262073.74619289348</v>
      </c>
      <c r="ES86" s="6"/>
      <c r="ET86" s="32"/>
    </row>
    <row r="87" spans="1:150" ht="15.75" customHeight="1">
      <c r="A87" s="7" t="s">
        <v>462</v>
      </c>
      <c r="B87" s="7" t="s">
        <v>463</v>
      </c>
      <c r="C87" s="32" t="s">
        <v>464</v>
      </c>
      <c r="D87" s="40">
        <v>0</v>
      </c>
      <c r="E87" s="40">
        <v>0</v>
      </c>
      <c r="F87" s="40">
        <v>0</v>
      </c>
      <c r="G87" s="40">
        <v>1377661365</v>
      </c>
      <c r="H87" s="40">
        <v>1377776957</v>
      </c>
      <c r="I87" s="40">
        <v>8696212</v>
      </c>
      <c r="J87" s="40">
        <v>2630481</v>
      </c>
      <c r="K87" s="40">
        <v>4471541</v>
      </c>
      <c r="L87" s="40">
        <v>5929874</v>
      </c>
      <c r="M87" s="40">
        <v>4241861</v>
      </c>
      <c r="N87" s="40">
        <v>986782</v>
      </c>
      <c r="O87" s="40">
        <v>7972466</v>
      </c>
      <c r="P87" s="40">
        <v>1078197</v>
      </c>
      <c r="Q87" s="40">
        <v>2418784</v>
      </c>
      <c r="R87" s="40">
        <v>628004</v>
      </c>
      <c r="S87" s="40">
        <v>5951050</v>
      </c>
      <c r="T87" s="40">
        <v>134211042</v>
      </c>
      <c r="U87" s="40">
        <v>11438694</v>
      </c>
      <c r="V87" s="40">
        <v>2928607</v>
      </c>
      <c r="W87" s="40">
        <v>57996</v>
      </c>
      <c r="X87" s="40">
        <f>IFERROR(VLOOKUP(A87,'Trans 21-23'!$A$2:$J$229,6,0),0)</f>
        <v>26745908</v>
      </c>
      <c r="Y87" s="41">
        <v>98768</v>
      </c>
      <c r="Z87" s="41">
        <v>1741594</v>
      </c>
      <c r="AA87" s="41">
        <v>126656028</v>
      </c>
      <c r="AB87" s="41">
        <v>164608372</v>
      </c>
      <c r="AC87" s="41">
        <v>389</v>
      </c>
      <c r="AD87" s="41">
        <v>218117104</v>
      </c>
      <c r="AE87" s="41">
        <v>0</v>
      </c>
      <c r="AF87" s="41">
        <v>2167679151</v>
      </c>
      <c r="AG87" s="41">
        <v>1272140</v>
      </c>
      <c r="AH87" s="41">
        <v>375369</v>
      </c>
      <c r="AI87" s="41">
        <v>28646008</v>
      </c>
      <c r="AJ87" s="41">
        <v>0</v>
      </c>
      <c r="AK87" s="41">
        <v>0</v>
      </c>
      <c r="AL87" s="41">
        <v>10083830</v>
      </c>
      <c r="AM87" s="41">
        <v>8438130</v>
      </c>
      <c r="AN87" s="41">
        <v>1789986</v>
      </c>
      <c r="AO87" s="41">
        <v>52070</v>
      </c>
      <c r="AP87" s="41">
        <v>0</v>
      </c>
      <c r="AQ87" s="41">
        <v>20501333</v>
      </c>
      <c r="AR87" s="41">
        <v>7769306</v>
      </c>
      <c r="AS87" s="41">
        <v>28270639</v>
      </c>
      <c r="AT87" s="41">
        <v>137317</v>
      </c>
      <c r="AU87" s="41">
        <v>4958</v>
      </c>
      <c r="AV87" s="41">
        <v>0</v>
      </c>
      <c r="AW87" s="41">
        <v>1946946003</v>
      </c>
      <c r="AX87" s="41">
        <v>383086520</v>
      </c>
      <c r="AY87" s="41">
        <v>1142089962</v>
      </c>
      <c r="AZ87" s="41">
        <v>211056582</v>
      </c>
      <c r="BA87" s="41">
        <v>60560137</v>
      </c>
      <c r="BB87" s="41">
        <v>6542027997</v>
      </c>
      <c r="BC87" s="41">
        <v>12929729026</v>
      </c>
      <c r="BD87" s="41">
        <v>626021123</v>
      </c>
      <c r="BE87" s="41">
        <v>1166335393</v>
      </c>
      <c r="BF87" s="41">
        <v>178223107</v>
      </c>
      <c r="BG87" s="41">
        <v>0</v>
      </c>
      <c r="BH87" s="41">
        <v>71286080</v>
      </c>
      <c r="BI87" s="41">
        <v>18124384</v>
      </c>
      <c r="BJ87" s="41">
        <v>7409889</v>
      </c>
      <c r="BK87" s="41">
        <v>0</v>
      </c>
      <c r="BL87" s="41">
        <v>0</v>
      </c>
      <c r="BM87" s="41">
        <v>69276387</v>
      </c>
      <c r="BN87" s="41">
        <v>186668812</v>
      </c>
      <c r="BO87" s="41">
        <v>2197174</v>
      </c>
      <c r="BP87" s="41">
        <v>51395125</v>
      </c>
      <c r="BQ87" s="41">
        <v>364274243</v>
      </c>
      <c r="BR87" s="41">
        <v>0</v>
      </c>
      <c r="BS87" s="42">
        <f>IFERROR(VLOOKUP(A87,'Trans 21-23'!$A$2:$J$229,5,0),0)</f>
        <v>1704132194</v>
      </c>
      <c r="BT87" s="43"/>
      <c r="BU87" s="6">
        <f t="shared" si="0"/>
        <v>6542027997</v>
      </c>
      <c r="BV87" s="6">
        <f t="shared" si="1"/>
        <v>4958</v>
      </c>
      <c r="BW87" s="6">
        <f t="shared" si="2"/>
        <v>1272140</v>
      </c>
      <c r="BX87" s="6">
        <f t="shared" si="3"/>
        <v>193641591</v>
      </c>
      <c r="BY87" s="6">
        <f t="shared" si="4"/>
        <v>293105151</v>
      </c>
      <c r="BZ87" s="6">
        <f t="shared" si="5"/>
        <v>211056582</v>
      </c>
      <c r="CA87" s="6">
        <f t="shared" si="6"/>
        <v>218117104</v>
      </c>
      <c r="CB87" s="6">
        <f t="shared" si="7"/>
        <v>375369</v>
      </c>
      <c r="CC87" s="6">
        <f t="shared" si="8"/>
        <v>20501333</v>
      </c>
      <c r="CD87" s="6">
        <f t="shared" si="60"/>
        <v>1</v>
      </c>
      <c r="CE87" s="44">
        <f t="shared" si="10"/>
        <v>12</v>
      </c>
      <c r="CF87" s="27"/>
      <c r="CG87" s="28">
        <f t="shared" si="11"/>
        <v>1319.4893096006454</v>
      </c>
      <c r="CH87" s="28">
        <f t="shared" si="12"/>
        <v>3.8973697863442704</v>
      </c>
      <c r="CI87" s="28">
        <f t="shared" si="13"/>
        <v>152.21720172308079</v>
      </c>
      <c r="CJ87" s="28">
        <f t="shared" si="14"/>
        <v>165.90672567484711</v>
      </c>
      <c r="CK87" s="23">
        <f t="shared" si="15"/>
        <v>1.8309492363252671E-2</v>
      </c>
      <c r="CL87" s="29" t="str">
        <f t="shared" si="16"/>
        <v/>
      </c>
      <c r="CM87" s="29" t="str">
        <f t="shared" si="17"/>
        <v/>
      </c>
      <c r="CN87" s="29" t="str">
        <f t="shared" si="18"/>
        <v/>
      </c>
      <c r="CO87" s="29" t="str">
        <f t="shared" si="19"/>
        <v/>
      </c>
      <c r="CP87" s="29" t="str">
        <f t="shared" si="20"/>
        <v/>
      </c>
      <c r="CQ87" s="29">
        <f t="shared" si="21"/>
        <v>0</v>
      </c>
      <c r="CR87" s="13"/>
      <c r="CS87" s="7">
        <f>VLOOKUP(A87,'Empresas 21-23'!$A$2:$M$228,13,0)</f>
        <v>1</v>
      </c>
      <c r="CT87" s="30"/>
      <c r="CU87" s="6">
        <f t="shared" si="22"/>
        <v>7059437582.8000002</v>
      </c>
      <c r="CV87" s="6">
        <f t="shared" si="23"/>
        <v>211056582</v>
      </c>
      <c r="CW87" s="6">
        <f t="shared" si="24"/>
        <v>626021123</v>
      </c>
      <c r="CX87" s="23">
        <f t="shared" si="61"/>
        <v>0.57376505021536683</v>
      </c>
      <c r="CY87" s="23">
        <f t="shared" si="62"/>
        <v>1.715390056915593E-2</v>
      </c>
      <c r="CZ87" s="6">
        <f t="shared" si="25"/>
        <v>7418626623.8739758</v>
      </c>
      <c r="DA87" s="6">
        <f t="shared" si="26"/>
        <v>221795286.09813333</v>
      </c>
      <c r="DB87" s="6">
        <f t="shared" si="27"/>
        <v>193641591</v>
      </c>
      <c r="DC87" s="6">
        <f t="shared" si="28"/>
        <v>220387499</v>
      </c>
      <c r="DD87" s="6">
        <f t="shared" si="29"/>
        <v>293105151</v>
      </c>
      <c r="DE87" s="6">
        <f t="shared" si="30"/>
        <v>218117104</v>
      </c>
      <c r="DF87" s="6">
        <f t="shared" si="31"/>
        <v>195880465.75905922</v>
      </c>
      <c r="DG87" s="30"/>
      <c r="DH87" s="32">
        <f>VLOOKUP(A87,'T_med_comp-USA'!$A$7:$Q$233,17,0)</f>
        <v>5.9853501660456745</v>
      </c>
      <c r="DI87" s="6" t="str">
        <f t="shared" si="32"/>
        <v>1_2016</v>
      </c>
      <c r="DJ87" s="32">
        <f>IF(DI87="","",VLOOKUP(DI87,'CPI USA'!$T:$U,2,FALSE))</f>
        <v>236.916</v>
      </c>
      <c r="DK87" s="32">
        <f>IF(DI87="","",VLOOKUP(DI87,'PPI USA'!$S:$T,2,FALSE))</f>
        <v>171</v>
      </c>
      <c r="DL87" s="32">
        <f>IF(DI87="","",VLOOKUP(DI87,'CPI USA'!$T:$V,3,FALSE))</f>
        <v>0.67131212484522451</v>
      </c>
      <c r="DM87" s="32">
        <f>IF(DI87="","",VLOOKUP(DI87,'CPI USA'!$T:$X,5,FALSE))</f>
        <v>0.49965731919331663</v>
      </c>
      <c r="DN87" s="32">
        <f t="shared" si="33"/>
        <v>1.3574220468024145</v>
      </c>
      <c r="DO87" s="32">
        <f t="shared" si="34"/>
        <v>1.3737782272163577</v>
      </c>
      <c r="DP87" s="32">
        <f t="shared" si="35"/>
        <v>0.37246723772168089</v>
      </c>
      <c r="DQ87" s="32">
        <f>IF(DP87="","",DP87*$DO$1/'CPI USA'!$U$508+(1-DP87)*AVERAGE($DO$1,$DQ$1)/AVERAGE('CPI USA'!$U$508,'PPI USA'!$T$514))</f>
        <v>1.1639657728891839</v>
      </c>
      <c r="DR87" s="6">
        <f t="shared" si="36"/>
        <v>25534273</v>
      </c>
      <c r="DS87" s="32">
        <f t="shared" si="37"/>
        <v>0.2</v>
      </c>
      <c r="DT87" s="28">
        <f>IF(DS87="","",DS87*$DO$1/'CPI USA'!$U$508+(1-DS87)*AVERAGE($DO$1,$DQ$1)/AVERAGE('CPI USA'!$U$508,'PPI USA'!$T$514))</f>
        <v>1.1741595760647974</v>
      </c>
      <c r="DU87" s="6">
        <f t="shared" si="38"/>
        <v>70091800.537481233</v>
      </c>
      <c r="DV87" s="6">
        <f t="shared" si="39"/>
        <v>11379693.832470389</v>
      </c>
      <c r="DW87" s="6">
        <f t="shared" si="40"/>
        <v>42257186.724562369</v>
      </c>
      <c r="DX87" s="16">
        <f t="shared" si="41"/>
        <v>0.21572945806929208</v>
      </c>
      <c r="DY87" s="28">
        <f>IF(DX87="","",DX87*$DO$1/'CPI USA'!$U$508+(1-DX87)*AVERAGE($DO$1,$DQ$1)/AVERAGE('CPI USA'!$U$508,'PPI USA'!$T$514))</f>
        <v>1.1732298748546683</v>
      </c>
      <c r="DZ87" s="30"/>
      <c r="EA87" s="45" t="str">
        <f t="shared" si="42"/>
        <v>C001016</v>
      </c>
      <c r="EB87" s="29">
        <f t="shared" si="43"/>
        <v>10070207336.241898</v>
      </c>
      <c r="EC87" s="29">
        <f t="shared" si="44"/>
        <v>304697534.94083846</v>
      </c>
      <c r="ED87" s="29">
        <f t="shared" si="45"/>
        <v>256523505.60864925</v>
      </c>
      <c r="EE87" s="29">
        <f t="shared" si="46"/>
        <v>344152219.84056842</v>
      </c>
      <c r="EF87" s="29">
        <f t="shared" si="47"/>
        <v>229812814.3289752</v>
      </c>
      <c r="EG87" s="29">
        <f t="shared" si="48"/>
        <v>4958</v>
      </c>
      <c r="EH87" s="29">
        <f t="shared" si="49"/>
        <v>1272140</v>
      </c>
      <c r="EI87" s="29">
        <f t="shared" si="50"/>
        <v>375369</v>
      </c>
      <c r="EJ87" s="29">
        <f t="shared" si="51"/>
        <v>20501333</v>
      </c>
      <c r="EK87" s="29">
        <f t="shared" si="52"/>
        <v>20758387.695431471</v>
      </c>
      <c r="EL87" s="29">
        <f>IF(CD87=1,VLOOKUP(EA87,'EIA 2021'!$A$2:$J$213,4,0)*EH87,"")</f>
        <v>96677551.439999998</v>
      </c>
      <c r="EM87" s="29">
        <f>IF(CD87=1,VLOOKUP(EA87,'EIA 2021'!$A$2:$J$213,7,0)*EH87,"")</f>
        <v>1247969.3400000001</v>
      </c>
      <c r="EN87" s="29">
        <f>IF(CD87=1,VLOOKUP(EA87,'EIA 2021'!$A$2:$J$213,10,0),"")</f>
        <v>1285586</v>
      </c>
      <c r="EO87" s="28">
        <f>IF(CD87=1,VLOOKUP(EA87,'EIA 2021'!$A$2:$Z$213,26,0),"")</f>
        <v>0</v>
      </c>
      <c r="EP87" s="23">
        <f t="shared" si="53"/>
        <v>1.2383172489260555E-2</v>
      </c>
      <c r="EQ87" s="32">
        <f t="shared" si="54"/>
        <v>118314.3045685282</v>
      </c>
      <c r="ER87" s="32">
        <f t="shared" si="55"/>
        <v>257054.6954314718</v>
      </c>
      <c r="ES87" s="6"/>
      <c r="ET87" s="32"/>
    </row>
    <row r="88" spans="1:150" ht="15.75" customHeight="1">
      <c r="A88" s="7" t="s">
        <v>465</v>
      </c>
      <c r="B88" s="7" t="s">
        <v>466</v>
      </c>
      <c r="C88" s="32" t="s">
        <v>467</v>
      </c>
      <c r="D88" s="40">
        <v>1237</v>
      </c>
      <c r="E88" s="40">
        <v>0</v>
      </c>
      <c r="F88" s="40">
        <v>15214</v>
      </c>
      <c r="G88" s="40">
        <v>354501051</v>
      </c>
      <c r="H88" s="40">
        <v>354657918</v>
      </c>
      <c r="I88" s="40">
        <v>7196706</v>
      </c>
      <c r="J88" s="40">
        <v>2277249</v>
      </c>
      <c r="K88" s="40">
        <v>1921460</v>
      </c>
      <c r="L88" s="40">
        <v>530271</v>
      </c>
      <c r="M88" s="40">
        <v>305865</v>
      </c>
      <c r="N88" s="40">
        <v>14056</v>
      </c>
      <c r="O88" s="40">
        <v>1510222</v>
      </c>
      <c r="P88" s="40">
        <v>1323391</v>
      </c>
      <c r="Q88" s="40">
        <v>205961</v>
      </c>
      <c r="R88" s="40">
        <v>317958</v>
      </c>
      <c r="S88" s="40">
        <v>1858047</v>
      </c>
      <c r="T88" s="40">
        <v>69064420</v>
      </c>
      <c r="U88" s="40">
        <v>2321890</v>
      </c>
      <c r="V88" s="40">
        <v>1083836</v>
      </c>
      <c r="W88" s="40">
        <v>825</v>
      </c>
      <c r="X88" s="40">
        <f>IFERROR(VLOOKUP(A88,'Trans 21-23'!$A$2:$J$229,6,0),0)</f>
        <v>11936801</v>
      </c>
      <c r="Y88" s="41">
        <v>2245873</v>
      </c>
      <c r="Z88" s="41">
        <v>237073</v>
      </c>
      <c r="AA88" s="41">
        <v>24762932</v>
      </c>
      <c r="AB88" s="41">
        <v>43135091</v>
      </c>
      <c r="AC88" s="41">
        <v>161</v>
      </c>
      <c r="AD88" s="41">
        <v>81563022</v>
      </c>
      <c r="AE88" s="41">
        <v>0</v>
      </c>
      <c r="AF88" s="41">
        <v>630811489</v>
      </c>
      <c r="AG88" s="41">
        <v>530021</v>
      </c>
      <c r="AH88" s="41">
        <v>340847</v>
      </c>
      <c r="AI88" s="41">
        <v>8860906</v>
      </c>
      <c r="AJ88" s="41">
        <v>0</v>
      </c>
      <c r="AK88" s="41">
        <v>0</v>
      </c>
      <c r="AL88" s="41">
        <v>3402280</v>
      </c>
      <c r="AM88" s="41">
        <v>3033571</v>
      </c>
      <c r="AN88" s="41">
        <v>1335603</v>
      </c>
      <c r="AO88" s="41">
        <v>10371</v>
      </c>
      <c r="AP88" s="41">
        <v>0</v>
      </c>
      <c r="AQ88" s="41">
        <v>7781825</v>
      </c>
      <c r="AR88" s="41">
        <v>738234</v>
      </c>
      <c r="AS88" s="41">
        <v>8520059</v>
      </c>
      <c r="AT88" s="41">
        <v>0</v>
      </c>
      <c r="AU88" s="41">
        <v>1729</v>
      </c>
      <c r="AV88" s="41">
        <v>0</v>
      </c>
      <c r="AW88" s="41">
        <v>678330553</v>
      </c>
      <c r="AX88" s="41">
        <v>47606422</v>
      </c>
      <c r="AY88" s="41">
        <v>150527860</v>
      </c>
      <c r="AZ88" s="41">
        <v>79306991</v>
      </c>
      <c r="BA88" s="41">
        <v>5258080</v>
      </c>
      <c r="BB88" s="41">
        <v>2196561891</v>
      </c>
      <c r="BC88" s="41">
        <v>4404549925</v>
      </c>
      <c r="BD88" s="41">
        <v>376708640</v>
      </c>
      <c r="BE88" s="41">
        <v>549592208</v>
      </c>
      <c r="BF88" s="41">
        <v>71316722</v>
      </c>
      <c r="BG88" s="41">
        <v>0</v>
      </c>
      <c r="BH88" s="41">
        <v>28521401</v>
      </c>
      <c r="BI88" s="41">
        <v>7812933</v>
      </c>
      <c r="BJ88" s="41">
        <v>2356991</v>
      </c>
      <c r="BK88" s="41">
        <v>0</v>
      </c>
      <c r="BL88" s="41">
        <v>0</v>
      </c>
      <c r="BM88" s="41">
        <v>28514077</v>
      </c>
      <c r="BN88" s="41">
        <v>72273949</v>
      </c>
      <c r="BO88" s="41">
        <v>803417</v>
      </c>
      <c r="BP88" s="41">
        <v>24513713</v>
      </c>
      <c r="BQ88" s="41">
        <v>160854078</v>
      </c>
      <c r="BR88" s="41">
        <v>0</v>
      </c>
      <c r="BS88" s="42">
        <f>IFERROR(VLOOKUP(A88,'Trans 21-23'!$A$2:$J$229,5,0),0)</f>
        <v>760560726</v>
      </c>
      <c r="BT88" s="43"/>
      <c r="BU88" s="6">
        <f t="shared" si="0"/>
        <v>2196561891</v>
      </c>
      <c r="BV88" s="6">
        <f t="shared" si="1"/>
        <v>1729</v>
      </c>
      <c r="BW88" s="6">
        <f t="shared" si="2"/>
        <v>530021</v>
      </c>
      <c r="BX88" s="6">
        <f t="shared" si="3"/>
        <v>89932157</v>
      </c>
      <c r="BY88" s="6">
        <f t="shared" si="4"/>
        <v>70381130</v>
      </c>
      <c r="BZ88" s="6">
        <f t="shared" si="5"/>
        <v>79306991</v>
      </c>
      <c r="CA88" s="6">
        <f t="shared" si="6"/>
        <v>81563022</v>
      </c>
      <c r="CB88" s="6">
        <f t="shared" si="7"/>
        <v>340847</v>
      </c>
      <c r="CC88" s="6">
        <f t="shared" si="8"/>
        <v>7781825</v>
      </c>
      <c r="CD88" s="6">
        <f t="shared" si="60"/>
        <v>1</v>
      </c>
      <c r="CE88" s="44">
        <f t="shared" si="10"/>
        <v>11</v>
      </c>
      <c r="CF88" s="27"/>
      <c r="CG88" s="28">
        <f t="shared" si="11"/>
        <v>1270.4233030653556</v>
      </c>
      <c r="CH88" s="28">
        <f t="shared" si="12"/>
        <v>3.2621348965418351</v>
      </c>
      <c r="CI88" s="28">
        <f t="shared" si="13"/>
        <v>169.67659205955991</v>
      </c>
      <c r="CJ88" s="28">
        <f t="shared" si="14"/>
        <v>149.62990334345244</v>
      </c>
      <c r="CK88" s="23">
        <f t="shared" si="15"/>
        <v>4.3800393866477334E-2</v>
      </c>
      <c r="CL88" s="29" t="str">
        <f t="shared" si="16"/>
        <v/>
      </c>
      <c r="CM88" s="29" t="str">
        <f t="shared" si="17"/>
        <v/>
      </c>
      <c r="CN88" s="29" t="str">
        <f t="shared" si="18"/>
        <v/>
      </c>
      <c r="CO88" s="29" t="str">
        <f t="shared" si="19"/>
        <v/>
      </c>
      <c r="CP88" s="29" t="str">
        <f t="shared" si="20"/>
        <v/>
      </c>
      <c r="CQ88" s="29">
        <f t="shared" si="21"/>
        <v>0</v>
      </c>
      <c r="CR88" s="13"/>
      <c r="CS88" s="7">
        <f>VLOOKUP(A88,'Empresas 21-23'!$A$2:$M$228,13,0)</f>
        <v>1</v>
      </c>
      <c r="CT88" s="30"/>
      <c r="CU88" s="6">
        <f t="shared" si="22"/>
        <v>2753676976.8000002</v>
      </c>
      <c r="CV88" s="6">
        <f t="shared" si="23"/>
        <v>79306991</v>
      </c>
      <c r="CW88" s="6">
        <f t="shared" si="24"/>
        <v>376708640</v>
      </c>
      <c r="CX88" s="23">
        <f t="shared" si="61"/>
        <v>0.68366074578333347</v>
      </c>
      <c r="CY88" s="23">
        <f t="shared" si="62"/>
        <v>1.9689701104992772E-2</v>
      </c>
      <c r="CZ88" s="6">
        <f t="shared" si="25"/>
        <v>3011217886.5654254</v>
      </c>
      <c r="DA88" s="6">
        <f t="shared" si="26"/>
        <v>86724271.525268331</v>
      </c>
      <c r="DB88" s="6">
        <f t="shared" si="27"/>
        <v>89932157</v>
      </c>
      <c r="DC88" s="6">
        <f t="shared" si="28"/>
        <v>101868958</v>
      </c>
      <c r="DD88" s="6">
        <f t="shared" si="29"/>
        <v>70381130</v>
      </c>
      <c r="DE88" s="6">
        <f t="shared" si="30"/>
        <v>81563022</v>
      </c>
      <c r="DF88" s="6">
        <f t="shared" si="31"/>
        <v>72205076.94218342</v>
      </c>
      <c r="DG88" s="30"/>
      <c r="DH88" s="32">
        <f>VLOOKUP(A88,'T_med_comp-USA'!$A$7:$Q$233,17,0)</f>
        <v>7.4830434765538998</v>
      </c>
      <c r="DI88" s="6" t="str">
        <f t="shared" si="32"/>
        <v>7_2014</v>
      </c>
      <c r="DJ88" s="32">
        <f>IF(DI88="","",VLOOKUP(DI88,'CPI USA'!$T:$U,2,FALSE))</f>
        <v>238.25</v>
      </c>
      <c r="DK88" s="32">
        <f>IF(DI88="","",VLOOKUP(DI88,'PPI USA'!$S:$T,2,FALSE))</f>
        <v>189.8</v>
      </c>
      <c r="DL88" s="32">
        <f>IF(DI88="","",VLOOKUP(DI88,'CPI USA'!$T:$V,3,FALSE))</f>
        <v>0.66756601812039096</v>
      </c>
      <c r="DM88" s="32">
        <f>IF(DI88="","",VLOOKUP(DI88,'CPI USA'!$T:$X,5,FALSE))</f>
        <v>0.49542529667095003</v>
      </c>
      <c r="DN88" s="32">
        <f t="shared" si="33"/>
        <v>1.3305966659194053</v>
      </c>
      <c r="DO88" s="32">
        <f t="shared" si="34"/>
        <v>1.3367684536017217</v>
      </c>
      <c r="DP88" s="32">
        <f t="shared" si="35"/>
        <v>0.32066897606414207</v>
      </c>
      <c r="DQ88" s="32">
        <f>IF(DP88="","",DP88*$DO$1/'CPI USA'!$U$508+(1-DP88)*AVERAGE($DO$1,$DQ$1)/AVERAGE('CPI USA'!$U$508,'PPI USA'!$T$514))</f>
        <v>1.1670273473142814</v>
      </c>
      <c r="DR88" s="6">
        <f t="shared" si="36"/>
        <v>10169924</v>
      </c>
      <c r="DS88" s="32">
        <f t="shared" si="37"/>
        <v>0.2</v>
      </c>
      <c r="DT88" s="28">
        <f>IF(DS88="","",DS88*$DO$1/'CPI USA'!$U$508+(1-DS88)*AVERAGE($DO$1,$DQ$1)/AVERAGE('CPI USA'!$U$508,'PPI USA'!$T$514))</f>
        <v>1.1741595760647974</v>
      </c>
      <c r="DU88" s="6">
        <f t="shared" si="38"/>
        <v>28831047.284840934</v>
      </c>
      <c r="DV88" s="6">
        <f t="shared" si="39"/>
        <v>5126771.5180159668</v>
      </c>
      <c r="DW88" s="6">
        <f t="shared" si="40"/>
        <v>18179067.586198274</v>
      </c>
      <c r="DX88" s="16">
        <f t="shared" si="41"/>
        <v>0.25176993580042512</v>
      </c>
      <c r="DY88" s="28">
        <f>IF(DX88="","",DX88*$DO$1/'CPI USA'!$U$508+(1-DX88)*AVERAGE($DO$1,$DQ$1)/AVERAGE('CPI USA'!$U$508,'PPI USA'!$T$514))</f>
        <v>1.1710996758603578</v>
      </c>
      <c r="DZ88" s="30"/>
      <c r="EA88" s="45" t="str">
        <f t="shared" si="42"/>
        <v>C001017</v>
      </c>
      <c r="EB88" s="29">
        <f t="shared" si="43"/>
        <v>4006716480.2208328</v>
      </c>
      <c r="EC88" s="29">
        <f t="shared" si="44"/>
        <v>115930270.33656877</v>
      </c>
      <c r="ED88" s="29">
        <f t="shared" si="45"/>
        <v>118883859.82840994</v>
      </c>
      <c r="EE88" s="29">
        <f t="shared" si="46"/>
        <v>82638677.763761386</v>
      </c>
      <c r="EF88" s="29">
        <f t="shared" si="47"/>
        <v>84559342.202463195</v>
      </c>
      <c r="EG88" s="29">
        <f t="shared" si="48"/>
        <v>1729</v>
      </c>
      <c r="EH88" s="29">
        <f t="shared" si="49"/>
        <v>530021</v>
      </c>
      <c r="EI88" s="29">
        <f t="shared" si="50"/>
        <v>340847</v>
      </c>
      <c r="EJ88" s="29">
        <f t="shared" si="51"/>
        <v>7781825</v>
      </c>
      <c r="EK88" s="29">
        <f t="shared" si="52"/>
        <v>8111429.8578680204</v>
      </c>
      <c r="EL88" s="29">
        <f>IF(CD88=1,VLOOKUP(EA88,'EIA 2021'!$A$2:$J$213,4,0)*EH88,"")</f>
        <v>51295962.401000001</v>
      </c>
      <c r="EM88" s="29">
        <f>IF(CD88=1,VLOOKUP(EA88,'EIA 2021'!$A$2:$J$213,7,0)*EH88,"")</f>
        <v>565002.38600000006</v>
      </c>
      <c r="EN88" s="29">
        <f>IF(CD88=1,VLOOKUP(EA88,'EIA 2021'!$A$2:$J$213,10,0),"")</f>
        <v>575606</v>
      </c>
      <c r="EO88" s="28">
        <f>IF(CD88=1,VLOOKUP(EA88,'EIA 2021'!$A$2:$Z$213,26,0),"")</f>
        <v>0</v>
      </c>
      <c r="EP88" s="23">
        <f t="shared" si="53"/>
        <v>4.0634618512826848E-2</v>
      </c>
      <c r="EQ88" s="32">
        <f t="shared" si="54"/>
        <v>11242.142131979694</v>
      </c>
      <c r="ER88" s="32">
        <f t="shared" si="55"/>
        <v>329604.85786802031</v>
      </c>
      <c r="ES88" s="6"/>
      <c r="ET88" s="32"/>
    </row>
    <row r="89" spans="1:150" ht="15.75" customHeight="1">
      <c r="A89" s="7" t="s">
        <v>468</v>
      </c>
      <c r="B89" s="7" t="s">
        <v>469</v>
      </c>
      <c r="C89" s="32" t="s">
        <v>470</v>
      </c>
      <c r="D89" s="40">
        <v>0</v>
      </c>
      <c r="E89" s="40">
        <v>0</v>
      </c>
      <c r="F89" s="40">
        <v>178582</v>
      </c>
      <c r="G89" s="40">
        <v>176425221</v>
      </c>
      <c r="H89" s="40">
        <v>179906954</v>
      </c>
      <c r="I89" s="40">
        <v>2893940</v>
      </c>
      <c r="J89" s="40">
        <v>321029</v>
      </c>
      <c r="K89" s="40">
        <v>0</v>
      </c>
      <c r="L89" s="40">
        <v>21976062</v>
      </c>
      <c r="M89" s="40">
        <v>1275290</v>
      </c>
      <c r="N89" s="40">
        <v>1467490</v>
      </c>
      <c r="O89" s="40">
        <v>9347357</v>
      </c>
      <c r="P89" s="40">
        <v>553707</v>
      </c>
      <c r="Q89" s="40">
        <v>1881</v>
      </c>
      <c r="R89" s="40">
        <v>0</v>
      </c>
      <c r="S89" s="40">
        <v>607414</v>
      </c>
      <c r="T89" s="40">
        <v>39709443</v>
      </c>
      <c r="U89" s="40">
        <v>1177150</v>
      </c>
      <c r="V89" s="40">
        <v>0</v>
      </c>
      <c r="W89" s="40">
        <v>2104</v>
      </c>
      <c r="X89" s="40">
        <f>IFERROR(VLOOKUP(A89,'Trans 21-23'!$A$2:$J$229,6,0),0)</f>
        <v>3855514</v>
      </c>
      <c r="Y89" s="41">
        <v>1778422</v>
      </c>
      <c r="Z89" s="41">
        <v>0</v>
      </c>
      <c r="AA89" s="41">
        <v>23165058</v>
      </c>
      <c r="AB89" s="41">
        <v>60005308</v>
      </c>
      <c r="AC89" s="41">
        <v>0</v>
      </c>
      <c r="AD89" s="41">
        <v>67069953</v>
      </c>
      <c r="AE89" s="41">
        <v>0</v>
      </c>
      <c r="AF89" s="41">
        <v>426928749</v>
      </c>
      <c r="AG89" s="41">
        <v>249492</v>
      </c>
      <c r="AH89" s="41">
        <v>260977</v>
      </c>
      <c r="AI89" s="41">
        <v>2992561</v>
      </c>
      <c r="AJ89" s="41">
        <v>9876</v>
      </c>
      <c r="AK89" s="41">
        <v>0</v>
      </c>
      <c r="AL89" s="41">
        <v>1829227</v>
      </c>
      <c r="AM89" s="41">
        <v>616069</v>
      </c>
      <c r="AN89" s="41">
        <v>66720</v>
      </c>
      <c r="AO89" s="41">
        <v>11369</v>
      </c>
      <c r="AP89" s="41">
        <v>141345</v>
      </c>
      <c r="AQ89" s="41">
        <v>2665685</v>
      </c>
      <c r="AR89" s="41">
        <v>56023</v>
      </c>
      <c r="AS89" s="41">
        <v>2721708</v>
      </c>
      <c r="AT89" s="41">
        <v>0</v>
      </c>
      <c r="AU89" s="41">
        <v>1148</v>
      </c>
      <c r="AV89" s="41">
        <v>0</v>
      </c>
      <c r="AW89" s="41">
        <v>258540251</v>
      </c>
      <c r="AX89" s="41">
        <v>45191384</v>
      </c>
      <c r="AY89" s="41">
        <v>74148341</v>
      </c>
      <c r="AZ89" s="41">
        <v>50149912</v>
      </c>
      <c r="BA89" s="41">
        <v>16294932</v>
      </c>
      <c r="BB89" s="41">
        <v>1184840053</v>
      </c>
      <c r="BC89" s="41">
        <v>1687081953</v>
      </c>
      <c r="BD89" s="41">
        <v>4238811</v>
      </c>
      <c r="BE89" s="41">
        <v>270264631</v>
      </c>
      <c r="BF89" s="41">
        <v>26464717</v>
      </c>
      <c r="BG89" s="41">
        <v>0</v>
      </c>
      <c r="BH89" s="41">
        <v>28036761</v>
      </c>
      <c r="BI89" s="41">
        <v>6453700</v>
      </c>
      <c r="BJ89" s="41">
        <v>764836</v>
      </c>
      <c r="BK89" s="41">
        <v>0</v>
      </c>
      <c r="BL89" s="41">
        <v>0</v>
      </c>
      <c r="BM89" s="41">
        <v>30113707</v>
      </c>
      <c r="BN89" s="41">
        <v>73486310</v>
      </c>
      <c r="BO89" s="41">
        <v>3082418</v>
      </c>
      <c r="BP89" s="41">
        <v>9265008</v>
      </c>
      <c r="BQ89" s="41">
        <v>144221622</v>
      </c>
      <c r="BR89" s="41">
        <v>955</v>
      </c>
      <c r="BS89" s="42">
        <f>IFERROR(VLOOKUP(A89,'Trans 21-23'!$A$2:$J$229,5,0),0)</f>
        <v>245656453</v>
      </c>
      <c r="BT89" s="43"/>
      <c r="BU89" s="6">
        <f t="shared" si="0"/>
        <v>1184840053</v>
      </c>
      <c r="BV89" s="6">
        <f t="shared" si="1"/>
        <v>1148</v>
      </c>
      <c r="BW89" s="6">
        <f t="shared" si="2"/>
        <v>249492</v>
      </c>
      <c r="BX89" s="6">
        <f t="shared" si="3"/>
        <v>79332867</v>
      </c>
      <c r="BY89" s="6">
        <f t="shared" si="4"/>
        <v>84948788</v>
      </c>
      <c r="BZ89" s="6">
        <f t="shared" si="5"/>
        <v>50149912</v>
      </c>
      <c r="CA89" s="6">
        <f t="shared" si="6"/>
        <v>67069953</v>
      </c>
      <c r="CB89" s="6">
        <f t="shared" si="7"/>
        <v>260977</v>
      </c>
      <c r="CC89" s="6">
        <f t="shared" si="8"/>
        <v>2665685</v>
      </c>
      <c r="CD89" s="6">
        <f t="shared" si="60"/>
        <v>1</v>
      </c>
      <c r="CE89" s="44">
        <f t="shared" si="10"/>
        <v>14</v>
      </c>
      <c r="CF89" s="27"/>
      <c r="CG89" s="28">
        <f t="shared" si="11"/>
        <v>1032.0906385017422</v>
      </c>
      <c r="CH89" s="28">
        <f t="shared" si="12"/>
        <v>4.6013499430843474</v>
      </c>
      <c r="CI89" s="28">
        <f t="shared" si="13"/>
        <v>317.97759848011157</v>
      </c>
      <c r="CJ89" s="28">
        <f t="shared" si="14"/>
        <v>201.00809645199044</v>
      </c>
      <c r="CK89" s="23">
        <f t="shared" si="15"/>
        <v>9.7902415326642123E-2</v>
      </c>
      <c r="CL89" s="29" t="str">
        <f t="shared" si="16"/>
        <v/>
      </c>
      <c r="CM89" s="29" t="str">
        <f t="shared" si="17"/>
        <v/>
      </c>
      <c r="CN89" s="29" t="str">
        <f t="shared" si="18"/>
        <v/>
      </c>
      <c r="CO89" s="29" t="str">
        <f t="shared" si="19"/>
        <v/>
      </c>
      <c r="CP89" s="29" t="str">
        <f t="shared" si="20"/>
        <v/>
      </c>
      <c r="CQ89" s="29">
        <f t="shared" si="21"/>
        <v>0</v>
      </c>
      <c r="CR89" s="13"/>
      <c r="CS89" s="7">
        <f>VLOOKUP(A89,'Empresas 21-23'!$A$2:$M$228,13,0)</f>
        <v>1</v>
      </c>
      <c r="CT89" s="30"/>
      <c r="CU89" s="6">
        <f t="shared" si="22"/>
        <v>1292447827</v>
      </c>
      <c r="CV89" s="6">
        <f t="shared" si="23"/>
        <v>50149912</v>
      </c>
      <c r="CW89" s="6">
        <f t="shared" si="24"/>
        <v>4238811</v>
      </c>
      <c r="CX89" s="23">
        <f t="shared" si="61"/>
        <v>0.76801443624981658</v>
      </c>
      <c r="CY89" s="23">
        <f t="shared" si="62"/>
        <v>2.9800704978598654E-2</v>
      </c>
      <c r="CZ89" s="6">
        <f t="shared" si="25"/>
        <v>1295703295.0405345</v>
      </c>
      <c r="DA89" s="6">
        <f t="shared" si="26"/>
        <v>50276231.556071036</v>
      </c>
      <c r="DB89" s="6">
        <f t="shared" si="27"/>
        <v>79332867</v>
      </c>
      <c r="DC89" s="6">
        <f t="shared" si="28"/>
        <v>83188381</v>
      </c>
      <c r="DD89" s="6">
        <f t="shared" si="29"/>
        <v>84948788</v>
      </c>
      <c r="DE89" s="6">
        <f t="shared" si="30"/>
        <v>67069953</v>
      </c>
      <c r="DF89" s="6">
        <f t="shared" si="31"/>
        <v>62728750.774075389</v>
      </c>
      <c r="DG89" s="30"/>
      <c r="DH89" s="32">
        <f>VLOOKUP(A89,'T_med_comp-USA'!$A$7:$Q$233,17,0)</f>
        <v>10.161743848381088</v>
      </c>
      <c r="DI89" s="6" t="str">
        <f t="shared" si="32"/>
        <v>11_2011</v>
      </c>
      <c r="DJ89" s="32">
        <f>IF(DI89="","",VLOOKUP(DI89,'CPI USA'!$T:$U,2,FALSE))</f>
        <v>224.93899999999999</v>
      </c>
      <c r="DK89" s="32">
        <f>IF(DI89="","",VLOOKUP(DI89,'PPI USA'!$S:$T,2,FALSE))</f>
        <v>169.6</v>
      </c>
      <c r="DL89" s="32">
        <f>IF(DI89="","",VLOOKUP(DI89,'CPI USA'!$T:$V,3,FALSE))</f>
        <v>0.6684022975047168</v>
      </c>
      <c r="DM89" s="32">
        <f>IF(DI89="","",VLOOKUP(DI89,'CPI USA'!$T:$X,5,FALSE))</f>
        <v>0.49636791791307899</v>
      </c>
      <c r="DN89" s="32">
        <f t="shared" si="33"/>
        <v>1.4208751760332547</v>
      </c>
      <c r="DO89" s="32">
        <f t="shared" si="34"/>
        <v>1.4334111417560953</v>
      </c>
      <c r="DP89" s="32">
        <f t="shared" si="35"/>
        <v>0.36823043580832493</v>
      </c>
      <c r="DQ89" s="32">
        <f>IF(DP89="","",DP89*$DO$1/'CPI USA'!$U$508+(1-DP89)*AVERAGE($DO$1,$DQ$1)/AVERAGE('CPI USA'!$U$508,'PPI USA'!$T$514))</f>
        <v>1.1642161921883469</v>
      </c>
      <c r="DR89" s="6">
        <f t="shared" si="36"/>
        <v>7218536</v>
      </c>
      <c r="DS89" s="32">
        <f t="shared" si="37"/>
        <v>0.2</v>
      </c>
      <c r="DT89" s="28">
        <f>IF(DS89="","",DS89*$DO$1/'CPI USA'!$U$508+(1-DS89)*AVERAGE($DO$1,$DQ$1)/AVERAGE('CPI USA'!$U$508,'PPI USA'!$T$514))</f>
        <v>1.1741595760647974</v>
      </c>
      <c r="DU89" s="6">
        <f t="shared" si="38"/>
        <v>31376840.670795634</v>
      </c>
      <c r="DV89" s="6">
        <f t="shared" si="39"/>
        <v>2067358.7458607696</v>
      </c>
      <c r="DW89" s="6">
        <f t="shared" si="40"/>
        <v>16044963.794772772</v>
      </c>
      <c r="DX89" s="16">
        <f t="shared" si="41"/>
        <v>0.25578325085032388</v>
      </c>
      <c r="DY89" s="28">
        <f>IF(DX89="","",DX89*$DO$1/'CPI USA'!$U$508+(1-DX89)*AVERAGE($DO$1,$DQ$1)/AVERAGE('CPI USA'!$U$508,'PPI USA'!$T$514))</f>
        <v>1.1708624659169458</v>
      </c>
      <c r="DZ89" s="30"/>
      <c r="EA89" s="45" t="str">
        <f t="shared" si="42"/>
        <v>C001025</v>
      </c>
      <c r="EB89" s="29">
        <f t="shared" si="43"/>
        <v>1841032647.4275877</v>
      </c>
      <c r="EC89" s="29">
        <f t="shared" si="44"/>
        <v>72066510.477981612</v>
      </c>
      <c r="ED89" s="29">
        <f t="shared" si="45"/>
        <v>96849260.162133425</v>
      </c>
      <c r="EE89" s="29">
        <f t="shared" si="46"/>
        <v>99743432.905298352</v>
      </c>
      <c r="EF89" s="29">
        <f t="shared" si="47"/>
        <v>73446739.815223426</v>
      </c>
      <c r="EG89" s="29">
        <f t="shared" si="48"/>
        <v>1148</v>
      </c>
      <c r="EH89" s="29">
        <f t="shared" si="49"/>
        <v>249492</v>
      </c>
      <c r="EI89" s="29">
        <f t="shared" si="50"/>
        <v>260977</v>
      </c>
      <c r="EJ89" s="29">
        <f t="shared" si="51"/>
        <v>2665685</v>
      </c>
      <c r="EK89" s="29">
        <f t="shared" si="52"/>
        <v>2925808.8578680204</v>
      </c>
      <c r="EL89" s="29">
        <f>IF(CD89=1,VLOOKUP(EA89,'EIA 2021'!$A$2:$J$213,4,0)*EH89,"")</f>
        <v>56709531.600000001</v>
      </c>
      <c r="EM89" s="29">
        <f>IF(CD89=1,VLOOKUP(EA89,'EIA 2021'!$A$2:$J$213,7,0)*EH89,"")</f>
        <v>449085.60000000003</v>
      </c>
      <c r="EN89" s="29">
        <f>IF(CD89=1,VLOOKUP(EA89,'EIA 2021'!$A$2:$J$213,10,0),"")</f>
        <v>150776</v>
      </c>
      <c r="EO89" s="28">
        <f>IF(CD89=1,VLOOKUP(EA89,'EIA 2021'!$A$2:$Z$213,26,0),"")</f>
        <v>0</v>
      </c>
      <c r="EP89" s="23">
        <f t="shared" si="53"/>
        <v>8.8906647872263073E-2</v>
      </c>
      <c r="EQ89" s="32">
        <f t="shared" si="54"/>
        <v>853.14213197969366</v>
      </c>
      <c r="ER89" s="32">
        <f t="shared" si="55"/>
        <v>260123.85786802031</v>
      </c>
      <c r="ES89" s="6"/>
      <c r="ET89" s="32"/>
    </row>
    <row r="90" spans="1:150" ht="15.75" customHeight="1">
      <c r="A90" s="7" t="s">
        <v>471</v>
      </c>
      <c r="B90" s="7" t="s">
        <v>472</v>
      </c>
      <c r="C90" s="32" t="s">
        <v>473</v>
      </c>
      <c r="D90" s="40">
        <v>226447694</v>
      </c>
      <c r="E90" s="40">
        <v>161929893</v>
      </c>
      <c r="F90" s="40">
        <v>3346617041</v>
      </c>
      <c r="G90" s="40">
        <v>67050735</v>
      </c>
      <c r="H90" s="40">
        <v>277090918</v>
      </c>
      <c r="I90" s="40">
        <v>17668619</v>
      </c>
      <c r="J90" s="40">
        <v>4007362</v>
      </c>
      <c r="K90" s="40">
        <v>4568408</v>
      </c>
      <c r="L90" s="40">
        <v>12411908</v>
      </c>
      <c r="M90" s="40">
        <v>16703424</v>
      </c>
      <c r="N90" s="40">
        <v>160525</v>
      </c>
      <c r="O90" s="40">
        <v>30511002</v>
      </c>
      <c r="P90" s="40">
        <v>15836903</v>
      </c>
      <c r="Q90" s="40">
        <v>19054135</v>
      </c>
      <c r="R90" s="40">
        <v>791271</v>
      </c>
      <c r="S90" s="40">
        <v>12100888</v>
      </c>
      <c r="T90" s="40">
        <v>113894747</v>
      </c>
      <c r="U90" s="40">
        <v>12409157</v>
      </c>
      <c r="V90" s="40">
        <v>34754</v>
      </c>
      <c r="W90" s="40">
        <v>33176733</v>
      </c>
      <c r="X90" s="40">
        <f>IFERROR(VLOOKUP(A90,'Trans 21-23'!$A$2:$J$229,6,0),0)</f>
        <v>0</v>
      </c>
      <c r="Y90" s="41">
        <v>1983380</v>
      </c>
      <c r="Z90" s="41">
        <v>3905076</v>
      </c>
      <c r="AA90" s="41">
        <v>74882112</v>
      </c>
      <c r="AB90" s="41">
        <v>46120648</v>
      </c>
      <c r="AC90" s="41">
        <v>5017509</v>
      </c>
      <c r="AD90" s="41">
        <v>361969949</v>
      </c>
      <c r="AE90" s="41">
        <v>0</v>
      </c>
      <c r="AF90" s="41">
        <v>4912314802</v>
      </c>
      <c r="AG90" s="41">
        <v>5214263</v>
      </c>
      <c r="AH90" s="41">
        <v>7831437</v>
      </c>
      <c r="AI90" s="41">
        <v>130733732</v>
      </c>
      <c r="AJ90" s="41">
        <v>134864</v>
      </c>
      <c r="AK90" s="41">
        <v>0</v>
      </c>
      <c r="AL90" s="41">
        <v>61725263</v>
      </c>
      <c r="AM90" s="41">
        <v>46849366</v>
      </c>
      <c r="AN90" s="41">
        <v>3111936</v>
      </c>
      <c r="AO90" s="41">
        <v>403322</v>
      </c>
      <c r="AP90" s="41">
        <v>18665</v>
      </c>
      <c r="AQ90" s="41">
        <v>112176554</v>
      </c>
      <c r="AR90" s="41">
        <v>10590877</v>
      </c>
      <c r="AS90" s="41">
        <v>122767431</v>
      </c>
      <c r="AT90" s="41">
        <v>68002</v>
      </c>
      <c r="AU90" s="41">
        <v>24042</v>
      </c>
      <c r="AV90" s="41">
        <v>0</v>
      </c>
      <c r="AW90" s="41">
        <v>3780553478</v>
      </c>
      <c r="AX90" s="41">
        <v>2443332911</v>
      </c>
      <c r="AY90" s="41">
        <v>3406856464</v>
      </c>
      <c r="AZ90" s="41">
        <v>852635669</v>
      </c>
      <c r="BA90" s="41">
        <v>690378001</v>
      </c>
      <c r="BB90" s="41">
        <v>22005419288</v>
      </c>
      <c r="BC90" s="41">
        <v>60703824600</v>
      </c>
      <c r="BD90" s="41">
        <v>2033432027</v>
      </c>
      <c r="BE90" s="41">
        <v>5995333901</v>
      </c>
      <c r="BF90" s="41">
        <v>537274017</v>
      </c>
      <c r="BG90" s="41">
        <v>0</v>
      </c>
      <c r="BH90" s="41">
        <v>116350536</v>
      </c>
      <c r="BI90" s="41">
        <v>46773449</v>
      </c>
      <c r="BJ90" s="41">
        <v>20487925</v>
      </c>
      <c r="BK90" s="41">
        <v>691449</v>
      </c>
      <c r="BL90" s="41">
        <v>0</v>
      </c>
      <c r="BM90" s="41">
        <v>261643755</v>
      </c>
      <c r="BN90" s="41">
        <v>720458031</v>
      </c>
      <c r="BO90" s="41">
        <v>0</v>
      </c>
      <c r="BP90" s="41">
        <v>59138210</v>
      </c>
      <c r="BQ90" s="41">
        <v>1264696186</v>
      </c>
      <c r="BR90" s="41">
        <v>0</v>
      </c>
      <c r="BS90" s="42">
        <f>IFERROR(VLOOKUP(A90,'Trans 21-23'!$A$2:$J$229,5,0),0)</f>
        <v>0</v>
      </c>
      <c r="BT90" s="43"/>
      <c r="BU90" s="6">
        <f t="shared" si="0"/>
        <v>22005419288</v>
      </c>
      <c r="BV90" s="6">
        <f t="shared" si="1"/>
        <v>24042</v>
      </c>
      <c r="BW90" s="6">
        <f t="shared" si="2"/>
        <v>5214263</v>
      </c>
      <c r="BX90" s="6">
        <f t="shared" si="3"/>
        <v>293329836</v>
      </c>
      <c r="BY90" s="6">
        <f t="shared" si="4"/>
        <v>131908725</v>
      </c>
      <c r="BZ90" s="6">
        <f t="shared" si="5"/>
        <v>852635669</v>
      </c>
      <c r="CA90" s="6">
        <f t="shared" si="6"/>
        <v>361969949</v>
      </c>
      <c r="CB90" s="6">
        <f t="shared" si="7"/>
        <v>7831437</v>
      </c>
      <c r="CC90" s="6">
        <f t="shared" si="8"/>
        <v>112176554</v>
      </c>
      <c r="CD90" s="6">
        <f t="shared" si="60"/>
        <v>1</v>
      </c>
      <c r="CE90" s="44">
        <f t="shared" si="10"/>
        <v>9</v>
      </c>
      <c r="CF90" s="27"/>
      <c r="CG90" s="28">
        <f t="shared" si="11"/>
        <v>915.29071158805425</v>
      </c>
      <c r="CH90" s="28">
        <f t="shared" si="12"/>
        <v>4.6108146060143111</v>
      </c>
      <c r="CI90" s="28">
        <f t="shared" si="13"/>
        <v>56.255282098352154</v>
      </c>
      <c r="CJ90" s="28">
        <f t="shared" si="14"/>
        <v>163.519881716745</v>
      </c>
      <c r="CK90" s="23">
        <f t="shared" si="15"/>
        <v>6.9813492398777016E-2</v>
      </c>
      <c r="CL90" s="29" t="str">
        <f t="shared" si="16"/>
        <v/>
      </c>
      <c r="CM90" s="29" t="str">
        <f t="shared" si="17"/>
        <v/>
      </c>
      <c r="CN90" s="29" t="str">
        <f t="shared" si="18"/>
        <v/>
      </c>
      <c r="CO90" s="29" t="str">
        <f t="shared" si="19"/>
        <v/>
      </c>
      <c r="CP90" s="29" t="str">
        <f t="shared" si="20"/>
        <v/>
      </c>
      <c r="CQ90" s="29">
        <f t="shared" si="21"/>
        <v>0</v>
      </c>
      <c r="CR90" s="13"/>
      <c r="CS90" s="7">
        <f>VLOOKUP(A90,'Empresas 21-23'!$A$2:$M$228,13,0)</f>
        <v>1</v>
      </c>
      <c r="CT90" s="30"/>
      <c r="CU90" s="6">
        <f t="shared" si="22"/>
        <v>16952291993</v>
      </c>
      <c r="CV90" s="6">
        <f t="shared" si="23"/>
        <v>852635669</v>
      </c>
      <c r="CW90" s="6">
        <f t="shared" si="24"/>
        <v>2033432027</v>
      </c>
      <c r="CX90" s="23">
        <f t="shared" si="61"/>
        <v>0.2889411720214296</v>
      </c>
      <c r="CY90" s="23">
        <f t="shared" si="62"/>
        <v>1.4532639575218749E-2</v>
      </c>
      <c r="CZ90" s="6">
        <f t="shared" si="25"/>
        <v>17539834226.107292</v>
      </c>
      <c r="DA90" s="6">
        <f t="shared" si="26"/>
        <v>882186803.74909747</v>
      </c>
      <c r="DB90" s="6">
        <f t="shared" si="27"/>
        <v>293329836</v>
      </c>
      <c r="DC90" s="6">
        <f t="shared" si="28"/>
        <v>293329836</v>
      </c>
      <c r="DD90" s="6">
        <f t="shared" si="29"/>
        <v>131908725</v>
      </c>
      <c r="DE90" s="6">
        <f t="shared" si="30"/>
        <v>361969949</v>
      </c>
      <c r="DF90" s="6">
        <f t="shared" si="31"/>
        <v>285965478.41578406</v>
      </c>
      <c r="DG90" s="30"/>
      <c r="DH90" s="32">
        <f>VLOOKUP(A90,'T_med_comp-USA'!$A$7:$Q$233,17,0)</f>
        <v>10.047219406768276</v>
      </c>
      <c r="DI90" s="6" t="str">
        <f t="shared" si="32"/>
        <v>12_2011</v>
      </c>
      <c r="DJ90" s="32">
        <f>IF(DI90="","",VLOOKUP(DI90,'CPI USA'!$T:$U,2,FALSE))</f>
        <v>224.93899999999999</v>
      </c>
      <c r="DK90" s="32">
        <f>IF(DI90="","",VLOOKUP(DI90,'PPI USA'!$S:$T,2,FALSE))</f>
        <v>169.6</v>
      </c>
      <c r="DL90" s="32">
        <f>IF(DI90="","",VLOOKUP(DI90,'CPI USA'!$T:$V,3,FALSE))</f>
        <v>0.6684022975047168</v>
      </c>
      <c r="DM90" s="32">
        <f>IF(DI90="","",VLOOKUP(DI90,'CPI USA'!$T:$X,5,FALSE))</f>
        <v>0.49636791791307899</v>
      </c>
      <c r="DN90" s="32">
        <f t="shared" si="33"/>
        <v>1.4208751760332547</v>
      </c>
      <c r="DO90" s="32">
        <f t="shared" si="34"/>
        <v>1.4334111417560953</v>
      </c>
      <c r="DP90" s="32">
        <f t="shared" si="35"/>
        <v>0.39665428374630118</v>
      </c>
      <c r="DQ90" s="32">
        <f>IF(DP90="","",DP90*$DO$1/'CPI USA'!$U$508+(1-DP90)*AVERAGE($DO$1,$DQ$1)/AVERAGE('CPI USA'!$U$508,'PPI USA'!$T$514))</f>
        <v>1.1625361797106097</v>
      </c>
      <c r="DR90" s="6">
        <f t="shared" si="36"/>
        <v>67952823</v>
      </c>
      <c r="DS90" s="32">
        <f t="shared" si="37"/>
        <v>0.5151503283804767</v>
      </c>
      <c r="DT90" s="28">
        <f>IF(DS90="","",DS90*$DO$1/'CPI USA'!$U$508+(1-DS90)*AVERAGE($DO$1,$DQ$1)/AVERAGE('CPI USA'!$U$508,'PPI USA'!$T$514))</f>
        <v>1.1555323836734819</v>
      </c>
      <c r="DU90" s="6">
        <f t="shared" si="38"/>
        <v>261643755</v>
      </c>
      <c r="DV90" s="6">
        <f t="shared" si="39"/>
        <v>12834839.664632231</v>
      </c>
      <c r="DW90" s="6">
        <f t="shared" si="40"/>
        <v>70215508.459355608</v>
      </c>
      <c r="DX90" s="16">
        <f t="shared" si="41"/>
        <v>0.24553840851120026</v>
      </c>
      <c r="DY90" s="28">
        <f>IF(DX90="","",DX90*$DO$1/'CPI USA'!$U$508+(1-DX90)*AVERAGE($DO$1,$DQ$1)/AVERAGE('CPI USA'!$U$508,'PPI USA'!$T$514))</f>
        <v>1.1714679948727627</v>
      </c>
      <c r="DZ90" s="30"/>
      <c r="EA90" s="45" t="str">
        <f t="shared" si="42"/>
        <v>C001030</v>
      </c>
      <c r="EB90" s="29">
        <f t="shared" si="43"/>
        <v>24921915043.614304</v>
      </c>
      <c r="EC90" s="29">
        <f t="shared" si="44"/>
        <v>1264536393.6041541</v>
      </c>
      <c r="ED90" s="29">
        <f t="shared" si="45"/>
        <v>341006546.93857968</v>
      </c>
      <c r="EE90" s="29">
        <f t="shared" si="46"/>
        <v>152424803.4265798</v>
      </c>
      <c r="EF90" s="29">
        <f t="shared" si="47"/>
        <v>334999405.60256886</v>
      </c>
      <c r="EG90" s="29">
        <f t="shared" si="48"/>
        <v>24042</v>
      </c>
      <c r="EH90" s="29">
        <f t="shared" si="49"/>
        <v>5214263</v>
      </c>
      <c r="EI90" s="29">
        <f t="shared" si="50"/>
        <v>7831437</v>
      </c>
      <c r="EJ90" s="29">
        <f t="shared" si="51"/>
        <v>112176554</v>
      </c>
      <c r="EK90" s="29">
        <f t="shared" si="52"/>
        <v>119846708.60913706</v>
      </c>
      <c r="EL90" s="29">
        <f>IF(CD90=1,VLOOKUP(EA90,'EIA 2021'!$A$2:$J$213,4,0)*EH90,"")</f>
        <v>233859695.55000001</v>
      </c>
      <c r="EM90" s="29">
        <f>IF(CD90=1,VLOOKUP(EA90,'EIA 2021'!$A$2:$J$213,7,0)*EH90,"")</f>
        <v>3024272.5399999996</v>
      </c>
      <c r="EN90" s="29">
        <f>IF(CD90=1,VLOOKUP(EA90,'EIA 2021'!$A$2:$J$213,10,0),"")</f>
        <v>5308644</v>
      </c>
      <c r="EO90" s="28">
        <f>IF(CD90=1,VLOOKUP(EA90,'EIA 2021'!$A$2:$Z$213,26,0),"")</f>
        <v>0</v>
      </c>
      <c r="EP90" s="23">
        <f t="shared" si="53"/>
        <v>6.3999710114294187E-2</v>
      </c>
      <c r="EQ90" s="32">
        <f t="shared" si="54"/>
        <v>161282.3908629436</v>
      </c>
      <c r="ER90" s="32">
        <f t="shared" si="55"/>
        <v>7670154.6091370564</v>
      </c>
      <c r="ES90" s="6"/>
      <c r="ET90" s="32"/>
    </row>
    <row r="91" spans="1:150" ht="15.75" customHeight="1">
      <c r="A91" s="7" t="s">
        <v>474</v>
      </c>
      <c r="B91" s="7" t="s">
        <v>475</v>
      </c>
      <c r="C91" s="32" t="s">
        <v>476</v>
      </c>
      <c r="D91" s="40">
        <v>0</v>
      </c>
      <c r="E91" s="40">
        <v>0</v>
      </c>
      <c r="F91" s="40">
        <v>0</v>
      </c>
      <c r="G91" s="40">
        <v>785474062</v>
      </c>
      <c r="H91" s="40">
        <v>932509970</v>
      </c>
      <c r="I91" s="40">
        <v>8099913</v>
      </c>
      <c r="J91" s="40">
        <v>5264866</v>
      </c>
      <c r="K91" s="40">
        <v>998988</v>
      </c>
      <c r="L91" s="40">
        <v>290898</v>
      </c>
      <c r="M91" s="40">
        <v>1727489</v>
      </c>
      <c r="N91" s="40">
        <v>1328437</v>
      </c>
      <c r="O91" s="40">
        <v>101738533</v>
      </c>
      <c r="P91" s="40">
        <v>595343</v>
      </c>
      <c r="Q91" s="40">
        <v>0</v>
      </c>
      <c r="R91" s="40">
        <v>0</v>
      </c>
      <c r="S91" s="40">
        <v>9306803</v>
      </c>
      <c r="T91" s="40">
        <v>50427712</v>
      </c>
      <c r="U91" s="40">
        <v>36108911</v>
      </c>
      <c r="V91" s="40">
        <v>205855</v>
      </c>
      <c r="W91" s="40">
        <v>1753345</v>
      </c>
      <c r="X91" s="40">
        <f>IFERROR(VLOOKUP(A91,'Trans 21-23'!$A$2:$J$229,6,0),0)</f>
        <v>6438869</v>
      </c>
      <c r="Y91" s="41">
        <v>3815973</v>
      </c>
      <c r="Z91" s="41">
        <v>2324967</v>
      </c>
      <c r="AA91" s="41">
        <v>54566153</v>
      </c>
      <c r="AB91" s="41">
        <v>3842930</v>
      </c>
      <c r="AC91" s="41">
        <v>0</v>
      </c>
      <c r="AD91" s="41">
        <v>197121601</v>
      </c>
      <c r="AE91" s="41">
        <v>0</v>
      </c>
      <c r="AF91" s="41">
        <v>1470052529</v>
      </c>
      <c r="AG91" s="41">
        <v>1320806</v>
      </c>
      <c r="AH91" s="41">
        <v>1907700</v>
      </c>
      <c r="AI91" s="41">
        <v>31016237</v>
      </c>
      <c r="AJ91" s="41">
        <v>17594</v>
      </c>
      <c r="AK91" s="41">
        <v>0</v>
      </c>
      <c r="AL91" s="41">
        <v>12907977</v>
      </c>
      <c r="AM91" s="41">
        <v>2705202</v>
      </c>
      <c r="AN91" s="41">
        <v>13200530</v>
      </c>
      <c r="AO91" s="41">
        <v>205182</v>
      </c>
      <c r="AP91" s="41">
        <v>0</v>
      </c>
      <c r="AQ91" s="41">
        <v>29090943</v>
      </c>
      <c r="AR91" s="41">
        <v>0</v>
      </c>
      <c r="AS91" s="41">
        <v>29090943</v>
      </c>
      <c r="AT91" s="41">
        <v>63044</v>
      </c>
      <c r="AU91" s="41">
        <v>6486</v>
      </c>
      <c r="AV91" s="41">
        <v>0</v>
      </c>
      <c r="AW91" s="41">
        <v>984772899</v>
      </c>
      <c r="AX91" s="41">
        <v>343345445</v>
      </c>
      <c r="AY91" s="41">
        <v>1882141768</v>
      </c>
      <c r="AZ91" s="41">
        <v>303925052</v>
      </c>
      <c r="BA91" s="41">
        <v>135334221</v>
      </c>
      <c r="BB91" s="41">
        <v>6818186648</v>
      </c>
      <c r="BC91" s="41">
        <v>9356623428</v>
      </c>
      <c r="BD91" s="41">
        <v>187073307</v>
      </c>
      <c r="BE91" s="41">
        <v>2575345508</v>
      </c>
      <c r="BF91" s="41">
        <v>166782890</v>
      </c>
      <c r="BG91" s="41">
        <v>0</v>
      </c>
      <c r="BH91" s="41">
        <v>92070924</v>
      </c>
      <c r="BI91" s="41">
        <v>25986879</v>
      </c>
      <c r="BJ91" s="41">
        <v>1241343</v>
      </c>
      <c r="BK91" s="41">
        <v>0</v>
      </c>
      <c r="BL91" s="41">
        <v>0</v>
      </c>
      <c r="BM91" s="41">
        <v>24182761</v>
      </c>
      <c r="BN91" s="41">
        <v>163889093</v>
      </c>
      <c r="BO91" s="41">
        <v>965199</v>
      </c>
      <c r="BP91" s="41">
        <v>7055612</v>
      </c>
      <c r="BQ91" s="41">
        <v>411761682</v>
      </c>
      <c r="BR91" s="41">
        <v>9008</v>
      </c>
      <c r="BS91" s="42">
        <f>IFERROR(VLOOKUP(A91,'Trans 21-23'!$A$2:$J$229,5,0),0)</f>
        <v>410256551</v>
      </c>
      <c r="BT91" s="43"/>
      <c r="BU91" s="6">
        <f t="shared" si="0"/>
        <v>6818186648</v>
      </c>
      <c r="BV91" s="6">
        <f t="shared" si="1"/>
        <v>6486</v>
      </c>
      <c r="BW91" s="6">
        <f t="shared" si="2"/>
        <v>1320806</v>
      </c>
      <c r="BX91" s="6">
        <f t="shared" si="3"/>
        <v>217847093</v>
      </c>
      <c r="BY91" s="6">
        <f t="shared" si="4"/>
        <v>64550023</v>
      </c>
      <c r="BZ91" s="6">
        <f t="shared" si="5"/>
        <v>303925052</v>
      </c>
      <c r="CA91" s="6">
        <f t="shared" si="6"/>
        <v>197121601</v>
      </c>
      <c r="CB91" s="6">
        <f t="shared" si="7"/>
        <v>1907700</v>
      </c>
      <c r="CC91" s="6">
        <f t="shared" si="8"/>
        <v>29090943</v>
      </c>
      <c r="CD91" s="6">
        <f t="shared" si="60"/>
        <v>1</v>
      </c>
      <c r="CE91" s="44">
        <f t="shared" si="10"/>
        <v>14</v>
      </c>
      <c r="CF91" s="27"/>
      <c r="CG91" s="28">
        <f t="shared" si="11"/>
        <v>1051.2159494295406</v>
      </c>
      <c r="CH91" s="28">
        <f t="shared" si="12"/>
        <v>4.9106378983741745</v>
      </c>
      <c r="CI91" s="28">
        <f t="shared" si="13"/>
        <v>164.93496622516858</v>
      </c>
      <c r="CJ91" s="28">
        <f t="shared" si="14"/>
        <v>230.10574755111651</v>
      </c>
      <c r="CK91" s="23">
        <f t="shared" si="15"/>
        <v>6.5577111061679919E-2</v>
      </c>
      <c r="CL91" s="29" t="str">
        <f t="shared" si="16"/>
        <v/>
      </c>
      <c r="CM91" s="29" t="str">
        <f t="shared" si="17"/>
        <v/>
      </c>
      <c r="CN91" s="29" t="str">
        <f t="shared" si="18"/>
        <v/>
      </c>
      <c r="CO91" s="29" t="str">
        <f t="shared" si="19"/>
        <v/>
      </c>
      <c r="CP91" s="29" t="str">
        <f t="shared" si="20"/>
        <v/>
      </c>
      <c r="CQ91" s="29">
        <f t="shared" si="21"/>
        <v>0</v>
      </c>
      <c r="CR91" s="13"/>
      <c r="CS91" s="7">
        <f>VLOOKUP(A91,'Empresas 21-23'!$A$2:$M$228,13,0)</f>
        <v>1</v>
      </c>
      <c r="CT91" s="30"/>
      <c r="CU91" s="6">
        <f t="shared" si="22"/>
        <v>5453891598.1999998</v>
      </c>
      <c r="CV91" s="6">
        <f t="shared" si="23"/>
        <v>303925052</v>
      </c>
      <c r="CW91" s="6">
        <f t="shared" si="24"/>
        <v>187073307</v>
      </c>
      <c r="CX91" s="23">
        <f t="shared" si="61"/>
        <v>0.59478289842263465</v>
      </c>
      <c r="CY91" s="23">
        <f t="shared" si="62"/>
        <v>3.3145034160831324E-2</v>
      </c>
      <c r="CZ91" s="6">
        <f t="shared" si="25"/>
        <v>5565159601.9549675</v>
      </c>
      <c r="DA91" s="6">
        <f t="shared" si="26"/>
        <v>310125603.15109468</v>
      </c>
      <c r="DB91" s="6">
        <f t="shared" si="27"/>
        <v>217847093</v>
      </c>
      <c r="DC91" s="6">
        <f t="shared" si="28"/>
        <v>224285962</v>
      </c>
      <c r="DD91" s="6">
        <f t="shared" si="29"/>
        <v>64550023</v>
      </c>
      <c r="DE91" s="6">
        <f t="shared" si="30"/>
        <v>197121601</v>
      </c>
      <c r="DF91" s="6">
        <f t="shared" si="31"/>
        <v>167251194.29812539</v>
      </c>
      <c r="DG91" s="30"/>
      <c r="DH91" s="32">
        <f>VLOOKUP(A91,'T_med_comp-USA'!$A$7:$Q$233,17,0)</f>
        <v>15.211370661856096</v>
      </c>
      <c r="DI91" s="6" t="str">
        <f t="shared" si="32"/>
        <v>10_2006</v>
      </c>
      <c r="DJ91" s="32">
        <f>IF(DI91="","",VLOOKUP(DI91,'CPI USA'!$T:$U,2,FALSE))</f>
        <v>201.6</v>
      </c>
      <c r="DK91" s="32">
        <f>IF(DI91="","",VLOOKUP(DI91,'PPI USA'!$S:$T,2,FALSE))</f>
        <v>145.30000000000001</v>
      </c>
      <c r="DL91" s="32">
        <f>IF(DI91="","",VLOOKUP(DI91,'CPI USA'!$T:$V,3,FALSE))</f>
        <v>0.67263024008352756</v>
      </c>
      <c r="DM91" s="32">
        <f>IF(DI91="","",VLOOKUP(DI91,'CPI USA'!$T:$X,5,FALSE))</f>
        <v>0.50115228263529643</v>
      </c>
      <c r="DN91" s="32">
        <f t="shared" si="33"/>
        <v>1.595396421204319</v>
      </c>
      <c r="DO91" s="32">
        <f t="shared" si="34"/>
        <v>1.6147712829199015</v>
      </c>
      <c r="DP91" s="32">
        <f t="shared" si="35"/>
        <v>0.42512920383720282</v>
      </c>
      <c r="DQ91" s="32">
        <f>IF(DP91="","",DP91*$DO$1/'CPI USA'!$U$508+(1-DP91)*AVERAGE($DO$1,$DQ$1)/AVERAGE('CPI USA'!$U$508,'PPI USA'!$T$514))</f>
        <v>1.1608531485756393</v>
      </c>
      <c r="DR91" s="6">
        <f t="shared" si="36"/>
        <v>27228222</v>
      </c>
      <c r="DS91" s="32">
        <f t="shared" si="37"/>
        <v>0.4243000552441194</v>
      </c>
      <c r="DT91" s="28">
        <f>IF(DS91="","",DS91*$DO$1/'CPI USA'!$U$508+(1-DS91)*AVERAGE($DO$1,$DQ$1)/AVERAGE('CPI USA'!$U$508,'PPI USA'!$T$514))</f>
        <v>1.1609021560142279</v>
      </c>
      <c r="DU91" s="6">
        <f t="shared" si="38"/>
        <v>24325181.56202263</v>
      </c>
      <c r="DV91" s="6">
        <f t="shared" si="39"/>
        <v>421600.24608657835</v>
      </c>
      <c r="DW91" s="6">
        <f t="shared" si="40"/>
        <v>18013828.021830373</v>
      </c>
      <c r="DX91" s="16">
        <f t="shared" si="41"/>
        <v>0.2</v>
      </c>
      <c r="DY91" s="28">
        <f>IF(DX91="","",DX91*$DO$1/'CPI USA'!$U$508+(1-DX91)*AVERAGE($DO$1,$DQ$1)/AVERAGE('CPI USA'!$U$508,'PPI USA'!$T$514))</f>
        <v>1.1741595760647974</v>
      </c>
      <c r="DZ91" s="30"/>
      <c r="EA91" s="45" t="str">
        <f t="shared" si="42"/>
        <v>C001111</v>
      </c>
      <c r="EB91" s="29">
        <f t="shared" si="43"/>
        <v>8878635712.3898067</v>
      </c>
      <c r="EC91" s="29">
        <f t="shared" si="44"/>
        <v>500781918.0666014</v>
      </c>
      <c r="ED91" s="29">
        <f t="shared" si="45"/>
        <v>260363065.16901618</v>
      </c>
      <c r="EE91" s="29">
        <f t="shared" si="46"/>
        <v>74936260.871467993</v>
      </c>
      <c r="EF91" s="29">
        <f t="shared" si="47"/>
        <v>196379591.39341795</v>
      </c>
      <c r="EG91" s="29">
        <f t="shared" si="48"/>
        <v>6486</v>
      </c>
      <c r="EH91" s="29">
        <f t="shared" si="49"/>
        <v>1320806</v>
      </c>
      <c r="EI91" s="29">
        <f t="shared" si="50"/>
        <v>1907700</v>
      </c>
      <c r="EJ91" s="29">
        <f t="shared" si="51"/>
        <v>29090943</v>
      </c>
      <c r="EK91" s="29">
        <f t="shared" si="52"/>
        <v>30998643</v>
      </c>
      <c r="EL91" s="29">
        <f>IF(CD91=1,VLOOKUP(EA91,'EIA 2021'!$A$2:$J$213,4,0)*EH91,"")</f>
        <v>101370539.69399999</v>
      </c>
      <c r="EM91" s="29">
        <f>IF(CD91=1,VLOOKUP(EA91,'EIA 2021'!$A$2:$J$213,7,0)*EH91,"")</f>
        <v>1343259.7019999998</v>
      </c>
      <c r="EN91" s="29">
        <f>IF(CD91=1,VLOOKUP(EA91,'EIA 2021'!$A$2:$J$213,10,0),"")</f>
        <v>1350574</v>
      </c>
      <c r="EO91" s="28">
        <f>IF(CD91=1,VLOOKUP(EA91,'EIA 2021'!$A$2:$Z$213,26,0),"")</f>
        <v>0</v>
      </c>
      <c r="EP91" s="23">
        <f t="shared" si="53"/>
        <v>6.1541403602731901E-2</v>
      </c>
      <c r="EQ91" s="32">
        <f t="shared" si="54"/>
        <v>0</v>
      </c>
      <c r="ER91" s="32">
        <f t="shared" si="55"/>
        <v>1907700</v>
      </c>
      <c r="ES91" s="6"/>
      <c r="ET91" s="32"/>
    </row>
    <row r="92" spans="1:150" ht="15.75" customHeight="1">
      <c r="A92" s="7" t="s">
        <v>477</v>
      </c>
      <c r="B92" s="7" t="s">
        <v>478</v>
      </c>
      <c r="C92" s="32" t="s">
        <v>479</v>
      </c>
      <c r="D92" s="40">
        <v>238381596</v>
      </c>
      <c r="E92" s="40">
        <v>0</v>
      </c>
      <c r="F92" s="40">
        <v>235882061</v>
      </c>
      <c r="G92" s="40">
        <v>302545417</v>
      </c>
      <c r="H92" s="40">
        <v>307205199</v>
      </c>
      <c r="I92" s="40">
        <v>811954</v>
      </c>
      <c r="J92" s="40">
        <v>162981</v>
      </c>
      <c r="K92" s="40">
        <v>0</v>
      </c>
      <c r="L92" s="40">
        <v>1153505</v>
      </c>
      <c r="M92" s="40">
        <v>984238</v>
      </c>
      <c r="N92" s="40">
        <v>360869</v>
      </c>
      <c r="O92" s="40">
        <v>1275999</v>
      </c>
      <c r="P92" s="40">
        <v>1333</v>
      </c>
      <c r="Q92" s="40">
        <v>145336</v>
      </c>
      <c r="R92" s="40">
        <v>97186</v>
      </c>
      <c r="S92" s="40">
        <v>956454</v>
      </c>
      <c r="T92" s="40">
        <v>12510893</v>
      </c>
      <c r="U92" s="40">
        <v>781117</v>
      </c>
      <c r="V92" s="40">
        <v>77002</v>
      </c>
      <c r="W92" s="40">
        <v>140461</v>
      </c>
      <c r="X92" s="40">
        <f>IFERROR(VLOOKUP(A92,'Trans 21-23'!$A$2:$J$229,6,0),0)</f>
        <v>2456770</v>
      </c>
      <c r="Y92" s="41">
        <v>2420479</v>
      </c>
      <c r="Z92" s="41">
        <v>122888</v>
      </c>
      <c r="AA92" s="41">
        <v>12053677</v>
      </c>
      <c r="AB92" s="41">
        <v>5428923</v>
      </c>
      <c r="AC92" s="41">
        <v>39391</v>
      </c>
      <c r="AD92" s="41">
        <v>65736427</v>
      </c>
      <c r="AE92" s="41">
        <v>0</v>
      </c>
      <c r="AF92" s="41">
        <v>476086915</v>
      </c>
      <c r="AG92" s="41">
        <v>178985</v>
      </c>
      <c r="AH92" s="41">
        <v>343525</v>
      </c>
      <c r="AI92" s="41">
        <v>6072852</v>
      </c>
      <c r="AJ92" s="41">
        <v>10457</v>
      </c>
      <c r="AK92" s="41">
        <v>0</v>
      </c>
      <c r="AL92" s="41">
        <v>1922500</v>
      </c>
      <c r="AM92" s="41">
        <v>1527566</v>
      </c>
      <c r="AN92" s="41">
        <v>1148401</v>
      </c>
      <c r="AO92" s="41">
        <v>24489</v>
      </c>
      <c r="AP92" s="41">
        <v>108875</v>
      </c>
      <c r="AQ92" s="41">
        <v>4736111</v>
      </c>
      <c r="AR92" s="41">
        <v>982759</v>
      </c>
      <c r="AS92" s="41">
        <v>5718870</v>
      </c>
      <c r="AT92" s="41">
        <v>0</v>
      </c>
      <c r="AU92" s="41">
        <v>1220</v>
      </c>
      <c r="AV92" s="41">
        <v>0</v>
      </c>
      <c r="AW92" s="41">
        <v>257685465</v>
      </c>
      <c r="AX92" s="41">
        <v>64341905</v>
      </c>
      <c r="AY92" s="41">
        <v>82429767</v>
      </c>
      <c r="AZ92" s="41">
        <v>49087130</v>
      </c>
      <c r="BA92" s="41">
        <v>23175004</v>
      </c>
      <c r="BB92" s="41">
        <v>1297612562</v>
      </c>
      <c r="BC92" s="41">
        <v>0</v>
      </c>
      <c r="BD92" s="41">
        <v>128198484</v>
      </c>
      <c r="BE92" s="41">
        <v>468995922</v>
      </c>
      <c r="BF92" s="41">
        <v>35108422</v>
      </c>
      <c r="BG92" s="41">
        <v>0</v>
      </c>
      <c r="BH92" s="41">
        <v>7269766</v>
      </c>
      <c r="BI92" s="41">
        <v>4968660</v>
      </c>
      <c r="BJ92" s="41">
        <v>1317781</v>
      </c>
      <c r="BK92" s="41">
        <v>32613</v>
      </c>
      <c r="BL92" s="41">
        <v>0</v>
      </c>
      <c r="BM92" s="41">
        <v>11507153</v>
      </c>
      <c r="BN92" s="41">
        <v>41894157</v>
      </c>
      <c r="BO92" s="41">
        <v>387301</v>
      </c>
      <c r="BP92" s="41">
        <v>15638820</v>
      </c>
      <c r="BQ92" s="41">
        <v>75539438</v>
      </c>
      <c r="BR92" s="41">
        <v>4279</v>
      </c>
      <c r="BS92" s="42">
        <f>IFERROR(VLOOKUP(A92,'Trans 21-23'!$A$2:$J$229,5,0),0)</f>
        <v>149784101</v>
      </c>
      <c r="BT92" s="43"/>
      <c r="BU92" s="6">
        <f t="shared" si="0"/>
        <v>1297612562</v>
      </c>
      <c r="BV92" s="6">
        <f t="shared" si="1"/>
        <v>1220</v>
      </c>
      <c r="BW92" s="6">
        <f t="shared" si="2"/>
        <v>178985</v>
      </c>
      <c r="BX92" s="6">
        <f t="shared" si="3"/>
        <v>19459328</v>
      </c>
      <c r="BY92" s="6">
        <f t="shared" si="4"/>
        <v>20065358</v>
      </c>
      <c r="BZ92" s="6">
        <f t="shared" si="5"/>
        <v>49087130</v>
      </c>
      <c r="CA92" s="6">
        <f t="shared" si="6"/>
        <v>65736427</v>
      </c>
      <c r="CB92" s="6">
        <f t="shared" si="7"/>
        <v>343525</v>
      </c>
      <c r="CC92" s="6">
        <f t="shared" si="8"/>
        <v>4736111</v>
      </c>
      <c r="CD92" s="6">
        <f t="shared" si="60"/>
        <v>0</v>
      </c>
      <c r="CE92" s="44">
        <f t="shared" si="10"/>
        <v>9</v>
      </c>
      <c r="CF92" s="27"/>
      <c r="CG92" s="28" t="str">
        <f t="shared" si="11"/>
        <v/>
      </c>
      <c r="CH92" s="28" t="str">
        <f t="shared" si="12"/>
        <v/>
      </c>
      <c r="CI92" s="28" t="str">
        <f t="shared" si="13"/>
        <v/>
      </c>
      <c r="CJ92" s="28" t="str">
        <f t="shared" si="14"/>
        <v/>
      </c>
      <c r="CK92" s="23" t="str">
        <f t="shared" si="15"/>
        <v/>
      </c>
      <c r="CL92" s="29" t="str">
        <f t="shared" si="16"/>
        <v/>
      </c>
      <c r="CM92" s="29" t="str">
        <f t="shared" si="17"/>
        <v/>
      </c>
      <c r="CN92" s="29" t="str">
        <f t="shared" si="18"/>
        <v/>
      </c>
      <c r="CO92" s="29" t="str">
        <f t="shared" si="19"/>
        <v/>
      </c>
      <c r="CP92" s="29" t="str">
        <f t="shared" si="20"/>
        <v/>
      </c>
      <c r="CQ92" s="29">
        <f t="shared" si="21"/>
        <v>0</v>
      </c>
      <c r="CR92" s="13"/>
      <c r="CS92" s="7">
        <f>VLOOKUP(A92,'Empresas 21-23'!$A$2:$M$228,13,0)</f>
        <v>1</v>
      </c>
      <c r="CT92" s="30"/>
      <c r="CU92" s="6">
        <f t="shared" si="22"/>
        <v>1287071525.8</v>
      </c>
      <c r="CV92" s="6">
        <f t="shared" si="23"/>
        <v>49087130</v>
      </c>
      <c r="CW92" s="6">
        <f t="shared" si="24"/>
        <v>128198484</v>
      </c>
      <c r="CX92" s="23">
        <v>0.42340723238432648</v>
      </c>
      <c r="CY92" s="23">
        <v>1.5889508869716025E-2</v>
      </c>
      <c r="CZ92" s="6">
        <f t="shared" si="25"/>
        <v>1341351691.1063063</v>
      </c>
      <c r="DA92" s="6">
        <f t="shared" si="26"/>
        <v>51124140.948602147</v>
      </c>
      <c r="DB92" s="6">
        <f t="shared" si="27"/>
        <v>19459328</v>
      </c>
      <c r="DC92" s="6">
        <f t="shared" si="28"/>
        <v>21916098</v>
      </c>
      <c r="DD92" s="6">
        <f t="shared" si="29"/>
        <v>20065358</v>
      </c>
      <c r="DE92" s="6">
        <f t="shared" si="30"/>
        <v>65736427</v>
      </c>
      <c r="DF92" s="6">
        <f t="shared" si="31"/>
        <v>-7436201.3730824338</v>
      </c>
      <c r="DG92" s="30"/>
      <c r="DH92" s="32">
        <f>VLOOKUP(A92,'T_med_comp-USA'!$A$7:$Q$233,17,0)</f>
        <v>13.244216337544451</v>
      </c>
      <c r="DI92" s="6" t="str">
        <f t="shared" si="32"/>
        <v>10_2008</v>
      </c>
      <c r="DJ92" s="32">
        <f>IF(DI92="","",VLOOKUP(DI92,'CPI USA'!$T:$U,2,FALSE))</f>
        <v>215.303</v>
      </c>
      <c r="DK92" s="32">
        <f>IF(DI92="","",VLOOKUP(DI92,'PPI USA'!$S:$T,2,FALSE))</f>
        <v>159.30000000000001</v>
      </c>
      <c r="DL92" s="32">
        <f>IF(DI92="","",VLOOKUP(DI92,'CPI USA'!$T:$V,3,FALSE))</f>
        <v>0.67018812038291731</v>
      </c>
      <c r="DM92" s="32">
        <f>IF(DI92="","",VLOOKUP(DI92,'CPI USA'!$T:$X,5,FALSE))</f>
        <v>0.49838492968660258</v>
      </c>
      <c r="DN92" s="32">
        <f t="shared" si="33"/>
        <v>1.4884333659448254</v>
      </c>
      <c r="DO92" s="32">
        <f t="shared" si="34"/>
        <v>1.5036496327119213</v>
      </c>
      <c r="DP92" s="32">
        <f t="shared" si="35"/>
        <v>0.37704144602800099</v>
      </c>
      <c r="DQ92" s="32">
        <f>IF(DP92="","",DP92*$DO$1/'CPI USA'!$U$508+(1-DP92)*AVERAGE($DO$1,$DQ$1)/AVERAGE('CPI USA'!$U$508,'PPI USA'!$T$514))</f>
        <v>1.1636954109365325</v>
      </c>
      <c r="DR92" s="6">
        <f t="shared" si="36"/>
        <v>6319054</v>
      </c>
      <c r="DS92" s="32">
        <f t="shared" si="37"/>
        <v>0.31783495082774149</v>
      </c>
      <c r="DT92" s="28">
        <f>IF(DS92="","",DS92*$DO$1/'CPI USA'!$U$508+(1-DS92)*AVERAGE($DO$1,$DQ$1)/AVERAGE('CPI USA'!$U$508,'PPI USA'!$T$514))</f>
        <v>1.167194854464255</v>
      </c>
      <c r="DU92" s="6">
        <f t="shared" si="38"/>
        <v>11613533.750519767</v>
      </c>
      <c r="DV92" s="6">
        <f t="shared" si="39"/>
        <v>3004281.0990607808</v>
      </c>
      <c r="DW92" s="6">
        <f t="shared" si="40"/>
        <v>4741445.3233723538</v>
      </c>
      <c r="DX92" s="16">
        <f t="shared" si="41"/>
        <v>0.2</v>
      </c>
      <c r="DY92" s="28">
        <f>IF(DX92="","",DX92*$DO$1/'CPI USA'!$U$508+(1-DX92)*AVERAGE($DO$1,$DQ$1)/AVERAGE('CPI USA'!$U$508,'PPI USA'!$T$514))</f>
        <v>1.1741595760647974</v>
      </c>
      <c r="DZ92" s="30"/>
      <c r="EA92" s="45" t="str">
        <f t="shared" si="42"/>
        <v>C001130</v>
      </c>
      <c r="EB92" s="29" t="str">
        <f t="shared" si="43"/>
        <v/>
      </c>
      <c r="EC92" s="29" t="str">
        <f t="shared" si="44"/>
        <v/>
      </c>
      <c r="ED92" s="29" t="str">
        <f t="shared" si="45"/>
        <v/>
      </c>
      <c r="EE92" s="29" t="str">
        <f t="shared" si="46"/>
        <v/>
      </c>
      <c r="EF92" s="29" t="str">
        <f t="shared" si="47"/>
        <v/>
      </c>
      <c r="EG92" s="29" t="str">
        <f t="shared" si="48"/>
        <v/>
      </c>
      <c r="EH92" s="29" t="str">
        <f t="shared" si="49"/>
        <v/>
      </c>
      <c r="EI92" s="29" t="str">
        <f t="shared" si="50"/>
        <v/>
      </c>
      <c r="EJ92" s="29" t="str">
        <f t="shared" si="51"/>
        <v/>
      </c>
      <c r="EK92" s="29" t="str">
        <f t="shared" si="52"/>
        <v/>
      </c>
      <c r="EL92" s="29" t="str">
        <f>IF(CD92=1,VLOOKUP(EA92,'EIA 2021'!$A$2:$J$213,4,0)*EH92,"")</f>
        <v/>
      </c>
      <c r="EM92" s="29" t="str">
        <f>IF(CD92=1,VLOOKUP(EA92,'EIA 2021'!$A$2:$J$213,7,0)*EH92,"")</f>
        <v/>
      </c>
      <c r="EN92" s="29" t="str">
        <f>IF(CD92=1,VLOOKUP(EA92,'EIA 2021'!$A$2:$J$213,10,0),"")</f>
        <v/>
      </c>
      <c r="EO92" s="28" t="str">
        <f>IF(CD92=1,VLOOKUP(EA92,'EIA 2021'!$A$2:$Z$213,26,0),"")</f>
        <v/>
      </c>
      <c r="EP92" s="23" t="str">
        <f t="shared" si="53"/>
        <v/>
      </c>
      <c r="EQ92" s="32" t="str">
        <f t="shared" si="54"/>
        <v/>
      </c>
      <c r="ER92" s="32" t="str">
        <f t="shared" si="55"/>
        <v/>
      </c>
      <c r="ES92" s="6"/>
      <c r="ET92" s="32"/>
    </row>
    <row r="93" spans="1:150" ht="15.75" customHeight="1">
      <c r="A93" s="7" t="s">
        <v>480</v>
      </c>
      <c r="B93" s="7" t="s">
        <v>481</v>
      </c>
      <c r="C93" s="32" t="s">
        <v>482</v>
      </c>
      <c r="D93" s="40">
        <v>37330033</v>
      </c>
      <c r="E93" s="40">
        <v>0</v>
      </c>
      <c r="F93" s="40">
        <v>199194004</v>
      </c>
      <c r="G93" s="40">
        <v>530010343</v>
      </c>
      <c r="H93" s="40">
        <v>556664464</v>
      </c>
      <c r="I93" s="40">
        <v>22809847</v>
      </c>
      <c r="J93" s="40">
        <v>2135285</v>
      </c>
      <c r="K93" s="40">
        <v>3293027</v>
      </c>
      <c r="L93" s="40">
        <v>5903535</v>
      </c>
      <c r="M93" s="40">
        <v>3817795</v>
      </c>
      <c r="N93" s="40">
        <v>1869800</v>
      </c>
      <c r="O93" s="40">
        <v>11686728</v>
      </c>
      <c r="P93" s="40">
        <v>2142897</v>
      </c>
      <c r="Q93" s="40">
        <v>286705</v>
      </c>
      <c r="R93" s="40">
        <v>235555</v>
      </c>
      <c r="S93" s="40">
        <v>4837440</v>
      </c>
      <c r="T93" s="40">
        <v>79678452</v>
      </c>
      <c r="U93" s="40">
        <v>9724536</v>
      </c>
      <c r="V93" s="40">
        <v>926877</v>
      </c>
      <c r="W93" s="40">
        <v>6765544</v>
      </c>
      <c r="X93" s="40">
        <f>IFERROR(VLOOKUP(A93,'Trans 21-23'!$A$2:$J$229,6,0),0)</f>
        <v>3009807</v>
      </c>
      <c r="Y93" s="41">
        <v>2414677</v>
      </c>
      <c r="Z93" s="41">
        <v>27303</v>
      </c>
      <c r="AA93" s="41">
        <v>70923056</v>
      </c>
      <c r="AB93" s="41">
        <v>18493251</v>
      </c>
      <c r="AC93" s="41">
        <v>0</v>
      </c>
      <c r="AD93" s="41">
        <v>242114888</v>
      </c>
      <c r="AE93" s="41">
        <v>0</v>
      </c>
      <c r="AF93" s="41">
        <v>1501217925</v>
      </c>
      <c r="AG93" s="41">
        <v>912249</v>
      </c>
      <c r="AH93" s="41">
        <v>1004193</v>
      </c>
      <c r="AI93" s="41">
        <v>25810853</v>
      </c>
      <c r="AJ93" s="41">
        <v>26630</v>
      </c>
      <c r="AK93" s="41">
        <v>0</v>
      </c>
      <c r="AL93" s="41">
        <v>7978099</v>
      </c>
      <c r="AM93" s="41">
        <v>6555280</v>
      </c>
      <c r="AN93" s="41">
        <v>3713680</v>
      </c>
      <c r="AO93" s="41">
        <v>48995</v>
      </c>
      <c r="AP93" s="41">
        <v>0</v>
      </c>
      <c r="AQ93" s="41">
        <v>18296054</v>
      </c>
      <c r="AR93" s="41">
        <v>6483976</v>
      </c>
      <c r="AS93" s="41">
        <v>24780030</v>
      </c>
      <c r="AT93" s="41">
        <v>0</v>
      </c>
      <c r="AU93" s="41">
        <v>4447</v>
      </c>
      <c r="AV93" s="41">
        <v>0</v>
      </c>
      <c r="AW93" s="41">
        <v>762610462</v>
      </c>
      <c r="AX93" s="41">
        <v>32805780</v>
      </c>
      <c r="AY93" s="41">
        <v>975884524</v>
      </c>
      <c r="AZ93" s="41">
        <v>211116363</v>
      </c>
      <c r="BA93" s="41">
        <v>151985730</v>
      </c>
      <c r="BB93" s="41">
        <v>4469972159</v>
      </c>
      <c r="BC93" s="41">
        <v>11847181743</v>
      </c>
      <c r="BD93" s="41">
        <v>917863091</v>
      </c>
      <c r="BE93" s="41">
        <v>2291154531</v>
      </c>
      <c r="BF93" s="41">
        <v>132833930</v>
      </c>
      <c r="BG93" s="41">
        <v>0</v>
      </c>
      <c r="BH93" s="41">
        <v>74088837</v>
      </c>
      <c r="BI93" s="41">
        <v>24456377</v>
      </c>
      <c r="BJ93" s="41">
        <v>7966541</v>
      </c>
      <c r="BK93" s="41">
        <v>0</v>
      </c>
      <c r="BL93" s="41">
        <v>0</v>
      </c>
      <c r="BM93" s="41">
        <v>83460084</v>
      </c>
      <c r="BN93" s="41">
        <v>238889508</v>
      </c>
      <c r="BO93" s="41">
        <v>24439982</v>
      </c>
      <c r="BP93" s="41">
        <v>69965129</v>
      </c>
      <c r="BQ93" s="41">
        <v>377235793</v>
      </c>
      <c r="BR93" s="41">
        <v>0</v>
      </c>
      <c r="BS93" s="42">
        <f>IFERROR(VLOOKUP(A93,'Trans 21-23'!$A$2:$J$229,5,0),0)</f>
        <v>170769695</v>
      </c>
      <c r="BT93" s="43"/>
      <c r="BU93" s="6">
        <f t="shared" si="0"/>
        <v>4469972159</v>
      </c>
      <c r="BV93" s="6">
        <f t="shared" si="1"/>
        <v>4447</v>
      </c>
      <c r="BW93" s="6">
        <f t="shared" si="2"/>
        <v>912249</v>
      </c>
      <c r="BX93" s="6">
        <f t="shared" si="3"/>
        <v>156114023</v>
      </c>
      <c r="BY93" s="6">
        <f t="shared" si="4"/>
        <v>91858287</v>
      </c>
      <c r="BZ93" s="6">
        <f t="shared" si="5"/>
        <v>211116363</v>
      </c>
      <c r="CA93" s="6">
        <f t="shared" si="6"/>
        <v>242114888</v>
      </c>
      <c r="CB93" s="6">
        <f t="shared" si="7"/>
        <v>1004193</v>
      </c>
      <c r="CC93" s="6">
        <f t="shared" si="8"/>
        <v>18296054</v>
      </c>
      <c r="CD93" s="6">
        <f t="shared" si="60"/>
        <v>1</v>
      </c>
      <c r="CE93" s="44">
        <f t="shared" si="10"/>
        <v>11</v>
      </c>
      <c r="CF93" s="27"/>
      <c r="CG93" s="28">
        <f t="shared" si="11"/>
        <v>1005.1657654598606</v>
      </c>
      <c r="CH93" s="28">
        <f t="shared" si="12"/>
        <v>4.8747655519490838</v>
      </c>
      <c r="CI93" s="28">
        <f t="shared" si="13"/>
        <v>171.13093354994086</v>
      </c>
      <c r="CJ93" s="28">
        <f t="shared" si="14"/>
        <v>231.42405527438231</v>
      </c>
      <c r="CK93" s="23">
        <f t="shared" si="15"/>
        <v>5.4885769357698663E-2</v>
      </c>
      <c r="CL93" s="29" t="str">
        <f t="shared" si="16"/>
        <v/>
      </c>
      <c r="CM93" s="29" t="str">
        <f t="shared" si="17"/>
        <v/>
      </c>
      <c r="CN93" s="29" t="str">
        <f t="shared" si="18"/>
        <v/>
      </c>
      <c r="CO93" s="29" t="str">
        <f t="shared" si="19"/>
        <v/>
      </c>
      <c r="CP93" s="29" t="str">
        <f t="shared" si="20"/>
        <v/>
      </c>
      <c r="CQ93" s="29">
        <f t="shared" si="21"/>
        <v>0</v>
      </c>
      <c r="CR93" s="13"/>
      <c r="CS93" s="7">
        <f>VLOOKUP(A93,'Empresas 21-23'!$A$2:$M$228,13,0)</f>
        <v>1</v>
      </c>
      <c r="CT93" s="30"/>
      <c r="CU93" s="6">
        <f t="shared" si="22"/>
        <v>3672425578.5999999</v>
      </c>
      <c r="CV93" s="6">
        <f t="shared" si="23"/>
        <v>211116363</v>
      </c>
      <c r="CW93" s="6">
        <f t="shared" si="24"/>
        <v>917863091</v>
      </c>
      <c r="CX93" s="23">
        <f t="shared" ref="CX93:CX108" si="63">CU93/(BC93-BD93)</f>
        <v>0.33601596728337391</v>
      </c>
      <c r="CY93" s="23">
        <f t="shared" ref="CY93:CY108" si="64">CV93/(BC93-BD93)</f>
        <v>1.931651640163012E-2</v>
      </c>
      <c r="CZ93" s="6">
        <f t="shared" si="25"/>
        <v>3980842232.9560723</v>
      </c>
      <c r="DA93" s="6">
        <f t="shared" si="26"/>
        <v>228846280.45175242</v>
      </c>
      <c r="DB93" s="6">
        <f t="shared" si="27"/>
        <v>156114023</v>
      </c>
      <c r="DC93" s="6">
        <f t="shared" si="28"/>
        <v>159123830</v>
      </c>
      <c r="DD93" s="6">
        <f t="shared" si="29"/>
        <v>91858287</v>
      </c>
      <c r="DE93" s="6">
        <f t="shared" si="30"/>
        <v>242114888</v>
      </c>
      <c r="DF93" s="6">
        <f t="shared" si="31"/>
        <v>130424149.60725307</v>
      </c>
      <c r="DG93" s="30"/>
      <c r="DH93" s="32">
        <f>VLOOKUP(A93,'T_med_comp-USA'!$A$7:$Q$233,17,0)</f>
        <v>18.021127484266913</v>
      </c>
      <c r="DI93" s="6" t="str">
        <f t="shared" si="32"/>
        <v>12_2003</v>
      </c>
      <c r="DJ93" s="32">
        <f>IF(DI93="","",VLOOKUP(DI93,'CPI USA'!$T:$U,2,FALSE))</f>
        <v>184</v>
      </c>
      <c r="DK93" s="32">
        <f>IF(DI93="","",VLOOKUP(DI93,'PPI USA'!$S:$T,2,FALSE))</f>
        <v>122.6</v>
      </c>
      <c r="DL93" s="32">
        <f>IF(DI93="","",VLOOKUP(DI93,'CPI USA'!$T:$V,3,FALSE))</f>
        <v>0.67966838867333434</v>
      </c>
      <c r="DM93" s="32">
        <f>IF(DI93="","",VLOOKUP(DI93,'CPI USA'!$T:$X,5,FALSE))</f>
        <v>0.509186952863521</v>
      </c>
      <c r="DN93" s="32">
        <f t="shared" si="33"/>
        <v>1.7662899637984153</v>
      </c>
      <c r="DO93" s="32">
        <f t="shared" si="34"/>
        <v>1.7975926193363585</v>
      </c>
      <c r="DP93" s="32">
        <f t="shared" si="35"/>
        <v>0.52313440604555095</v>
      </c>
      <c r="DQ93" s="32">
        <f>IF(DP93="","",DP93*$DO$1/'CPI USA'!$U$508+(1-DP93)*AVERAGE($DO$1,$DQ$1)/AVERAGE('CPI USA'!$U$508,'PPI USA'!$T$514))</f>
        <v>1.155060478879669</v>
      </c>
      <c r="DR93" s="6">
        <f t="shared" si="36"/>
        <v>32422918</v>
      </c>
      <c r="DS93" s="32">
        <f t="shared" si="37"/>
        <v>0.38907755462650001</v>
      </c>
      <c r="DT93" s="28">
        <f>IF(DS93="","",DS93*$DO$1/'CPI USA'!$U$508+(1-DS93)*AVERAGE($DO$1,$DQ$1)/AVERAGE('CPI USA'!$U$508,'PPI USA'!$T$514))</f>
        <v>1.1629840078684819</v>
      </c>
      <c r="DU93" s="6">
        <f t="shared" si="38"/>
        <v>91998604.455567628</v>
      </c>
      <c r="DV93" s="6">
        <f t="shared" si="39"/>
        <v>19003752.155821931</v>
      </c>
      <c r="DW93" s="6">
        <f t="shared" si="40"/>
        <v>49491733.273672931</v>
      </c>
      <c r="DX93" s="16">
        <f t="shared" si="41"/>
        <v>0.37946755583768532</v>
      </c>
      <c r="DY93" s="28">
        <f>IF(DX93="","",DX93*$DO$1/'CPI USA'!$U$508+(1-DX93)*AVERAGE($DO$1,$DQ$1)/AVERAGE('CPI USA'!$U$508,'PPI USA'!$T$514))</f>
        <v>1.1635520139284452</v>
      </c>
      <c r="DZ93" s="30"/>
      <c r="EA93" s="45" t="str">
        <f t="shared" si="42"/>
        <v>C001132</v>
      </c>
      <c r="EB93" s="29">
        <f t="shared" si="43"/>
        <v>7031321683.5351839</v>
      </c>
      <c r="EC93" s="29">
        <f t="shared" si="44"/>
        <v>411372384.70264852</v>
      </c>
      <c r="ED93" s="29">
        <f t="shared" si="45"/>
        <v>183797647.28096703</v>
      </c>
      <c r="EE93" s="29">
        <f t="shared" si="46"/>
        <v>106829718.77119327</v>
      </c>
      <c r="EF93" s="29">
        <f t="shared" si="47"/>
        <v>151755281.94042414</v>
      </c>
      <c r="EG93" s="29">
        <f t="shared" si="48"/>
        <v>4447</v>
      </c>
      <c r="EH93" s="29">
        <f t="shared" si="49"/>
        <v>912249</v>
      </c>
      <c r="EI93" s="29">
        <f t="shared" si="50"/>
        <v>1004193</v>
      </c>
      <c r="EJ93" s="29">
        <f t="shared" si="51"/>
        <v>18296054</v>
      </c>
      <c r="EK93" s="29">
        <f t="shared" si="52"/>
        <v>19201506.248730965</v>
      </c>
      <c r="EL93" s="29">
        <f>IF(CD93=1,VLOOKUP(EA93,'EIA 2021'!$A$2:$J$213,4,0)*EH93,"")</f>
        <v>108557631</v>
      </c>
      <c r="EM93" s="29">
        <f>IF(CD93=1,VLOOKUP(EA93,'EIA 2021'!$A$2:$J$213,7,0)*EH93,"")</f>
        <v>1523455.8299999998</v>
      </c>
      <c r="EN93" s="29">
        <f>IF(CD93=1,VLOOKUP(EA93,'EIA 2021'!$A$2:$J$213,10,0),"")</f>
        <v>912209</v>
      </c>
      <c r="EO93" s="28">
        <f>IF(CD93=1,VLOOKUP(EA93,'EIA 2021'!$A$2:$Z$213,26,0),"")</f>
        <v>0</v>
      </c>
      <c r="EP93" s="23">
        <f t="shared" si="53"/>
        <v>4.7155271935544418E-2</v>
      </c>
      <c r="EQ93" s="32">
        <f t="shared" si="54"/>
        <v>98740.751269035973</v>
      </c>
      <c r="ER93" s="32">
        <f t="shared" si="55"/>
        <v>905452.24873096403</v>
      </c>
      <c r="ES93" s="6"/>
      <c r="ET93" s="32"/>
    </row>
    <row r="94" spans="1:150" ht="15.75" customHeight="1">
      <c r="A94" s="7" t="s">
        <v>483</v>
      </c>
      <c r="B94" s="7" t="s">
        <v>484</v>
      </c>
      <c r="C94" s="32" t="s">
        <v>485</v>
      </c>
      <c r="D94" s="40">
        <v>211642185</v>
      </c>
      <c r="E94" s="40">
        <v>20587318</v>
      </c>
      <c r="F94" s="40">
        <v>54153474</v>
      </c>
      <c r="G94" s="40">
        <v>217053963</v>
      </c>
      <c r="H94" s="40">
        <v>220015362</v>
      </c>
      <c r="I94" s="40">
        <v>7322739</v>
      </c>
      <c r="J94" s="40">
        <v>4796629</v>
      </c>
      <c r="K94" s="40">
        <v>531576</v>
      </c>
      <c r="L94" s="40">
        <v>2435044</v>
      </c>
      <c r="M94" s="40">
        <v>4048468</v>
      </c>
      <c r="N94" s="40">
        <v>833259</v>
      </c>
      <c r="O94" s="40">
        <v>14373817</v>
      </c>
      <c r="P94" s="40">
        <v>170243</v>
      </c>
      <c r="Q94" s="40">
        <v>119821</v>
      </c>
      <c r="R94" s="40">
        <v>0</v>
      </c>
      <c r="S94" s="40">
        <v>2585068</v>
      </c>
      <c r="T94" s="40">
        <v>35337062</v>
      </c>
      <c r="U94" s="40">
        <v>2684127</v>
      </c>
      <c r="V94" s="40">
        <v>508</v>
      </c>
      <c r="W94" s="40">
        <v>507954</v>
      </c>
      <c r="X94" s="40">
        <f>IFERROR(VLOOKUP(A94,'Trans 21-23'!$A$2:$J$229,6,0),0)</f>
        <v>7874516</v>
      </c>
      <c r="Y94" s="41">
        <v>2483391</v>
      </c>
      <c r="Z94" s="41">
        <v>348765</v>
      </c>
      <c r="AA94" s="41">
        <v>36167642</v>
      </c>
      <c r="AB94" s="41">
        <v>41289156</v>
      </c>
      <c r="AC94" s="41">
        <v>4046369</v>
      </c>
      <c r="AD94" s="41">
        <v>42905596</v>
      </c>
      <c r="AE94" s="41">
        <v>0</v>
      </c>
      <c r="AF94" s="41">
        <v>1146913534</v>
      </c>
      <c r="AG94" s="41">
        <v>804317</v>
      </c>
      <c r="AH94" s="41">
        <v>767328</v>
      </c>
      <c r="AI94" s="41">
        <v>44884586</v>
      </c>
      <c r="AJ94" s="41">
        <v>31862</v>
      </c>
      <c r="AK94" s="41">
        <v>0</v>
      </c>
      <c r="AL94" s="41">
        <v>6718177</v>
      </c>
      <c r="AM94" s="41">
        <v>3841475</v>
      </c>
      <c r="AN94" s="41">
        <v>15943672</v>
      </c>
      <c r="AO94" s="41">
        <v>49587</v>
      </c>
      <c r="AP94" s="41">
        <v>1489348</v>
      </c>
      <c r="AQ94" s="41">
        <v>28074100</v>
      </c>
      <c r="AR94" s="41">
        <v>16011296</v>
      </c>
      <c r="AS94" s="41">
        <v>44085396</v>
      </c>
      <c r="AT94" s="41">
        <v>0</v>
      </c>
      <c r="AU94" s="41">
        <v>5236</v>
      </c>
      <c r="AV94" s="41">
        <v>0</v>
      </c>
      <c r="AW94" s="41">
        <v>621622685</v>
      </c>
      <c r="AX94" s="41">
        <v>122849557</v>
      </c>
      <c r="AY94" s="41">
        <v>801985174</v>
      </c>
      <c r="AZ94" s="41">
        <v>86538794</v>
      </c>
      <c r="BA94" s="41">
        <v>125266943</v>
      </c>
      <c r="BB94" s="41">
        <v>3618164776</v>
      </c>
      <c r="BC94" s="41">
        <v>24355599024</v>
      </c>
      <c r="BD94" s="41">
        <v>970725542</v>
      </c>
      <c r="BE94" s="41">
        <v>1295009151</v>
      </c>
      <c r="BF94" s="41">
        <v>89214097</v>
      </c>
      <c r="BG94" s="41">
        <v>0</v>
      </c>
      <c r="BH94" s="41">
        <v>40931694</v>
      </c>
      <c r="BI94" s="41">
        <v>19543392</v>
      </c>
      <c r="BJ94" s="41">
        <v>1598</v>
      </c>
      <c r="BK94" s="41">
        <v>2677323</v>
      </c>
      <c r="BL94" s="41">
        <v>0</v>
      </c>
      <c r="BM94" s="41">
        <v>32839521</v>
      </c>
      <c r="BN94" s="41">
        <v>159607608</v>
      </c>
      <c r="BO94" s="41">
        <v>4181024</v>
      </c>
      <c r="BP94" s="41">
        <v>36089040</v>
      </c>
      <c r="BQ94" s="41">
        <v>357652867</v>
      </c>
      <c r="BR94" s="41">
        <v>31841</v>
      </c>
      <c r="BS94" s="42">
        <f>IFERROR(VLOOKUP(A94,'Trans 21-23'!$A$2:$J$229,5,0),0)</f>
        <v>237880001</v>
      </c>
      <c r="BT94" s="43"/>
      <c r="BU94" s="6">
        <f t="shared" si="0"/>
        <v>3618164776</v>
      </c>
      <c r="BV94" s="6">
        <f t="shared" si="1"/>
        <v>5236</v>
      </c>
      <c r="BW94" s="6">
        <f t="shared" si="2"/>
        <v>804317</v>
      </c>
      <c r="BX94" s="6">
        <f t="shared" si="3"/>
        <v>75746315</v>
      </c>
      <c r="BY94" s="6">
        <f t="shared" si="4"/>
        <v>84335323</v>
      </c>
      <c r="BZ94" s="6">
        <f t="shared" si="5"/>
        <v>86538794</v>
      </c>
      <c r="CA94" s="6">
        <f t="shared" si="6"/>
        <v>42905596</v>
      </c>
      <c r="CB94" s="6">
        <f t="shared" si="7"/>
        <v>767328</v>
      </c>
      <c r="CC94" s="6">
        <f t="shared" si="8"/>
        <v>28074100</v>
      </c>
      <c r="CD94" s="6">
        <f t="shared" si="60"/>
        <v>1</v>
      </c>
      <c r="CE94" s="44">
        <f t="shared" si="10"/>
        <v>7</v>
      </c>
      <c r="CF94" s="27"/>
      <c r="CG94" s="28">
        <f t="shared" si="11"/>
        <v>691.01695492742545</v>
      </c>
      <c r="CH94" s="28">
        <f t="shared" si="12"/>
        <v>6.5098711080332752</v>
      </c>
      <c r="CI94" s="28">
        <f t="shared" si="13"/>
        <v>94.174703506204636</v>
      </c>
      <c r="CJ94" s="28">
        <f t="shared" si="14"/>
        <v>107.59289434389675</v>
      </c>
      <c r="CK94" s="23">
        <f t="shared" si="15"/>
        <v>2.7332238611389146E-2</v>
      </c>
      <c r="CL94" s="29" t="str">
        <f t="shared" si="16"/>
        <v/>
      </c>
      <c r="CM94" s="29" t="str">
        <f t="shared" si="17"/>
        <v/>
      </c>
      <c r="CN94" s="29" t="str">
        <f t="shared" si="18"/>
        <v/>
      </c>
      <c r="CO94" s="29" t="str">
        <f t="shared" si="19"/>
        <v/>
      </c>
      <c r="CP94" s="29" t="str">
        <f t="shared" si="20"/>
        <v/>
      </c>
      <c r="CQ94" s="29">
        <f t="shared" si="21"/>
        <v>0</v>
      </c>
      <c r="CR94" s="13"/>
      <c r="CS94" s="7">
        <f>VLOOKUP(A94,'Empresas 21-23'!$A$2:$M$228,13,0)</f>
        <v>1</v>
      </c>
      <c r="CT94" s="30"/>
      <c r="CU94" s="6">
        <f t="shared" si="22"/>
        <v>3089338201.4000001</v>
      </c>
      <c r="CV94" s="6">
        <f t="shared" si="23"/>
        <v>86538794</v>
      </c>
      <c r="CW94" s="6">
        <f t="shared" si="24"/>
        <v>970725542</v>
      </c>
      <c r="CX94" s="23">
        <f t="shared" si="63"/>
        <v>0.13210839920848627</v>
      </c>
      <c r="CY94" s="23">
        <f t="shared" si="64"/>
        <v>3.7006312677556868E-3</v>
      </c>
      <c r="CZ94" s="6">
        <f t="shared" si="25"/>
        <v>3217579198.8244104</v>
      </c>
      <c r="DA94" s="6">
        <f t="shared" si="26"/>
        <v>90131091.293134287</v>
      </c>
      <c r="DB94" s="6">
        <f t="shared" si="27"/>
        <v>75746315</v>
      </c>
      <c r="DC94" s="6">
        <f t="shared" si="28"/>
        <v>83620831</v>
      </c>
      <c r="DD94" s="6">
        <f t="shared" si="29"/>
        <v>84335323</v>
      </c>
      <c r="DE94" s="6">
        <f t="shared" si="30"/>
        <v>42905596</v>
      </c>
      <c r="DF94" s="6">
        <f t="shared" si="31"/>
        <v>12058472.456426833</v>
      </c>
      <c r="DG94" s="30"/>
      <c r="DH94" s="32">
        <f>VLOOKUP(A94,'T_med_comp-USA'!$A$7:$Q$233,17,0)</f>
        <v>14.679081129209314</v>
      </c>
      <c r="DI94" s="6" t="str">
        <f t="shared" si="32"/>
        <v>5_2007</v>
      </c>
      <c r="DJ94" s="32">
        <f>IF(DI94="","",VLOOKUP(DI94,'CPI USA'!$T:$U,2,FALSE))</f>
        <v>207.34200000000001</v>
      </c>
      <c r="DK94" s="32">
        <f>IF(DI94="","",VLOOKUP(DI94,'PPI USA'!$S:$T,2,FALSE))</f>
        <v>151.69999999999999</v>
      </c>
      <c r="DL94" s="32">
        <f>IF(DI94="","",VLOOKUP(DI94,'CPI USA'!$T:$V,3,FALSE))</f>
        <v>0.67123734379962852</v>
      </c>
      <c r="DM94" s="32">
        <f>IF(DI94="","",VLOOKUP(DI94,'CPI USA'!$T:$X,5,FALSE))</f>
        <v>0.49957259686190569</v>
      </c>
      <c r="DN94" s="32">
        <f t="shared" si="33"/>
        <v>1.5480022216582647</v>
      </c>
      <c r="DO94" s="32">
        <f t="shared" si="34"/>
        <v>1.5651038394149617</v>
      </c>
      <c r="DP94" s="32">
        <f t="shared" si="35"/>
        <v>0.55453425112650356</v>
      </c>
      <c r="DQ94" s="32">
        <f>IF(DP94="","",DP94*$DO$1/'CPI USA'!$U$508+(1-DP94)*AVERAGE($DO$1,$DQ$1)/AVERAGE('CPI USA'!$U$508,'PPI USA'!$T$514))</f>
        <v>1.1532045678978016</v>
      </c>
      <c r="DR94" s="6">
        <f t="shared" si="36"/>
        <v>22222313</v>
      </c>
      <c r="DS94" s="32">
        <f t="shared" si="37"/>
        <v>0.27040200924142882</v>
      </c>
      <c r="DT94" s="28">
        <f>IF(DS94="","",DS94*$DO$1/'CPI USA'!$U$508+(1-DS94)*AVERAGE($DO$1,$DQ$1)/AVERAGE('CPI USA'!$U$508,'PPI USA'!$T$514))</f>
        <v>1.1699984134297643</v>
      </c>
      <c r="DU94" s="6">
        <f t="shared" si="38"/>
        <v>33699773.385021046</v>
      </c>
      <c r="DV94" s="6">
        <f t="shared" si="39"/>
        <v>3685572.4663018147</v>
      </c>
      <c r="DW94" s="6">
        <f t="shared" si="40"/>
        <v>14792743.423558259</v>
      </c>
      <c r="DX94" s="16">
        <f t="shared" si="41"/>
        <v>0.9</v>
      </c>
      <c r="DY94" s="28">
        <f>IF(DX94="","",DX94*$DO$1/'CPI USA'!$U$508+(1-DX94)*AVERAGE($DO$1,$DQ$1)/AVERAGE('CPI USA'!$U$508,'PPI USA'!$T$514))</f>
        <v>1.1327855602389947</v>
      </c>
      <c r="DZ94" s="30"/>
      <c r="EA94" s="45" t="str">
        <f t="shared" si="42"/>
        <v>C001143</v>
      </c>
      <c r="EB94" s="29">
        <f t="shared" si="43"/>
        <v>4980819748.1416073</v>
      </c>
      <c r="EC94" s="29">
        <f t="shared" si="44"/>
        <v>141064517.0335449</v>
      </c>
      <c r="ED94" s="29">
        <f t="shared" si="45"/>
        <v>96431924.280610085</v>
      </c>
      <c r="EE94" s="29">
        <f t="shared" si="46"/>
        <v>98672194.106086716</v>
      </c>
      <c r="EF94" s="29">
        <f t="shared" si="47"/>
        <v>13659663.477179956</v>
      </c>
      <c r="EG94" s="29">
        <f t="shared" si="48"/>
        <v>5236</v>
      </c>
      <c r="EH94" s="29">
        <f t="shared" si="49"/>
        <v>804317</v>
      </c>
      <c r="EI94" s="29">
        <f t="shared" si="50"/>
        <v>767328</v>
      </c>
      <c r="EJ94" s="29">
        <f t="shared" si="51"/>
        <v>28074100</v>
      </c>
      <c r="EK94" s="29">
        <f t="shared" si="52"/>
        <v>28597601.157360405</v>
      </c>
      <c r="EL94" s="29">
        <f>IF(CD94=1,VLOOKUP(EA94,'EIA 2021'!$A$2:$J$213,4,0)*EH94,"")</f>
        <v>65149677</v>
      </c>
      <c r="EM94" s="29">
        <f>IF(CD94=1,VLOOKUP(EA94,'EIA 2021'!$A$2:$J$213,7,0)*EH94,"")</f>
        <v>756057.98</v>
      </c>
      <c r="EN94" s="29">
        <f>IF(CD94=1,VLOOKUP(EA94,'EIA 2021'!$A$2:$J$213,10,0),"")</f>
        <v>714963</v>
      </c>
      <c r="EO94" s="28">
        <f>IF(CD94=1,VLOOKUP(EA94,'EIA 2021'!$A$2:$Z$213,26,0),"")</f>
        <v>0</v>
      </c>
      <c r="EP94" s="23">
        <f t="shared" si="53"/>
        <v>1.8305771679232918E-2</v>
      </c>
      <c r="EQ94" s="32">
        <f t="shared" si="54"/>
        <v>243826.84263959341</v>
      </c>
      <c r="ER94" s="32">
        <f t="shared" si="55"/>
        <v>523501.15736040659</v>
      </c>
      <c r="ES94" s="6"/>
      <c r="ET94" s="32"/>
    </row>
    <row r="95" spans="1:150" ht="15.75" customHeight="1">
      <c r="A95" s="7" t="s">
        <v>486</v>
      </c>
      <c r="B95" s="7" t="s">
        <v>487</v>
      </c>
      <c r="C95" s="32" t="s">
        <v>488</v>
      </c>
      <c r="D95" s="40">
        <v>0</v>
      </c>
      <c r="E95" s="40">
        <v>0</v>
      </c>
      <c r="F95" s="40">
        <v>8091</v>
      </c>
      <c r="G95" s="40">
        <v>15285521</v>
      </c>
      <c r="H95" s="40">
        <v>15285521</v>
      </c>
      <c r="I95" s="40">
        <v>59547</v>
      </c>
      <c r="J95" s="40">
        <v>1692</v>
      </c>
      <c r="K95" s="40">
        <v>0</v>
      </c>
      <c r="L95" s="40">
        <v>24414</v>
      </c>
      <c r="M95" s="40">
        <v>0</v>
      </c>
      <c r="N95" s="40">
        <v>28101</v>
      </c>
      <c r="O95" s="40">
        <v>16128</v>
      </c>
      <c r="P95" s="40">
        <v>0</v>
      </c>
      <c r="Q95" s="40">
        <v>121752</v>
      </c>
      <c r="R95" s="40">
        <v>0</v>
      </c>
      <c r="S95" s="40">
        <v>75789</v>
      </c>
      <c r="T95" s="40">
        <v>448954</v>
      </c>
      <c r="U95" s="40">
        <v>46147</v>
      </c>
      <c r="V95" s="40">
        <v>3269</v>
      </c>
      <c r="W95" s="40">
        <v>0</v>
      </c>
      <c r="X95" s="40">
        <f>IFERROR(VLOOKUP(A95,'Trans 21-23'!$A$2:$J$229,6,0),0)</f>
        <v>323588</v>
      </c>
      <c r="Y95" s="41">
        <v>21625</v>
      </c>
      <c r="Z95" s="41">
        <v>17034</v>
      </c>
      <c r="AA95" s="41">
        <v>389011</v>
      </c>
      <c r="AB95" s="41">
        <v>5234</v>
      </c>
      <c r="AC95" s="41">
        <v>1325</v>
      </c>
      <c r="AD95" s="41">
        <v>3700489</v>
      </c>
      <c r="AE95" s="41">
        <v>0</v>
      </c>
      <c r="AF95" s="41">
        <v>23013810</v>
      </c>
      <c r="AG95" s="41">
        <v>6202</v>
      </c>
      <c r="AH95" s="41">
        <v>24418</v>
      </c>
      <c r="AI95" s="41">
        <v>474481</v>
      </c>
      <c r="AJ95" s="41">
        <v>454</v>
      </c>
      <c r="AK95" s="41">
        <v>0</v>
      </c>
      <c r="AL95" s="41">
        <v>64467</v>
      </c>
      <c r="AM95" s="41">
        <v>18778</v>
      </c>
      <c r="AN95" s="41">
        <v>121161</v>
      </c>
      <c r="AO95" s="41">
        <v>256</v>
      </c>
      <c r="AP95" s="41">
        <v>0</v>
      </c>
      <c r="AQ95" s="41">
        <v>204662</v>
      </c>
      <c r="AR95" s="41">
        <v>244947</v>
      </c>
      <c r="AS95" s="41">
        <v>449609</v>
      </c>
      <c r="AT95" s="41">
        <v>0</v>
      </c>
      <c r="AU95" s="41">
        <v>68874</v>
      </c>
      <c r="AV95" s="41">
        <v>0</v>
      </c>
      <c r="AW95" s="41">
        <v>5330714</v>
      </c>
      <c r="AX95" s="41">
        <v>0</v>
      </c>
      <c r="AY95" s="41">
        <v>1660016</v>
      </c>
      <c r="AZ95" s="41">
        <v>2292497</v>
      </c>
      <c r="BA95" s="41">
        <v>2771274</v>
      </c>
      <c r="BB95" s="41">
        <v>33510799</v>
      </c>
      <c r="BC95" s="41">
        <v>85382338</v>
      </c>
      <c r="BD95" s="41">
        <v>5586064</v>
      </c>
      <c r="BE95" s="41">
        <v>18730887</v>
      </c>
      <c r="BF95" s="41">
        <v>943524</v>
      </c>
      <c r="BG95" s="41">
        <v>0</v>
      </c>
      <c r="BH95" s="41">
        <v>405685</v>
      </c>
      <c r="BI95" s="41">
        <v>219981</v>
      </c>
      <c r="BJ95" s="41">
        <v>0</v>
      </c>
      <c r="BK95" s="41">
        <v>0</v>
      </c>
      <c r="BL95" s="41">
        <v>0</v>
      </c>
      <c r="BM95" s="41">
        <v>940594</v>
      </c>
      <c r="BN95" s="41">
        <v>3050773</v>
      </c>
      <c r="BO95" s="41">
        <v>7890</v>
      </c>
      <c r="BP95" s="41">
        <v>335102</v>
      </c>
      <c r="BQ95" s="41">
        <v>4159219</v>
      </c>
      <c r="BR95" s="41">
        <v>0</v>
      </c>
      <c r="BS95" s="42">
        <f>IFERROR(VLOOKUP(A95,'Trans 21-23'!$A$2:$J$229,5,0),0)</f>
        <v>14403710</v>
      </c>
      <c r="BT95" s="43"/>
      <c r="BU95" s="6">
        <f t="shared" si="0"/>
        <v>33510799</v>
      </c>
      <c r="BV95" s="6">
        <f t="shared" si="1"/>
        <v>68874</v>
      </c>
      <c r="BW95" s="6">
        <f t="shared" si="2"/>
        <v>6202</v>
      </c>
      <c r="BX95" s="6">
        <f t="shared" si="3"/>
        <v>825793</v>
      </c>
      <c r="BY95" s="6">
        <f t="shared" si="4"/>
        <v>434229</v>
      </c>
      <c r="BZ95" s="6">
        <f t="shared" si="5"/>
        <v>2292497</v>
      </c>
      <c r="CA95" s="6">
        <f t="shared" si="6"/>
        <v>3700489</v>
      </c>
      <c r="CB95" s="6">
        <f t="shared" si="7"/>
        <v>24418</v>
      </c>
      <c r="CC95" s="6">
        <f t="shared" si="8"/>
        <v>204662</v>
      </c>
      <c r="CD95" s="6">
        <v>0</v>
      </c>
      <c r="CE95" s="44">
        <f t="shared" si="10"/>
        <v>18</v>
      </c>
      <c r="CF95" s="27"/>
      <c r="CG95" s="28" t="str">
        <f t="shared" si="11"/>
        <v/>
      </c>
      <c r="CH95" s="28" t="str">
        <f t="shared" si="12"/>
        <v/>
      </c>
      <c r="CI95" s="28" t="str">
        <f t="shared" si="13"/>
        <v/>
      </c>
      <c r="CJ95" s="28" t="str">
        <f t="shared" si="14"/>
        <v/>
      </c>
      <c r="CK95" s="23" t="str">
        <f t="shared" si="15"/>
        <v/>
      </c>
      <c r="CL95" s="29" t="str">
        <f t="shared" si="16"/>
        <v/>
      </c>
      <c r="CM95" s="29" t="s">
        <v>489</v>
      </c>
      <c r="CN95" s="29" t="str">
        <f t="shared" si="18"/>
        <v/>
      </c>
      <c r="CO95" s="29" t="str">
        <f t="shared" si="19"/>
        <v/>
      </c>
      <c r="CP95" s="29" t="str">
        <f t="shared" si="20"/>
        <v/>
      </c>
      <c r="CQ95" s="29">
        <f t="shared" si="21"/>
        <v>0</v>
      </c>
      <c r="CR95" s="13"/>
      <c r="CS95" s="7" t="str">
        <f>VLOOKUP(A95,'Empresas 21-23'!$A$2:$M$228,13,0)</f>
        <v/>
      </c>
      <c r="CT95" s="30"/>
      <c r="CU95" s="6">
        <f t="shared" si="22"/>
        <v>41854728.399999999</v>
      </c>
      <c r="CV95" s="6">
        <f t="shared" si="23"/>
        <v>2292497</v>
      </c>
      <c r="CW95" s="6">
        <f t="shared" si="24"/>
        <v>5586064</v>
      </c>
      <c r="CX95" s="23">
        <f t="shared" si="63"/>
        <v>0.52451983409651426</v>
      </c>
      <c r="CY95" s="23">
        <f t="shared" si="64"/>
        <v>2.8729374005608332E-2</v>
      </c>
      <c r="CZ95" s="6">
        <f t="shared" si="25"/>
        <v>44784729.76253251</v>
      </c>
      <c r="DA95" s="6">
        <f t="shared" si="26"/>
        <v>2452981.1218752647</v>
      </c>
      <c r="DB95" s="6">
        <f t="shared" si="27"/>
        <v>825793</v>
      </c>
      <c r="DC95" s="6">
        <f t="shared" si="28"/>
        <v>1149381</v>
      </c>
      <c r="DD95" s="6">
        <f t="shared" si="29"/>
        <v>434229</v>
      </c>
      <c r="DE95" s="6">
        <f t="shared" si="30"/>
        <v>3700489</v>
      </c>
      <c r="DF95" s="6">
        <f t="shared" si="31"/>
        <v>1457849.6566020078</v>
      </c>
      <c r="DG95" s="30"/>
      <c r="DH95" s="32">
        <f>VLOOKUP(A95,'T_med_comp-USA'!$A$7:$Q$233,17,0)</f>
        <v>19.824489155707166</v>
      </c>
      <c r="DI95" s="6" t="str">
        <f t="shared" si="32"/>
        <v>3_2002</v>
      </c>
      <c r="DJ95" s="32">
        <f>IF(DI95="","",VLOOKUP(DI95,'CPI USA'!$T:$U,2,FALSE))</f>
        <v>179.9</v>
      </c>
      <c r="DK95" s="32">
        <f>IF(DI95="","",VLOOKUP(DI95,'PPI USA'!$S:$T,2,FALSE))</f>
        <v>117.7</v>
      </c>
      <c r="DL95" s="32">
        <f>IF(DI95="","",VLOOKUP(DI95,'CPI USA'!$T:$V,3,FALSE))</f>
        <v>0.68124675757695474</v>
      </c>
      <c r="DM95" s="32">
        <f>IF(DI95="","",VLOOKUP(DI95,'CPI USA'!$T:$X,5,FALSE))</f>
        <v>0.51100097296585234</v>
      </c>
      <c r="DN95" s="32">
        <f t="shared" si="33"/>
        <v>1.8107397595358932</v>
      </c>
      <c r="DO95" s="32">
        <f t="shared" si="34"/>
        <v>1.8451105665988905</v>
      </c>
      <c r="DP95" s="32">
        <f t="shared" si="35"/>
        <v>0.49253771178775374</v>
      </c>
      <c r="DQ95" s="32">
        <f>IF(DP95="","",DP95*$DO$1/'CPI USA'!$U$508+(1-DP95)*AVERAGE($DO$1,$DQ$1)/AVERAGE('CPI USA'!$U$508,'PPI USA'!$T$514))</f>
        <v>1.1568689190402965</v>
      </c>
      <c r="DR95" s="6">
        <f t="shared" si="36"/>
        <v>219981</v>
      </c>
      <c r="DS95" s="32">
        <f t="shared" si="37"/>
        <v>0.50791154302071762</v>
      </c>
      <c r="DT95" s="28">
        <f>IF(DS95="","",DS95*$DO$1/'CPI USA'!$U$508+(1-DS95)*AVERAGE($DO$1,$DQ$1)/AVERAGE('CPI USA'!$U$508,'PPI USA'!$T$514))</f>
        <v>1.1559602374163882</v>
      </c>
      <c r="DU95" s="6">
        <f t="shared" si="38"/>
        <v>943026.59221843118</v>
      </c>
      <c r="DV95" s="6">
        <f t="shared" si="39"/>
        <v>82422.930728322375</v>
      </c>
      <c r="DW95" s="6">
        <f t="shared" si="40"/>
        <v>210303.71686913562</v>
      </c>
      <c r="DX95" s="16">
        <f t="shared" si="41"/>
        <v>0.2</v>
      </c>
      <c r="DY95" s="28">
        <f>IF(DX95="","",DX95*$DO$1/'CPI USA'!$U$508+(1-DX95)*AVERAGE($DO$1,$DQ$1)/AVERAGE('CPI USA'!$U$508,'PPI USA'!$T$514))</f>
        <v>1.1741595760647974</v>
      </c>
      <c r="DZ95" s="30"/>
      <c r="EA95" s="45" t="str">
        <f t="shared" si="42"/>
        <v>C001153</v>
      </c>
      <c r="EB95" s="29" t="str">
        <f t="shared" si="43"/>
        <v/>
      </c>
      <c r="EC95" s="29" t="str">
        <f t="shared" si="44"/>
        <v/>
      </c>
      <c r="ED95" s="29" t="str">
        <f t="shared" si="45"/>
        <v/>
      </c>
      <c r="EE95" s="29" t="str">
        <f t="shared" si="46"/>
        <v/>
      </c>
      <c r="EF95" s="29" t="str">
        <f t="shared" si="47"/>
        <v/>
      </c>
      <c r="EG95" s="29" t="str">
        <f t="shared" si="48"/>
        <v/>
      </c>
      <c r="EH95" s="29" t="str">
        <f t="shared" si="49"/>
        <v/>
      </c>
      <c r="EI95" s="29" t="str">
        <f t="shared" si="50"/>
        <v/>
      </c>
      <c r="EJ95" s="29" t="str">
        <f t="shared" si="51"/>
        <v/>
      </c>
      <c r="EK95" s="29" t="str">
        <f t="shared" si="52"/>
        <v/>
      </c>
      <c r="EL95" s="29" t="str">
        <f>IF(CD95=1,VLOOKUP(EA95,'EIA 2021'!$A$2:$J$213,4,0)*EH95,"")</f>
        <v/>
      </c>
      <c r="EM95" s="29" t="str">
        <f>IF(CD95=1,VLOOKUP(EA95,'EIA 2021'!$A$2:$J$213,7,0)*EH95,"")</f>
        <v/>
      </c>
      <c r="EN95" s="29" t="str">
        <f>IF(CD95=1,VLOOKUP(EA95,'EIA 2021'!$A$2:$J$213,10,0),"")</f>
        <v/>
      </c>
      <c r="EO95" s="28" t="str">
        <f>IF(CD95=1,VLOOKUP(EA95,'EIA 2021'!$A$2:$Z$213,26,0),"")</f>
        <v/>
      </c>
      <c r="EP95" s="23" t="str">
        <f t="shared" si="53"/>
        <v/>
      </c>
      <c r="EQ95" s="32" t="str">
        <f t="shared" si="54"/>
        <v/>
      </c>
      <c r="ER95" s="32" t="str">
        <f t="shared" si="55"/>
        <v/>
      </c>
      <c r="ES95" s="6"/>
      <c r="ET95" s="32"/>
    </row>
    <row r="96" spans="1:150" ht="15.75" customHeight="1">
      <c r="A96" s="7" t="s">
        <v>490</v>
      </c>
      <c r="B96" s="7" t="s">
        <v>491</v>
      </c>
      <c r="C96" s="32" t="s">
        <v>492</v>
      </c>
      <c r="D96" s="40">
        <v>205259134</v>
      </c>
      <c r="E96" s="40">
        <v>26017605</v>
      </c>
      <c r="F96" s="40">
        <v>51439135</v>
      </c>
      <c r="G96" s="40">
        <v>282366341</v>
      </c>
      <c r="H96" s="40">
        <v>286279125</v>
      </c>
      <c r="I96" s="40">
        <v>2306412</v>
      </c>
      <c r="J96" s="40">
        <v>94794</v>
      </c>
      <c r="K96" s="40">
        <v>842734</v>
      </c>
      <c r="L96" s="40">
        <v>1525792</v>
      </c>
      <c r="M96" s="40">
        <v>2676077</v>
      </c>
      <c r="N96" s="40">
        <v>3489</v>
      </c>
      <c r="O96" s="40">
        <v>8975355</v>
      </c>
      <c r="P96" s="40">
        <v>55210</v>
      </c>
      <c r="Q96" s="40">
        <v>141830</v>
      </c>
      <c r="R96" s="40">
        <v>1285</v>
      </c>
      <c r="S96" s="40">
        <v>690632</v>
      </c>
      <c r="T96" s="40">
        <v>23773517</v>
      </c>
      <c r="U96" s="40">
        <v>1252298</v>
      </c>
      <c r="V96" s="40">
        <v>95369</v>
      </c>
      <c r="W96" s="40">
        <v>1862308</v>
      </c>
      <c r="X96" s="40">
        <f>IFERROR(VLOOKUP(A96,'Trans 21-23'!$A$2:$J$229,6,0),0)</f>
        <v>923423</v>
      </c>
      <c r="Y96" s="41">
        <v>22470</v>
      </c>
      <c r="Z96" s="41">
        <v>496916</v>
      </c>
      <c r="AA96" s="41">
        <v>6326456</v>
      </c>
      <c r="AB96" s="41">
        <v>35067731</v>
      </c>
      <c r="AC96" s="41">
        <v>504967</v>
      </c>
      <c r="AD96" s="41">
        <v>134301848</v>
      </c>
      <c r="AE96" s="41">
        <v>0</v>
      </c>
      <c r="AF96" s="41">
        <v>976517177</v>
      </c>
      <c r="AG96" s="41">
        <v>570019</v>
      </c>
      <c r="AH96" s="41">
        <v>812030</v>
      </c>
      <c r="AI96" s="41">
        <v>20947418</v>
      </c>
      <c r="AJ96" s="41">
        <v>70409</v>
      </c>
      <c r="AK96" s="41">
        <v>0</v>
      </c>
      <c r="AL96" s="41">
        <v>5516667</v>
      </c>
      <c r="AM96" s="41">
        <v>7286420</v>
      </c>
      <c r="AN96" s="41">
        <v>1668613</v>
      </c>
      <c r="AO96" s="41">
        <v>70337</v>
      </c>
      <c r="AP96" s="41">
        <v>0</v>
      </c>
      <c r="AQ96" s="41">
        <v>14542037</v>
      </c>
      <c r="AR96" s="41">
        <v>5522942</v>
      </c>
      <c r="AS96" s="41">
        <v>20064979</v>
      </c>
      <c r="AT96" s="41">
        <v>0</v>
      </c>
      <c r="AU96" s="41">
        <v>3421</v>
      </c>
      <c r="AV96" s="41">
        <v>0</v>
      </c>
      <c r="AW96" s="41">
        <v>322511121</v>
      </c>
      <c r="AX96" s="41">
        <v>346026904</v>
      </c>
      <c r="AY96" s="41">
        <v>693434807</v>
      </c>
      <c r="AZ96" s="41">
        <v>174402813</v>
      </c>
      <c r="BA96" s="41">
        <v>30869435</v>
      </c>
      <c r="BB96" s="41">
        <v>2965218485</v>
      </c>
      <c r="BC96" s="41">
        <v>11673596720</v>
      </c>
      <c r="BD96" s="41">
        <v>548220919</v>
      </c>
      <c r="BE96" s="41">
        <v>967276393</v>
      </c>
      <c r="BF96" s="41">
        <v>72503486</v>
      </c>
      <c r="BG96" s="41">
        <v>0</v>
      </c>
      <c r="BH96" s="41">
        <v>11692847</v>
      </c>
      <c r="BI96" s="41">
        <v>10661845</v>
      </c>
      <c r="BJ96" s="41">
        <v>2597157</v>
      </c>
      <c r="BK96" s="41">
        <v>345468</v>
      </c>
      <c r="BL96" s="41">
        <v>0</v>
      </c>
      <c r="BM96" s="41">
        <v>39648673</v>
      </c>
      <c r="BN96" s="41">
        <v>145364490</v>
      </c>
      <c r="BO96" s="41">
        <v>7458834</v>
      </c>
      <c r="BP96" s="41">
        <v>4289179</v>
      </c>
      <c r="BQ96" s="41">
        <v>193988651</v>
      </c>
      <c r="BR96" s="41">
        <v>0</v>
      </c>
      <c r="BS96" s="42">
        <f>IFERROR(VLOOKUP(A96,'Trans 21-23'!$A$2:$J$229,5,0),0)</f>
        <v>58836502</v>
      </c>
      <c r="BT96" s="43"/>
      <c r="BU96" s="6">
        <f t="shared" si="0"/>
        <v>2965218485</v>
      </c>
      <c r="BV96" s="6">
        <f t="shared" si="1"/>
        <v>3421</v>
      </c>
      <c r="BW96" s="6">
        <f t="shared" si="2"/>
        <v>570019</v>
      </c>
      <c r="BX96" s="6">
        <f t="shared" si="3"/>
        <v>44297102</v>
      </c>
      <c r="BY96" s="6">
        <f t="shared" si="4"/>
        <v>42418540</v>
      </c>
      <c r="BZ96" s="6">
        <f t="shared" si="5"/>
        <v>174402813</v>
      </c>
      <c r="CA96" s="6">
        <f t="shared" si="6"/>
        <v>134301848</v>
      </c>
      <c r="CB96" s="6">
        <f t="shared" si="7"/>
        <v>812030</v>
      </c>
      <c r="CC96" s="6">
        <f t="shared" si="8"/>
        <v>14542037</v>
      </c>
      <c r="CD96" s="6">
        <f t="shared" ref="CD96:CD125" si="65">IF(OR(BU96&lt;=0,BV96&lt;=0,BW96&lt;=0,BX96&lt;=0,BY96&lt;=0,BZ96&lt;=0,CA96&lt;=0,CB96&lt;=0,CC96&lt;=0,DF96&lt;=0),0,1)</f>
        <v>1</v>
      </c>
      <c r="CE96" s="44">
        <f t="shared" si="10"/>
        <v>8</v>
      </c>
      <c r="CF96" s="27"/>
      <c r="CG96" s="28">
        <f t="shared" si="11"/>
        <v>866.76950745396084</v>
      </c>
      <c r="CH96" s="28">
        <f t="shared" si="12"/>
        <v>6.0015543341537736</v>
      </c>
      <c r="CI96" s="28">
        <f t="shared" si="13"/>
        <v>77.711623647632791</v>
      </c>
      <c r="CJ96" s="28">
        <f t="shared" si="14"/>
        <v>305.95964871346393</v>
      </c>
      <c r="CK96" s="23">
        <f t="shared" si="15"/>
        <v>5.5840182499879487E-2</v>
      </c>
      <c r="CL96" s="29" t="str">
        <f t="shared" si="16"/>
        <v/>
      </c>
      <c r="CM96" s="29" t="str">
        <f t="shared" ref="CM96:CM221" si="66">IF(AND(CH96&gt;$CM$1,CH96&lt;&gt;""),1,"")</f>
        <v/>
      </c>
      <c r="CN96" s="29" t="str">
        <f t="shared" si="18"/>
        <v/>
      </c>
      <c r="CO96" s="29" t="str">
        <f t="shared" si="19"/>
        <v/>
      </c>
      <c r="CP96" s="29" t="str">
        <f t="shared" si="20"/>
        <v/>
      </c>
      <c r="CQ96" s="29">
        <f t="shared" si="21"/>
        <v>0</v>
      </c>
      <c r="CR96" s="13"/>
      <c r="CS96" s="7">
        <f>VLOOKUP(A96,'Empresas 21-23'!$A$2:$M$228,13,0)</f>
        <v>1</v>
      </c>
      <c r="CT96" s="30"/>
      <c r="CU96" s="6">
        <f t="shared" si="22"/>
        <v>2195105712.4000001</v>
      </c>
      <c r="CV96" s="6">
        <f t="shared" si="23"/>
        <v>174402813</v>
      </c>
      <c r="CW96" s="6">
        <f t="shared" si="24"/>
        <v>548220919</v>
      </c>
      <c r="CX96" s="23">
        <f t="shared" si="63"/>
        <v>0.19730620804761434</v>
      </c>
      <c r="CY96" s="23">
        <f t="shared" si="64"/>
        <v>1.5676127810830793E-2</v>
      </c>
      <c r="CZ96" s="6">
        <f t="shared" si="25"/>
        <v>2303273103.1002684</v>
      </c>
      <c r="DA96" s="6">
        <f t="shared" si="26"/>
        <v>182996794.19481513</v>
      </c>
      <c r="DB96" s="6">
        <f t="shared" si="27"/>
        <v>44297102</v>
      </c>
      <c r="DC96" s="6">
        <f t="shared" si="28"/>
        <v>45220525</v>
      </c>
      <c r="DD96" s="6">
        <f t="shared" si="29"/>
        <v>42418540</v>
      </c>
      <c r="DE96" s="6">
        <f t="shared" si="30"/>
        <v>134301848</v>
      </c>
      <c r="DF96" s="6">
        <f t="shared" si="31"/>
        <v>43079109.03442698</v>
      </c>
      <c r="DG96" s="30"/>
      <c r="DH96" s="32">
        <f>VLOOKUP(A96,'T_med_comp-USA'!$A$7:$Q$233,17,0)</f>
        <v>12.480200145219991</v>
      </c>
      <c r="DI96" s="6" t="str">
        <f t="shared" si="32"/>
        <v>7_2009</v>
      </c>
      <c r="DJ96" s="32">
        <f>IF(DI96="","",VLOOKUP(DI96,'CPI USA'!$T:$U,2,FALSE))</f>
        <v>214.53700000000001</v>
      </c>
      <c r="DK96" s="32">
        <f>IF(DI96="","",VLOOKUP(DI96,'PPI USA'!$S:$T,2,FALSE))</f>
        <v>159.1</v>
      </c>
      <c r="DL96" s="32">
        <f>IF(DI96="","",VLOOKUP(DI96,'CPI USA'!$T:$V,3,FALSE))</f>
        <v>0.66997101349938215</v>
      </c>
      <c r="DM96" s="32">
        <f>IF(DI96="","",VLOOKUP(DI96,'CPI USA'!$T:$X,5,FALSE))</f>
        <v>0.49813941766071862</v>
      </c>
      <c r="DN96" s="32">
        <f t="shared" si="33"/>
        <v>1.4932638886873792</v>
      </c>
      <c r="DO96" s="32">
        <f t="shared" si="34"/>
        <v>1.5082750176818205</v>
      </c>
      <c r="DP96" s="32">
        <f t="shared" si="35"/>
        <v>0.27750848398084049</v>
      </c>
      <c r="DQ96" s="32">
        <f>IF(DP96="","",DP96*$DO$1/'CPI USA'!$U$508+(1-DP96)*AVERAGE($DO$1,$DQ$1)/AVERAGE('CPI USA'!$U$508,'PPI USA'!$T$514))</f>
        <v>1.1695783800035726</v>
      </c>
      <c r="DR96" s="6">
        <f t="shared" si="36"/>
        <v>13604470</v>
      </c>
      <c r="DS96" s="32">
        <f t="shared" si="37"/>
        <v>0.33717644196459357</v>
      </c>
      <c r="DT96" s="28">
        <f>IF(DS96="","",DS96*$DO$1/'CPI USA'!$U$508+(1-DS96)*AVERAGE($DO$1,$DQ$1)/AVERAGE('CPI USA'!$U$508,'PPI USA'!$T$514))</f>
        <v>1.1660516613779826</v>
      </c>
      <c r="DU96" s="6">
        <f t="shared" si="38"/>
        <v>41683096.057703309</v>
      </c>
      <c r="DV96" s="6">
        <f t="shared" si="39"/>
        <v>896471.95016687759</v>
      </c>
      <c r="DW96" s="6">
        <f t="shared" si="40"/>
        <v>7409985.957493131</v>
      </c>
      <c r="DX96" s="16">
        <f t="shared" si="41"/>
        <v>0.2</v>
      </c>
      <c r="DY96" s="28">
        <f>IF(DX96="","",DX96*$DO$1/'CPI USA'!$U$508+(1-DX96)*AVERAGE($DO$1,$DQ$1)/AVERAGE('CPI USA'!$U$508,'PPI USA'!$T$514))</f>
        <v>1.1741595760647974</v>
      </c>
      <c r="DZ96" s="30"/>
      <c r="EA96" s="45" t="str">
        <f t="shared" si="42"/>
        <v>C001181</v>
      </c>
      <c r="EB96" s="29">
        <f t="shared" si="43"/>
        <v>3439394550.6445537</v>
      </c>
      <c r="EC96" s="29">
        <f t="shared" si="44"/>
        <v>276009492.99990124</v>
      </c>
      <c r="ED96" s="29">
        <f t="shared" si="45"/>
        <v>52888948.372411057</v>
      </c>
      <c r="EE96" s="29">
        <f t="shared" si="46"/>
        <v>49462209.040228412</v>
      </c>
      <c r="EF96" s="29">
        <f t="shared" si="47"/>
        <v>50581748.401111968</v>
      </c>
      <c r="EG96" s="29">
        <f t="shared" si="48"/>
        <v>3421</v>
      </c>
      <c r="EH96" s="29">
        <f t="shared" si="49"/>
        <v>570019</v>
      </c>
      <c r="EI96" s="29">
        <f t="shared" si="50"/>
        <v>812030</v>
      </c>
      <c r="EJ96" s="29">
        <f t="shared" si="51"/>
        <v>14542037</v>
      </c>
      <c r="EK96" s="29">
        <f t="shared" si="52"/>
        <v>15269961.284263959</v>
      </c>
      <c r="EL96" s="29">
        <f>IF(CD96=1,VLOOKUP(EA96,'EIA 2021'!$A$2:$J$213,4,0)*EH96,"")</f>
        <v>50560685.300000004</v>
      </c>
      <c r="EM96" s="29">
        <f>IF(CD96=1,VLOOKUP(EA96,'EIA 2021'!$A$2:$J$213,7,0)*EH96,"")</f>
        <v>760405.34600000002</v>
      </c>
      <c r="EN96" s="29">
        <f>IF(CD96=1,VLOOKUP(EA96,'EIA 2021'!$A$2:$J$213,10,0),"")</f>
        <v>279348</v>
      </c>
      <c r="EO96" s="28">
        <f>IF(CD96=1,VLOOKUP(EA96,'EIA 2021'!$A$2:$Z$213,26,0),"")</f>
        <v>0</v>
      </c>
      <c r="EP96" s="23">
        <f t="shared" si="53"/>
        <v>4.7670342492230261E-2</v>
      </c>
      <c r="EQ96" s="32">
        <f t="shared" si="54"/>
        <v>84105.715736040846</v>
      </c>
      <c r="ER96" s="32">
        <f t="shared" si="55"/>
        <v>727924.28426395915</v>
      </c>
      <c r="ES96" s="6"/>
      <c r="ET96" s="32"/>
    </row>
    <row r="97" spans="1:150" ht="15.75" customHeight="1">
      <c r="A97" s="7" t="s">
        <v>493</v>
      </c>
      <c r="B97" s="7" t="s">
        <v>494</v>
      </c>
      <c r="C97" s="32" t="s">
        <v>495</v>
      </c>
      <c r="D97" s="40">
        <v>272567945</v>
      </c>
      <c r="E97" s="40">
        <v>0</v>
      </c>
      <c r="F97" s="40">
        <v>21663761</v>
      </c>
      <c r="G97" s="40">
        <v>534236439</v>
      </c>
      <c r="H97" s="40">
        <v>536930034</v>
      </c>
      <c r="I97" s="40">
        <v>1118643</v>
      </c>
      <c r="J97" s="40">
        <v>144000</v>
      </c>
      <c r="K97" s="40">
        <v>629568</v>
      </c>
      <c r="L97" s="40">
        <v>1390137</v>
      </c>
      <c r="M97" s="40">
        <v>1821104</v>
      </c>
      <c r="N97" s="40">
        <v>6578</v>
      </c>
      <c r="O97" s="40">
        <v>4864197</v>
      </c>
      <c r="P97" s="40">
        <v>37675</v>
      </c>
      <c r="Q97" s="40">
        <v>139888</v>
      </c>
      <c r="R97" s="40">
        <v>2328</v>
      </c>
      <c r="S97" s="40">
        <v>545184</v>
      </c>
      <c r="T97" s="40">
        <v>13282250</v>
      </c>
      <c r="U97" s="40">
        <v>604969</v>
      </c>
      <c r="V97" s="40">
        <v>37346</v>
      </c>
      <c r="W97" s="40">
        <v>1640832</v>
      </c>
      <c r="X97" s="40">
        <f>IFERROR(VLOOKUP(A97,'Trans 21-23'!$A$2:$J$229,6,0),0)</f>
        <v>2925220</v>
      </c>
      <c r="Y97" s="41">
        <v>1657706</v>
      </c>
      <c r="Z97" s="41">
        <v>259892</v>
      </c>
      <c r="AA97" s="41">
        <v>20149878</v>
      </c>
      <c r="AB97" s="41">
        <v>28932854</v>
      </c>
      <c r="AC97" s="41">
        <v>193799</v>
      </c>
      <c r="AD97" s="41">
        <v>80955663</v>
      </c>
      <c r="AE97" s="41">
        <v>0</v>
      </c>
      <c r="AF97" s="41">
        <v>512415708</v>
      </c>
      <c r="AG97" s="41">
        <v>336650</v>
      </c>
      <c r="AH97" s="41">
        <v>535977</v>
      </c>
      <c r="AI97" s="41">
        <v>9049364</v>
      </c>
      <c r="AJ97" s="41">
        <v>20705</v>
      </c>
      <c r="AK97" s="41">
        <v>0</v>
      </c>
      <c r="AL97" s="41">
        <v>3633581</v>
      </c>
      <c r="AM97" s="41">
        <v>3260796</v>
      </c>
      <c r="AN97" s="41">
        <v>1405938</v>
      </c>
      <c r="AO97" s="41">
        <v>20661</v>
      </c>
      <c r="AP97" s="41">
        <v>0</v>
      </c>
      <c r="AQ97" s="41">
        <v>8320976</v>
      </c>
      <c r="AR97" s="41">
        <v>171706</v>
      </c>
      <c r="AS97" s="41">
        <v>8492682</v>
      </c>
      <c r="AT97" s="41">
        <v>0</v>
      </c>
      <c r="AU97" s="41">
        <v>1925</v>
      </c>
      <c r="AV97" s="41">
        <v>0</v>
      </c>
      <c r="AW97" s="41">
        <v>207116273</v>
      </c>
      <c r="AX97" s="41">
        <v>129448656</v>
      </c>
      <c r="AY97" s="41">
        <v>261650894</v>
      </c>
      <c r="AZ97" s="41">
        <v>81322971</v>
      </c>
      <c r="BA97" s="41">
        <v>54948211</v>
      </c>
      <c r="BB97" s="41">
        <v>1753510354</v>
      </c>
      <c r="BC97" s="41">
        <v>4042943951</v>
      </c>
      <c r="BD97" s="41">
        <v>172147188</v>
      </c>
      <c r="BE97" s="41">
        <v>621603469</v>
      </c>
      <c r="BF97" s="41">
        <v>49598746</v>
      </c>
      <c r="BG97" s="41">
        <v>0</v>
      </c>
      <c r="BH97" s="41">
        <v>8280709</v>
      </c>
      <c r="BI97" s="41">
        <v>6269076</v>
      </c>
      <c r="BJ97" s="41">
        <v>1368238</v>
      </c>
      <c r="BK97" s="41">
        <v>133866</v>
      </c>
      <c r="BL97" s="41">
        <v>0</v>
      </c>
      <c r="BM97" s="41">
        <v>13430467</v>
      </c>
      <c r="BN97" s="41">
        <v>44616249</v>
      </c>
      <c r="BO97" s="41">
        <v>3152145</v>
      </c>
      <c r="BP97" s="41">
        <v>730117</v>
      </c>
      <c r="BQ97" s="41">
        <v>66271036</v>
      </c>
      <c r="BR97" s="41">
        <v>0</v>
      </c>
      <c r="BS97" s="42">
        <f>IFERROR(VLOOKUP(A97,'Trans 21-23'!$A$2:$J$229,5,0),0)</f>
        <v>186382213</v>
      </c>
      <c r="BT97" s="43"/>
      <c r="BU97" s="6">
        <f t="shared" si="0"/>
        <v>1753510354</v>
      </c>
      <c r="BV97" s="6">
        <f t="shared" si="1"/>
        <v>1925</v>
      </c>
      <c r="BW97" s="6">
        <f t="shared" si="2"/>
        <v>336650</v>
      </c>
      <c r="BX97" s="6">
        <f t="shared" si="3"/>
        <v>26264699</v>
      </c>
      <c r="BY97" s="6">
        <f t="shared" si="4"/>
        <v>51194129</v>
      </c>
      <c r="BZ97" s="6">
        <f t="shared" si="5"/>
        <v>81322971</v>
      </c>
      <c r="CA97" s="6">
        <f t="shared" si="6"/>
        <v>80955663</v>
      </c>
      <c r="CB97" s="6">
        <f t="shared" si="7"/>
        <v>535977</v>
      </c>
      <c r="CC97" s="6">
        <f t="shared" si="8"/>
        <v>8320976</v>
      </c>
      <c r="CD97" s="6">
        <f t="shared" si="65"/>
        <v>0</v>
      </c>
      <c r="CE97" s="44">
        <f t="shared" si="10"/>
        <v>9</v>
      </c>
      <c r="CF97" s="27"/>
      <c r="CG97" s="28" t="str">
        <f t="shared" si="11"/>
        <v/>
      </c>
      <c r="CH97" s="28" t="str">
        <f t="shared" si="12"/>
        <v/>
      </c>
      <c r="CI97" s="28" t="str">
        <f t="shared" si="13"/>
        <v/>
      </c>
      <c r="CJ97" s="28" t="str">
        <f t="shared" si="14"/>
        <v/>
      </c>
      <c r="CK97" s="23" t="str">
        <f t="shared" si="15"/>
        <v/>
      </c>
      <c r="CL97" s="29" t="str">
        <f t="shared" si="16"/>
        <v/>
      </c>
      <c r="CM97" s="29" t="str">
        <f t="shared" si="66"/>
        <v/>
      </c>
      <c r="CN97" s="29" t="str">
        <f t="shared" si="18"/>
        <v/>
      </c>
      <c r="CO97" s="29" t="str">
        <f t="shared" si="19"/>
        <v/>
      </c>
      <c r="CP97" s="29" t="str">
        <f t="shared" si="20"/>
        <v/>
      </c>
      <c r="CQ97" s="29">
        <f t="shared" si="21"/>
        <v>0</v>
      </c>
      <c r="CR97" s="13"/>
      <c r="CS97" s="7">
        <f>VLOOKUP(A97,'Empresas 21-23'!$A$2:$M$228,13,0)</f>
        <v>1</v>
      </c>
      <c r="CT97" s="30"/>
      <c r="CU97" s="6">
        <f t="shared" si="22"/>
        <v>1568961655</v>
      </c>
      <c r="CV97" s="6">
        <f t="shared" si="23"/>
        <v>81322971</v>
      </c>
      <c r="CW97" s="6">
        <f t="shared" si="24"/>
        <v>172147188</v>
      </c>
      <c r="CX97" s="23">
        <f t="shared" si="63"/>
        <v>0.40533299758781471</v>
      </c>
      <c r="CY97" s="23">
        <f t="shared" si="64"/>
        <v>2.1009362149246997E-2</v>
      </c>
      <c r="CZ97" s="6">
        <f t="shared" si="25"/>
        <v>1638738590.738353</v>
      </c>
      <c r="DA97" s="6">
        <f t="shared" si="26"/>
        <v>84939673.615666509</v>
      </c>
      <c r="DB97" s="6">
        <f t="shared" si="27"/>
        <v>26264699</v>
      </c>
      <c r="DC97" s="6">
        <f t="shared" si="28"/>
        <v>29189919</v>
      </c>
      <c r="DD97" s="6">
        <f t="shared" si="29"/>
        <v>51194129</v>
      </c>
      <c r="DE97" s="6">
        <f t="shared" si="30"/>
        <v>80955663</v>
      </c>
      <c r="DF97" s="47">
        <f t="shared" si="31"/>
        <v>-16281001.511549316</v>
      </c>
      <c r="DG97" s="30"/>
      <c r="DH97" s="32">
        <f>VLOOKUP(A97,'T_med_comp-USA'!$A$7:$Q$233,17,0)</f>
        <v>11.599306014310216</v>
      </c>
      <c r="DI97" s="6" t="str">
        <f t="shared" si="32"/>
        <v>5_2010</v>
      </c>
      <c r="DJ97" s="32">
        <f>IF(DI97="","",VLOOKUP(DI97,'CPI USA'!$T:$U,2,FALSE))</f>
        <v>218.05600000000001</v>
      </c>
      <c r="DK97" s="32">
        <f>IF(DI97="","",VLOOKUP(DI97,'PPI USA'!$S:$T,2,FALSE))</f>
        <v>160.80000000000001</v>
      </c>
      <c r="DL97" s="32">
        <f>IF(DI97="","",VLOOKUP(DI97,'CPI USA'!$T:$V,3,FALSE))</f>
        <v>0.67050107279443949</v>
      </c>
      <c r="DM97" s="32">
        <f>IF(DI97="","",VLOOKUP(DI97,'CPI USA'!$T:$X,5,FALSE))</f>
        <v>0.4987389730136107</v>
      </c>
      <c r="DN97" s="32">
        <f t="shared" si="33"/>
        <v>1.4703278680244813</v>
      </c>
      <c r="DO97" s="32">
        <f t="shared" si="34"/>
        <v>1.4857204383544427</v>
      </c>
      <c r="DP97" s="32">
        <f t="shared" si="35"/>
        <v>0.33755355016831318</v>
      </c>
      <c r="DQ97" s="32">
        <f>IF(DP97="","",DP97*$DO$1/'CPI USA'!$U$508+(1-DP97)*AVERAGE($DO$1,$DQ$1)/AVERAGE('CPI USA'!$U$508,'PPI USA'!$T$514))</f>
        <v>1.1660293721197128</v>
      </c>
      <c r="DR97" s="6">
        <f t="shared" si="36"/>
        <v>7771180</v>
      </c>
      <c r="DS97" s="32">
        <f t="shared" si="37"/>
        <v>0.2</v>
      </c>
      <c r="DT97" s="28">
        <f>IF(DS97="","",DS97*$DO$1/'CPI USA'!$U$508+(1-DS97)*AVERAGE($DO$1,$DQ$1)/AVERAGE('CPI USA'!$U$508,'PPI USA'!$T$514))</f>
        <v>1.1741595760647974</v>
      </c>
      <c r="DU97" s="6">
        <f t="shared" si="38"/>
        <v>14379331.603156464</v>
      </c>
      <c r="DV97" s="6">
        <f t="shared" si="39"/>
        <v>149613.59139073105</v>
      </c>
      <c r="DW97" s="6">
        <f t="shared" si="40"/>
        <v>5227176.6626987178</v>
      </c>
      <c r="DX97" s="16">
        <f t="shared" si="41"/>
        <v>0.2</v>
      </c>
      <c r="DY97" s="28">
        <f>IF(DX97="","",DX97*$DO$1/'CPI USA'!$U$508+(1-DX97)*AVERAGE($DO$1,$DQ$1)/AVERAGE('CPI USA'!$U$508,'PPI USA'!$T$514))</f>
        <v>1.1741595760647974</v>
      </c>
      <c r="DZ97" s="30"/>
      <c r="EA97" s="45" t="str">
        <f t="shared" si="42"/>
        <v>C001182</v>
      </c>
      <c r="EB97" s="29" t="str">
        <f t="shared" si="43"/>
        <v/>
      </c>
      <c r="EC97" s="29" t="str">
        <f t="shared" si="44"/>
        <v/>
      </c>
      <c r="ED97" s="29" t="str">
        <f t="shared" si="45"/>
        <v/>
      </c>
      <c r="EE97" s="29" t="str">
        <f t="shared" si="46"/>
        <v/>
      </c>
      <c r="EF97" s="29" t="str">
        <f t="shared" si="47"/>
        <v/>
      </c>
      <c r="EG97" s="29" t="str">
        <f t="shared" si="48"/>
        <v/>
      </c>
      <c r="EH97" s="29" t="str">
        <f t="shared" si="49"/>
        <v/>
      </c>
      <c r="EI97" s="29" t="str">
        <f t="shared" si="50"/>
        <v/>
      </c>
      <c r="EJ97" s="29" t="str">
        <f t="shared" si="51"/>
        <v/>
      </c>
      <c r="EK97" s="29" t="str">
        <f t="shared" si="52"/>
        <v/>
      </c>
      <c r="EL97" s="29" t="str">
        <f>IF(CD97=1,VLOOKUP(EA97,'EIA 2021'!$A$2:$J$213,4,0)*EH97,"")</f>
        <v/>
      </c>
      <c r="EM97" s="29" t="str">
        <f>IF(CD97=1,VLOOKUP(EA97,'EIA 2021'!$A$2:$J$213,7,0)*EH97,"")</f>
        <v/>
      </c>
      <c r="EN97" s="29" t="str">
        <f>IF(CD97=1,VLOOKUP(EA97,'EIA 2021'!$A$2:$J$213,10,0),"")</f>
        <v/>
      </c>
      <c r="EO97" s="28" t="str">
        <f>IF(CD97=1,VLOOKUP(EA97,'EIA 2021'!$A$2:$Z$213,26,0),"")</f>
        <v/>
      </c>
      <c r="EP97" s="23" t="str">
        <f t="shared" si="53"/>
        <v/>
      </c>
      <c r="EQ97" s="32" t="str">
        <f t="shared" si="54"/>
        <v/>
      </c>
      <c r="ER97" s="32" t="str">
        <f t="shared" si="55"/>
        <v/>
      </c>
      <c r="ES97" s="6"/>
      <c r="ET97" s="32"/>
    </row>
    <row r="98" spans="1:150" ht="15.75" customHeight="1">
      <c r="A98" s="7" t="s">
        <v>496</v>
      </c>
      <c r="B98" s="7" t="s">
        <v>497</v>
      </c>
      <c r="C98" s="32" t="s">
        <v>498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f>IFERROR(VLOOKUP(A98,'Trans 21-23'!$A$2:$J$229,6,0),0)</f>
        <v>0</v>
      </c>
      <c r="Y98" s="41">
        <v>0</v>
      </c>
      <c r="Z98" s="41">
        <v>0</v>
      </c>
      <c r="AA98" s="41">
        <v>8656910</v>
      </c>
      <c r="AB98" s="41">
        <v>6628879</v>
      </c>
      <c r="AC98" s="41">
        <v>0</v>
      </c>
      <c r="AD98" s="41">
        <v>80376364</v>
      </c>
      <c r="AE98" s="41">
        <v>0</v>
      </c>
      <c r="AF98" s="41">
        <v>193701926</v>
      </c>
      <c r="AG98" s="41">
        <v>0</v>
      </c>
      <c r="AH98" s="41">
        <v>0</v>
      </c>
      <c r="AI98" s="41">
        <v>0</v>
      </c>
      <c r="AJ98" s="41">
        <v>0</v>
      </c>
      <c r="AK98" s="41">
        <v>0</v>
      </c>
      <c r="AL98" s="41">
        <v>0</v>
      </c>
      <c r="AM98" s="41">
        <v>0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U98" s="41">
        <v>42587</v>
      </c>
      <c r="AV98" s="41">
        <v>0</v>
      </c>
      <c r="AW98" s="41">
        <v>0</v>
      </c>
      <c r="AX98" s="41">
        <v>0</v>
      </c>
      <c r="AY98" s="41">
        <v>0</v>
      </c>
      <c r="AZ98" s="41">
        <v>0</v>
      </c>
      <c r="BA98" s="41">
        <v>0</v>
      </c>
      <c r="BB98" s="41">
        <v>0</v>
      </c>
      <c r="BC98" s="41">
        <v>700189875</v>
      </c>
      <c r="BD98" s="41">
        <v>0</v>
      </c>
      <c r="BE98" s="41">
        <v>0</v>
      </c>
      <c r="BF98" s="41">
        <v>0</v>
      </c>
      <c r="BG98" s="41">
        <v>0</v>
      </c>
      <c r="BH98" s="41">
        <v>0</v>
      </c>
      <c r="BI98" s="41">
        <v>8226429</v>
      </c>
      <c r="BJ98" s="41">
        <v>6218863</v>
      </c>
      <c r="BK98" s="41">
        <v>0</v>
      </c>
      <c r="BL98" s="41">
        <v>0</v>
      </c>
      <c r="BM98" s="41">
        <v>51306783</v>
      </c>
      <c r="BN98" s="41">
        <v>139060450</v>
      </c>
      <c r="BO98" s="41">
        <v>0</v>
      </c>
      <c r="BP98" s="41">
        <v>0</v>
      </c>
      <c r="BQ98" s="41">
        <v>139060450</v>
      </c>
      <c r="BR98" s="41">
        <v>0</v>
      </c>
      <c r="BS98" s="42">
        <f>IFERROR(VLOOKUP(A98,'Trans 21-23'!$A$2:$J$229,5,0),0)</f>
        <v>0</v>
      </c>
      <c r="BT98" s="43"/>
      <c r="BU98" s="6">
        <f t="shared" si="0"/>
        <v>0</v>
      </c>
      <c r="BV98" s="6">
        <f t="shared" si="1"/>
        <v>42587</v>
      </c>
      <c r="BW98" s="6">
        <f t="shared" si="2"/>
        <v>0</v>
      </c>
      <c r="BX98" s="6">
        <f t="shared" si="3"/>
        <v>0</v>
      </c>
      <c r="BY98" s="6">
        <f t="shared" si="4"/>
        <v>15285789</v>
      </c>
      <c r="BZ98" s="6">
        <f t="shared" si="5"/>
        <v>0</v>
      </c>
      <c r="CA98" s="6">
        <f t="shared" si="6"/>
        <v>80376364</v>
      </c>
      <c r="CB98" s="6">
        <f t="shared" si="7"/>
        <v>0</v>
      </c>
      <c r="CC98" s="6">
        <f t="shared" si="8"/>
        <v>0</v>
      </c>
      <c r="CD98" s="6">
        <f t="shared" si="65"/>
        <v>0</v>
      </c>
      <c r="CE98" s="44">
        <f t="shared" si="10"/>
        <v>57</v>
      </c>
      <c r="CF98" s="27"/>
      <c r="CG98" s="28" t="str">
        <f t="shared" si="11"/>
        <v/>
      </c>
      <c r="CH98" s="28" t="str">
        <f t="shared" si="12"/>
        <v/>
      </c>
      <c r="CI98" s="28" t="str">
        <f t="shared" si="13"/>
        <v/>
      </c>
      <c r="CJ98" s="28" t="str">
        <f t="shared" si="14"/>
        <v/>
      </c>
      <c r="CK98" s="23" t="str">
        <f t="shared" si="15"/>
        <v/>
      </c>
      <c r="CL98" s="29" t="str">
        <f t="shared" si="16"/>
        <v/>
      </c>
      <c r="CM98" s="29" t="str">
        <f t="shared" si="66"/>
        <v/>
      </c>
      <c r="CN98" s="29" t="str">
        <f t="shared" si="18"/>
        <v/>
      </c>
      <c r="CO98" s="29" t="str">
        <f t="shared" si="19"/>
        <v/>
      </c>
      <c r="CP98" s="29" t="str">
        <f t="shared" si="20"/>
        <v/>
      </c>
      <c r="CQ98" s="29">
        <f t="shared" si="21"/>
        <v>0</v>
      </c>
      <c r="CR98" s="13"/>
      <c r="CS98" s="7" t="str">
        <f>VLOOKUP(A98,'Empresas 21-23'!$A$2:$M$228,13,0)</f>
        <v/>
      </c>
      <c r="CT98" s="30"/>
      <c r="CU98" s="6">
        <f t="shared" si="22"/>
        <v>0</v>
      </c>
      <c r="CV98" s="6">
        <f t="shared" si="23"/>
        <v>0</v>
      </c>
      <c r="CW98" s="6">
        <f t="shared" si="24"/>
        <v>0</v>
      </c>
      <c r="CX98" s="23">
        <f t="shared" si="63"/>
        <v>0</v>
      </c>
      <c r="CY98" s="23">
        <f t="shared" si="64"/>
        <v>0</v>
      </c>
      <c r="CZ98" s="6">
        <f t="shared" si="25"/>
        <v>0</v>
      </c>
      <c r="DA98" s="6">
        <f t="shared" si="26"/>
        <v>0</v>
      </c>
      <c r="DB98" s="6">
        <f t="shared" si="27"/>
        <v>0</v>
      </c>
      <c r="DC98" s="6">
        <f t="shared" si="28"/>
        <v>0</v>
      </c>
      <c r="DD98" s="6">
        <f t="shared" si="29"/>
        <v>15285789</v>
      </c>
      <c r="DE98" s="6">
        <f t="shared" si="30"/>
        <v>80376364</v>
      </c>
      <c r="DF98" s="6">
        <f t="shared" si="31"/>
        <v>10841474.059411203</v>
      </c>
      <c r="DG98" s="30"/>
      <c r="DH98" s="32" t="str">
        <f>VLOOKUP(A98,'T_med_comp-USA'!$A$7:$Q$233,17,0)</f>
        <v>-</v>
      </c>
      <c r="DI98" s="6" t="str">
        <f t="shared" si="32"/>
        <v/>
      </c>
      <c r="DJ98" s="32" t="str">
        <f>IF(DI98="","",VLOOKUP(DI98,'CPI USA'!$T:$U,2,FALSE))</f>
        <v/>
      </c>
      <c r="DK98" s="32" t="str">
        <f>IF(DI98="","",VLOOKUP(DI98,'PPI USA'!$S:$T,2,FALSE))</f>
        <v/>
      </c>
      <c r="DL98" s="32" t="str">
        <f>IF(DI98="","",VLOOKUP(DI98,'CPI USA'!$T:$V,3,FALSE))</f>
        <v/>
      </c>
      <c r="DM98" s="32" t="str">
        <f>IF(DI98="","",VLOOKUP(DI98,'CPI USA'!$T:$X,5,FALSE))</f>
        <v/>
      </c>
      <c r="DN98" s="32" t="str">
        <f t="shared" si="33"/>
        <v/>
      </c>
      <c r="DO98" s="32" t="str">
        <f t="shared" si="34"/>
        <v/>
      </c>
      <c r="DP98" s="32" t="str">
        <f t="shared" si="35"/>
        <v/>
      </c>
      <c r="DQ98" s="32" t="str">
        <f>IF(DP98="","",DP98*$DO$1/'CPI USA'!$U$508+(1-DP98)*AVERAGE($DO$1,$DQ$1)/AVERAGE('CPI USA'!$U$508,'PPI USA'!$T$514))</f>
        <v/>
      </c>
      <c r="DR98" s="6">
        <f t="shared" si="36"/>
        <v>14445292</v>
      </c>
      <c r="DS98" s="32">
        <f t="shared" si="37"/>
        <v>0.8</v>
      </c>
      <c r="DT98" s="28">
        <f>IF(DS98="","",DS98*$DO$1/'CPI USA'!$U$508+(1-DS98)*AVERAGE($DO$1,$DQ$1)/AVERAGE('CPI USA'!$U$508,'PPI USA'!$T$514))</f>
        <v>1.1386961339283952</v>
      </c>
      <c r="DU98" s="6" t="str">
        <f t="shared" si="38"/>
        <v/>
      </c>
      <c r="DV98" s="6">
        <f t="shared" si="39"/>
        <v>0</v>
      </c>
      <c r="DW98" s="6">
        <f t="shared" si="40"/>
        <v>0</v>
      </c>
      <c r="DX98" s="16" t="str">
        <f t="shared" si="41"/>
        <v/>
      </c>
      <c r="DY98" s="28" t="str">
        <f>IF(DX98="","",DX98*$DO$1/'CPI USA'!$U$508+(1-DX98)*AVERAGE($DO$1,$DQ$1)/AVERAGE('CPI USA'!$U$508,'PPI USA'!$T$514))</f>
        <v/>
      </c>
      <c r="DZ98" s="30"/>
      <c r="EA98" s="45" t="str">
        <f t="shared" si="42"/>
        <v>C001183</v>
      </c>
      <c r="EB98" s="29" t="str">
        <f t="shared" si="43"/>
        <v/>
      </c>
      <c r="EC98" s="29" t="str">
        <f t="shared" si="44"/>
        <v/>
      </c>
      <c r="ED98" s="29" t="str">
        <f t="shared" si="45"/>
        <v/>
      </c>
      <c r="EE98" s="29" t="str">
        <f t="shared" si="46"/>
        <v/>
      </c>
      <c r="EF98" s="29" t="str">
        <f t="shared" si="47"/>
        <v/>
      </c>
      <c r="EG98" s="29" t="str">
        <f t="shared" si="48"/>
        <v/>
      </c>
      <c r="EH98" s="29" t="str">
        <f t="shared" si="49"/>
        <v/>
      </c>
      <c r="EI98" s="29" t="str">
        <f t="shared" si="50"/>
        <v/>
      </c>
      <c r="EJ98" s="29" t="str">
        <f t="shared" si="51"/>
        <v/>
      </c>
      <c r="EK98" s="29" t="str">
        <f t="shared" si="52"/>
        <v/>
      </c>
      <c r="EL98" s="29" t="str">
        <f>IF(CD98=1,VLOOKUP(EA98,'EIA 2021'!$A$2:$J$213,4,0)*EH98,"")</f>
        <v/>
      </c>
      <c r="EM98" s="29" t="str">
        <f>IF(CD98=1,VLOOKUP(EA98,'EIA 2021'!$A$2:$J$213,7,0)*EH98,"")</f>
        <v/>
      </c>
      <c r="EN98" s="29" t="str">
        <f>IF(CD98=1,VLOOKUP(EA98,'EIA 2021'!$A$2:$J$213,10,0),"")</f>
        <v/>
      </c>
      <c r="EO98" s="28" t="str">
        <f>IF(CD98=1,VLOOKUP(EA98,'EIA 2021'!$A$2:$Z$213,26,0),"")</f>
        <v/>
      </c>
      <c r="EP98" s="23" t="str">
        <f t="shared" si="53"/>
        <v/>
      </c>
      <c r="EQ98" s="32" t="str">
        <f t="shared" si="54"/>
        <v/>
      </c>
      <c r="ER98" s="32" t="str">
        <f t="shared" si="55"/>
        <v/>
      </c>
      <c r="ES98" s="6"/>
      <c r="ET98" s="32"/>
    </row>
    <row r="99" spans="1:150" ht="15.75" customHeight="1">
      <c r="A99" s="7" t="s">
        <v>499</v>
      </c>
      <c r="B99" s="7" t="s">
        <v>500</v>
      </c>
      <c r="C99" s="32" t="s">
        <v>501</v>
      </c>
      <c r="D99" s="40">
        <v>132633304</v>
      </c>
      <c r="E99" s="40">
        <v>0</v>
      </c>
      <c r="F99" s="40">
        <v>146189535</v>
      </c>
      <c r="G99" s="40">
        <v>313692299</v>
      </c>
      <c r="H99" s="40">
        <v>324550158</v>
      </c>
      <c r="I99" s="40">
        <v>713190</v>
      </c>
      <c r="J99" s="40">
        <v>429166</v>
      </c>
      <c r="K99" s="40">
        <v>1005023</v>
      </c>
      <c r="L99" s="40">
        <v>1840833</v>
      </c>
      <c r="M99" s="40">
        <v>215955</v>
      </c>
      <c r="N99" s="40">
        <v>70672</v>
      </c>
      <c r="O99" s="40">
        <v>11197632</v>
      </c>
      <c r="P99" s="40">
        <v>1570028</v>
      </c>
      <c r="Q99" s="40">
        <v>788929</v>
      </c>
      <c r="R99" s="40">
        <v>0</v>
      </c>
      <c r="S99" s="40">
        <v>3148122</v>
      </c>
      <c r="T99" s="40">
        <v>3177365</v>
      </c>
      <c r="U99" s="40">
        <v>1304975</v>
      </c>
      <c r="V99" s="40">
        <v>167598</v>
      </c>
      <c r="W99" s="40">
        <v>768662</v>
      </c>
      <c r="X99" s="40">
        <f>IFERROR(VLOOKUP(A99,'Trans 21-23'!$A$2:$J$229,6,0),0)</f>
        <v>0</v>
      </c>
      <c r="Y99" s="41">
        <v>1472898</v>
      </c>
      <c r="Z99" s="41">
        <v>46095</v>
      </c>
      <c r="AA99" s="41">
        <v>20431079</v>
      </c>
      <c r="AB99" s="41">
        <v>16173919</v>
      </c>
      <c r="AC99" s="41">
        <v>0</v>
      </c>
      <c r="AD99" s="41">
        <v>125478581</v>
      </c>
      <c r="AE99" s="41">
        <v>0</v>
      </c>
      <c r="AF99" s="41">
        <v>1017308084</v>
      </c>
      <c r="AG99" s="41">
        <v>438395</v>
      </c>
      <c r="AH99" s="41">
        <v>828976</v>
      </c>
      <c r="AI99" s="41">
        <v>16298975</v>
      </c>
      <c r="AJ99" s="41">
        <v>18082</v>
      </c>
      <c r="AK99" s="41">
        <v>0</v>
      </c>
      <c r="AL99" s="41">
        <v>3820049</v>
      </c>
      <c r="AM99" s="41">
        <v>1939535</v>
      </c>
      <c r="AN99" s="41">
        <v>2942468</v>
      </c>
      <c r="AO99" s="41">
        <v>15695</v>
      </c>
      <c r="AP99" s="41">
        <v>0</v>
      </c>
      <c r="AQ99" s="41">
        <v>8717747</v>
      </c>
      <c r="AR99" s="41">
        <v>6734170</v>
      </c>
      <c r="AS99" s="41">
        <v>15451917</v>
      </c>
      <c r="AT99" s="41">
        <v>0</v>
      </c>
      <c r="AU99" s="41">
        <v>2637</v>
      </c>
      <c r="AV99" s="41">
        <v>0</v>
      </c>
      <c r="AW99" s="41">
        <v>241765930</v>
      </c>
      <c r="AX99" s="41">
        <v>91420924</v>
      </c>
      <c r="AY99" s="41">
        <v>382730024</v>
      </c>
      <c r="AZ99" s="41">
        <v>85040545</v>
      </c>
      <c r="BA99" s="41">
        <v>19204907</v>
      </c>
      <c r="BB99" s="41">
        <v>2024049236</v>
      </c>
      <c r="BC99" s="41">
        <v>8078624732</v>
      </c>
      <c r="BD99" s="41">
        <v>618682625</v>
      </c>
      <c r="BE99" s="41">
        <v>553305614</v>
      </c>
      <c r="BF99" s="41">
        <v>38727669</v>
      </c>
      <c r="BG99" s="41">
        <v>0</v>
      </c>
      <c r="BH99" s="41">
        <v>13027136</v>
      </c>
      <c r="BI99" s="41">
        <v>8234056</v>
      </c>
      <c r="BJ99" s="41">
        <v>9357</v>
      </c>
      <c r="BK99" s="41">
        <v>0</v>
      </c>
      <c r="BL99" s="41">
        <v>0</v>
      </c>
      <c r="BM99" s="41">
        <v>33397493</v>
      </c>
      <c r="BN99" s="41">
        <v>101856014</v>
      </c>
      <c r="BO99" s="41">
        <v>23245554</v>
      </c>
      <c r="BP99" s="41">
        <v>40923826</v>
      </c>
      <c r="BQ99" s="41">
        <v>193794725</v>
      </c>
      <c r="BR99" s="41">
        <v>0</v>
      </c>
      <c r="BS99" s="42">
        <f>IFERROR(VLOOKUP(A99,'Trans 21-23'!$A$2:$J$229,5,0),0)</f>
        <v>0</v>
      </c>
      <c r="BT99" s="43"/>
      <c r="BU99" s="6">
        <f t="shared" si="0"/>
        <v>2024049236</v>
      </c>
      <c r="BV99" s="6">
        <f t="shared" si="1"/>
        <v>2637</v>
      </c>
      <c r="BW99" s="6">
        <f t="shared" si="2"/>
        <v>438395</v>
      </c>
      <c r="BX99" s="6">
        <f t="shared" si="3"/>
        <v>26398150</v>
      </c>
      <c r="BY99" s="6">
        <f t="shared" si="4"/>
        <v>38123991</v>
      </c>
      <c r="BZ99" s="6">
        <f t="shared" si="5"/>
        <v>85040545</v>
      </c>
      <c r="CA99" s="6">
        <f t="shared" si="6"/>
        <v>125478581</v>
      </c>
      <c r="CB99" s="6">
        <f t="shared" si="7"/>
        <v>828976</v>
      </c>
      <c r="CC99" s="6">
        <f t="shared" si="8"/>
        <v>8717747</v>
      </c>
      <c r="CD99" s="6">
        <f t="shared" si="65"/>
        <v>1</v>
      </c>
      <c r="CE99" s="44">
        <f t="shared" si="10"/>
        <v>14</v>
      </c>
      <c r="CF99" s="27"/>
      <c r="CG99" s="28">
        <f t="shared" si="11"/>
        <v>767.55754114524075</v>
      </c>
      <c r="CH99" s="28">
        <f t="shared" si="12"/>
        <v>6.0151233476659174</v>
      </c>
      <c r="CI99" s="28">
        <f t="shared" si="13"/>
        <v>60.215444975421711</v>
      </c>
      <c r="CJ99" s="28">
        <f t="shared" si="14"/>
        <v>193.98155772762007</v>
      </c>
      <c r="CK99" s="23">
        <f t="shared" si="15"/>
        <v>9.5090623758638554E-2</v>
      </c>
      <c r="CL99" s="29" t="str">
        <f t="shared" si="16"/>
        <v/>
      </c>
      <c r="CM99" s="29" t="str">
        <f t="shared" si="66"/>
        <v/>
      </c>
      <c r="CN99" s="29" t="str">
        <f t="shared" si="18"/>
        <v/>
      </c>
      <c r="CO99" s="29" t="str">
        <f t="shared" si="19"/>
        <v/>
      </c>
      <c r="CP99" s="29" t="str">
        <f t="shared" si="20"/>
        <v/>
      </c>
      <c r="CQ99" s="29">
        <f t="shared" si="21"/>
        <v>0</v>
      </c>
      <c r="CR99" s="13"/>
      <c r="CS99" s="7" t="str">
        <f>VLOOKUP(A99,'Empresas 21-23'!$A$2:$M$228,13,0)</f>
        <v/>
      </c>
      <c r="CT99" s="30"/>
      <c r="CU99" s="6">
        <f t="shared" si="22"/>
        <v>1635313215.2</v>
      </c>
      <c r="CV99" s="6">
        <f t="shared" si="23"/>
        <v>85040545</v>
      </c>
      <c r="CW99" s="6">
        <f t="shared" si="24"/>
        <v>618682625</v>
      </c>
      <c r="CX99" s="23">
        <f t="shared" si="63"/>
        <v>0.21921258794562387</v>
      </c>
      <c r="CY99" s="23">
        <f t="shared" si="64"/>
        <v>1.1399625329558875E-2</v>
      </c>
      <c r="CZ99" s="6">
        <f t="shared" si="25"/>
        <v>1770936234.543242</v>
      </c>
      <c r="DA99" s="6">
        <f t="shared" si="26"/>
        <v>92093295.122907981</v>
      </c>
      <c r="DB99" s="6">
        <f t="shared" si="27"/>
        <v>26398150</v>
      </c>
      <c r="DC99" s="6">
        <f t="shared" si="28"/>
        <v>26398150</v>
      </c>
      <c r="DD99" s="6">
        <f t="shared" si="29"/>
        <v>38123991</v>
      </c>
      <c r="DE99" s="6">
        <f t="shared" si="30"/>
        <v>125478581</v>
      </c>
      <c r="DF99" s="6">
        <f t="shared" si="31"/>
        <v>28067131.534075785</v>
      </c>
      <c r="DG99" s="30"/>
      <c r="DH99" s="32">
        <f>VLOOKUP(A99,'T_med_comp-USA'!$A$7:$Q$233,17,0)</f>
        <v>13.35452632710799</v>
      </c>
      <c r="DI99" s="6" t="str">
        <f t="shared" si="32"/>
        <v>8_2008</v>
      </c>
      <c r="DJ99" s="32">
        <f>IF(DI99="","",VLOOKUP(DI99,'CPI USA'!$T:$U,2,FALSE))</f>
        <v>215.303</v>
      </c>
      <c r="DK99" s="32">
        <f>IF(DI99="","",VLOOKUP(DI99,'PPI USA'!$S:$T,2,FALSE))</f>
        <v>159.30000000000001</v>
      </c>
      <c r="DL99" s="32">
        <f>IF(DI99="","",VLOOKUP(DI99,'CPI USA'!$T:$V,3,FALSE))</f>
        <v>0.67018812038291731</v>
      </c>
      <c r="DM99" s="32">
        <f>IF(DI99="","",VLOOKUP(DI99,'CPI USA'!$T:$X,5,FALSE))</f>
        <v>0.49838492968660258</v>
      </c>
      <c r="DN99" s="32">
        <f t="shared" si="33"/>
        <v>1.4884333659448254</v>
      </c>
      <c r="DO99" s="32">
        <f t="shared" si="34"/>
        <v>1.5036496327119213</v>
      </c>
      <c r="DP99" s="32">
        <f t="shared" si="35"/>
        <v>0.60611011433011175</v>
      </c>
      <c r="DQ99" s="32">
        <f>IF(DP99="","",DP99*$DO$1/'CPI USA'!$U$508+(1-DP99)*AVERAGE($DO$1,$DQ$1)/AVERAGE('CPI USA'!$U$508,'PPI USA'!$T$514))</f>
        <v>1.1501561384972079</v>
      </c>
      <c r="DR99" s="6">
        <f t="shared" si="36"/>
        <v>8243413</v>
      </c>
      <c r="DS99" s="32">
        <f t="shared" si="37"/>
        <v>0.26557352429007303</v>
      </c>
      <c r="DT99" s="28">
        <f>IF(DS99="","",DS99*$DO$1/'CPI USA'!$U$508+(1-DS99)*AVERAGE($DO$1,$DQ$1)/AVERAGE('CPI USA'!$U$508,'PPI USA'!$T$514))</f>
        <v>1.1702838045908959</v>
      </c>
      <c r="DU99" s="6">
        <f t="shared" si="38"/>
        <v>41019460.486339316</v>
      </c>
      <c r="DV99" s="6">
        <f t="shared" si="39"/>
        <v>8940571.4318996575</v>
      </c>
      <c r="DW99" s="6">
        <f t="shared" si="40"/>
        <v>10433132.666653007</v>
      </c>
      <c r="DX99" s="16">
        <f t="shared" si="41"/>
        <v>0.37172066030282908</v>
      </c>
      <c r="DY99" s="28">
        <f>IF(DX99="","",DX99*$DO$1/'CPI USA'!$U$508+(1-DX99)*AVERAGE($DO$1,$DQ$1)/AVERAGE('CPI USA'!$U$508,'PPI USA'!$T$514))</f>
        <v>1.1640098998976738</v>
      </c>
      <c r="DZ99" s="30"/>
      <c r="EA99" s="45" t="str">
        <f t="shared" si="42"/>
        <v>C001184</v>
      </c>
      <c r="EB99" s="29">
        <f t="shared" si="43"/>
        <v>2635920580.4548526</v>
      </c>
      <c r="EC99" s="29">
        <f t="shared" si="44"/>
        <v>138476049.38679117</v>
      </c>
      <c r="ED99" s="29">
        <f t="shared" si="45"/>
        <v>30361994.267470069</v>
      </c>
      <c r="EE99" s="29">
        <f t="shared" si="46"/>
        <v>44615889.233669072</v>
      </c>
      <c r="EF99" s="29">
        <f t="shared" si="47"/>
        <v>32670418.967394397</v>
      </c>
      <c r="EG99" s="29">
        <f t="shared" si="48"/>
        <v>2637</v>
      </c>
      <c r="EH99" s="29">
        <f t="shared" si="49"/>
        <v>438395</v>
      </c>
      <c r="EI99" s="29">
        <f t="shared" si="50"/>
        <v>828976</v>
      </c>
      <c r="EJ99" s="29">
        <f t="shared" si="51"/>
        <v>8717747</v>
      </c>
      <c r="EK99" s="29">
        <f t="shared" si="52"/>
        <v>9444172.1878172588</v>
      </c>
      <c r="EL99" s="29" t="e">
        <f>IF(CD99=1,VLOOKUP(EA99,'EIA 2021'!$A$2:$J$213,4,0)*EH99,"")</f>
        <v>#VALUE!</v>
      </c>
      <c r="EM99" s="29">
        <f>IF(CD99=1,VLOOKUP(EA99,'EIA 2021'!$A$2:$J$213,7,0)*EH99,"")</f>
        <v>398939.45</v>
      </c>
      <c r="EN99" s="29">
        <f>IF(CD99=1,VLOOKUP(EA99,'EIA 2021'!$A$2:$J$213,10,0),"")</f>
        <v>471110</v>
      </c>
      <c r="EO99" s="28">
        <f>IF(CD99=1,VLOOKUP(EA99,'EIA 2021'!$A$2:$Z$213,26,0),"")</f>
        <v>0</v>
      </c>
      <c r="EP99" s="23">
        <f t="shared" si="53"/>
        <v>7.6917825445233692E-2</v>
      </c>
      <c r="EQ99" s="32">
        <f t="shared" si="54"/>
        <v>102550.81218274124</v>
      </c>
      <c r="ER99" s="32">
        <f t="shared" si="55"/>
        <v>726425.18781725876</v>
      </c>
      <c r="ES99" s="6"/>
      <c r="ET99" s="32"/>
    </row>
    <row r="100" spans="1:150" ht="15.75" customHeight="1">
      <c r="A100" s="7" t="s">
        <v>502</v>
      </c>
      <c r="B100" s="7" t="s">
        <v>503</v>
      </c>
      <c r="C100" s="32" t="s">
        <v>504</v>
      </c>
      <c r="D100" s="40">
        <v>0</v>
      </c>
      <c r="E100" s="40">
        <v>0</v>
      </c>
      <c r="F100" s="40">
        <v>53396499</v>
      </c>
      <c r="G100" s="40">
        <v>56543782</v>
      </c>
      <c r="H100" s="40">
        <v>58853069</v>
      </c>
      <c r="I100" s="40">
        <v>0</v>
      </c>
      <c r="J100" s="40">
        <v>47425</v>
      </c>
      <c r="K100" s="40">
        <v>971919</v>
      </c>
      <c r="L100" s="40">
        <v>594316</v>
      </c>
      <c r="M100" s="40">
        <v>412534</v>
      </c>
      <c r="N100" s="40">
        <v>99671</v>
      </c>
      <c r="O100" s="40">
        <v>1577669</v>
      </c>
      <c r="P100" s="40">
        <v>36441</v>
      </c>
      <c r="Q100" s="40">
        <v>0</v>
      </c>
      <c r="R100" s="40">
        <v>0</v>
      </c>
      <c r="S100" s="40">
        <v>1529905</v>
      </c>
      <c r="T100" s="40">
        <v>1229027</v>
      </c>
      <c r="U100" s="40">
        <v>145390</v>
      </c>
      <c r="V100" s="40">
        <v>15593</v>
      </c>
      <c r="W100" s="40">
        <v>9985</v>
      </c>
      <c r="X100" s="40">
        <f>IFERROR(VLOOKUP(A100,'Trans 21-23'!$A$2:$J$229,6,0),0)</f>
        <v>26862</v>
      </c>
      <c r="Y100" s="41">
        <v>477143</v>
      </c>
      <c r="Z100" s="41">
        <v>0</v>
      </c>
      <c r="AA100" s="41">
        <v>3891988</v>
      </c>
      <c r="AB100" s="41">
        <v>3177850</v>
      </c>
      <c r="AC100" s="41">
        <v>0</v>
      </c>
      <c r="AD100" s="41">
        <v>9553365</v>
      </c>
      <c r="AE100" s="41">
        <v>0</v>
      </c>
      <c r="AF100" s="41">
        <v>157854300</v>
      </c>
      <c r="AG100" s="41">
        <v>100088</v>
      </c>
      <c r="AH100" s="41">
        <v>166772</v>
      </c>
      <c r="AI100" s="41">
        <v>2312836</v>
      </c>
      <c r="AJ100" s="41">
        <v>1070</v>
      </c>
      <c r="AK100" s="41">
        <v>0</v>
      </c>
      <c r="AL100" s="41">
        <v>1006139</v>
      </c>
      <c r="AM100" s="41">
        <v>714464</v>
      </c>
      <c r="AN100" s="41">
        <v>118432</v>
      </c>
      <c r="AO100" s="41">
        <v>1806</v>
      </c>
      <c r="AP100" s="41">
        <v>0</v>
      </c>
      <c r="AQ100" s="41">
        <v>1840841</v>
      </c>
      <c r="AR100" s="41">
        <v>304153</v>
      </c>
      <c r="AS100" s="41">
        <v>2144994</v>
      </c>
      <c r="AT100" s="41">
        <v>0</v>
      </c>
      <c r="AU100" s="41">
        <v>527</v>
      </c>
      <c r="AV100" s="41">
        <v>0</v>
      </c>
      <c r="AW100" s="41">
        <v>91322616</v>
      </c>
      <c r="AX100" s="41">
        <v>29671708</v>
      </c>
      <c r="AY100" s="41">
        <v>55341054</v>
      </c>
      <c r="AZ100" s="41">
        <v>16411034</v>
      </c>
      <c r="BA100" s="41">
        <v>5796398</v>
      </c>
      <c r="BB100" s="41">
        <v>542028344</v>
      </c>
      <c r="BC100" s="41">
        <v>994148422</v>
      </c>
      <c r="BD100" s="41">
        <v>66324519</v>
      </c>
      <c r="BE100" s="41">
        <v>298008833</v>
      </c>
      <c r="BF100" s="41">
        <v>7556565</v>
      </c>
      <c r="BG100" s="41">
        <v>0</v>
      </c>
      <c r="BH100" s="41">
        <v>2826161</v>
      </c>
      <c r="BI100" s="41">
        <v>457025</v>
      </c>
      <c r="BJ100" s="41">
        <v>207031</v>
      </c>
      <c r="BK100" s="41">
        <v>0</v>
      </c>
      <c r="BL100" s="41">
        <v>0</v>
      </c>
      <c r="BM100" s="41">
        <v>1116066</v>
      </c>
      <c r="BN100" s="41">
        <v>4910934</v>
      </c>
      <c r="BO100" s="41">
        <v>851244</v>
      </c>
      <c r="BP100" s="41">
        <v>3224231</v>
      </c>
      <c r="BQ100" s="41">
        <v>14315909</v>
      </c>
      <c r="BR100" s="41">
        <v>0</v>
      </c>
      <c r="BS100" s="42">
        <f>IFERROR(VLOOKUP(A100,'Trans 21-23'!$A$2:$J$229,5,0),0)</f>
        <v>65353499</v>
      </c>
      <c r="BT100" s="43"/>
      <c r="BU100" s="6">
        <f t="shared" si="0"/>
        <v>542028344</v>
      </c>
      <c r="BV100" s="6">
        <f t="shared" si="1"/>
        <v>527</v>
      </c>
      <c r="BW100" s="6">
        <f t="shared" si="2"/>
        <v>100088</v>
      </c>
      <c r="BX100" s="6">
        <f t="shared" si="3"/>
        <v>6669875</v>
      </c>
      <c r="BY100" s="6">
        <f t="shared" si="4"/>
        <v>7546981</v>
      </c>
      <c r="BZ100" s="6">
        <f t="shared" si="5"/>
        <v>16411034</v>
      </c>
      <c r="CA100" s="6">
        <f t="shared" si="6"/>
        <v>9553365</v>
      </c>
      <c r="CB100" s="6">
        <f t="shared" si="7"/>
        <v>166772</v>
      </c>
      <c r="CC100" s="6">
        <f t="shared" si="8"/>
        <v>1840841</v>
      </c>
      <c r="CD100" s="6">
        <f t="shared" si="65"/>
        <v>1</v>
      </c>
      <c r="CE100" s="44">
        <f t="shared" si="10"/>
        <v>16</v>
      </c>
      <c r="CF100" s="27"/>
      <c r="CG100" s="28">
        <f t="shared" si="11"/>
        <v>1028.5167817836812</v>
      </c>
      <c r="CH100" s="28">
        <f t="shared" si="12"/>
        <v>5.2653664774997999</v>
      </c>
      <c r="CI100" s="28">
        <f t="shared" si="13"/>
        <v>66.640106706098635</v>
      </c>
      <c r="CJ100" s="28">
        <f t="shared" si="14"/>
        <v>163.96604987610903</v>
      </c>
      <c r="CK100" s="23">
        <f t="shared" si="15"/>
        <v>9.05955484476932E-2</v>
      </c>
      <c r="CL100" s="29" t="str">
        <f t="shared" si="16"/>
        <v/>
      </c>
      <c r="CM100" s="29" t="str">
        <f t="shared" si="66"/>
        <v/>
      </c>
      <c r="CN100" s="29" t="str">
        <f t="shared" si="18"/>
        <v/>
      </c>
      <c r="CO100" s="29" t="str">
        <f t="shared" si="19"/>
        <v/>
      </c>
      <c r="CP100" s="29" t="str">
        <f t="shared" si="20"/>
        <v/>
      </c>
      <c r="CQ100" s="29">
        <f t="shared" si="21"/>
        <v>0</v>
      </c>
      <c r="CR100" s="13"/>
      <c r="CS100" s="7">
        <f>VLOOKUP(A100,'Empresas 21-23'!$A$2:$M$228,13,0)</f>
        <v>1</v>
      </c>
      <c r="CT100" s="30"/>
      <c r="CU100" s="6">
        <f t="shared" si="22"/>
        <v>534166753.80000001</v>
      </c>
      <c r="CV100" s="6">
        <f t="shared" si="23"/>
        <v>16411034</v>
      </c>
      <c r="CW100" s="6">
        <f t="shared" si="24"/>
        <v>66324519</v>
      </c>
      <c r="CX100" s="23">
        <f t="shared" si="63"/>
        <v>0.57571997452624368</v>
      </c>
      <c r="CY100" s="23">
        <f t="shared" si="64"/>
        <v>1.7687660284389117E-2</v>
      </c>
      <c r="CZ100" s="6">
        <f t="shared" si="25"/>
        <v>572351104.18914533</v>
      </c>
      <c r="DA100" s="6">
        <f t="shared" si="26"/>
        <v>17584159.560597513</v>
      </c>
      <c r="DB100" s="6">
        <f t="shared" si="27"/>
        <v>6669875</v>
      </c>
      <c r="DC100" s="6">
        <f t="shared" si="28"/>
        <v>6696737</v>
      </c>
      <c r="DD100" s="6">
        <f t="shared" si="29"/>
        <v>7546981</v>
      </c>
      <c r="DE100" s="6">
        <f t="shared" si="30"/>
        <v>9553365</v>
      </c>
      <c r="DF100" s="6">
        <f t="shared" si="31"/>
        <v>3774487.5807641358</v>
      </c>
      <c r="DG100" s="30"/>
      <c r="DH100" s="49">
        <f>VLOOKUP(A100,'T_med_comp-USA'!$A$7:$Q$233,17,0)</f>
        <v>19.127699810683165</v>
      </c>
      <c r="DI100" s="6" t="str">
        <f t="shared" si="32"/>
        <v>11_2002</v>
      </c>
      <c r="DJ100" s="32">
        <f>IF(DI100="","",VLOOKUP(DI100,'CPI USA'!$T:$U,2,FALSE))</f>
        <v>179.9</v>
      </c>
      <c r="DK100" s="32">
        <f>IF(DI100="","",VLOOKUP(DI100,'PPI USA'!$S:$T,2,FALSE))</f>
        <v>117.7</v>
      </c>
      <c r="DL100" s="32">
        <f>IF(DI100="","",VLOOKUP(DI100,'CPI USA'!$T:$V,3,FALSE))</f>
        <v>0.68124675757695474</v>
      </c>
      <c r="DM100" s="32">
        <f>IF(DI100="","",VLOOKUP(DI100,'CPI USA'!$T:$X,5,FALSE))</f>
        <v>0.51100097296585234</v>
      </c>
      <c r="DN100" s="32">
        <f t="shared" si="33"/>
        <v>1.8107397595358932</v>
      </c>
      <c r="DO100" s="32">
        <f t="shared" si="34"/>
        <v>1.8451105665988905</v>
      </c>
      <c r="DP100" s="32">
        <f t="shared" si="35"/>
        <v>0.49716640748595387</v>
      </c>
      <c r="DQ100" s="32">
        <f>IF(DP100="","",DP100*$DO$1/'CPI USA'!$U$508+(1-DP100)*AVERAGE($DO$1,$DQ$1)/AVERAGE('CPI USA'!$U$508,'PPI USA'!$T$514))</f>
        <v>1.1565953365701964</v>
      </c>
      <c r="DR100" s="6">
        <f t="shared" si="36"/>
        <v>664056</v>
      </c>
      <c r="DS100" s="32">
        <f t="shared" si="37"/>
        <v>0.2</v>
      </c>
      <c r="DT100" s="28">
        <f>IF(DS100="","",DS100*$DO$1/'CPI USA'!$U$508+(1-DS100)*AVERAGE($DO$1,$DQ$1)/AVERAGE('CPI USA'!$U$508,'PPI USA'!$T$514))</f>
        <v>1.1741595760647974</v>
      </c>
      <c r="DU100" s="6">
        <f t="shared" si="38"/>
        <v>1309520.9489168455</v>
      </c>
      <c r="DV100" s="6">
        <f t="shared" si="39"/>
        <v>324428.33223665529</v>
      </c>
      <c r="DW100" s="6">
        <f t="shared" si="40"/>
        <v>1161253.1461876149</v>
      </c>
      <c r="DX100" s="16">
        <f t="shared" si="41"/>
        <v>0.30765848909019911</v>
      </c>
      <c r="DY100" s="28">
        <f>IF(DX100="","",DX100*$DO$1/'CPI USA'!$U$508+(1-DX100)*AVERAGE($DO$1,$DQ$1)/AVERAGE('CPI USA'!$U$508,'PPI USA'!$T$514))</f>
        <v>1.1677963417342261</v>
      </c>
      <c r="DZ100" s="30"/>
      <c r="EA100" s="45" t="str">
        <f t="shared" si="42"/>
        <v>C001187</v>
      </c>
      <c r="EB100" s="29">
        <f t="shared" si="43"/>
        <v>1036378900.7695559</v>
      </c>
      <c r="EC100" s="29">
        <f t="shared" si="44"/>
        <v>32444718.610019375</v>
      </c>
      <c r="ED100" s="29">
        <f t="shared" si="45"/>
        <v>7745414.7844370874</v>
      </c>
      <c r="EE100" s="29">
        <f t="shared" si="46"/>
        <v>8861360.0115290806</v>
      </c>
      <c r="EF100" s="29">
        <f t="shared" si="47"/>
        <v>4407832.7887376267</v>
      </c>
      <c r="EG100" s="29">
        <f t="shared" si="48"/>
        <v>527</v>
      </c>
      <c r="EH100" s="29">
        <f t="shared" si="49"/>
        <v>100088</v>
      </c>
      <c r="EI100" s="29">
        <f t="shared" si="50"/>
        <v>166772</v>
      </c>
      <c r="EJ100" s="29">
        <f t="shared" si="51"/>
        <v>1840841</v>
      </c>
      <c r="EK100" s="29">
        <f t="shared" si="52"/>
        <v>2002981.2284263959</v>
      </c>
      <c r="EL100" s="29">
        <f>IF(CD100=1,VLOOKUP(EA100,'EIA 2021'!$A$2:$J$213,4,0)*EH100,"")</f>
        <v>4849263.6000000006</v>
      </c>
      <c r="EM100" s="29">
        <f>IF(CD100=1,VLOOKUP(EA100,'EIA 2021'!$A$2:$J$213,7,0)*EH100,"")</f>
        <v>105092.40000000001</v>
      </c>
      <c r="EN100" s="29">
        <f>IF(CD100=1,VLOOKUP(EA100,'EIA 2021'!$A$2:$J$213,10,0),"")</f>
        <v>104742</v>
      </c>
      <c r="EO100" s="28">
        <f>IF(CD100=1,VLOOKUP(EA100,'EIA 2021'!$A$2:$Z$213,26,0),"")</f>
        <v>0</v>
      </c>
      <c r="EP100" s="23">
        <f t="shared" si="53"/>
        <v>8.0949449812756508E-2</v>
      </c>
      <c r="EQ100" s="32">
        <f t="shared" si="54"/>
        <v>4631.7715736040846</v>
      </c>
      <c r="ER100" s="32">
        <f t="shared" si="55"/>
        <v>162140.22842639592</v>
      </c>
      <c r="ES100" s="6"/>
      <c r="ET100" s="32"/>
    </row>
    <row r="101" spans="1:150" ht="15.75" customHeight="1">
      <c r="A101" s="7" t="s">
        <v>505</v>
      </c>
      <c r="B101" s="7" t="s">
        <v>506</v>
      </c>
      <c r="C101" s="32" t="s">
        <v>507</v>
      </c>
      <c r="D101" s="40">
        <v>2227767</v>
      </c>
      <c r="E101" s="40">
        <v>0</v>
      </c>
      <c r="F101" s="40">
        <v>58168839</v>
      </c>
      <c r="G101" s="40">
        <v>357378288</v>
      </c>
      <c r="H101" s="40">
        <v>357378288</v>
      </c>
      <c r="I101" s="40">
        <v>279939</v>
      </c>
      <c r="J101" s="40">
        <v>2425730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60915</v>
      </c>
      <c r="R101" s="40">
        <v>0</v>
      </c>
      <c r="S101" s="40">
        <v>1663083</v>
      </c>
      <c r="T101" s="40">
        <v>0</v>
      </c>
      <c r="U101" s="40">
        <v>0</v>
      </c>
      <c r="V101" s="40">
        <v>0</v>
      </c>
      <c r="W101" s="40">
        <v>0</v>
      </c>
      <c r="X101" s="40">
        <f>IFERROR(VLOOKUP(A101,'Trans 21-23'!$A$2:$J$229,6,0),0)</f>
        <v>4894141</v>
      </c>
      <c r="Y101" s="41">
        <v>0</v>
      </c>
      <c r="Z101" s="41">
        <v>0</v>
      </c>
      <c r="AA101" s="41">
        <v>0</v>
      </c>
      <c r="AB101" s="41">
        <v>0</v>
      </c>
      <c r="AC101" s="41">
        <v>0</v>
      </c>
      <c r="AD101" s="41">
        <v>20131501</v>
      </c>
      <c r="AE101" s="41">
        <v>0</v>
      </c>
      <c r="AF101" s="41">
        <v>460970338</v>
      </c>
      <c r="AG101" s="41">
        <v>14</v>
      </c>
      <c r="AH101" s="41">
        <v>5264</v>
      </c>
      <c r="AI101" s="41">
        <v>8132868</v>
      </c>
      <c r="AJ101" s="41">
        <v>2169</v>
      </c>
      <c r="AK101" s="41">
        <v>0</v>
      </c>
      <c r="AL101" s="41">
        <v>0</v>
      </c>
      <c r="AM101" s="41">
        <v>0</v>
      </c>
      <c r="AN101" s="41">
        <v>0</v>
      </c>
      <c r="AO101" s="41">
        <v>0</v>
      </c>
      <c r="AP101" s="41">
        <v>0</v>
      </c>
      <c r="AQ101" s="41">
        <v>0</v>
      </c>
      <c r="AR101" s="41">
        <v>8135963</v>
      </c>
      <c r="AS101" s="41">
        <v>8135963</v>
      </c>
      <c r="AT101" s="41">
        <v>0</v>
      </c>
      <c r="AU101" s="41">
        <v>661</v>
      </c>
      <c r="AV101" s="41">
        <v>0</v>
      </c>
      <c r="AW101" s="41">
        <v>0</v>
      </c>
      <c r="AX101" s="41">
        <v>0</v>
      </c>
      <c r="AY101" s="41">
        <v>0</v>
      </c>
      <c r="AZ101" s="41">
        <v>0</v>
      </c>
      <c r="BA101" s="41">
        <v>0</v>
      </c>
      <c r="BB101" s="41">
        <v>127019493</v>
      </c>
      <c r="BC101" s="41">
        <v>1119844486</v>
      </c>
      <c r="BD101" s="41">
        <v>46989096</v>
      </c>
      <c r="BE101" s="41">
        <v>35789343</v>
      </c>
      <c r="BF101" s="41">
        <v>3327002</v>
      </c>
      <c r="BG101" s="41">
        <v>0</v>
      </c>
      <c r="BH101" s="41">
        <v>1630545</v>
      </c>
      <c r="BI101" s="41">
        <v>0</v>
      </c>
      <c r="BJ101" s="41">
        <v>0</v>
      </c>
      <c r="BK101" s="41">
        <v>0</v>
      </c>
      <c r="BL101" s="41">
        <v>0</v>
      </c>
      <c r="BM101" s="41">
        <v>9070834</v>
      </c>
      <c r="BN101" s="41">
        <v>16682635</v>
      </c>
      <c r="BO101" s="41">
        <v>0</v>
      </c>
      <c r="BP101" s="41">
        <v>66568</v>
      </c>
      <c r="BQ101" s="41">
        <v>17959152</v>
      </c>
      <c r="BR101" s="41">
        <v>0</v>
      </c>
      <c r="BS101" s="42">
        <f>IFERROR(VLOOKUP(A101,'Trans 21-23'!$A$2:$J$229,5,0),0)</f>
        <v>311833221</v>
      </c>
      <c r="BT101" s="43"/>
      <c r="BU101" s="6">
        <f t="shared" si="0"/>
        <v>127019493</v>
      </c>
      <c r="BV101" s="6">
        <f t="shared" si="1"/>
        <v>661</v>
      </c>
      <c r="BW101" s="6">
        <f t="shared" si="2"/>
        <v>14</v>
      </c>
      <c r="BX101" s="6">
        <f t="shared" si="3"/>
        <v>4429667</v>
      </c>
      <c r="BY101" s="6">
        <f t="shared" si="4"/>
        <v>0</v>
      </c>
      <c r="BZ101" s="6">
        <f t="shared" si="5"/>
        <v>0</v>
      </c>
      <c r="CA101" s="6">
        <f t="shared" si="6"/>
        <v>20131501</v>
      </c>
      <c r="CB101" s="6">
        <f t="shared" si="7"/>
        <v>5264</v>
      </c>
      <c r="CC101" s="6">
        <f t="shared" si="8"/>
        <v>0</v>
      </c>
      <c r="CD101" s="6">
        <f t="shared" si="65"/>
        <v>0</v>
      </c>
      <c r="CE101" s="44">
        <f t="shared" si="10"/>
        <v>39</v>
      </c>
      <c r="CF101" s="27"/>
      <c r="CG101" s="28" t="str">
        <f t="shared" si="11"/>
        <v/>
      </c>
      <c r="CH101" s="28" t="str">
        <f t="shared" si="12"/>
        <v/>
      </c>
      <c r="CI101" s="28" t="str">
        <f t="shared" si="13"/>
        <v/>
      </c>
      <c r="CJ101" s="28" t="str">
        <f t="shared" si="14"/>
        <v/>
      </c>
      <c r="CK101" s="23" t="str">
        <f t="shared" si="15"/>
        <v/>
      </c>
      <c r="CL101" s="29" t="str">
        <f t="shared" si="16"/>
        <v/>
      </c>
      <c r="CM101" s="29" t="str">
        <f t="shared" si="66"/>
        <v/>
      </c>
      <c r="CN101" s="29" t="str">
        <f t="shared" si="18"/>
        <v/>
      </c>
      <c r="CO101" s="29" t="str">
        <f t="shared" si="19"/>
        <v/>
      </c>
      <c r="CP101" s="29" t="str">
        <f t="shared" si="20"/>
        <v/>
      </c>
      <c r="CQ101" s="29">
        <f t="shared" si="21"/>
        <v>0</v>
      </c>
      <c r="CR101" s="13"/>
      <c r="CS101" s="7" t="str">
        <f>VLOOKUP(A101,'Empresas 21-23'!$A$2:$M$228,13,0)</f>
        <v/>
      </c>
      <c r="CT101" s="30"/>
      <c r="CU101" s="6">
        <f t="shared" si="22"/>
        <v>438852714</v>
      </c>
      <c r="CV101" s="6">
        <f t="shared" si="23"/>
        <v>0</v>
      </c>
      <c r="CW101" s="6">
        <f t="shared" si="24"/>
        <v>46989096</v>
      </c>
      <c r="CX101" s="23">
        <f t="shared" si="63"/>
        <v>0.40905113409552801</v>
      </c>
      <c r="CY101" s="23">
        <f t="shared" si="64"/>
        <v>0</v>
      </c>
      <c r="CZ101" s="6">
        <f t="shared" si="25"/>
        <v>458073657.00892365</v>
      </c>
      <c r="DA101" s="6">
        <f t="shared" si="26"/>
        <v>0</v>
      </c>
      <c r="DB101" s="6">
        <f t="shared" si="27"/>
        <v>4429667</v>
      </c>
      <c r="DC101" s="6">
        <f t="shared" si="28"/>
        <v>9323808</v>
      </c>
      <c r="DD101" s="6">
        <f t="shared" si="29"/>
        <v>0</v>
      </c>
      <c r="DE101" s="6">
        <f t="shared" si="30"/>
        <v>20131501</v>
      </c>
      <c r="DF101" s="6">
        <f t="shared" si="31"/>
        <v>8138341.7430318827</v>
      </c>
      <c r="DG101" s="30"/>
      <c r="DH101" s="32">
        <f>VLOOKUP(A101,'T_med_comp-USA'!$A$7:$Q$233,17,0)</f>
        <v>10.497786057066397</v>
      </c>
      <c r="DI101" s="6" t="str">
        <f t="shared" si="32"/>
        <v>7_2011</v>
      </c>
      <c r="DJ101" s="32">
        <f>IF(DI101="","",VLOOKUP(DI101,'CPI USA'!$T:$U,2,FALSE))</f>
        <v>224.93899999999999</v>
      </c>
      <c r="DK101" s="32">
        <f>IF(DI101="","",VLOOKUP(DI101,'PPI USA'!$S:$T,2,FALSE))</f>
        <v>169.6</v>
      </c>
      <c r="DL101" s="32">
        <f>IF(DI101="","",VLOOKUP(DI101,'CPI USA'!$T:$V,3,FALSE))</f>
        <v>0.6684022975047168</v>
      </c>
      <c r="DM101" s="32">
        <f>IF(DI101="","",VLOOKUP(DI101,'CPI USA'!$T:$X,5,FALSE))</f>
        <v>0.49636791791307899</v>
      </c>
      <c r="DN101" s="32">
        <f t="shared" si="33"/>
        <v>1.4208751760332547</v>
      </c>
      <c r="DO101" s="32">
        <f t="shared" si="34"/>
        <v>1.4334111417560953</v>
      </c>
      <c r="DP101" s="32">
        <f t="shared" si="35"/>
        <v>0.36809651831616236</v>
      </c>
      <c r="DQ101" s="32">
        <f>IF(DP101="","",DP101*$DO$1/'CPI USA'!$U$508+(1-DP101)*AVERAGE($DO$1,$DQ$1)/AVERAGE('CPI USA'!$U$508,'PPI USA'!$T$514))</f>
        <v>1.1642241074804041</v>
      </c>
      <c r="DR101" s="6">
        <f t="shared" si="36"/>
        <v>0</v>
      </c>
      <c r="DS101" s="32" t="str">
        <f t="shared" si="37"/>
        <v/>
      </c>
      <c r="DT101" s="28" t="str">
        <f>IF(DS101="","",DS101*$DO$1/'CPI USA'!$U$508+(1-DS101)*AVERAGE($DO$1,$DQ$1)/AVERAGE('CPI USA'!$U$508,'PPI USA'!$T$514))</f>
        <v/>
      </c>
      <c r="DU101" s="6">
        <f t="shared" si="38"/>
        <v>9070834</v>
      </c>
      <c r="DV101" s="6">
        <f t="shared" si="39"/>
        <v>33747.349053216683</v>
      </c>
      <c r="DW101" s="6">
        <f t="shared" si="40"/>
        <v>889873.18824586039</v>
      </c>
      <c r="DX101" s="16" t="str">
        <f t="shared" si="41"/>
        <v/>
      </c>
      <c r="DY101" s="28" t="str">
        <f>IF(DX101="","",DX101*$DO$1/'CPI USA'!$U$508+(1-DX101)*AVERAGE($DO$1,$DQ$1)/AVERAGE('CPI USA'!$U$508,'PPI USA'!$T$514))</f>
        <v/>
      </c>
      <c r="DZ101" s="30"/>
      <c r="EA101" s="45" t="str">
        <f t="shared" si="42"/>
        <v>C001188</v>
      </c>
      <c r="EB101" s="29" t="str">
        <f t="shared" si="43"/>
        <v/>
      </c>
      <c r="EC101" s="29" t="str">
        <f t="shared" si="44"/>
        <v/>
      </c>
      <c r="ED101" s="29" t="str">
        <f t="shared" si="45"/>
        <v/>
      </c>
      <c r="EE101" s="29" t="str">
        <f t="shared" si="46"/>
        <v/>
      </c>
      <c r="EF101" s="29" t="str">
        <f t="shared" si="47"/>
        <v/>
      </c>
      <c r="EG101" s="29" t="str">
        <f t="shared" si="48"/>
        <v/>
      </c>
      <c r="EH101" s="29" t="str">
        <f t="shared" si="49"/>
        <v/>
      </c>
      <c r="EI101" s="29" t="str">
        <f t="shared" si="50"/>
        <v/>
      </c>
      <c r="EJ101" s="29" t="str">
        <f t="shared" si="51"/>
        <v/>
      </c>
      <c r="EK101" s="29" t="str">
        <f t="shared" si="52"/>
        <v/>
      </c>
      <c r="EL101" s="29" t="str">
        <f>IF(CD101=1,VLOOKUP(EA101,'EIA 2021'!$A$2:$J$213,4,0)*EH101,"")</f>
        <v/>
      </c>
      <c r="EM101" s="29" t="str">
        <f>IF(CD101=1,VLOOKUP(EA101,'EIA 2021'!$A$2:$J$213,7,0)*EH101,"")</f>
        <v/>
      </c>
      <c r="EN101" s="29" t="str">
        <f>IF(CD101=1,VLOOKUP(EA101,'EIA 2021'!$A$2:$J$213,10,0),"")</f>
        <v/>
      </c>
      <c r="EO101" s="28" t="str">
        <f>IF(CD101=1,VLOOKUP(EA101,'EIA 2021'!$A$2:$Z$213,26,0),"")</f>
        <v/>
      </c>
      <c r="EP101" s="23" t="str">
        <f t="shared" si="53"/>
        <v/>
      </c>
      <c r="EQ101" s="32" t="str">
        <f t="shared" si="54"/>
        <v/>
      </c>
      <c r="ER101" s="32" t="str">
        <f t="shared" si="55"/>
        <v/>
      </c>
      <c r="ES101" s="6"/>
      <c r="ET101" s="32"/>
    </row>
    <row r="102" spans="1:150" ht="15.75" customHeight="1">
      <c r="A102" s="7" t="s">
        <v>508</v>
      </c>
      <c r="B102" s="7" t="s">
        <v>509</v>
      </c>
      <c r="C102" s="32" t="s">
        <v>510</v>
      </c>
      <c r="D102" s="40">
        <v>0</v>
      </c>
      <c r="E102" s="40">
        <v>0</v>
      </c>
      <c r="F102" s="40">
        <v>0</v>
      </c>
      <c r="G102" s="40">
        <v>1738423279</v>
      </c>
      <c r="H102" s="40">
        <v>1738844157</v>
      </c>
      <c r="I102" s="40">
        <v>0</v>
      </c>
      <c r="J102" s="40">
        <v>1604010</v>
      </c>
      <c r="K102" s="40">
        <v>0</v>
      </c>
      <c r="L102" s="40">
        <v>4176627</v>
      </c>
      <c r="M102" s="40">
        <v>5452084</v>
      </c>
      <c r="N102" s="40">
        <v>2555708</v>
      </c>
      <c r="O102" s="40">
        <v>30464033</v>
      </c>
      <c r="P102" s="40">
        <v>1177272</v>
      </c>
      <c r="Q102" s="40">
        <v>0</v>
      </c>
      <c r="R102" s="40">
        <v>13475106</v>
      </c>
      <c r="S102" s="40">
        <v>14266694</v>
      </c>
      <c r="T102" s="40">
        <v>64184017</v>
      </c>
      <c r="U102" s="40">
        <v>18759235</v>
      </c>
      <c r="V102" s="40">
        <v>3812492</v>
      </c>
      <c r="W102" s="40">
        <v>1175633</v>
      </c>
      <c r="X102" s="40">
        <f>IFERROR(VLOOKUP(A102,'Trans 21-23'!$A$2:$J$229,6,0),0)</f>
        <v>16225332</v>
      </c>
      <c r="Y102" s="41">
        <v>5350905</v>
      </c>
      <c r="Z102" s="41">
        <v>956578</v>
      </c>
      <c r="AA102" s="41">
        <v>245508824</v>
      </c>
      <c r="AB102" s="41">
        <v>232658572</v>
      </c>
      <c r="AC102" s="41">
        <v>40922</v>
      </c>
      <c r="AD102" s="41">
        <v>42599727</v>
      </c>
      <c r="AE102" s="41">
        <v>0</v>
      </c>
      <c r="AF102" s="41">
        <v>2574147265</v>
      </c>
      <c r="AG102" s="41">
        <v>2323747</v>
      </c>
      <c r="AH102" s="41">
        <v>1183263</v>
      </c>
      <c r="AI102" s="41">
        <v>41523386</v>
      </c>
      <c r="AJ102" s="41">
        <v>28139</v>
      </c>
      <c r="AK102" s="41">
        <v>0</v>
      </c>
      <c r="AL102" s="41">
        <v>13954733</v>
      </c>
      <c r="AM102" s="41">
        <v>22259523</v>
      </c>
      <c r="AN102" s="41">
        <v>3613735</v>
      </c>
      <c r="AO102" s="41">
        <v>335426</v>
      </c>
      <c r="AP102" s="41">
        <v>0</v>
      </c>
      <c r="AQ102" s="41">
        <v>40171106</v>
      </c>
      <c r="AR102" s="41">
        <v>140878</v>
      </c>
      <c r="AS102" s="41">
        <v>40311984</v>
      </c>
      <c r="AT102" s="41">
        <v>0</v>
      </c>
      <c r="AU102" s="41">
        <v>10064</v>
      </c>
      <c r="AV102" s="41">
        <v>0</v>
      </c>
      <c r="AW102" s="41">
        <v>2640431376</v>
      </c>
      <c r="AX102" s="41">
        <v>508954575</v>
      </c>
      <c r="AY102" s="41">
        <v>1437265528</v>
      </c>
      <c r="AZ102" s="41">
        <v>316134378</v>
      </c>
      <c r="BA102" s="41">
        <v>470722287</v>
      </c>
      <c r="BB102" s="41">
        <v>10245962222</v>
      </c>
      <c r="BC102" s="41">
        <v>26846751294</v>
      </c>
      <c r="BD102" s="41">
        <v>393390460</v>
      </c>
      <c r="BE102" s="41">
        <v>2659443203</v>
      </c>
      <c r="BF102" s="41">
        <v>247985586</v>
      </c>
      <c r="BG102" s="41">
        <v>0</v>
      </c>
      <c r="BH102" s="41">
        <v>91772860</v>
      </c>
      <c r="BI102" s="41">
        <v>53397546</v>
      </c>
      <c r="BJ102" s="41">
        <v>5045533</v>
      </c>
      <c r="BK102" s="41">
        <v>11083</v>
      </c>
      <c r="BL102" s="41">
        <v>0</v>
      </c>
      <c r="BM102" s="41">
        <v>5195895</v>
      </c>
      <c r="BN102" s="41">
        <v>196477892</v>
      </c>
      <c r="BO102" s="41">
        <v>0</v>
      </c>
      <c r="BP102" s="41">
        <v>41748544</v>
      </c>
      <c r="BQ102" s="41">
        <v>964758584</v>
      </c>
      <c r="BR102" s="41">
        <v>7689</v>
      </c>
      <c r="BS102" s="42">
        <f>IFERROR(VLOOKUP(A102,'Trans 21-23'!$A$2:$J$229,5,0),0)</f>
        <v>1060151956</v>
      </c>
      <c r="BT102" s="43"/>
      <c r="BU102" s="6">
        <f t="shared" si="0"/>
        <v>10245962222</v>
      </c>
      <c r="BV102" s="6">
        <f t="shared" si="1"/>
        <v>10064</v>
      </c>
      <c r="BW102" s="6">
        <f t="shared" si="2"/>
        <v>2323747</v>
      </c>
      <c r="BX102" s="6">
        <f t="shared" si="3"/>
        <v>161102911</v>
      </c>
      <c r="BY102" s="6">
        <f t="shared" si="4"/>
        <v>484515801</v>
      </c>
      <c r="BZ102" s="6">
        <f t="shared" si="5"/>
        <v>316134378</v>
      </c>
      <c r="CA102" s="6">
        <f t="shared" si="6"/>
        <v>42599727</v>
      </c>
      <c r="CB102" s="6">
        <f t="shared" si="7"/>
        <v>1183263</v>
      </c>
      <c r="CC102" s="6">
        <f t="shared" si="8"/>
        <v>40171106</v>
      </c>
      <c r="CD102" s="6">
        <f t="shared" si="65"/>
        <v>1</v>
      </c>
      <c r="CE102" s="44">
        <f t="shared" si="10"/>
        <v>14</v>
      </c>
      <c r="CF102" s="27"/>
      <c r="CG102" s="28">
        <f t="shared" si="11"/>
        <v>1018.0805069554849</v>
      </c>
      <c r="CH102" s="28">
        <f t="shared" si="12"/>
        <v>4.3309361991645394</v>
      </c>
      <c r="CI102" s="28">
        <f t="shared" si="13"/>
        <v>69.328937702770574</v>
      </c>
      <c r="CJ102" s="28">
        <f t="shared" si="14"/>
        <v>136.04509354934078</v>
      </c>
      <c r="CK102" s="23">
        <f t="shared" si="15"/>
        <v>2.9455574362328985E-2</v>
      </c>
      <c r="CL102" s="29" t="str">
        <f t="shared" si="16"/>
        <v/>
      </c>
      <c r="CM102" s="29" t="str">
        <f t="shared" si="66"/>
        <v/>
      </c>
      <c r="CN102" s="29" t="str">
        <f t="shared" si="18"/>
        <v/>
      </c>
      <c r="CO102" s="29" t="str">
        <f t="shared" si="19"/>
        <v/>
      </c>
      <c r="CP102" s="29" t="str">
        <f t="shared" si="20"/>
        <v/>
      </c>
      <c r="CQ102" s="29">
        <f t="shared" si="21"/>
        <v>0</v>
      </c>
      <c r="CR102" s="13"/>
      <c r="CS102" s="7">
        <f>VLOOKUP(A102,'Empresas 21-23'!$A$2:$M$228,13,0)</f>
        <v>1</v>
      </c>
      <c r="CT102" s="30"/>
      <c r="CU102" s="6">
        <f t="shared" si="22"/>
        <v>9351525451.2000008</v>
      </c>
      <c r="CV102" s="6">
        <f t="shared" si="23"/>
        <v>316134378</v>
      </c>
      <c r="CW102" s="6">
        <f t="shared" si="24"/>
        <v>393390460</v>
      </c>
      <c r="CX102" s="23">
        <f t="shared" si="63"/>
        <v>0.35350991920771985</v>
      </c>
      <c r="CY102" s="23">
        <f t="shared" si="64"/>
        <v>1.1950631905858954E-2</v>
      </c>
      <c r="CZ102" s="6">
        <f t="shared" si="25"/>
        <v>9490592880.9316883</v>
      </c>
      <c r="DA102" s="6">
        <f t="shared" si="26"/>
        <v>320835642.58273655</v>
      </c>
      <c r="DB102" s="6">
        <f t="shared" si="27"/>
        <v>161102911</v>
      </c>
      <c r="DC102" s="6">
        <f t="shared" si="28"/>
        <v>177328243</v>
      </c>
      <c r="DD102" s="6">
        <f t="shared" si="29"/>
        <v>484515801</v>
      </c>
      <c r="DE102" s="6">
        <f t="shared" si="30"/>
        <v>42599727</v>
      </c>
      <c r="DF102" s="6">
        <f t="shared" si="31"/>
        <v>35567371.436474279</v>
      </c>
      <c r="DG102" s="30"/>
      <c r="DH102" s="32">
        <f>VLOOKUP(A102,'T_med_comp-USA'!$A$7:$Q$233,17,0)</f>
        <v>10.820612499446952</v>
      </c>
      <c r="DI102" s="6" t="str">
        <f t="shared" si="32"/>
        <v>3_2011</v>
      </c>
      <c r="DJ102" s="32">
        <f>IF(DI102="","",VLOOKUP(DI102,'CPI USA'!$T:$U,2,FALSE))</f>
        <v>224.93899999999999</v>
      </c>
      <c r="DK102" s="32">
        <f>IF(DI102="","",VLOOKUP(DI102,'PPI USA'!$S:$T,2,FALSE))</f>
        <v>169.6</v>
      </c>
      <c r="DL102" s="32">
        <f>IF(DI102="","",VLOOKUP(DI102,'CPI USA'!$T:$V,3,FALSE))</f>
        <v>0.6684022975047168</v>
      </c>
      <c r="DM102" s="32">
        <f>IF(DI102="","",VLOOKUP(DI102,'CPI USA'!$T:$X,5,FALSE))</f>
        <v>0.49636791791307899</v>
      </c>
      <c r="DN102" s="32">
        <f t="shared" si="33"/>
        <v>1.4208751760332547</v>
      </c>
      <c r="DO102" s="32">
        <f t="shared" si="34"/>
        <v>1.4334111417560953</v>
      </c>
      <c r="DP102" s="32">
        <f t="shared" si="35"/>
        <v>0.5696536420747853</v>
      </c>
      <c r="DQ102" s="32">
        <f>IF(DP102="","",DP102*$DO$1/'CPI USA'!$U$508+(1-DP102)*AVERAGE($DO$1,$DQ$1)/AVERAGE('CPI USA'!$U$508,'PPI USA'!$T$514))</f>
        <v>1.1523109251544148</v>
      </c>
      <c r="DR102" s="6">
        <f t="shared" si="36"/>
        <v>58454162</v>
      </c>
      <c r="DS102" s="32">
        <f t="shared" si="37"/>
        <v>0.2</v>
      </c>
      <c r="DT102" s="28">
        <f>IF(DS102="","",DS102*$DO$1/'CPI USA'!$U$508+(1-DS102)*AVERAGE($DO$1,$DQ$1)/AVERAGE('CPI USA'!$U$508,'PPI USA'!$T$514))</f>
        <v>1.1741595760647974</v>
      </c>
      <c r="DU102" s="6">
        <f t="shared" si="38"/>
        <v>5195895</v>
      </c>
      <c r="DV102" s="6">
        <f t="shared" si="39"/>
        <v>235014.83367058501</v>
      </c>
      <c r="DW102" s="6">
        <f t="shared" si="40"/>
        <v>4152474.3713295101</v>
      </c>
      <c r="DX102" s="16">
        <f t="shared" si="41"/>
        <v>0.2</v>
      </c>
      <c r="DY102" s="28">
        <f>IF(DX102="","",DX102*$DO$1/'CPI USA'!$U$508+(1-DX102)*AVERAGE($DO$1,$DQ$1)/AVERAGE('CPI USA'!$U$508,'PPI USA'!$T$514))</f>
        <v>1.1741595760647974</v>
      </c>
      <c r="DZ102" s="30"/>
      <c r="EA102" s="45" t="str">
        <f t="shared" si="42"/>
        <v>C001194</v>
      </c>
      <c r="EB102" s="29">
        <f t="shared" si="43"/>
        <v>13484947830.353767</v>
      </c>
      <c r="EC102" s="29">
        <f t="shared" si="44"/>
        <v>459889384.75057089</v>
      </c>
      <c r="ED102" s="29">
        <f t="shared" si="45"/>
        <v>204337271.74733689</v>
      </c>
      <c r="EE102" s="29">
        <f t="shared" si="46"/>
        <v>568898867.49885571</v>
      </c>
      <c r="EF102" s="29">
        <f t="shared" si="47"/>
        <v>41761769.767589822</v>
      </c>
      <c r="EG102" s="29">
        <f t="shared" si="48"/>
        <v>10064</v>
      </c>
      <c r="EH102" s="29">
        <f t="shared" si="49"/>
        <v>2323747</v>
      </c>
      <c r="EI102" s="29">
        <f t="shared" si="50"/>
        <v>1183263</v>
      </c>
      <c r="EJ102" s="29">
        <f t="shared" si="51"/>
        <v>40171106</v>
      </c>
      <c r="EK102" s="29">
        <f t="shared" si="52"/>
        <v>41352223.649746194</v>
      </c>
      <c r="EL102" s="29">
        <f>IF(CD102=1,VLOOKUP(EA102,'EIA 2021'!$A$2:$J$213,4,0)*EH102,"")</f>
        <v>96412263.030000001</v>
      </c>
      <c r="EM102" s="29">
        <f>IF(CD102=1,VLOOKUP(EA102,'EIA 2021'!$A$2:$J$213,7,0)*EH102,"")</f>
        <v>1533673.02</v>
      </c>
      <c r="EN102" s="29">
        <f>IF(CD102=1,VLOOKUP(EA102,'EIA 2021'!$A$2:$J$213,10,0),"")</f>
        <v>106047</v>
      </c>
      <c r="EO102" s="28">
        <f>IF(CD102=1,VLOOKUP(EA102,'EIA 2021'!$A$2:$Z$213,26,0),"")</f>
        <v>0</v>
      </c>
      <c r="EP102" s="23">
        <f t="shared" si="53"/>
        <v>2.8562373326045845E-2</v>
      </c>
      <c r="EQ102" s="32">
        <f t="shared" si="54"/>
        <v>2145.3502538071189</v>
      </c>
      <c r="ER102" s="32">
        <f t="shared" si="55"/>
        <v>1181117.6497461929</v>
      </c>
      <c r="ES102" s="6"/>
      <c r="ET102" s="32"/>
    </row>
    <row r="103" spans="1:150" ht="15.75" customHeight="1">
      <c r="A103" s="7" t="s">
        <v>511</v>
      </c>
      <c r="B103" s="7" t="s">
        <v>512</v>
      </c>
      <c r="C103" s="32" t="s">
        <v>513</v>
      </c>
      <c r="D103" s="40">
        <v>141111893</v>
      </c>
      <c r="E103" s="40">
        <v>22735587</v>
      </c>
      <c r="F103" s="40">
        <v>86569857</v>
      </c>
      <c r="G103" s="40">
        <v>281461285</v>
      </c>
      <c r="H103" s="40">
        <v>285007923</v>
      </c>
      <c r="I103" s="40">
        <v>1857877</v>
      </c>
      <c r="J103" s="40">
        <v>1058942</v>
      </c>
      <c r="K103" s="40">
        <v>0</v>
      </c>
      <c r="L103" s="40">
        <v>2665363</v>
      </c>
      <c r="M103" s="40">
        <v>572709</v>
      </c>
      <c r="N103" s="40">
        <v>0</v>
      </c>
      <c r="O103" s="40">
        <v>7085724</v>
      </c>
      <c r="P103" s="40">
        <v>636673</v>
      </c>
      <c r="Q103" s="40">
        <v>1055473</v>
      </c>
      <c r="R103" s="40">
        <v>45918</v>
      </c>
      <c r="S103" s="40">
        <v>1057013</v>
      </c>
      <c r="T103" s="40">
        <v>6527220</v>
      </c>
      <c r="U103" s="40">
        <v>1932947</v>
      </c>
      <c r="V103" s="40">
        <v>0</v>
      </c>
      <c r="W103" s="40">
        <v>0</v>
      </c>
      <c r="X103" s="40">
        <f>IFERROR(VLOOKUP(A103,'Trans 21-23'!$A$2:$J$229,6,0),0)</f>
        <v>3746165</v>
      </c>
      <c r="Y103" s="41">
        <v>2479579</v>
      </c>
      <c r="Z103" s="41">
        <v>629640</v>
      </c>
      <c r="AA103" s="41">
        <v>17446385</v>
      </c>
      <c r="AB103" s="41">
        <v>1626913</v>
      </c>
      <c r="AC103" s="41">
        <v>5453984</v>
      </c>
      <c r="AD103" s="41">
        <v>173890958</v>
      </c>
      <c r="AE103" s="41">
        <v>0</v>
      </c>
      <c r="AF103" s="41">
        <v>945830660</v>
      </c>
      <c r="AG103" s="41">
        <v>540035</v>
      </c>
      <c r="AH103" s="41">
        <v>1080102</v>
      </c>
      <c r="AI103" s="41">
        <v>15710622</v>
      </c>
      <c r="AJ103" s="41">
        <v>19609</v>
      </c>
      <c r="AK103" s="41">
        <v>0</v>
      </c>
      <c r="AL103" s="41">
        <v>3339524</v>
      </c>
      <c r="AM103" s="41">
        <v>3500430</v>
      </c>
      <c r="AN103" s="41">
        <v>2096977</v>
      </c>
      <c r="AO103" s="41">
        <v>38278</v>
      </c>
      <c r="AP103" s="41">
        <v>187823</v>
      </c>
      <c r="AQ103" s="41">
        <v>9163032</v>
      </c>
      <c r="AR103" s="41">
        <v>5447879</v>
      </c>
      <c r="AS103" s="41">
        <v>14610911</v>
      </c>
      <c r="AT103" s="41">
        <v>0</v>
      </c>
      <c r="AU103" s="41">
        <v>1968</v>
      </c>
      <c r="AV103" s="41">
        <v>0</v>
      </c>
      <c r="AW103" s="41">
        <v>213233206</v>
      </c>
      <c r="AX103" s="41">
        <v>126542472</v>
      </c>
      <c r="AY103" s="41">
        <v>329077257</v>
      </c>
      <c r="AZ103" s="41">
        <v>60371295</v>
      </c>
      <c r="BA103" s="41">
        <v>24182716</v>
      </c>
      <c r="BB103" s="41">
        <v>1710666834</v>
      </c>
      <c r="BC103" s="41">
        <v>6522876070</v>
      </c>
      <c r="BD103" s="41">
        <v>171049297</v>
      </c>
      <c r="BE103" s="41">
        <v>729454578</v>
      </c>
      <c r="BF103" s="41">
        <v>44972569</v>
      </c>
      <c r="BG103" s="41">
        <v>0</v>
      </c>
      <c r="BH103" s="41">
        <v>12587296</v>
      </c>
      <c r="BI103" s="41">
        <v>7513119</v>
      </c>
      <c r="BJ103" s="41">
        <v>884715</v>
      </c>
      <c r="BK103" s="41">
        <v>3141403</v>
      </c>
      <c r="BL103" s="41">
        <v>0</v>
      </c>
      <c r="BM103" s="41">
        <v>44339801</v>
      </c>
      <c r="BN103" s="41">
        <v>123978380</v>
      </c>
      <c r="BO103" s="41">
        <v>1487551</v>
      </c>
      <c r="BP103" s="41">
        <v>23135970</v>
      </c>
      <c r="BQ103" s="41">
        <v>161966272</v>
      </c>
      <c r="BR103" s="41">
        <v>0</v>
      </c>
      <c r="BS103" s="42">
        <f>IFERROR(VLOOKUP(A103,'Trans 21-23'!$A$2:$J$229,5,0),0)</f>
        <v>238689210</v>
      </c>
      <c r="BT103" s="43"/>
      <c r="BU103" s="6">
        <f t="shared" si="0"/>
        <v>1710666834</v>
      </c>
      <c r="BV103" s="6">
        <f t="shared" si="1"/>
        <v>1968</v>
      </c>
      <c r="BW103" s="6">
        <f t="shared" si="2"/>
        <v>540035</v>
      </c>
      <c r="BX103" s="6">
        <f t="shared" si="3"/>
        <v>24495859</v>
      </c>
      <c r="BY103" s="6">
        <f t="shared" si="4"/>
        <v>27636501</v>
      </c>
      <c r="BZ103" s="6">
        <f t="shared" si="5"/>
        <v>60371295</v>
      </c>
      <c r="CA103" s="6">
        <f t="shared" si="6"/>
        <v>173890958</v>
      </c>
      <c r="CB103" s="6">
        <f t="shared" si="7"/>
        <v>1080102</v>
      </c>
      <c r="CC103" s="6">
        <f t="shared" si="8"/>
        <v>9163032</v>
      </c>
      <c r="CD103" s="6">
        <f t="shared" si="65"/>
        <v>1</v>
      </c>
      <c r="CE103" s="44">
        <f t="shared" si="10"/>
        <v>11</v>
      </c>
      <c r="CF103" s="27"/>
      <c r="CG103" s="28">
        <f t="shared" si="11"/>
        <v>869.24127743902443</v>
      </c>
      <c r="CH103" s="28">
        <f t="shared" si="12"/>
        <v>3.644208245761849</v>
      </c>
      <c r="CI103" s="28">
        <f t="shared" si="13"/>
        <v>45.35976186728638</v>
      </c>
      <c r="CJ103" s="28">
        <f t="shared" si="14"/>
        <v>111.79144870239892</v>
      </c>
      <c r="CK103" s="23">
        <f t="shared" si="15"/>
        <v>0.11787604801554769</v>
      </c>
      <c r="CL103" s="29" t="str">
        <f t="shared" si="16"/>
        <v/>
      </c>
      <c r="CM103" s="29" t="str">
        <f t="shared" si="66"/>
        <v/>
      </c>
      <c r="CN103" s="29" t="str">
        <f t="shared" si="18"/>
        <v/>
      </c>
      <c r="CO103" s="29" t="str">
        <f t="shared" si="19"/>
        <v/>
      </c>
      <c r="CP103" s="29" t="str">
        <f t="shared" si="20"/>
        <v/>
      </c>
      <c r="CQ103" s="29">
        <f t="shared" si="21"/>
        <v>0</v>
      </c>
      <c r="CR103" s="13"/>
      <c r="CS103" s="7">
        <f>VLOOKUP(A103,'Empresas 21-23'!$A$2:$M$228,13,0)</f>
        <v>1</v>
      </c>
      <c r="CT103" s="30"/>
      <c r="CU103" s="6">
        <f t="shared" si="22"/>
        <v>1591430195.5999999</v>
      </c>
      <c r="CV103" s="6">
        <f t="shared" si="23"/>
        <v>60371295</v>
      </c>
      <c r="CW103" s="6">
        <f t="shared" si="24"/>
        <v>171049297</v>
      </c>
      <c r="CX103" s="23">
        <f t="shared" si="63"/>
        <v>0.25054685092558959</v>
      </c>
      <c r="CY103" s="23">
        <f t="shared" si="64"/>
        <v>9.5045562729485986E-3</v>
      </c>
      <c r="CZ103" s="6">
        <f t="shared" si="25"/>
        <v>1634286058.3163857</v>
      </c>
      <c r="DA103" s="6">
        <f t="shared" si="26"/>
        <v>61997042.668784797</v>
      </c>
      <c r="DB103" s="6">
        <f t="shared" si="27"/>
        <v>24495859</v>
      </c>
      <c r="DC103" s="6">
        <f t="shared" si="28"/>
        <v>28242024</v>
      </c>
      <c r="DD103" s="6">
        <f t="shared" si="29"/>
        <v>27636501</v>
      </c>
      <c r="DE103" s="6">
        <f t="shared" si="30"/>
        <v>173890958</v>
      </c>
      <c r="DF103" s="6">
        <f t="shared" si="31"/>
        <v>41083200.508647799</v>
      </c>
      <c r="DG103" s="30"/>
      <c r="DH103" s="32">
        <f>VLOOKUP(A103,'T_med_comp-USA'!$A$7:$Q$233,17,0)</f>
        <v>15.554481459579947</v>
      </c>
      <c r="DI103" s="6" t="str">
        <f t="shared" si="32"/>
        <v>6_2006</v>
      </c>
      <c r="DJ103" s="32">
        <f>IF(DI103="","",VLOOKUP(DI103,'CPI USA'!$T:$U,2,FALSE))</f>
        <v>201.6</v>
      </c>
      <c r="DK103" s="32">
        <f>IF(DI103="","",VLOOKUP(DI103,'PPI USA'!$S:$T,2,FALSE))</f>
        <v>145.30000000000001</v>
      </c>
      <c r="DL103" s="32">
        <f>IF(DI103="","",VLOOKUP(DI103,'CPI USA'!$T:$V,3,FALSE))</f>
        <v>0.67263024008352756</v>
      </c>
      <c r="DM103" s="32">
        <f>IF(DI103="","",VLOOKUP(DI103,'CPI USA'!$T:$X,5,FALSE))</f>
        <v>0.50115228263529643</v>
      </c>
      <c r="DN103" s="32">
        <f t="shared" si="33"/>
        <v>1.595396421204319</v>
      </c>
      <c r="DO103" s="32">
        <f t="shared" si="34"/>
        <v>1.6147712829199015</v>
      </c>
      <c r="DP103" s="32">
        <f t="shared" si="35"/>
        <v>0.52001949824756977</v>
      </c>
      <c r="DQ103" s="32">
        <f>IF(DP103="","",DP103*$DO$1/'CPI USA'!$U$508+(1-DP103)*AVERAGE($DO$1,$DQ$1)/AVERAGE('CPI USA'!$U$508,'PPI USA'!$T$514))</f>
        <v>1.1552445878004254</v>
      </c>
      <c r="DR103" s="6">
        <f t="shared" si="36"/>
        <v>11539237</v>
      </c>
      <c r="DS103" s="32">
        <f t="shared" si="37"/>
        <v>0.42254590046621848</v>
      </c>
      <c r="DT103" s="28">
        <f>IF(DS103="","",DS103*$DO$1/'CPI USA'!$U$508+(1-DS103)*AVERAGE($DO$1,$DQ$1)/AVERAGE('CPI USA'!$U$508,'PPI USA'!$T$514))</f>
        <v>1.1610058366250018</v>
      </c>
      <c r="DU103" s="6">
        <f t="shared" si="38"/>
        <v>44871810.817496814</v>
      </c>
      <c r="DV103" s="6">
        <f t="shared" si="39"/>
        <v>7389195.9533587266</v>
      </c>
      <c r="DW103" s="6">
        <f t="shared" si="40"/>
        <v>10170135.345132511</v>
      </c>
      <c r="DX103" s="16">
        <f t="shared" si="41"/>
        <v>0.24754973369204161</v>
      </c>
      <c r="DY103" s="28">
        <f>IF(DX103="","",DX103*$DO$1/'CPI USA'!$U$508+(1-DX103)*AVERAGE($DO$1,$DQ$1)/AVERAGE('CPI USA'!$U$508,'PPI USA'!$T$514))</f>
        <v>1.1713491140158157</v>
      </c>
      <c r="DZ103" s="30"/>
      <c r="EA103" s="45" t="str">
        <f t="shared" si="42"/>
        <v>C001218</v>
      </c>
      <c r="EB103" s="29">
        <f t="shared" si="43"/>
        <v>2607334128.662075</v>
      </c>
      <c r="EC103" s="29">
        <f t="shared" si="44"/>
        <v>100111044.1275135</v>
      </c>
      <c r="ED103" s="29">
        <f t="shared" si="45"/>
        <v>32626445.374529719</v>
      </c>
      <c r="EE103" s="29">
        <f t="shared" si="46"/>
        <v>32086138.9648927</v>
      </c>
      <c r="EF103" s="29">
        <f t="shared" si="47"/>
        <v>48122770.516738705</v>
      </c>
      <c r="EG103" s="29">
        <f t="shared" si="48"/>
        <v>1968</v>
      </c>
      <c r="EH103" s="29">
        <f t="shared" si="49"/>
        <v>540035</v>
      </c>
      <c r="EI103" s="29">
        <f t="shared" si="50"/>
        <v>1080102</v>
      </c>
      <c r="EJ103" s="29">
        <f t="shared" si="51"/>
        <v>9163032</v>
      </c>
      <c r="EK103" s="29">
        <f t="shared" si="52"/>
        <v>10160171.375634518</v>
      </c>
      <c r="EL103" s="29">
        <f>IF(CD103=1,VLOOKUP(EA103,'EIA 2021'!$A$2:$J$213,4,0)*EH103,"")</f>
        <v>46561817.700000003</v>
      </c>
      <c r="EM103" s="29">
        <f>IF(CD103=1,VLOOKUP(EA103,'EIA 2021'!$A$2:$J$213,7,0)*EH103,"")</f>
        <v>441748.62999999995</v>
      </c>
      <c r="EN103" s="29">
        <f>IF(CD103=1,VLOOKUP(EA103,'EIA 2021'!$A$2:$J$213,10,0),"")</f>
        <v>34895</v>
      </c>
      <c r="EO103" s="28">
        <f>IF(CD103=1,VLOOKUP(EA103,'EIA 2021'!$A$2:$Z$213,26,0),"")</f>
        <v>0</v>
      </c>
      <c r="EP103" s="23">
        <f t="shared" si="53"/>
        <v>9.8141983906471733E-2</v>
      </c>
      <c r="EQ103" s="32">
        <f t="shared" si="54"/>
        <v>82962.624365482479</v>
      </c>
      <c r="ER103" s="32">
        <f t="shared" si="55"/>
        <v>997139.37563451752</v>
      </c>
      <c r="ES103" s="6"/>
      <c r="ET103" s="32"/>
    </row>
    <row r="104" spans="1:150" ht="15.75" customHeight="1">
      <c r="A104" s="7" t="s">
        <v>514</v>
      </c>
      <c r="B104" s="7" t="s">
        <v>515</v>
      </c>
      <c r="C104" s="32" t="s">
        <v>516</v>
      </c>
      <c r="D104" s="40">
        <v>0</v>
      </c>
      <c r="E104" s="40">
        <v>0</v>
      </c>
      <c r="F104" s="40">
        <v>0</v>
      </c>
      <c r="G104" s="40">
        <v>24425992</v>
      </c>
      <c r="H104" s="40">
        <v>24827548</v>
      </c>
      <c r="I104" s="40">
        <v>536959</v>
      </c>
      <c r="J104" s="40">
        <v>36084</v>
      </c>
      <c r="K104" s="40">
        <v>78459</v>
      </c>
      <c r="L104" s="40">
        <v>152670</v>
      </c>
      <c r="M104" s="40">
        <v>98492</v>
      </c>
      <c r="N104" s="40">
        <v>14170</v>
      </c>
      <c r="O104" s="40">
        <v>93896</v>
      </c>
      <c r="P104" s="40">
        <v>0</v>
      </c>
      <c r="Q104" s="40">
        <v>76456</v>
      </c>
      <c r="R104" s="40">
        <v>0</v>
      </c>
      <c r="S104" s="40">
        <v>46385</v>
      </c>
      <c r="T104" s="40">
        <v>2763765</v>
      </c>
      <c r="U104" s="40">
        <v>122591</v>
      </c>
      <c r="V104" s="40">
        <v>0</v>
      </c>
      <c r="W104" s="40">
        <v>0</v>
      </c>
      <c r="X104" s="40">
        <f>IFERROR(VLOOKUP(A104,'Trans 21-23'!$A$2:$J$229,6,0),0)</f>
        <v>49501</v>
      </c>
      <c r="Y104" s="41">
        <v>384464</v>
      </c>
      <c r="Z104" s="41">
        <v>2203</v>
      </c>
      <c r="AA104" s="41">
        <v>4584975</v>
      </c>
      <c r="AB104" s="41">
        <v>6050671</v>
      </c>
      <c r="AC104" s="41">
        <v>44115</v>
      </c>
      <c r="AD104" s="41">
        <v>5223000</v>
      </c>
      <c r="AE104" s="41">
        <v>0</v>
      </c>
      <c r="AF104" s="41">
        <v>56412245</v>
      </c>
      <c r="AG104" s="41">
        <v>30544</v>
      </c>
      <c r="AH104" s="41">
        <v>14851</v>
      </c>
      <c r="AI104" s="41">
        <v>235967</v>
      </c>
      <c r="AJ104" s="41">
        <v>1260</v>
      </c>
      <c r="AK104" s="41">
        <v>0</v>
      </c>
      <c r="AL104" s="41">
        <v>118301</v>
      </c>
      <c r="AM104" s="41">
        <v>35948</v>
      </c>
      <c r="AN104" s="41">
        <v>18405</v>
      </c>
      <c r="AO104" s="41">
        <v>646</v>
      </c>
      <c r="AP104" s="41">
        <v>0</v>
      </c>
      <c r="AQ104" s="41">
        <v>173300</v>
      </c>
      <c r="AR104" s="41">
        <v>46556</v>
      </c>
      <c r="AS104" s="41">
        <v>219856</v>
      </c>
      <c r="AT104" s="41">
        <v>0</v>
      </c>
      <c r="AU104" s="41">
        <v>94</v>
      </c>
      <c r="AV104" s="41">
        <v>0</v>
      </c>
      <c r="AW104" s="41">
        <v>42195791</v>
      </c>
      <c r="AX104" s="41">
        <v>4439070</v>
      </c>
      <c r="AY104" s="41">
        <v>15920278</v>
      </c>
      <c r="AZ104" s="41">
        <v>8191414</v>
      </c>
      <c r="BA104" s="41">
        <v>389215</v>
      </c>
      <c r="BB104" s="41">
        <v>162489382</v>
      </c>
      <c r="BC104" s="41">
        <v>185750740</v>
      </c>
      <c r="BD104" s="41">
        <v>4109902</v>
      </c>
      <c r="BE104" s="41">
        <v>74186935</v>
      </c>
      <c r="BF104" s="41">
        <v>6696054</v>
      </c>
      <c r="BG104" s="41">
        <v>0</v>
      </c>
      <c r="BH104" s="41">
        <v>1040559</v>
      </c>
      <c r="BI104" s="41">
        <v>14379</v>
      </c>
      <c r="BJ104" s="41">
        <v>0</v>
      </c>
      <c r="BK104" s="41">
        <v>0</v>
      </c>
      <c r="BL104" s="41">
        <v>0</v>
      </c>
      <c r="BM104" s="41">
        <v>34294</v>
      </c>
      <c r="BN104" s="41">
        <v>1153319</v>
      </c>
      <c r="BO104" s="41">
        <v>255394</v>
      </c>
      <c r="BP104" s="41">
        <v>325041</v>
      </c>
      <c r="BQ104" s="41">
        <v>6334176</v>
      </c>
      <c r="BR104" s="41">
        <v>0</v>
      </c>
      <c r="BS104" s="42">
        <f>IFERROR(VLOOKUP(A104,'Trans 21-23'!$A$2:$J$229,5,0),0)</f>
        <v>1855249</v>
      </c>
      <c r="BT104" s="43"/>
      <c r="BU104" s="6">
        <f t="shared" si="0"/>
        <v>162489382</v>
      </c>
      <c r="BV104" s="6">
        <f t="shared" si="1"/>
        <v>94</v>
      </c>
      <c r="BW104" s="6">
        <f t="shared" si="2"/>
        <v>30544</v>
      </c>
      <c r="BX104" s="6">
        <f t="shared" si="3"/>
        <v>4019927</v>
      </c>
      <c r="BY104" s="6">
        <f t="shared" si="4"/>
        <v>11066428</v>
      </c>
      <c r="BZ104" s="6">
        <f t="shared" si="5"/>
        <v>8191414</v>
      </c>
      <c r="CA104" s="6">
        <f t="shared" si="6"/>
        <v>5223000</v>
      </c>
      <c r="CB104" s="6">
        <f t="shared" si="7"/>
        <v>14851</v>
      </c>
      <c r="CC104" s="6">
        <f t="shared" si="8"/>
        <v>173300</v>
      </c>
      <c r="CD104" s="6">
        <f t="shared" si="65"/>
        <v>1</v>
      </c>
      <c r="CE104" s="44">
        <f t="shared" si="10"/>
        <v>17</v>
      </c>
      <c r="CF104" s="27"/>
      <c r="CG104" s="28">
        <f t="shared" si="11"/>
        <v>1728.6104468085107</v>
      </c>
      <c r="CH104" s="28">
        <f t="shared" si="12"/>
        <v>3.0775275013095862</v>
      </c>
      <c r="CI104" s="28">
        <f t="shared" si="13"/>
        <v>131.61102016762703</v>
      </c>
      <c r="CJ104" s="28">
        <f t="shared" si="14"/>
        <v>268.18406233630174</v>
      </c>
      <c r="CK104" s="23">
        <f t="shared" si="15"/>
        <v>8.5695326024235435E-2</v>
      </c>
      <c r="CL104" s="29" t="str">
        <f t="shared" si="16"/>
        <v/>
      </c>
      <c r="CM104" s="29" t="str">
        <f t="shared" si="66"/>
        <v/>
      </c>
      <c r="CN104" s="29" t="str">
        <f t="shared" si="18"/>
        <v/>
      </c>
      <c r="CO104" s="29" t="str">
        <f t="shared" si="19"/>
        <v/>
      </c>
      <c r="CP104" s="29" t="str">
        <f t="shared" si="20"/>
        <v/>
      </c>
      <c r="CQ104" s="29">
        <f t="shared" si="21"/>
        <v>0</v>
      </c>
      <c r="CR104" s="13"/>
      <c r="CS104" s="7" t="str">
        <f>VLOOKUP(A104,'Empresas 21-23'!$A$2:$M$228,13,0)</f>
        <v/>
      </c>
      <c r="CT104" s="30"/>
      <c r="CU104" s="6">
        <f t="shared" si="22"/>
        <v>143548393.19999999</v>
      </c>
      <c r="CV104" s="6">
        <f t="shared" si="23"/>
        <v>8191414</v>
      </c>
      <c r="CW104" s="6">
        <f t="shared" si="24"/>
        <v>4109902</v>
      </c>
      <c r="CX104" s="23">
        <f t="shared" si="63"/>
        <v>0.79028700142861041</v>
      </c>
      <c r="CY104" s="23">
        <f t="shared" si="64"/>
        <v>4.5096763977712985E-2</v>
      </c>
      <c r="CZ104" s="6">
        <f t="shared" si="25"/>
        <v>146796395.32774544</v>
      </c>
      <c r="DA104" s="6">
        <f t="shared" si="26"/>
        <v>8376757.2804655302</v>
      </c>
      <c r="DB104" s="6">
        <f t="shared" si="27"/>
        <v>4019927</v>
      </c>
      <c r="DC104" s="6">
        <f t="shared" si="28"/>
        <v>4069428</v>
      </c>
      <c r="DD104" s="6">
        <f t="shared" si="29"/>
        <v>11066428</v>
      </c>
      <c r="DE104" s="6">
        <f t="shared" si="30"/>
        <v>5223000</v>
      </c>
      <c r="DF104" s="6">
        <f t="shared" si="31"/>
        <v>2998842.4450823483</v>
      </c>
      <c r="DG104" s="30"/>
      <c r="DH104" s="32">
        <f>VLOOKUP(A104,'T_med_comp-USA'!$A$7:$Q$233,17,0)</f>
        <v>11.133506740569848</v>
      </c>
      <c r="DI104" s="6" t="str">
        <f t="shared" si="32"/>
        <v>11_2010</v>
      </c>
      <c r="DJ104" s="32">
        <f>IF(DI104="","",VLOOKUP(DI104,'CPI USA'!$T:$U,2,FALSE))</f>
        <v>218.05600000000001</v>
      </c>
      <c r="DK104" s="32">
        <f>IF(DI104="","",VLOOKUP(DI104,'PPI USA'!$S:$T,2,FALSE))</f>
        <v>160.80000000000001</v>
      </c>
      <c r="DL104" s="32">
        <f>IF(DI104="","",VLOOKUP(DI104,'CPI USA'!$T:$V,3,FALSE))</f>
        <v>0.67050107279443949</v>
      </c>
      <c r="DM104" s="32">
        <f>IF(DI104="","",VLOOKUP(DI104,'CPI USA'!$T:$X,5,FALSE))</f>
        <v>0.4987389730136107</v>
      </c>
      <c r="DN104" s="32">
        <f t="shared" si="33"/>
        <v>1.4703278680244813</v>
      </c>
      <c r="DO104" s="32">
        <f t="shared" si="34"/>
        <v>1.4857204383544427</v>
      </c>
      <c r="DP104" s="32">
        <f t="shared" si="35"/>
        <v>0.3161706987009027</v>
      </c>
      <c r="DQ104" s="32">
        <f>IF(DP104="","",DP104*$DO$1/'CPI USA'!$U$508+(1-DP104)*AVERAGE($DO$1,$DQ$1)/AVERAGE('CPI USA'!$U$508,'PPI USA'!$T$514))</f>
        <v>1.1672932213125891</v>
      </c>
      <c r="DR104" s="6">
        <f t="shared" si="36"/>
        <v>14379</v>
      </c>
      <c r="DS104" s="32">
        <f t="shared" si="37"/>
        <v>0.2</v>
      </c>
      <c r="DT104" s="28">
        <f>IF(DS104="","",DS104*$DO$1/'CPI USA'!$U$508+(1-DS104)*AVERAGE($DO$1,$DQ$1)/AVERAGE('CPI USA'!$U$508,'PPI USA'!$T$514))</f>
        <v>1.1741595760647974</v>
      </c>
      <c r="DU104" s="6">
        <f t="shared" si="38"/>
        <v>41888.153773587357</v>
      </c>
      <c r="DV104" s="6">
        <f t="shared" si="39"/>
        <v>1855.0017688069913</v>
      </c>
      <c r="DW104" s="6">
        <f t="shared" si="40"/>
        <v>40011.754789076054</v>
      </c>
      <c r="DX104" s="16">
        <f t="shared" si="41"/>
        <v>0.2</v>
      </c>
      <c r="DY104" s="28">
        <f>IF(DX104="","",DX104*$DO$1/'CPI USA'!$U$508+(1-DX104)*AVERAGE($DO$1,$DQ$1)/AVERAGE('CPI USA'!$U$508,'PPI USA'!$T$514))</f>
        <v>1.1741595760647974</v>
      </c>
      <c r="DZ104" s="30"/>
      <c r="EA104" s="45" t="str">
        <f t="shared" si="42"/>
        <v>C001221</v>
      </c>
      <c r="EB104" s="29">
        <f t="shared" si="43"/>
        <v>215838830.97592288</v>
      </c>
      <c r="EC104" s="29">
        <f t="shared" si="44"/>
        <v>12445519.498722017</v>
      </c>
      <c r="ED104" s="29">
        <f t="shared" si="45"/>
        <v>4750215.7190196468</v>
      </c>
      <c r="EE104" s="29">
        <f t="shared" si="46"/>
        <v>12993752.409031603</v>
      </c>
      <c r="EF104" s="29">
        <f t="shared" si="47"/>
        <v>3521119.5740030105</v>
      </c>
      <c r="EG104" s="29">
        <f t="shared" si="48"/>
        <v>94</v>
      </c>
      <c r="EH104" s="29">
        <f t="shared" si="49"/>
        <v>30544</v>
      </c>
      <c r="EI104" s="29">
        <f t="shared" si="50"/>
        <v>14851</v>
      </c>
      <c r="EJ104" s="29">
        <f t="shared" si="51"/>
        <v>173300</v>
      </c>
      <c r="EK104" s="29">
        <f t="shared" si="52"/>
        <v>187442.02538071066</v>
      </c>
      <c r="EL104" s="29">
        <f>IF(CD104=1,VLOOKUP(EA104,'EIA 2021'!$A$2:$J$213,4,0)*EH104,"")</f>
        <v>2354942.4</v>
      </c>
      <c r="EM104" s="29">
        <f>IF(CD104=1,VLOOKUP(EA104,'EIA 2021'!$A$2:$J$213,7,0)*EH104,"")</f>
        <v>85370.48</v>
      </c>
      <c r="EN104" s="29">
        <f>IF(CD104=1,VLOOKUP(EA104,'EIA 2021'!$A$2:$J$213,10,0),"")</f>
        <v>30671</v>
      </c>
      <c r="EO104" s="28">
        <f>IF(CD104=1,VLOOKUP(EA104,'EIA 2021'!$A$2:$Z$213,26,0),"")</f>
        <v>0</v>
      </c>
      <c r="EP104" s="23">
        <f t="shared" si="53"/>
        <v>7.5447463566332057E-2</v>
      </c>
      <c r="EQ104" s="32">
        <f t="shared" si="54"/>
        <v>708.97461928934354</v>
      </c>
      <c r="ER104" s="32">
        <f t="shared" si="55"/>
        <v>14142.025380710656</v>
      </c>
      <c r="ES104" s="6"/>
      <c r="ET104" s="32"/>
    </row>
    <row r="105" spans="1:150" ht="15.75" customHeight="1">
      <c r="A105" s="7" t="s">
        <v>517</v>
      </c>
      <c r="B105" s="7" t="s">
        <v>518</v>
      </c>
      <c r="C105" s="32" t="s">
        <v>519</v>
      </c>
      <c r="D105" s="40">
        <v>0</v>
      </c>
      <c r="E105" s="40">
        <v>0</v>
      </c>
      <c r="F105" s="40">
        <v>0</v>
      </c>
      <c r="G105" s="40">
        <v>61122196</v>
      </c>
      <c r="H105" s="40">
        <v>61430700</v>
      </c>
      <c r="I105" s="40">
        <v>1170344</v>
      </c>
      <c r="J105" s="40">
        <v>180845</v>
      </c>
      <c r="K105" s="40">
        <v>131855</v>
      </c>
      <c r="L105" s="40">
        <v>452783</v>
      </c>
      <c r="M105" s="40">
        <v>258593</v>
      </c>
      <c r="N105" s="40">
        <v>17161</v>
      </c>
      <c r="O105" s="40">
        <v>79121</v>
      </c>
      <c r="P105" s="40">
        <v>1950</v>
      </c>
      <c r="Q105" s="40">
        <v>152407</v>
      </c>
      <c r="R105" s="40">
        <v>0</v>
      </c>
      <c r="S105" s="40">
        <v>241092</v>
      </c>
      <c r="T105" s="40">
        <v>6296868</v>
      </c>
      <c r="U105" s="40">
        <v>0</v>
      </c>
      <c r="V105" s="40">
        <v>0</v>
      </c>
      <c r="W105" s="40">
        <v>7174</v>
      </c>
      <c r="X105" s="40">
        <f>IFERROR(VLOOKUP(A105,'Trans 21-23'!$A$2:$J$229,6,0),0)</f>
        <v>0</v>
      </c>
      <c r="Y105" s="41">
        <v>656217</v>
      </c>
      <c r="Z105" s="41">
        <v>3671</v>
      </c>
      <c r="AA105" s="41">
        <v>4179333</v>
      </c>
      <c r="AB105" s="41">
        <v>7734545</v>
      </c>
      <c r="AC105" s="41">
        <v>70533</v>
      </c>
      <c r="AD105" s="41">
        <v>10527298</v>
      </c>
      <c r="AE105" s="41">
        <v>0</v>
      </c>
      <c r="AF105" s="41">
        <v>130476529</v>
      </c>
      <c r="AG105" s="41">
        <v>80339</v>
      </c>
      <c r="AH105" s="41">
        <v>51265</v>
      </c>
      <c r="AI105" s="41">
        <v>852363</v>
      </c>
      <c r="AJ105" s="41">
        <v>1250</v>
      </c>
      <c r="AK105" s="41">
        <v>0</v>
      </c>
      <c r="AL105" s="41">
        <v>475108</v>
      </c>
      <c r="AM105" s="41">
        <v>165218</v>
      </c>
      <c r="AN105" s="41">
        <v>55989</v>
      </c>
      <c r="AO105" s="41">
        <v>3706</v>
      </c>
      <c r="AP105" s="41">
        <v>0</v>
      </c>
      <c r="AQ105" s="41">
        <v>700021</v>
      </c>
      <c r="AR105" s="41">
        <v>99827</v>
      </c>
      <c r="AS105" s="41">
        <v>799848</v>
      </c>
      <c r="AT105" s="41">
        <v>0</v>
      </c>
      <c r="AU105" s="41">
        <v>301</v>
      </c>
      <c r="AV105" s="41">
        <v>0</v>
      </c>
      <c r="AW105" s="41">
        <v>97711498</v>
      </c>
      <c r="AX105" s="41">
        <v>2804110</v>
      </c>
      <c r="AY105" s="41">
        <v>24678709</v>
      </c>
      <c r="AZ105" s="41">
        <v>18540290</v>
      </c>
      <c r="BA105" s="41">
        <v>3572925</v>
      </c>
      <c r="BB105" s="41">
        <v>369562374</v>
      </c>
      <c r="BC105" s="41">
        <v>426634474</v>
      </c>
      <c r="BD105" s="41">
        <v>34262389</v>
      </c>
      <c r="BE105" s="41">
        <v>126752132</v>
      </c>
      <c r="BF105" s="41">
        <v>12756914</v>
      </c>
      <c r="BG105" s="41">
        <v>0</v>
      </c>
      <c r="BH105" s="41">
        <v>1785987</v>
      </c>
      <c r="BI105" s="41">
        <v>4847</v>
      </c>
      <c r="BJ105" s="41">
        <v>0</v>
      </c>
      <c r="BK105" s="41">
        <v>0</v>
      </c>
      <c r="BL105" s="41">
        <v>0</v>
      </c>
      <c r="BM105" s="41">
        <v>8267</v>
      </c>
      <c r="BN105" s="41">
        <v>1853327</v>
      </c>
      <c r="BO105" s="41">
        <v>195573</v>
      </c>
      <c r="BP105" s="41">
        <v>309763</v>
      </c>
      <c r="BQ105" s="41">
        <v>5623960</v>
      </c>
      <c r="BR105" s="41">
        <v>0</v>
      </c>
      <c r="BS105" s="42">
        <f>IFERROR(VLOOKUP(A105,'Trans 21-23'!$A$2:$J$229,5,0),0)</f>
        <v>0</v>
      </c>
      <c r="BT105" s="43"/>
      <c r="BU105" s="6">
        <f t="shared" si="0"/>
        <v>369562374</v>
      </c>
      <c r="BV105" s="6">
        <f t="shared" si="1"/>
        <v>301</v>
      </c>
      <c r="BW105" s="6">
        <f t="shared" si="2"/>
        <v>80339</v>
      </c>
      <c r="BX105" s="6">
        <f t="shared" si="3"/>
        <v>8990193</v>
      </c>
      <c r="BY105" s="6">
        <f t="shared" si="4"/>
        <v>12644299</v>
      </c>
      <c r="BZ105" s="6">
        <f t="shared" si="5"/>
        <v>18540290</v>
      </c>
      <c r="CA105" s="6">
        <f t="shared" si="6"/>
        <v>10527298</v>
      </c>
      <c r="CB105" s="6">
        <f t="shared" si="7"/>
        <v>51265</v>
      </c>
      <c r="CC105" s="6">
        <f t="shared" si="8"/>
        <v>700021</v>
      </c>
      <c r="CD105" s="6">
        <f t="shared" si="65"/>
        <v>1</v>
      </c>
      <c r="CE105" s="44">
        <f t="shared" si="10"/>
        <v>18</v>
      </c>
      <c r="CF105" s="27"/>
      <c r="CG105" s="28">
        <f t="shared" si="11"/>
        <v>1227.7819734219268</v>
      </c>
      <c r="CH105" s="28">
        <f t="shared" si="12"/>
        <v>3.7466236821469026</v>
      </c>
      <c r="CI105" s="28">
        <f t="shared" si="13"/>
        <v>111.90322259425683</v>
      </c>
      <c r="CJ105" s="28">
        <f t="shared" si="14"/>
        <v>230.77571291651626</v>
      </c>
      <c r="CK105" s="23">
        <f t="shared" si="15"/>
        <v>7.3233517280195878E-2</v>
      </c>
      <c r="CL105" s="29" t="str">
        <f t="shared" si="16"/>
        <v/>
      </c>
      <c r="CM105" s="29" t="str">
        <f t="shared" si="66"/>
        <v/>
      </c>
      <c r="CN105" s="29" t="str">
        <f t="shared" si="18"/>
        <v/>
      </c>
      <c r="CO105" s="29" t="str">
        <f t="shared" si="19"/>
        <v/>
      </c>
      <c r="CP105" s="29" t="str">
        <f t="shared" si="20"/>
        <v/>
      </c>
      <c r="CQ105" s="29">
        <f t="shared" si="21"/>
        <v>0</v>
      </c>
      <c r="CR105" s="13"/>
      <c r="CS105" s="7">
        <f>VLOOKUP(A105,'Empresas 21-23'!$A$2:$M$228,13,0)</f>
        <v>1</v>
      </c>
      <c r="CT105" s="30"/>
      <c r="CU105" s="6">
        <f t="shared" si="22"/>
        <v>330959467.60000002</v>
      </c>
      <c r="CV105" s="6">
        <f t="shared" si="23"/>
        <v>18540290</v>
      </c>
      <c r="CW105" s="6">
        <f t="shared" si="24"/>
        <v>34262389</v>
      </c>
      <c r="CX105" s="23">
        <f t="shared" si="63"/>
        <v>0.84348372438370589</v>
      </c>
      <c r="CY105" s="23">
        <f t="shared" si="64"/>
        <v>4.725180691689624E-2</v>
      </c>
      <c r="CZ105" s="6">
        <f t="shared" si="25"/>
        <v>359859235.08000332</v>
      </c>
      <c r="DA105" s="6">
        <f t="shared" si="26"/>
        <v>20159249.78953959</v>
      </c>
      <c r="DB105" s="6">
        <f t="shared" si="27"/>
        <v>8990193</v>
      </c>
      <c r="DC105" s="6">
        <f t="shared" si="28"/>
        <v>8990193</v>
      </c>
      <c r="DD105" s="6">
        <f t="shared" si="29"/>
        <v>12644299</v>
      </c>
      <c r="DE105" s="6">
        <f t="shared" si="30"/>
        <v>10527298</v>
      </c>
      <c r="DF105" s="6">
        <f t="shared" si="31"/>
        <v>3891976.4469585884</v>
      </c>
      <c r="DG105" s="30"/>
      <c r="DH105" s="32">
        <f>VLOOKUP(A105,'T_med_comp-USA'!$A$7:$Q$233,17,0)</f>
        <v>11.094561770489941</v>
      </c>
      <c r="DI105" s="6" t="str">
        <f t="shared" si="32"/>
        <v>11_2010</v>
      </c>
      <c r="DJ105" s="32">
        <f>IF(DI105="","",VLOOKUP(DI105,'CPI USA'!$T:$U,2,FALSE))</f>
        <v>218.05600000000001</v>
      </c>
      <c r="DK105" s="32">
        <f>IF(DI105="","",VLOOKUP(DI105,'PPI USA'!$S:$T,2,FALSE))</f>
        <v>160.80000000000001</v>
      </c>
      <c r="DL105" s="32">
        <f>IF(DI105="","",VLOOKUP(DI105,'CPI USA'!$T:$V,3,FALSE))</f>
        <v>0.67050107279443949</v>
      </c>
      <c r="DM105" s="32">
        <f>IF(DI105="","",VLOOKUP(DI105,'CPI USA'!$T:$X,5,FALSE))</f>
        <v>0.4987389730136107</v>
      </c>
      <c r="DN105" s="32">
        <f t="shared" si="33"/>
        <v>1.4703278680244813</v>
      </c>
      <c r="DO105" s="32">
        <f t="shared" si="34"/>
        <v>1.4857204383544427</v>
      </c>
      <c r="DP105" s="32">
        <f t="shared" si="35"/>
        <v>0.21962308509023565</v>
      </c>
      <c r="DQ105" s="32">
        <f>IF(DP105="","",DP105*$DO$1/'CPI USA'!$U$508+(1-DP105)*AVERAGE($DO$1,$DQ$1)/AVERAGE('CPI USA'!$U$508,'PPI USA'!$T$514))</f>
        <v>1.1729997391604052</v>
      </c>
      <c r="DR105" s="6">
        <f t="shared" si="36"/>
        <v>4847</v>
      </c>
      <c r="DS105" s="32">
        <f t="shared" si="37"/>
        <v>0.2</v>
      </c>
      <c r="DT105" s="28">
        <f>IF(DS105="","",DS105*$DO$1/'CPI USA'!$U$508+(1-DS105)*AVERAGE($DO$1,$DQ$1)/AVERAGE('CPI USA'!$U$508,'PPI USA'!$T$514))</f>
        <v>1.1741595760647974</v>
      </c>
      <c r="DU105" s="6">
        <f t="shared" si="38"/>
        <v>9139.3781561483756</v>
      </c>
      <c r="DV105" s="6">
        <f t="shared" si="39"/>
        <v>481.88102943869035</v>
      </c>
      <c r="DW105" s="6">
        <f t="shared" si="40"/>
        <v>9296.8364850680045</v>
      </c>
      <c r="DX105" s="16">
        <f t="shared" si="41"/>
        <v>0.2</v>
      </c>
      <c r="DY105" s="28">
        <f>IF(DX105="","",DX105*$DO$1/'CPI USA'!$U$508+(1-DX105)*AVERAGE($DO$1,$DQ$1)/AVERAGE('CPI USA'!$U$508,'PPI USA'!$T$514))</f>
        <v>1.1741595760647974</v>
      </c>
      <c r="DZ105" s="30"/>
      <c r="EA105" s="45" t="str">
        <f t="shared" si="42"/>
        <v>C001222</v>
      </c>
      <c r="EB105" s="29">
        <f t="shared" si="43"/>
        <v>529111061.90410191</v>
      </c>
      <c r="EC105" s="29">
        <f t="shared" si="44"/>
        <v>29951009.434211466</v>
      </c>
      <c r="ED105" s="29">
        <f t="shared" si="45"/>
        <v>10545494.0440017</v>
      </c>
      <c r="EE105" s="29">
        <f t="shared" si="46"/>
        <v>14846424.753476541</v>
      </c>
      <c r="EF105" s="29">
        <f t="shared" si="47"/>
        <v>4569801.4150150726</v>
      </c>
      <c r="EG105" s="29">
        <f t="shared" si="48"/>
        <v>301</v>
      </c>
      <c r="EH105" s="29">
        <f t="shared" si="49"/>
        <v>80339</v>
      </c>
      <c r="EI105" s="29">
        <f t="shared" si="50"/>
        <v>51265</v>
      </c>
      <c r="EJ105" s="29">
        <f t="shared" si="51"/>
        <v>700021</v>
      </c>
      <c r="EK105" s="29">
        <f t="shared" si="52"/>
        <v>749765.79187817255</v>
      </c>
      <c r="EL105" s="29">
        <f>IF(CD105=1,VLOOKUP(EA105,'EIA 2021'!$A$2:$J$213,4,0)*EH105,"")</f>
        <v>8254832.25</v>
      </c>
      <c r="EM105" s="29">
        <f>IF(CD105=1,VLOOKUP(EA105,'EIA 2021'!$A$2:$J$213,7,0)*EH105,"")</f>
        <v>106529.51400000001</v>
      </c>
      <c r="EN105" s="29">
        <f>IF(CD105=1,VLOOKUP(EA105,'EIA 2021'!$A$2:$J$213,10,0),"")</f>
        <v>79605</v>
      </c>
      <c r="EO105" s="28">
        <f>IF(CD105=1,VLOOKUP(EA105,'EIA 2021'!$A$2:$Z$213,26,0),"")</f>
        <v>0</v>
      </c>
      <c r="EP105" s="23">
        <f t="shared" si="53"/>
        <v>6.6347107879597009E-2</v>
      </c>
      <c r="EQ105" s="32">
        <f t="shared" si="54"/>
        <v>1520.2081218274107</v>
      </c>
      <c r="ER105" s="32">
        <f t="shared" si="55"/>
        <v>49744.791878172589</v>
      </c>
      <c r="ES105" s="6"/>
      <c r="ET105" s="32"/>
    </row>
    <row r="106" spans="1:150" ht="15.75" customHeight="1">
      <c r="A106" s="7" t="s">
        <v>520</v>
      </c>
      <c r="B106" s="7" t="s">
        <v>521</v>
      </c>
      <c r="C106" s="32" t="s">
        <v>522</v>
      </c>
      <c r="D106" s="40">
        <v>0</v>
      </c>
      <c r="E106" s="40">
        <v>0</v>
      </c>
      <c r="F106" s="40">
        <v>0</v>
      </c>
      <c r="G106" s="40">
        <v>551028744</v>
      </c>
      <c r="H106" s="40">
        <v>552203765</v>
      </c>
      <c r="I106" s="40">
        <v>13026682</v>
      </c>
      <c r="J106" s="40">
        <v>367484</v>
      </c>
      <c r="K106" s="40">
        <v>3991927</v>
      </c>
      <c r="L106" s="40">
        <v>31379814</v>
      </c>
      <c r="M106" s="40">
        <v>6694654</v>
      </c>
      <c r="N106" s="40">
        <v>4000625</v>
      </c>
      <c r="O106" s="40">
        <v>30224558</v>
      </c>
      <c r="P106" s="40">
        <v>8032752</v>
      </c>
      <c r="Q106" s="40">
        <v>134849</v>
      </c>
      <c r="R106" s="40">
        <v>187501</v>
      </c>
      <c r="S106" s="40">
        <v>4913273</v>
      </c>
      <c r="T106" s="40">
        <v>73252390</v>
      </c>
      <c r="U106" s="40">
        <v>3241212</v>
      </c>
      <c r="V106" s="40">
        <v>1437570</v>
      </c>
      <c r="W106" s="40">
        <v>2653052</v>
      </c>
      <c r="X106" s="40">
        <f>IFERROR(VLOOKUP(A106,'Trans 21-23'!$A$2:$J$229,6,0),0)</f>
        <v>43777216</v>
      </c>
      <c r="Y106" s="41">
        <v>5472680</v>
      </c>
      <c r="Z106" s="41">
        <v>4666</v>
      </c>
      <c r="AA106" s="41">
        <v>59905535</v>
      </c>
      <c r="AB106" s="41">
        <v>81891167</v>
      </c>
      <c r="AC106" s="41">
        <v>1454456</v>
      </c>
      <c r="AD106" s="41">
        <v>165133043</v>
      </c>
      <c r="AE106" s="41">
        <v>0</v>
      </c>
      <c r="AF106" s="41">
        <v>1330229510</v>
      </c>
      <c r="AG106" s="41">
        <v>1466295</v>
      </c>
      <c r="AH106" s="41">
        <v>2319804</v>
      </c>
      <c r="AI106" s="41">
        <v>40318886</v>
      </c>
      <c r="AJ106" s="41">
        <v>53620</v>
      </c>
      <c r="AK106" s="41">
        <v>0</v>
      </c>
      <c r="AL106" s="41">
        <v>14746360</v>
      </c>
      <c r="AM106" s="41">
        <v>13805560</v>
      </c>
      <c r="AN106" s="41">
        <v>8374578</v>
      </c>
      <c r="AO106" s="41">
        <v>70607</v>
      </c>
      <c r="AP106" s="41">
        <v>699</v>
      </c>
      <c r="AQ106" s="41">
        <v>36997804</v>
      </c>
      <c r="AR106" s="41">
        <v>947658</v>
      </c>
      <c r="AS106" s="41">
        <v>37945462</v>
      </c>
      <c r="AT106" s="41">
        <v>0</v>
      </c>
      <c r="AU106" s="41">
        <v>7313</v>
      </c>
      <c r="AV106" s="41">
        <v>0</v>
      </c>
      <c r="AW106" s="41">
        <v>1350239177</v>
      </c>
      <c r="AX106" s="41">
        <v>235378221</v>
      </c>
      <c r="AY106" s="41">
        <v>724383222</v>
      </c>
      <c r="AZ106" s="41">
        <v>315843692</v>
      </c>
      <c r="BA106" s="41">
        <v>154670203</v>
      </c>
      <c r="BB106" s="41">
        <v>6462171072</v>
      </c>
      <c r="BC106" s="41">
        <v>14447107706</v>
      </c>
      <c r="BD106" s="41">
        <v>807849310</v>
      </c>
      <c r="BE106" s="41">
        <v>2014713354</v>
      </c>
      <c r="BF106" s="41">
        <v>157763596</v>
      </c>
      <c r="BG106" s="41">
        <v>0</v>
      </c>
      <c r="BH106" s="41">
        <v>36769922</v>
      </c>
      <c r="BI106" s="41">
        <v>20087846</v>
      </c>
      <c r="BJ106" s="41">
        <v>3863240</v>
      </c>
      <c r="BK106" s="41">
        <v>0</v>
      </c>
      <c r="BL106" s="41">
        <v>0</v>
      </c>
      <c r="BM106" s="41">
        <v>2006416</v>
      </c>
      <c r="BN106" s="41">
        <v>69617533</v>
      </c>
      <c r="BO106" s="41">
        <v>20428096</v>
      </c>
      <c r="BP106" s="41">
        <v>3096767</v>
      </c>
      <c r="BQ106" s="41">
        <v>159775259</v>
      </c>
      <c r="BR106" s="41">
        <v>0</v>
      </c>
      <c r="BS106" s="42">
        <f>IFERROR(VLOOKUP(A106,'Trans 21-23'!$A$2:$J$229,5,0),0)</f>
        <v>2789292579</v>
      </c>
      <c r="BT106" s="43"/>
      <c r="BU106" s="6">
        <f t="shared" si="0"/>
        <v>6462171072</v>
      </c>
      <c r="BV106" s="6">
        <f t="shared" si="1"/>
        <v>7313</v>
      </c>
      <c r="BW106" s="6">
        <f t="shared" si="2"/>
        <v>1466295</v>
      </c>
      <c r="BX106" s="6">
        <f t="shared" si="3"/>
        <v>183538343</v>
      </c>
      <c r="BY106" s="6">
        <f t="shared" si="4"/>
        <v>148728504</v>
      </c>
      <c r="BZ106" s="6">
        <f t="shared" si="5"/>
        <v>315843692</v>
      </c>
      <c r="CA106" s="6">
        <f t="shared" si="6"/>
        <v>165133043</v>
      </c>
      <c r="CB106" s="6">
        <f t="shared" si="7"/>
        <v>2319804</v>
      </c>
      <c r="CC106" s="6">
        <f t="shared" si="8"/>
        <v>36997804</v>
      </c>
      <c r="CD106" s="6">
        <f t="shared" si="65"/>
        <v>1</v>
      </c>
      <c r="CE106" s="44">
        <f t="shared" si="10"/>
        <v>11</v>
      </c>
      <c r="CF106" s="27"/>
      <c r="CG106" s="28">
        <f t="shared" si="11"/>
        <v>883.6552812799124</v>
      </c>
      <c r="CH106" s="28">
        <f t="shared" si="12"/>
        <v>4.9874002161911486</v>
      </c>
      <c r="CI106" s="28">
        <f t="shared" si="13"/>
        <v>125.17149891392933</v>
      </c>
      <c r="CJ106" s="28">
        <f t="shared" si="14"/>
        <v>215.40255678427602</v>
      </c>
      <c r="CK106" s="23">
        <f t="shared" si="15"/>
        <v>6.2701126802012355E-2</v>
      </c>
      <c r="CL106" s="29" t="str">
        <f t="shared" si="16"/>
        <v/>
      </c>
      <c r="CM106" s="29" t="str">
        <f t="shared" si="66"/>
        <v/>
      </c>
      <c r="CN106" s="29" t="str">
        <f t="shared" si="18"/>
        <v/>
      </c>
      <c r="CO106" s="29" t="str">
        <f t="shared" si="19"/>
        <v/>
      </c>
      <c r="CP106" s="29" t="str">
        <f t="shared" si="20"/>
        <v/>
      </c>
      <c r="CQ106" s="29">
        <f t="shared" si="21"/>
        <v>0</v>
      </c>
      <c r="CR106" s="13"/>
      <c r="CS106" s="7">
        <f>VLOOKUP(A106,'Empresas 21-23'!$A$2:$M$228,13,0)</f>
        <v>1</v>
      </c>
      <c r="CT106" s="30"/>
      <c r="CU106" s="6">
        <f t="shared" si="22"/>
        <v>8205092890.1999998</v>
      </c>
      <c r="CV106" s="6">
        <f t="shared" si="23"/>
        <v>315843692</v>
      </c>
      <c r="CW106" s="6">
        <f t="shared" si="24"/>
        <v>807849310</v>
      </c>
      <c r="CX106" s="23">
        <f t="shared" si="63"/>
        <v>0.60157910730735298</v>
      </c>
      <c r="CY106" s="23">
        <f t="shared" si="64"/>
        <v>2.3156954933314249E-2</v>
      </c>
      <c r="CZ106" s="6">
        <f t="shared" si="25"/>
        <v>8691078156.9486618</v>
      </c>
      <c r="DA106" s="6">
        <f t="shared" si="26"/>
        <v>334551022.06457901</v>
      </c>
      <c r="DB106" s="6">
        <f t="shared" si="27"/>
        <v>183538343</v>
      </c>
      <c r="DC106" s="6">
        <f t="shared" si="28"/>
        <v>227315559</v>
      </c>
      <c r="DD106" s="6">
        <f t="shared" si="29"/>
        <v>148728504</v>
      </c>
      <c r="DE106" s="6">
        <f t="shared" si="30"/>
        <v>165133043</v>
      </c>
      <c r="DF106" s="6">
        <f t="shared" si="31"/>
        <v>101318387.74166659</v>
      </c>
      <c r="DG106" s="30"/>
      <c r="DH106" s="32">
        <f>VLOOKUP(A106,'T_med_comp-USA'!$A$7:$Q$233,17,0)</f>
        <v>13.432377851984612</v>
      </c>
      <c r="DI106" s="6" t="str">
        <f t="shared" si="32"/>
        <v>7_2008</v>
      </c>
      <c r="DJ106" s="32">
        <f>IF(DI106="","",VLOOKUP(DI106,'CPI USA'!$T:$U,2,FALSE))</f>
        <v>215.303</v>
      </c>
      <c r="DK106" s="32">
        <f>IF(DI106="","",VLOOKUP(DI106,'PPI USA'!$S:$T,2,FALSE))</f>
        <v>159.30000000000001</v>
      </c>
      <c r="DL106" s="32">
        <f>IF(DI106="","",VLOOKUP(DI106,'CPI USA'!$T:$V,3,FALSE))</f>
        <v>0.67018812038291731</v>
      </c>
      <c r="DM106" s="32">
        <f>IF(DI106="","",VLOOKUP(DI106,'CPI USA'!$T:$X,5,FALSE))</f>
        <v>0.49838492968660258</v>
      </c>
      <c r="DN106" s="32">
        <f t="shared" si="33"/>
        <v>1.4884333659448254</v>
      </c>
      <c r="DO106" s="32">
        <f t="shared" si="34"/>
        <v>1.5036496327119213</v>
      </c>
      <c r="DP106" s="32">
        <f t="shared" si="35"/>
        <v>0.25912535425140137</v>
      </c>
      <c r="DQ106" s="32">
        <f>IF(DP106="","",DP106*$DO$1/'CPI USA'!$U$508+(1-DP106)*AVERAGE($DO$1,$DQ$1)/AVERAGE('CPI USA'!$U$508,'PPI USA'!$T$514))</f>
        <v>1.1706649284326494</v>
      </c>
      <c r="DR106" s="6">
        <f t="shared" si="36"/>
        <v>23951086</v>
      </c>
      <c r="DS106" s="32">
        <f t="shared" si="37"/>
        <v>0.2082931593655859</v>
      </c>
      <c r="DT106" s="28">
        <f>IF(DS106="","",DS106*$DO$1/'CPI USA'!$U$508+(1-DS106)*AVERAGE($DO$1,$DQ$1)/AVERAGE('CPI USA'!$U$508,'PPI USA'!$T$514))</f>
        <v>1.1736694027693149</v>
      </c>
      <c r="DU106" s="6">
        <f t="shared" si="38"/>
        <v>2595165.0822740877</v>
      </c>
      <c r="DV106" s="6">
        <f t="shared" si="39"/>
        <v>39657.024890640379</v>
      </c>
      <c r="DW106" s="6">
        <f t="shared" si="40"/>
        <v>2298114.3880482852</v>
      </c>
      <c r="DX106" s="16">
        <f t="shared" si="41"/>
        <v>0.2</v>
      </c>
      <c r="DY106" s="28">
        <f>IF(DX106="","",DX106*$DO$1/'CPI USA'!$U$508+(1-DX106)*AVERAGE($DO$1,$DQ$1)/AVERAGE('CPI USA'!$U$508,'PPI USA'!$T$514))</f>
        <v>1.1741595760647974</v>
      </c>
      <c r="DZ106" s="30"/>
      <c r="EA106" s="45" t="str">
        <f t="shared" si="42"/>
        <v>C001230</v>
      </c>
      <c r="EB106" s="29">
        <f t="shared" si="43"/>
        <v>12936090714.836647</v>
      </c>
      <c r="EC106" s="29">
        <f t="shared" si="44"/>
        <v>503047521.45080209</v>
      </c>
      <c r="ED106" s="29">
        <f t="shared" si="45"/>
        <v>266110352.60836267</v>
      </c>
      <c r="EE106" s="29">
        <f t="shared" si="46"/>
        <v>174558094.46445367</v>
      </c>
      <c r="EF106" s="29">
        <f t="shared" si="47"/>
        <v>118963955.19832399</v>
      </c>
      <c r="EG106" s="29">
        <f t="shared" si="48"/>
        <v>7313</v>
      </c>
      <c r="EH106" s="29">
        <f t="shared" si="49"/>
        <v>1466295</v>
      </c>
      <c r="EI106" s="29">
        <f t="shared" si="50"/>
        <v>2319804</v>
      </c>
      <c r="EJ106" s="29">
        <f t="shared" si="51"/>
        <v>36997804</v>
      </c>
      <c r="EK106" s="29">
        <f t="shared" si="52"/>
        <v>39303176.659898475</v>
      </c>
      <c r="EL106" s="29">
        <f>IF(CD106=1,VLOOKUP(EA106,'EIA 2021'!$A$2:$J$213,4,0)*EH106,"")</f>
        <v>123901927.5</v>
      </c>
      <c r="EM106" s="29">
        <f>IF(CD106=1,VLOOKUP(EA106,'EIA 2021'!$A$2:$J$213,7,0)*EH106,"")</f>
        <v>1363654.35</v>
      </c>
      <c r="EN106" s="29">
        <f>IF(CD106=1,VLOOKUP(EA106,'EIA 2021'!$A$2:$J$213,10,0),"")</f>
        <v>1466284</v>
      </c>
      <c r="EO106" s="28">
        <f>IF(CD106=1,VLOOKUP(EA106,'EIA 2021'!$A$2:$Z$213,26,0),"")</f>
        <v>0</v>
      </c>
      <c r="EP106" s="23">
        <f t="shared" si="53"/>
        <v>5.8656140694364735E-2</v>
      </c>
      <c r="EQ106" s="32">
        <f t="shared" si="54"/>
        <v>14431.340101522859</v>
      </c>
      <c r="ER106" s="32">
        <f t="shared" si="55"/>
        <v>2305372.6598984771</v>
      </c>
      <c r="ES106" s="6"/>
      <c r="ET106" s="32"/>
    </row>
    <row r="107" spans="1:150" ht="15.75" customHeight="1">
      <c r="A107" s="7" t="s">
        <v>523</v>
      </c>
      <c r="B107" s="7" t="s">
        <v>524</v>
      </c>
      <c r="C107" s="32" t="s">
        <v>525</v>
      </c>
      <c r="D107" s="40">
        <v>94955708</v>
      </c>
      <c r="E107" s="40">
        <v>0</v>
      </c>
      <c r="F107" s="40">
        <v>0</v>
      </c>
      <c r="G107" s="40">
        <v>40507781</v>
      </c>
      <c r="H107" s="40">
        <v>40732182</v>
      </c>
      <c r="I107" s="40">
        <v>0</v>
      </c>
      <c r="J107" s="40">
        <v>0</v>
      </c>
      <c r="K107" s="40">
        <v>0</v>
      </c>
      <c r="L107" s="40">
        <v>0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f>IFERROR(VLOOKUP(A107,'Trans 21-23'!$A$2:$J$229,6,0),0)</f>
        <v>0</v>
      </c>
      <c r="Y107" s="41">
        <v>0</v>
      </c>
      <c r="Z107" s="41">
        <v>20495</v>
      </c>
      <c r="AA107" s="41">
        <v>0</v>
      </c>
      <c r="AB107" s="41">
        <v>0</v>
      </c>
      <c r="AC107" s="41">
        <v>1398580</v>
      </c>
      <c r="AD107" s="41">
        <v>18182332</v>
      </c>
      <c r="AE107" s="41">
        <v>0</v>
      </c>
      <c r="AF107" s="41">
        <v>208257803</v>
      </c>
      <c r="AG107" s="41">
        <v>10</v>
      </c>
      <c r="AH107" s="41">
        <v>140569</v>
      </c>
      <c r="AI107" s="41">
        <v>4780930</v>
      </c>
      <c r="AJ107" s="41">
        <v>0</v>
      </c>
      <c r="AK107" s="41">
        <v>0</v>
      </c>
      <c r="AL107" s="41">
        <v>0</v>
      </c>
      <c r="AM107" s="41">
        <v>0</v>
      </c>
      <c r="AN107" s="41">
        <v>0</v>
      </c>
      <c r="AO107" s="41">
        <v>0</v>
      </c>
      <c r="AP107" s="41">
        <v>0</v>
      </c>
      <c r="AQ107" s="41">
        <v>43892</v>
      </c>
      <c r="AR107" s="41">
        <v>4596469</v>
      </c>
      <c r="AS107" s="41">
        <v>4640362</v>
      </c>
      <c r="AT107" s="41">
        <v>0</v>
      </c>
      <c r="AU107" s="41">
        <v>724</v>
      </c>
      <c r="AV107" s="41">
        <v>0</v>
      </c>
      <c r="AW107" s="41">
        <v>0</v>
      </c>
      <c r="AX107" s="41">
        <v>0</v>
      </c>
      <c r="AY107" s="41">
        <v>0</v>
      </c>
      <c r="AZ107" s="41">
        <v>0</v>
      </c>
      <c r="BA107" s="41">
        <v>0</v>
      </c>
      <c r="BB107" s="41">
        <v>0</v>
      </c>
      <c r="BC107" s="41">
        <v>485149800</v>
      </c>
      <c r="BD107" s="41">
        <v>20771687</v>
      </c>
      <c r="BE107" s="41">
        <v>0</v>
      </c>
      <c r="BF107" s="41">
        <v>0</v>
      </c>
      <c r="BG107" s="41">
        <v>0</v>
      </c>
      <c r="BH107" s="41">
        <v>0</v>
      </c>
      <c r="BI107" s="41">
        <v>104380</v>
      </c>
      <c r="BJ107" s="41">
        <v>104380</v>
      </c>
      <c r="BK107" s="41">
        <v>931071</v>
      </c>
      <c r="BL107" s="41">
        <v>0</v>
      </c>
      <c r="BM107" s="41">
        <v>6497126</v>
      </c>
      <c r="BN107" s="41">
        <v>21588191</v>
      </c>
      <c r="BO107" s="41">
        <v>0</v>
      </c>
      <c r="BP107" s="41">
        <v>0</v>
      </c>
      <c r="BQ107" s="41">
        <v>21588966</v>
      </c>
      <c r="BR107" s="41">
        <v>43892</v>
      </c>
      <c r="BS107" s="42">
        <f>IFERROR(VLOOKUP(A107,'Trans 21-23'!$A$2:$J$229,5,0),0)</f>
        <v>0</v>
      </c>
      <c r="BT107" s="43"/>
      <c r="BU107" s="6">
        <f t="shared" si="0"/>
        <v>0</v>
      </c>
      <c r="BV107" s="6">
        <f t="shared" si="1"/>
        <v>724</v>
      </c>
      <c r="BW107" s="6">
        <f t="shared" si="2"/>
        <v>10</v>
      </c>
      <c r="BX107" s="6">
        <f t="shared" si="3"/>
        <v>0</v>
      </c>
      <c r="BY107" s="6">
        <f t="shared" si="4"/>
        <v>1419075</v>
      </c>
      <c r="BZ107" s="6">
        <f t="shared" si="5"/>
        <v>0</v>
      </c>
      <c r="CA107" s="6">
        <f t="shared" si="6"/>
        <v>18182332</v>
      </c>
      <c r="CB107" s="6">
        <f t="shared" si="7"/>
        <v>140569</v>
      </c>
      <c r="CC107" s="6">
        <f t="shared" si="8"/>
        <v>43892</v>
      </c>
      <c r="CD107" s="6">
        <f t="shared" si="65"/>
        <v>0</v>
      </c>
      <c r="CE107" s="44">
        <f t="shared" si="10"/>
        <v>45</v>
      </c>
      <c r="CF107" s="27"/>
      <c r="CG107" s="28" t="str">
        <f t="shared" si="11"/>
        <v/>
      </c>
      <c r="CH107" s="28" t="str">
        <f t="shared" si="12"/>
        <v/>
      </c>
      <c r="CI107" s="28" t="str">
        <f t="shared" si="13"/>
        <v/>
      </c>
      <c r="CJ107" s="28" t="str">
        <f t="shared" si="14"/>
        <v/>
      </c>
      <c r="CK107" s="23" t="str">
        <f t="shared" si="15"/>
        <v/>
      </c>
      <c r="CL107" s="29" t="str">
        <f t="shared" si="16"/>
        <v/>
      </c>
      <c r="CM107" s="29" t="str">
        <f t="shared" si="66"/>
        <v/>
      </c>
      <c r="CN107" s="29" t="str">
        <f t="shared" si="18"/>
        <v/>
      </c>
      <c r="CO107" s="29" t="str">
        <f t="shared" si="19"/>
        <v/>
      </c>
      <c r="CP107" s="29" t="str">
        <f t="shared" si="20"/>
        <v/>
      </c>
      <c r="CQ107" s="29">
        <f t="shared" si="21"/>
        <v>0</v>
      </c>
      <c r="CR107" s="13"/>
      <c r="CS107" s="7" t="str">
        <f>VLOOKUP(A107,'Empresas 21-23'!$A$2:$M$228,13,0)</f>
        <v/>
      </c>
      <c r="CT107" s="30"/>
      <c r="CU107" s="6">
        <f t="shared" si="22"/>
        <v>0</v>
      </c>
      <c r="CV107" s="6">
        <f t="shared" si="23"/>
        <v>0</v>
      </c>
      <c r="CW107" s="6">
        <f t="shared" si="24"/>
        <v>20771687</v>
      </c>
      <c r="CX107" s="23">
        <f t="shared" si="63"/>
        <v>0</v>
      </c>
      <c r="CY107" s="23">
        <f t="shared" si="64"/>
        <v>0</v>
      </c>
      <c r="CZ107" s="6">
        <f t="shared" si="25"/>
        <v>0</v>
      </c>
      <c r="DA107" s="6">
        <f t="shared" si="26"/>
        <v>0</v>
      </c>
      <c r="DB107" s="6">
        <f t="shared" si="27"/>
        <v>0</v>
      </c>
      <c r="DC107" s="6">
        <f t="shared" si="28"/>
        <v>0</v>
      </c>
      <c r="DD107" s="6">
        <f t="shared" si="29"/>
        <v>1419075</v>
      </c>
      <c r="DE107" s="6">
        <f t="shared" si="30"/>
        <v>18182332</v>
      </c>
      <c r="DF107" s="6">
        <f t="shared" si="31"/>
        <v>474411.47976226412</v>
      </c>
      <c r="DG107" s="30"/>
      <c r="DH107" s="32" t="str">
        <f>VLOOKUP(A107,'T_med_comp-USA'!$A$7:$Q$233,17,0)</f>
        <v>-</v>
      </c>
      <c r="DI107" s="6" t="str">
        <f t="shared" si="32"/>
        <v/>
      </c>
      <c r="DJ107" s="32" t="str">
        <f>IF(DI107="","",VLOOKUP(DI107,'CPI USA'!$T:$U,2,FALSE))</f>
        <v/>
      </c>
      <c r="DK107" s="32" t="str">
        <f>IF(DI107="","",VLOOKUP(DI107,'PPI USA'!$S:$T,2,FALSE))</f>
        <v/>
      </c>
      <c r="DL107" s="32" t="str">
        <f>IF(DI107="","",VLOOKUP(DI107,'CPI USA'!$T:$V,3,FALSE))</f>
        <v/>
      </c>
      <c r="DM107" s="32" t="str">
        <f>IF(DI107="","",VLOOKUP(DI107,'CPI USA'!$T:$X,5,FALSE))</f>
        <v/>
      </c>
      <c r="DN107" s="32" t="str">
        <f t="shared" si="33"/>
        <v/>
      </c>
      <c r="DO107" s="32" t="str">
        <f t="shared" si="34"/>
        <v/>
      </c>
      <c r="DP107" s="32" t="str">
        <f t="shared" si="35"/>
        <v/>
      </c>
      <c r="DQ107" s="32" t="str">
        <f>IF(DP107="","",DP107*$DO$1/'CPI USA'!$U$508+(1-DP107)*AVERAGE($DO$1,$DQ$1)/AVERAGE('CPI USA'!$U$508,'PPI USA'!$T$514))</f>
        <v/>
      </c>
      <c r="DR107" s="6">
        <f t="shared" si="36"/>
        <v>1139831</v>
      </c>
      <c r="DS107" s="32">
        <f t="shared" si="37"/>
        <v>0.8</v>
      </c>
      <c r="DT107" s="28">
        <f>IF(DS107="","",DS107*$DO$1/'CPI USA'!$U$508+(1-DS107)*AVERAGE($DO$1,$DQ$1)/AVERAGE('CPI USA'!$U$508,'PPI USA'!$T$514))</f>
        <v>1.1386961339283952</v>
      </c>
      <c r="DU107" s="6" t="str">
        <f t="shared" si="38"/>
        <v/>
      </c>
      <c r="DV107" s="6">
        <f t="shared" si="39"/>
        <v>0</v>
      </c>
      <c r="DW107" s="6">
        <f t="shared" si="40"/>
        <v>0</v>
      </c>
      <c r="DX107" s="16" t="str">
        <f t="shared" si="41"/>
        <v/>
      </c>
      <c r="DY107" s="28" t="str">
        <f>IF(DX107="","",DX107*$DO$1/'CPI USA'!$U$508+(1-DX107)*AVERAGE($DO$1,$DQ$1)/AVERAGE('CPI USA'!$U$508,'PPI USA'!$T$514))</f>
        <v/>
      </c>
      <c r="DZ107" s="30"/>
      <c r="EA107" s="45" t="str">
        <f t="shared" si="42"/>
        <v>C001245</v>
      </c>
      <c r="EB107" s="29" t="str">
        <f t="shared" si="43"/>
        <v/>
      </c>
      <c r="EC107" s="29" t="str">
        <f t="shared" si="44"/>
        <v/>
      </c>
      <c r="ED107" s="29" t="str">
        <f t="shared" si="45"/>
        <v/>
      </c>
      <c r="EE107" s="29" t="str">
        <f t="shared" si="46"/>
        <v/>
      </c>
      <c r="EF107" s="29" t="str">
        <f t="shared" si="47"/>
        <v/>
      </c>
      <c r="EG107" s="29" t="str">
        <f t="shared" si="48"/>
        <v/>
      </c>
      <c r="EH107" s="29" t="str">
        <f t="shared" si="49"/>
        <v/>
      </c>
      <c r="EI107" s="29" t="str">
        <f t="shared" si="50"/>
        <v/>
      </c>
      <c r="EJ107" s="29" t="str">
        <f t="shared" si="51"/>
        <v/>
      </c>
      <c r="EK107" s="29" t="str">
        <f t="shared" si="52"/>
        <v/>
      </c>
      <c r="EL107" s="29" t="str">
        <f>IF(CD107=1,VLOOKUP(EA107,'EIA 2021'!$A$2:$J$213,4,0)*EH107,"")</f>
        <v/>
      </c>
      <c r="EM107" s="29" t="str">
        <f>IF(CD107=1,VLOOKUP(EA107,'EIA 2021'!$A$2:$J$213,7,0)*EH107,"")</f>
        <v/>
      </c>
      <c r="EN107" s="29" t="str">
        <f>IF(CD107=1,VLOOKUP(EA107,'EIA 2021'!$A$2:$J$213,10,0),"")</f>
        <v/>
      </c>
      <c r="EO107" s="28" t="str">
        <f>IF(CD107=1,VLOOKUP(EA107,'EIA 2021'!$A$2:$Z$213,26,0),"")</f>
        <v/>
      </c>
      <c r="EP107" s="23" t="str">
        <f t="shared" si="53"/>
        <v/>
      </c>
      <c r="EQ107" s="32" t="str">
        <f t="shared" si="54"/>
        <v/>
      </c>
      <c r="ER107" s="32" t="str">
        <f t="shared" si="55"/>
        <v/>
      </c>
      <c r="ES107" s="6"/>
      <c r="ET107" s="32"/>
    </row>
    <row r="108" spans="1:150" ht="15.75" customHeight="1">
      <c r="A108" s="7" t="s">
        <v>526</v>
      </c>
      <c r="B108" s="7" t="s">
        <v>527</v>
      </c>
      <c r="C108" s="32" t="s">
        <v>528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f>IFERROR(VLOOKUP(A108,'Trans 21-23'!$A$2:$J$229,6,0),0)</f>
        <v>5501305</v>
      </c>
      <c r="Y108" s="41">
        <v>0</v>
      </c>
      <c r="Z108" s="41">
        <v>0</v>
      </c>
      <c r="AA108" s="41">
        <v>0</v>
      </c>
      <c r="AB108" s="41">
        <v>0</v>
      </c>
      <c r="AC108" s="41">
        <v>0</v>
      </c>
      <c r="AD108" s="41">
        <v>11136213</v>
      </c>
      <c r="AE108" s="41">
        <v>0</v>
      </c>
      <c r="AF108" s="41">
        <v>25248907</v>
      </c>
      <c r="AG108" s="41">
        <v>0</v>
      </c>
      <c r="AH108" s="41">
        <v>21153</v>
      </c>
      <c r="AI108" s="41">
        <v>21153</v>
      </c>
      <c r="AJ108" s="41">
        <v>0</v>
      </c>
      <c r="AK108" s="41">
        <v>0</v>
      </c>
      <c r="AL108" s="41">
        <v>0</v>
      </c>
      <c r="AM108" s="41">
        <v>0</v>
      </c>
      <c r="AN108" s="41">
        <v>0</v>
      </c>
      <c r="AO108" s="41">
        <v>0</v>
      </c>
      <c r="AP108" s="41">
        <v>0</v>
      </c>
      <c r="AQ108" s="41">
        <v>0</v>
      </c>
      <c r="AR108" s="41">
        <v>0</v>
      </c>
      <c r="AS108" s="41">
        <v>0</v>
      </c>
      <c r="AT108" s="41">
        <v>0</v>
      </c>
      <c r="AU108" s="41">
        <v>0</v>
      </c>
      <c r="AV108" s="41">
        <v>0</v>
      </c>
      <c r="AW108" s="41">
        <v>0</v>
      </c>
      <c r="AX108" s="41">
        <v>0</v>
      </c>
      <c r="AY108" s="41">
        <v>0</v>
      </c>
      <c r="AZ108" s="41">
        <v>0</v>
      </c>
      <c r="BA108" s="41">
        <v>0</v>
      </c>
      <c r="BB108" s="41">
        <v>0</v>
      </c>
      <c r="BC108" s="41">
        <v>1674729369</v>
      </c>
      <c r="BD108" s="41">
        <v>281249786</v>
      </c>
      <c r="BE108" s="41">
        <v>0</v>
      </c>
      <c r="BF108" s="41">
        <v>0</v>
      </c>
      <c r="BG108" s="41">
        <v>0</v>
      </c>
      <c r="BH108" s="41">
        <v>0</v>
      </c>
      <c r="BI108" s="41">
        <v>0</v>
      </c>
      <c r="BJ108" s="41">
        <v>0</v>
      </c>
      <c r="BK108" s="41">
        <v>0</v>
      </c>
      <c r="BL108" s="41">
        <v>0</v>
      </c>
      <c r="BM108" s="41">
        <v>5437425</v>
      </c>
      <c r="BN108" s="41">
        <v>12867870</v>
      </c>
      <c r="BO108" s="41">
        <v>0</v>
      </c>
      <c r="BP108" s="41">
        <v>0</v>
      </c>
      <c r="BQ108" s="41">
        <v>17727608</v>
      </c>
      <c r="BR108" s="41">
        <v>0</v>
      </c>
      <c r="BS108" s="42">
        <f>IFERROR(VLOOKUP(A108,'Trans 21-23'!$A$2:$J$229,5,0),0)</f>
        <v>350519044</v>
      </c>
      <c r="BT108" s="43"/>
      <c r="BU108" s="6">
        <f t="shared" si="0"/>
        <v>0</v>
      </c>
      <c r="BV108" s="6">
        <f t="shared" si="1"/>
        <v>0</v>
      </c>
      <c r="BW108" s="6">
        <f t="shared" si="2"/>
        <v>0</v>
      </c>
      <c r="BX108" s="6">
        <f t="shared" si="3"/>
        <v>0</v>
      </c>
      <c r="BY108" s="6">
        <f t="shared" si="4"/>
        <v>0</v>
      </c>
      <c r="BZ108" s="6">
        <f t="shared" si="5"/>
        <v>0</v>
      </c>
      <c r="CA108" s="6">
        <f t="shared" si="6"/>
        <v>11136213</v>
      </c>
      <c r="CB108" s="6">
        <f t="shared" si="7"/>
        <v>21153</v>
      </c>
      <c r="CC108" s="6">
        <f t="shared" si="8"/>
        <v>0</v>
      </c>
      <c r="CD108" s="6">
        <f t="shared" si="65"/>
        <v>0</v>
      </c>
      <c r="CE108" s="44">
        <f t="shared" si="10"/>
        <v>57</v>
      </c>
      <c r="CF108" s="27"/>
      <c r="CG108" s="28" t="str">
        <f t="shared" si="11"/>
        <v/>
      </c>
      <c r="CH108" s="28" t="str">
        <f t="shared" si="12"/>
        <v/>
      </c>
      <c r="CI108" s="28" t="str">
        <f t="shared" si="13"/>
        <v/>
      </c>
      <c r="CJ108" s="28" t="str">
        <f t="shared" si="14"/>
        <v/>
      </c>
      <c r="CK108" s="23" t="str">
        <f t="shared" si="15"/>
        <v/>
      </c>
      <c r="CL108" s="29" t="str">
        <f t="shared" si="16"/>
        <v/>
      </c>
      <c r="CM108" s="29" t="str">
        <f t="shared" si="66"/>
        <v/>
      </c>
      <c r="CN108" s="29" t="str">
        <f t="shared" si="18"/>
        <v/>
      </c>
      <c r="CO108" s="29" t="str">
        <f t="shared" si="19"/>
        <v/>
      </c>
      <c r="CP108" s="29" t="str">
        <f t="shared" si="20"/>
        <v/>
      </c>
      <c r="CQ108" s="29">
        <f t="shared" si="21"/>
        <v>0</v>
      </c>
      <c r="CR108" s="13"/>
      <c r="CS108" s="7" t="str">
        <f>VLOOKUP(A108,'Empresas 21-23'!$A$2:$M$228,13,0)</f>
        <v/>
      </c>
      <c r="CT108" s="30"/>
      <c r="CU108" s="6">
        <f t="shared" si="22"/>
        <v>350519044</v>
      </c>
      <c r="CV108" s="6">
        <f t="shared" si="23"/>
        <v>0</v>
      </c>
      <c r="CW108" s="6">
        <f t="shared" si="24"/>
        <v>281249786</v>
      </c>
      <c r="CX108" s="23">
        <f t="shared" si="63"/>
        <v>0.25154228901249714</v>
      </c>
      <c r="CY108" s="23">
        <f t="shared" si="64"/>
        <v>0</v>
      </c>
      <c r="CZ108" s="6">
        <f t="shared" si="25"/>
        <v>421265258.95471495</v>
      </c>
      <c r="DA108" s="6">
        <f t="shared" si="26"/>
        <v>0</v>
      </c>
      <c r="DB108" s="6">
        <f t="shared" si="27"/>
        <v>0</v>
      </c>
      <c r="DC108" s="6">
        <f t="shared" si="28"/>
        <v>5501305</v>
      </c>
      <c r="DD108" s="6">
        <f t="shared" si="29"/>
        <v>0</v>
      </c>
      <c r="DE108" s="6">
        <f t="shared" si="30"/>
        <v>11136213</v>
      </c>
      <c r="DF108" s="6">
        <f t="shared" si="31"/>
        <v>4341035.4010343459</v>
      </c>
      <c r="DG108" s="30"/>
      <c r="DH108" s="32" t="str">
        <f>VLOOKUP(A108,'T_med_comp-USA'!$A$7:$Q$233,17,0)</f>
        <v>-</v>
      </c>
      <c r="DI108" s="6" t="str">
        <f t="shared" si="32"/>
        <v/>
      </c>
      <c r="DJ108" s="32" t="str">
        <f>IF(DI108="","",VLOOKUP(DI108,'CPI USA'!$T:$U,2,FALSE))</f>
        <v/>
      </c>
      <c r="DK108" s="32" t="str">
        <f>IF(DI108="","",VLOOKUP(DI108,'PPI USA'!$S:$T,2,FALSE))</f>
        <v/>
      </c>
      <c r="DL108" s="32" t="str">
        <f>IF(DI108="","",VLOOKUP(DI108,'CPI USA'!$T:$V,3,FALSE))</f>
        <v/>
      </c>
      <c r="DM108" s="32" t="str">
        <f>IF(DI108="","",VLOOKUP(DI108,'CPI USA'!$T:$X,5,FALSE))</f>
        <v/>
      </c>
      <c r="DN108" s="32" t="str">
        <f t="shared" si="33"/>
        <v/>
      </c>
      <c r="DO108" s="32" t="str">
        <f t="shared" si="34"/>
        <v/>
      </c>
      <c r="DP108" s="32" t="str">
        <f t="shared" si="35"/>
        <v/>
      </c>
      <c r="DQ108" s="32" t="str">
        <f>IF(DP108="","",DP108*$DO$1/'CPI USA'!$U$508+(1-DP108)*AVERAGE($DO$1,$DQ$1)/AVERAGE('CPI USA'!$U$508,'PPI USA'!$T$514))</f>
        <v/>
      </c>
      <c r="DR108" s="6">
        <f t="shared" si="36"/>
        <v>0</v>
      </c>
      <c r="DS108" s="32" t="str">
        <f t="shared" si="37"/>
        <v/>
      </c>
      <c r="DT108" s="28" t="str">
        <f>IF(DS108="","",DS108*$DO$1/'CPI USA'!$U$508+(1-DS108)*AVERAGE($DO$1,$DQ$1)/AVERAGE('CPI USA'!$U$508,'PPI USA'!$T$514))</f>
        <v/>
      </c>
      <c r="DU108" s="6" t="str">
        <f t="shared" si="38"/>
        <v/>
      </c>
      <c r="DV108" s="6">
        <f t="shared" si="39"/>
        <v>0</v>
      </c>
      <c r="DW108" s="6">
        <f t="shared" si="40"/>
        <v>0</v>
      </c>
      <c r="DX108" s="16" t="str">
        <f t="shared" si="41"/>
        <v/>
      </c>
      <c r="DY108" s="28" t="str">
        <f>IF(DX108="","",DX108*$DO$1/'CPI USA'!$U$508+(1-DX108)*AVERAGE($DO$1,$DQ$1)/AVERAGE('CPI USA'!$U$508,'PPI USA'!$T$514))</f>
        <v/>
      </c>
      <c r="DZ108" s="30"/>
      <c r="EA108" s="45" t="str">
        <f t="shared" si="42"/>
        <v>C001252</v>
      </c>
      <c r="EB108" s="29" t="str">
        <f t="shared" si="43"/>
        <v/>
      </c>
      <c r="EC108" s="29" t="str">
        <f t="shared" si="44"/>
        <v/>
      </c>
      <c r="ED108" s="29" t="str">
        <f t="shared" si="45"/>
        <v/>
      </c>
      <c r="EE108" s="29" t="str">
        <f t="shared" si="46"/>
        <v/>
      </c>
      <c r="EF108" s="29" t="str">
        <f t="shared" si="47"/>
        <v/>
      </c>
      <c r="EG108" s="29" t="str">
        <f t="shared" si="48"/>
        <v/>
      </c>
      <c r="EH108" s="29" t="str">
        <f t="shared" si="49"/>
        <v/>
      </c>
      <c r="EI108" s="29" t="str">
        <f t="shared" si="50"/>
        <v/>
      </c>
      <c r="EJ108" s="29" t="str">
        <f t="shared" si="51"/>
        <v/>
      </c>
      <c r="EK108" s="29" t="str">
        <f t="shared" si="52"/>
        <v/>
      </c>
      <c r="EL108" s="29" t="str">
        <f>IF(CD108=1,VLOOKUP(EA108,'EIA 2021'!$A$2:$J$213,4,0)*EH108,"")</f>
        <v/>
      </c>
      <c r="EM108" s="29" t="str">
        <f>IF(CD108=1,VLOOKUP(EA108,'EIA 2021'!$A$2:$J$213,7,0)*EH108,"")</f>
        <v/>
      </c>
      <c r="EN108" s="29" t="str">
        <f>IF(CD108=1,VLOOKUP(EA108,'EIA 2021'!$A$2:$J$213,10,0),"")</f>
        <v/>
      </c>
      <c r="EO108" s="28" t="str">
        <f>IF(CD108=1,VLOOKUP(EA108,'EIA 2021'!$A$2:$Z$213,26,0),"")</f>
        <v/>
      </c>
      <c r="EP108" s="23" t="str">
        <f t="shared" si="53"/>
        <v/>
      </c>
      <c r="EQ108" s="32" t="str">
        <f t="shared" si="54"/>
        <v/>
      </c>
      <c r="ER108" s="32" t="str">
        <f t="shared" si="55"/>
        <v/>
      </c>
      <c r="ES108" s="6"/>
      <c r="ET108" s="32"/>
    </row>
    <row r="109" spans="1:150" ht="15.75" customHeight="1">
      <c r="A109" s="7" t="s">
        <v>529</v>
      </c>
      <c r="B109" s="7" t="s">
        <v>530</v>
      </c>
      <c r="C109" s="32" t="s">
        <v>531</v>
      </c>
      <c r="D109" s="40">
        <v>0</v>
      </c>
      <c r="E109" s="40">
        <v>0</v>
      </c>
      <c r="F109" s="40">
        <v>0</v>
      </c>
      <c r="G109" s="40">
        <v>713967881</v>
      </c>
      <c r="H109" s="40">
        <v>714916277</v>
      </c>
      <c r="I109" s="40">
        <v>20748084</v>
      </c>
      <c r="J109" s="40">
        <v>9493745</v>
      </c>
      <c r="K109" s="40">
        <v>5579108</v>
      </c>
      <c r="L109" s="40">
        <v>13011804</v>
      </c>
      <c r="M109" s="40">
        <v>8693083</v>
      </c>
      <c r="N109" s="40">
        <v>1321350</v>
      </c>
      <c r="O109" s="40">
        <v>1589920</v>
      </c>
      <c r="P109" s="40">
        <v>2214298</v>
      </c>
      <c r="Q109" s="40">
        <v>478226</v>
      </c>
      <c r="R109" s="40">
        <v>43494</v>
      </c>
      <c r="S109" s="40">
        <v>2556179</v>
      </c>
      <c r="T109" s="40">
        <v>85997670</v>
      </c>
      <c r="U109" s="40">
        <v>3613367</v>
      </c>
      <c r="V109" s="40">
        <v>1560580</v>
      </c>
      <c r="W109" s="40">
        <v>12104369</v>
      </c>
      <c r="X109" s="40">
        <f>IFERROR(VLOOKUP(A109,'Trans 21-23'!$A$2:$J$229,6,0),0)</f>
        <v>21895053</v>
      </c>
      <c r="Y109" s="41">
        <v>3229523</v>
      </c>
      <c r="Z109" s="41">
        <v>1750536</v>
      </c>
      <c r="AA109" s="41">
        <v>94878180</v>
      </c>
      <c r="AB109" s="41">
        <v>306913945</v>
      </c>
      <c r="AC109" s="41">
        <v>654</v>
      </c>
      <c r="AD109" s="41">
        <v>177105891</v>
      </c>
      <c r="AE109" s="41">
        <v>0</v>
      </c>
      <c r="AF109" s="41">
        <v>2024009599</v>
      </c>
      <c r="AG109" s="41">
        <v>1455019</v>
      </c>
      <c r="AH109" s="41">
        <v>1814267</v>
      </c>
      <c r="AI109" s="41">
        <v>26068435</v>
      </c>
      <c r="AJ109" s="41">
        <v>26287</v>
      </c>
      <c r="AK109" s="41">
        <v>0</v>
      </c>
      <c r="AL109" s="41">
        <v>8243191</v>
      </c>
      <c r="AM109" s="41">
        <v>12788671</v>
      </c>
      <c r="AN109" s="41">
        <v>1602570</v>
      </c>
      <c r="AO109" s="41">
        <v>92275</v>
      </c>
      <c r="AP109" s="41">
        <v>0</v>
      </c>
      <c r="AQ109" s="41">
        <v>22726707</v>
      </c>
      <c r="AR109" s="41">
        <v>1501174</v>
      </c>
      <c r="AS109" s="41">
        <v>24227881</v>
      </c>
      <c r="AT109" s="41">
        <v>0</v>
      </c>
      <c r="AU109" s="41">
        <v>4519</v>
      </c>
      <c r="AV109" s="41">
        <v>0</v>
      </c>
      <c r="AW109" s="41">
        <v>1093030120</v>
      </c>
      <c r="AX109" s="41">
        <v>863300865</v>
      </c>
      <c r="AY109" s="41">
        <v>1932997151</v>
      </c>
      <c r="AZ109" s="41">
        <v>330389511</v>
      </c>
      <c r="BA109" s="41">
        <v>35270922</v>
      </c>
      <c r="BB109" s="41">
        <v>7400690636</v>
      </c>
      <c r="BC109" s="41">
        <v>0</v>
      </c>
      <c r="BD109" s="41">
        <v>0</v>
      </c>
      <c r="BE109" s="41">
        <v>0</v>
      </c>
      <c r="BF109" s="41">
        <v>0</v>
      </c>
      <c r="BG109" s="41">
        <v>0</v>
      </c>
      <c r="BH109" s="41">
        <v>75773148</v>
      </c>
      <c r="BI109" s="41">
        <v>24610740</v>
      </c>
      <c r="BJ109" s="41">
        <v>11461393</v>
      </c>
      <c r="BK109" s="41">
        <v>0</v>
      </c>
      <c r="BL109" s="41">
        <v>0</v>
      </c>
      <c r="BM109" s="41">
        <v>60339892</v>
      </c>
      <c r="BN109" s="41">
        <v>190566256</v>
      </c>
      <c r="BO109" s="41">
        <v>0</v>
      </c>
      <c r="BP109" s="41">
        <v>35774690</v>
      </c>
      <c r="BQ109" s="41">
        <v>438707642</v>
      </c>
      <c r="BR109" s="41">
        <v>0</v>
      </c>
      <c r="BS109" s="42">
        <f>IFERROR(VLOOKUP(A109,'Trans 21-23'!$A$2:$J$229,5,0),0)</f>
        <v>1395056959</v>
      </c>
      <c r="BT109" s="43"/>
      <c r="BU109" s="6">
        <f t="shared" si="0"/>
        <v>7400690636</v>
      </c>
      <c r="BV109" s="6">
        <f t="shared" si="1"/>
        <v>4519</v>
      </c>
      <c r="BW109" s="6">
        <f t="shared" si="2"/>
        <v>1455019</v>
      </c>
      <c r="BX109" s="6">
        <f t="shared" si="3"/>
        <v>169005277</v>
      </c>
      <c r="BY109" s="6">
        <f t="shared" si="4"/>
        <v>406772838</v>
      </c>
      <c r="BZ109" s="6">
        <f t="shared" si="5"/>
        <v>330389511</v>
      </c>
      <c r="CA109" s="6">
        <f t="shared" si="6"/>
        <v>177105891</v>
      </c>
      <c r="CB109" s="6">
        <f t="shared" si="7"/>
        <v>1814267</v>
      </c>
      <c r="CC109" s="6">
        <f t="shared" si="8"/>
        <v>22726707</v>
      </c>
      <c r="CD109" s="6">
        <f t="shared" si="65"/>
        <v>1</v>
      </c>
      <c r="CE109" s="44">
        <f t="shared" si="10"/>
        <v>17</v>
      </c>
      <c r="CF109" s="27"/>
      <c r="CG109" s="28">
        <f t="shared" si="11"/>
        <v>1637.683256472671</v>
      </c>
      <c r="CH109" s="28">
        <f t="shared" si="12"/>
        <v>3.1058013675422793</v>
      </c>
      <c r="CI109" s="28">
        <f t="shared" si="13"/>
        <v>116.15331277460982</v>
      </c>
      <c r="CJ109" s="28">
        <f t="shared" si="14"/>
        <v>227.06886370555986</v>
      </c>
      <c r="CK109" s="23">
        <f t="shared" si="15"/>
        <v>7.9829735121766651E-2</v>
      </c>
      <c r="CL109" s="29" t="str">
        <f t="shared" si="16"/>
        <v/>
      </c>
      <c r="CM109" s="29" t="str">
        <f t="shared" si="66"/>
        <v/>
      </c>
      <c r="CN109" s="29" t="str">
        <f t="shared" si="18"/>
        <v/>
      </c>
      <c r="CO109" s="29" t="str">
        <f t="shared" si="19"/>
        <v/>
      </c>
      <c r="CP109" s="29" t="str">
        <f t="shared" si="20"/>
        <v/>
      </c>
      <c r="CQ109" s="29">
        <f t="shared" si="21"/>
        <v>0</v>
      </c>
      <c r="CR109" s="13"/>
      <c r="CS109" s="7" t="str">
        <f>VLOOKUP(A109,'Empresas 21-23'!$A$2:$M$228,13,0)</f>
        <v/>
      </c>
      <c r="CT109" s="30"/>
      <c r="CU109" s="6">
        <f t="shared" si="22"/>
        <v>6752308352.3999996</v>
      </c>
      <c r="CV109" s="6">
        <f t="shared" si="23"/>
        <v>330389511</v>
      </c>
      <c r="CW109" s="6">
        <f t="shared" si="24"/>
        <v>0</v>
      </c>
      <c r="CX109" s="23" t="str">
        <f>IFERROR(CU109/(BC109-BD109),"")</f>
        <v/>
      </c>
      <c r="CY109" s="23" t="str">
        <f>IFERROR(CV109/(BC109-BD109),"")</f>
        <v/>
      </c>
      <c r="CZ109" s="6" t="e">
        <f t="shared" si="25"/>
        <v>#VALUE!</v>
      </c>
      <c r="DA109" s="6" t="e">
        <f t="shared" si="26"/>
        <v>#VALUE!</v>
      </c>
      <c r="DB109" s="6">
        <f t="shared" si="27"/>
        <v>169005277</v>
      </c>
      <c r="DC109" s="6">
        <f t="shared" si="28"/>
        <v>190900330</v>
      </c>
      <c r="DD109" s="6">
        <f t="shared" si="29"/>
        <v>406772838</v>
      </c>
      <c r="DE109" s="6">
        <f t="shared" si="30"/>
        <v>177105891</v>
      </c>
      <c r="DF109" s="6">
        <f t="shared" si="31"/>
        <v>93509376.558998808</v>
      </c>
      <c r="DG109" s="30"/>
      <c r="DH109" s="32" t="str">
        <f>VLOOKUP(A109,'T_med_comp-USA'!$A$7:$Q$233,17,0)</f>
        <v>-</v>
      </c>
      <c r="DI109" s="6" t="str">
        <f t="shared" si="32"/>
        <v/>
      </c>
      <c r="DJ109" s="32" t="str">
        <f>IF(DI109="","",VLOOKUP(DI109,'CPI USA'!$T:$U,2,FALSE))</f>
        <v/>
      </c>
      <c r="DK109" s="32" t="str">
        <f>IF(DI109="","",VLOOKUP(DI109,'PPI USA'!$S:$T,2,FALSE))</f>
        <v/>
      </c>
      <c r="DL109" s="32" t="str">
        <f>IF(DI109="","",VLOOKUP(DI109,'CPI USA'!$T:$V,3,FALSE))</f>
        <v/>
      </c>
      <c r="DM109" s="32" t="str">
        <f>IF(DI109="","",VLOOKUP(DI109,'CPI USA'!$T:$X,5,FALSE))</f>
        <v/>
      </c>
      <c r="DN109" s="32" t="str">
        <f t="shared" si="33"/>
        <v/>
      </c>
      <c r="DO109" s="32" t="str">
        <f t="shared" si="34"/>
        <v/>
      </c>
      <c r="DP109" s="32">
        <f t="shared" si="35"/>
        <v>0.44834782289076097</v>
      </c>
      <c r="DQ109" s="32">
        <f>IF(DP109="","",DP109*$DO$1/'CPI USA'!$U$508+(1-DP109)*AVERAGE($DO$1,$DQ$1)/AVERAGE('CPI USA'!$U$508,'PPI USA'!$T$514))</f>
        <v>1.1594807949868176</v>
      </c>
      <c r="DR109" s="6">
        <f t="shared" si="36"/>
        <v>36072133</v>
      </c>
      <c r="DS109" s="32">
        <f t="shared" si="37"/>
        <v>0.2</v>
      </c>
      <c r="DT109" s="28">
        <f>IF(DS109="","",DS109*$DO$1/'CPI USA'!$U$508+(1-DS109)*AVERAGE($DO$1,$DQ$1)/AVERAGE('CPI USA'!$U$508,'PPI USA'!$T$514))</f>
        <v>1.1741595760647974</v>
      </c>
      <c r="DU109" s="6">
        <f t="shared" si="38"/>
        <v>60339892</v>
      </c>
      <c r="DV109" s="6">
        <f t="shared" si="39"/>
        <v>5357320.4182453658</v>
      </c>
      <c r="DW109" s="6">
        <f t="shared" si="40"/>
        <v>38558364.623773389</v>
      </c>
      <c r="DX109" s="16" t="e">
        <f t="shared" si="41"/>
        <v>#VALUE!</v>
      </c>
      <c r="DY109" s="28" t="e">
        <f>IF(DX109="","",DX109*$DO$1/'CPI USA'!$U$508+(1-DX109)*AVERAGE($DO$1,$DQ$1)/AVERAGE('CPI USA'!$U$508,'PPI USA'!$T$514))</f>
        <v>#VALUE!</v>
      </c>
      <c r="DZ109" s="30"/>
      <c r="EA109" s="45" t="str">
        <f t="shared" si="42"/>
        <v>C001257</v>
      </c>
      <c r="EB109" s="29" t="e">
        <f t="shared" si="43"/>
        <v>#VALUE!</v>
      </c>
      <c r="EC109" s="29" t="e">
        <f t="shared" si="44"/>
        <v>#VALUE!</v>
      </c>
      <c r="ED109" s="29">
        <f t="shared" si="45"/>
        <v>221345266.39164582</v>
      </c>
      <c r="EE109" s="29">
        <f t="shared" si="46"/>
        <v>477616223.02075452</v>
      </c>
      <c r="EF109" s="29" t="e">
        <f t="shared" si="47"/>
        <v>#VALUE!</v>
      </c>
      <c r="EG109" s="29">
        <f t="shared" si="48"/>
        <v>4519</v>
      </c>
      <c r="EH109" s="29">
        <f t="shared" si="49"/>
        <v>1455019</v>
      </c>
      <c r="EI109" s="29">
        <f t="shared" si="50"/>
        <v>1814267</v>
      </c>
      <c r="EJ109" s="29">
        <f t="shared" si="51"/>
        <v>22726707</v>
      </c>
      <c r="EK109" s="29">
        <f t="shared" si="52"/>
        <v>24518113.482233502</v>
      </c>
      <c r="EL109" s="29">
        <f>IF(CD109=1,VLOOKUP(EA109,'EIA 2021'!$A$2:$J$213,4,0)*EH109,"")</f>
        <v>110344275.90300001</v>
      </c>
      <c r="EM109" s="29">
        <f>IF(CD109=1,VLOOKUP(EA109,'EIA 2021'!$A$2:$J$213,7,0)*EH109,"")</f>
        <v>1597610.8620000002</v>
      </c>
      <c r="EN109" s="29">
        <f>IF(CD109=1,VLOOKUP(EA109,'EIA 2021'!$A$2:$J$213,10,0),"")</f>
        <v>1522416</v>
      </c>
      <c r="EO109" s="28">
        <f>IF(CD109=1,VLOOKUP(EA109,'EIA 2021'!$A$2:$Z$213,26,0),"")</f>
        <v>0</v>
      </c>
      <c r="EP109" s="23">
        <f t="shared" si="53"/>
        <v>7.3064613373765672E-2</v>
      </c>
      <c r="EQ109" s="32">
        <f t="shared" si="54"/>
        <v>22860.517766497564</v>
      </c>
      <c r="ER109" s="32">
        <f t="shared" si="55"/>
        <v>1791406.4822335024</v>
      </c>
      <c r="ES109" s="6"/>
      <c r="ET109" s="32"/>
    </row>
    <row r="110" spans="1:150" ht="15.75" customHeight="1">
      <c r="A110" s="7" t="s">
        <v>532</v>
      </c>
      <c r="B110" s="7" t="s">
        <v>533</v>
      </c>
      <c r="C110" s="32" t="s">
        <v>534</v>
      </c>
      <c r="D110" s="40">
        <v>42221797</v>
      </c>
      <c r="E110" s="40">
        <v>0</v>
      </c>
      <c r="F110" s="40">
        <v>17434621</v>
      </c>
      <c r="G110" s="40">
        <v>65408578</v>
      </c>
      <c r="H110" s="40">
        <v>65877558</v>
      </c>
      <c r="I110" s="40">
        <v>268762</v>
      </c>
      <c r="J110" s="40">
        <v>315956</v>
      </c>
      <c r="K110" s="40">
        <v>247976</v>
      </c>
      <c r="L110" s="40">
        <v>318962</v>
      </c>
      <c r="M110" s="40">
        <v>2276233</v>
      </c>
      <c r="N110" s="40">
        <v>14241</v>
      </c>
      <c r="O110" s="40">
        <v>3798371</v>
      </c>
      <c r="P110" s="40">
        <v>188397</v>
      </c>
      <c r="Q110" s="40">
        <v>1047513</v>
      </c>
      <c r="R110" s="40">
        <v>0</v>
      </c>
      <c r="S110" s="40">
        <v>752558</v>
      </c>
      <c r="T110" s="40">
        <v>4604634</v>
      </c>
      <c r="U110" s="40">
        <v>875121</v>
      </c>
      <c r="V110" s="40">
        <v>158087</v>
      </c>
      <c r="W110" s="40">
        <v>157814</v>
      </c>
      <c r="X110" s="40">
        <f>IFERROR(VLOOKUP(A110,'Trans 21-23'!$A$2:$J$229,6,0),0)</f>
        <v>2608843</v>
      </c>
      <c r="Y110" s="41">
        <v>1029700</v>
      </c>
      <c r="Z110" s="41">
        <v>869209</v>
      </c>
      <c r="AA110" s="41">
        <v>12279361</v>
      </c>
      <c r="AB110" s="41">
        <v>12792542</v>
      </c>
      <c r="AC110" s="41">
        <v>334680</v>
      </c>
      <c r="AD110" s="41">
        <v>50638019</v>
      </c>
      <c r="AE110" s="41">
        <v>0</v>
      </c>
      <c r="AF110" s="41">
        <v>285253966</v>
      </c>
      <c r="AG110" s="41">
        <v>134424</v>
      </c>
      <c r="AH110" s="41">
        <v>32955</v>
      </c>
      <c r="AI110" s="41">
        <v>5232407</v>
      </c>
      <c r="AJ110" s="41">
        <v>15360</v>
      </c>
      <c r="AK110" s="41">
        <v>0</v>
      </c>
      <c r="AL110" s="41">
        <v>1241949</v>
      </c>
      <c r="AM110" s="41">
        <v>947183</v>
      </c>
      <c r="AN110" s="41">
        <v>2542162</v>
      </c>
      <c r="AO110" s="41">
        <v>16212</v>
      </c>
      <c r="AP110" s="41">
        <v>42373</v>
      </c>
      <c r="AQ110" s="41">
        <v>4789879</v>
      </c>
      <c r="AR110" s="41">
        <v>460123</v>
      </c>
      <c r="AS110" s="41">
        <v>5250002</v>
      </c>
      <c r="AT110" s="41">
        <v>0</v>
      </c>
      <c r="AU110" s="41">
        <v>905</v>
      </c>
      <c r="AV110" s="41">
        <v>0</v>
      </c>
      <c r="AW110" s="41">
        <v>58583120</v>
      </c>
      <c r="AX110" s="41">
        <v>0</v>
      </c>
      <c r="AY110" s="41">
        <v>101015177</v>
      </c>
      <c r="AZ110" s="41">
        <v>37606242</v>
      </c>
      <c r="BA110" s="41">
        <v>10440649</v>
      </c>
      <c r="BB110" s="41">
        <v>575352333</v>
      </c>
      <c r="BC110" s="41">
        <v>2764348564</v>
      </c>
      <c r="BD110" s="41">
        <v>104559904</v>
      </c>
      <c r="BE110" s="41">
        <v>245092169</v>
      </c>
      <c r="BF110" s="41">
        <v>12971040</v>
      </c>
      <c r="BG110" s="41">
        <v>0</v>
      </c>
      <c r="BH110" s="41">
        <v>11814616</v>
      </c>
      <c r="BI110" s="41">
        <v>7396018</v>
      </c>
      <c r="BJ110" s="41">
        <v>1705659</v>
      </c>
      <c r="BK110" s="41">
        <v>191663</v>
      </c>
      <c r="BL110" s="41">
        <v>0</v>
      </c>
      <c r="BM110" s="41">
        <v>28245608</v>
      </c>
      <c r="BN110" s="41">
        <v>68950823</v>
      </c>
      <c r="BO110" s="41">
        <v>0</v>
      </c>
      <c r="BP110" s="41">
        <v>1419476</v>
      </c>
      <c r="BQ110" s="41">
        <v>79050633</v>
      </c>
      <c r="BR110" s="41">
        <v>0</v>
      </c>
      <c r="BS110" s="42">
        <f>IFERROR(VLOOKUP(A110,'Trans 21-23'!$A$2:$J$229,5,0),0)</f>
        <v>166224042</v>
      </c>
      <c r="BT110" s="43"/>
      <c r="BU110" s="6">
        <f t="shared" si="0"/>
        <v>575352333</v>
      </c>
      <c r="BV110" s="6">
        <f t="shared" si="1"/>
        <v>905</v>
      </c>
      <c r="BW110" s="6">
        <f t="shared" si="2"/>
        <v>134424</v>
      </c>
      <c r="BX110" s="6">
        <f t="shared" si="3"/>
        <v>15024625</v>
      </c>
      <c r="BY110" s="6">
        <f t="shared" si="4"/>
        <v>27305492</v>
      </c>
      <c r="BZ110" s="6">
        <f t="shared" si="5"/>
        <v>37606242</v>
      </c>
      <c r="CA110" s="6">
        <f t="shared" si="6"/>
        <v>50638019</v>
      </c>
      <c r="CB110" s="6">
        <f t="shared" si="7"/>
        <v>32955</v>
      </c>
      <c r="CC110" s="6">
        <f t="shared" si="8"/>
        <v>4789879</v>
      </c>
      <c r="CD110" s="6">
        <f t="shared" si="65"/>
        <v>1</v>
      </c>
      <c r="CE110" s="44">
        <f t="shared" si="10"/>
        <v>11</v>
      </c>
      <c r="CF110" s="27"/>
      <c r="CG110" s="28">
        <f t="shared" si="11"/>
        <v>635.7484342541436</v>
      </c>
      <c r="CH110" s="28">
        <f t="shared" si="12"/>
        <v>6.732428732964352</v>
      </c>
      <c r="CI110" s="28">
        <f t="shared" si="13"/>
        <v>111.77040558233649</v>
      </c>
      <c r="CJ110" s="28">
        <f t="shared" si="14"/>
        <v>279.75839135868597</v>
      </c>
      <c r="CK110" s="23">
        <f t="shared" si="15"/>
        <v>6.8801320450892394E-3</v>
      </c>
      <c r="CL110" s="29" t="str">
        <f t="shared" si="16"/>
        <v/>
      </c>
      <c r="CM110" s="29" t="str">
        <f t="shared" si="66"/>
        <v/>
      </c>
      <c r="CN110" s="29" t="str">
        <f t="shared" si="18"/>
        <v/>
      </c>
      <c r="CO110" s="29" t="str">
        <f t="shared" si="19"/>
        <v/>
      </c>
      <c r="CP110" s="29" t="str">
        <f t="shared" si="20"/>
        <v/>
      </c>
      <c r="CQ110" s="29">
        <f t="shared" si="21"/>
        <v>0</v>
      </c>
      <c r="CR110" s="13"/>
      <c r="CS110" s="7">
        <f>VLOOKUP(A110,'Empresas 21-23'!$A$2:$M$228,13,0)</f>
        <v>1</v>
      </c>
      <c r="CT110" s="30"/>
      <c r="CU110" s="6">
        <f t="shared" si="22"/>
        <v>632920377.79999995</v>
      </c>
      <c r="CV110" s="6">
        <f t="shared" si="23"/>
        <v>37606242</v>
      </c>
      <c r="CW110" s="6">
        <f t="shared" si="24"/>
        <v>104559904</v>
      </c>
      <c r="CX110" s="23">
        <f t="shared" ref="CX110:CX125" si="67">CU110/(BC110-BD110)</f>
        <v>0.23795889775693679</v>
      </c>
      <c r="CY110" s="23">
        <f t="shared" ref="CY110:CY125" si="68">CV110/(BC110-BD110)</f>
        <v>1.4138808306672005E-2</v>
      </c>
      <c r="CZ110" s="6">
        <f t="shared" si="25"/>
        <v>657801337.3054111</v>
      </c>
      <c r="DA110" s="6">
        <f t="shared" si="26"/>
        <v>39084594.439220026</v>
      </c>
      <c r="DB110" s="6">
        <f t="shared" si="27"/>
        <v>15024625</v>
      </c>
      <c r="DC110" s="6">
        <f t="shared" si="28"/>
        <v>17633468</v>
      </c>
      <c r="DD110" s="6">
        <f t="shared" si="29"/>
        <v>27305492</v>
      </c>
      <c r="DE110" s="6">
        <f t="shared" si="30"/>
        <v>50638019</v>
      </c>
      <c r="DF110" s="6">
        <f t="shared" si="31"/>
        <v>20861558.41757058</v>
      </c>
      <c r="DG110" s="30"/>
      <c r="DH110" s="32">
        <f>VLOOKUP(A110,'T_med_comp-USA'!$A$7:$Q$233,17,0)</f>
        <v>18.372521720836655</v>
      </c>
      <c r="DI110" s="6" t="str">
        <f t="shared" si="32"/>
        <v>8_2003</v>
      </c>
      <c r="DJ110" s="32">
        <f>IF(DI110="","",VLOOKUP(DI110,'CPI USA'!$T:$U,2,FALSE))</f>
        <v>184</v>
      </c>
      <c r="DK110" s="32">
        <f>IF(DI110="","",VLOOKUP(DI110,'PPI USA'!$S:$T,2,FALSE))</f>
        <v>122.6</v>
      </c>
      <c r="DL110" s="32">
        <f>IF(DI110="","",VLOOKUP(DI110,'CPI USA'!$T:$V,3,FALSE))</f>
        <v>0.67966838867333434</v>
      </c>
      <c r="DM110" s="32">
        <f>IF(DI110="","",VLOOKUP(DI110,'CPI USA'!$T:$X,5,FALSE))</f>
        <v>0.509186952863521</v>
      </c>
      <c r="DN110" s="32">
        <f t="shared" si="33"/>
        <v>1.7662899637984153</v>
      </c>
      <c r="DO110" s="32">
        <f t="shared" si="34"/>
        <v>1.7975926193363585</v>
      </c>
      <c r="DP110" s="32">
        <f t="shared" si="35"/>
        <v>0.78635014185046215</v>
      </c>
      <c r="DQ110" s="32">
        <f>IF(DP110="","",DP110*$DO$1/'CPI USA'!$U$508+(1-DP110)*AVERAGE($DO$1,$DQ$1)/AVERAGE('CPI USA'!$U$508,'PPI USA'!$T$514))</f>
        <v>1.1395029188528221</v>
      </c>
      <c r="DR110" s="6">
        <f t="shared" si="36"/>
        <v>9293340</v>
      </c>
      <c r="DS110" s="32">
        <f t="shared" si="37"/>
        <v>0.34034691629068614</v>
      </c>
      <c r="DT110" s="28">
        <f>IF(DS110="","",DS110*$DO$1/'CPI USA'!$U$508+(1-DS110)*AVERAGE($DO$1,$DQ$1)/AVERAGE('CPI USA'!$U$508,'PPI USA'!$T$514))</f>
        <v>1.1658642681566354</v>
      </c>
      <c r="DU110" s="6">
        <f t="shared" si="38"/>
        <v>28245608</v>
      </c>
      <c r="DV110" s="6">
        <f t="shared" si="39"/>
        <v>516467.41090575268</v>
      </c>
      <c r="DW110" s="6">
        <f t="shared" si="40"/>
        <v>8804951.0626157504</v>
      </c>
      <c r="DX110" s="16">
        <f t="shared" si="41"/>
        <v>0.4220658345063909</v>
      </c>
      <c r="DY110" s="28">
        <f>IF(DX110="","",DX110*$DO$1/'CPI USA'!$U$508+(1-DX110)*AVERAGE($DO$1,$DQ$1)/AVERAGE('CPI USA'!$U$508,'PPI USA'!$T$514))</f>
        <v>1.1610342112773151</v>
      </c>
      <c r="DZ110" s="30"/>
      <c r="EA110" s="45" t="str">
        <f t="shared" si="42"/>
        <v>C001288</v>
      </c>
      <c r="EB110" s="29">
        <f t="shared" si="43"/>
        <v>1161867900.2557237</v>
      </c>
      <c r="EC110" s="29">
        <f t="shared" si="44"/>
        <v>70258178.493696794</v>
      </c>
      <c r="ED110" s="29">
        <f t="shared" si="45"/>
        <v>20093388.255497836</v>
      </c>
      <c r="EE110" s="29">
        <f t="shared" si="46"/>
        <v>31834497.447236862</v>
      </c>
      <c r="EF110" s="29">
        <f t="shared" si="47"/>
        <v>24220983.023359694</v>
      </c>
      <c r="EG110" s="29">
        <f t="shared" si="48"/>
        <v>905</v>
      </c>
      <c r="EH110" s="29">
        <f t="shared" si="49"/>
        <v>134424</v>
      </c>
      <c r="EI110" s="29">
        <f t="shared" si="50"/>
        <v>32955</v>
      </c>
      <c r="EJ110" s="29">
        <f t="shared" si="51"/>
        <v>4789879</v>
      </c>
      <c r="EK110" s="29">
        <f t="shared" si="52"/>
        <v>4815827.0507614212</v>
      </c>
      <c r="EL110" s="29">
        <f>IF(CD110=1,VLOOKUP(EA110,'EIA 2021'!$A$2:$J$213,4,0)*EH110,"")</f>
        <v>8842410.7200000007</v>
      </c>
      <c r="EM110" s="29">
        <f>IF(CD110=1,VLOOKUP(EA110,'EIA 2021'!$A$2:$J$213,7,0)*EH110,"")</f>
        <v>139800.95999999999</v>
      </c>
      <c r="EN110" s="29">
        <f>IF(CD110=1,VLOOKUP(EA110,'EIA 2021'!$A$2:$J$213,10,0),"")</f>
        <v>749</v>
      </c>
      <c r="EO110" s="28">
        <f>IF(CD110=1,VLOOKUP(EA110,'EIA 2021'!$A$2:$Z$213,26,0),"")</f>
        <v>0</v>
      </c>
      <c r="EP110" s="23">
        <f t="shared" si="53"/>
        <v>5.3880777876603213E-3</v>
      </c>
      <c r="EQ110" s="32">
        <f t="shared" si="54"/>
        <v>7006.9492385786725</v>
      </c>
      <c r="ER110" s="32">
        <f t="shared" si="55"/>
        <v>25948.050761421327</v>
      </c>
      <c r="ES110" s="6"/>
      <c r="ET110" s="32"/>
    </row>
    <row r="111" spans="1:150" ht="15.75" customHeight="1">
      <c r="A111" s="7" t="s">
        <v>535</v>
      </c>
      <c r="B111" s="7" t="s">
        <v>536</v>
      </c>
      <c r="C111" s="32" t="s">
        <v>537</v>
      </c>
      <c r="D111" s="40">
        <v>0</v>
      </c>
      <c r="E111" s="40">
        <v>0</v>
      </c>
      <c r="F111" s="40">
        <v>199312949</v>
      </c>
      <c r="G111" s="40">
        <v>335008569</v>
      </c>
      <c r="H111" s="40">
        <v>338855705</v>
      </c>
      <c r="I111" s="40">
        <v>0</v>
      </c>
      <c r="J111" s="40">
        <v>652439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1392547</v>
      </c>
      <c r="T111" s="40">
        <v>0</v>
      </c>
      <c r="U111" s="40">
        <v>0</v>
      </c>
      <c r="V111" s="40">
        <v>0</v>
      </c>
      <c r="W111" s="40">
        <v>0</v>
      </c>
      <c r="X111" s="40">
        <f>IFERROR(VLOOKUP(A111,'Trans 21-23'!$A$2:$J$229,6,0),0)</f>
        <v>190299</v>
      </c>
      <c r="Y111" s="41">
        <v>0</v>
      </c>
      <c r="Z111" s="41">
        <v>0</v>
      </c>
      <c r="AA111" s="41">
        <v>1029481</v>
      </c>
      <c r="AB111" s="41">
        <v>0</v>
      </c>
      <c r="AC111" s="41">
        <v>0</v>
      </c>
      <c r="AD111" s="41">
        <v>31042400</v>
      </c>
      <c r="AE111" s="41">
        <v>0</v>
      </c>
      <c r="AF111" s="41">
        <v>678276451</v>
      </c>
      <c r="AG111" s="41">
        <v>16</v>
      </c>
      <c r="AH111" s="41">
        <v>20003</v>
      </c>
      <c r="AI111" s="41">
        <v>8328872</v>
      </c>
      <c r="AJ111" s="41">
        <v>0</v>
      </c>
      <c r="AK111" s="41">
        <v>0</v>
      </c>
      <c r="AL111" s="41">
        <v>0</v>
      </c>
      <c r="AM111" s="41">
        <v>0</v>
      </c>
      <c r="AN111" s="41">
        <v>0</v>
      </c>
      <c r="AO111" s="41">
        <v>0</v>
      </c>
      <c r="AP111" s="41">
        <v>0</v>
      </c>
      <c r="AQ111" s="41">
        <v>0</v>
      </c>
      <c r="AR111" s="41">
        <v>8308870</v>
      </c>
      <c r="AS111" s="41">
        <v>8308870</v>
      </c>
      <c r="AT111" s="41">
        <v>0</v>
      </c>
      <c r="AU111" s="41">
        <v>1654</v>
      </c>
      <c r="AV111" s="41">
        <v>0</v>
      </c>
      <c r="AW111" s="41">
        <v>60496</v>
      </c>
      <c r="AX111" s="41">
        <v>0</v>
      </c>
      <c r="AY111" s="41">
        <v>370</v>
      </c>
      <c r="AZ111" s="41">
        <v>0</v>
      </c>
      <c r="BA111" s="41">
        <v>0</v>
      </c>
      <c r="BB111" s="41">
        <v>101896456</v>
      </c>
      <c r="BC111" s="41">
        <v>1087698727</v>
      </c>
      <c r="BD111" s="41">
        <v>25091729</v>
      </c>
      <c r="BE111" s="41">
        <v>31630496</v>
      </c>
      <c r="BF111" s="41">
        <v>2490683</v>
      </c>
      <c r="BG111" s="41">
        <v>0</v>
      </c>
      <c r="BH111" s="41">
        <v>0</v>
      </c>
      <c r="BI111" s="41">
        <v>0</v>
      </c>
      <c r="BJ111" s="41">
        <v>0</v>
      </c>
      <c r="BK111" s="41">
        <v>0</v>
      </c>
      <c r="BL111" s="41">
        <v>0</v>
      </c>
      <c r="BM111" s="41">
        <v>6936512</v>
      </c>
      <c r="BN111" s="41">
        <v>12565134</v>
      </c>
      <c r="BO111" s="41">
        <v>0</v>
      </c>
      <c r="BP111" s="41">
        <v>0</v>
      </c>
      <c r="BQ111" s="41">
        <v>12565134</v>
      </c>
      <c r="BR111" s="41">
        <v>0</v>
      </c>
      <c r="BS111" s="42">
        <f>IFERROR(VLOOKUP(A111,'Trans 21-23'!$A$2:$J$229,5,0),0)</f>
        <v>12125031</v>
      </c>
      <c r="BT111" s="43"/>
      <c r="BU111" s="6">
        <f t="shared" si="0"/>
        <v>101896456</v>
      </c>
      <c r="BV111" s="6">
        <f t="shared" si="1"/>
        <v>1654</v>
      </c>
      <c r="BW111" s="6">
        <f t="shared" si="2"/>
        <v>16</v>
      </c>
      <c r="BX111" s="6">
        <f t="shared" si="3"/>
        <v>2044986</v>
      </c>
      <c r="BY111" s="6">
        <f t="shared" si="4"/>
        <v>1029481</v>
      </c>
      <c r="BZ111" s="6">
        <f t="shared" si="5"/>
        <v>0</v>
      </c>
      <c r="CA111" s="6">
        <f t="shared" si="6"/>
        <v>31042400</v>
      </c>
      <c r="CB111" s="6">
        <f t="shared" si="7"/>
        <v>20003</v>
      </c>
      <c r="CC111" s="6">
        <f t="shared" si="8"/>
        <v>0</v>
      </c>
      <c r="CD111" s="6">
        <f t="shared" si="65"/>
        <v>0</v>
      </c>
      <c r="CE111" s="44">
        <f t="shared" si="10"/>
        <v>42</v>
      </c>
      <c r="CF111" s="27"/>
      <c r="CG111" s="28" t="str">
        <f t="shared" si="11"/>
        <v/>
      </c>
      <c r="CH111" s="28" t="str">
        <f t="shared" si="12"/>
        <v/>
      </c>
      <c r="CI111" s="28" t="str">
        <f t="shared" si="13"/>
        <v/>
      </c>
      <c r="CJ111" s="28" t="str">
        <f t="shared" si="14"/>
        <v/>
      </c>
      <c r="CK111" s="23" t="str">
        <f t="shared" si="15"/>
        <v/>
      </c>
      <c r="CL111" s="29" t="str">
        <f t="shared" si="16"/>
        <v/>
      </c>
      <c r="CM111" s="29" t="str">
        <f t="shared" si="66"/>
        <v/>
      </c>
      <c r="CN111" s="29" t="str">
        <f t="shared" si="18"/>
        <v/>
      </c>
      <c r="CO111" s="29" t="str">
        <f t="shared" si="19"/>
        <v/>
      </c>
      <c r="CP111" s="29" t="str">
        <f t="shared" si="20"/>
        <v/>
      </c>
      <c r="CQ111" s="29">
        <f t="shared" si="21"/>
        <v>0</v>
      </c>
      <c r="CR111" s="13"/>
      <c r="CS111" s="7" t="str">
        <f>VLOOKUP(A111,'Empresas 21-23'!$A$2:$M$228,13,0)</f>
        <v/>
      </c>
      <c r="CT111" s="30"/>
      <c r="CU111" s="6">
        <f t="shared" si="22"/>
        <v>114021265</v>
      </c>
      <c r="CV111" s="6">
        <f t="shared" si="23"/>
        <v>0</v>
      </c>
      <c r="CW111" s="6">
        <f t="shared" si="24"/>
        <v>25091729</v>
      </c>
      <c r="CX111" s="23">
        <f t="shared" si="67"/>
        <v>0.1073033258905754</v>
      </c>
      <c r="CY111" s="23">
        <f t="shared" si="68"/>
        <v>0</v>
      </c>
      <c r="CZ111" s="6">
        <f t="shared" si="25"/>
        <v>116713690.97404501</v>
      </c>
      <c r="DA111" s="6">
        <f t="shared" si="26"/>
        <v>0</v>
      </c>
      <c r="DB111" s="6">
        <f t="shared" si="27"/>
        <v>2044986</v>
      </c>
      <c r="DC111" s="6">
        <f t="shared" si="28"/>
        <v>2235285</v>
      </c>
      <c r="DD111" s="6">
        <f t="shared" si="29"/>
        <v>1029481</v>
      </c>
      <c r="DE111" s="6">
        <f t="shared" si="30"/>
        <v>31042400</v>
      </c>
      <c r="DF111" s="6">
        <f t="shared" si="31"/>
        <v>929223.88645777362</v>
      </c>
      <c r="DG111" s="30"/>
      <c r="DH111" s="32">
        <f>VLOOKUP(A111,'T_med_comp-USA'!$A$7:$Q$233,17,0)</f>
        <v>13.222955606379236</v>
      </c>
      <c r="DI111" s="6" t="str">
        <f t="shared" si="32"/>
        <v>10_2008</v>
      </c>
      <c r="DJ111" s="32">
        <f>IF(DI111="","",VLOOKUP(DI111,'CPI USA'!$T:$U,2,FALSE))</f>
        <v>215.303</v>
      </c>
      <c r="DK111" s="32">
        <f>IF(DI111="","",VLOOKUP(DI111,'PPI USA'!$S:$T,2,FALSE))</f>
        <v>159.30000000000001</v>
      </c>
      <c r="DL111" s="32">
        <f>IF(DI111="","",VLOOKUP(DI111,'CPI USA'!$T:$V,3,FALSE))</f>
        <v>0.67018812038291731</v>
      </c>
      <c r="DM111" s="32">
        <f>IF(DI111="","",VLOOKUP(DI111,'CPI USA'!$T:$X,5,FALSE))</f>
        <v>0.49838492968660258</v>
      </c>
      <c r="DN111" s="32">
        <f t="shared" si="33"/>
        <v>1.4884333659448254</v>
      </c>
      <c r="DO111" s="32">
        <f t="shared" si="34"/>
        <v>1.5036496327119213</v>
      </c>
      <c r="DP111" s="32">
        <f t="shared" si="35"/>
        <v>0.2</v>
      </c>
      <c r="DQ111" s="32">
        <f>IF(DP111="","",DP111*$DO$1/'CPI USA'!$U$508+(1-DP111)*AVERAGE($DO$1,$DQ$1)/AVERAGE('CPI USA'!$U$508,'PPI USA'!$T$514))</f>
        <v>1.1741595760647974</v>
      </c>
      <c r="DR111" s="6">
        <f t="shared" si="36"/>
        <v>0</v>
      </c>
      <c r="DS111" s="32">
        <f t="shared" si="37"/>
        <v>0.2</v>
      </c>
      <c r="DT111" s="28">
        <f>IF(DS111="","",DS111*$DO$1/'CPI USA'!$U$508+(1-DS111)*AVERAGE($DO$1,$DQ$1)/AVERAGE('CPI USA'!$U$508,'PPI USA'!$T$514))</f>
        <v>1.1741595760647974</v>
      </c>
      <c r="DU111" s="6">
        <f t="shared" si="38"/>
        <v>6936512</v>
      </c>
      <c r="DV111" s="6">
        <f t="shared" si="39"/>
        <v>0</v>
      </c>
      <c r="DW111" s="6">
        <f t="shared" si="40"/>
        <v>0</v>
      </c>
      <c r="DX111" s="16" t="str">
        <f t="shared" si="41"/>
        <v/>
      </c>
      <c r="DY111" s="28" t="str">
        <f>IF(DX111="","",DX111*$DO$1/'CPI USA'!$U$508+(1-DX111)*AVERAGE($DO$1,$DQ$1)/AVERAGE('CPI USA'!$U$508,'PPI USA'!$T$514))</f>
        <v/>
      </c>
      <c r="DZ111" s="30"/>
      <c r="EA111" s="45" t="str">
        <f t="shared" si="42"/>
        <v>C001298</v>
      </c>
      <c r="EB111" s="29" t="str">
        <f t="shared" si="43"/>
        <v/>
      </c>
      <c r="EC111" s="29" t="str">
        <f t="shared" si="44"/>
        <v/>
      </c>
      <c r="ED111" s="29" t="str">
        <f t="shared" si="45"/>
        <v/>
      </c>
      <c r="EE111" s="29" t="str">
        <f t="shared" si="46"/>
        <v/>
      </c>
      <c r="EF111" s="29" t="str">
        <f t="shared" si="47"/>
        <v/>
      </c>
      <c r="EG111" s="29" t="str">
        <f t="shared" si="48"/>
        <v/>
      </c>
      <c r="EH111" s="29" t="str">
        <f t="shared" si="49"/>
        <v/>
      </c>
      <c r="EI111" s="29" t="str">
        <f t="shared" si="50"/>
        <v/>
      </c>
      <c r="EJ111" s="29" t="str">
        <f t="shared" si="51"/>
        <v/>
      </c>
      <c r="EK111" s="29" t="str">
        <f t="shared" si="52"/>
        <v/>
      </c>
      <c r="EL111" s="29" t="str">
        <f>IF(CD111=1,VLOOKUP(EA111,'EIA 2021'!$A$2:$J$213,4,0)*EH111,"")</f>
        <v/>
      </c>
      <c r="EM111" s="29" t="str">
        <f>IF(CD111=1,VLOOKUP(EA111,'EIA 2021'!$A$2:$J$213,7,0)*EH111,"")</f>
        <v/>
      </c>
      <c r="EN111" s="29" t="str">
        <f>IF(CD111=1,VLOOKUP(EA111,'EIA 2021'!$A$2:$J$213,10,0),"")</f>
        <v/>
      </c>
      <c r="EO111" s="28" t="str">
        <f>IF(CD111=1,VLOOKUP(EA111,'EIA 2021'!$A$2:$Z$213,26,0),"")</f>
        <v/>
      </c>
      <c r="EP111" s="23" t="str">
        <f t="shared" si="53"/>
        <v/>
      </c>
      <c r="EQ111" s="32" t="str">
        <f t="shared" si="54"/>
        <v/>
      </c>
      <c r="ER111" s="32" t="str">
        <f t="shared" si="55"/>
        <v/>
      </c>
      <c r="ES111" s="6"/>
      <c r="ET111" s="32"/>
    </row>
    <row r="112" spans="1:150" ht="15.75" customHeight="1">
      <c r="A112" s="7" t="s">
        <v>538</v>
      </c>
      <c r="B112" s="7" t="s">
        <v>539</v>
      </c>
      <c r="C112" s="32" t="s">
        <v>540</v>
      </c>
      <c r="D112" s="40">
        <v>43333</v>
      </c>
      <c r="E112" s="40">
        <v>0</v>
      </c>
      <c r="F112" s="40">
        <v>30377</v>
      </c>
      <c r="G112" s="40">
        <v>286172</v>
      </c>
      <c r="H112" s="40">
        <v>286172</v>
      </c>
      <c r="I112" s="40">
        <v>661</v>
      </c>
      <c r="J112" s="40">
        <v>0</v>
      </c>
      <c r="K112" s="40">
        <v>0</v>
      </c>
      <c r="L112" s="40">
        <v>34660</v>
      </c>
      <c r="M112" s="40">
        <v>0</v>
      </c>
      <c r="N112" s="40">
        <v>0</v>
      </c>
      <c r="O112" s="40">
        <v>11787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1109</v>
      </c>
      <c r="X112" s="40">
        <f>IFERROR(VLOOKUP(A112,'Trans 21-23'!$A$2:$J$229,6,0),0)</f>
        <v>11333682</v>
      </c>
      <c r="Y112" s="41">
        <v>0</v>
      </c>
      <c r="Z112" s="41">
        <v>0</v>
      </c>
      <c r="AA112" s="41">
        <v>663894</v>
      </c>
      <c r="AB112" s="41">
        <v>0</v>
      </c>
      <c r="AC112" s="41">
        <v>0</v>
      </c>
      <c r="AD112" s="41">
        <v>45973682</v>
      </c>
      <c r="AE112" s="41">
        <v>0</v>
      </c>
      <c r="AF112" s="41">
        <v>117642189</v>
      </c>
      <c r="AG112" s="41">
        <v>0</v>
      </c>
      <c r="AH112" s="41">
        <v>0</v>
      </c>
      <c r="AI112" s="41">
        <v>0</v>
      </c>
      <c r="AJ112" s="41">
        <v>0</v>
      </c>
      <c r="AK112" s="41">
        <v>0</v>
      </c>
      <c r="AL112" s="41">
        <v>0</v>
      </c>
      <c r="AM112" s="41">
        <v>0</v>
      </c>
      <c r="AN112" s="41">
        <v>0</v>
      </c>
      <c r="AO112" s="41">
        <v>0</v>
      </c>
      <c r="AP112" s="41">
        <v>0</v>
      </c>
      <c r="AQ112" s="41">
        <v>0</v>
      </c>
      <c r="AR112" s="41">
        <v>0</v>
      </c>
      <c r="AS112" s="41">
        <v>0</v>
      </c>
      <c r="AT112" s="41">
        <v>0</v>
      </c>
      <c r="AU112" s="41">
        <v>0</v>
      </c>
      <c r="AV112" s="41">
        <v>0</v>
      </c>
      <c r="AW112" s="41">
        <v>121482</v>
      </c>
      <c r="AX112" s="41">
        <v>1118</v>
      </c>
      <c r="AY112" s="41">
        <v>15730</v>
      </c>
      <c r="AZ112" s="41">
        <v>7629162</v>
      </c>
      <c r="BA112" s="41">
        <v>0</v>
      </c>
      <c r="BB112" s="41">
        <v>7930056</v>
      </c>
      <c r="BC112" s="41">
        <v>3333332278</v>
      </c>
      <c r="BD112" s="41">
        <v>6399969</v>
      </c>
      <c r="BE112" s="41">
        <v>8411138</v>
      </c>
      <c r="BF112" s="41">
        <v>292219</v>
      </c>
      <c r="BG112" s="41">
        <v>0</v>
      </c>
      <c r="BH112" s="41">
        <v>36980</v>
      </c>
      <c r="BI112" s="41">
        <v>133658</v>
      </c>
      <c r="BJ112" s="41">
        <v>0</v>
      </c>
      <c r="BK112" s="41">
        <v>0</v>
      </c>
      <c r="BL112" s="41">
        <v>0</v>
      </c>
      <c r="BM112" s="41">
        <v>12379254</v>
      </c>
      <c r="BN112" s="41">
        <v>38266554</v>
      </c>
      <c r="BO112" s="41">
        <v>33049</v>
      </c>
      <c r="BP112" s="41">
        <v>356619</v>
      </c>
      <c r="BQ112" s="41">
        <v>78035537</v>
      </c>
      <c r="BR112" s="41">
        <v>0</v>
      </c>
      <c r="BS112" s="42">
        <f>IFERROR(VLOOKUP(A112,'Trans 21-23'!$A$2:$J$229,5,0),0)</f>
        <v>722132623</v>
      </c>
      <c r="BT112" s="43"/>
      <c r="BU112" s="6">
        <f t="shared" si="0"/>
        <v>7930056</v>
      </c>
      <c r="BV112" s="6">
        <f t="shared" si="1"/>
        <v>0</v>
      </c>
      <c r="BW112" s="6">
        <f t="shared" si="2"/>
        <v>0</v>
      </c>
      <c r="BX112" s="6">
        <f t="shared" si="3"/>
        <v>48217</v>
      </c>
      <c r="BY112" s="6">
        <f t="shared" si="4"/>
        <v>663894</v>
      </c>
      <c r="BZ112" s="6">
        <f t="shared" si="5"/>
        <v>7629162</v>
      </c>
      <c r="CA112" s="6">
        <f t="shared" si="6"/>
        <v>45973682</v>
      </c>
      <c r="CB112" s="6">
        <f t="shared" si="7"/>
        <v>0</v>
      </c>
      <c r="CC112" s="6">
        <f t="shared" si="8"/>
        <v>0</v>
      </c>
      <c r="CD112" s="6">
        <f t="shared" si="65"/>
        <v>0</v>
      </c>
      <c r="CE112" s="44">
        <f t="shared" si="10"/>
        <v>39</v>
      </c>
      <c r="CF112" s="27"/>
      <c r="CG112" s="28" t="str">
        <f t="shared" si="11"/>
        <v/>
      </c>
      <c r="CH112" s="28" t="str">
        <f t="shared" si="12"/>
        <v/>
      </c>
      <c r="CI112" s="28" t="str">
        <f t="shared" si="13"/>
        <v/>
      </c>
      <c r="CJ112" s="28" t="str">
        <f t="shared" si="14"/>
        <v/>
      </c>
      <c r="CK112" s="23" t="str">
        <f t="shared" si="15"/>
        <v/>
      </c>
      <c r="CL112" s="29" t="str">
        <f t="shared" si="16"/>
        <v/>
      </c>
      <c r="CM112" s="29" t="str">
        <f t="shared" si="66"/>
        <v/>
      </c>
      <c r="CN112" s="29" t="str">
        <f t="shared" si="18"/>
        <v/>
      </c>
      <c r="CO112" s="29" t="str">
        <f t="shared" si="19"/>
        <v/>
      </c>
      <c r="CP112" s="29" t="str">
        <f t="shared" si="20"/>
        <v/>
      </c>
      <c r="CQ112" s="29">
        <f t="shared" si="21"/>
        <v>0</v>
      </c>
      <c r="CR112" s="13"/>
      <c r="CS112" s="7" t="str">
        <f>VLOOKUP(A112,'Empresas 21-23'!$A$2:$M$228,13,0)</f>
        <v/>
      </c>
      <c r="CT112" s="30"/>
      <c r="CU112" s="6">
        <f t="shared" si="22"/>
        <v>722423408.20000005</v>
      </c>
      <c r="CV112" s="6">
        <f t="shared" si="23"/>
        <v>7629162</v>
      </c>
      <c r="CW112" s="6">
        <f t="shared" si="24"/>
        <v>6399969</v>
      </c>
      <c r="CX112" s="23">
        <f t="shared" si="67"/>
        <v>0.21714400567925712</v>
      </c>
      <c r="CY112" s="23">
        <f t="shared" si="68"/>
        <v>2.2931521568267652E-3</v>
      </c>
      <c r="CZ112" s="6">
        <f t="shared" si="25"/>
        <v>723813123.10488307</v>
      </c>
      <c r="DA112" s="6">
        <f t="shared" si="26"/>
        <v>7643838.1027159747</v>
      </c>
      <c r="DB112" s="6">
        <f t="shared" si="27"/>
        <v>48217</v>
      </c>
      <c r="DC112" s="6">
        <f t="shared" si="28"/>
        <v>11381899</v>
      </c>
      <c r="DD112" s="6">
        <f t="shared" si="29"/>
        <v>663894</v>
      </c>
      <c r="DE112" s="6">
        <f t="shared" si="30"/>
        <v>45973682</v>
      </c>
      <c r="DF112" s="6">
        <f t="shared" si="31"/>
        <v>7766093.6081690816</v>
      </c>
      <c r="DG112" s="30"/>
      <c r="DH112" s="32">
        <f>VLOOKUP(A112,'T_med_comp-USA'!$A$7:$Q$233,17,0)</f>
        <v>378.79043582482024</v>
      </c>
      <c r="DI112" s="6" t="str">
        <f t="shared" si="32"/>
        <v/>
      </c>
      <c r="DJ112" s="32" t="str">
        <f>IF(DI112="","",VLOOKUP(DI112,'CPI USA'!$T:$U,2,FALSE))</f>
        <v/>
      </c>
      <c r="DK112" s="32" t="str">
        <f>IF(DI112="","",VLOOKUP(DI112,'PPI USA'!$S:$T,2,FALSE))</f>
        <v/>
      </c>
      <c r="DL112" s="32" t="str">
        <f>IF(DI112="","",VLOOKUP(DI112,'CPI USA'!$T:$V,3,FALSE))</f>
        <v/>
      </c>
      <c r="DM112" s="32" t="str">
        <f>IF(DI112="","",VLOOKUP(DI112,'CPI USA'!$T:$X,5,FALSE))</f>
        <v/>
      </c>
      <c r="DN112" s="32" t="str">
        <f t="shared" si="33"/>
        <v/>
      </c>
      <c r="DO112" s="32" t="str">
        <f t="shared" si="34"/>
        <v/>
      </c>
      <c r="DP112" s="32">
        <f t="shared" si="35"/>
        <v>0.76761179386089085</v>
      </c>
      <c r="DQ112" s="32">
        <f>IF(DP112="","",DP112*$DO$1/'CPI USA'!$U$508+(1-DP112)*AVERAGE($DO$1,$DQ$1)/AVERAGE('CPI USA'!$U$508,'PPI USA'!$T$514))</f>
        <v>1.140610462718922</v>
      </c>
      <c r="DR112" s="6">
        <f t="shared" si="36"/>
        <v>133658</v>
      </c>
      <c r="DS112" s="32">
        <f t="shared" si="37"/>
        <v>0.20149818201140759</v>
      </c>
      <c r="DT112" s="28">
        <f>IF(DS112="","",DS112*$DO$1/'CPI USA'!$U$508+(1-DS112)*AVERAGE($DO$1,$DQ$1)/AVERAGE('CPI USA'!$U$508,'PPI USA'!$T$514))</f>
        <v>1.1740710249130117</v>
      </c>
      <c r="DU112" s="6">
        <f t="shared" si="38"/>
        <v>12389945.372038517</v>
      </c>
      <c r="DV112" s="6">
        <f t="shared" si="39"/>
        <v>56832.37223033925</v>
      </c>
      <c r="DW112" s="6">
        <f t="shared" si="40"/>
        <v>55502.600540580403</v>
      </c>
      <c r="DX112" s="16">
        <f t="shared" si="41"/>
        <v>0.2</v>
      </c>
      <c r="DY112" s="28">
        <f>IF(DX112="","",DX112*$DO$1/'CPI USA'!$U$508+(1-DX112)*AVERAGE($DO$1,$DQ$1)/AVERAGE('CPI USA'!$U$508,'PPI USA'!$T$514))</f>
        <v>1.1741595760647974</v>
      </c>
      <c r="DZ112" s="30"/>
      <c r="EA112" s="45" t="str">
        <f t="shared" si="42"/>
        <v>C001305</v>
      </c>
      <c r="EB112" s="29" t="str">
        <f t="shared" si="43"/>
        <v/>
      </c>
      <c r="EC112" s="29" t="str">
        <f t="shared" si="44"/>
        <v/>
      </c>
      <c r="ED112" s="29" t="str">
        <f t="shared" si="45"/>
        <v/>
      </c>
      <c r="EE112" s="29" t="str">
        <f t="shared" si="46"/>
        <v/>
      </c>
      <c r="EF112" s="29" t="str">
        <f t="shared" si="47"/>
        <v/>
      </c>
      <c r="EG112" s="29" t="str">
        <f t="shared" si="48"/>
        <v/>
      </c>
      <c r="EH112" s="29" t="str">
        <f t="shared" si="49"/>
        <v/>
      </c>
      <c r="EI112" s="29" t="str">
        <f t="shared" si="50"/>
        <v/>
      </c>
      <c r="EJ112" s="29" t="str">
        <f t="shared" si="51"/>
        <v/>
      </c>
      <c r="EK112" s="29" t="str">
        <f t="shared" si="52"/>
        <v/>
      </c>
      <c r="EL112" s="29" t="str">
        <f>IF(CD112=1,VLOOKUP(EA112,'EIA 2021'!$A$2:$J$213,4,0)*EH112,"")</f>
        <v/>
      </c>
      <c r="EM112" s="29" t="str">
        <f>IF(CD112=1,VLOOKUP(EA112,'EIA 2021'!$A$2:$J$213,7,0)*EH112,"")</f>
        <v/>
      </c>
      <c r="EN112" s="29" t="str">
        <f>IF(CD112=1,VLOOKUP(EA112,'EIA 2021'!$A$2:$J$213,10,0),"")</f>
        <v/>
      </c>
      <c r="EO112" s="28" t="str">
        <f>IF(CD112=1,VLOOKUP(EA112,'EIA 2021'!$A$2:$Z$213,26,0),"")</f>
        <v/>
      </c>
      <c r="EP112" s="23" t="str">
        <f t="shared" si="53"/>
        <v/>
      </c>
      <c r="EQ112" s="32" t="str">
        <f t="shared" si="54"/>
        <v/>
      </c>
      <c r="ER112" s="32" t="str">
        <f t="shared" si="55"/>
        <v/>
      </c>
      <c r="ES112" s="6"/>
      <c r="ET112" s="32"/>
    </row>
    <row r="113" spans="1:150" ht="15.75" customHeight="1">
      <c r="A113" s="7" t="s">
        <v>541</v>
      </c>
      <c r="B113" s="7" t="s">
        <v>542</v>
      </c>
      <c r="C113" s="32" t="s">
        <v>543</v>
      </c>
      <c r="D113" s="40">
        <v>0</v>
      </c>
      <c r="E113" s="40">
        <v>0</v>
      </c>
      <c r="F113" s="40">
        <v>0</v>
      </c>
      <c r="G113" s="40">
        <v>877052556</v>
      </c>
      <c r="H113" s="40">
        <v>877052556</v>
      </c>
      <c r="I113" s="40">
        <v>16615729</v>
      </c>
      <c r="J113" s="40">
        <v>6976419</v>
      </c>
      <c r="K113" s="40">
        <v>9235917</v>
      </c>
      <c r="L113" s="40">
        <v>14832708</v>
      </c>
      <c r="M113" s="40">
        <v>10703716</v>
      </c>
      <c r="N113" s="40">
        <v>2429822</v>
      </c>
      <c r="O113" s="40">
        <v>58480955</v>
      </c>
      <c r="P113" s="40">
        <v>477847</v>
      </c>
      <c r="Q113" s="40">
        <v>3166182</v>
      </c>
      <c r="R113" s="40">
        <v>2110637</v>
      </c>
      <c r="S113" s="40">
        <v>7958519</v>
      </c>
      <c r="T113" s="40">
        <v>276408912</v>
      </c>
      <c r="U113" s="40">
        <v>9225340</v>
      </c>
      <c r="V113" s="40">
        <v>1577005</v>
      </c>
      <c r="W113" s="40">
        <v>3664695</v>
      </c>
      <c r="X113" s="40">
        <f>IFERROR(VLOOKUP(A113,'Trans 21-23'!$A$2:$J$229,6,0),0)</f>
        <v>1783886</v>
      </c>
      <c r="Y113" s="41">
        <v>6379964</v>
      </c>
      <c r="Z113" s="41">
        <v>784387</v>
      </c>
      <c r="AA113" s="41">
        <v>102160234</v>
      </c>
      <c r="AB113" s="41">
        <v>272072701</v>
      </c>
      <c r="AC113" s="41">
        <v>1070060</v>
      </c>
      <c r="AD113" s="41">
        <v>327873371</v>
      </c>
      <c r="AE113" s="41">
        <v>0</v>
      </c>
      <c r="AF113" s="41">
        <v>2122332891</v>
      </c>
      <c r="AG113" s="41">
        <v>0</v>
      </c>
      <c r="AH113" s="41">
        <v>1241897</v>
      </c>
      <c r="AI113" s="41">
        <v>16469862</v>
      </c>
      <c r="AJ113" s="41">
        <v>52897</v>
      </c>
      <c r="AK113" s="41">
        <v>0</v>
      </c>
      <c r="AL113" s="41">
        <v>10510295</v>
      </c>
      <c r="AM113" s="41">
        <v>3669781</v>
      </c>
      <c r="AN113" s="41">
        <v>946640</v>
      </c>
      <c r="AO113" s="41">
        <v>42345</v>
      </c>
      <c r="AP113" s="41">
        <v>0</v>
      </c>
      <c r="AQ113" s="41">
        <v>15169061</v>
      </c>
      <c r="AR113" s="41">
        <v>6007</v>
      </c>
      <c r="AS113" s="41">
        <v>15175068</v>
      </c>
      <c r="AT113" s="41">
        <v>0</v>
      </c>
      <c r="AU113" s="41">
        <v>6736</v>
      </c>
      <c r="AV113" s="41">
        <v>0</v>
      </c>
      <c r="AW113" s="41">
        <v>1535321550</v>
      </c>
      <c r="AX113" s="41">
        <v>277950610</v>
      </c>
      <c r="AY113" s="41">
        <v>805129050</v>
      </c>
      <c r="AZ113" s="41">
        <v>187150289</v>
      </c>
      <c r="BA113" s="41">
        <v>226995021</v>
      </c>
      <c r="BB113" s="41">
        <v>7199281515</v>
      </c>
      <c r="BC113" s="41">
        <v>11303180858</v>
      </c>
      <c r="BD113" s="41">
        <v>321329562</v>
      </c>
      <c r="BE113" s="41">
        <v>2376078490</v>
      </c>
      <c r="BF113" s="41">
        <v>176159099</v>
      </c>
      <c r="BG113" s="41">
        <v>0</v>
      </c>
      <c r="BH113" s="41">
        <v>157501061</v>
      </c>
      <c r="BI113" s="41">
        <v>18128375</v>
      </c>
      <c r="BJ113" s="41">
        <v>15015180</v>
      </c>
      <c r="BK113" s="41">
        <v>210594</v>
      </c>
      <c r="BL113" s="41">
        <v>0</v>
      </c>
      <c r="BM113" s="41">
        <v>81040889</v>
      </c>
      <c r="BN113" s="41">
        <v>298953449</v>
      </c>
      <c r="BO113" s="41">
        <v>582695</v>
      </c>
      <c r="BP113" s="41">
        <v>2403866</v>
      </c>
      <c r="BQ113" s="41">
        <v>831272225</v>
      </c>
      <c r="BR113" s="41">
        <v>0</v>
      </c>
      <c r="BS113" s="42">
        <f>IFERROR(VLOOKUP(A113,'Trans 21-23'!$A$2:$J$229,5,0),0)</f>
        <v>113661407</v>
      </c>
      <c r="BT113" s="43"/>
      <c r="BU113" s="6">
        <f t="shared" si="0"/>
        <v>7199281515</v>
      </c>
      <c r="BV113" s="6">
        <f t="shared" si="1"/>
        <v>6736</v>
      </c>
      <c r="BW113" s="6">
        <f t="shared" si="2"/>
        <v>0</v>
      </c>
      <c r="BX113" s="6">
        <f t="shared" si="3"/>
        <v>423864403</v>
      </c>
      <c r="BY113" s="6">
        <f t="shared" si="4"/>
        <v>382467346</v>
      </c>
      <c r="BZ113" s="6">
        <f t="shared" si="5"/>
        <v>187150289</v>
      </c>
      <c r="CA113" s="6">
        <f t="shared" si="6"/>
        <v>327873371</v>
      </c>
      <c r="CB113" s="6">
        <f t="shared" si="7"/>
        <v>1241897</v>
      </c>
      <c r="CC113" s="6">
        <f t="shared" si="8"/>
        <v>15169061</v>
      </c>
      <c r="CD113" s="6">
        <f t="shared" si="65"/>
        <v>0</v>
      </c>
      <c r="CE113" s="44">
        <f t="shared" si="10"/>
        <v>12</v>
      </c>
      <c r="CF113" s="27"/>
      <c r="CG113" s="28" t="str">
        <f t="shared" si="11"/>
        <v/>
      </c>
      <c r="CH113" s="28" t="str">
        <f t="shared" si="12"/>
        <v/>
      </c>
      <c r="CI113" s="28" t="str">
        <f t="shared" si="13"/>
        <v/>
      </c>
      <c r="CJ113" s="28" t="str">
        <f t="shared" si="14"/>
        <v/>
      </c>
      <c r="CK113" s="23" t="str">
        <f t="shared" si="15"/>
        <v/>
      </c>
      <c r="CL113" s="29" t="str">
        <f t="shared" si="16"/>
        <v/>
      </c>
      <c r="CM113" s="29" t="str">
        <f t="shared" si="66"/>
        <v/>
      </c>
      <c r="CN113" s="29" t="str">
        <f t="shared" si="18"/>
        <v/>
      </c>
      <c r="CO113" s="29" t="str">
        <f t="shared" si="19"/>
        <v/>
      </c>
      <c r="CP113" s="29" t="str">
        <f t="shared" si="20"/>
        <v/>
      </c>
      <c r="CQ113" s="29">
        <f t="shared" si="21"/>
        <v>0</v>
      </c>
      <c r="CR113" s="13"/>
      <c r="CS113" s="7" t="str">
        <f>VLOOKUP(A113,'Empresas 21-23'!$A$2:$M$228,13,0)</f>
        <v/>
      </c>
      <c r="CT113" s="30"/>
      <c r="CU113" s="6">
        <f t="shared" si="22"/>
        <v>6248949816</v>
      </c>
      <c r="CV113" s="6">
        <f t="shared" si="23"/>
        <v>187150289</v>
      </c>
      <c r="CW113" s="6">
        <f t="shared" si="24"/>
        <v>321329562</v>
      </c>
      <c r="CX113" s="23">
        <f t="shared" si="67"/>
        <v>0.56902517140039044</v>
      </c>
      <c r="CY113" s="23">
        <f t="shared" si="68"/>
        <v>1.7041779564814095E-2</v>
      </c>
      <c r="CZ113" s="6">
        <f t="shared" si="25"/>
        <v>6431794425.0930624</v>
      </c>
      <c r="DA113" s="6">
        <f t="shared" si="26"/>
        <v>192626316.56326225</v>
      </c>
      <c r="DB113" s="6">
        <f t="shared" si="27"/>
        <v>423864403</v>
      </c>
      <c r="DC113" s="6">
        <f t="shared" si="28"/>
        <v>425648289</v>
      </c>
      <c r="DD113" s="6">
        <f t="shared" si="29"/>
        <v>382467346</v>
      </c>
      <c r="DE113" s="6">
        <f t="shared" si="30"/>
        <v>327873371</v>
      </c>
      <c r="DF113" s="6">
        <f t="shared" si="31"/>
        <v>288813588.51910305</v>
      </c>
      <c r="DG113" s="30"/>
      <c r="DH113" s="32">
        <f>VLOOKUP(A113,'T_med_comp-USA'!$A$7:$Q$233,17,0)</f>
        <v>13.082663222921701</v>
      </c>
      <c r="DI113" s="6" t="str">
        <f t="shared" si="32"/>
        <v>12_2008</v>
      </c>
      <c r="DJ113" s="32">
        <f>IF(DI113="","",VLOOKUP(DI113,'CPI USA'!$T:$U,2,FALSE))</f>
        <v>215.303</v>
      </c>
      <c r="DK113" s="32">
        <f>IF(DI113="","",VLOOKUP(DI113,'PPI USA'!$S:$T,2,FALSE))</f>
        <v>159.30000000000001</v>
      </c>
      <c r="DL113" s="32">
        <f>IF(DI113="","",VLOOKUP(DI113,'CPI USA'!$T:$V,3,FALSE))</f>
        <v>0.67018812038291731</v>
      </c>
      <c r="DM113" s="32">
        <f>IF(DI113="","",VLOOKUP(DI113,'CPI USA'!$T:$X,5,FALSE))</f>
        <v>0.49838492968660258</v>
      </c>
      <c r="DN113" s="32">
        <f t="shared" si="33"/>
        <v>1.4884333659448254</v>
      </c>
      <c r="DO113" s="32">
        <f t="shared" si="34"/>
        <v>1.5036496327119213</v>
      </c>
      <c r="DP113" s="32">
        <f t="shared" si="35"/>
        <v>0.37230786012475031</v>
      </c>
      <c r="DQ113" s="32">
        <f>IF(DP113="","",DP113*$DO$1/'CPI USA'!$U$508+(1-DP113)*AVERAGE($DO$1,$DQ$1)/AVERAGE('CPI USA'!$U$508,'PPI USA'!$T$514))</f>
        <v>1.163975193019495</v>
      </c>
      <c r="DR113" s="6">
        <f t="shared" si="36"/>
        <v>33354149</v>
      </c>
      <c r="DS113" s="32">
        <f t="shared" si="37"/>
        <v>0.2</v>
      </c>
      <c r="DT113" s="28">
        <f>IF(DS113="","",DS113*$DO$1/'CPI USA'!$U$508+(1-DS113)*AVERAGE($DO$1,$DQ$1)/AVERAGE('CPI USA'!$U$508,'PPI USA'!$T$514))</f>
        <v>1.1741595760647974</v>
      </c>
      <c r="DU113" s="6">
        <f t="shared" si="38"/>
        <v>81198847.106768176</v>
      </c>
      <c r="DV113" s="6">
        <f t="shared" si="39"/>
        <v>235033.02492075705</v>
      </c>
      <c r="DW113" s="6">
        <f t="shared" si="40"/>
        <v>51988295.654847324</v>
      </c>
      <c r="DX113" s="16">
        <f t="shared" si="41"/>
        <v>0.2</v>
      </c>
      <c r="DY113" s="28">
        <f>IF(DX113="","",DX113*$DO$1/'CPI USA'!$U$508+(1-DX113)*AVERAGE($DO$1,$DQ$1)/AVERAGE('CPI USA'!$U$508,'PPI USA'!$T$514))</f>
        <v>1.1741595760647974</v>
      </c>
      <c r="DZ113" s="30"/>
      <c r="EA113" s="45" t="str">
        <f t="shared" si="42"/>
        <v>C001306</v>
      </c>
      <c r="EB113" s="29" t="str">
        <f t="shared" si="43"/>
        <v/>
      </c>
      <c r="EC113" s="29" t="str">
        <f t="shared" si="44"/>
        <v/>
      </c>
      <c r="ED113" s="29" t="str">
        <f t="shared" si="45"/>
        <v/>
      </c>
      <c r="EE113" s="29" t="str">
        <f t="shared" si="46"/>
        <v/>
      </c>
      <c r="EF113" s="29" t="str">
        <f t="shared" si="47"/>
        <v/>
      </c>
      <c r="EG113" s="29" t="str">
        <f t="shared" si="48"/>
        <v/>
      </c>
      <c r="EH113" s="29" t="str">
        <f t="shared" si="49"/>
        <v/>
      </c>
      <c r="EI113" s="29" t="str">
        <f t="shared" si="50"/>
        <v/>
      </c>
      <c r="EJ113" s="29" t="str">
        <f t="shared" si="51"/>
        <v/>
      </c>
      <c r="EK113" s="29" t="str">
        <f t="shared" si="52"/>
        <v/>
      </c>
      <c r="EL113" s="29" t="str">
        <f>IF(CD113=1,VLOOKUP(EA113,'EIA 2021'!$A$2:$J$213,4,0)*EH113,"")</f>
        <v/>
      </c>
      <c r="EM113" s="29" t="str">
        <f>IF(CD113=1,VLOOKUP(EA113,'EIA 2021'!$A$2:$J$213,7,0)*EH113,"")</f>
        <v/>
      </c>
      <c r="EN113" s="29" t="str">
        <f>IF(CD113=1,VLOOKUP(EA113,'EIA 2021'!$A$2:$J$213,10,0),"")</f>
        <v/>
      </c>
      <c r="EO113" s="28" t="str">
        <f>IF(CD113=1,VLOOKUP(EA113,'EIA 2021'!$A$2:$Z$213,26,0),"")</f>
        <v/>
      </c>
      <c r="EP113" s="23" t="str">
        <f t="shared" si="53"/>
        <v/>
      </c>
      <c r="EQ113" s="32" t="str">
        <f t="shared" si="54"/>
        <v/>
      </c>
      <c r="ER113" s="32" t="str">
        <f t="shared" si="55"/>
        <v/>
      </c>
      <c r="ES113" s="6"/>
      <c r="ET113" s="32"/>
    </row>
    <row r="114" spans="1:150" ht="15.75" customHeight="1">
      <c r="A114" s="7" t="s">
        <v>544</v>
      </c>
      <c r="B114" s="7" t="s">
        <v>545</v>
      </c>
      <c r="C114" s="32" t="s">
        <v>546</v>
      </c>
      <c r="D114" s="40">
        <v>0</v>
      </c>
      <c r="E114" s="40">
        <v>0</v>
      </c>
      <c r="F114" s="40">
        <v>0</v>
      </c>
      <c r="G114" s="40">
        <v>32423121</v>
      </c>
      <c r="H114" s="40">
        <v>32423121</v>
      </c>
      <c r="I114" s="40">
        <v>1503612</v>
      </c>
      <c r="J114" s="40">
        <v>264595</v>
      </c>
      <c r="K114" s="40">
        <v>180680</v>
      </c>
      <c r="L114" s="40">
        <v>894444</v>
      </c>
      <c r="M114" s="40">
        <v>3397</v>
      </c>
      <c r="N114" s="40">
        <v>54261</v>
      </c>
      <c r="O114" s="40">
        <v>1233172</v>
      </c>
      <c r="P114" s="40">
        <v>0</v>
      </c>
      <c r="Q114" s="40">
        <v>14742</v>
      </c>
      <c r="R114" s="40">
        <v>137304</v>
      </c>
      <c r="S114" s="40">
        <v>298547</v>
      </c>
      <c r="T114" s="40">
        <v>4619392</v>
      </c>
      <c r="U114" s="40">
        <v>21887</v>
      </c>
      <c r="V114" s="40">
        <v>38087</v>
      </c>
      <c r="W114" s="40">
        <v>47590</v>
      </c>
      <c r="X114" s="40">
        <f>IFERROR(VLOOKUP(A114,'Trans 21-23'!$A$2:$J$229,6,0),0)</f>
        <v>0</v>
      </c>
      <c r="Y114" s="41">
        <v>193471</v>
      </c>
      <c r="Z114" s="41">
        <v>45165</v>
      </c>
      <c r="AA114" s="41">
        <v>1835189</v>
      </c>
      <c r="AB114" s="41">
        <v>73547</v>
      </c>
      <c r="AC114" s="41">
        <v>208821</v>
      </c>
      <c r="AD114" s="41">
        <v>3670276</v>
      </c>
      <c r="AE114" s="41">
        <v>0</v>
      </c>
      <c r="AF114" s="41">
        <v>74710958</v>
      </c>
      <c r="AG114" s="41">
        <v>45575</v>
      </c>
      <c r="AH114" s="41">
        <v>29749</v>
      </c>
      <c r="AI114" s="41">
        <v>932222</v>
      </c>
      <c r="AJ114" s="41">
        <v>415</v>
      </c>
      <c r="AK114" s="41">
        <v>0</v>
      </c>
      <c r="AL114" s="41">
        <v>309486</v>
      </c>
      <c r="AM114" s="41">
        <v>472430</v>
      </c>
      <c r="AN114" s="41">
        <v>116391</v>
      </c>
      <c r="AO114" s="41">
        <v>2784</v>
      </c>
      <c r="AP114" s="41">
        <v>0</v>
      </c>
      <c r="AQ114" s="41">
        <v>901091</v>
      </c>
      <c r="AR114" s="41">
        <v>967</v>
      </c>
      <c r="AS114" s="41">
        <v>902058</v>
      </c>
      <c r="AT114" s="41">
        <v>0</v>
      </c>
      <c r="AU114" s="41">
        <v>201</v>
      </c>
      <c r="AV114" s="41">
        <v>0</v>
      </c>
      <c r="AW114" s="41">
        <v>85405219</v>
      </c>
      <c r="AX114" s="41">
        <v>7541781</v>
      </c>
      <c r="AY114" s="41">
        <v>25011790</v>
      </c>
      <c r="AZ114" s="41">
        <v>5314363</v>
      </c>
      <c r="BA114" s="41">
        <v>6198201</v>
      </c>
      <c r="BB114" s="41">
        <v>269785883</v>
      </c>
      <c r="BC114" s="41">
        <v>305583593</v>
      </c>
      <c r="BD114" s="41">
        <v>22187500</v>
      </c>
      <c r="BE114" s="41">
        <v>108866028</v>
      </c>
      <c r="BF114" s="41">
        <v>9086813</v>
      </c>
      <c r="BG114" s="41">
        <v>0</v>
      </c>
      <c r="BH114" s="41">
        <v>4048103</v>
      </c>
      <c r="BI114" s="41">
        <v>900994</v>
      </c>
      <c r="BJ114" s="41">
        <v>50704</v>
      </c>
      <c r="BK114" s="41">
        <v>206469</v>
      </c>
      <c r="BL114" s="41">
        <v>0</v>
      </c>
      <c r="BM114" s="41">
        <v>1170704</v>
      </c>
      <c r="BN114" s="41">
        <v>6379362</v>
      </c>
      <c r="BO114" s="41">
        <v>86134</v>
      </c>
      <c r="BP114" s="41">
        <v>981279</v>
      </c>
      <c r="BQ114" s="41">
        <v>12294426</v>
      </c>
      <c r="BR114" s="41">
        <v>0</v>
      </c>
      <c r="BS114" s="42">
        <f>IFERROR(VLOOKUP(A114,'Trans 21-23'!$A$2:$J$229,5,0),0)</f>
        <v>0</v>
      </c>
      <c r="BT114" s="43"/>
      <c r="BU114" s="6">
        <f t="shared" si="0"/>
        <v>269785883</v>
      </c>
      <c r="BV114" s="6">
        <f t="shared" si="1"/>
        <v>201</v>
      </c>
      <c r="BW114" s="6">
        <f t="shared" si="2"/>
        <v>45575</v>
      </c>
      <c r="BX114" s="6">
        <f t="shared" si="3"/>
        <v>9311710</v>
      </c>
      <c r="BY114" s="6">
        <f t="shared" si="4"/>
        <v>2356193</v>
      </c>
      <c r="BZ114" s="6">
        <f t="shared" si="5"/>
        <v>5314363</v>
      </c>
      <c r="CA114" s="6">
        <f t="shared" si="6"/>
        <v>3670276</v>
      </c>
      <c r="CB114" s="6">
        <f t="shared" si="7"/>
        <v>29749</v>
      </c>
      <c r="CC114" s="6">
        <f t="shared" si="8"/>
        <v>901091</v>
      </c>
      <c r="CD114" s="6">
        <f t="shared" si="65"/>
        <v>1</v>
      </c>
      <c r="CE114" s="44">
        <f t="shared" si="10"/>
        <v>14</v>
      </c>
      <c r="CF114" s="27"/>
      <c r="CG114" s="28">
        <f t="shared" si="11"/>
        <v>1342.2183233830845</v>
      </c>
      <c r="CH114" s="28">
        <f t="shared" si="12"/>
        <v>4.4103126714207352</v>
      </c>
      <c r="CI114" s="28">
        <f t="shared" si="13"/>
        <v>204.31618211738891</v>
      </c>
      <c r="CJ114" s="28">
        <f t="shared" si="14"/>
        <v>116.60697750959956</v>
      </c>
      <c r="CK114" s="23">
        <f t="shared" si="15"/>
        <v>3.3014423626470578E-2</v>
      </c>
      <c r="CL114" s="29" t="str">
        <f t="shared" si="16"/>
        <v/>
      </c>
      <c r="CM114" s="29" t="str">
        <f t="shared" si="66"/>
        <v/>
      </c>
      <c r="CN114" s="29" t="str">
        <f t="shared" si="18"/>
        <v/>
      </c>
      <c r="CO114" s="29" t="str">
        <f t="shared" si="19"/>
        <v/>
      </c>
      <c r="CP114" s="29" t="str">
        <f t="shared" si="20"/>
        <v/>
      </c>
      <c r="CQ114" s="29">
        <f t="shared" si="21"/>
        <v>0</v>
      </c>
      <c r="CR114" s="13"/>
      <c r="CS114" s="7">
        <f>VLOOKUP(A114,'Empresas 21-23'!$A$2:$M$228,13,0)</f>
        <v>1</v>
      </c>
      <c r="CT114" s="30"/>
      <c r="CU114" s="6">
        <f t="shared" si="22"/>
        <v>238741176.40000001</v>
      </c>
      <c r="CV114" s="6">
        <f t="shared" si="23"/>
        <v>5314363</v>
      </c>
      <c r="CW114" s="6">
        <f t="shared" si="24"/>
        <v>22187500</v>
      </c>
      <c r="CX114" s="23">
        <f t="shared" si="67"/>
        <v>0.8424293146483145</v>
      </c>
      <c r="CY114" s="23">
        <f t="shared" si="68"/>
        <v>1.8752421544498851E-2</v>
      </c>
      <c r="CZ114" s="6">
        <f t="shared" si="25"/>
        <v>257432576.81875947</v>
      </c>
      <c r="DA114" s="6">
        <f t="shared" si="26"/>
        <v>5730432.3530185679</v>
      </c>
      <c r="DB114" s="6">
        <f t="shared" si="27"/>
        <v>9311710</v>
      </c>
      <c r="DC114" s="6">
        <f t="shared" si="28"/>
        <v>9311710</v>
      </c>
      <c r="DD114" s="6">
        <f t="shared" si="29"/>
        <v>2356193</v>
      </c>
      <c r="DE114" s="6">
        <f t="shared" si="30"/>
        <v>3670276</v>
      </c>
      <c r="DF114" s="6">
        <f t="shared" si="31"/>
        <v>1108936.5367022532</v>
      </c>
      <c r="DG114" s="30"/>
      <c r="DH114" s="32">
        <f>VLOOKUP(A114,'T_med_comp-USA'!$A$7:$Q$233,17,0)</f>
        <v>11.067120663087328</v>
      </c>
      <c r="DI114" s="6" t="str">
        <f t="shared" si="32"/>
        <v>12_2010</v>
      </c>
      <c r="DJ114" s="32">
        <f>IF(DI114="","",VLOOKUP(DI114,'CPI USA'!$T:$U,2,FALSE))</f>
        <v>218.05600000000001</v>
      </c>
      <c r="DK114" s="32">
        <f>IF(DI114="","",VLOOKUP(DI114,'PPI USA'!$S:$T,2,FALSE))</f>
        <v>160.80000000000001</v>
      </c>
      <c r="DL114" s="32">
        <f>IF(DI114="","",VLOOKUP(DI114,'CPI USA'!$T:$V,3,FALSE))</f>
        <v>0.67050107279443949</v>
      </c>
      <c r="DM114" s="32">
        <f>IF(DI114="","",VLOOKUP(DI114,'CPI USA'!$T:$X,5,FALSE))</f>
        <v>0.4987389730136107</v>
      </c>
      <c r="DN114" s="32">
        <f t="shared" si="33"/>
        <v>1.4703278680244813</v>
      </c>
      <c r="DO114" s="32">
        <f t="shared" si="34"/>
        <v>1.4857204383544427</v>
      </c>
      <c r="DP114" s="32">
        <f t="shared" si="35"/>
        <v>0.44060225181358043</v>
      </c>
      <c r="DQ114" s="32">
        <f>IF(DP114="","",DP114*$DO$1/'CPI USA'!$U$508+(1-DP114)*AVERAGE($DO$1,$DQ$1)/AVERAGE('CPI USA'!$U$508,'PPI USA'!$T$514))</f>
        <v>1.159938602672999</v>
      </c>
      <c r="DR114" s="6">
        <f t="shared" si="36"/>
        <v>1158167</v>
      </c>
      <c r="DS114" s="32">
        <f t="shared" si="37"/>
        <v>0.49817843630719083</v>
      </c>
      <c r="DT114" s="28">
        <f>IF(DS114="","",DS114*$DO$1/'CPI USA'!$U$508+(1-DS114)*AVERAGE($DO$1,$DQ$1)/AVERAGE('CPI USA'!$U$508,'PPI USA'!$T$514))</f>
        <v>1.156535519860959</v>
      </c>
      <c r="DU114" s="6">
        <f t="shared" si="38"/>
        <v>1186510.8186655657</v>
      </c>
      <c r="DV114" s="6">
        <f t="shared" si="39"/>
        <v>101544.44651130229</v>
      </c>
      <c r="DW114" s="6">
        <f t="shared" si="40"/>
        <v>1051196.5750544292</v>
      </c>
      <c r="DX114" s="16">
        <f t="shared" si="41"/>
        <v>0.9</v>
      </c>
      <c r="DY114" s="28">
        <f>IF(DX114="","",DX114*$DO$1/'CPI USA'!$U$508+(1-DX114)*AVERAGE($DO$1,$DQ$1)/AVERAGE('CPI USA'!$U$508,'PPI USA'!$T$514))</f>
        <v>1.1327855602389947</v>
      </c>
      <c r="DZ114" s="30"/>
      <c r="EA114" s="45" t="str">
        <f t="shared" si="42"/>
        <v>C001307</v>
      </c>
      <c r="EB114" s="29">
        <f t="shared" si="43"/>
        <v>378510291.83397514</v>
      </c>
      <c r="EC114" s="29">
        <f t="shared" si="44"/>
        <v>8513820.4674872272</v>
      </c>
      <c r="ED114" s="29">
        <f t="shared" si="45"/>
        <v>10801011.885896191</v>
      </c>
      <c r="EE114" s="29">
        <f t="shared" si="46"/>
        <v>2725020.8961477526</v>
      </c>
      <c r="EF114" s="29">
        <f t="shared" si="47"/>
        <v>1256187.2959977523</v>
      </c>
      <c r="EG114" s="29">
        <f t="shared" si="48"/>
        <v>201</v>
      </c>
      <c r="EH114" s="29">
        <f t="shared" si="49"/>
        <v>45575</v>
      </c>
      <c r="EI114" s="29">
        <f t="shared" si="50"/>
        <v>29749</v>
      </c>
      <c r="EJ114" s="29">
        <f t="shared" si="51"/>
        <v>901091</v>
      </c>
      <c r="EK114" s="29">
        <f t="shared" si="52"/>
        <v>930825.2741116751</v>
      </c>
      <c r="EL114" s="29">
        <f>IF(CD114=1,VLOOKUP(EA114,'EIA 2021'!$A$2:$J$213,4,0)*EH114,"")</f>
        <v>4955369.75</v>
      </c>
      <c r="EM114" s="29">
        <f>IF(CD114=1,VLOOKUP(EA114,'EIA 2021'!$A$2:$J$213,7,0)*EH114,"")</f>
        <v>47398</v>
      </c>
      <c r="EN114" s="29">
        <f>IF(CD114=1,VLOOKUP(EA114,'EIA 2021'!$A$2:$J$213,10,0),"")</f>
        <v>45277</v>
      </c>
      <c r="EO114" s="28">
        <f>IF(CD114=1,VLOOKUP(EA114,'EIA 2021'!$A$2:$Z$213,26,0),"")</f>
        <v>0</v>
      </c>
      <c r="EP114" s="23">
        <f t="shared" si="53"/>
        <v>3.1943990927891137E-2</v>
      </c>
      <c r="EQ114" s="32">
        <f t="shared" si="54"/>
        <v>14.725888324873154</v>
      </c>
      <c r="ER114" s="32">
        <f t="shared" si="55"/>
        <v>29734.274111675128</v>
      </c>
      <c r="ES114" s="6"/>
      <c r="ET114" s="32"/>
    </row>
    <row r="115" spans="1:150" ht="15.75" customHeight="1">
      <c r="A115" s="7" t="s">
        <v>547</v>
      </c>
      <c r="B115" s="7" t="s">
        <v>548</v>
      </c>
      <c r="C115" s="32" t="s">
        <v>549</v>
      </c>
      <c r="D115" s="40">
        <v>0</v>
      </c>
      <c r="E115" s="40">
        <v>0</v>
      </c>
      <c r="F115" s="40">
        <v>0</v>
      </c>
      <c r="G115" s="40">
        <v>513168147</v>
      </c>
      <c r="H115" s="40">
        <v>513241302</v>
      </c>
      <c r="I115" s="40">
        <v>14978676</v>
      </c>
      <c r="J115" s="40">
        <v>3050455</v>
      </c>
      <c r="K115" s="40">
        <v>3945067</v>
      </c>
      <c r="L115" s="40">
        <v>6138511</v>
      </c>
      <c r="M115" s="40">
        <v>6538805</v>
      </c>
      <c r="N115" s="40">
        <v>1588032</v>
      </c>
      <c r="O115" s="40">
        <v>38625432</v>
      </c>
      <c r="P115" s="40">
        <v>756243</v>
      </c>
      <c r="Q115" s="40">
        <v>1258920</v>
      </c>
      <c r="R115" s="40">
        <v>943387</v>
      </c>
      <c r="S115" s="40">
        <v>3426306</v>
      </c>
      <c r="T115" s="40">
        <v>76517947</v>
      </c>
      <c r="U115" s="40">
        <v>5657975</v>
      </c>
      <c r="V115" s="40">
        <v>1513023</v>
      </c>
      <c r="W115" s="40">
        <v>2367181</v>
      </c>
      <c r="X115" s="40">
        <f>IFERROR(VLOOKUP(A115,'Trans 21-23'!$A$2:$J$229,6,0),0)</f>
        <v>2373796</v>
      </c>
      <c r="Y115" s="41">
        <v>4348400</v>
      </c>
      <c r="Z115" s="41">
        <v>181724</v>
      </c>
      <c r="AA115" s="41">
        <v>34561177</v>
      </c>
      <c r="AB115" s="41">
        <v>304332933</v>
      </c>
      <c r="AC115" s="41">
        <v>734787</v>
      </c>
      <c r="AD115" s="41">
        <v>315906788</v>
      </c>
      <c r="AE115" s="41">
        <v>0</v>
      </c>
      <c r="AF115" s="41">
        <v>1927549334</v>
      </c>
      <c r="AG115" s="41">
        <v>664105</v>
      </c>
      <c r="AH115" s="41">
        <v>249484</v>
      </c>
      <c r="AI115" s="41">
        <v>5783143</v>
      </c>
      <c r="AJ115" s="41">
        <v>27223</v>
      </c>
      <c r="AK115" s="41">
        <v>0</v>
      </c>
      <c r="AL115" s="41">
        <v>4022582</v>
      </c>
      <c r="AM115" s="41">
        <v>1259922</v>
      </c>
      <c r="AN115" s="41">
        <v>213386</v>
      </c>
      <c r="AO115" s="41">
        <v>7793</v>
      </c>
      <c r="AP115" s="41">
        <v>0</v>
      </c>
      <c r="AQ115" s="41">
        <v>5503683</v>
      </c>
      <c r="AR115" s="41">
        <v>2753</v>
      </c>
      <c r="AS115" s="41">
        <v>5506436</v>
      </c>
      <c r="AT115" s="41">
        <v>0</v>
      </c>
      <c r="AU115" s="41">
        <v>4638</v>
      </c>
      <c r="AV115" s="41">
        <v>0</v>
      </c>
      <c r="AW115" s="41">
        <v>991844584</v>
      </c>
      <c r="AX115" s="41">
        <v>280411695</v>
      </c>
      <c r="AY115" s="41">
        <v>921204624</v>
      </c>
      <c r="AZ115" s="41">
        <v>161543780</v>
      </c>
      <c r="BA115" s="41">
        <v>89021522</v>
      </c>
      <c r="BB115" s="41">
        <v>5089302334</v>
      </c>
      <c r="BC115" s="41">
        <v>5492864493</v>
      </c>
      <c r="BD115" s="41">
        <v>189147108</v>
      </c>
      <c r="BE115" s="41">
        <v>1936451298</v>
      </c>
      <c r="BF115" s="41">
        <v>148600400</v>
      </c>
      <c r="BG115" s="41">
        <v>0</v>
      </c>
      <c r="BH115" s="41">
        <v>95271178</v>
      </c>
      <c r="BI115" s="41">
        <v>16843620</v>
      </c>
      <c r="BJ115" s="41">
        <v>13271331</v>
      </c>
      <c r="BK115" s="41">
        <v>196304</v>
      </c>
      <c r="BL115" s="41">
        <v>0</v>
      </c>
      <c r="BM115" s="41">
        <v>51567562</v>
      </c>
      <c r="BN115" s="41">
        <v>179929107</v>
      </c>
      <c r="BO115" s="41">
        <v>1322298</v>
      </c>
      <c r="BP115" s="41">
        <v>2724844</v>
      </c>
      <c r="BQ115" s="41">
        <v>288893329</v>
      </c>
      <c r="BR115" s="41">
        <v>0</v>
      </c>
      <c r="BS115" s="42">
        <f>IFERROR(VLOOKUP(A115,'Trans 21-23'!$A$2:$J$229,5,0),0)</f>
        <v>86321734</v>
      </c>
      <c r="BT115" s="43"/>
      <c r="BU115" s="6">
        <f t="shared" si="0"/>
        <v>5089302334</v>
      </c>
      <c r="BV115" s="6">
        <f t="shared" si="1"/>
        <v>4638</v>
      </c>
      <c r="BW115" s="6">
        <f t="shared" si="2"/>
        <v>664105</v>
      </c>
      <c r="BX115" s="6">
        <f t="shared" si="3"/>
        <v>167305960</v>
      </c>
      <c r="BY115" s="6">
        <f t="shared" si="4"/>
        <v>344159021</v>
      </c>
      <c r="BZ115" s="6">
        <f t="shared" si="5"/>
        <v>161543780</v>
      </c>
      <c r="CA115" s="6">
        <f t="shared" si="6"/>
        <v>315906788</v>
      </c>
      <c r="CB115" s="6">
        <f t="shared" si="7"/>
        <v>249484</v>
      </c>
      <c r="CC115" s="6">
        <f t="shared" si="8"/>
        <v>5503683</v>
      </c>
      <c r="CD115" s="6">
        <f t="shared" si="65"/>
        <v>1</v>
      </c>
      <c r="CE115" s="44">
        <f t="shared" si="10"/>
        <v>11</v>
      </c>
      <c r="CF115" s="27"/>
      <c r="CG115" s="28">
        <f t="shared" si="11"/>
        <v>1097.3053760241485</v>
      </c>
      <c r="CH115" s="28">
        <f t="shared" si="12"/>
        <v>6.9838353874763781</v>
      </c>
      <c r="CI115" s="28">
        <f t="shared" si="13"/>
        <v>251.92696937984203</v>
      </c>
      <c r="CJ115" s="28">
        <f t="shared" si="14"/>
        <v>243.25035950640336</v>
      </c>
      <c r="CK115" s="23">
        <f t="shared" si="15"/>
        <v>4.5330372406986376E-2</v>
      </c>
      <c r="CL115" s="29" t="str">
        <f t="shared" si="16"/>
        <v/>
      </c>
      <c r="CM115" s="29" t="str">
        <f t="shared" si="66"/>
        <v/>
      </c>
      <c r="CN115" s="29" t="str">
        <f t="shared" si="18"/>
        <v/>
      </c>
      <c r="CO115" s="29" t="str">
        <f t="shared" si="19"/>
        <v/>
      </c>
      <c r="CP115" s="29" t="str">
        <f t="shared" si="20"/>
        <v/>
      </c>
      <c r="CQ115" s="29">
        <f t="shared" si="21"/>
        <v>0</v>
      </c>
      <c r="CR115" s="13"/>
      <c r="CS115" s="7">
        <f>VLOOKUP(A115,'Empresas 21-23'!$A$2:$M$228,13,0)</f>
        <v>1</v>
      </c>
      <c r="CT115" s="30"/>
      <c r="CU115" s="6">
        <f t="shared" si="22"/>
        <v>4204088974.5999999</v>
      </c>
      <c r="CV115" s="6">
        <f t="shared" si="23"/>
        <v>161543780</v>
      </c>
      <c r="CW115" s="6">
        <f t="shared" si="24"/>
        <v>189147108</v>
      </c>
      <c r="CX115" s="23">
        <f t="shared" si="67"/>
        <v>0.79266836247535088</v>
      </c>
      <c r="CY115" s="23">
        <f t="shared" si="68"/>
        <v>3.0458595033151452E-2</v>
      </c>
      <c r="CZ115" s="6">
        <f t="shared" si="25"/>
        <v>4354019902.9653082</v>
      </c>
      <c r="DA115" s="6">
        <f t="shared" si="26"/>
        <v>167304935.16426376</v>
      </c>
      <c r="DB115" s="6">
        <f t="shared" si="27"/>
        <v>167305960</v>
      </c>
      <c r="DC115" s="6">
        <f t="shared" si="28"/>
        <v>169679756</v>
      </c>
      <c r="DD115" s="6">
        <f t="shared" si="29"/>
        <v>344159021</v>
      </c>
      <c r="DE115" s="6">
        <f t="shared" si="30"/>
        <v>315906788</v>
      </c>
      <c r="DF115" s="6">
        <f t="shared" si="31"/>
        <v>147783115.21278492</v>
      </c>
      <c r="DG115" s="30"/>
      <c r="DH115" s="32">
        <f>VLOOKUP(A115,'T_med_comp-USA'!$A$7:$Q$233,17,0)</f>
        <v>13.01791077155322</v>
      </c>
      <c r="DI115" s="6" t="str">
        <f t="shared" si="32"/>
        <v>12_2008</v>
      </c>
      <c r="DJ115" s="32">
        <f>IF(DI115="","",VLOOKUP(DI115,'CPI USA'!$T:$U,2,FALSE))</f>
        <v>215.303</v>
      </c>
      <c r="DK115" s="32">
        <f>IF(DI115="","",VLOOKUP(DI115,'PPI USA'!$S:$T,2,FALSE))</f>
        <v>159.30000000000001</v>
      </c>
      <c r="DL115" s="32">
        <f>IF(DI115="","",VLOOKUP(DI115,'CPI USA'!$T:$V,3,FALSE))</f>
        <v>0.67018812038291731</v>
      </c>
      <c r="DM115" s="32">
        <f>IF(DI115="","",VLOOKUP(DI115,'CPI USA'!$T:$X,5,FALSE))</f>
        <v>0.49838492968660258</v>
      </c>
      <c r="DN115" s="32">
        <f t="shared" si="33"/>
        <v>1.4884333659448254</v>
      </c>
      <c r="DO115" s="32">
        <f t="shared" si="34"/>
        <v>1.5036496327119213</v>
      </c>
      <c r="DP115" s="32">
        <f t="shared" si="35"/>
        <v>0.57362765411191008</v>
      </c>
      <c r="DQ115" s="32">
        <f>IF(DP115="","",DP115*$DO$1/'CPI USA'!$U$508+(1-DP115)*AVERAGE($DO$1,$DQ$1)/AVERAGE('CPI USA'!$U$508,'PPI USA'!$T$514))</f>
        <v>1.152076038244535</v>
      </c>
      <c r="DR115" s="6">
        <f t="shared" si="36"/>
        <v>30311255</v>
      </c>
      <c r="DS115" s="32">
        <f t="shared" si="37"/>
        <v>0.2</v>
      </c>
      <c r="DT115" s="28">
        <f>IF(DS115="","",DS115*$DO$1/'CPI USA'!$U$508+(1-DS115)*AVERAGE($DO$1,$DQ$1)/AVERAGE('CPI USA'!$U$508,'PPI USA'!$T$514))</f>
        <v>1.1741595760647974</v>
      </c>
      <c r="DU115" s="6">
        <f t="shared" si="38"/>
        <v>51946531.724434167</v>
      </c>
      <c r="DV115" s="6">
        <f t="shared" si="39"/>
        <v>491016.89835038263</v>
      </c>
      <c r="DW115" s="6">
        <f t="shared" si="40"/>
        <v>36599053.073748</v>
      </c>
      <c r="DX115" s="16">
        <f t="shared" si="41"/>
        <v>0.24765382040465855</v>
      </c>
      <c r="DY115" s="28">
        <f>IF(DX115="","",DX115*$DO$1/'CPI USA'!$U$508+(1-DX115)*AVERAGE($DO$1,$DQ$1)/AVERAGE('CPI USA'!$U$508,'PPI USA'!$T$514))</f>
        <v>1.1713429618939655</v>
      </c>
      <c r="DZ115" s="30"/>
      <c r="EA115" s="45" t="str">
        <f t="shared" si="42"/>
        <v>C001308</v>
      </c>
      <c r="EB115" s="29">
        <f t="shared" si="43"/>
        <v>6480668499.5614157</v>
      </c>
      <c r="EC115" s="29">
        <f t="shared" si="44"/>
        <v>251568004.310637</v>
      </c>
      <c r="ED115" s="29">
        <f t="shared" si="45"/>
        <v>195483981.06277937</v>
      </c>
      <c r="EE115" s="29">
        <f t="shared" si="46"/>
        <v>404097610.19623572</v>
      </c>
      <c r="EF115" s="29">
        <f t="shared" si="47"/>
        <v>173104711.89126062</v>
      </c>
      <c r="EG115" s="29">
        <f t="shared" si="48"/>
        <v>4638</v>
      </c>
      <c r="EH115" s="29">
        <f t="shared" si="49"/>
        <v>664105</v>
      </c>
      <c r="EI115" s="29">
        <f t="shared" si="50"/>
        <v>249484</v>
      </c>
      <c r="EJ115" s="29">
        <f t="shared" si="51"/>
        <v>5503683</v>
      </c>
      <c r="EK115" s="29">
        <f t="shared" si="52"/>
        <v>5753125.0761421323</v>
      </c>
      <c r="EL115" s="29">
        <f>IF(CD115=1,VLOOKUP(EA115,'EIA 2021'!$A$2:$J$213,4,0)*EH115,"")</f>
        <v>64790083.800000004</v>
      </c>
      <c r="EM115" s="29">
        <f>IF(CD115=1,VLOOKUP(EA115,'EIA 2021'!$A$2:$J$213,7,0)*EH115,"")</f>
        <v>836772.3</v>
      </c>
      <c r="EN115" s="29">
        <f>IF(CD115=1,VLOOKUP(EA115,'EIA 2021'!$A$2:$J$213,10,0),"")</f>
        <v>1448979</v>
      </c>
      <c r="EO115" s="28">
        <f>IF(CD115=1,VLOOKUP(EA115,'EIA 2021'!$A$2:$Z$213,26,0),"")</f>
        <v>0</v>
      </c>
      <c r="EP115" s="23">
        <f t="shared" si="53"/>
        <v>4.3357666110294291E-2</v>
      </c>
      <c r="EQ115" s="32">
        <f t="shared" si="54"/>
        <v>41.92385786802015</v>
      </c>
      <c r="ER115" s="32">
        <f t="shared" si="55"/>
        <v>249442.07614213199</v>
      </c>
      <c r="ES115" s="6"/>
      <c r="ET115" s="32"/>
    </row>
    <row r="116" spans="1:150" ht="15.75" customHeight="1">
      <c r="A116" s="7" t="s">
        <v>550</v>
      </c>
      <c r="B116" s="7" t="s">
        <v>551</v>
      </c>
      <c r="C116" s="32" t="s">
        <v>552</v>
      </c>
      <c r="D116" s="40">
        <v>0</v>
      </c>
      <c r="E116" s="40">
        <v>0</v>
      </c>
      <c r="F116" s="40">
        <v>0</v>
      </c>
      <c r="G116" s="40">
        <v>336278479</v>
      </c>
      <c r="H116" s="40">
        <v>336278479</v>
      </c>
      <c r="I116" s="40">
        <v>4809341</v>
      </c>
      <c r="J116" s="40">
        <v>1153890</v>
      </c>
      <c r="K116" s="40">
        <v>1377442</v>
      </c>
      <c r="L116" s="40">
        <v>1362803</v>
      </c>
      <c r="M116" s="40">
        <v>97783</v>
      </c>
      <c r="N116" s="40">
        <v>175844</v>
      </c>
      <c r="O116" s="40">
        <v>9213935</v>
      </c>
      <c r="P116" s="40">
        <v>153755</v>
      </c>
      <c r="Q116" s="40">
        <v>418026</v>
      </c>
      <c r="R116" s="40">
        <v>76990</v>
      </c>
      <c r="S116" s="40">
        <v>1297564</v>
      </c>
      <c r="T116" s="40">
        <v>26890750</v>
      </c>
      <c r="U116" s="40">
        <v>2016071</v>
      </c>
      <c r="V116" s="40">
        <v>400888</v>
      </c>
      <c r="W116" s="40">
        <v>784474</v>
      </c>
      <c r="X116" s="40">
        <f>IFERROR(VLOOKUP(A116,'Trans 21-23'!$A$2:$J$229,6,0),0)</f>
        <v>2889560</v>
      </c>
      <c r="Y116" s="41">
        <v>2512976</v>
      </c>
      <c r="Z116" s="41">
        <v>63937</v>
      </c>
      <c r="AA116" s="41">
        <v>25815609</v>
      </c>
      <c r="AB116" s="41">
        <v>99077312</v>
      </c>
      <c r="AC116" s="41">
        <v>239260</v>
      </c>
      <c r="AD116" s="41">
        <v>141580487</v>
      </c>
      <c r="AE116" s="41">
        <v>0</v>
      </c>
      <c r="AF116" s="41">
        <v>748052938</v>
      </c>
      <c r="AG116" s="41">
        <v>444908</v>
      </c>
      <c r="AH116" s="41">
        <v>191285</v>
      </c>
      <c r="AI116" s="41">
        <v>4249285</v>
      </c>
      <c r="AJ116" s="41">
        <v>12166</v>
      </c>
      <c r="AK116" s="41">
        <v>0</v>
      </c>
      <c r="AL116" s="41">
        <v>2841675</v>
      </c>
      <c r="AM116" s="41">
        <v>1103470</v>
      </c>
      <c r="AN116" s="41">
        <v>94496</v>
      </c>
      <c r="AO116" s="41">
        <v>6193</v>
      </c>
      <c r="AP116" s="41">
        <v>0</v>
      </c>
      <c r="AQ116" s="41">
        <v>4045834</v>
      </c>
      <c r="AR116" s="41">
        <v>0</v>
      </c>
      <c r="AS116" s="41">
        <v>4045834</v>
      </c>
      <c r="AT116" s="41">
        <v>0</v>
      </c>
      <c r="AU116" s="41">
        <v>1816</v>
      </c>
      <c r="AV116" s="41">
        <v>0</v>
      </c>
      <c r="AW116" s="41">
        <v>362346192</v>
      </c>
      <c r="AX116" s="41">
        <v>85844399</v>
      </c>
      <c r="AY116" s="41">
        <v>236102192</v>
      </c>
      <c r="AZ116" s="41">
        <v>67760234</v>
      </c>
      <c r="BA116" s="41">
        <v>25740457</v>
      </c>
      <c r="BB116" s="41">
        <v>1974406407</v>
      </c>
      <c r="BC116" s="41">
        <v>3053703664</v>
      </c>
      <c r="BD116" s="41">
        <v>67371847</v>
      </c>
      <c r="BE116" s="41">
        <v>755166463</v>
      </c>
      <c r="BF116" s="41">
        <v>61213972</v>
      </c>
      <c r="BG116" s="41">
        <v>0</v>
      </c>
      <c r="BH116" s="41">
        <v>32646779</v>
      </c>
      <c r="BI116" s="41">
        <v>5002893</v>
      </c>
      <c r="BJ116" s="41">
        <v>5367179</v>
      </c>
      <c r="BK116" s="41">
        <v>41057</v>
      </c>
      <c r="BL116" s="41">
        <v>0</v>
      </c>
      <c r="BM116" s="41">
        <v>24915588</v>
      </c>
      <c r="BN116" s="41">
        <v>73216016</v>
      </c>
      <c r="BO116" s="41">
        <v>1981</v>
      </c>
      <c r="BP116" s="41">
        <v>1170973</v>
      </c>
      <c r="BQ116" s="41">
        <v>195812289</v>
      </c>
      <c r="BR116" s="41">
        <v>0</v>
      </c>
      <c r="BS116" s="42">
        <f>IFERROR(VLOOKUP(A116,'Trans 21-23'!$A$2:$J$229,5,0),0)</f>
        <v>160707737</v>
      </c>
      <c r="BT116" s="43"/>
      <c r="BU116" s="6">
        <f t="shared" si="0"/>
        <v>1974406407</v>
      </c>
      <c r="BV116" s="6">
        <f t="shared" si="1"/>
        <v>1816</v>
      </c>
      <c r="BW116" s="6">
        <f t="shared" si="2"/>
        <v>444908</v>
      </c>
      <c r="BX116" s="6">
        <f t="shared" si="3"/>
        <v>50229556</v>
      </c>
      <c r="BY116" s="6">
        <f t="shared" si="4"/>
        <v>127709094</v>
      </c>
      <c r="BZ116" s="6">
        <f t="shared" si="5"/>
        <v>67760234</v>
      </c>
      <c r="CA116" s="6">
        <f t="shared" si="6"/>
        <v>141580487</v>
      </c>
      <c r="CB116" s="6">
        <f t="shared" si="7"/>
        <v>191285</v>
      </c>
      <c r="CC116" s="6">
        <f t="shared" si="8"/>
        <v>4045834</v>
      </c>
      <c r="CD116" s="6">
        <f t="shared" si="65"/>
        <v>1</v>
      </c>
      <c r="CE116" s="44">
        <f t="shared" si="10"/>
        <v>12</v>
      </c>
      <c r="CF116" s="27"/>
      <c r="CG116" s="28">
        <f t="shared" si="11"/>
        <v>1087.2281976872248</v>
      </c>
      <c r="CH116" s="28">
        <f t="shared" si="12"/>
        <v>4.0817427423197605</v>
      </c>
      <c r="CI116" s="28">
        <f t="shared" si="13"/>
        <v>112.89874760624669</v>
      </c>
      <c r="CJ116" s="28">
        <f t="shared" si="14"/>
        <v>152.30167585208628</v>
      </c>
      <c r="CK116" s="23">
        <f t="shared" si="15"/>
        <v>4.7279497873615184E-2</v>
      </c>
      <c r="CL116" s="29" t="str">
        <f t="shared" si="16"/>
        <v/>
      </c>
      <c r="CM116" s="29" t="str">
        <f t="shared" si="66"/>
        <v/>
      </c>
      <c r="CN116" s="29" t="str">
        <f t="shared" si="18"/>
        <v/>
      </c>
      <c r="CO116" s="29" t="str">
        <f t="shared" si="19"/>
        <v/>
      </c>
      <c r="CP116" s="29" t="str">
        <f t="shared" si="20"/>
        <v/>
      </c>
      <c r="CQ116" s="29">
        <f t="shared" si="21"/>
        <v>0</v>
      </c>
      <c r="CR116" s="13"/>
      <c r="CS116" s="7">
        <f>VLOOKUP(A116,'Empresas 21-23'!$A$2:$M$228,13,0)</f>
        <v>1</v>
      </c>
      <c r="CT116" s="30"/>
      <c r="CU116" s="6">
        <f t="shared" si="22"/>
        <v>1848445498.4000001</v>
      </c>
      <c r="CV116" s="6">
        <f t="shared" si="23"/>
        <v>67760234</v>
      </c>
      <c r="CW116" s="6">
        <f t="shared" si="24"/>
        <v>67371847</v>
      </c>
      <c r="CX116" s="23">
        <f t="shared" si="67"/>
        <v>0.61896855797387773</v>
      </c>
      <c r="CY116" s="23">
        <f t="shared" si="68"/>
        <v>2.2690122247724757E-2</v>
      </c>
      <c r="CZ116" s="6">
        <f t="shared" si="25"/>
        <v>1890146553.3856268</v>
      </c>
      <c r="DA116" s="6">
        <f t="shared" si="26"/>
        <v>69288909.444485009</v>
      </c>
      <c r="DB116" s="6">
        <f t="shared" si="27"/>
        <v>50229556</v>
      </c>
      <c r="DC116" s="6">
        <f t="shared" si="28"/>
        <v>53119116</v>
      </c>
      <c r="DD116" s="6">
        <f t="shared" si="29"/>
        <v>127709094</v>
      </c>
      <c r="DE116" s="6">
        <f t="shared" si="30"/>
        <v>141580487</v>
      </c>
      <c r="DF116" s="6">
        <f t="shared" si="31"/>
        <v>94753209.502165616</v>
      </c>
      <c r="DG116" s="30"/>
      <c r="DH116" s="32">
        <f>VLOOKUP(A116,'T_med_comp-USA'!$A$7:$Q$233,17,0)</f>
        <v>12.269320938323304</v>
      </c>
      <c r="DI116" s="6" t="str">
        <f t="shared" si="32"/>
        <v>9_2009</v>
      </c>
      <c r="DJ116" s="32">
        <f>IF(DI116="","",VLOOKUP(DI116,'CPI USA'!$T:$U,2,FALSE))</f>
        <v>214.53700000000001</v>
      </c>
      <c r="DK116" s="32">
        <f>IF(DI116="","",VLOOKUP(DI116,'PPI USA'!$S:$T,2,FALSE))</f>
        <v>159.1</v>
      </c>
      <c r="DL116" s="32">
        <f>IF(DI116="","",VLOOKUP(DI116,'CPI USA'!$T:$V,3,FALSE))</f>
        <v>0.66997101349938215</v>
      </c>
      <c r="DM116" s="32">
        <f>IF(DI116="","",VLOOKUP(DI116,'CPI USA'!$T:$X,5,FALSE))</f>
        <v>0.49813941766071862</v>
      </c>
      <c r="DN116" s="32">
        <f t="shared" si="33"/>
        <v>1.4932638886873792</v>
      </c>
      <c r="DO116" s="32">
        <f t="shared" si="34"/>
        <v>1.5082750176818205</v>
      </c>
      <c r="DP116" s="32">
        <f t="shared" si="35"/>
        <v>0.64996916001681893</v>
      </c>
      <c r="DQ116" s="32">
        <f>IF(DP116="","",DP116*$DO$1/'CPI USA'!$U$508+(1-DP116)*AVERAGE($DO$1,$DQ$1)/AVERAGE('CPI USA'!$U$508,'PPI USA'!$T$514))</f>
        <v>1.1475638172824274</v>
      </c>
      <c r="DR116" s="6">
        <f t="shared" si="36"/>
        <v>10411129</v>
      </c>
      <c r="DS116" s="32">
        <f t="shared" si="37"/>
        <v>0.2</v>
      </c>
      <c r="DT116" s="28">
        <f>IF(DS116="","",DS116*$DO$1/'CPI USA'!$U$508+(1-DS116)*AVERAGE($DO$1,$DQ$1)/AVERAGE('CPI USA'!$U$508,'PPI USA'!$T$514))</f>
        <v>1.1741595760647974</v>
      </c>
      <c r="DU116" s="6">
        <f t="shared" si="38"/>
        <v>24916262.139109507</v>
      </c>
      <c r="DV116" s="6">
        <f t="shared" si="39"/>
        <v>149893.56538836801</v>
      </c>
      <c r="DW116" s="6">
        <f t="shared" si="40"/>
        <v>14741258.60983674</v>
      </c>
      <c r="DX116" s="16">
        <f t="shared" si="41"/>
        <v>0.2</v>
      </c>
      <c r="DY116" s="28">
        <f>IF(DX116="","",DX116*$DO$1/'CPI USA'!$U$508+(1-DX116)*AVERAGE($DO$1,$DQ$1)/AVERAGE('CPI USA'!$U$508,'PPI USA'!$T$514))</f>
        <v>1.1741595760647974</v>
      </c>
      <c r="DZ116" s="30"/>
      <c r="EA116" s="45" t="str">
        <f t="shared" si="42"/>
        <v>C001309</v>
      </c>
      <c r="EB116" s="29">
        <f t="shared" si="43"/>
        <v>2822487592.4976683</v>
      </c>
      <c r="EC116" s="29">
        <f t="shared" si="44"/>
        <v>104506731.11753468</v>
      </c>
      <c r="ED116" s="29">
        <f t="shared" si="45"/>
        <v>60957575.527628064</v>
      </c>
      <c r="EE116" s="29">
        <f t="shared" si="46"/>
        <v>149950855.67065936</v>
      </c>
      <c r="EF116" s="29">
        <f t="shared" si="47"/>
        <v>111255388.2998417</v>
      </c>
      <c r="EG116" s="29">
        <f t="shared" si="48"/>
        <v>1816</v>
      </c>
      <c r="EH116" s="29">
        <f t="shared" si="49"/>
        <v>444908</v>
      </c>
      <c r="EI116" s="29">
        <f t="shared" si="50"/>
        <v>191285</v>
      </c>
      <c r="EJ116" s="29">
        <f t="shared" si="51"/>
        <v>4045834</v>
      </c>
      <c r="EK116" s="29">
        <f t="shared" si="52"/>
        <v>4237119</v>
      </c>
      <c r="EL116" s="29">
        <f>IF(CD116=1,VLOOKUP(EA116,'EIA 2021'!$A$2:$J$213,4,0)*EH116,"")</f>
        <v>30609670.399999999</v>
      </c>
      <c r="EM116" s="29">
        <f>IF(CD116=1,VLOOKUP(EA116,'EIA 2021'!$A$2:$J$213,7,0)*EH116,"")</f>
        <v>635773.53200000001</v>
      </c>
      <c r="EN116" s="29">
        <f>IF(CD116=1,VLOOKUP(EA116,'EIA 2021'!$A$2:$J$213,10,0),"")</f>
        <v>501946</v>
      </c>
      <c r="EO116" s="28">
        <f>IF(CD116=1,VLOOKUP(EA116,'EIA 2021'!$A$2:$Z$213,26,0),"")</f>
        <v>0</v>
      </c>
      <c r="EP116" s="23">
        <f t="shared" si="53"/>
        <v>4.5145062010295202E-2</v>
      </c>
      <c r="EQ116" s="32">
        <f t="shared" si="54"/>
        <v>0</v>
      </c>
      <c r="ER116" s="32">
        <f t="shared" si="55"/>
        <v>191285</v>
      </c>
      <c r="ES116" s="6"/>
      <c r="ET116" s="32"/>
    </row>
    <row r="117" spans="1:150" ht="15.75" customHeight="1">
      <c r="A117" s="7" t="s">
        <v>553</v>
      </c>
      <c r="B117" s="7" t="s">
        <v>554</v>
      </c>
      <c r="C117" s="32" t="s">
        <v>555</v>
      </c>
      <c r="D117" s="40">
        <v>182149937</v>
      </c>
      <c r="E117" s="40">
        <v>0</v>
      </c>
      <c r="F117" s="40">
        <v>72026503</v>
      </c>
      <c r="G117" s="40">
        <v>161330462</v>
      </c>
      <c r="H117" s="40">
        <v>170090051</v>
      </c>
      <c r="I117" s="40">
        <v>6746266</v>
      </c>
      <c r="J117" s="40">
        <v>308221</v>
      </c>
      <c r="K117" s="40">
        <v>0</v>
      </c>
      <c r="L117" s="40">
        <v>1650771</v>
      </c>
      <c r="M117" s="40">
        <v>2358953</v>
      </c>
      <c r="N117" s="40">
        <v>2175572</v>
      </c>
      <c r="O117" s="40">
        <v>4033477</v>
      </c>
      <c r="P117" s="40">
        <v>60761</v>
      </c>
      <c r="Q117" s="40">
        <v>640519</v>
      </c>
      <c r="R117" s="40">
        <v>824648</v>
      </c>
      <c r="S117" s="40">
        <v>6121172</v>
      </c>
      <c r="T117" s="40">
        <v>40012622</v>
      </c>
      <c r="U117" s="40">
        <v>5000359</v>
      </c>
      <c r="V117" s="40">
        <v>1946579</v>
      </c>
      <c r="W117" s="40">
        <v>401605</v>
      </c>
      <c r="X117" s="40">
        <f>IFERROR(VLOOKUP(A117,'Trans 21-23'!$A$2:$J$229,6,0),0)</f>
        <v>0</v>
      </c>
      <c r="Y117" s="41">
        <v>1944397</v>
      </c>
      <c r="Z117" s="41">
        <v>1536822</v>
      </c>
      <c r="AA117" s="41">
        <v>17584505</v>
      </c>
      <c r="AB117" s="41">
        <v>3521827</v>
      </c>
      <c r="AC117" s="41">
        <v>0</v>
      </c>
      <c r="AD117" s="41">
        <v>134376325</v>
      </c>
      <c r="AE117" s="41">
        <v>0</v>
      </c>
      <c r="AF117" s="41">
        <v>860959652</v>
      </c>
      <c r="AG117" s="41">
        <v>516323</v>
      </c>
      <c r="AH117" s="41">
        <v>464181</v>
      </c>
      <c r="AI117" s="41">
        <v>14364364</v>
      </c>
      <c r="AJ117" s="41">
        <v>21304</v>
      </c>
      <c r="AK117" s="41">
        <v>0</v>
      </c>
      <c r="AL117" s="41">
        <v>5172106</v>
      </c>
      <c r="AM117" s="41">
        <v>1773595</v>
      </c>
      <c r="AN117" s="41">
        <v>6004315</v>
      </c>
      <c r="AO117" s="41">
        <v>20860</v>
      </c>
      <c r="AP117" s="41">
        <v>0</v>
      </c>
      <c r="AQ117" s="41">
        <v>12970876</v>
      </c>
      <c r="AR117" s="41">
        <v>908003</v>
      </c>
      <c r="AS117" s="41">
        <v>13878879</v>
      </c>
      <c r="AT117" s="41">
        <v>0</v>
      </c>
      <c r="AU117" s="41">
        <v>2665</v>
      </c>
      <c r="AV117" s="41">
        <v>0</v>
      </c>
      <c r="AW117" s="41">
        <v>316199825</v>
      </c>
      <c r="AX117" s="41">
        <v>143021266</v>
      </c>
      <c r="AY117" s="41">
        <v>317362487</v>
      </c>
      <c r="AZ117" s="41">
        <v>116193904</v>
      </c>
      <c r="BA117" s="41">
        <v>69069511</v>
      </c>
      <c r="BB117" s="41">
        <v>1831029153</v>
      </c>
      <c r="BC117" s="41">
        <v>6764929222</v>
      </c>
      <c r="BD117" s="41">
        <v>257955289</v>
      </c>
      <c r="BE117" s="41">
        <v>1187188290</v>
      </c>
      <c r="BF117" s="41">
        <v>45649458</v>
      </c>
      <c r="BG117" s="41">
        <v>0</v>
      </c>
      <c r="BH117" s="41">
        <v>27195211</v>
      </c>
      <c r="BI117" s="41">
        <v>8318822</v>
      </c>
      <c r="BJ117" s="41">
        <v>840893</v>
      </c>
      <c r="BK117" s="41">
        <v>0</v>
      </c>
      <c r="BL117" s="41">
        <v>0</v>
      </c>
      <c r="BM117" s="41">
        <v>29235096</v>
      </c>
      <c r="BN117" s="41">
        <v>123424236</v>
      </c>
      <c r="BO117" s="41">
        <v>8360891</v>
      </c>
      <c r="BP117" s="41">
        <v>717261</v>
      </c>
      <c r="BQ117" s="41">
        <v>137321628</v>
      </c>
      <c r="BR117" s="41">
        <v>0</v>
      </c>
      <c r="BS117" s="42">
        <f>IFERROR(VLOOKUP(A117,'Trans 21-23'!$A$2:$J$229,5,0),0)</f>
        <v>0</v>
      </c>
      <c r="BT117" s="43"/>
      <c r="BU117" s="6">
        <f t="shared" si="0"/>
        <v>1831029153</v>
      </c>
      <c r="BV117" s="6">
        <f t="shared" si="1"/>
        <v>2665</v>
      </c>
      <c r="BW117" s="6">
        <f t="shared" si="2"/>
        <v>516323</v>
      </c>
      <c r="BX117" s="6">
        <f t="shared" si="3"/>
        <v>72281525</v>
      </c>
      <c r="BY117" s="6">
        <f t="shared" si="4"/>
        <v>24587551</v>
      </c>
      <c r="BZ117" s="6">
        <f t="shared" si="5"/>
        <v>116193904</v>
      </c>
      <c r="CA117" s="6">
        <f t="shared" si="6"/>
        <v>134376325</v>
      </c>
      <c r="CB117" s="6">
        <f t="shared" si="7"/>
        <v>464181</v>
      </c>
      <c r="CC117" s="6">
        <f t="shared" si="8"/>
        <v>12970876</v>
      </c>
      <c r="CD117" s="6">
        <f t="shared" si="65"/>
        <v>1</v>
      </c>
      <c r="CE117" s="44">
        <f t="shared" si="10"/>
        <v>14</v>
      </c>
      <c r="CF117" s="27"/>
      <c r="CG117" s="28">
        <f t="shared" si="11"/>
        <v>687.06534821763603</v>
      </c>
      <c r="CH117" s="28">
        <f t="shared" si="12"/>
        <v>5.1614977446288464</v>
      </c>
      <c r="CI117" s="28">
        <f t="shared" si="13"/>
        <v>139.99284362695445</v>
      </c>
      <c r="CJ117" s="28">
        <f t="shared" si="14"/>
        <v>225.04111573569259</v>
      </c>
      <c r="CK117" s="23">
        <f t="shared" si="15"/>
        <v>3.5786403323877281E-2</v>
      </c>
      <c r="CL117" s="29" t="str">
        <f t="shared" si="16"/>
        <v/>
      </c>
      <c r="CM117" s="29" t="str">
        <f t="shared" si="66"/>
        <v/>
      </c>
      <c r="CN117" s="29" t="str">
        <f t="shared" si="18"/>
        <v/>
      </c>
      <c r="CO117" s="29" t="str">
        <f t="shared" si="19"/>
        <v/>
      </c>
      <c r="CP117" s="29" t="str">
        <f t="shared" si="20"/>
        <v/>
      </c>
      <c r="CQ117" s="29">
        <f t="shared" si="21"/>
        <v>0</v>
      </c>
      <c r="CR117" s="13"/>
      <c r="CS117" s="7">
        <f>VLOOKUP(A117,'Empresas 21-23'!$A$2:$M$228,13,0)</f>
        <v>1</v>
      </c>
      <c r="CT117" s="30"/>
      <c r="CU117" s="6">
        <f t="shared" si="22"/>
        <v>1369535486.2</v>
      </c>
      <c r="CV117" s="6">
        <f t="shared" si="23"/>
        <v>116193904</v>
      </c>
      <c r="CW117" s="6">
        <f t="shared" si="24"/>
        <v>257955289</v>
      </c>
      <c r="CX117" s="23">
        <f t="shared" si="67"/>
        <v>0.21047194906597455</v>
      </c>
      <c r="CY117" s="23">
        <f t="shared" si="68"/>
        <v>1.7856826413692042E-2</v>
      </c>
      <c r="CZ117" s="6">
        <f t="shared" si="25"/>
        <v>1423827838.6477067</v>
      </c>
      <c r="DA117" s="6">
        <f t="shared" si="26"/>
        <v>120800166.81816676</v>
      </c>
      <c r="DB117" s="6">
        <f t="shared" si="27"/>
        <v>72281525</v>
      </c>
      <c r="DC117" s="6">
        <f t="shared" si="28"/>
        <v>72281525</v>
      </c>
      <c r="DD117" s="6">
        <f t="shared" si="29"/>
        <v>24587551</v>
      </c>
      <c r="DE117" s="6">
        <f t="shared" si="30"/>
        <v>134376325</v>
      </c>
      <c r="DF117" s="6">
        <f t="shared" si="31"/>
        <v>43057180.047444329</v>
      </c>
      <c r="DG117" s="30"/>
      <c r="DH117" s="32">
        <f>VLOOKUP(A117,'T_med_comp-USA'!$A$7:$Q$233,17,0)</f>
        <v>22.599804241829233</v>
      </c>
      <c r="DI117" s="6" t="str">
        <f t="shared" si="32"/>
        <v>6_1999</v>
      </c>
      <c r="DJ117" s="32">
        <f>IF(DI117="","",VLOOKUP(DI117,'CPI USA'!$T:$U,2,FALSE))</f>
        <v>166.6</v>
      </c>
      <c r="DK117" s="32">
        <f>IF(DI117="","",VLOOKUP(DI117,'PPI USA'!$S:$T,2,FALSE))</f>
        <v>108.4</v>
      </c>
      <c r="DL117" s="32">
        <f>IF(DI117="","",VLOOKUP(DI117,'CPI USA'!$T:$V,3,FALSE))</f>
        <v>0.68171861002498191</v>
      </c>
      <c r="DM117" s="32">
        <f>IF(DI117="","",VLOOKUP(DI117,'CPI USA'!$T:$X,5,FALSE))</f>
        <v>0.51154414520416192</v>
      </c>
      <c r="DN117" s="32">
        <f t="shared" si="33"/>
        <v>1.9566489114506975</v>
      </c>
      <c r="DO117" s="32">
        <f t="shared" si="34"/>
        <v>1.994527155423238</v>
      </c>
      <c r="DP117" s="32">
        <f t="shared" si="35"/>
        <v>0.40172705202461351</v>
      </c>
      <c r="DQ117" s="32">
        <f>IF(DP117="","",DP117*$DO$1/'CPI USA'!$U$508+(1-DP117)*AVERAGE($DO$1,$DQ$1)/AVERAGE('CPI USA'!$U$508,'PPI USA'!$T$514))</f>
        <v>1.1622363500034276</v>
      </c>
      <c r="DR117" s="6">
        <f t="shared" si="36"/>
        <v>9159715</v>
      </c>
      <c r="DS117" s="32">
        <f t="shared" si="37"/>
        <v>0.39777056215425205</v>
      </c>
      <c r="DT117" s="28">
        <f>IF(DS117="","",DS117*$DO$1/'CPI USA'!$U$508+(1-DS117)*AVERAGE($DO$1,$DQ$1)/AVERAGE('CPI USA'!$U$508,'PPI USA'!$T$514))</f>
        <v>1.162470201252729</v>
      </c>
      <c r="DU117" s="6">
        <f t="shared" si="38"/>
        <v>31215512.966328524</v>
      </c>
      <c r="DV117" s="6">
        <f t="shared" si="39"/>
        <v>153503.10281117147</v>
      </c>
      <c r="DW117" s="6">
        <f t="shared" si="40"/>
        <v>9239824.3233718257</v>
      </c>
      <c r="DX117" s="16">
        <f t="shared" si="41"/>
        <v>0.21459427471075776</v>
      </c>
      <c r="DY117" s="28">
        <f>IF(DX117="","",DX117*$DO$1/'CPI USA'!$U$508+(1-DX117)*AVERAGE($DO$1,$DQ$1)/AVERAGE('CPI USA'!$U$508,'PPI USA'!$T$514))</f>
        <v>1.1732969707035845</v>
      </c>
      <c r="DZ117" s="30"/>
      <c r="EA117" s="45" t="str">
        <f t="shared" si="42"/>
        <v>C001315</v>
      </c>
      <c r="EB117" s="29">
        <f t="shared" si="43"/>
        <v>2785931190.5832348</v>
      </c>
      <c r="EC117" s="29">
        <f t="shared" si="44"/>
        <v>240939213.09849077</v>
      </c>
      <c r="ED117" s="29">
        <f t="shared" si="45"/>
        <v>84008215.788681507</v>
      </c>
      <c r="EE117" s="29">
        <f t="shared" si="46"/>
        <v>28582295.359281737</v>
      </c>
      <c r="EF117" s="29">
        <f t="shared" si="47"/>
        <v>50518858.916705251</v>
      </c>
      <c r="EG117" s="29">
        <f t="shared" si="48"/>
        <v>2665</v>
      </c>
      <c r="EH117" s="29">
        <f t="shared" si="49"/>
        <v>516323</v>
      </c>
      <c r="EI117" s="29">
        <f t="shared" si="50"/>
        <v>464181</v>
      </c>
      <c r="EJ117" s="29">
        <f t="shared" si="51"/>
        <v>12970876</v>
      </c>
      <c r="EK117" s="29">
        <f t="shared" si="52"/>
        <v>13421229.543147208</v>
      </c>
      <c r="EL117" s="29">
        <f>IF(CD117=1,VLOOKUP(EA117,'EIA 2021'!$A$2:$J$213,4,0)*EH117,"")</f>
        <v>53926323.089000002</v>
      </c>
      <c r="EM117" s="29">
        <f>IF(CD117=1,VLOOKUP(EA117,'EIA 2021'!$A$2:$J$213,7,0)*EH117,"")</f>
        <v>829731.06099999999</v>
      </c>
      <c r="EN117" s="29">
        <f>IF(CD117=1,VLOOKUP(EA117,'EIA 2021'!$A$2:$J$213,10,0),"")</f>
        <v>524445</v>
      </c>
      <c r="EO117" s="28">
        <f>IF(CD117=1,VLOOKUP(EA117,'EIA 2021'!$A$2:$Z$213,26,0),"")</f>
        <v>0</v>
      </c>
      <c r="EP117" s="23">
        <f t="shared" si="53"/>
        <v>3.3555311881030725E-2</v>
      </c>
      <c r="EQ117" s="32">
        <f t="shared" si="54"/>
        <v>13827.456852791947</v>
      </c>
      <c r="ER117" s="32">
        <f t="shared" si="55"/>
        <v>450353.54314720805</v>
      </c>
      <c r="ES117" s="6"/>
      <c r="ET117" s="32"/>
    </row>
    <row r="118" spans="1:150" ht="15.75" customHeight="1">
      <c r="A118" s="7" t="s">
        <v>556</v>
      </c>
      <c r="B118" s="7" t="s">
        <v>557</v>
      </c>
      <c r="C118" s="32" t="s">
        <v>558</v>
      </c>
      <c r="D118" s="40">
        <v>273885556</v>
      </c>
      <c r="E118" s="40">
        <v>0</v>
      </c>
      <c r="F118" s="40">
        <v>192034482</v>
      </c>
      <c r="G118" s="40">
        <v>604867730</v>
      </c>
      <c r="H118" s="40">
        <v>609813658</v>
      </c>
      <c r="I118" s="40">
        <v>9486</v>
      </c>
      <c r="J118" s="40">
        <v>1061795</v>
      </c>
      <c r="K118" s="40">
        <v>3821197</v>
      </c>
      <c r="L118" s="40">
        <v>1044884</v>
      </c>
      <c r="M118" s="40">
        <v>1556656</v>
      </c>
      <c r="N118" s="40">
        <v>10648</v>
      </c>
      <c r="O118" s="40">
        <v>12036557</v>
      </c>
      <c r="P118" s="40">
        <v>0</v>
      </c>
      <c r="Q118" s="40">
        <v>14554</v>
      </c>
      <c r="R118" s="40">
        <v>24446</v>
      </c>
      <c r="S118" s="40">
        <v>5118410</v>
      </c>
      <c r="T118" s="40">
        <v>47260877</v>
      </c>
      <c r="U118" s="40">
        <v>4457078</v>
      </c>
      <c r="V118" s="40">
        <v>634757</v>
      </c>
      <c r="W118" s="40">
        <v>0</v>
      </c>
      <c r="X118" s="40">
        <f>IFERROR(VLOOKUP(A118,'Trans 21-23'!$A$2:$J$229,6,0),0)</f>
        <v>0</v>
      </c>
      <c r="Y118" s="41">
        <v>2824032</v>
      </c>
      <c r="Z118" s="41">
        <v>0</v>
      </c>
      <c r="AA118" s="41">
        <v>41225386</v>
      </c>
      <c r="AB118" s="41">
        <v>41848210</v>
      </c>
      <c r="AC118" s="41">
        <v>80260</v>
      </c>
      <c r="AD118" s="41">
        <v>109624318</v>
      </c>
      <c r="AE118" s="41">
        <v>0</v>
      </c>
      <c r="AF118" s="41">
        <v>2245478766</v>
      </c>
      <c r="AG118" s="41">
        <v>1144828</v>
      </c>
      <c r="AH118" s="41">
        <v>760217</v>
      </c>
      <c r="AI118" s="41">
        <v>30777487</v>
      </c>
      <c r="AJ118" s="41">
        <v>47399</v>
      </c>
      <c r="AK118" s="41">
        <v>0</v>
      </c>
      <c r="AL118" s="41">
        <v>8198060</v>
      </c>
      <c r="AM118" s="41">
        <v>8595922</v>
      </c>
      <c r="AN118" s="41">
        <v>6656591</v>
      </c>
      <c r="AO118" s="41">
        <v>118402</v>
      </c>
      <c r="AP118" s="41">
        <v>87</v>
      </c>
      <c r="AQ118" s="41">
        <v>23573061</v>
      </c>
      <c r="AR118" s="41">
        <v>6396810</v>
      </c>
      <c r="AS118" s="41">
        <v>29969871</v>
      </c>
      <c r="AT118" s="41">
        <v>0</v>
      </c>
      <c r="AU118" s="41">
        <v>5281</v>
      </c>
      <c r="AV118" s="41">
        <v>0</v>
      </c>
      <c r="AW118" s="41">
        <v>970574726</v>
      </c>
      <c r="AX118" s="41">
        <v>268928595</v>
      </c>
      <c r="AY118" s="41">
        <v>1457982766</v>
      </c>
      <c r="AZ118" s="41">
        <v>232000643</v>
      </c>
      <c r="BA118" s="41">
        <v>45118703</v>
      </c>
      <c r="BB118" s="41">
        <v>5549991393</v>
      </c>
      <c r="BC118" s="41">
        <v>9284037290</v>
      </c>
      <c r="BD118" s="41">
        <v>229486608</v>
      </c>
      <c r="BE118" s="41">
        <v>1818350207</v>
      </c>
      <c r="BF118" s="41">
        <v>139872775</v>
      </c>
      <c r="BG118" s="41">
        <v>0</v>
      </c>
      <c r="BH118" s="41">
        <v>25612464</v>
      </c>
      <c r="BI118" s="41">
        <v>5157301</v>
      </c>
      <c r="BJ118" s="41">
        <v>8866423</v>
      </c>
      <c r="BK118" s="41">
        <v>0</v>
      </c>
      <c r="BL118" s="41">
        <v>0</v>
      </c>
      <c r="BM118" s="41">
        <v>43683091</v>
      </c>
      <c r="BN118" s="41">
        <v>157339088</v>
      </c>
      <c r="BO118" s="41">
        <v>7504301</v>
      </c>
      <c r="BP118" s="41">
        <v>31968584</v>
      </c>
      <c r="BQ118" s="41">
        <v>284374839</v>
      </c>
      <c r="BR118" s="41">
        <v>3999</v>
      </c>
      <c r="BS118" s="42">
        <f>IFERROR(VLOOKUP(A118,'Trans 21-23'!$A$2:$J$229,5,0),0)</f>
        <v>0</v>
      </c>
      <c r="BT118" s="43"/>
      <c r="BU118" s="6">
        <f t="shared" si="0"/>
        <v>5549991393</v>
      </c>
      <c r="BV118" s="6">
        <f t="shared" si="1"/>
        <v>5281</v>
      </c>
      <c r="BW118" s="6">
        <f t="shared" si="2"/>
        <v>1144828</v>
      </c>
      <c r="BX118" s="6">
        <f t="shared" si="3"/>
        <v>77051345</v>
      </c>
      <c r="BY118" s="6">
        <f t="shared" si="4"/>
        <v>85977888</v>
      </c>
      <c r="BZ118" s="6">
        <f t="shared" si="5"/>
        <v>232000643</v>
      </c>
      <c r="CA118" s="6">
        <f t="shared" si="6"/>
        <v>109624318</v>
      </c>
      <c r="CB118" s="6">
        <f t="shared" si="7"/>
        <v>760217</v>
      </c>
      <c r="CC118" s="6">
        <f t="shared" si="8"/>
        <v>23573061</v>
      </c>
      <c r="CD118" s="6">
        <f t="shared" si="65"/>
        <v>1</v>
      </c>
      <c r="CE118" s="44">
        <f t="shared" si="10"/>
        <v>13</v>
      </c>
      <c r="CF118" s="27"/>
      <c r="CG118" s="28">
        <f t="shared" si="11"/>
        <v>1050.9356926718424</v>
      </c>
      <c r="CH118" s="28">
        <f t="shared" si="12"/>
        <v>4.6129200194264994</v>
      </c>
      <c r="CI118" s="28">
        <f t="shared" si="13"/>
        <v>67.303861366074202</v>
      </c>
      <c r="CJ118" s="28">
        <f t="shared" si="14"/>
        <v>202.65109081888284</v>
      </c>
      <c r="CK118" s="23">
        <f t="shared" si="15"/>
        <v>3.2249396885707798E-2</v>
      </c>
      <c r="CL118" s="29" t="str">
        <f t="shared" si="16"/>
        <v/>
      </c>
      <c r="CM118" s="29" t="str">
        <f t="shared" si="66"/>
        <v/>
      </c>
      <c r="CN118" s="29" t="str">
        <f t="shared" si="18"/>
        <v/>
      </c>
      <c r="CO118" s="29" t="str">
        <f t="shared" si="19"/>
        <v/>
      </c>
      <c r="CP118" s="29" t="str">
        <f t="shared" si="20"/>
        <v/>
      </c>
      <c r="CQ118" s="29">
        <f t="shared" si="21"/>
        <v>0</v>
      </c>
      <c r="CR118" s="13"/>
      <c r="CS118" s="7">
        <f>VLOOKUP(A118,'Empresas 21-23'!$A$2:$M$228,13,0)</f>
        <v>1</v>
      </c>
      <c r="CT118" s="30"/>
      <c r="CU118" s="6">
        <f t="shared" si="22"/>
        <v>4236725230.4000001</v>
      </c>
      <c r="CV118" s="6">
        <f t="shared" si="23"/>
        <v>232000643</v>
      </c>
      <c r="CW118" s="6">
        <f t="shared" si="24"/>
        <v>229486608</v>
      </c>
      <c r="CX118" s="23">
        <f t="shared" si="67"/>
        <v>0.4679111508892872</v>
      </c>
      <c r="CY118" s="23">
        <f t="shared" si="68"/>
        <v>2.5622546181248488E-2</v>
      </c>
      <c r="CZ118" s="6">
        <f t="shared" si="25"/>
        <v>4344104573.2629585</v>
      </c>
      <c r="DA118" s="6">
        <f t="shared" si="26"/>
        <v>237880674.21145806</v>
      </c>
      <c r="DB118" s="6">
        <f t="shared" si="27"/>
        <v>77051345</v>
      </c>
      <c r="DC118" s="6">
        <f t="shared" si="28"/>
        <v>77051345</v>
      </c>
      <c r="DD118" s="6">
        <f t="shared" si="29"/>
        <v>85977888</v>
      </c>
      <c r="DE118" s="6">
        <f t="shared" si="30"/>
        <v>109624318</v>
      </c>
      <c r="DF118" s="6">
        <f t="shared" si="31"/>
        <v>16858427.163104996</v>
      </c>
      <c r="DG118" s="30"/>
      <c r="DH118" s="32">
        <f>VLOOKUP(A118,'T_med_comp-USA'!$A$7:$Q$233,17,0)</f>
        <v>12.806899139137409</v>
      </c>
      <c r="DI118" s="6" t="str">
        <f t="shared" si="32"/>
        <v>3_2009</v>
      </c>
      <c r="DJ118" s="32">
        <f>IF(DI118="","",VLOOKUP(DI118,'CPI USA'!$T:$U,2,FALSE))</f>
        <v>214.53700000000001</v>
      </c>
      <c r="DK118" s="32">
        <f>IF(DI118="","",VLOOKUP(DI118,'PPI USA'!$S:$T,2,FALSE))</f>
        <v>159.1</v>
      </c>
      <c r="DL118" s="32">
        <f>IF(DI118="","",VLOOKUP(DI118,'CPI USA'!$T:$V,3,FALSE))</f>
        <v>0.66997101349938215</v>
      </c>
      <c r="DM118" s="32">
        <f>IF(DI118="","",VLOOKUP(DI118,'CPI USA'!$T:$X,5,FALSE))</f>
        <v>0.49813941766071862</v>
      </c>
      <c r="DN118" s="32">
        <f t="shared" si="33"/>
        <v>1.4932638886873792</v>
      </c>
      <c r="DO118" s="32">
        <f t="shared" si="34"/>
        <v>1.5082750176818205</v>
      </c>
      <c r="DP118" s="32">
        <f t="shared" si="35"/>
        <v>0.34826196244714624</v>
      </c>
      <c r="DQ118" s="32">
        <f>IF(DP118="","",DP118*$DO$1/'CPI USA'!$U$508+(1-DP118)*AVERAGE($DO$1,$DQ$1)/AVERAGE('CPI USA'!$U$508,'PPI USA'!$T$514))</f>
        <v>1.1653964435210078</v>
      </c>
      <c r="DR118" s="6">
        <f t="shared" si="36"/>
        <v>14023724</v>
      </c>
      <c r="DS118" s="32">
        <f t="shared" si="37"/>
        <v>0.2</v>
      </c>
      <c r="DT118" s="28">
        <f>IF(DS118="","",DS118*$DO$1/'CPI USA'!$U$508+(1-DS118)*AVERAGE($DO$1,$DQ$1)/AVERAGE('CPI USA'!$U$508,'PPI USA'!$T$514))</f>
        <v>1.1741595760647974</v>
      </c>
      <c r="DU118" s="6">
        <f t="shared" si="38"/>
        <v>45766559.689448558</v>
      </c>
      <c r="DV118" s="6">
        <f t="shared" si="39"/>
        <v>5532693.9659761759</v>
      </c>
      <c r="DW118" s="6">
        <f t="shared" si="40"/>
        <v>12923087.886120846</v>
      </c>
      <c r="DX118" s="16">
        <f t="shared" si="41"/>
        <v>0.76656545483693062</v>
      </c>
      <c r="DY118" s="28">
        <f>IF(DX118="","",DX118*$DO$1/'CPI USA'!$U$508+(1-DX118)*AVERAGE($DO$1,$DQ$1)/AVERAGE('CPI USA'!$U$508,'PPI USA'!$T$514))</f>
        <v>1.1406723073579741</v>
      </c>
      <c r="DZ118" s="30"/>
      <c r="EA118" s="45" t="str">
        <f t="shared" si="42"/>
        <v>C001316</v>
      </c>
      <c r="EB118" s="29">
        <f t="shared" si="43"/>
        <v>6486894487.9352732</v>
      </c>
      <c r="EC118" s="29">
        <f t="shared" si="44"/>
        <v>358789478.10245025</v>
      </c>
      <c r="ED118" s="29">
        <f t="shared" si="45"/>
        <v>89795363.43151018</v>
      </c>
      <c r="EE118" s="29">
        <f t="shared" si="46"/>
        <v>100951760.52502663</v>
      </c>
      <c r="EF118" s="29">
        <f t="shared" si="47"/>
        <v>19229941.010565322</v>
      </c>
      <c r="EG118" s="29">
        <f t="shared" si="48"/>
        <v>5281</v>
      </c>
      <c r="EH118" s="29">
        <f t="shared" si="49"/>
        <v>1144828</v>
      </c>
      <c r="EI118" s="29">
        <f t="shared" si="50"/>
        <v>760217</v>
      </c>
      <c r="EJ118" s="29">
        <f t="shared" si="51"/>
        <v>23573061</v>
      </c>
      <c r="EK118" s="29">
        <f t="shared" si="52"/>
        <v>24235864.649746194</v>
      </c>
      <c r="EL118" s="29">
        <f>IF(CD118=1,VLOOKUP(EA118,'EIA 2021'!$A$2:$J$213,4,0)*EH118,"")</f>
        <v>116772456</v>
      </c>
      <c r="EM118" s="29">
        <f>IF(CD118=1,VLOOKUP(EA118,'EIA 2021'!$A$2:$J$213,7,0)*EH118,"")</f>
        <v>1293655.6399999999</v>
      </c>
      <c r="EN118" s="29">
        <f>IF(CD118=1,VLOOKUP(EA118,'EIA 2021'!$A$2:$J$213,10,0),"")</f>
        <v>1169045</v>
      </c>
      <c r="EO118" s="28">
        <f>IF(CD118=1,VLOOKUP(EA118,'EIA 2021'!$A$2:$Z$213,26,0),"")</f>
        <v>0</v>
      </c>
      <c r="EP118" s="23">
        <f t="shared" si="53"/>
        <v>2.7348050474986198E-2</v>
      </c>
      <c r="EQ118" s="32">
        <f t="shared" si="54"/>
        <v>97413.350253807381</v>
      </c>
      <c r="ER118" s="32">
        <f t="shared" si="55"/>
        <v>662803.64974619262</v>
      </c>
      <c r="ES118" s="6"/>
      <c r="ET118" s="32"/>
    </row>
    <row r="119" spans="1:150" ht="15.75" customHeight="1">
      <c r="A119" s="7" t="s">
        <v>559</v>
      </c>
      <c r="B119" s="7" t="s">
        <v>560</v>
      </c>
      <c r="C119" s="32" t="s">
        <v>561</v>
      </c>
      <c r="D119" s="40">
        <v>0</v>
      </c>
      <c r="E119" s="40">
        <v>0</v>
      </c>
      <c r="F119" s="40">
        <v>0</v>
      </c>
      <c r="G119" s="40">
        <v>495466</v>
      </c>
      <c r="H119" s="40">
        <v>495466</v>
      </c>
      <c r="I119" s="40">
        <v>0</v>
      </c>
      <c r="J119" s="40">
        <v>0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23934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f>IFERROR(VLOOKUP(A119,'Trans 21-23'!$A$2:$J$229,6,0),0)</f>
        <v>0</v>
      </c>
      <c r="Y119" s="41">
        <v>0</v>
      </c>
      <c r="Z119" s="41">
        <v>0</v>
      </c>
      <c r="AA119" s="41">
        <v>86775</v>
      </c>
      <c r="AB119" s="41">
        <v>89</v>
      </c>
      <c r="AC119" s="41">
        <v>0</v>
      </c>
      <c r="AD119" s="41">
        <v>51376169</v>
      </c>
      <c r="AE119" s="41">
        <v>0</v>
      </c>
      <c r="AF119" s="41">
        <v>186795573</v>
      </c>
      <c r="AG119" s="41">
        <v>0</v>
      </c>
      <c r="AH119" s="41">
        <v>0</v>
      </c>
      <c r="AI119" s="41">
        <v>5990553</v>
      </c>
      <c r="AJ119" s="41">
        <v>890</v>
      </c>
      <c r="AK119" s="41">
        <v>0</v>
      </c>
      <c r="AL119" s="41">
        <v>0</v>
      </c>
      <c r="AM119" s="41">
        <v>0</v>
      </c>
      <c r="AN119" s="41">
        <v>0</v>
      </c>
      <c r="AO119" s="41">
        <v>0</v>
      </c>
      <c r="AP119" s="41">
        <v>0</v>
      </c>
      <c r="AQ119" s="41">
        <v>0</v>
      </c>
      <c r="AR119" s="41">
        <v>5989663</v>
      </c>
      <c r="AS119" s="41">
        <v>5989663</v>
      </c>
      <c r="AT119" s="41">
        <v>0</v>
      </c>
      <c r="AU119" s="41">
        <v>2944</v>
      </c>
      <c r="AV119" s="41">
        <v>0</v>
      </c>
      <c r="AW119" s="41">
        <v>0</v>
      </c>
      <c r="AX119" s="41">
        <v>0</v>
      </c>
      <c r="AY119" s="41">
        <v>0</v>
      </c>
      <c r="AZ119" s="41">
        <v>0</v>
      </c>
      <c r="BA119" s="41">
        <v>0</v>
      </c>
      <c r="BB119" s="41">
        <v>0</v>
      </c>
      <c r="BC119" s="41">
        <v>1958702645</v>
      </c>
      <c r="BD119" s="41">
        <v>10526948</v>
      </c>
      <c r="BE119" s="41">
        <v>0</v>
      </c>
      <c r="BF119" s="41">
        <v>0</v>
      </c>
      <c r="BG119" s="41">
        <v>0</v>
      </c>
      <c r="BH119" s="41">
        <v>23631</v>
      </c>
      <c r="BI119" s="41">
        <v>4490</v>
      </c>
      <c r="BJ119" s="41">
        <v>0</v>
      </c>
      <c r="BK119" s="41">
        <v>0</v>
      </c>
      <c r="BL119" s="41">
        <v>0</v>
      </c>
      <c r="BM119" s="41">
        <v>8138362</v>
      </c>
      <c r="BN119" s="41">
        <v>68903059</v>
      </c>
      <c r="BO119" s="41">
        <v>0</v>
      </c>
      <c r="BP119" s="41">
        <v>32993</v>
      </c>
      <c r="BQ119" s="41">
        <v>81257100</v>
      </c>
      <c r="BR119" s="41">
        <v>0</v>
      </c>
      <c r="BS119" s="42">
        <f>IFERROR(VLOOKUP(A119,'Trans 21-23'!$A$2:$J$229,5,0),0)</f>
        <v>0</v>
      </c>
      <c r="BT119" s="43"/>
      <c r="BU119" s="6">
        <f t="shared" si="0"/>
        <v>0</v>
      </c>
      <c r="BV119" s="6">
        <f t="shared" si="1"/>
        <v>2944</v>
      </c>
      <c r="BW119" s="6">
        <f t="shared" si="2"/>
        <v>0</v>
      </c>
      <c r="BX119" s="6">
        <f t="shared" si="3"/>
        <v>23934</v>
      </c>
      <c r="BY119" s="6">
        <f t="shared" si="4"/>
        <v>86864</v>
      </c>
      <c r="BZ119" s="6">
        <f t="shared" si="5"/>
        <v>0</v>
      </c>
      <c r="CA119" s="6">
        <f t="shared" si="6"/>
        <v>51376169</v>
      </c>
      <c r="CB119" s="6">
        <f t="shared" si="7"/>
        <v>0</v>
      </c>
      <c r="CC119" s="6">
        <f t="shared" si="8"/>
        <v>0</v>
      </c>
      <c r="CD119" s="6">
        <f t="shared" si="65"/>
        <v>0</v>
      </c>
      <c r="CE119" s="44">
        <f t="shared" si="10"/>
        <v>48</v>
      </c>
      <c r="CF119" s="27"/>
      <c r="CG119" s="28" t="str">
        <f t="shared" si="11"/>
        <v/>
      </c>
      <c r="CH119" s="28" t="str">
        <f t="shared" si="12"/>
        <v/>
      </c>
      <c r="CI119" s="28" t="str">
        <f t="shared" si="13"/>
        <v/>
      </c>
      <c r="CJ119" s="28" t="str">
        <f t="shared" si="14"/>
        <v/>
      </c>
      <c r="CK119" s="23" t="str">
        <f t="shared" si="15"/>
        <v/>
      </c>
      <c r="CL119" s="29" t="str">
        <f t="shared" si="16"/>
        <v/>
      </c>
      <c r="CM119" s="29" t="str">
        <f t="shared" si="66"/>
        <v/>
      </c>
      <c r="CN119" s="29" t="str">
        <f t="shared" si="18"/>
        <v/>
      </c>
      <c r="CO119" s="29" t="str">
        <f t="shared" si="19"/>
        <v/>
      </c>
      <c r="CP119" s="29" t="str">
        <f t="shared" si="20"/>
        <v/>
      </c>
      <c r="CQ119" s="29">
        <f t="shared" si="21"/>
        <v>0</v>
      </c>
      <c r="CR119" s="13"/>
      <c r="CS119" s="7" t="str">
        <f>VLOOKUP(A119,'Empresas 21-23'!$A$2:$M$228,13,0)</f>
        <v/>
      </c>
      <c r="CT119" s="30"/>
      <c r="CU119" s="6">
        <f t="shared" si="22"/>
        <v>0</v>
      </c>
      <c r="CV119" s="6">
        <f t="shared" si="23"/>
        <v>0</v>
      </c>
      <c r="CW119" s="6">
        <f t="shared" si="24"/>
        <v>10526948</v>
      </c>
      <c r="CX119" s="23">
        <f t="shared" si="67"/>
        <v>0</v>
      </c>
      <c r="CY119" s="23">
        <f t="shared" si="68"/>
        <v>0</v>
      </c>
      <c r="CZ119" s="6">
        <f t="shared" si="25"/>
        <v>0</v>
      </c>
      <c r="DA119" s="6">
        <f t="shared" si="26"/>
        <v>0</v>
      </c>
      <c r="DB119" s="6">
        <f t="shared" si="27"/>
        <v>23934</v>
      </c>
      <c r="DC119" s="6">
        <f t="shared" si="28"/>
        <v>23934</v>
      </c>
      <c r="DD119" s="6">
        <f t="shared" si="29"/>
        <v>86864</v>
      </c>
      <c r="DE119" s="6">
        <f t="shared" si="30"/>
        <v>51376169</v>
      </c>
      <c r="DF119" s="6">
        <f t="shared" si="31"/>
        <v>42189.524388637394</v>
      </c>
      <c r="DG119" s="30"/>
      <c r="DH119" s="32" t="str">
        <f>VLOOKUP(A119,'T_med_comp-USA'!$A$7:$Q$233,17,0)</f>
        <v>-</v>
      </c>
      <c r="DI119" s="6" t="str">
        <f t="shared" si="32"/>
        <v/>
      </c>
      <c r="DJ119" s="32" t="str">
        <f>IF(DI119="","",VLOOKUP(DI119,'CPI USA'!$T:$U,2,FALSE))</f>
        <v/>
      </c>
      <c r="DK119" s="32" t="str">
        <f>IF(DI119="","",VLOOKUP(DI119,'PPI USA'!$S:$T,2,FALSE))</f>
        <v/>
      </c>
      <c r="DL119" s="32" t="str">
        <f>IF(DI119="","",VLOOKUP(DI119,'CPI USA'!$T:$V,3,FALSE))</f>
        <v/>
      </c>
      <c r="DM119" s="32" t="str">
        <f>IF(DI119="","",VLOOKUP(DI119,'CPI USA'!$T:$X,5,FALSE))</f>
        <v/>
      </c>
      <c r="DN119" s="32" t="str">
        <f t="shared" si="33"/>
        <v/>
      </c>
      <c r="DO119" s="32" t="str">
        <f t="shared" si="34"/>
        <v/>
      </c>
      <c r="DP119" s="32">
        <f t="shared" si="35"/>
        <v>0.8</v>
      </c>
      <c r="DQ119" s="32">
        <f>IF(DP119="","",DP119*$DO$1/'CPI USA'!$U$508+(1-DP119)*AVERAGE($DO$1,$DQ$1)/AVERAGE('CPI USA'!$U$508,'PPI USA'!$T$514))</f>
        <v>1.1386961339283952</v>
      </c>
      <c r="DR119" s="6">
        <f t="shared" si="36"/>
        <v>4490</v>
      </c>
      <c r="DS119" s="32">
        <f t="shared" si="37"/>
        <v>0.2</v>
      </c>
      <c r="DT119" s="28">
        <f>IF(DS119="","",DS119*$DO$1/'CPI USA'!$U$508+(1-DS119)*AVERAGE($DO$1,$DQ$1)/AVERAGE('CPI USA'!$U$508,'PPI USA'!$T$514))</f>
        <v>1.1741595760647974</v>
      </c>
      <c r="DU119" s="6">
        <f t="shared" si="38"/>
        <v>8138362</v>
      </c>
      <c r="DV119" s="6">
        <f t="shared" si="39"/>
        <v>3305.7793724466555</v>
      </c>
      <c r="DW119" s="6">
        <f t="shared" si="40"/>
        <v>3322.810960014599</v>
      </c>
      <c r="DX119" s="16" t="str">
        <f t="shared" si="41"/>
        <v/>
      </c>
      <c r="DY119" s="28" t="str">
        <f>IF(DX119="","",DX119*$DO$1/'CPI USA'!$U$508+(1-DX119)*AVERAGE($DO$1,$DQ$1)/AVERAGE('CPI USA'!$U$508,'PPI USA'!$T$514))</f>
        <v/>
      </c>
      <c r="DZ119" s="30"/>
      <c r="EA119" s="45" t="str">
        <f t="shared" si="42"/>
        <v>C001322</v>
      </c>
      <c r="EB119" s="29" t="str">
        <f t="shared" si="43"/>
        <v/>
      </c>
      <c r="EC119" s="29" t="str">
        <f t="shared" si="44"/>
        <v/>
      </c>
      <c r="ED119" s="29" t="str">
        <f t="shared" si="45"/>
        <v/>
      </c>
      <c r="EE119" s="29" t="str">
        <f t="shared" si="46"/>
        <v/>
      </c>
      <c r="EF119" s="29" t="str">
        <f t="shared" si="47"/>
        <v/>
      </c>
      <c r="EG119" s="29" t="str">
        <f t="shared" si="48"/>
        <v/>
      </c>
      <c r="EH119" s="29" t="str">
        <f t="shared" si="49"/>
        <v/>
      </c>
      <c r="EI119" s="29" t="str">
        <f t="shared" si="50"/>
        <v/>
      </c>
      <c r="EJ119" s="29" t="str">
        <f t="shared" si="51"/>
        <v/>
      </c>
      <c r="EK119" s="29" t="str">
        <f t="shared" si="52"/>
        <v/>
      </c>
      <c r="EL119" s="29" t="str">
        <f>IF(CD119=1,VLOOKUP(EA119,'EIA 2021'!$A$2:$J$213,4,0)*EH119,"")</f>
        <v/>
      </c>
      <c r="EM119" s="29" t="str">
        <f>IF(CD119=1,VLOOKUP(EA119,'EIA 2021'!$A$2:$J$213,7,0)*EH119,"")</f>
        <v/>
      </c>
      <c r="EN119" s="29" t="str">
        <f>IF(CD119=1,VLOOKUP(EA119,'EIA 2021'!$A$2:$J$213,10,0),"")</f>
        <v/>
      </c>
      <c r="EO119" s="28" t="str">
        <f>IF(CD119=1,VLOOKUP(EA119,'EIA 2021'!$A$2:$Z$213,26,0),"")</f>
        <v/>
      </c>
      <c r="EP119" s="23" t="str">
        <f t="shared" si="53"/>
        <v/>
      </c>
      <c r="EQ119" s="32" t="str">
        <f t="shared" si="54"/>
        <v/>
      </c>
      <c r="ER119" s="32" t="str">
        <f t="shared" si="55"/>
        <v/>
      </c>
      <c r="ES119" s="6"/>
      <c r="ET119" s="32"/>
    </row>
    <row r="120" spans="1:150" ht="15.75" customHeight="1">
      <c r="A120" s="7" t="s">
        <v>562</v>
      </c>
      <c r="B120" s="7" t="s">
        <v>563</v>
      </c>
      <c r="C120" s="32" t="s">
        <v>564</v>
      </c>
      <c r="D120" s="40">
        <v>92969592</v>
      </c>
      <c r="E120" s="40">
        <v>0</v>
      </c>
      <c r="F120" s="40">
        <v>0</v>
      </c>
      <c r="G120" s="40">
        <v>9608378</v>
      </c>
      <c r="H120" s="40">
        <v>9608378</v>
      </c>
      <c r="I120" s="40">
        <v>0</v>
      </c>
      <c r="J120" s="40">
        <v>0</v>
      </c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f>IFERROR(VLOOKUP(A120,'Trans 21-23'!$A$2:$J$229,6,0),0)</f>
        <v>0</v>
      </c>
      <c r="Y120" s="41">
        <v>0</v>
      </c>
      <c r="Z120" s="41">
        <v>0</v>
      </c>
      <c r="AA120" s="41">
        <v>0</v>
      </c>
      <c r="AB120" s="41">
        <v>0</v>
      </c>
      <c r="AC120" s="41">
        <v>0</v>
      </c>
      <c r="AD120" s="41">
        <v>17657370</v>
      </c>
      <c r="AE120" s="41">
        <v>0</v>
      </c>
      <c r="AF120" s="41">
        <v>154562417</v>
      </c>
      <c r="AG120" s="41">
        <v>6</v>
      </c>
      <c r="AH120" s="41">
        <v>147118</v>
      </c>
      <c r="AI120" s="41">
        <v>7462539</v>
      </c>
      <c r="AJ120" s="41">
        <v>0</v>
      </c>
      <c r="AK120" s="41">
        <v>0</v>
      </c>
      <c r="AL120" s="41">
        <v>0</v>
      </c>
      <c r="AM120" s="41">
        <v>0</v>
      </c>
      <c r="AN120" s="41">
        <v>3884641</v>
      </c>
      <c r="AO120" s="41">
        <v>0</v>
      </c>
      <c r="AP120" s="41">
        <v>2189042</v>
      </c>
      <c r="AQ120" s="41">
        <v>6073683</v>
      </c>
      <c r="AR120" s="41">
        <v>1241738</v>
      </c>
      <c r="AS120" s="41">
        <v>7315421</v>
      </c>
      <c r="AT120" s="41">
        <v>0</v>
      </c>
      <c r="AU120" s="41">
        <v>7</v>
      </c>
      <c r="AV120" s="41">
        <v>0</v>
      </c>
      <c r="AW120" s="41">
        <v>516382</v>
      </c>
      <c r="AX120" s="41">
        <v>0</v>
      </c>
      <c r="AY120" s="41">
        <v>0</v>
      </c>
      <c r="AZ120" s="41">
        <v>0</v>
      </c>
      <c r="BA120" s="41">
        <v>0</v>
      </c>
      <c r="BB120" s="41">
        <v>5442637</v>
      </c>
      <c r="BC120" s="41">
        <v>908299650</v>
      </c>
      <c r="BD120" s="41">
        <v>13313799</v>
      </c>
      <c r="BE120" s="41">
        <v>4469628</v>
      </c>
      <c r="BF120" s="41">
        <v>103974</v>
      </c>
      <c r="BG120" s="41">
        <v>0</v>
      </c>
      <c r="BH120" s="41">
        <v>0</v>
      </c>
      <c r="BI120" s="41">
        <v>0</v>
      </c>
      <c r="BJ120" s="41">
        <v>0</v>
      </c>
      <c r="BK120" s="41">
        <v>0</v>
      </c>
      <c r="BL120" s="41">
        <v>0</v>
      </c>
      <c r="BM120" s="41">
        <v>1128298</v>
      </c>
      <c r="BN120" s="41">
        <v>13292167</v>
      </c>
      <c r="BO120" s="41">
        <v>0</v>
      </c>
      <c r="BP120" s="41">
        <v>0</v>
      </c>
      <c r="BQ120" s="41">
        <v>13296831</v>
      </c>
      <c r="BR120" s="41">
        <v>0</v>
      </c>
      <c r="BS120" s="42">
        <f>IFERROR(VLOOKUP(A120,'Trans 21-23'!$A$2:$J$229,5,0),0)</f>
        <v>0</v>
      </c>
      <c r="BT120" s="43"/>
      <c r="BU120" s="6">
        <f t="shared" si="0"/>
        <v>5442637</v>
      </c>
      <c r="BV120" s="6">
        <f t="shared" si="1"/>
        <v>7</v>
      </c>
      <c r="BW120" s="6">
        <f t="shared" si="2"/>
        <v>6</v>
      </c>
      <c r="BX120" s="6">
        <f t="shared" si="3"/>
        <v>0</v>
      </c>
      <c r="BY120" s="6">
        <f t="shared" si="4"/>
        <v>0</v>
      </c>
      <c r="BZ120" s="6">
        <f t="shared" si="5"/>
        <v>0</v>
      </c>
      <c r="CA120" s="6">
        <f t="shared" si="6"/>
        <v>17657370</v>
      </c>
      <c r="CB120" s="6">
        <f t="shared" si="7"/>
        <v>147118</v>
      </c>
      <c r="CC120" s="6">
        <f t="shared" si="8"/>
        <v>6073683</v>
      </c>
      <c r="CD120" s="6">
        <f t="shared" si="65"/>
        <v>0</v>
      </c>
      <c r="CE120" s="44">
        <f t="shared" si="10"/>
        <v>45</v>
      </c>
      <c r="CF120" s="27"/>
      <c r="CG120" s="28" t="str">
        <f t="shared" si="11"/>
        <v/>
      </c>
      <c r="CH120" s="28" t="str">
        <f t="shared" si="12"/>
        <v/>
      </c>
      <c r="CI120" s="28" t="str">
        <f t="shared" si="13"/>
        <v/>
      </c>
      <c r="CJ120" s="28" t="str">
        <f t="shared" si="14"/>
        <v/>
      </c>
      <c r="CK120" s="23" t="str">
        <f t="shared" si="15"/>
        <v/>
      </c>
      <c r="CL120" s="29" t="str">
        <f t="shared" si="16"/>
        <v/>
      </c>
      <c r="CM120" s="29" t="str">
        <f t="shared" si="66"/>
        <v/>
      </c>
      <c r="CN120" s="29" t="str">
        <f t="shared" si="18"/>
        <v/>
      </c>
      <c r="CO120" s="29" t="str">
        <f t="shared" si="19"/>
        <v/>
      </c>
      <c r="CP120" s="29" t="str">
        <f t="shared" si="20"/>
        <v/>
      </c>
      <c r="CQ120" s="29">
        <f t="shared" si="21"/>
        <v>0</v>
      </c>
      <c r="CR120" s="13"/>
      <c r="CS120" s="7" t="str">
        <f>VLOOKUP(A120,'Empresas 21-23'!$A$2:$M$228,13,0)</f>
        <v/>
      </c>
      <c r="CT120" s="30"/>
      <c r="CU120" s="6">
        <f t="shared" si="22"/>
        <v>5442637</v>
      </c>
      <c r="CV120" s="6">
        <f t="shared" si="23"/>
        <v>0</v>
      </c>
      <c r="CW120" s="6">
        <f t="shared" si="24"/>
        <v>13313799</v>
      </c>
      <c r="CX120" s="23">
        <f t="shared" si="67"/>
        <v>6.0812547974012608E-3</v>
      </c>
      <c r="CY120" s="23">
        <f t="shared" si="68"/>
        <v>0</v>
      </c>
      <c r="CZ120" s="6">
        <f t="shared" si="25"/>
        <v>5523601.6040403862</v>
      </c>
      <c r="DA120" s="6">
        <f t="shared" si="26"/>
        <v>0</v>
      </c>
      <c r="DB120" s="6">
        <f t="shared" si="27"/>
        <v>0</v>
      </c>
      <c r="DC120" s="6">
        <f t="shared" si="28"/>
        <v>0</v>
      </c>
      <c r="DD120" s="6">
        <f t="shared" si="29"/>
        <v>0</v>
      </c>
      <c r="DE120" s="6">
        <f t="shared" si="30"/>
        <v>17657370</v>
      </c>
      <c r="DF120" s="6">
        <f t="shared" si="31"/>
        <v>0</v>
      </c>
      <c r="DG120" s="30"/>
      <c r="DH120" s="32">
        <f>VLOOKUP(A120,'T_med_comp-USA'!$A$7:$Q$233,17,0)</f>
        <v>45.134435691684835</v>
      </c>
      <c r="DI120" s="6" t="str">
        <f t="shared" si="32"/>
        <v>11_1976</v>
      </c>
      <c r="DJ120" s="32" t="e">
        <f>IF(DI120="","",VLOOKUP(DI120,'CPI USA'!$T:$U,2,FALSE))</f>
        <v>#N/A</v>
      </c>
      <c r="DK120" s="32" t="e">
        <f>IF(DI120="","",VLOOKUP(DI120,'PPI USA'!$S:$T,2,FALSE))</f>
        <v>#N/A</v>
      </c>
      <c r="DL120" s="32" t="e">
        <f>IF(DI120="","",VLOOKUP(DI120,'CPI USA'!$T:$V,3,FALSE))</f>
        <v>#N/A</v>
      </c>
      <c r="DM120" s="32" t="e">
        <f>IF(DI120="","",VLOOKUP(DI120,'CPI USA'!$T:$X,5,FALSE))</f>
        <v>#N/A</v>
      </c>
      <c r="DN120" s="32" t="e">
        <f t="shared" si="33"/>
        <v>#N/A</v>
      </c>
      <c r="DO120" s="32" t="e">
        <f t="shared" si="34"/>
        <v>#N/A</v>
      </c>
      <c r="DP120" s="32" t="str">
        <f t="shared" si="35"/>
        <v/>
      </c>
      <c r="DQ120" s="32" t="str">
        <f>IF(DP120="","",DP120*$DO$1/'CPI USA'!$U$508+(1-DP120)*AVERAGE($DO$1,$DQ$1)/AVERAGE('CPI USA'!$U$508,'PPI USA'!$T$514))</f>
        <v/>
      </c>
      <c r="DR120" s="6">
        <f t="shared" si="36"/>
        <v>0</v>
      </c>
      <c r="DS120" s="32" t="str">
        <f t="shared" si="37"/>
        <v/>
      </c>
      <c r="DT120" s="28" t="str">
        <f>IF(DS120="","",DS120*$DO$1/'CPI USA'!$U$508+(1-DS120)*AVERAGE($DO$1,$DQ$1)/AVERAGE('CPI USA'!$U$508,'PPI USA'!$T$514))</f>
        <v/>
      </c>
      <c r="DU120" s="6" t="str">
        <f t="shared" si="38"/>
        <v/>
      </c>
      <c r="DV120" s="6">
        <f t="shared" si="39"/>
        <v>0</v>
      </c>
      <c r="DW120" s="6">
        <f t="shared" si="40"/>
        <v>0</v>
      </c>
      <c r="DX120" s="16" t="str">
        <f t="shared" si="41"/>
        <v/>
      </c>
      <c r="DY120" s="28" t="str">
        <f>IF(DX120="","",DX120*$DO$1/'CPI USA'!$U$508+(1-DX120)*AVERAGE($DO$1,$DQ$1)/AVERAGE('CPI USA'!$U$508,'PPI USA'!$T$514))</f>
        <v/>
      </c>
      <c r="DZ120" s="30"/>
      <c r="EA120" s="45" t="str">
        <f t="shared" si="42"/>
        <v>C001330</v>
      </c>
      <c r="EB120" s="29" t="str">
        <f t="shared" si="43"/>
        <v/>
      </c>
      <c r="EC120" s="29" t="str">
        <f t="shared" si="44"/>
        <v/>
      </c>
      <c r="ED120" s="29" t="str">
        <f t="shared" si="45"/>
        <v/>
      </c>
      <c r="EE120" s="29" t="str">
        <f t="shared" si="46"/>
        <v/>
      </c>
      <c r="EF120" s="29" t="str">
        <f t="shared" si="47"/>
        <v/>
      </c>
      <c r="EG120" s="29" t="str">
        <f t="shared" si="48"/>
        <v/>
      </c>
      <c r="EH120" s="29" t="str">
        <f t="shared" si="49"/>
        <v/>
      </c>
      <c r="EI120" s="29" t="str">
        <f t="shared" si="50"/>
        <v/>
      </c>
      <c r="EJ120" s="29" t="str">
        <f t="shared" si="51"/>
        <v/>
      </c>
      <c r="EK120" s="29" t="str">
        <f t="shared" si="52"/>
        <v/>
      </c>
      <c r="EL120" s="29" t="str">
        <f>IF(CD120=1,VLOOKUP(EA120,'EIA 2021'!$A$2:$J$213,4,0)*EH120,"")</f>
        <v/>
      </c>
      <c r="EM120" s="29" t="str">
        <f>IF(CD120=1,VLOOKUP(EA120,'EIA 2021'!$A$2:$J$213,7,0)*EH120,"")</f>
        <v/>
      </c>
      <c r="EN120" s="29" t="str">
        <f>IF(CD120=1,VLOOKUP(EA120,'EIA 2021'!$A$2:$J$213,10,0),"")</f>
        <v/>
      </c>
      <c r="EO120" s="28" t="str">
        <f>IF(CD120=1,VLOOKUP(EA120,'EIA 2021'!$A$2:$Z$213,26,0),"")</f>
        <v/>
      </c>
      <c r="EP120" s="23" t="str">
        <f t="shared" si="53"/>
        <v/>
      </c>
      <c r="EQ120" s="32" t="str">
        <f t="shared" si="54"/>
        <v/>
      </c>
      <c r="ER120" s="32" t="str">
        <f t="shared" si="55"/>
        <v/>
      </c>
      <c r="ES120" s="6"/>
      <c r="ET120" s="32"/>
    </row>
    <row r="121" spans="1:150" ht="15.75" customHeight="1">
      <c r="A121" s="7" t="s">
        <v>565</v>
      </c>
      <c r="B121" s="7" t="s">
        <v>566</v>
      </c>
      <c r="C121" s="32" t="s">
        <v>567</v>
      </c>
      <c r="D121" s="40">
        <v>0</v>
      </c>
      <c r="E121" s="40">
        <v>0</v>
      </c>
      <c r="F121" s="40">
        <v>0</v>
      </c>
      <c r="G121" s="40">
        <v>0</v>
      </c>
      <c r="H121" s="40">
        <v>0</v>
      </c>
      <c r="I121" s="40">
        <v>0</v>
      </c>
      <c r="J121" s="40">
        <v>0</v>
      </c>
      <c r="K121" s="40">
        <v>0</v>
      </c>
      <c r="L121" s="40">
        <v>0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f>IFERROR(VLOOKUP(A121,'Trans 21-23'!$A$2:$J$229,6,0),0)</f>
        <v>0</v>
      </c>
      <c r="Y121" s="41">
        <v>0</v>
      </c>
      <c r="Z121" s="41">
        <v>0</v>
      </c>
      <c r="AA121" s="41">
        <v>0</v>
      </c>
      <c r="AB121" s="41">
        <v>1829514</v>
      </c>
      <c r="AC121" s="41">
        <v>0</v>
      </c>
      <c r="AD121" s="41">
        <v>134411186</v>
      </c>
      <c r="AE121" s="41">
        <v>0</v>
      </c>
      <c r="AF121" s="41">
        <v>350920267</v>
      </c>
      <c r="AG121" s="41">
        <v>0</v>
      </c>
      <c r="AH121" s="41">
        <v>0</v>
      </c>
      <c r="AI121" s="41">
        <v>0</v>
      </c>
      <c r="AJ121" s="41">
        <v>0</v>
      </c>
      <c r="AK121" s="41">
        <v>0</v>
      </c>
      <c r="AL121" s="41">
        <v>0</v>
      </c>
      <c r="AM121" s="41">
        <v>0</v>
      </c>
      <c r="AN121" s="41">
        <v>0</v>
      </c>
      <c r="AO121" s="41">
        <v>0</v>
      </c>
      <c r="AP121" s="41">
        <v>0</v>
      </c>
      <c r="AQ121" s="41">
        <v>0</v>
      </c>
      <c r="AR121" s="41">
        <v>0</v>
      </c>
      <c r="AS121" s="41">
        <v>0</v>
      </c>
      <c r="AT121" s="41">
        <v>0</v>
      </c>
      <c r="AU121" s="41">
        <v>0</v>
      </c>
      <c r="AV121" s="41">
        <v>0</v>
      </c>
      <c r="AW121" s="41">
        <v>0</v>
      </c>
      <c r="AX121" s="41">
        <v>0</v>
      </c>
      <c r="AY121" s="41">
        <v>0</v>
      </c>
      <c r="AZ121" s="41">
        <v>0</v>
      </c>
      <c r="BA121" s="41">
        <v>0</v>
      </c>
      <c r="BB121" s="41">
        <v>0</v>
      </c>
      <c r="BC121" s="41">
        <v>586038590</v>
      </c>
      <c r="BD121" s="41">
        <v>229334496</v>
      </c>
      <c r="BE121" s="41">
        <v>0</v>
      </c>
      <c r="BF121" s="41">
        <v>0</v>
      </c>
      <c r="BG121" s="41">
        <v>0</v>
      </c>
      <c r="BH121" s="41">
        <v>0</v>
      </c>
      <c r="BI121" s="41">
        <v>0</v>
      </c>
      <c r="BJ121" s="41">
        <v>0</v>
      </c>
      <c r="BK121" s="41">
        <v>0</v>
      </c>
      <c r="BL121" s="41">
        <v>0</v>
      </c>
      <c r="BM121" s="41">
        <v>31513622</v>
      </c>
      <c r="BN121" s="41">
        <v>145115639</v>
      </c>
      <c r="BO121" s="41">
        <v>0</v>
      </c>
      <c r="BP121" s="41">
        <v>0</v>
      </c>
      <c r="BQ121" s="41">
        <v>145115639</v>
      </c>
      <c r="BR121" s="41">
        <v>0</v>
      </c>
      <c r="BS121" s="42">
        <f>IFERROR(VLOOKUP(A121,'Trans 21-23'!$A$2:$J$229,5,0),0)</f>
        <v>0</v>
      </c>
      <c r="BT121" s="43"/>
      <c r="BU121" s="6">
        <f t="shared" si="0"/>
        <v>0</v>
      </c>
      <c r="BV121" s="6">
        <f t="shared" si="1"/>
        <v>0</v>
      </c>
      <c r="BW121" s="6">
        <f t="shared" si="2"/>
        <v>0</v>
      </c>
      <c r="BX121" s="6">
        <f t="shared" si="3"/>
        <v>0</v>
      </c>
      <c r="BY121" s="6">
        <f t="shared" si="4"/>
        <v>1829514</v>
      </c>
      <c r="BZ121" s="6">
        <f t="shared" si="5"/>
        <v>0</v>
      </c>
      <c r="CA121" s="6">
        <f t="shared" si="6"/>
        <v>134411186</v>
      </c>
      <c r="CB121" s="6">
        <f t="shared" si="7"/>
        <v>0</v>
      </c>
      <c r="CC121" s="6">
        <f t="shared" si="8"/>
        <v>0</v>
      </c>
      <c r="CD121" s="6">
        <f t="shared" si="65"/>
        <v>0</v>
      </c>
      <c r="CE121" s="44">
        <f t="shared" si="10"/>
        <v>60</v>
      </c>
      <c r="CF121" s="27"/>
      <c r="CG121" s="28" t="str">
        <f t="shared" si="11"/>
        <v/>
      </c>
      <c r="CH121" s="28" t="str">
        <f t="shared" si="12"/>
        <v/>
      </c>
      <c r="CI121" s="28" t="str">
        <f t="shared" si="13"/>
        <v/>
      </c>
      <c r="CJ121" s="28" t="str">
        <f t="shared" si="14"/>
        <v/>
      </c>
      <c r="CK121" s="23" t="str">
        <f t="shared" si="15"/>
        <v/>
      </c>
      <c r="CL121" s="29" t="str">
        <f t="shared" si="16"/>
        <v/>
      </c>
      <c r="CM121" s="29" t="str">
        <f t="shared" si="66"/>
        <v/>
      </c>
      <c r="CN121" s="29" t="str">
        <f t="shared" si="18"/>
        <v/>
      </c>
      <c r="CO121" s="29" t="str">
        <f t="shared" si="19"/>
        <v/>
      </c>
      <c r="CP121" s="29" t="str">
        <f t="shared" si="20"/>
        <v/>
      </c>
      <c r="CQ121" s="29">
        <f t="shared" si="21"/>
        <v>0</v>
      </c>
      <c r="CR121" s="13"/>
      <c r="CS121" s="7" t="str">
        <f>VLOOKUP(A121,'Empresas 21-23'!$A$2:$M$228,13,0)</f>
        <v/>
      </c>
      <c r="CT121" s="30"/>
      <c r="CU121" s="6">
        <f t="shared" si="22"/>
        <v>0</v>
      </c>
      <c r="CV121" s="6">
        <f t="shared" si="23"/>
        <v>0</v>
      </c>
      <c r="CW121" s="6">
        <f t="shared" si="24"/>
        <v>229334496</v>
      </c>
      <c r="CX121" s="23">
        <f t="shared" si="67"/>
        <v>0</v>
      </c>
      <c r="CY121" s="23">
        <f t="shared" si="68"/>
        <v>0</v>
      </c>
      <c r="CZ121" s="6">
        <f t="shared" si="25"/>
        <v>0</v>
      </c>
      <c r="DA121" s="6">
        <f t="shared" si="26"/>
        <v>0</v>
      </c>
      <c r="DB121" s="6">
        <f t="shared" si="27"/>
        <v>0</v>
      </c>
      <c r="DC121" s="6">
        <f t="shared" si="28"/>
        <v>0</v>
      </c>
      <c r="DD121" s="6">
        <f t="shared" si="29"/>
        <v>1829514</v>
      </c>
      <c r="DE121" s="6">
        <f t="shared" si="30"/>
        <v>134411186</v>
      </c>
      <c r="DF121" s="6">
        <f t="shared" si="31"/>
        <v>1135782.1362864866</v>
      </c>
      <c r="DG121" s="30"/>
      <c r="DH121" s="32" t="str">
        <f>VLOOKUP(A121,'T_med_comp-USA'!$A$7:$Q$233,17,0)</f>
        <v>-</v>
      </c>
      <c r="DI121" s="6" t="str">
        <f t="shared" si="32"/>
        <v/>
      </c>
      <c r="DJ121" s="32" t="str">
        <f>IF(DI121="","",VLOOKUP(DI121,'CPI USA'!$T:$U,2,FALSE))</f>
        <v/>
      </c>
      <c r="DK121" s="32" t="str">
        <f>IF(DI121="","",VLOOKUP(DI121,'PPI USA'!$S:$T,2,FALSE))</f>
        <v/>
      </c>
      <c r="DL121" s="32" t="str">
        <f>IF(DI121="","",VLOOKUP(DI121,'CPI USA'!$T:$V,3,FALSE))</f>
        <v/>
      </c>
      <c r="DM121" s="32" t="str">
        <f>IF(DI121="","",VLOOKUP(DI121,'CPI USA'!$T:$X,5,FALSE))</f>
        <v/>
      </c>
      <c r="DN121" s="32" t="str">
        <f t="shared" si="33"/>
        <v/>
      </c>
      <c r="DO121" s="32" t="str">
        <f t="shared" si="34"/>
        <v/>
      </c>
      <c r="DP121" s="32" t="str">
        <f t="shared" si="35"/>
        <v/>
      </c>
      <c r="DQ121" s="32" t="str">
        <f>IF(DP121="","",DP121*$DO$1/'CPI USA'!$U$508+(1-DP121)*AVERAGE($DO$1,$DQ$1)/AVERAGE('CPI USA'!$U$508,'PPI USA'!$T$514))</f>
        <v/>
      </c>
      <c r="DR121" s="6">
        <f t="shared" si="36"/>
        <v>0</v>
      </c>
      <c r="DS121" s="32">
        <f t="shared" si="37"/>
        <v>0.2</v>
      </c>
      <c r="DT121" s="28">
        <f>IF(DS121="","",DS121*$DO$1/'CPI USA'!$U$508+(1-DS121)*AVERAGE($DO$1,$DQ$1)/AVERAGE('CPI USA'!$U$508,'PPI USA'!$T$514))</f>
        <v>1.1741595760647974</v>
      </c>
      <c r="DU121" s="6" t="str">
        <f t="shared" si="38"/>
        <v/>
      </c>
      <c r="DV121" s="6">
        <f t="shared" si="39"/>
        <v>0</v>
      </c>
      <c r="DW121" s="6">
        <f t="shared" si="40"/>
        <v>0</v>
      </c>
      <c r="DX121" s="16" t="str">
        <f t="shared" si="41"/>
        <v/>
      </c>
      <c r="DY121" s="28" t="str">
        <f>IF(DX121="","",DX121*$DO$1/'CPI USA'!$U$508+(1-DX121)*AVERAGE($DO$1,$DQ$1)/AVERAGE('CPI USA'!$U$508,'PPI USA'!$T$514))</f>
        <v/>
      </c>
      <c r="DZ121" s="30"/>
      <c r="EA121" s="45" t="str">
        <f t="shared" si="42"/>
        <v>C001344</v>
      </c>
      <c r="EB121" s="29" t="str">
        <f t="shared" si="43"/>
        <v/>
      </c>
      <c r="EC121" s="29" t="str">
        <f t="shared" si="44"/>
        <v/>
      </c>
      <c r="ED121" s="29" t="str">
        <f t="shared" si="45"/>
        <v/>
      </c>
      <c r="EE121" s="29" t="str">
        <f t="shared" si="46"/>
        <v/>
      </c>
      <c r="EF121" s="29" t="str">
        <f t="shared" si="47"/>
        <v/>
      </c>
      <c r="EG121" s="29" t="str">
        <f t="shared" si="48"/>
        <v/>
      </c>
      <c r="EH121" s="29" t="str">
        <f t="shared" si="49"/>
        <v/>
      </c>
      <c r="EI121" s="29" t="str">
        <f t="shared" si="50"/>
        <v/>
      </c>
      <c r="EJ121" s="29" t="str">
        <f t="shared" si="51"/>
        <v/>
      </c>
      <c r="EK121" s="29" t="str">
        <f t="shared" si="52"/>
        <v/>
      </c>
      <c r="EL121" s="29" t="str">
        <f>IF(CD121=1,VLOOKUP(EA121,'EIA 2021'!$A$2:$J$213,4,0)*EH121,"")</f>
        <v/>
      </c>
      <c r="EM121" s="29" t="str">
        <f>IF(CD121=1,VLOOKUP(EA121,'EIA 2021'!$A$2:$J$213,7,0)*EH121,"")</f>
        <v/>
      </c>
      <c r="EN121" s="29" t="str">
        <f>IF(CD121=1,VLOOKUP(EA121,'EIA 2021'!$A$2:$J$213,10,0),"")</f>
        <v/>
      </c>
      <c r="EO121" s="28" t="str">
        <f>IF(CD121=1,VLOOKUP(EA121,'EIA 2021'!$A$2:$Z$213,26,0),"")</f>
        <v/>
      </c>
      <c r="EP121" s="23" t="str">
        <f t="shared" si="53"/>
        <v/>
      </c>
      <c r="EQ121" s="32" t="str">
        <f t="shared" si="54"/>
        <v/>
      </c>
      <c r="ER121" s="32" t="str">
        <f t="shared" si="55"/>
        <v/>
      </c>
      <c r="ES121" s="6"/>
      <c r="ET121" s="32"/>
    </row>
    <row r="122" spans="1:150" ht="15.75" customHeight="1">
      <c r="A122" s="7" t="s">
        <v>568</v>
      </c>
      <c r="B122" s="7" t="s">
        <v>569</v>
      </c>
      <c r="C122" s="32" t="s">
        <v>570</v>
      </c>
      <c r="D122" s="40">
        <v>0</v>
      </c>
      <c r="E122" s="40">
        <v>0</v>
      </c>
      <c r="F122" s="40">
        <v>0</v>
      </c>
      <c r="G122" s="40">
        <v>223153716</v>
      </c>
      <c r="H122" s="40">
        <v>223379598</v>
      </c>
      <c r="I122" s="40">
        <v>8808664</v>
      </c>
      <c r="J122" s="40">
        <v>471376</v>
      </c>
      <c r="K122" s="40">
        <v>1191676</v>
      </c>
      <c r="L122" s="40">
        <v>1043249</v>
      </c>
      <c r="M122" s="40">
        <v>390955</v>
      </c>
      <c r="N122" s="40">
        <v>8324</v>
      </c>
      <c r="O122" s="40">
        <v>8022459</v>
      </c>
      <c r="P122" s="40">
        <v>0</v>
      </c>
      <c r="Q122" s="40">
        <v>136502</v>
      </c>
      <c r="R122" s="40">
        <v>89131</v>
      </c>
      <c r="S122" s="40">
        <v>2820600</v>
      </c>
      <c r="T122" s="40">
        <v>25732684</v>
      </c>
      <c r="U122" s="40">
        <v>2042073</v>
      </c>
      <c r="V122" s="40">
        <v>6145</v>
      </c>
      <c r="W122" s="40">
        <v>99886</v>
      </c>
      <c r="X122" s="40">
        <f>IFERROR(VLOOKUP(A122,'Trans 21-23'!$A$2:$J$229,6,0),0)</f>
        <v>1003722</v>
      </c>
      <c r="Y122" s="41">
        <v>3560791</v>
      </c>
      <c r="Z122" s="41">
        <v>296872</v>
      </c>
      <c r="AA122" s="41">
        <v>20396356</v>
      </c>
      <c r="AB122" s="41">
        <v>25077197</v>
      </c>
      <c r="AC122" s="41">
        <v>0</v>
      </c>
      <c r="AD122" s="41">
        <v>128747915</v>
      </c>
      <c r="AE122" s="41">
        <v>0</v>
      </c>
      <c r="AF122" s="41">
        <v>465974606</v>
      </c>
      <c r="AG122" s="41">
        <v>606085</v>
      </c>
      <c r="AH122" s="41">
        <v>556932</v>
      </c>
      <c r="AI122" s="41">
        <v>13156515</v>
      </c>
      <c r="AJ122" s="41">
        <v>18308</v>
      </c>
      <c r="AK122" s="41">
        <v>0</v>
      </c>
      <c r="AL122" s="41">
        <v>4214576</v>
      </c>
      <c r="AM122" s="41">
        <v>5778492</v>
      </c>
      <c r="AN122" s="41">
        <v>2509207</v>
      </c>
      <c r="AO122" s="41">
        <v>55025</v>
      </c>
      <c r="AP122" s="41">
        <v>0</v>
      </c>
      <c r="AQ122" s="41">
        <v>12557300</v>
      </c>
      <c r="AR122" s="41">
        <v>23975</v>
      </c>
      <c r="AS122" s="41">
        <v>12581275</v>
      </c>
      <c r="AT122" s="41">
        <v>0</v>
      </c>
      <c r="AU122" s="41">
        <v>2759</v>
      </c>
      <c r="AV122" s="41">
        <v>0</v>
      </c>
      <c r="AW122" s="41">
        <v>618176041</v>
      </c>
      <c r="AX122" s="41">
        <v>146497189</v>
      </c>
      <c r="AY122" s="41">
        <v>466484291</v>
      </c>
      <c r="AZ122" s="41">
        <v>140532629</v>
      </c>
      <c r="BA122" s="41">
        <v>45552850</v>
      </c>
      <c r="BB122" s="41">
        <v>3262545565</v>
      </c>
      <c r="BC122" s="41">
        <v>5106355744</v>
      </c>
      <c r="BD122" s="41">
        <v>393761918</v>
      </c>
      <c r="BE122" s="41">
        <v>949672944</v>
      </c>
      <c r="BF122" s="41">
        <v>94066495</v>
      </c>
      <c r="BG122" s="41">
        <v>0</v>
      </c>
      <c r="BH122" s="41">
        <v>29852145</v>
      </c>
      <c r="BI122" s="41">
        <v>10950823</v>
      </c>
      <c r="BJ122" s="41">
        <v>509133</v>
      </c>
      <c r="BK122" s="41">
        <v>0</v>
      </c>
      <c r="BL122" s="41">
        <v>0</v>
      </c>
      <c r="BM122" s="41">
        <v>47489572</v>
      </c>
      <c r="BN122" s="41">
        <v>98808492</v>
      </c>
      <c r="BO122" s="41">
        <v>4673930</v>
      </c>
      <c r="BP122" s="41">
        <v>0</v>
      </c>
      <c r="BQ122" s="41">
        <v>203493694</v>
      </c>
      <c r="BR122" s="41">
        <v>0</v>
      </c>
      <c r="BS122" s="42">
        <f>IFERROR(VLOOKUP(A122,'Trans 21-23'!$A$2:$J$229,5,0),0)</f>
        <v>63952775</v>
      </c>
      <c r="BT122" s="43"/>
      <c r="BU122" s="6">
        <f t="shared" si="0"/>
        <v>3262545565</v>
      </c>
      <c r="BV122" s="6">
        <f t="shared" si="1"/>
        <v>2759</v>
      </c>
      <c r="BW122" s="6">
        <f t="shared" si="2"/>
        <v>606085</v>
      </c>
      <c r="BX122" s="6">
        <f t="shared" si="3"/>
        <v>50863724</v>
      </c>
      <c r="BY122" s="6">
        <f t="shared" si="4"/>
        <v>49331216</v>
      </c>
      <c r="BZ122" s="6">
        <f t="shared" si="5"/>
        <v>140532629</v>
      </c>
      <c r="CA122" s="6">
        <f t="shared" si="6"/>
        <v>128747915</v>
      </c>
      <c r="CB122" s="6">
        <f t="shared" si="7"/>
        <v>556932</v>
      </c>
      <c r="CC122" s="6">
        <f t="shared" si="8"/>
        <v>12557300</v>
      </c>
      <c r="CD122" s="6">
        <f t="shared" si="65"/>
        <v>1</v>
      </c>
      <c r="CE122" s="44">
        <f t="shared" si="10"/>
        <v>15</v>
      </c>
      <c r="CF122" s="27"/>
      <c r="CG122" s="28">
        <f t="shared" si="11"/>
        <v>1182.5101721638275</v>
      </c>
      <c r="CH122" s="28">
        <f t="shared" si="12"/>
        <v>4.5521667752872945</v>
      </c>
      <c r="CI122" s="28">
        <f t="shared" si="13"/>
        <v>83.921766748888359</v>
      </c>
      <c r="CJ122" s="28">
        <f t="shared" si="14"/>
        <v>231.86950510241962</v>
      </c>
      <c r="CK122" s="23">
        <f t="shared" si="15"/>
        <v>4.4351253852340872E-2</v>
      </c>
      <c r="CL122" s="29" t="str">
        <f t="shared" si="16"/>
        <v/>
      </c>
      <c r="CM122" s="29" t="str">
        <f t="shared" si="66"/>
        <v/>
      </c>
      <c r="CN122" s="29" t="str">
        <f t="shared" si="18"/>
        <v/>
      </c>
      <c r="CO122" s="29" t="str">
        <f t="shared" si="19"/>
        <v/>
      </c>
      <c r="CP122" s="29" t="str">
        <f t="shared" si="20"/>
        <v/>
      </c>
      <c r="CQ122" s="29">
        <f t="shared" si="21"/>
        <v>0</v>
      </c>
      <c r="CR122" s="13"/>
      <c r="CS122" s="7">
        <f>VLOOKUP(A122,'Empresas 21-23'!$A$2:$M$228,13,0)</f>
        <v>1</v>
      </c>
      <c r="CT122" s="30"/>
      <c r="CU122" s="6">
        <f t="shared" si="22"/>
        <v>2772623973</v>
      </c>
      <c r="CV122" s="6">
        <f t="shared" si="23"/>
        <v>140532629</v>
      </c>
      <c r="CW122" s="6">
        <f t="shared" si="24"/>
        <v>393761918</v>
      </c>
      <c r="CX122" s="23">
        <f t="shared" si="67"/>
        <v>0.58834350579994166</v>
      </c>
      <c r="CY122" s="23">
        <f t="shared" si="68"/>
        <v>2.982065380314828E-2</v>
      </c>
      <c r="CZ122" s="6">
        <f t="shared" si="25"/>
        <v>3004291240.2866292</v>
      </c>
      <c r="DA122" s="6">
        <f t="shared" si="26"/>
        <v>152274866.83754167</v>
      </c>
      <c r="DB122" s="6">
        <f t="shared" si="27"/>
        <v>50863724</v>
      </c>
      <c r="DC122" s="6">
        <f t="shared" si="28"/>
        <v>51867446</v>
      </c>
      <c r="DD122" s="6">
        <f t="shared" si="29"/>
        <v>49331216</v>
      </c>
      <c r="DE122" s="6">
        <f t="shared" si="30"/>
        <v>128747915</v>
      </c>
      <c r="DF122" s="6">
        <f t="shared" si="31"/>
        <v>114444000.1932217</v>
      </c>
      <c r="DG122" s="30"/>
      <c r="DH122" s="32">
        <f>VLOOKUP(A122,'T_med_comp-USA'!$A$7:$Q$233,17,0)</f>
        <v>10.209660614229897</v>
      </c>
      <c r="DI122" s="6" t="str">
        <f t="shared" si="32"/>
        <v>10_2011</v>
      </c>
      <c r="DJ122" s="32">
        <f>IF(DI122="","",VLOOKUP(DI122,'CPI USA'!$T:$U,2,FALSE))</f>
        <v>224.93899999999999</v>
      </c>
      <c r="DK122" s="32">
        <f>IF(DI122="","",VLOOKUP(DI122,'PPI USA'!$S:$T,2,FALSE))</f>
        <v>169.6</v>
      </c>
      <c r="DL122" s="32">
        <f>IF(DI122="","",VLOOKUP(DI122,'CPI USA'!$T:$V,3,FALSE))</f>
        <v>0.6684022975047168</v>
      </c>
      <c r="DM122" s="32">
        <f>IF(DI122="","",VLOOKUP(DI122,'CPI USA'!$T:$X,5,FALSE))</f>
        <v>0.49636791791307899</v>
      </c>
      <c r="DN122" s="32">
        <f t="shared" si="33"/>
        <v>1.4208751760332547</v>
      </c>
      <c r="DO122" s="32">
        <f t="shared" si="34"/>
        <v>1.4334111417560953</v>
      </c>
      <c r="DP122" s="32">
        <f t="shared" si="35"/>
        <v>0.61466672335349037</v>
      </c>
      <c r="DQ122" s="32">
        <f>IF(DP122="","",DP122*$DO$1/'CPI USA'!$U$508+(1-DP122)*AVERAGE($DO$1,$DQ$1)/AVERAGE('CPI USA'!$U$508,'PPI USA'!$T$514))</f>
        <v>1.1496503938155673</v>
      </c>
      <c r="DR122" s="6">
        <f t="shared" si="36"/>
        <v>11459956</v>
      </c>
      <c r="DS122" s="32">
        <f t="shared" si="37"/>
        <v>0.24329514519887513</v>
      </c>
      <c r="DT122" s="28">
        <f>IF(DS122="","",DS122*$DO$1/'CPI USA'!$U$508+(1-DS122)*AVERAGE($DO$1,$DQ$1)/AVERAGE('CPI USA'!$U$508,'PPI USA'!$T$514))</f>
        <v>1.1716005846038848</v>
      </c>
      <c r="DU122" s="6">
        <f t="shared" si="38"/>
        <v>49735967.332680106</v>
      </c>
      <c r="DV122" s="6">
        <f t="shared" si="39"/>
        <v>0</v>
      </c>
      <c r="DW122" s="6">
        <f t="shared" si="40"/>
        <v>20794744.097302698</v>
      </c>
      <c r="DX122" s="16">
        <f t="shared" si="41"/>
        <v>0.2</v>
      </c>
      <c r="DY122" s="28">
        <f>IF(DX122="","",DX122*$DO$1/'CPI USA'!$U$508+(1-DX122)*AVERAGE($DO$1,$DQ$1)/AVERAGE('CPI USA'!$U$508,'PPI USA'!$T$514))</f>
        <v>1.1741595760647974</v>
      </c>
      <c r="DZ122" s="30"/>
      <c r="EA122" s="45" t="str">
        <f t="shared" si="42"/>
        <v>C001346</v>
      </c>
      <c r="EB122" s="29">
        <f t="shared" si="43"/>
        <v>4268722844.8974295</v>
      </c>
      <c r="EC122" s="29">
        <f t="shared" si="44"/>
        <v>218272490.73435798</v>
      </c>
      <c r="ED122" s="29">
        <f t="shared" si="45"/>
        <v>59629429.720107675</v>
      </c>
      <c r="EE122" s="29">
        <f t="shared" si="46"/>
        <v>57796481.504820518</v>
      </c>
      <c r="EF122" s="29">
        <f t="shared" si="47"/>
        <v>134375518.75003278</v>
      </c>
      <c r="EG122" s="29">
        <f t="shared" si="48"/>
        <v>2759</v>
      </c>
      <c r="EH122" s="29">
        <f t="shared" si="49"/>
        <v>606085</v>
      </c>
      <c r="EI122" s="29">
        <f t="shared" si="50"/>
        <v>556932</v>
      </c>
      <c r="EJ122" s="29">
        <f t="shared" si="51"/>
        <v>12557300</v>
      </c>
      <c r="EK122" s="29">
        <f t="shared" si="52"/>
        <v>13113866.898477158</v>
      </c>
      <c r="EL122" s="29">
        <f>IF(CD122=1,VLOOKUP(EA122,'EIA 2021'!$A$2:$J$213,4,0)*EH122,"")</f>
        <v>104852705</v>
      </c>
      <c r="EM122" s="29">
        <f>IF(CD122=1,VLOOKUP(EA122,'EIA 2021'!$A$2:$J$213,7,0)*EH122,"")</f>
        <v>563659.05000000005</v>
      </c>
      <c r="EN122" s="29">
        <f>IF(CD122=1,VLOOKUP(EA122,'EIA 2021'!$A$2:$J$213,10,0),"")</f>
        <v>606754</v>
      </c>
      <c r="EO122" s="28">
        <f>IF(CD122=1,VLOOKUP(EA122,'EIA 2021'!$A$2:$Z$213,26,0),"")</f>
        <v>0</v>
      </c>
      <c r="EP122" s="23">
        <f t="shared" si="53"/>
        <v>4.2441097106284374E-2</v>
      </c>
      <c r="EQ122" s="32">
        <f t="shared" si="54"/>
        <v>365.10152284264041</v>
      </c>
      <c r="ER122" s="32">
        <f t="shared" si="55"/>
        <v>556566.89847715735</v>
      </c>
      <c r="ES122" s="6"/>
      <c r="ET122" s="32"/>
    </row>
    <row r="123" spans="1:150" ht="15.75" customHeight="1">
      <c r="A123" s="7" t="s">
        <v>571</v>
      </c>
      <c r="B123" s="7" t="s">
        <v>572</v>
      </c>
      <c r="C123" s="32" t="s">
        <v>573</v>
      </c>
      <c r="D123" s="40">
        <v>19207267</v>
      </c>
      <c r="E123" s="40">
        <v>0</v>
      </c>
      <c r="F123" s="40">
        <v>30982775</v>
      </c>
      <c r="G123" s="40">
        <v>56874760</v>
      </c>
      <c r="H123" s="40">
        <v>57899184</v>
      </c>
      <c r="I123" s="40">
        <v>1147530</v>
      </c>
      <c r="J123" s="40">
        <v>630125</v>
      </c>
      <c r="K123" s="40">
        <v>493264</v>
      </c>
      <c r="L123" s="40">
        <v>207693</v>
      </c>
      <c r="M123" s="40">
        <v>402093</v>
      </c>
      <c r="N123" s="40">
        <v>402568</v>
      </c>
      <c r="O123" s="40">
        <v>1498296</v>
      </c>
      <c r="P123" s="40">
        <v>7762</v>
      </c>
      <c r="Q123" s="40">
        <v>18310</v>
      </c>
      <c r="R123" s="40">
        <v>0</v>
      </c>
      <c r="S123" s="40">
        <v>299506</v>
      </c>
      <c r="T123" s="40">
        <v>8466477</v>
      </c>
      <c r="U123" s="40">
        <v>260017</v>
      </c>
      <c r="V123" s="40">
        <v>57517</v>
      </c>
      <c r="W123" s="40">
        <v>45667</v>
      </c>
      <c r="X123" s="40">
        <f>IFERROR(VLOOKUP(A123,'Trans 21-23'!$A$2:$J$229,6,0),0)</f>
        <v>14584</v>
      </c>
      <c r="Y123" s="41">
        <v>555862</v>
      </c>
      <c r="Z123" s="41">
        <v>144106</v>
      </c>
      <c r="AA123" s="41">
        <v>2019607</v>
      </c>
      <c r="AB123" s="41">
        <v>619908</v>
      </c>
      <c r="AC123" s="41">
        <v>26968</v>
      </c>
      <c r="AD123" s="41">
        <v>33828940</v>
      </c>
      <c r="AE123" s="41">
        <v>0</v>
      </c>
      <c r="AF123" s="41">
        <v>210662063</v>
      </c>
      <c r="AG123" s="41">
        <v>74191</v>
      </c>
      <c r="AH123" s="41">
        <v>241279</v>
      </c>
      <c r="AI123" s="41">
        <v>3399102</v>
      </c>
      <c r="AJ123" s="41">
        <v>0</v>
      </c>
      <c r="AK123" s="41">
        <v>0</v>
      </c>
      <c r="AL123" s="41">
        <v>573929</v>
      </c>
      <c r="AM123" s="41">
        <v>764326</v>
      </c>
      <c r="AN123" s="41">
        <v>457951</v>
      </c>
      <c r="AO123" s="41">
        <v>10179</v>
      </c>
      <c r="AP123" s="41">
        <v>23068</v>
      </c>
      <c r="AQ123" s="41">
        <v>1829453</v>
      </c>
      <c r="AR123" s="41">
        <v>1328370</v>
      </c>
      <c r="AS123" s="41">
        <v>3157823</v>
      </c>
      <c r="AT123" s="41">
        <v>0</v>
      </c>
      <c r="AU123" s="41">
        <v>397</v>
      </c>
      <c r="AV123" s="41">
        <v>0</v>
      </c>
      <c r="AW123" s="41">
        <v>70279161</v>
      </c>
      <c r="AX123" s="41">
        <v>18349928</v>
      </c>
      <c r="AY123" s="41">
        <v>63135348</v>
      </c>
      <c r="AZ123" s="41">
        <v>10219722</v>
      </c>
      <c r="BA123" s="41">
        <v>2222273</v>
      </c>
      <c r="BB123" s="41">
        <v>487693448</v>
      </c>
      <c r="BC123" s="41">
        <v>1589101009</v>
      </c>
      <c r="BD123" s="41">
        <v>160415516</v>
      </c>
      <c r="BE123" s="41">
        <v>159225441</v>
      </c>
      <c r="BF123" s="41">
        <v>12987018</v>
      </c>
      <c r="BG123" s="41">
        <v>0</v>
      </c>
      <c r="BH123" s="41">
        <v>3939942</v>
      </c>
      <c r="BI123" s="41">
        <v>766270</v>
      </c>
      <c r="BJ123" s="41">
        <v>298998</v>
      </c>
      <c r="BK123" s="41">
        <v>16969</v>
      </c>
      <c r="BL123" s="41">
        <v>0</v>
      </c>
      <c r="BM123" s="41">
        <v>13681412</v>
      </c>
      <c r="BN123" s="41">
        <v>27262764</v>
      </c>
      <c r="BO123" s="41">
        <v>0</v>
      </c>
      <c r="BP123" s="41">
        <v>3536471</v>
      </c>
      <c r="BQ123" s="41">
        <v>34591226</v>
      </c>
      <c r="BR123" s="41">
        <v>0</v>
      </c>
      <c r="BS123" s="42">
        <f>IFERROR(VLOOKUP(A123,'Trans 21-23'!$A$2:$J$229,5,0),0)</f>
        <v>929234</v>
      </c>
      <c r="BT123" s="43"/>
      <c r="BU123" s="6">
        <f t="shared" si="0"/>
        <v>487693448</v>
      </c>
      <c r="BV123" s="6">
        <f t="shared" si="1"/>
        <v>397</v>
      </c>
      <c r="BW123" s="6">
        <f t="shared" si="2"/>
        <v>74191</v>
      </c>
      <c r="BX123" s="6">
        <f t="shared" si="3"/>
        <v>13936825</v>
      </c>
      <c r="BY123" s="6">
        <f t="shared" si="4"/>
        <v>3366451</v>
      </c>
      <c r="BZ123" s="6">
        <f t="shared" si="5"/>
        <v>10219722</v>
      </c>
      <c r="CA123" s="6">
        <f t="shared" si="6"/>
        <v>33828940</v>
      </c>
      <c r="CB123" s="6">
        <f t="shared" si="7"/>
        <v>241279</v>
      </c>
      <c r="CC123" s="6">
        <f t="shared" si="8"/>
        <v>1829453</v>
      </c>
      <c r="CD123" s="6">
        <f t="shared" si="65"/>
        <v>1</v>
      </c>
      <c r="CE123" s="44">
        <f t="shared" si="10"/>
        <v>11</v>
      </c>
      <c r="CF123" s="27"/>
      <c r="CG123" s="28">
        <f t="shared" si="11"/>
        <v>1228.4469722921913</v>
      </c>
      <c r="CH123" s="28">
        <f t="shared" si="12"/>
        <v>5.3510533622676606</v>
      </c>
      <c r="CI123" s="28">
        <f t="shared" si="13"/>
        <v>187.85061530374304</v>
      </c>
      <c r="CJ123" s="28">
        <f t="shared" si="14"/>
        <v>137.74881050262161</v>
      </c>
      <c r="CK123" s="23">
        <f t="shared" si="15"/>
        <v>0.13188586971078239</v>
      </c>
      <c r="CL123" s="29" t="str">
        <f t="shared" si="16"/>
        <v/>
      </c>
      <c r="CM123" s="29" t="str">
        <f t="shared" si="66"/>
        <v/>
      </c>
      <c r="CN123" s="29" t="str">
        <f t="shared" si="18"/>
        <v/>
      </c>
      <c r="CO123" s="29" t="str">
        <f t="shared" si="19"/>
        <v/>
      </c>
      <c r="CP123" s="29" t="str">
        <f t="shared" si="20"/>
        <v/>
      </c>
      <c r="CQ123" s="29">
        <f t="shared" si="21"/>
        <v>0</v>
      </c>
      <c r="CR123" s="13"/>
      <c r="CS123" s="7">
        <f>VLOOKUP(A123,'Empresas 21-23'!$A$2:$M$228,13,0)</f>
        <v>1</v>
      </c>
      <c r="CT123" s="30"/>
      <c r="CU123" s="6">
        <f t="shared" si="22"/>
        <v>427289521.39999998</v>
      </c>
      <c r="CV123" s="6">
        <f t="shared" si="23"/>
        <v>10219722</v>
      </c>
      <c r="CW123" s="6">
        <f t="shared" si="24"/>
        <v>160415516</v>
      </c>
      <c r="CX123" s="23">
        <f t="shared" si="67"/>
        <v>0.29907878500450341</v>
      </c>
      <c r="CY123" s="23">
        <f t="shared" si="68"/>
        <v>7.1532342492960418E-3</v>
      </c>
      <c r="CZ123" s="6">
        <f t="shared" si="25"/>
        <v>475266399.02115047</v>
      </c>
      <c r="DA123" s="6">
        <f t="shared" si="26"/>
        <v>11367211.763169697</v>
      </c>
      <c r="DB123" s="6">
        <f t="shared" si="27"/>
        <v>13936825</v>
      </c>
      <c r="DC123" s="6">
        <f t="shared" si="28"/>
        <v>13951409</v>
      </c>
      <c r="DD123" s="6">
        <f t="shared" si="29"/>
        <v>3366451</v>
      </c>
      <c r="DE123" s="6">
        <f t="shared" si="30"/>
        <v>33828940</v>
      </c>
      <c r="DF123" s="6">
        <f t="shared" si="31"/>
        <v>8522136.1085828468</v>
      </c>
      <c r="DG123" s="30"/>
      <c r="DH123" s="32">
        <f>VLOOKUP(A123,'T_med_comp-USA'!$A$7:$Q$233,17,0)</f>
        <v>12.214488679299103</v>
      </c>
      <c r="DI123" s="6" t="str">
        <f t="shared" si="32"/>
        <v>10_2009</v>
      </c>
      <c r="DJ123" s="32">
        <f>IF(DI123="","",VLOOKUP(DI123,'CPI USA'!$T:$U,2,FALSE))</f>
        <v>214.53700000000001</v>
      </c>
      <c r="DK123" s="32">
        <f>IF(DI123="","",VLOOKUP(DI123,'PPI USA'!$S:$T,2,FALSE))</f>
        <v>159.1</v>
      </c>
      <c r="DL123" s="32">
        <f>IF(DI123="","",VLOOKUP(DI123,'CPI USA'!$T:$V,3,FALSE))</f>
        <v>0.66997101349938215</v>
      </c>
      <c r="DM123" s="32">
        <f>IF(DI123="","",VLOOKUP(DI123,'CPI USA'!$T:$X,5,FALSE))</f>
        <v>0.49813941766071862</v>
      </c>
      <c r="DN123" s="32">
        <f t="shared" si="33"/>
        <v>1.4932638886873792</v>
      </c>
      <c r="DO123" s="32">
        <f t="shared" si="34"/>
        <v>1.5082750176818205</v>
      </c>
      <c r="DP123" s="32">
        <f t="shared" si="35"/>
        <v>0.28270011283057656</v>
      </c>
      <c r="DQ123" s="32">
        <f>IF(DP123="","",DP123*$DO$1/'CPI USA'!$U$508+(1-DP123)*AVERAGE($DO$1,$DQ$1)/AVERAGE('CPI USA'!$U$508,'PPI USA'!$T$514))</f>
        <v>1.1692715249547287</v>
      </c>
      <c r="DR123" s="6">
        <f t="shared" si="36"/>
        <v>1082237</v>
      </c>
      <c r="DS123" s="32">
        <f t="shared" si="37"/>
        <v>0.32147712828732694</v>
      </c>
      <c r="DT123" s="28">
        <f>IF(DS123="","",DS123*$DO$1/'CPI USA'!$U$508+(1-DS123)*AVERAGE($DO$1,$DQ$1)/AVERAGE('CPI USA'!$U$508,'PPI USA'!$T$514))</f>
        <v>1.1669795808816072</v>
      </c>
      <c r="DU123" s="6">
        <f t="shared" si="38"/>
        <v>13681412</v>
      </c>
      <c r="DV123" s="6">
        <f t="shared" si="39"/>
        <v>1558019.5940058776</v>
      </c>
      <c r="DW123" s="6">
        <f t="shared" si="40"/>
        <v>2807314.5233312678</v>
      </c>
      <c r="DX123" s="16">
        <f t="shared" si="41"/>
        <v>0.32941441999546972</v>
      </c>
      <c r="DY123" s="28">
        <f>IF(DX123="","",DX123*$DO$1/'CPI USA'!$U$508+(1-DX123)*AVERAGE($DO$1,$DQ$1)/AVERAGE('CPI USA'!$U$508,'PPI USA'!$T$514))</f>
        <v>1.166510441406255</v>
      </c>
      <c r="DZ123" s="30"/>
      <c r="EA123" s="45" t="str">
        <f t="shared" si="42"/>
        <v>C001421</v>
      </c>
      <c r="EB123" s="29">
        <f t="shared" si="43"/>
        <v>709698151.16477084</v>
      </c>
      <c r="EC123" s="29">
        <f t="shared" si="44"/>
        <v>17144881.523087773</v>
      </c>
      <c r="ED123" s="29">
        <f t="shared" si="45"/>
        <v>16312985.276697127</v>
      </c>
      <c r="EE123" s="29">
        <f t="shared" si="46"/>
        <v>3928579.5770384674</v>
      </c>
      <c r="EF123" s="29">
        <f t="shared" si="47"/>
        <v>9941160.7537471615</v>
      </c>
      <c r="EG123" s="29">
        <f t="shared" si="48"/>
        <v>397</v>
      </c>
      <c r="EH123" s="29">
        <f t="shared" si="49"/>
        <v>74191</v>
      </c>
      <c r="EI123" s="29">
        <f t="shared" si="50"/>
        <v>241279</v>
      </c>
      <c r="EJ123" s="29">
        <f t="shared" si="51"/>
        <v>1829453</v>
      </c>
      <c r="EK123" s="29">
        <f t="shared" si="52"/>
        <v>2050503.0152284263</v>
      </c>
      <c r="EL123" s="29">
        <f>IF(CD123=1,VLOOKUP(EA123,'EIA 2021'!$A$2:$J$213,4,0)*EH123,"")</f>
        <v>4645246.892</v>
      </c>
      <c r="EM123" s="29">
        <f>IF(CD123=1,VLOOKUP(EA123,'EIA 2021'!$A$2:$J$213,7,0)*EH123,"")</f>
        <v>93332.278000000006</v>
      </c>
      <c r="EN123" s="29">
        <f>IF(CD123=1,VLOOKUP(EA123,'EIA 2021'!$A$2:$J$213,10,0),"")</f>
        <v>40</v>
      </c>
      <c r="EO123" s="28">
        <f>IF(CD123=1,VLOOKUP(EA123,'EIA 2021'!$A$2:$Z$213,26,0),"")</f>
        <v>0</v>
      </c>
      <c r="EP123" s="23">
        <f t="shared" si="53"/>
        <v>0.10780282378848456</v>
      </c>
      <c r="EQ123" s="32">
        <f t="shared" si="54"/>
        <v>20228.984771573683</v>
      </c>
      <c r="ER123" s="32">
        <f t="shared" si="55"/>
        <v>221050.01522842632</v>
      </c>
      <c r="ES123" s="6"/>
      <c r="ET123" s="32"/>
    </row>
    <row r="124" spans="1:150" ht="15.75" customHeight="1">
      <c r="A124" s="7" t="s">
        <v>574</v>
      </c>
      <c r="B124" s="7" t="s">
        <v>575</v>
      </c>
      <c r="C124" s="32" t="s">
        <v>576</v>
      </c>
      <c r="D124" s="40">
        <v>264828137</v>
      </c>
      <c r="E124" s="40">
        <v>62204380</v>
      </c>
      <c r="F124" s="40">
        <v>458329522</v>
      </c>
      <c r="G124" s="40">
        <v>349775674</v>
      </c>
      <c r="H124" s="40">
        <v>346544725</v>
      </c>
      <c r="I124" s="40">
        <v>2887919</v>
      </c>
      <c r="J124" s="40">
        <v>1123148</v>
      </c>
      <c r="K124" s="40">
        <v>2300291</v>
      </c>
      <c r="L124" s="40">
        <v>954509</v>
      </c>
      <c r="M124" s="40">
        <v>1545349</v>
      </c>
      <c r="N124" s="40">
        <v>18967</v>
      </c>
      <c r="O124" s="40">
        <v>50536611</v>
      </c>
      <c r="P124" s="40">
        <v>742640</v>
      </c>
      <c r="Q124" s="40">
        <v>712180</v>
      </c>
      <c r="R124" s="40">
        <v>248</v>
      </c>
      <c r="S124" s="40">
        <v>5252120</v>
      </c>
      <c r="T124" s="40">
        <v>20133142</v>
      </c>
      <c r="U124" s="40">
        <v>8011299</v>
      </c>
      <c r="V124" s="40">
        <v>2354404</v>
      </c>
      <c r="W124" s="40">
        <v>2416638</v>
      </c>
      <c r="X124" s="40">
        <f>IFERROR(VLOOKUP(A124,'Trans 21-23'!$A$2:$J$229,6,0),0)</f>
        <v>12358941</v>
      </c>
      <c r="Y124" s="41">
        <v>9667513</v>
      </c>
      <c r="Z124" s="41">
        <v>0</v>
      </c>
      <c r="AA124" s="41">
        <v>73165798</v>
      </c>
      <c r="AB124" s="41">
        <v>54805407</v>
      </c>
      <c r="AC124" s="41">
        <v>13660487</v>
      </c>
      <c r="AD124" s="41">
        <v>124482668</v>
      </c>
      <c r="AE124" s="41">
        <v>0</v>
      </c>
      <c r="AF124" s="41">
        <v>1997633499</v>
      </c>
      <c r="AG124" s="41">
        <v>1317311</v>
      </c>
      <c r="AH124" s="41">
        <v>1781397</v>
      </c>
      <c r="AI124" s="41">
        <v>34923004</v>
      </c>
      <c r="AJ124" s="41">
        <v>62532</v>
      </c>
      <c r="AK124" s="41">
        <v>0</v>
      </c>
      <c r="AL124" s="41">
        <v>14223711</v>
      </c>
      <c r="AM124" s="41">
        <v>12729685</v>
      </c>
      <c r="AN124" s="41">
        <v>2165830</v>
      </c>
      <c r="AO124" s="41">
        <v>107124</v>
      </c>
      <c r="AP124" s="41">
        <v>1886</v>
      </c>
      <c r="AQ124" s="41">
        <v>29228236</v>
      </c>
      <c r="AR124" s="41">
        <v>3850839</v>
      </c>
      <c r="AS124" s="41">
        <v>33079075</v>
      </c>
      <c r="AT124" s="41">
        <v>0</v>
      </c>
      <c r="AU124" s="41">
        <v>7575</v>
      </c>
      <c r="AV124" s="41">
        <v>0</v>
      </c>
      <c r="AW124" s="41">
        <v>449197469</v>
      </c>
      <c r="AX124" s="41">
        <v>811256795</v>
      </c>
      <c r="AY124" s="41">
        <v>2301500703</v>
      </c>
      <c r="AZ124" s="41">
        <v>330363419</v>
      </c>
      <c r="BA124" s="41">
        <v>85034581</v>
      </c>
      <c r="BB124" s="41">
        <v>7517399597</v>
      </c>
      <c r="BC124" s="41">
        <v>22431933760</v>
      </c>
      <c r="BD124" s="41">
        <v>1283839858</v>
      </c>
      <c r="BE124" s="41">
        <v>1986357026</v>
      </c>
      <c r="BF124" s="41">
        <v>165994243</v>
      </c>
      <c r="BG124" s="41">
        <v>0</v>
      </c>
      <c r="BH124" s="41">
        <v>60171487</v>
      </c>
      <c r="BI124" s="41">
        <v>23199992</v>
      </c>
      <c r="BJ124" s="41">
        <v>2375067</v>
      </c>
      <c r="BK124" s="41">
        <v>8148588</v>
      </c>
      <c r="BL124" s="41">
        <v>0</v>
      </c>
      <c r="BM124" s="41">
        <v>123882942</v>
      </c>
      <c r="BN124" s="41">
        <v>408432233</v>
      </c>
      <c r="BO124" s="41">
        <v>0</v>
      </c>
      <c r="BP124" s="41">
        <v>232870852</v>
      </c>
      <c r="BQ124" s="41">
        <v>840315250</v>
      </c>
      <c r="BR124" s="41">
        <v>0</v>
      </c>
      <c r="BS124" s="42">
        <f>IFERROR(VLOOKUP(A124,'Trans 21-23'!$A$2:$J$229,5,0),0)</f>
        <v>787457654</v>
      </c>
      <c r="BT124" s="43"/>
      <c r="BU124" s="6">
        <f t="shared" si="0"/>
        <v>7517399597</v>
      </c>
      <c r="BV124" s="6">
        <f t="shared" si="1"/>
        <v>7575</v>
      </c>
      <c r="BW124" s="6">
        <f t="shared" si="2"/>
        <v>1317311</v>
      </c>
      <c r="BX124" s="6">
        <f t="shared" si="3"/>
        <v>98989465</v>
      </c>
      <c r="BY124" s="6">
        <f t="shared" si="4"/>
        <v>151299205</v>
      </c>
      <c r="BZ124" s="6">
        <f t="shared" si="5"/>
        <v>330363419</v>
      </c>
      <c r="CA124" s="6">
        <f t="shared" si="6"/>
        <v>124482668</v>
      </c>
      <c r="CB124" s="6">
        <f t="shared" si="7"/>
        <v>1781397</v>
      </c>
      <c r="CC124" s="6">
        <f t="shared" si="8"/>
        <v>29228236</v>
      </c>
      <c r="CD124" s="6">
        <f t="shared" si="65"/>
        <v>1</v>
      </c>
      <c r="CE124" s="44">
        <f t="shared" si="10"/>
        <v>9</v>
      </c>
      <c r="CF124" s="27"/>
      <c r="CG124" s="28">
        <f t="shared" si="11"/>
        <v>992.39598640264023</v>
      </c>
      <c r="CH124" s="28">
        <f t="shared" si="12"/>
        <v>5.7503505246672955</v>
      </c>
      <c r="CI124" s="28">
        <f t="shared" si="13"/>
        <v>75.14509861376699</v>
      </c>
      <c r="CJ124" s="28">
        <f t="shared" si="14"/>
        <v>250.78619931056522</v>
      </c>
      <c r="CK124" s="23">
        <f t="shared" si="15"/>
        <v>6.0947810877125801E-2</v>
      </c>
      <c r="CL124" s="29" t="str">
        <f t="shared" si="16"/>
        <v/>
      </c>
      <c r="CM124" s="29" t="str">
        <f t="shared" si="66"/>
        <v/>
      </c>
      <c r="CN124" s="29" t="str">
        <f t="shared" si="18"/>
        <v/>
      </c>
      <c r="CO124" s="29" t="str">
        <f t="shared" si="19"/>
        <v/>
      </c>
      <c r="CP124" s="29" t="str">
        <f t="shared" si="20"/>
        <v/>
      </c>
      <c r="CQ124" s="29">
        <f t="shared" si="21"/>
        <v>0</v>
      </c>
      <c r="CR124" s="13"/>
      <c r="CS124" s="7">
        <f>VLOOKUP(A124,'Empresas 21-23'!$A$2:$M$228,13,0)</f>
        <v>1</v>
      </c>
      <c r="CT124" s="30"/>
      <c r="CU124" s="6">
        <f t="shared" si="22"/>
        <v>6021804752.1999998</v>
      </c>
      <c r="CV124" s="6">
        <f t="shared" si="23"/>
        <v>330363419</v>
      </c>
      <c r="CW124" s="6">
        <f t="shared" si="24"/>
        <v>1283839858</v>
      </c>
      <c r="CX124" s="23">
        <f t="shared" si="67"/>
        <v>0.28474456280102439</v>
      </c>
      <c r="CY124" s="23">
        <f t="shared" si="68"/>
        <v>1.5621427658251374E-2</v>
      </c>
      <c r="CZ124" s="6">
        <f t="shared" si="25"/>
        <v>6387371171.2727394</v>
      </c>
      <c r="DA124" s="6">
        <f t="shared" si="26"/>
        <v>350418830.46652675</v>
      </c>
      <c r="DB124" s="6">
        <f t="shared" si="27"/>
        <v>98989465</v>
      </c>
      <c r="DC124" s="6">
        <f t="shared" si="28"/>
        <v>111348406</v>
      </c>
      <c r="DD124" s="6">
        <f t="shared" si="29"/>
        <v>151299205</v>
      </c>
      <c r="DE124" s="6">
        <f t="shared" si="30"/>
        <v>124482668</v>
      </c>
      <c r="DF124" s="6">
        <f t="shared" si="31"/>
        <v>44108380.514168955</v>
      </c>
      <c r="DG124" s="30"/>
      <c r="DH124" s="32">
        <f>VLOOKUP(A124,'T_med_comp-USA'!$A$7:$Q$233,17,0)</f>
        <v>11.405524121120017</v>
      </c>
      <c r="DI124" s="6" t="str">
        <f t="shared" si="32"/>
        <v>8_2010</v>
      </c>
      <c r="DJ124" s="32">
        <f>IF(DI124="","",VLOOKUP(DI124,'CPI USA'!$T:$U,2,FALSE))</f>
        <v>218.05600000000001</v>
      </c>
      <c r="DK124" s="32">
        <f>IF(DI124="","",VLOOKUP(DI124,'PPI USA'!$S:$T,2,FALSE))</f>
        <v>160.80000000000001</v>
      </c>
      <c r="DL124" s="32">
        <f>IF(DI124="","",VLOOKUP(DI124,'CPI USA'!$T:$V,3,FALSE))</f>
        <v>0.67050107279443949</v>
      </c>
      <c r="DM124" s="32">
        <f>IF(DI124="","",VLOOKUP(DI124,'CPI USA'!$T:$X,5,FALSE))</f>
        <v>0.4987389730136107</v>
      </c>
      <c r="DN124" s="32">
        <f t="shared" si="33"/>
        <v>1.4703278680244813</v>
      </c>
      <c r="DO124" s="32">
        <f t="shared" si="34"/>
        <v>1.4857204383544427</v>
      </c>
      <c r="DP124" s="32">
        <f t="shared" si="35"/>
        <v>0.6078574826119123</v>
      </c>
      <c r="DQ124" s="32">
        <f>IF(DP124="","",DP124*$DO$1/'CPI USA'!$U$508+(1-DP124)*AVERAGE($DO$1,$DQ$1)/AVERAGE('CPI USA'!$U$508,'PPI USA'!$T$514))</f>
        <v>1.1500528590072867</v>
      </c>
      <c r="DR124" s="6">
        <f t="shared" si="36"/>
        <v>33723647</v>
      </c>
      <c r="DS124" s="32">
        <f t="shared" si="37"/>
        <v>0.22289374884686275</v>
      </c>
      <c r="DT124" s="28">
        <f>IF(DS124="","",DS124*$DO$1/'CPI USA'!$U$508+(1-DS124)*AVERAGE($DO$1,$DQ$1)/AVERAGE('CPI USA'!$U$508,'PPI USA'!$T$514))</f>
        <v>1.1728064241689373</v>
      </c>
      <c r="DU124" s="6">
        <f t="shared" si="38"/>
        <v>123882942</v>
      </c>
      <c r="DV124" s="6">
        <f t="shared" si="39"/>
        <v>47491961.975105062</v>
      </c>
      <c r="DW124" s="6">
        <f t="shared" si="40"/>
        <v>39397648.551845863</v>
      </c>
      <c r="DX124" s="16">
        <f t="shared" si="41"/>
        <v>0.89320097660783848</v>
      </c>
      <c r="DY124" s="28">
        <f>IF(DX124="","",DX124*$DO$1/'CPI USA'!$U$508+(1-DX124)*AVERAGE($DO$1,$DQ$1)/AVERAGE('CPI USA'!$U$508,'PPI USA'!$T$514))</f>
        <v>1.1331874215267479</v>
      </c>
      <c r="DZ124" s="30"/>
      <c r="EA124" s="45" t="str">
        <f t="shared" si="42"/>
        <v>C001436</v>
      </c>
      <c r="EB124" s="29">
        <f t="shared" si="43"/>
        <v>9391529836.5384808</v>
      </c>
      <c r="EC124" s="29">
        <f t="shared" si="44"/>
        <v>520624418.40837926</v>
      </c>
      <c r="ED124" s="29">
        <f t="shared" si="45"/>
        <v>128056552.66620412</v>
      </c>
      <c r="EE124" s="29">
        <f t="shared" si="46"/>
        <v>177444679.595653</v>
      </c>
      <c r="EF124" s="29">
        <f t="shared" si="47"/>
        <v>49983061.982571766</v>
      </c>
      <c r="EG124" s="29">
        <f t="shared" si="48"/>
        <v>7575</v>
      </c>
      <c r="EH124" s="29">
        <f t="shared" si="49"/>
        <v>1317311</v>
      </c>
      <c r="EI124" s="29">
        <f t="shared" si="50"/>
        <v>1781397</v>
      </c>
      <c r="EJ124" s="29">
        <f t="shared" si="51"/>
        <v>29228236</v>
      </c>
      <c r="EK124" s="29">
        <f t="shared" si="52"/>
        <v>30950990.781725887</v>
      </c>
      <c r="EL124" s="29">
        <f>IF(CD124=1,VLOOKUP(EA124,'EIA 2021'!$A$2:$J$213,4,0)*EH124,"")</f>
        <v>115080288.95999999</v>
      </c>
      <c r="EM124" s="29">
        <f>IF(CD124=1,VLOOKUP(EA124,'EIA 2021'!$A$2:$J$213,7,0)*EH124,"")</f>
        <v>1343657.22</v>
      </c>
      <c r="EN124" s="29">
        <f>IF(CD124=1,VLOOKUP(EA124,'EIA 2021'!$A$2:$J$213,10,0),"")</f>
        <v>1377130</v>
      </c>
      <c r="EO124" s="28">
        <f>IF(CD124=1,VLOOKUP(EA124,'EIA 2021'!$A$2:$Z$213,26,0),"")</f>
        <v>0</v>
      </c>
      <c r="EP124" s="23">
        <f t="shared" si="53"/>
        <v>5.5660731311484822E-2</v>
      </c>
      <c r="EQ124" s="32">
        <f t="shared" si="54"/>
        <v>58642.21827411186</v>
      </c>
      <c r="ER124" s="32">
        <f t="shared" si="55"/>
        <v>1722754.7817258881</v>
      </c>
      <c r="ES124" s="6"/>
      <c r="ET124" s="32"/>
    </row>
    <row r="125" spans="1:150" ht="15.75" customHeight="1">
      <c r="A125" s="7" t="s">
        <v>577</v>
      </c>
      <c r="B125" s="7" t="s">
        <v>578</v>
      </c>
      <c r="C125" s="32" t="s">
        <v>579</v>
      </c>
      <c r="D125" s="40">
        <v>15463698</v>
      </c>
      <c r="E125" s="40">
        <v>9858379</v>
      </c>
      <c r="F125" s="40">
        <v>141195256</v>
      </c>
      <c r="G125" s="40">
        <v>203217846</v>
      </c>
      <c r="H125" s="40">
        <v>206354622</v>
      </c>
      <c r="I125" s="40">
        <v>0</v>
      </c>
      <c r="J125" s="40">
        <v>2424566</v>
      </c>
      <c r="K125" s="40">
        <v>0</v>
      </c>
      <c r="L125" s="40">
        <v>0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f>IFERROR(VLOOKUP(A125,'Trans 21-23'!$A$2:$J$229,6,0),0)</f>
        <v>0</v>
      </c>
      <c r="Y125" s="41">
        <v>0</v>
      </c>
      <c r="Z125" s="41">
        <v>0</v>
      </c>
      <c r="AA125" s="41">
        <v>0</v>
      </c>
      <c r="AB125" s="41">
        <v>0</v>
      </c>
      <c r="AC125" s="41">
        <v>0</v>
      </c>
      <c r="AD125" s="41">
        <v>41341247</v>
      </c>
      <c r="AE125" s="41">
        <v>0</v>
      </c>
      <c r="AF125" s="41">
        <v>628768051</v>
      </c>
      <c r="AG125" s="41">
        <v>0</v>
      </c>
      <c r="AH125" s="41">
        <v>80986</v>
      </c>
      <c r="AI125" s="41">
        <v>12369106</v>
      </c>
      <c r="AJ125" s="41">
        <v>0</v>
      </c>
      <c r="AK125" s="41">
        <v>0</v>
      </c>
      <c r="AL125" s="41">
        <v>0</v>
      </c>
      <c r="AM125" s="41">
        <v>0</v>
      </c>
      <c r="AN125" s="41">
        <v>0</v>
      </c>
      <c r="AO125" s="41">
        <v>0</v>
      </c>
      <c r="AP125" s="41">
        <v>0</v>
      </c>
      <c r="AQ125" s="41">
        <v>0</v>
      </c>
      <c r="AR125" s="41">
        <v>12288120</v>
      </c>
      <c r="AS125" s="41">
        <v>12288120</v>
      </c>
      <c r="AT125" s="41">
        <v>0</v>
      </c>
      <c r="AU125" s="41">
        <v>2430</v>
      </c>
      <c r="AV125" s="41">
        <v>0</v>
      </c>
      <c r="AW125" s="41">
        <v>0</v>
      </c>
      <c r="AX125" s="41">
        <v>0</v>
      </c>
      <c r="AY125" s="41">
        <v>0</v>
      </c>
      <c r="AZ125" s="41">
        <v>0</v>
      </c>
      <c r="BA125" s="41">
        <v>0</v>
      </c>
      <c r="BB125" s="41">
        <v>0</v>
      </c>
      <c r="BC125" s="41">
        <v>2511483864</v>
      </c>
      <c r="BD125" s="41">
        <v>17757646</v>
      </c>
      <c r="BE125" s="41">
        <v>0</v>
      </c>
      <c r="BF125" s="41">
        <v>0</v>
      </c>
      <c r="BG125" s="41">
        <v>0</v>
      </c>
      <c r="BH125" s="41">
        <v>0</v>
      </c>
      <c r="BI125" s="41">
        <v>0</v>
      </c>
      <c r="BJ125" s="41">
        <v>0</v>
      </c>
      <c r="BK125" s="41">
        <v>0</v>
      </c>
      <c r="BL125" s="41">
        <v>0</v>
      </c>
      <c r="BM125" s="41">
        <v>12966475</v>
      </c>
      <c r="BN125" s="41">
        <v>19402918</v>
      </c>
      <c r="BO125" s="41">
        <v>0</v>
      </c>
      <c r="BP125" s="41">
        <v>0</v>
      </c>
      <c r="BQ125" s="41">
        <v>0</v>
      </c>
      <c r="BR125" s="41">
        <v>0</v>
      </c>
      <c r="BS125" s="42">
        <f>IFERROR(VLOOKUP(A125,'Trans 21-23'!$A$2:$J$229,5,0),0)</f>
        <v>0</v>
      </c>
      <c r="BT125" s="43"/>
      <c r="BU125" s="6">
        <f t="shared" si="0"/>
        <v>0</v>
      </c>
      <c r="BV125" s="6">
        <f t="shared" si="1"/>
        <v>2430</v>
      </c>
      <c r="BW125" s="6">
        <f t="shared" si="2"/>
        <v>0</v>
      </c>
      <c r="BX125" s="6">
        <f t="shared" si="3"/>
        <v>2424566</v>
      </c>
      <c r="BY125" s="6">
        <f t="shared" si="4"/>
        <v>0</v>
      </c>
      <c r="BZ125" s="6">
        <f t="shared" si="5"/>
        <v>0</v>
      </c>
      <c r="CA125" s="6">
        <f t="shared" si="6"/>
        <v>41341247</v>
      </c>
      <c r="CB125" s="6">
        <f t="shared" si="7"/>
        <v>80986</v>
      </c>
      <c r="CC125" s="6">
        <f t="shared" si="8"/>
        <v>0</v>
      </c>
      <c r="CD125" s="6">
        <f t="shared" si="65"/>
        <v>0</v>
      </c>
      <c r="CE125" s="44">
        <f t="shared" si="10"/>
        <v>51</v>
      </c>
      <c r="CF125" s="27"/>
      <c r="CG125" s="28" t="str">
        <f t="shared" si="11"/>
        <v/>
      </c>
      <c r="CH125" s="28" t="str">
        <f t="shared" si="12"/>
        <v/>
      </c>
      <c r="CI125" s="28" t="str">
        <f t="shared" si="13"/>
        <v/>
      </c>
      <c r="CJ125" s="28" t="str">
        <f t="shared" si="14"/>
        <v/>
      </c>
      <c r="CK125" s="23" t="str">
        <f t="shared" si="15"/>
        <v/>
      </c>
      <c r="CL125" s="29" t="str">
        <f t="shared" si="16"/>
        <v/>
      </c>
      <c r="CM125" s="29" t="str">
        <f t="shared" si="66"/>
        <v/>
      </c>
      <c r="CN125" s="29" t="str">
        <f t="shared" si="18"/>
        <v/>
      </c>
      <c r="CO125" s="29" t="str">
        <f t="shared" si="19"/>
        <v/>
      </c>
      <c r="CP125" s="29" t="str">
        <f t="shared" si="20"/>
        <v/>
      </c>
      <c r="CQ125" s="29">
        <f t="shared" si="21"/>
        <v>0</v>
      </c>
      <c r="CR125" s="13"/>
      <c r="CS125" s="7" t="str">
        <f>VLOOKUP(A125,'Empresas 21-23'!$A$2:$M$228,13,0)</f>
        <v/>
      </c>
      <c r="CT125" s="30"/>
      <c r="CU125" s="6">
        <f t="shared" si="22"/>
        <v>0</v>
      </c>
      <c r="CV125" s="6">
        <f t="shared" si="23"/>
        <v>0</v>
      </c>
      <c r="CW125" s="6">
        <f t="shared" si="24"/>
        <v>17757646</v>
      </c>
      <c r="CX125" s="23">
        <f t="shared" si="67"/>
        <v>0</v>
      </c>
      <c r="CY125" s="23">
        <f t="shared" si="68"/>
        <v>0</v>
      </c>
      <c r="CZ125" s="6">
        <f t="shared" si="25"/>
        <v>0</v>
      </c>
      <c r="DA125" s="6">
        <f t="shared" si="26"/>
        <v>0</v>
      </c>
      <c r="DB125" s="6">
        <f t="shared" si="27"/>
        <v>2424566</v>
      </c>
      <c r="DC125" s="6">
        <f t="shared" si="28"/>
        <v>2424566</v>
      </c>
      <c r="DD125" s="6">
        <f t="shared" si="29"/>
        <v>0</v>
      </c>
      <c r="DE125" s="6">
        <f t="shared" si="30"/>
        <v>41341247</v>
      </c>
      <c r="DF125" s="6">
        <f t="shared" si="31"/>
        <v>467174.62849698635</v>
      </c>
      <c r="DG125" s="30"/>
      <c r="DH125" s="32" t="str">
        <f>VLOOKUP(A125,'T_med_comp-USA'!$A$7:$Q$233,17,0)</f>
        <v>-</v>
      </c>
      <c r="DI125" s="6" t="str">
        <f t="shared" si="32"/>
        <v/>
      </c>
      <c r="DJ125" s="32" t="str">
        <f>IF(DI125="","",VLOOKUP(DI125,'CPI USA'!$T:$U,2,FALSE))</f>
        <v/>
      </c>
      <c r="DK125" s="32" t="str">
        <f>IF(DI125="","",VLOOKUP(DI125,'PPI USA'!$S:$T,2,FALSE))</f>
        <v/>
      </c>
      <c r="DL125" s="32" t="str">
        <f>IF(DI125="","",VLOOKUP(DI125,'CPI USA'!$T:$V,3,FALSE))</f>
        <v/>
      </c>
      <c r="DM125" s="32" t="str">
        <f>IF(DI125="","",VLOOKUP(DI125,'CPI USA'!$T:$X,5,FALSE))</f>
        <v/>
      </c>
      <c r="DN125" s="32" t="str">
        <f t="shared" si="33"/>
        <v/>
      </c>
      <c r="DO125" s="32" t="str">
        <f t="shared" si="34"/>
        <v/>
      </c>
      <c r="DP125" s="32">
        <f t="shared" si="35"/>
        <v>0.2</v>
      </c>
      <c r="DQ125" s="32">
        <f>IF(DP125="","",DP125*$DO$1/'CPI USA'!$U$508+(1-DP125)*AVERAGE($DO$1,$DQ$1)/AVERAGE('CPI USA'!$U$508,'PPI USA'!$T$514))</f>
        <v>1.1741595760647974</v>
      </c>
      <c r="DR125" s="6">
        <f t="shared" si="36"/>
        <v>0</v>
      </c>
      <c r="DS125" s="32" t="str">
        <f t="shared" si="37"/>
        <v/>
      </c>
      <c r="DT125" s="28" t="str">
        <f>IF(DS125="","",DS125*$DO$1/'CPI USA'!$U$508+(1-DS125)*AVERAGE($DO$1,$DQ$1)/AVERAGE('CPI USA'!$U$508,'PPI USA'!$T$514))</f>
        <v/>
      </c>
      <c r="DU125" s="6">
        <f t="shared" si="38"/>
        <v>12966475</v>
      </c>
      <c r="DV125" s="6" t="str">
        <f t="shared" si="39"/>
        <v/>
      </c>
      <c r="DW125" s="6">
        <f t="shared" si="40"/>
        <v>0</v>
      </c>
      <c r="DX125" s="16" t="str">
        <f t="shared" si="41"/>
        <v/>
      </c>
      <c r="DY125" s="28" t="str">
        <f>IF(DX125="","",DX125*$DO$1/'CPI USA'!$U$508+(1-DX125)*AVERAGE($DO$1,$DQ$1)/AVERAGE('CPI USA'!$U$508,'PPI USA'!$T$514))</f>
        <v/>
      </c>
      <c r="DZ125" s="30"/>
      <c r="EA125" s="45" t="str">
        <f t="shared" si="42"/>
        <v>C001444</v>
      </c>
      <c r="EB125" s="29" t="str">
        <f t="shared" si="43"/>
        <v/>
      </c>
      <c r="EC125" s="29" t="str">
        <f t="shared" si="44"/>
        <v/>
      </c>
      <c r="ED125" s="29" t="str">
        <f t="shared" si="45"/>
        <v/>
      </c>
      <c r="EE125" s="29" t="str">
        <f t="shared" si="46"/>
        <v/>
      </c>
      <c r="EF125" s="29" t="str">
        <f t="shared" si="47"/>
        <v/>
      </c>
      <c r="EG125" s="29" t="str">
        <f t="shared" si="48"/>
        <v/>
      </c>
      <c r="EH125" s="29" t="str">
        <f t="shared" si="49"/>
        <v/>
      </c>
      <c r="EI125" s="29" t="str">
        <f t="shared" si="50"/>
        <v/>
      </c>
      <c r="EJ125" s="29" t="str">
        <f t="shared" si="51"/>
        <v/>
      </c>
      <c r="EK125" s="29" t="str">
        <f t="shared" si="52"/>
        <v/>
      </c>
      <c r="EL125" s="29" t="str">
        <f>IF(CD125=1,VLOOKUP(EA125,'EIA 2021'!$A$2:$J$213,4,0)*EH125,"")</f>
        <v/>
      </c>
      <c r="EM125" s="29" t="str">
        <f>IF(CD125=1,VLOOKUP(EA125,'EIA 2021'!$A$2:$J$213,7,0)*EH125,"")</f>
        <v/>
      </c>
      <c r="EN125" s="29" t="str">
        <f>IF(CD125=1,VLOOKUP(EA125,'EIA 2021'!$A$2:$J$213,10,0),"")</f>
        <v/>
      </c>
      <c r="EO125" s="28" t="str">
        <f>IF(CD125=1,VLOOKUP(EA125,'EIA 2021'!$A$2:$Z$213,26,0),"")</f>
        <v/>
      </c>
      <c r="EP125" s="23" t="str">
        <f t="shared" si="53"/>
        <v/>
      </c>
      <c r="EQ125" s="32" t="str">
        <f t="shared" si="54"/>
        <v/>
      </c>
      <c r="ER125" s="32" t="str">
        <f t="shared" si="55"/>
        <v/>
      </c>
      <c r="ES125" s="6"/>
      <c r="ET125" s="32"/>
    </row>
    <row r="126" spans="1:150" ht="15.75" customHeight="1">
      <c r="A126" s="7" t="s">
        <v>580</v>
      </c>
      <c r="B126" s="7" t="s">
        <v>581</v>
      </c>
      <c r="C126" s="32" t="s">
        <v>582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f>IFERROR(VLOOKUP(A126,'Trans 21-23'!$A$2:$J$229,6,0),0)</f>
        <v>0</v>
      </c>
      <c r="Y126" s="41">
        <v>0</v>
      </c>
      <c r="Z126" s="41">
        <v>0</v>
      </c>
      <c r="AA126" s="41">
        <v>0</v>
      </c>
      <c r="AB126" s="41">
        <v>0</v>
      </c>
      <c r="AC126" s="41">
        <v>0</v>
      </c>
      <c r="AD126" s="41">
        <v>761330</v>
      </c>
      <c r="AE126" s="41">
        <v>0</v>
      </c>
      <c r="AF126" s="41">
        <v>761330</v>
      </c>
      <c r="AG126" s="41">
        <v>0</v>
      </c>
      <c r="AH126" s="41">
        <v>0</v>
      </c>
      <c r="AI126" s="41">
        <v>0</v>
      </c>
      <c r="AJ126" s="41">
        <v>0</v>
      </c>
      <c r="AK126" s="41">
        <v>0</v>
      </c>
      <c r="AL126" s="41">
        <v>0</v>
      </c>
      <c r="AM126" s="41">
        <v>0</v>
      </c>
      <c r="AN126" s="41">
        <v>0</v>
      </c>
      <c r="AO126" s="41">
        <v>0</v>
      </c>
      <c r="AP126" s="41">
        <v>0</v>
      </c>
      <c r="AQ126" s="41">
        <v>0</v>
      </c>
      <c r="AR126" s="41">
        <v>0</v>
      </c>
      <c r="AS126" s="41">
        <v>0</v>
      </c>
      <c r="AT126" s="41">
        <v>0</v>
      </c>
      <c r="AU126" s="41">
        <v>0</v>
      </c>
      <c r="AV126" s="41">
        <v>0</v>
      </c>
      <c r="AW126" s="41">
        <v>0</v>
      </c>
      <c r="AX126" s="41">
        <v>0</v>
      </c>
      <c r="AY126" s="41">
        <v>0</v>
      </c>
      <c r="AZ126" s="41">
        <v>0</v>
      </c>
      <c r="BA126" s="41">
        <v>0</v>
      </c>
      <c r="BB126" s="41">
        <v>0</v>
      </c>
      <c r="BC126" s="41">
        <v>0</v>
      </c>
      <c r="BD126" s="41">
        <v>0</v>
      </c>
      <c r="BE126" s="41">
        <v>0</v>
      </c>
      <c r="BF126" s="41">
        <v>0</v>
      </c>
      <c r="BG126" s="41">
        <v>0</v>
      </c>
      <c r="BH126" s="41">
        <v>0</v>
      </c>
      <c r="BI126" s="41">
        <v>0</v>
      </c>
      <c r="BJ126" s="41">
        <v>0</v>
      </c>
      <c r="BK126" s="41">
        <v>0</v>
      </c>
      <c r="BL126" s="41">
        <v>0</v>
      </c>
      <c r="BM126" s="41">
        <v>0</v>
      </c>
      <c r="BN126" s="41">
        <v>0</v>
      </c>
      <c r="BO126" s="41">
        <v>0</v>
      </c>
      <c r="BP126" s="41">
        <v>0</v>
      </c>
      <c r="BQ126" s="41">
        <v>0</v>
      </c>
      <c r="BR126" s="41">
        <v>0</v>
      </c>
      <c r="BS126" s="42">
        <f>IFERROR(VLOOKUP(A126,'Trans 21-23'!$A$2:$J$229,5,0),0)</f>
        <v>0</v>
      </c>
      <c r="BT126" s="43"/>
      <c r="BU126" s="6">
        <f t="shared" si="0"/>
        <v>0</v>
      </c>
      <c r="BV126" s="6">
        <f t="shared" si="1"/>
        <v>0</v>
      </c>
      <c r="BW126" s="6">
        <f t="shared" si="2"/>
        <v>0</v>
      </c>
      <c r="BX126" s="6">
        <f t="shared" si="3"/>
        <v>0</v>
      </c>
      <c r="BY126" s="6">
        <f t="shared" si="4"/>
        <v>0</v>
      </c>
      <c r="BZ126" s="6">
        <f t="shared" si="5"/>
        <v>0</v>
      </c>
      <c r="CA126" s="6">
        <f t="shared" si="6"/>
        <v>761330</v>
      </c>
      <c r="CB126" s="6">
        <f t="shared" si="7"/>
        <v>0</v>
      </c>
      <c r="CC126" s="6">
        <f t="shared" si="8"/>
        <v>0</v>
      </c>
      <c r="CD126" s="6">
        <f>IF(OR(BU126&lt;=0,BV126&lt;=0,BW126&lt;=0,BX126&lt;=0,BY126&lt;=0,BZ126&lt;=0,CA126&lt;=0,CB126&lt;=0,CC126&lt;=0),0,1)</f>
        <v>0</v>
      </c>
      <c r="CE126" s="44">
        <f t="shared" si="10"/>
        <v>66</v>
      </c>
      <c r="CF126" s="27"/>
      <c r="CG126" s="28" t="str">
        <f t="shared" si="11"/>
        <v/>
      </c>
      <c r="CH126" s="28" t="str">
        <f t="shared" si="12"/>
        <v/>
      </c>
      <c r="CI126" s="28" t="str">
        <f t="shared" si="13"/>
        <v/>
      </c>
      <c r="CJ126" s="28" t="str">
        <f t="shared" si="14"/>
        <v/>
      </c>
      <c r="CK126" s="23" t="str">
        <f t="shared" si="15"/>
        <v/>
      </c>
      <c r="CL126" s="29" t="str">
        <f t="shared" si="16"/>
        <v/>
      </c>
      <c r="CM126" s="29" t="str">
        <f t="shared" si="66"/>
        <v/>
      </c>
      <c r="CN126" s="29" t="str">
        <f t="shared" si="18"/>
        <v/>
      </c>
      <c r="CO126" s="29" t="str">
        <f t="shared" si="19"/>
        <v/>
      </c>
      <c r="CP126" s="29" t="str">
        <f t="shared" si="20"/>
        <v/>
      </c>
      <c r="CQ126" s="29">
        <f t="shared" si="21"/>
        <v>0</v>
      </c>
      <c r="CR126" s="13"/>
      <c r="CS126" s="7" t="str">
        <f>VLOOKUP(A126,'Empresas 21-23'!$A$2:$M$228,13,0)</f>
        <v/>
      </c>
      <c r="CT126" s="30"/>
      <c r="CU126" s="6">
        <f t="shared" si="22"/>
        <v>0</v>
      </c>
      <c r="CV126" s="6">
        <f t="shared" si="23"/>
        <v>0</v>
      </c>
      <c r="CW126" s="6">
        <f t="shared" si="24"/>
        <v>0</v>
      </c>
      <c r="CX126" s="23" t="str">
        <f>IFERROR(CU126/(BC126-BD126),"")</f>
        <v/>
      </c>
      <c r="CY126" s="23" t="str">
        <f>IFERROR(CV126/(BC126-BD126),"")</f>
        <v/>
      </c>
      <c r="CZ126" s="6" t="e">
        <f t="shared" si="25"/>
        <v>#VALUE!</v>
      </c>
      <c r="DA126" s="6" t="e">
        <f t="shared" si="26"/>
        <v>#VALUE!</v>
      </c>
      <c r="DB126" s="6">
        <f t="shared" si="27"/>
        <v>0</v>
      </c>
      <c r="DC126" s="6">
        <f t="shared" si="28"/>
        <v>0</v>
      </c>
      <c r="DD126" s="6">
        <f t="shared" si="29"/>
        <v>0</v>
      </c>
      <c r="DE126" s="6">
        <f t="shared" si="30"/>
        <v>761330</v>
      </c>
      <c r="DF126" s="6" t="e">
        <f t="shared" si="31"/>
        <v>#DIV/0!</v>
      </c>
      <c r="DG126" s="30"/>
      <c r="DH126" s="32" t="str">
        <f>VLOOKUP(A126,'T_med_comp-USA'!$A$7:$Q$233,17,0)</f>
        <v>-</v>
      </c>
      <c r="DI126" s="6" t="str">
        <f t="shared" si="32"/>
        <v/>
      </c>
      <c r="DJ126" s="32" t="str">
        <f>IF(DI126="","",VLOOKUP(DI126,'CPI USA'!$T:$U,2,FALSE))</f>
        <v/>
      </c>
      <c r="DK126" s="32" t="str">
        <f>IF(DI126="","",VLOOKUP(DI126,'PPI USA'!$S:$T,2,FALSE))</f>
        <v/>
      </c>
      <c r="DL126" s="32" t="str">
        <f>IF(DI126="","",VLOOKUP(DI126,'CPI USA'!$T:$V,3,FALSE))</f>
        <v/>
      </c>
      <c r="DM126" s="32" t="str">
        <f>IF(DI126="","",VLOOKUP(DI126,'CPI USA'!$T:$X,5,FALSE))</f>
        <v/>
      </c>
      <c r="DN126" s="32" t="str">
        <f t="shared" si="33"/>
        <v/>
      </c>
      <c r="DO126" s="32" t="str">
        <f t="shared" si="34"/>
        <v/>
      </c>
      <c r="DP126" s="32" t="str">
        <f t="shared" si="35"/>
        <v/>
      </c>
      <c r="DQ126" s="32" t="str">
        <f>IF(DP126="","",DP126*$DO$1/'CPI USA'!$U$508+(1-DP126)*AVERAGE($DO$1,$DQ$1)/AVERAGE('CPI USA'!$U$508,'PPI USA'!$T$514))</f>
        <v/>
      </c>
      <c r="DR126" s="6">
        <f t="shared" si="36"/>
        <v>0</v>
      </c>
      <c r="DS126" s="32" t="str">
        <f t="shared" si="37"/>
        <v/>
      </c>
      <c r="DT126" s="28" t="str">
        <f>IF(DS126="","",DS126*$DO$1/'CPI USA'!$U$508+(1-DS126)*AVERAGE($DO$1,$DQ$1)/AVERAGE('CPI USA'!$U$508,'PPI USA'!$T$514))</f>
        <v/>
      </c>
      <c r="DU126" s="6" t="str">
        <f t="shared" si="38"/>
        <v/>
      </c>
      <c r="DV126" s="6" t="str">
        <f t="shared" si="39"/>
        <v/>
      </c>
      <c r="DW126" s="6">
        <f t="shared" si="40"/>
        <v>0</v>
      </c>
      <c r="DX126" s="16" t="e">
        <f t="shared" si="41"/>
        <v>#VALUE!</v>
      </c>
      <c r="DY126" s="28" t="e">
        <f>IF(DX126="","",DX126*$DO$1/'CPI USA'!$U$508+(1-DX126)*AVERAGE($DO$1,$DQ$1)/AVERAGE('CPI USA'!$U$508,'PPI USA'!$T$514))</f>
        <v>#VALUE!</v>
      </c>
      <c r="DZ126" s="30"/>
      <c r="EA126" s="45" t="str">
        <f t="shared" si="42"/>
        <v>C001446</v>
      </c>
      <c r="EB126" s="29" t="str">
        <f t="shared" si="43"/>
        <v/>
      </c>
      <c r="EC126" s="29" t="str">
        <f t="shared" si="44"/>
        <v/>
      </c>
      <c r="ED126" s="29" t="str">
        <f t="shared" si="45"/>
        <v/>
      </c>
      <c r="EE126" s="29" t="str">
        <f t="shared" si="46"/>
        <v/>
      </c>
      <c r="EF126" s="29" t="str">
        <f t="shared" si="47"/>
        <v/>
      </c>
      <c r="EG126" s="29" t="str">
        <f t="shared" si="48"/>
        <v/>
      </c>
      <c r="EH126" s="29" t="str">
        <f t="shared" si="49"/>
        <v/>
      </c>
      <c r="EI126" s="29" t="str">
        <f t="shared" si="50"/>
        <v/>
      </c>
      <c r="EJ126" s="29" t="str">
        <f t="shared" si="51"/>
        <v/>
      </c>
      <c r="EK126" s="29" t="str">
        <f t="shared" si="52"/>
        <v/>
      </c>
      <c r="EL126" s="29" t="str">
        <f>IF(CD126=1,VLOOKUP(EA126,'EIA 2021'!$A$2:$J$213,4,0)*EH126,"")</f>
        <v/>
      </c>
      <c r="EM126" s="29" t="str">
        <f>IF(CD126=1,VLOOKUP(EA126,'EIA 2021'!$A$2:$J$213,7,0)*EH126,"")</f>
        <v/>
      </c>
      <c r="EN126" s="29" t="str">
        <f>IF(CD126=1,VLOOKUP(EA126,'EIA 2021'!$A$2:$J$213,10,0),"")</f>
        <v/>
      </c>
      <c r="EO126" s="28" t="str">
        <f>IF(CD126=1,VLOOKUP(EA126,'EIA 2021'!$A$2:$Z$213,26,0),"")</f>
        <v/>
      </c>
      <c r="EP126" s="23" t="str">
        <f t="shared" si="53"/>
        <v/>
      </c>
      <c r="EQ126" s="32" t="str">
        <f t="shared" si="54"/>
        <v/>
      </c>
      <c r="ER126" s="32" t="str">
        <f t="shared" si="55"/>
        <v/>
      </c>
      <c r="ES126" s="6"/>
      <c r="ET126" s="32"/>
    </row>
    <row r="127" spans="1:150" ht="15.75" customHeight="1">
      <c r="A127" s="7" t="s">
        <v>583</v>
      </c>
      <c r="B127" s="7" t="s">
        <v>584</v>
      </c>
      <c r="C127" s="32" t="s">
        <v>585</v>
      </c>
      <c r="D127" s="40">
        <v>9446357</v>
      </c>
      <c r="E127" s="40">
        <v>0</v>
      </c>
      <c r="F127" s="40">
        <v>9595211</v>
      </c>
      <c r="G127" s="40">
        <v>61802678</v>
      </c>
      <c r="H127" s="40">
        <v>62332943</v>
      </c>
      <c r="I127" s="40">
        <v>367262</v>
      </c>
      <c r="J127" s="40">
        <v>338456</v>
      </c>
      <c r="K127" s="40">
        <v>306172</v>
      </c>
      <c r="L127" s="40">
        <v>189901</v>
      </c>
      <c r="M127" s="40">
        <v>243187</v>
      </c>
      <c r="N127" s="40">
        <v>134566</v>
      </c>
      <c r="O127" s="40">
        <v>481849</v>
      </c>
      <c r="P127" s="40">
        <v>37423</v>
      </c>
      <c r="Q127" s="40">
        <v>16476</v>
      </c>
      <c r="R127" s="40">
        <v>0</v>
      </c>
      <c r="S127" s="40">
        <v>29539</v>
      </c>
      <c r="T127" s="40">
        <v>950498</v>
      </c>
      <c r="U127" s="40">
        <v>121963</v>
      </c>
      <c r="V127" s="40">
        <v>1306</v>
      </c>
      <c r="W127" s="40">
        <v>19848</v>
      </c>
      <c r="X127" s="40">
        <f>IFERROR(VLOOKUP(A127,'Trans 21-23'!$A$2:$J$229,6,0),0)</f>
        <v>355757</v>
      </c>
      <c r="Y127" s="41">
        <v>198814</v>
      </c>
      <c r="Z127" s="41">
        <v>143583</v>
      </c>
      <c r="AA127" s="41">
        <v>882945</v>
      </c>
      <c r="AB127" s="41">
        <v>174030</v>
      </c>
      <c r="AC127" s="41">
        <v>18323</v>
      </c>
      <c r="AD127" s="41">
        <v>14884855</v>
      </c>
      <c r="AE127" s="41">
        <v>0</v>
      </c>
      <c r="AF127" s="41">
        <v>133812198</v>
      </c>
      <c r="AG127" s="41">
        <v>43782</v>
      </c>
      <c r="AH127" s="41">
        <v>110274</v>
      </c>
      <c r="AI127" s="41">
        <v>1983331</v>
      </c>
      <c r="AJ127" s="41">
        <v>0</v>
      </c>
      <c r="AK127" s="41">
        <v>0</v>
      </c>
      <c r="AL127" s="41">
        <v>279719</v>
      </c>
      <c r="AM127" s="41">
        <v>516857</v>
      </c>
      <c r="AN127" s="41">
        <v>928258</v>
      </c>
      <c r="AO127" s="41">
        <v>3859</v>
      </c>
      <c r="AP127" s="41">
        <v>4908</v>
      </c>
      <c r="AQ127" s="41">
        <v>1733601</v>
      </c>
      <c r="AR127" s="41">
        <v>139456</v>
      </c>
      <c r="AS127" s="41">
        <v>1873057</v>
      </c>
      <c r="AT127" s="41">
        <v>0</v>
      </c>
      <c r="AU127" s="41">
        <v>274</v>
      </c>
      <c r="AV127" s="41">
        <v>0</v>
      </c>
      <c r="AW127" s="41">
        <v>25348154</v>
      </c>
      <c r="AX127" s="41">
        <v>12657197</v>
      </c>
      <c r="AY127" s="41">
        <v>53231222</v>
      </c>
      <c r="AZ127" s="41">
        <v>8181214</v>
      </c>
      <c r="BA127" s="41">
        <v>8161874</v>
      </c>
      <c r="BB127" s="41">
        <v>235197197</v>
      </c>
      <c r="BC127" s="41">
        <v>675910704</v>
      </c>
      <c r="BD127" s="41">
        <v>24326750</v>
      </c>
      <c r="BE127" s="41">
        <v>66076374</v>
      </c>
      <c r="BF127" s="41">
        <v>6461710</v>
      </c>
      <c r="BG127" s="41">
        <v>0</v>
      </c>
      <c r="BH127" s="41">
        <v>1712258</v>
      </c>
      <c r="BI127" s="41">
        <v>408742</v>
      </c>
      <c r="BJ127" s="41">
        <v>113550</v>
      </c>
      <c r="BK127" s="41">
        <v>12315</v>
      </c>
      <c r="BL127" s="41">
        <v>0</v>
      </c>
      <c r="BM127" s="41">
        <v>6013817</v>
      </c>
      <c r="BN127" s="41">
        <v>12044833</v>
      </c>
      <c r="BO127" s="41">
        <v>0</v>
      </c>
      <c r="BP127" s="41">
        <v>1516874</v>
      </c>
      <c r="BQ127" s="41">
        <v>15377759</v>
      </c>
      <c r="BR127" s="41">
        <v>0</v>
      </c>
      <c r="BS127" s="42">
        <f>IFERROR(VLOOKUP(A127,'Trans 21-23'!$A$2:$J$229,5,0),0)</f>
        <v>22667267</v>
      </c>
      <c r="BT127" s="43"/>
      <c r="BU127" s="6">
        <f t="shared" si="0"/>
        <v>235197197</v>
      </c>
      <c r="BV127" s="6">
        <f t="shared" si="1"/>
        <v>274</v>
      </c>
      <c r="BW127" s="6">
        <f t="shared" si="2"/>
        <v>43782</v>
      </c>
      <c r="BX127" s="6">
        <f t="shared" si="3"/>
        <v>3238446</v>
      </c>
      <c r="BY127" s="6">
        <f t="shared" si="4"/>
        <v>1417695</v>
      </c>
      <c r="BZ127" s="6">
        <f t="shared" si="5"/>
        <v>8181214</v>
      </c>
      <c r="CA127" s="6">
        <f t="shared" si="6"/>
        <v>14884855</v>
      </c>
      <c r="CB127" s="6">
        <f t="shared" si="7"/>
        <v>110274</v>
      </c>
      <c r="CC127" s="6">
        <f t="shared" si="8"/>
        <v>1733601</v>
      </c>
      <c r="CD127" s="6">
        <f t="shared" ref="CD127:CD144" si="69">IF(OR(BU127&lt;=0,BV127&lt;=0,BW127&lt;=0,BX127&lt;=0,BY127&lt;=0,BZ127&lt;=0,CA127&lt;=0,CB127&lt;=0,CC127&lt;=0,DF127&lt;=0),0,1)</f>
        <v>1</v>
      </c>
      <c r="CE127" s="44">
        <f t="shared" si="10"/>
        <v>11</v>
      </c>
      <c r="CF127" s="27"/>
      <c r="CG127" s="28">
        <f t="shared" si="11"/>
        <v>858.38393065693424</v>
      </c>
      <c r="CH127" s="28">
        <f t="shared" si="12"/>
        <v>6.2582796583070666</v>
      </c>
      <c r="CI127" s="28">
        <f t="shared" si="13"/>
        <v>73.967520898999595</v>
      </c>
      <c r="CJ127" s="28">
        <f t="shared" si="14"/>
        <v>186.86250057101091</v>
      </c>
      <c r="CK127" s="23">
        <f t="shared" si="15"/>
        <v>6.3609792564725098E-2</v>
      </c>
      <c r="CL127" s="29" t="str">
        <f t="shared" si="16"/>
        <v/>
      </c>
      <c r="CM127" s="29" t="str">
        <f t="shared" si="66"/>
        <v/>
      </c>
      <c r="CN127" s="29" t="str">
        <f t="shared" si="18"/>
        <v/>
      </c>
      <c r="CO127" s="29" t="str">
        <f t="shared" si="19"/>
        <v/>
      </c>
      <c r="CP127" s="29" t="str">
        <f t="shared" si="20"/>
        <v/>
      </c>
      <c r="CQ127" s="29">
        <f t="shared" si="21"/>
        <v>0</v>
      </c>
      <c r="CR127" s="13"/>
      <c r="CS127" s="7">
        <f>VLOOKUP(A127,'Empresas 21-23'!$A$2:$M$228,13,0)</f>
        <v>1</v>
      </c>
      <c r="CT127" s="30"/>
      <c r="CU127" s="6">
        <f t="shared" si="22"/>
        <v>201988324.59999999</v>
      </c>
      <c r="CV127" s="6">
        <f t="shared" si="23"/>
        <v>8181214</v>
      </c>
      <c r="CW127" s="6">
        <f t="shared" si="24"/>
        <v>24326750</v>
      </c>
      <c r="CX127" s="23">
        <f t="shared" ref="CX127:CX144" si="70">CU127/(BC127-BD127)</f>
        <v>0.30999585450196643</v>
      </c>
      <c r="CY127" s="23">
        <f t="shared" ref="CY127:CY144" si="71">CV127/(BC127-BD127)</f>
        <v>1.2555886236572363E-2</v>
      </c>
      <c r="CZ127" s="6">
        <f t="shared" si="25"/>
        <v>209529516.25350571</v>
      </c>
      <c r="DA127" s="6">
        <f t="shared" si="26"/>
        <v>8486657.9055055361</v>
      </c>
      <c r="DB127" s="6">
        <f t="shared" si="27"/>
        <v>3238446</v>
      </c>
      <c r="DC127" s="6">
        <f t="shared" si="28"/>
        <v>3594203</v>
      </c>
      <c r="DD127" s="6">
        <f t="shared" si="29"/>
        <v>1417695</v>
      </c>
      <c r="DE127" s="6">
        <f t="shared" si="30"/>
        <v>14884855</v>
      </c>
      <c r="DF127" s="6">
        <f t="shared" si="31"/>
        <v>1986571.2126528833</v>
      </c>
      <c r="DG127" s="30"/>
      <c r="DH127" s="32">
        <f>VLOOKUP(A127,'T_med_comp-USA'!$A$7:$Q$233,17,0)</f>
        <v>9.9078877496339306</v>
      </c>
      <c r="DI127" s="6" t="str">
        <f t="shared" si="32"/>
        <v>2_2012</v>
      </c>
      <c r="DJ127" s="32">
        <f>IF(DI127="","",VLOOKUP(DI127,'CPI USA'!$T:$U,2,FALSE))</f>
        <v>229.59399999999999</v>
      </c>
      <c r="DK127" s="32">
        <f>IF(DI127="","",VLOOKUP(DI127,'PPI USA'!$S:$T,2,FALSE))</f>
        <v>175.1</v>
      </c>
      <c r="DL127" s="32">
        <f>IF(DI127="","",VLOOKUP(DI127,'CPI USA'!$T:$V,3,FALSE))</f>
        <v>0.66730871354337351</v>
      </c>
      <c r="DM127" s="32">
        <f>IF(DI127="","",VLOOKUP(DI127,'CPI USA'!$T:$X,5,FALSE))</f>
        <v>0.49513551903851311</v>
      </c>
      <c r="DN127" s="32">
        <f t="shared" si="33"/>
        <v>1.3897894616766442</v>
      </c>
      <c r="DO127" s="32">
        <f t="shared" si="34"/>
        <v>1.4008620811189902</v>
      </c>
      <c r="DP127" s="32">
        <f t="shared" si="35"/>
        <v>0.52872828510958647</v>
      </c>
      <c r="DQ127" s="32">
        <f>IF(DP127="","",DP127*$DO$1/'CPI USA'!$U$508+(1-DP127)*AVERAGE($DO$1,$DQ$1)/AVERAGE('CPI USA'!$U$508,'PPI USA'!$T$514))</f>
        <v>1.1547298485354931</v>
      </c>
      <c r="DR127" s="6">
        <f t="shared" si="36"/>
        <v>534607</v>
      </c>
      <c r="DS127" s="32">
        <f t="shared" si="37"/>
        <v>0.37709591978528528</v>
      </c>
      <c r="DT127" s="28">
        <f>IF(DS127="","",DS127*$DO$1/'CPI USA'!$U$508+(1-DS127)*AVERAGE($DO$1,$DQ$1)/AVERAGE('CPI USA'!$U$508,'PPI USA'!$T$514))</f>
        <v>1.1636921912249667</v>
      </c>
      <c r="DU127" s="6">
        <f t="shared" si="38"/>
        <v>6013817</v>
      </c>
      <c r="DV127" s="6">
        <f t="shared" si="39"/>
        <v>658125.55605634127</v>
      </c>
      <c r="DW127" s="6">
        <f t="shared" si="40"/>
        <v>1244596.2688908621</v>
      </c>
      <c r="DX127" s="16">
        <f t="shared" si="41"/>
        <v>0.6265047338669617</v>
      </c>
      <c r="DY127" s="28">
        <f>IF(DX127="","",DX127*$DO$1/'CPI USA'!$U$508+(1-DX127)*AVERAGE($DO$1,$DQ$1)/AVERAGE('CPI USA'!$U$508,'PPI USA'!$T$514))</f>
        <v>1.1489506994808096</v>
      </c>
      <c r="DZ127" s="30"/>
      <c r="EA127" s="45" t="str">
        <f t="shared" si="42"/>
        <v>C001454</v>
      </c>
      <c r="EB127" s="29">
        <f t="shared" si="43"/>
        <v>291201913.59932739</v>
      </c>
      <c r="EC127" s="29">
        <f t="shared" si="44"/>
        <v>11888637.255251417</v>
      </c>
      <c r="ED127" s="29">
        <f t="shared" si="45"/>
        <v>4150333.485795815</v>
      </c>
      <c r="EE127" s="29">
        <f t="shared" si="46"/>
        <v>1649760.6010386792</v>
      </c>
      <c r="EF127" s="29">
        <f t="shared" si="47"/>
        <v>2282472.3843459706</v>
      </c>
      <c r="EG127" s="29">
        <f t="shared" si="48"/>
        <v>274</v>
      </c>
      <c r="EH127" s="29">
        <f t="shared" si="49"/>
        <v>43782</v>
      </c>
      <c r="EI127" s="29">
        <f t="shared" si="50"/>
        <v>110274</v>
      </c>
      <c r="EJ127" s="29">
        <f t="shared" si="51"/>
        <v>1733601</v>
      </c>
      <c r="EK127" s="29">
        <f t="shared" si="52"/>
        <v>1841751.304568528</v>
      </c>
      <c r="EL127" s="29">
        <f>IF(CD127=1,VLOOKUP(EA127,'EIA 2021'!$A$2:$J$213,4,0)*EH127,"")</f>
        <v>1398922.4640000002</v>
      </c>
      <c r="EM127" s="29">
        <f>IF(CD127=1,VLOOKUP(EA127,'EIA 2021'!$A$2:$J$213,7,0)*EH127,"")</f>
        <v>46321.356</v>
      </c>
      <c r="EN127" s="29">
        <f>IF(CD127=1,VLOOKUP(EA127,'EIA 2021'!$A$2:$J$213,10,0),"")</f>
        <v>43782</v>
      </c>
      <c r="EO127" s="28">
        <f>IF(CD127=1,VLOOKUP(EA127,'EIA 2021'!$A$2:$Z$213,26,0),"")</f>
        <v>0</v>
      </c>
      <c r="EP127" s="23">
        <f t="shared" si="53"/>
        <v>5.8721448601804886E-2</v>
      </c>
      <c r="EQ127" s="32">
        <f t="shared" si="54"/>
        <v>2123.6954314720933</v>
      </c>
      <c r="ER127" s="32">
        <f t="shared" si="55"/>
        <v>108150.30456852791</v>
      </c>
      <c r="ES127" s="6"/>
      <c r="ET127" s="32"/>
    </row>
    <row r="128" spans="1:150" ht="15.75" customHeight="1">
      <c r="A128" s="7" t="s">
        <v>586</v>
      </c>
      <c r="B128" s="7" t="s">
        <v>587</v>
      </c>
      <c r="C128" s="32" t="s">
        <v>588</v>
      </c>
      <c r="D128" s="40">
        <v>0</v>
      </c>
      <c r="E128" s="40">
        <v>0</v>
      </c>
      <c r="F128" s="40">
        <v>0</v>
      </c>
      <c r="G128" s="40">
        <v>628638557</v>
      </c>
      <c r="H128" s="40">
        <v>657097916</v>
      </c>
      <c r="I128" s="40">
        <v>1117514</v>
      </c>
      <c r="J128" s="40">
        <v>265590</v>
      </c>
      <c r="K128" s="40">
        <v>6071463</v>
      </c>
      <c r="L128" s="40">
        <v>4631468</v>
      </c>
      <c r="M128" s="40">
        <v>35454492</v>
      </c>
      <c r="N128" s="40">
        <v>8196989</v>
      </c>
      <c r="O128" s="40">
        <v>30221711</v>
      </c>
      <c r="P128" s="40">
        <v>4147006</v>
      </c>
      <c r="Q128" s="40">
        <v>207609</v>
      </c>
      <c r="R128" s="40">
        <v>1136414</v>
      </c>
      <c r="S128" s="40">
        <v>18876791</v>
      </c>
      <c r="T128" s="40">
        <v>39264644</v>
      </c>
      <c r="U128" s="40">
        <v>22118014</v>
      </c>
      <c r="V128" s="40">
        <v>2914982</v>
      </c>
      <c r="W128" s="40">
        <v>2290573</v>
      </c>
      <c r="X128" s="40">
        <f>IFERROR(VLOOKUP(A128,'Trans 21-23'!$A$2:$J$229,6,0),0)</f>
        <v>220509</v>
      </c>
      <c r="Y128" s="41">
        <v>6022858</v>
      </c>
      <c r="Z128" s="41">
        <v>911923</v>
      </c>
      <c r="AA128" s="41">
        <v>87962484</v>
      </c>
      <c r="AB128" s="41">
        <v>15364449</v>
      </c>
      <c r="AC128" s="41">
        <v>0</v>
      </c>
      <c r="AD128" s="41">
        <v>158351174</v>
      </c>
      <c r="AE128" s="41">
        <v>0</v>
      </c>
      <c r="AF128" s="41">
        <v>1139174101</v>
      </c>
      <c r="AG128" s="41">
        <v>914279</v>
      </c>
      <c r="AH128" s="41">
        <v>1118188</v>
      </c>
      <c r="AI128" s="41">
        <v>24592838</v>
      </c>
      <c r="AJ128" s="41">
        <v>25164</v>
      </c>
      <c r="AK128" s="41">
        <v>0</v>
      </c>
      <c r="AL128" s="41">
        <v>8284406</v>
      </c>
      <c r="AM128" s="41">
        <v>14070567</v>
      </c>
      <c r="AN128" s="41">
        <v>477506</v>
      </c>
      <c r="AO128" s="41">
        <v>133614</v>
      </c>
      <c r="AP128" s="41">
        <v>0</v>
      </c>
      <c r="AQ128" s="41">
        <v>23449486</v>
      </c>
      <c r="AR128" s="41">
        <v>0</v>
      </c>
      <c r="AS128" s="41">
        <v>23449486</v>
      </c>
      <c r="AT128" s="41">
        <v>483393</v>
      </c>
      <c r="AU128" s="41">
        <v>5058</v>
      </c>
      <c r="AV128" s="41">
        <v>0</v>
      </c>
      <c r="AW128" s="41">
        <v>819920688</v>
      </c>
      <c r="AX128" s="41">
        <v>1433566743</v>
      </c>
      <c r="AY128" s="41">
        <v>1872738063</v>
      </c>
      <c r="AZ128" s="41">
        <v>168239165</v>
      </c>
      <c r="BA128" s="41">
        <v>66913666</v>
      </c>
      <c r="BB128" s="41">
        <v>8277118172</v>
      </c>
      <c r="BC128" s="41">
        <v>10801973845</v>
      </c>
      <c r="BD128" s="41">
        <v>490065102</v>
      </c>
      <c r="BE128" s="41">
        <v>2791453418</v>
      </c>
      <c r="BF128" s="41">
        <v>200172948</v>
      </c>
      <c r="BG128" s="41">
        <v>0</v>
      </c>
      <c r="BH128" s="41">
        <v>44195691</v>
      </c>
      <c r="BI128" s="41">
        <v>14191819</v>
      </c>
      <c r="BJ128" s="41">
        <v>2358562</v>
      </c>
      <c r="BK128" s="41">
        <v>0</v>
      </c>
      <c r="BL128" s="41">
        <v>0</v>
      </c>
      <c r="BM128" s="41">
        <v>6092532</v>
      </c>
      <c r="BN128" s="41">
        <v>74950055</v>
      </c>
      <c r="BO128" s="41">
        <v>2052342</v>
      </c>
      <c r="BP128" s="41">
        <v>1654634</v>
      </c>
      <c r="BQ128" s="41">
        <v>152332350</v>
      </c>
      <c r="BR128" s="41">
        <v>0</v>
      </c>
      <c r="BS128" s="42">
        <f>IFERROR(VLOOKUP(A128,'Trans 21-23'!$A$2:$J$229,5,0),0)</f>
        <v>14049890</v>
      </c>
      <c r="BT128" s="43"/>
      <c r="BU128" s="6">
        <f t="shared" si="0"/>
        <v>8277118172</v>
      </c>
      <c r="BV128" s="6">
        <f t="shared" si="1"/>
        <v>5058</v>
      </c>
      <c r="BW128" s="6">
        <f t="shared" si="2"/>
        <v>914279</v>
      </c>
      <c r="BX128" s="6">
        <f t="shared" si="3"/>
        <v>176915260</v>
      </c>
      <c r="BY128" s="6">
        <f t="shared" si="4"/>
        <v>110261714</v>
      </c>
      <c r="BZ128" s="6">
        <f t="shared" si="5"/>
        <v>168239165</v>
      </c>
      <c r="CA128" s="6">
        <f t="shared" si="6"/>
        <v>158351174</v>
      </c>
      <c r="CB128" s="6">
        <f t="shared" si="7"/>
        <v>1118188</v>
      </c>
      <c r="CC128" s="6">
        <f t="shared" si="8"/>
        <v>23449486</v>
      </c>
      <c r="CD128" s="6">
        <f t="shared" si="69"/>
        <v>1</v>
      </c>
      <c r="CE128" s="44">
        <f t="shared" si="10"/>
        <v>13</v>
      </c>
      <c r="CF128" s="27"/>
      <c r="CG128" s="28">
        <f t="shared" si="11"/>
        <v>1636.440919731119</v>
      </c>
      <c r="CH128" s="28">
        <f t="shared" si="12"/>
        <v>5.5322281273003098</v>
      </c>
      <c r="CI128" s="28">
        <f t="shared" si="13"/>
        <v>193.5024866588864</v>
      </c>
      <c r="CJ128" s="28">
        <f t="shared" si="14"/>
        <v>184.0129380637639</v>
      </c>
      <c r="CK128" s="23">
        <f t="shared" si="15"/>
        <v>4.768496844664314E-2</v>
      </c>
      <c r="CL128" s="29" t="str">
        <f t="shared" si="16"/>
        <v/>
      </c>
      <c r="CM128" s="29" t="str">
        <f t="shared" si="66"/>
        <v/>
      </c>
      <c r="CN128" s="29" t="str">
        <f t="shared" si="18"/>
        <v/>
      </c>
      <c r="CO128" s="29" t="str">
        <f t="shared" si="19"/>
        <v/>
      </c>
      <c r="CP128" s="29" t="str">
        <f t="shared" si="20"/>
        <v/>
      </c>
      <c r="CQ128" s="29">
        <f t="shared" si="21"/>
        <v>0</v>
      </c>
      <c r="CR128" s="13"/>
      <c r="CS128" s="7">
        <f>VLOOKUP(A128,'Empresas 21-23'!$A$2:$M$228,13,0)</f>
        <v>1</v>
      </c>
      <c r="CT128" s="30"/>
      <c r="CU128" s="6">
        <f t="shared" si="22"/>
        <v>6072232347.3999996</v>
      </c>
      <c r="CV128" s="6">
        <f t="shared" si="23"/>
        <v>168239165</v>
      </c>
      <c r="CW128" s="6">
        <f t="shared" si="24"/>
        <v>490065102</v>
      </c>
      <c r="CX128" s="23">
        <f t="shared" si="70"/>
        <v>0.58885629215076152</v>
      </c>
      <c r="CY128" s="23">
        <f t="shared" si="71"/>
        <v>1.631503625497125E-2</v>
      </c>
      <c r="CZ128" s="6">
        <f t="shared" si="25"/>
        <v>6360810266.2762041</v>
      </c>
      <c r="DA128" s="6">
        <f t="shared" si="26"/>
        <v>176234594.90642619</v>
      </c>
      <c r="DB128" s="6">
        <f t="shared" si="27"/>
        <v>176915260</v>
      </c>
      <c r="DC128" s="6">
        <f t="shared" si="28"/>
        <v>177135769</v>
      </c>
      <c r="DD128" s="6">
        <f t="shared" si="29"/>
        <v>110261714</v>
      </c>
      <c r="DE128" s="6">
        <f t="shared" si="30"/>
        <v>158351174</v>
      </c>
      <c r="DF128" s="6">
        <f t="shared" si="31"/>
        <v>140581441.93775326</v>
      </c>
      <c r="DG128" s="30"/>
      <c r="DH128" s="32">
        <f>VLOOKUP(A128,'T_med_comp-USA'!$A$7:$Q$233,17,0)</f>
        <v>13.857953243496077</v>
      </c>
      <c r="DI128" s="6" t="str">
        <f t="shared" si="32"/>
        <v>2_2008</v>
      </c>
      <c r="DJ128" s="32">
        <f>IF(DI128="","",VLOOKUP(DI128,'CPI USA'!$T:$U,2,FALSE))</f>
        <v>215.303</v>
      </c>
      <c r="DK128" s="32">
        <f>IF(DI128="","",VLOOKUP(DI128,'PPI USA'!$S:$T,2,FALSE))</f>
        <v>159.30000000000001</v>
      </c>
      <c r="DL128" s="32">
        <f>IF(DI128="","",VLOOKUP(DI128,'CPI USA'!$T:$V,3,FALSE))</f>
        <v>0.67018812038291731</v>
      </c>
      <c r="DM128" s="32">
        <f>IF(DI128="","",VLOOKUP(DI128,'CPI USA'!$T:$X,5,FALSE))</f>
        <v>0.49838492968660258</v>
      </c>
      <c r="DN128" s="32">
        <f t="shared" si="33"/>
        <v>1.4884333659448254</v>
      </c>
      <c r="DO128" s="32">
        <f t="shared" si="34"/>
        <v>1.5036496327119213</v>
      </c>
      <c r="DP128" s="32">
        <f t="shared" si="35"/>
        <v>0.25665334099310744</v>
      </c>
      <c r="DQ128" s="32">
        <f>IF(DP128="","",DP128*$DO$1/'CPI USA'!$U$508+(1-DP128)*AVERAGE($DO$1,$DQ$1)/AVERAGE('CPI USA'!$U$508,'PPI USA'!$T$514))</f>
        <v>1.1708110385978925</v>
      </c>
      <c r="DR128" s="6">
        <f t="shared" si="36"/>
        <v>16550381</v>
      </c>
      <c r="DS128" s="32">
        <f t="shared" si="37"/>
        <v>0.2</v>
      </c>
      <c r="DT128" s="28">
        <f>IF(DS128="","",DS128*$DO$1/'CPI USA'!$U$508+(1-DS128)*AVERAGE($DO$1,$DQ$1)/AVERAGE('CPI USA'!$U$508,'PPI USA'!$T$514))</f>
        <v>1.1741595760647974</v>
      </c>
      <c r="DU128" s="6">
        <f t="shared" si="38"/>
        <v>6259362.5554938419</v>
      </c>
      <c r="DV128" s="6">
        <f t="shared" si="39"/>
        <v>66903.792152570197</v>
      </c>
      <c r="DW128" s="6">
        <f t="shared" si="40"/>
        <v>5127358.893136316</v>
      </c>
      <c r="DX128" s="16">
        <f t="shared" si="41"/>
        <v>0.2</v>
      </c>
      <c r="DY128" s="28">
        <f>IF(DX128="","",DX128*$DO$1/'CPI USA'!$U$508+(1-DX128)*AVERAGE($DO$1,$DQ$1)/AVERAGE('CPI USA'!$U$508,'PPI USA'!$T$514))</f>
        <v>1.1741595760647974</v>
      </c>
      <c r="DZ128" s="30"/>
      <c r="EA128" s="45" t="str">
        <f t="shared" si="42"/>
        <v>C001464</v>
      </c>
      <c r="EB128" s="29">
        <f t="shared" si="43"/>
        <v>9467642234.7698917</v>
      </c>
      <c r="EC128" s="29">
        <f t="shared" si="44"/>
        <v>264995083.90218198</v>
      </c>
      <c r="ED128" s="29">
        <f t="shared" si="45"/>
        <v>207392513.67572635</v>
      </c>
      <c r="EE128" s="29">
        <f t="shared" si="46"/>
        <v>129464847.36641793</v>
      </c>
      <c r="EF128" s="29">
        <f t="shared" si="47"/>
        <v>165065046.26821029</v>
      </c>
      <c r="EG128" s="29">
        <f t="shared" si="48"/>
        <v>5058</v>
      </c>
      <c r="EH128" s="29">
        <f t="shared" si="49"/>
        <v>914279</v>
      </c>
      <c r="EI128" s="29">
        <f t="shared" si="50"/>
        <v>1118188</v>
      </c>
      <c r="EJ128" s="29">
        <f t="shared" si="51"/>
        <v>23449486</v>
      </c>
      <c r="EK128" s="29">
        <f t="shared" si="52"/>
        <v>24567674</v>
      </c>
      <c r="EL128" s="29">
        <f>IF(CD128=1,VLOOKUP(EA128,'EIA 2021'!$A$2:$J$213,4,0)*EH128,"")</f>
        <v>38399718</v>
      </c>
      <c r="EM128" s="29">
        <f>IF(CD128=1,VLOOKUP(EA128,'EIA 2021'!$A$2:$J$213,7,0)*EH128,"")</f>
        <v>411425.55</v>
      </c>
      <c r="EN128" s="29">
        <f>IF(CD128=1,VLOOKUP(EA128,'EIA 2021'!$A$2:$J$213,10,0),"")</f>
        <v>336961</v>
      </c>
      <c r="EO128" s="28">
        <f>IF(CD128=1,VLOOKUP(EA128,'EIA 2021'!$A$2:$Z$213,26,0),"")</f>
        <v>0</v>
      </c>
      <c r="EP128" s="23">
        <f t="shared" si="53"/>
        <v>4.5514605900420203E-2</v>
      </c>
      <c r="EQ128" s="32">
        <f t="shared" si="54"/>
        <v>0</v>
      </c>
      <c r="ER128" s="32">
        <f t="shared" si="55"/>
        <v>1118188</v>
      </c>
      <c r="ES128" s="6"/>
      <c r="ET128" s="32"/>
    </row>
    <row r="129" spans="1:150" ht="15.75" customHeight="1">
      <c r="A129" s="7" t="s">
        <v>589</v>
      </c>
      <c r="B129" s="7" t="s">
        <v>590</v>
      </c>
      <c r="C129" s="32" t="s">
        <v>591</v>
      </c>
      <c r="D129" s="40">
        <v>0</v>
      </c>
      <c r="E129" s="40">
        <v>0</v>
      </c>
      <c r="F129" s="40">
        <v>0</v>
      </c>
      <c r="G129" s="40">
        <v>468431276</v>
      </c>
      <c r="H129" s="40">
        <v>479329743</v>
      </c>
      <c r="I129" s="40">
        <v>2312324</v>
      </c>
      <c r="J129" s="40">
        <v>4593</v>
      </c>
      <c r="K129" s="40">
        <v>5069765</v>
      </c>
      <c r="L129" s="40">
        <v>1301093</v>
      </c>
      <c r="M129" s="40">
        <v>3239239</v>
      </c>
      <c r="N129" s="40">
        <v>583159</v>
      </c>
      <c r="O129" s="40">
        <v>17436793</v>
      </c>
      <c r="P129" s="40">
        <v>1828517</v>
      </c>
      <c r="Q129" s="40">
        <v>25336</v>
      </c>
      <c r="R129" s="40">
        <v>241179</v>
      </c>
      <c r="S129" s="40">
        <v>5167582</v>
      </c>
      <c r="T129" s="40">
        <v>43653585</v>
      </c>
      <c r="U129" s="40">
        <v>4967114</v>
      </c>
      <c r="V129" s="40">
        <v>984143</v>
      </c>
      <c r="W129" s="40">
        <v>828229</v>
      </c>
      <c r="X129" s="40">
        <f>IFERROR(VLOOKUP(A129,'Trans 21-23'!$A$2:$J$229,6,0),0)</f>
        <v>4298524</v>
      </c>
      <c r="Y129" s="41">
        <v>4820831</v>
      </c>
      <c r="Z129" s="41">
        <v>1023885</v>
      </c>
      <c r="AA129" s="41">
        <v>49720392</v>
      </c>
      <c r="AB129" s="41">
        <v>12194972</v>
      </c>
      <c r="AC129" s="41">
        <v>0</v>
      </c>
      <c r="AD129" s="41">
        <v>96156897</v>
      </c>
      <c r="AE129" s="41">
        <v>0</v>
      </c>
      <c r="AF129" s="41">
        <v>759242100</v>
      </c>
      <c r="AG129" s="41">
        <v>539708</v>
      </c>
      <c r="AH129" s="41">
        <v>558535</v>
      </c>
      <c r="AI129" s="41">
        <v>12892956</v>
      </c>
      <c r="AJ129" s="41">
        <v>18366</v>
      </c>
      <c r="AK129" s="41">
        <v>0</v>
      </c>
      <c r="AL129" s="41">
        <v>5413386</v>
      </c>
      <c r="AM129" s="41">
        <v>5022469</v>
      </c>
      <c r="AN129" s="41">
        <v>1523742</v>
      </c>
      <c r="AO129" s="41">
        <v>45218</v>
      </c>
      <c r="AP129" s="41">
        <v>0</v>
      </c>
      <c r="AQ129" s="41">
        <v>12004815</v>
      </c>
      <c r="AR129" s="41">
        <v>311240</v>
      </c>
      <c r="AS129" s="41">
        <v>12316055</v>
      </c>
      <c r="AT129" s="41">
        <v>0</v>
      </c>
      <c r="AU129" s="41">
        <v>3950</v>
      </c>
      <c r="AV129" s="41">
        <v>0</v>
      </c>
      <c r="AW129" s="41">
        <v>413590372</v>
      </c>
      <c r="AX129" s="41">
        <v>26043049</v>
      </c>
      <c r="AY129" s="41">
        <v>433918536</v>
      </c>
      <c r="AZ129" s="41">
        <v>133071351</v>
      </c>
      <c r="BA129" s="41">
        <v>77334332</v>
      </c>
      <c r="BB129" s="41">
        <v>2751928906</v>
      </c>
      <c r="BC129" s="41">
        <v>4957810024</v>
      </c>
      <c r="BD129" s="41">
        <v>331994495</v>
      </c>
      <c r="BE129" s="41">
        <v>703506540</v>
      </c>
      <c r="BF129" s="41">
        <v>75062381</v>
      </c>
      <c r="BG129" s="41">
        <v>0</v>
      </c>
      <c r="BH129" s="41">
        <v>31379997</v>
      </c>
      <c r="BI129" s="41">
        <v>1303079</v>
      </c>
      <c r="BJ129" s="41">
        <v>1870347</v>
      </c>
      <c r="BK129" s="41">
        <v>0</v>
      </c>
      <c r="BL129" s="41">
        <v>0</v>
      </c>
      <c r="BM129" s="41">
        <v>2850235</v>
      </c>
      <c r="BN129" s="41">
        <v>42719718</v>
      </c>
      <c r="BO129" s="41">
        <v>2127083</v>
      </c>
      <c r="BP129" s="41">
        <v>2015371</v>
      </c>
      <c r="BQ129" s="41">
        <v>115437933</v>
      </c>
      <c r="BR129" s="41">
        <v>0</v>
      </c>
      <c r="BS129" s="42">
        <f>IFERROR(VLOOKUP(A129,'Trans 21-23'!$A$2:$J$229,5,0),0)</f>
        <v>273883112</v>
      </c>
      <c r="BT129" s="43"/>
      <c r="BU129" s="6">
        <f t="shared" si="0"/>
        <v>2751928906</v>
      </c>
      <c r="BV129" s="6">
        <f t="shared" si="1"/>
        <v>3950</v>
      </c>
      <c r="BW129" s="6">
        <f t="shared" si="2"/>
        <v>539708</v>
      </c>
      <c r="BX129" s="6">
        <f t="shared" si="3"/>
        <v>87642651</v>
      </c>
      <c r="BY129" s="6">
        <f t="shared" si="4"/>
        <v>67760080</v>
      </c>
      <c r="BZ129" s="6">
        <f t="shared" si="5"/>
        <v>133071351</v>
      </c>
      <c r="CA129" s="6">
        <f t="shared" si="6"/>
        <v>96156897</v>
      </c>
      <c r="CB129" s="6">
        <f t="shared" si="7"/>
        <v>558535</v>
      </c>
      <c r="CC129" s="6">
        <f t="shared" si="8"/>
        <v>12004815</v>
      </c>
      <c r="CD129" s="6">
        <f t="shared" si="69"/>
        <v>1</v>
      </c>
      <c r="CE129" s="44">
        <f t="shared" si="10"/>
        <v>13</v>
      </c>
      <c r="CF129" s="27"/>
      <c r="CG129" s="28">
        <f t="shared" si="11"/>
        <v>696.69086227848106</v>
      </c>
      <c r="CH129" s="28">
        <f t="shared" si="12"/>
        <v>7.3187723732092165</v>
      </c>
      <c r="CI129" s="28">
        <f t="shared" si="13"/>
        <v>162.38901591230814</v>
      </c>
      <c r="CJ129" s="28">
        <f t="shared" si="14"/>
        <v>246.56175376314599</v>
      </c>
      <c r="CK129" s="23">
        <f t="shared" si="15"/>
        <v>4.6525914810015813E-2</v>
      </c>
      <c r="CL129" s="29" t="str">
        <f t="shared" si="16"/>
        <v/>
      </c>
      <c r="CM129" s="29" t="str">
        <f t="shared" si="66"/>
        <v/>
      </c>
      <c r="CN129" s="29" t="str">
        <f t="shared" si="18"/>
        <v/>
      </c>
      <c r="CO129" s="29" t="str">
        <f t="shared" si="19"/>
        <v/>
      </c>
      <c r="CP129" s="29" t="str">
        <f t="shared" si="20"/>
        <v/>
      </c>
      <c r="CQ129" s="29">
        <f t="shared" si="21"/>
        <v>0</v>
      </c>
      <c r="CR129" s="13"/>
      <c r="CS129" s="7">
        <f>VLOOKUP(A129,'Empresas 21-23'!$A$2:$M$228,13,0)</f>
        <v>1</v>
      </c>
      <c r="CT129" s="30"/>
      <c r="CU129" s="6">
        <f t="shared" si="22"/>
        <v>2539429384</v>
      </c>
      <c r="CV129" s="6">
        <f t="shared" si="23"/>
        <v>133071351</v>
      </c>
      <c r="CW129" s="6">
        <f t="shared" si="24"/>
        <v>331994495</v>
      </c>
      <c r="CX129" s="23">
        <f t="shared" si="70"/>
        <v>0.54896901272432908</v>
      </c>
      <c r="CY129" s="23">
        <f t="shared" si="71"/>
        <v>2.8767111478128292E-2</v>
      </c>
      <c r="CZ129" s="6">
        <f t="shared" si="25"/>
        <v>2721684074.1500621</v>
      </c>
      <c r="DA129" s="6">
        <f t="shared" si="26"/>
        <v>142621873.6477899</v>
      </c>
      <c r="DB129" s="6">
        <f t="shared" si="27"/>
        <v>87642651</v>
      </c>
      <c r="DC129" s="6">
        <f t="shared" si="28"/>
        <v>91941175</v>
      </c>
      <c r="DD129" s="6">
        <f t="shared" si="29"/>
        <v>67760080</v>
      </c>
      <c r="DE129" s="6">
        <f t="shared" si="30"/>
        <v>96156897</v>
      </c>
      <c r="DF129" s="6">
        <f t="shared" si="31"/>
        <v>83569637.211355433</v>
      </c>
      <c r="DG129" s="30"/>
      <c r="DH129" s="32">
        <f>VLOOKUP(A129,'T_med_comp-USA'!$A$7:$Q$233,17,0)</f>
        <v>9.1086401632643206</v>
      </c>
      <c r="DI129" s="6" t="str">
        <f t="shared" si="32"/>
        <v>11_2012</v>
      </c>
      <c r="DJ129" s="32">
        <f>IF(DI129="","",VLOOKUP(DI129,'CPI USA'!$T:$U,2,FALSE))</f>
        <v>229.59399999999999</v>
      </c>
      <c r="DK129" s="32">
        <f>IF(DI129="","",VLOOKUP(DI129,'PPI USA'!$S:$T,2,FALSE))</f>
        <v>175.1</v>
      </c>
      <c r="DL129" s="32">
        <f>IF(DI129="","",VLOOKUP(DI129,'CPI USA'!$T:$V,3,FALSE))</f>
        <v>0.66730871354337351</v>
      </c>
      <c r="DM129" s="32">
        <f>IF(DI129="","",VLOOKUP(DI129,'CPI USA'!$T:$X,5,FALSE))</f>
        <v>0.49513551903851311</v>
      </c>
      <c r="DN129" s="32">
        <f t="shared" si="33"/>
        <v>1.3897894616766442</v>
      </c>
      <c r="DO129" s="32">
        <f t="shared" si="34"/>
        <v>1.4008620811189902</v>
      </c>
      <c r="DP129" s="32">
        <f t="shared" si="35"/>
        <v>0.37587244111613405</v>
      </c>
      <c r="DQ129" s="32">
        <f>IF(DP129="","",DP129*$DO$1/'CPI USA'!$U$508+(1-DP129)*AVERAGE($DO$1,$DQ$1)/AVERAGE('CPI USA'!$U$508,'PPI USA'!$T$514))</f>
        <v>1.1637645058332811</v>
      </c>
      <c r="DR129" s="6">
        <f t="shared" si="36"/>
        <v>3173426</v>
      </c>
      <c r="DS129" s="32">
        <f t="shared" si="37"/>
        <v>0.2</v>
      </c>
      <c r="DT129" s="28">
        <f>IF(DS129="","",DS129*$DO$1/'CPI USA'!$U$508+(1-DS129)*AVERAGE($DO$1,$DQ$1)/AVERAGE('CPI USA'!$U$508,'PPI USA'!$T$514))</f>
        <v>1.1741595760647974</v>
      </c>
      <c r="DU129" s="6">
        <f t="shared" si="38"/>
        <v>2992152.7536355695</v>
      </c>
      <c r="DV129" s="6">
        <f t="shared" si="39"/>
        <v>50644.958647513187</v>
      </c>
      <c r="DW129" s="6">
        <f t="shared" si="40"/>
        <v>2461136.9498260655</v>
      </c>
      <c r="DX129" s="16">
        <f t="shared" si="41"/>
        <v>0.2</v>
      </c>
      <c r="DY129" s="28">
        <f>IF(DX129="","",DX129*$DO$1/'CPI USA'!$U$508+(1-DX129)*AVERAGE($DO$1,$DQ$1)/AVERAGE('CPI USA'!$U$508,'PPI USA'!$T$514))</f>
        <v>1.1741595760647974</v>
      </c>
      <c r="DZ129" s="30"/>
      <c r="EA129" s="45" t="str">
        <f t="shared" si="42"/>
        <v>C001465</v>
      </c>
      <c r="EB129" s="29">
        <f t="shared" si="43"/>
        <v>3782567844.2669106</v>
      </c>
      <c r="EC129" s="29">
        <f t="shared" si="44"/>
        <v>199793574.73133263</v>
      </c>
      <c r="ED129" s="29">
        <f t="shared" si="45"/>
        <v>106997876.08960621</v>
      </c>
      <c r="EE129" s="29">
        <f t="shared" si="46"/>
        <v>79561146.806916758</v>
      </c>
      <c r="EF129" s="29">
        <f t="shared" si="47"/>
        <v>98124089.799974009</v>
      </c>
      <c r="EG129" s="29">
        <f t="shared" si="48"/>
        <v>3950</v>
      </c>
      <c r="EH129" s="29">
        <f t="shared" si="49"/>
        <v>539708</v>
      </c>
      <c r="EI129" s="29">
        <f t="shared" si="50"/>
        <v>558535</v>
      </c>
      <c r="EJ129" s="29">
        <f t="shared" si="51"/>
        <v>12004815</v>
      </c>
      <c r="EK129" s="29">
        <f t="shared" si="52"/>
        <v>12558610.304568527</v>
      </c>
      <c r="EL129" s="29">
        <f>IF(CD129=1,VLOOKUP(EA129,'EIA 2021'!$A$2:$J$213,4,0)*EH129,"")</f>
        <v>32922188</v>
      </c>
      <c r="EM129" s="29">
        <f>IF(CD129=1,VLOOKUP(EA129,'EIA 2021'!$A$2:$J$213,7,0)*EH129,"")</f>
        <v>442560.56</v>
      </c>
      <c r="EN129" s="29">
        <f>IF(CD129=1,VLOOKUP(EA129,'EIA 2021'!$A$2:$J$213,10,0),"")</f>
        <v>336485</v>
      </c>
      <c r="EO129" s="28">
        <f>IF(CD129=1,VLOOKUP(EA129,'EIA 2021'!$A$2:$Z$213,26,0),"")</f>
        <v>0</v>
      </c>
      <c r="EP129" s="23">
        <f t="shared" si="53"/>
        <v>4.4096861924847706E-2</v>
      </c>
      <c r="EQ129" s="32">
        <f t="shared" si="54"/>
        <v>4739.6954314720933</v>
      </c>
      <c r="ER129" s="32">
        <f t="shared" si="55"/>
        <v>553795.30456852796</v>
      </c>
      <c r="ES129" s="6"/>
      <c r="ET129" s="32"/>
    </row>
    <row r="130" spans="1:150" ht="15.75" customHeight="1">
      <c r="A130" s="7" t="s">
        <v>592</v>
      </c>
      <c r="B130" s="7" t="s">
        <v>593</v>
      </c>
      <c r="C130" s="32" t="s">
        <v>594</v>
      </c>
      <c r="D130" s="40">
        <v>0</v>
      </c>
      <c r="E130" s="40">
        <v>0</v>
      </c>
      <c r="F130" s="40">
        <v>0</v>
      </c>
      <c r="G130" s="40">
        <v>663835636</v>
      </c>
      <c r="H130" s="40">
        <v>707415377</v>
      </c>
      <c r="I130" s="40">
        <v>1279250</v>
      </c>
      <c r="J130" s="40">
        <v>29005</v>
      </c>
      <c r="K130" s="40">
        <v>3944163</v>
      </c>
      <c r="L130" s="40">
        <v>4305193</v>
      </c>
      <c r="M130" s="40">
        <v>0</v>
      </c>
      <c r="N130" s="40">
        <v>780665</v>
      </c>
      <c r="O130" s="40">
        <v>13478212</v>
      </c>
      <c r="P130" s="40">
        <v>3537929</v>
      </c>
      <c r="Q130" s="40">
        <v>2752</v>
      </c>
      <c r="R130" s="40">
        <v>180862</v>
      </c>
      <c r="S130" s="40">
        <v>4492176</v>
      </c>
      <c r="T130" s="40">
        <v>56239234</v>
      </c>
      <c r="U130" s="40">
        <v>4510791</v>
      </c>
      <c r="V130" s="40">
        <v>812528</v>
      </c>
      <c r="W130" s="40">
        <v>1369251</v>
      </c>
      <c r="X130" s="40">
        <f>IFERROR(VLOOKUP(A130,'Trans 21-23'!$A$2:$J$229,6,0),0)</f>
        <v>9678189</v>
      </c>
      <c r="Y130" s="41">
        <v>5220400</v>
      </c>
      <c r="Z130" s="41">
        <v>2337</v>
      </c>
      <c r="AA130" s="41">
        <v>75517315</v>
      </c>
      <c r="AB130" s="41">
        <v>31748768</v>
      </c>
      <c r="AC130" s="41">
        <v>0</v>
      </c>
      <c r="AD130" s="41">
        <v>91434259</v>
      </c>
      <c r="AE130" s="41">
        <v>0</v>
      </c>
      <c r="AF130" s="41">
        <v>1036662863</v>
      </c>
      <c r="AG130" s="41">
        <v>564929</v>
      </c>
      <c r="AH130" s="41">
        <v>554101</v>
      </c>
      <c r="AI130" s="41">
        <v>10615940</v>
      </c>
      <c r="AJ130" s="41">
        <v>9734</v>
      </c>
      <c r="AK130" s="41">
        <v>0</v>
      </c>
      <c r="AL130" s="41">
        <v>4220166</v>
      </c>
      <c r="AM130" s="41">
        <v>1409279</v>
      </c>
      <c r="AN130" s="41">
        <v>3145625</v>
      </c>
      <c r="AO130" s="41">
        <v>46170</v>
      </c>
      <c r="AP130" s="41">
        <v>0</v>
      </c>
      <c r="AQ130" s="41">
        <v>8821240</v>
      </c>
      <c r="AR130" s="41">
        <v>1230865</v>
      </c>
      <c r="AS130" s="41">
        <v>10052105</v>
      </c>
      <c r="AT130" s="41">
        <v>0</v>
      </c>
      <c r="AU130" s="41">
        <v>2482</v>
      </c>
      <c r="AV130" s="41">
        <v>0</v>
      </c>
      <c r="AW130" s="41">
        <v>558911429</v>
      </c>
      <c r="AX130" s="41">
        <v>41855898</v>
      </c>
      <c r="AY130" s="41">
        <v>185781273</v>
      </c>
      <c r="AZ130" s="41">
        <v>67284437</v>
      </c>
      <c r="BA130" s="41">
        <v>113098469</v>
      </c>
      <c r="BB130" s="41">
        <v>2766677071</v>
      </c>
      <c r="BC130" s="41">
        <v>4884341472</v>
      </c>
      <c r="BD130" s="41">
        <v>244656348</v>
      </c>
      <c r="BE130" s="41">
        <v>633895749</v>
      </c>
      <c r="BF130" s="41">
        <v>86975746</v>
      </c>
      <c r="BG130" s="41">
        <v>0</v>
      </c>
      <c r="BH130" s="41">
        <v>26536005</v>
      </c>
      <c r="BI130" s="41">
        <v>1370276</v>
      </c>
      <c r="BJ130" s="41">
        <v>978426</v>
      </c>
      <c r="BK130" s="41">
        <v>0</v>
      </c>
      <c r="BL130" s="41">
        <v>0</v>
      </c>
      <c r="BM130" s="41">
        <v>3130282</v>
      </c>
      <c r="BN130" s="41">
        <v>37549562</v>
      </c>
      <c r="BO130" s="41">
        <v>1500907</v>
      </c>
      <c r="BP130" s="41">
        <v>1112864</v>
      </c>
      <c r="BQ130" s="41">
        <v>85331204</v>
      </c>
      <c r="BR130" s="41">
        <v>0</v>
      </c>
      <c r="BS130" s="42">
        <f>IFERROR(VLOOKUP(A130,'Trans 21-23'!$A$2:$J$229,5,0),0)</f>
        <v>548511553</v>
      </c>
      <c r="BT130" s="43"/>
      <c r="BU130" s="6">
        <f t="shared" si="0"/>
        <v>2766677071</v>
      </c>
      <c r="BV130" s="6">
        <f t="shared" si="1"/>
        <v>2482</v>
      </c>
      <c r="BW130" s="6">
        <f t="shared" si="2"/>
        <v>564929</v>
      </c>
      <c r="BX130" s="6">
        <f t="shared" si="3"/>
        <v>94962011</v>
      </c>
      <c r="BY130" s="6">
        <f t="shared" si="4"/>
        <v>112488820</v>
      </c>
      <c r="BZ130" s="6">
        <f t="shared" si="5"/>
        <v>67284437</v>
      </c>
      <c r="CA130" s="6">
        <f t="shared" si="6"/>
        <v>91434259</v>
      </c>
      <c r="CB130" s="6">
        <f t="shared" si="7"/>
        <v>554101</v>
      </c>
      <c r="CC130" s="6">
        <f t="shared" si="8"/>
        <v>8821240</v>
      </c>
      <c r="CD130" s="6">
        <f t="shared" si="69"/>
        <v>1</v>
      </c>
      <c r="CE130" s="44">
        <f t="shared" si="10"/>
        <v>14</v>
      </c>
      <c r="CF130" s="27"/>
      <c r="CG130" s="28">
        <f t="shared" si="11"/>
        <v>1114.6966442385174</v>
      </c>
      <c r="CH130" s="28">
        <f t="shared" si="12"/>
        <v>4.3934724540605989</v>
      </c>
      <c r="CI130" s="28">
        <f t="shared" si="13"/>
        <v>168.09547925491523</v>
      </c>
      <c r="CJ130" s="28">
        <f t="shared" si="14"/>
        <v>119.10246597360022</v>
      </c>
      <c r="CK130" s="23">
        <f t="shared" si="15"/>
        <v>6.281441157932445E-2</v>
      </c>
      <c r="CL130" s="29" t="str">
        <f t="shared" si="16"/>
        <v/>
      </c>
      <c r="CM130" s="29" t="str">
        <f t="shared" si="66"/>
        <v/>
      </c>
      <c r="CN130" s="29" t="str">
        <f t="shared" si="18"/>
        <v/>
      </c>
      <c r="CO130" s="29" t="str">
        <f t="shared" si="19"/>
        <v/>
      </c>
      <c r="CP130" s="29" t="str">
        <f t="shared" si="20"/>
        <v/>
      </c>
      <c r="CQ130" s="29">
        <f t="shared" si="21"/>
        <v>0</v>
      </c>
      <c r="CR130" s="13"/>
      <c r="CS130" s="7">
        <f>VLOOKUP(A130,'Empresas 21-23'!$A$2:$M$228,13,0)</f>
        <v>1</v>
      </c>
      <c r="CT130" s="30"/>
      <c r="CU130" s="6">
        <f t="shared" si="22"/>
        <v>2998223415.4000001</v>
      </c>
      <c r="CV130" s="6">
        <f t="shared" si="23"/>
        <v>67284437</v>
      </c>
      <c r="CW130" s="6">
        <f t="shared" si="24"/>
        <v>244656348</v>
      </c>
      <c r="CX130" s="23">
        <f t="shared" si="70"/>
        <v>0.64621269229907341</v>
      </c>
      <c r="CY130" s="23">
        <f t="shared" si="71"/>
        <v>1.4501940369175794E-2</v>
      </c>
      <c r="CZ130" s="6">
        <f t="shared" si="25"/>
        <v>3156323452.7291393</v>
      </c>
      <c r="DA130" s="6">
        <f t="shared" si="26"/>
        <v>70832428.769636318</v>
      </c>
      <c r="DB130" s="6">
        <f t="shared" si="27"/>
        <v>94962011</v>
      </c>
      <c r="DC130" s="6">
        <f t="shared" si="28"/>
        <v>104640200</v>
      </c>
      <c r="DD130" s="6">
        <f t="shared" si="29"/>
        <v>112488820</v>
      </c>
      <c r="DE130" s="6">
        <f t="shared" si="30"/>
        <v>91434259</v>
      </c>
      <c r="DF130" s="6">
        <f t="shared" si="31"/>
        <v>83481609.923640534</v>
      </c>
      <c r="DG130" s="30"/>
      <c r="DH130" s="32">
        <f>VLOOKUP(A130,'T_med_comp-USA'!$A$7:$Q$233,17,0)</f>
        <v>7.4129029417369656</v>
      </c>
      <c r="DI130" s="6" t="str">
        <f t="shared" si="32"/>
        <v>8_2014</v>
      </c>
      <c r="DJ130" s="32">
        <f>IF(DI130="","",VLOOKUP(DI130,'CPI USA'!$T:$U,2,FALSE))</f>
        <v>237.852</v>
      </c>
      <c r="DK130" s="32">
        <f>IF(DI130="","",VLOOKUP(DI130,'PPI USA'!$S:$T,2,FALSE))</f>
        <v>190</v>
      </c>
      <c r="DL130" s="32">
        <f>IF(DI130="","",VLOOKUP(DI130,'CPI USA'!$T:$V,3,FALSE))</f>
        <v>0.66756601812039096</v>
      </c>
      <c r="DM130" s="32">
        <f>IF(DI130="","",VLOOKUP(DI130,'CPI USA'!$T:$X,5,FALSE))</f>
        <v>0.49542529667095003</v>
      </c>
      <c r="DN130" s="32">
        <f t="shared" si="33"/>
        <v>1.3322780725835981</v>
      </c>
      <c r="DO130" s="32">
        <f t="shared" si="34"/>
        <v>1.3381779277547703</v>
      </c>
      <c r="DP130" s="32">
        <f t="shared" si="35"/>
        <v>0.29060763220389851</v>
      </c>
      <c r="DQ130" s="32">
        <f>IF(DP130="","",DP130*$DO$1/'CPI USA'!$U$508+(1-DP130)*AVERAGE($DO$1,$DQ$1)/AVERAGE('CPI USA'!$U$508,'PPI USA'!$T$514))</f>
        <v>1.168804145195165</v>
      </c>
      <c r="DR130" s="6">
        <f t="shared" si="36"/>
        <v>2348702</v>
      </c>
      <c r="DS130" s="32">
        <f t="shared" si="37"/>
        <v>0.2</v>
      </c>
      <c r="DT130" s="28">
        <f>IF(DS130="","",DS130*$DO$1/'CPI USA'!$U$508+(1-DS130)*AVERAGE($DO$1,$DQ$1)/AVERAGE('CPI USA'!$U$508,'PPI USA'!$T$514))</f>
        <v>1.1741595760647974</v>
      </c>
      <c r="DU130" s="6">
        <f t="shared" si="38"/>
        <v>3255403.6236763028</v>
      </c>
      <c r="DV130" s="6">
        <f t="shared" si="39"/>
        <v>41363.652473416128</v>
      </c>
      <c r="DW130" s="6">
        <f t="shared" si="40"/>
        <v>2536012.4525226881</v>
      </c>
      <c r="DX130" s="16">
        <f t="shared" si="41"/>
        <v>0.2</v>
      </c>
      <c r="DY130" s="28">
        <f>IF(DX130="","",DX130*$DO$1/'CPI USA'!$U$508+(1-DX130)*AVERAGE($DO$1,$DQ$1)/AVERAGE('CPI USA'!$U$508,'PPI USA'!$T$514))</f>
        <v>1.1741595760647974</v>
      </c>
      <c r="DZ130" s="30"/>
      <c r="EA130" s="45" t="str">
        <f t="shared" si="42"/>
        <v>C001466</v>
      </c>
      <c r="EB130" s="29">
        <f t="shared" si="43"/>
        <v>4205100526.0523853</v>
      </c>
      <c r="EC130" s="29">
        <f t="shared" si="44"/>
        <v>94786392.748789296</v>
      </c>
      <c r="ED130" s="29">
        <f t="shared" si="45"/>
        <v>122303899.51405109</v>
      </c>
      <c r="EE130" s="29">
        <f t="shared" si="46"/>
        <v>132079825.20322929</v>
      </c>
      <c r="EF130" s="29">
        <f t="shared" si="47"/>
        <v>98020731.717148557</v>
      </c>
      <c r="EG130" s="29">
        <f t="shared" si="48"/>
        <v>2482</v>
      </c>
      <c r="EH130" s="29">
        <f t="shared" si="49"/>
        <v>564929</v>
      </c>
      <c r="EI130" s="29">
        <f t="shared" si="50"/>
        <v>554101</v>
      </c>
      <c r="EJ130" s="29">
        <f t="shared" si="51"/>
        <v>8821240</v>
      </c>
      <c r="EK130" s="29">
        <f t="shared" si="52"/>
        <v>9356596.8629441634</v>
      </c>
      <c r="EL130" s="29">
        <f>IF(CD130=1,VLOOKUP(EA130,'EIA 2021'!$A$2:$J$213,4,0)*EH130,"")</f>
        <v>30506166</v>
      </c>
      <c r="EM130" s="29">
        <f>IF(CD130=1,VLOOKUP(EA130,'EIA 2021'!$A$2:$J$213,7,0)*EH130,"")</f>
        <v>401099.58999999997</v>
      </c>
      <c r="EN130" s="29">
        <f>IF(CD130=1,VLOOKUP(EA130,'EIA 2021'!$A$2:$J$213,10,0),"")</f>
        <v>576</v>
      </c>
      <c r="EO130" s="28">
        <f>IF(CD130=1,VLOOKUP(EA130,'EIA 2021'!$A$2:$Z$213,26,0),"")</f>
        <v>0</v>
      </c>
      <c r="EP130" s="23">
        <f t="shared" si="53"/>
        <v>5.7217049188512982E-2</v>
      </c>
      <c r="EQ130" s="32">
        <f t="shared" si="54"/>
        <v>18744.137055837549</v>
      </c>
      <c r="ER130" s="32">
        <f t="shared" si="55"/>
        <v>535356.86294416245</v>
      </c>
      <c r="ES130" s="6"/>
      <c r="ET130" s="32"/>
    </row>
    <row r="131" spans="1:150" ht="15.75" customHeight="1">
      <c r="A131" s="7" t="s">
        <v>595</v>
      </c>
      <c r="B131" s="7" t="s">
        <v>596</v>
      </c>
      <c r="C131" s="32" t="s">
        <v>597</v>
      </c>
      <c r="D131" s="40">
        <v>0</v>
      </c>
      <c r="E131" s="40">
        <v>0</v>
      </c>
      <c r="F131" s="40">
        <v>0</v>
      </c>
      <c r="G131" s="40">
        <v>0</v>
      </c>
      <c r="H131" s="40">
        <v>0</v>
      </c>
      <c r="I131" s="40">
        <v>8010510</v>
      </c>
      <c r="J131" s="40">
        <v>4049080</v>
      </c>
      <c r="K131" s="40">
        <v>9673462</v>
      </c>
      <c r="L131" s="40">
        <v>13630546</v>
      </c>
      <c r="M131" s="40">
        <v>10059951</v>
      </c>
      <c r="N131" s="40">
        <v>1639789</v>
      </c>
      <c r="O131" s="40">
        <v>61197242</v>
      </c>
      <c r="P131" s="40">
        <v>281934</v>
      </c>
      <c r="Q131" s="40">
        <v>2787992</v>
      </c>
      <c r="R131" s="40">
        <v>6060</v>
      </c>
      <c r="S131" s="40">
        <v>9639005</v>
      </c>
      <c r="T131" s="40">
        <v>108041394</v>
      </c>
      <c r="U131" s="40">
        <v>26551033</v>
      </c>
      <c r="V131" s="40">
        <v>4997753</v>
      </c>
      <c r="W131" s="40">
        <v>2221805</v>
      </c>
      <c r="X131" s="40">
        <f>IFERROR(VLOOKUP(A131,'Trans 21-23'!$A$2:$J$229,6,0),0)</f>
        <v>0</v>
      </c>
      <c r="Y131" s="41">
        <v>28481704</v>
      </c>
      <c r="Z131" s="41">
        <v>16435499</v>
      </c>
      <c r="AA131" s="41">
        <v>20437952</v>
      </c>
      <c r="AB131" s="41">
        <v>47254965</v>
      </c>
      <c r="AC131" s="41">
        <v>0</v>
      </c>
      <c r="AD131" s="41">
        <v>537003543</v>
      </c>
      <c r="AE131" s="41">
        <v>0</v>
      </c>
      <c r="AF131" s="41">
        <v>2151901233</v>
      </c>
      <c r="AG131" s="41">
        <v>3802319</v>
      </c>
      <c r="AH131" s="41">
        <v>0</v>
      </c>
      <c r="AI131" s="41">
        <v>135522388</v>
      </c>
      <c r="AJ131" s="41">
        <v>0</v>
      </c>
      <c r="AK131" s="41">
        <v>0</v>
      </c>
      <c r="AL131" s="41">
        <v>44773886</v>
      </c>
      <c r="AM131" s="41">
        <v>46766208</v>
      </c>
      <c r="AN131" s="41">
        <v>43599388</v>
      </c>
      <c r="AO131" s="41">
        <v>382906</v>
      </c>
      <c r="AP131" s="41">
        <v>0</v>
      </c>
      <c r="AQ131" s="41">
        <v>135522388</v>
      </c>
      <c r="AR131" s="41">
        <v>0</v>
      </c>
      <c r="AS131" s="41">
        <v>135522388</v>
      </c>
      <c r="AT131" s="41">
        <v>0</v>
      </c>
      <c r="AU131" s="41">
        <v>0</v>
      </c>
      <c r="AV131" s="41">
        <v>0</v>
      </c>
      <c r="AW131" s="41">
        <v>1675410858</v>
      </c>
      <c r="AX131" s="41">
        <v>1082118478</v>
      </c>
      <c r="AY131" s="41">
        <v>2553927528</v>
      </c>
      <c r="AZ131" s="41">
        <v>574147483</v>
      </c>
      <c r="BA131" s="41">
        <v>437403826</v>
      </c>
      <c r="BB131" s="41">
        <v>15843114254</v>
      </c>
      <c r="BC131" s="41">
        <v>29243573906</v>
      </c>
      <c r="BD131" s="41">
        <v>986057353</v>
      </c>
      <c r="BE131" s="41">
        <v>6041101704</v>
      </c>
      <c r="BF131" s="41">
        <v>376929755</v>
      </c>
      <c r="BG131" s="41">
        <v>0</v>
      </c>
      <c r="BH131" s="41">
        <v>136480639</v>
      </c>
      <c r="BI131" s="41">
        <v>9273927</v>
      </c>
      <c r="BJ131" s="41">
        <v>0</v>
      </c>
      <c r="BK131" s="41">
        <v>0</v>
      </c>
      <c r="BL131" s="41">
        <v>0</v>
      </c>
      <c r="BM131" s="41">
        <v>93181277</v>
      </c>
      <c r="BN131" s="41">
        <v>280856638</v>
      </c>
      <c r="BO131" s="41">
        <v>0</v>
      </c>
      <c r="BP131" s="41">
        <v>56484923</v>
      </c>
      <c r="BQ131" s="41">
        <v>597997432</v>
      </c>
      <c r="BR131" s="41">
        <v>0</v>
      </c>
      <c r="BS131" s="42">
        <f>IFERROR(VLOOKUP(A131,'Trans 21-23'!$A$2:$J$229,5,0),0)</f>
        <v>0</v>
      </c>
      <c r="BT131" s="43"/>
      <c r="BU131" s="6">
        <f t="shared" si="0"/>
        <v>15843114254</v>
      </c>
      <c r="BV131" s="6">
        <f t="shared" si="1"/>
        <v>0</v>
      </c>
      <c r="BW131" s="6">
        <f t="shared" si="2"/>
        <v>3802319</v>
      </c>
      <c r="BX131" s="6">
        <f t="shared" si="3"/>
        <v>262787556</v>
      </c>
      <c r="BY131" s="6">
        <f t="shared" si="4"/>
        <v>112610120</v>
      </c>
      <c r="BZ131" s="6">
        <f t="shared" si="5"/>
        <v>574147483</v>
      </c>
      <c r="CA131" s="6">
        <f t="shared" si="6"/>
        <v>537003543</v>
      </c>
      <c r="CB131" s="6">
        <f t="shared" si="7"/>
        <v>0</v>
      </c>
      <c r="CC131" s="6">
        <f t="shared" si="8"/>
        <v>135522388</v>
      </c>
      <c r="CD131" s="6">
        <f t="shared" si="69"/>
        <v>0</v>
      </c>
      <c r="CE131" s="44">
        <f t="shared" si="10"/>
        <v>23</v>
      </c>
      <c r="CF131" s="27"/>
      <c r="CG131" s="28" t="str">
        <f t="shared" si="11"/>
        <v/>
      </c>
      <c r="CH131" s="28" t="str">
        <f t="shared" si="12"/>
        <v/>
      </c>
      <c r="CI131" s="28" t="str">
        <f t="shared" si="13"/>
        <v/>
      </c>
      <c r="CJ131" s="28" t="str">
        <f t="shared" si="14"/>
        <v/>
      </c>
      <c r="CK131" s="23" t="str">
        <f t="shared" si="15"/>
        <v/>
      </c>
      <c r="CL131" s="29" t="str">
        <f t="shared" si="16"/>
        <v/>
      </c>
      <c r="CM131" s="29" t="str">
        <f t="shared" si="66"/>
        <v/>
      </c>
      <c r="CN131" s="29" t="str">
        <f t="shared" si="18"/>
        <v/>
      </c>
      <c r="CO131" s="29" t="str">
        <f t="shared" si="19"/>
        <v/>
      </c>
      <c r="CP131" s="29" t="str">
        <f t="shared" si="20"/>
        <v/>
      </c>
      <c r="CQ131" s="29">
        <f t="shared" si="21"/>
        <v>0</v>
      </c>
      <c r="CR131" s="13"/>
      <c r="CS131" s="7" t="str">
        <f>VLOOKUP(A131,'Empresas 21-23'!$A$2:$M$228,13,0)</f>
        <v/>
      </c>
      <c r="CT131" s="30"/>
      <c r="CU131" s="6">
        <f t="shared" si="22"/>
        <v>12649935341.4</v>
      </c>
      <c r="CV131" s="6">
        <f t="shared" si="23"/>
        <v>574147483</v>
      </c>
      <c r="CW131" s="6">
        <f t="shared" si="24"/>
        <v>986057353</v>
      </c>
      <c r="CX131" s="23">
        <f t="shared" si="70"/>
        <v>0.44766621007453683</v>
      </c>
      <c r="CY131" s="23">
        <f t="shared" si="71"/>
        <v>2.0318398537363495E-2</v>
      </c>
      <c r="CZ131" s="6">
        <f t="shared" si="25"/>
        <v>13091359899.53364</v>
      </c>
      <c r="DA131" s="6">
        <f t="shared" si="26"/>
        <v>594182589.27895176</v>
      </c>
      <c r="DB131" s="6">
        <f t="shared" si="27"/>
        <v>262787556</v>
      </c>
      <c r="DC131" s="6">
        <f t="shared" si="28"/>
        <v>262787556</v>
      </c>
      <c r="DD131" s="6">
        <f t="shared" si="29"/>
        <v>112610120</v>
      </c>
      <c r="DE131" s="6">
        <f t="shared" si="30"/>
        <v>537003543</v>
      </c>
      <c r="DF131" s="6">
        <f t="shared" si="31"/>
        <v>124831364.42282364</v>
      </c>
      <c r="DG131" s="30"/>
      <c r="DH131" s="32">
        <f>VLOOKUP(A131,'T_med_comp-USA'!$A$7:$Q$233,17,0)</f>
        <v>14.9721424480992</v>
      </c>
      <c r="DI131" s="6" t="str">
        <f t="shared" si="32"/>
        <v>1_2007</v>
      </c>
      <c r="DJ131" s="32">
        <f>IF(DI131="","",VLOOKUP(DI131,'CPI USA'!$T:$U,2,FALSE))</f>
        <v>207.34200000000001</v>
      </c>
      <c r="DK131" s="32">
        <f>IF(DI131="","",VLOOKUP(DI131,'PPI USA'!$S:$T,2,FALSE))</f>
        <v>151.69999999999999</v>
      </c>
      <c r="DL131" s="32">
        <f>IF(DI131="","",VLOOKUP(DI131,'CPI USA'!$T:$V,3,FALSE))</f>
        <v>0.67123734379962852</v>
      </c>
      <c r="DM131" s="32">
        <f>IF(DI131="","",VLOOKUP(DI131,'CPI USA'!$T:$X,5,FALSE))</f>
        <v>0.49957259686190569</v>
      </c>
      <c r="DN131" s="32">
        <f t="shared" si="33"/>
        <v>1.5480022216582647</v>
      </c>
      <c r="DO131" s="32">
        <f t="shared" si="34"/>
        <v>1.5651038394149617</v>
      </c>
      <c r="DP131" s="32">
        <f t="shared" si="35"/>
        <v>0.5193573130989505</v>
      </c>
      <c r="DQ131" s="32">
        <f>IF(DP131="","",DP131*$DO$1/'CPI USA'!$U$508+(1-DP131)*AVERAGE($DO$1,$DQ$1)/AVERAGE('CPI USA'!$U$508,'PPI USA'!$T$514))</f>
        <v>1.1552837267415947</v>
      </c>
      <c r="DR131" s="6">
        <f t="shared" si="36"/>
        <v>9273927</v>
      </c>
      <c r="DS131" s="32">
        <f t="shared" si="37"/>
        <v>0.2</v>
      </c>
      <c r="DT131" s="28">
        <f>IF(DS131="","",DS131*$DO$1/'CPI USA'!$U$508+(1-DS131)*AVERAGE($DO$1,$DQ$1)/AVERAGE('CPI USA'!$U$508,'PPI USA'!$T$514))</f>
        <v>1.1741595760647974</v>
      </c>
      <c r="DU131" s="6">
        <f t="shared" si="38"/>
        <v>93181277</v>
      </c>
      <c r="DV131" s="6">
        <f t="shared" si="39"/>
        <v>9719696.5331537183</v>
      </c>
      <c r="DW131" s="6">
        <f t="shared" si="40"/>
        <v>53401930.768331371</v>
      </c>
      <c r="DX131" s="16">
        <f t="shared" si="41"/>
        <v>0.42779257452838981</v>
      </c>
      <c r="DY131" s="28">
        <f>IF(DX131="","",DX131*$DO$1/'CPI USA'!$U$508+(1-DX131)*AVERAGE($DO$1,$DQ$1)/AVERAGE('CPI USA'!$U$508,'PPI USA'!$T$514))</f>
        <v>1.1606957280883146</v>
      </c>
      <c r="DZ131" s="30"/>
      <c r="EA131" s="45" t="str">
        <f t="shared" si="42"/>
        <v>C001486</v>
      </c>
      <c r="EB131" s="29" t="str">
        <f t="shared" si="43"/>
        <v/>
      </c>
      <c r="EC131" s="29" t="str">
        <f t="shared" si="44"/>
        <v/>
      </c>
      <c r="ED131" s="29" t="str">
        <f t="shared" si="45"/>
        <v/>
      </c>
      <c r="EE131" s="29" t="str">
        <f t="shared" si="46"/>
        <v/>
      </c>
      <c r="EF131" s="29" t="str">
        <f t="shared" si="47"/>
        <v/>
      </c>
      <c r="EG131" s="29" t="str">
        <f t="shared" si="48"/>
        <v/>
      </c>
      <c r="EH131" s="29" t="str">
        <f t="shared" si="49"/>
        <v/>
      </c>
      <c r="EI131" s="29" t="str">
        <f t="shared" si="50"/>
        <v/>
      </c>
      <c r="EJ131" s="29" t="str">
        <f t="shared" si="51"/>
        <v/>
      </c>
      <c r="EK131" s="29" t="str">
        <f t="shared" si="52"/>
        <v/>
      </c>
      <c r="EL131" s="29" t="str">
        <f>IF(CD131=1,VLOOKUP(EA131,'EIA 2021'!$A$2:$J$213,4,0)*EH131,"")</f>
        <v/>
      </c>
      <c r="EM131" s="29" t="str">
        <f>IF(CD131=1,VLOOKUP(EA131,'EIA 2021'!$A$2:$J$213,7,0)*EH131,"")</f>
        <v/>
      </c>
      <c r="EN131" s="29" t="str">
        <f>IF(CD131=1,VLOOKUP(EA131,'EIA 2021'!$A$2:$J$213,10,0),"")</f>
        <v/>
      </c>
      <c r="EO131" s="28" t="str">
        <f>IF(CD131=1,VLOOKUP(EA131,'EIA 2021'!$A$2:$Z$213,26,0),"")</f>
        <v/>
      </c>
      <c r="EP131" s="23" t="str">
        <f t="shared" si="53"/>
        <v/>
      </c>
      <c r="EQ131" s="32" t="str">
        <f t="shared" si="54"/>
        <v/>
      </c>
      <c r="ER131" s="32" t="str">
        <f t="shared" si="55"/>
        <v/>
      </c>
      <c r="ES131" s="6"/>
      <c r="ET131" s="32"/>
    </row>
    <row r="132" spans="1:150" ht="15.75" customHeight="1">
      <c r="A132" s="7" t="s">
        <v>598</v>
      </c>
      <c r="B132" s="7" t="s">
        <v>599</v>
      </c>
      <c r="C132" s="32" t="s">
        <v>600</v>
      </c>
      <c r="D132" s="40">
        <v>777874518</v>
      </c>
      <c r="E132" s="40">
        <v>105507727</v>
      </c>
      <c r="F132" s="40">
        <v>301929953</v>
      </c>
      <c r="G132" s="40">
        <v>419556129</v>
      </c>
      <c r="H132" s="40">
        <v>429700325</v>
      </c>
      <c r="I132" s="40">
        <v>18847606</v>
      </c>
      <c r="J132" s="40">
        <v>2903641</v>
      </c>
      <c r="K132" s="40">
        <v>5385088</v>
      </c>
      <c r="L132" s="40">
        <v>3693821</v>
      </c>
      <c r="M132" s="40">
        <v>6105032</v>
      </c>
      <c r="N132" s="40">
        <v>2595978</v>
      </c>
      <c r="O132" s="40">
        <v>17075265</v>
      </c>
      <c r="P132" s="40">
        <v>3884</v>
      </c>
      <c r="Q132" s="40">
        <v>16271365</v>
      </c>
      <c r="R132" s="40">
        <v>466219</v>
      </c>
      <c r="S132" s="40">
        <v>6456341</v>
      </c>
      <c r="T132" s="40">
        <v>182213466</v>
      </c>
      <c r="U132" s="40">
        <v>6845747</v>
      </c>
      <c r="V132" s="40">
        <v>3544988</v>
      </c>
      <c r="W132" s="40">
        <v>22452</v>
      </c>
      <c r="X132" s="40">
        <f>IFERROR(VLOOKUP(A132,'Trans 21-23'!$A$2:$J$229,6,0),0)</f>
        <v>47875222</v>
      </c>
      <c r="Y132" s="41">
        <v>12935056</v>
      </c>
      <c r="Z132" s="41">
        <v>2574431</v>
      </c>
      <c r="AA132" s="41">
        <v>74455482</v>
      </c>
      <c r="AB132" s="41">
        <v>55015279</v>
      </c>
      <c r="AC132" s="41">
        <v>4974536</v>
      </c>
      <c r="AD132" s="41">
        <v>294908630</v>
      </c>
      <c r="AE132" s="41">
        <v>0</v>
      </c>
      <c r="AF132" s="41">
        <v>3148795430</v>
      </c>
      <c r="AG132" s="41">
        <v>1510098</v>
      </c>
      <c r="AH132" s="41">
        <v>2696241</v>
      </c>
      <c r="AI132" s="41">
        <v>68950909</v>
      </c>
      <c r="AJ132" s="41">
        <v>123498</v>
      </c>
      <c r="AK132" s="41">
        <v>1164</v>
      </c>
      <c r="AL132" s="41">
        <v>17466982</v>
      </c>
      <c r="AM132" s="41">
        <v>12736122</v>
      </c>
      <c r="AN132" s="41">
        <v>20836561</v>
      </c>
      <c r="AO132" s="41">
        <v>132163</v>
      </c>
      <c r="AP132" s="41">
        <v>0</v>
      </c>
      <c r="AQ132" s="41">
        <v>51171828</v>
      </c>
      <c r="AR132" s="41">
        <v>14958179</v>
      </c>
      <c r="AS132" s="41">
        <v>66130007</v>
      </c>
      <c r="AT132" s="41">
        <v>0</v>
      </c>
      <c r="AU132" s="41">
        <v>11272</v>
      </c>
      <c r="AV132" s="41">
        <v>0</v>
      </c>
      <c r="AW132" s="41">
        <v>1712370466</v>
      </c>
      <c r="AX132" s="41">
        <v>106324715</v>
      </c>
      <c r="AY132" s="41">
        <v>830453731</v>
      </c>
      <c r="AZ132" s="41">
        <v>439214840</v>
      </c>
      <c r="BA132" s="41">
        <v>334594563</v>
      </c>
      <c r="BB132" s="41">
        <v>8631447528</v>
      </c>
      <c r="BC132" s="41">
        <v>33043594569</v>
      </c>
      <c r="BD132" s="41">
        <v>2035440143</v>
      </c>
      <c r="BE132" s="41">
        <v>2661261628</v>
      </c>
      <c r="BF132" s="41">
        <v>214960576</v>
      </c>
      <c r="BG132" s="41">
        <v>0</v>
      </c>
      <c r="BH132" s="41">
        <v>87707517</v>
      </c>
      <c r="BI132" s="41">
        <v>51724852</v>
      </c>
      <c r="BJ132" s="41">
        <v>30058880</v>
      </c>
      <c r="BK132" s="41">
        <v>1880426</v>
      </c>
      <c r="BL132" s="41">
        <v>0</v>
      </c>
      <c r="BM132" s="41">
        <v>63777199</v>
      </c>
      <c r="BN132" s="41">
        <v>385831335</v>
      </c>
      <c r="BO132" s="41">
        <v>27074947</v>
      </c>
      <c r="BP132" s="41">
        <v>16830231</v>
      </c>
      <c r="BQ132" s="41">
        <v>635685700</v>
      </c>
      <c r="BR132" s="41">
        <v>0</v>
      </c>
      <c r="BS132" s="42">
        <f>IFERROR(VLOOKUP(A132,'Trans 21-23'!$A$2:$J$229,5,0),0)</f>
        <v>2571821578</v>
      </c>
      <c r="BT132" s="43"/>
      <c r="BU132" s="6">
        <f t="shared" si="0"/>
        <v>8631447528</v>
      </c>
      <c r="BV132" s="6">
        <f t="shared" si="1"/>
        <v>11272</v>
      </c>
      <c r="BW132" s="6">
        <f t="shared" si="2"/>
        <v>1510098</v>
      </c>
      <c r="BX132" s="6">
        <f t="shared" si="3"/>
        <v>272430893</v>
      </c>
      <c r="BY132" s="6">
        <f t="shared" si="4"/>
        <v>149954784</v>
      </c>
      <c r="BZ132" s="6">
        <f t="shared" si="5"/>
        <v>439214840</v>
      </c>
      <c r="CA132" s="6">
        <f t="shared" si="6"/>
        <v>294908630</v>
      </c>
      <c r="CB132" s="6">
        <f t="shared" si="7"/>
        <v>2696241</v>
      </c>
      <c r="CC132" s="6">
        <f t="shared" si="8"/>
        <v>51171828</v>
      </c>
      <c r="CD132" s="6">
        <f t="shared" si="69"/>
        <v>1</v>
      </c>
      <c r="CE132" s="44">
        <f t="shared" si="10"/>
        <v>7</v>
      </c>
      <c r="CF132" s="27"/>
      <c r="CG132" s="28">
        <f t="shared" si="11"/>
        <v>765.74232860184532</v>
      </c>
      <c r="CH132" s="28">
        <f t="shared" si="12"/>
        <v>7.4644162166958701</v>
      </c>
      <c r="CI132" s="28">
        <f t="shared" si="13"/>
        <v>180.40610145831596</v>
      </c>
      <c r="CJ132" s="28">
        <f t="shared" si="14"/>
        <v>290.85187848735643</v>
      </c>
      <c r="CK132" s="23">
        <f t="shared" si="15"/>
        <v>5.2689948852325544E-2</v>
      </c>
      <c r="CL132" s="29" t="str">
        <f t="shared" si="16"/>
        <v/>
      </c>
      <c r="CM132" s="29" t="str">
        <f t="shared" si="66"/>
        <v/>
      </c>
      <c r="CN132" s="29" t="str">
        <f t="shared" si="18"/>
        <v/>
      </c>
      <c r="CO132" s="29" t="str">
        <f t="shared" si="19"/>
        <v/>
      </c>
      <c r="CP132" s="29" t="str">
        <f t="shared" si="20"/>
        <v/>
      </c>
      <c r="CQ132" s="29">
        <f t="shared" si="21"/>
        <v>0</v>
      </c>
      <c r="CR132" s="13"/>
      <c r="CS132" s="7">
        <f>VLOOKUP(A132,'Empresas 21-23'!$A$2:$M$228,13,0)</f>
        <v>1</v>
      </c>
      <c r="CT132" s="30"/>
      <c r="CU132" s="6">
        <f t="shared" si="22"/>
        <v>9867392635.3999996</v>
      </c>
      <c r="CV132" s="6">
        <f t="shared" si="23"/>
        <v>439214840</v>
      </c>
      <c r="CW132" s="6">
        <f t="shared" si="24"/>
        <v>2035440143</v>
      </c>
      <c r="CX132" s="23">
        <f t="shared" si="70"/>
        <v>0.31821928192947524</v>
      </c>
      <c r="CY132" s="23">
        <f t="shared" si="71"/>
        <v>1.4164494731480154E-2</v>
      </c>
      <c r="CZ132" s="6">
        <f t="shared" si="25"/>
        <v>10515108936.115889</v>
      </c>
      <c r="DA132" s="6">
        <f t="shared" si="26"/>
        <v>468045821.18176669</v>
      </c>
      <c r="DB132" s="6">
        <f t="shared" si="27"/>
        <v>272430893</v>
      </c>
      <c r="DC132" s="6">
        <f t="shared" si="28"/>
        <v>320306115</v>
      </c>
      <c r="DD132" s="6">
        <f t="shared" si="29"/>
        <v>149954784</v>
      </c>
      <c r="DE132" s="6">
        <f t="shared" si="30"/>
        <v>294908630</v>
      </c>
      <c r="DF132" s="6">
        <f t="shared" si="31"/>
        <v>111943560.40912323</v>
      </c>
      <c r="DG132" s="30"/>
      <c r="DH132" s="32">
        <f>VLOOKUP(A132,'T_med_comp-USA'!$A$7:$Q$233,17,0)</f>
        <v>11.242839369624525</v>
      </c>
      <c r="DI132" s="6" t="str">
        <f t="shared" si="32"/>
        <v>10_2010</v>
      </c>
      <c r="DJ132" s="32">
        <f>IF(DI132="","",VLOOKUP(DI132,'CPI USA'!$T:$U,2,FALSE))</f>
        <v>218.05600000000001</v>
      </c>
      <c r="DK132" s="32">
        <f>IF(DI132="","",VLOOKUP(DI132,'PPI USA'!$S:$T,2,FALSE))</f>
        <v>160.80000000000001</v>
      </c>
      <c r="DL132" s="32">
        <f>IF(DI132="","",VLOOKUP(DI132,'CPI USA'!$T:$V,3,FALSE))</f>
        <v>0.67050107279443949</v>
      </c>
      <c r="DM132" s="32">
        <f>IF(DI132="","",VLOOKUP(DI132,'CPI USA'!$T:$X,5,FALSE))</f>
        <v>0.4987389730136107</v>
      </c>
      <c r="DN132" s="32">
        <f t="shared" si="33"/>
        <v>1.4703278680244813</v>
      </c>
      <c r="DO132" s="32">
        <f t="shared" si="34"/>
        <v>1.4857204383544427</v>
      </c>
      <c r="DP132" s="32">
        <f t="shared" si="35"/>
        <v>0.34453588075803004</v>
      </c>
      <c r="DQ132" s="32">
        <f>IF(DP132="","",DP132*$DO$1/'CPI USA'!$U$508+(1-DP132)*AVERAGE($DO$1,$DQ$1)/AVERAGE('CPI USA'!$U$508,'PPI USA'!$T$514))</f>
        <v>1.16561667632497</v>
      </c>
      <c r="DR132" s="6">
        <f t="shared" si="36"/>
        <v>83664158</v>
      </c>
      <c r="DS132" s="32">
        <f t="shared" si="37"/>
        <v>0.59708081060478968</v>
      </c>
      <c r="DT132" s="28">
        <f>IF(DS132="","",DS132*$DO$1/'CPI USA'!$U$508+(1-DS132)*AVERAGE($DO$1,$DQ$1)/AVERAGE('CPI USA'!$U$508,'PPI USA'!$T$514))</f>
        <v>1.150689822147533</v>
      </c>
      <c r="DU132" s="6">
        <f t="shared" si="38"/>
        <v>68252637.167129308</v>
      </c>
      <c r="DV132" s="6">
        <f t="shared" si="39"/>
        <v>1734467.9743033329</v>
      </c>
      <c r="DW132" s="6">
        <f t="shared" si="40"/>
        <v>31085623.039114807</v>
      </c>
      <c r="DX132" s="16">
        <f t="shared" si="41"/>
        <v>0.27769014068790843</v>
      </c>
      <c r="DY132" s="28">
        <f>IF(DX132="","",DX132*$DO$1/'CPI USA'!$U$508+(1-DX132)*AVERAGE($DO$1,$DQ$1)/AVERAGE('CPI USA'!$U$508,'PPI USA'!$T$514))</f>
        <v>1.1695676430500397</v>
      </c>
      <c r="DZ132" s="30"/>
      <c r="EA132" s="45" t="str">
        <f t="shared" si="42"/>
        <v>C001552</v>
      </c>
      <c r="EB132" s="29">
        <f t="shared" si="43"/>
        <v>15460657704.084446</v>
      </c>
      <c r="EC132" s="29">
        <f t="shared" si="44"/>
        <v>695385242.61613953</v>
      </c>
      <c r="ED132" s="29">
        <f t="shared" si="45"/>
        <v>373354149.1728636</v>
      </c>
      <c r="EE132" s="29">
        <f t="shared" si="46"/>
        <v>172551443.73113173</v>
      </c>
      <c r="EF132" s="29">
        <f t="shared" si="47"/>
        <v>130925566.10232799</v>
      </c>
      <c r="EG132" s="29">
        <f t="shared" si="48"/>
        <v>11272</v>
      </c>
      <c r="EH132" s="29">
        <f t="shared" si="49"/>
        <v>1510098</v>
      </c>
      <c r="EI132" s="29">
        <f t="shared" si="50"/>
        <v>2696241</v>
      </c>
      <c r="EJ132" s="29">
        <f t="shared" si="51"/>
        <v>51171828</v>
      </c>
      <c r="EK132" s="29">
        <f t="shared" si="52"/>
        <v>53640279.472081214</v>
      </c>
      <c r="EL132" s="29">
        <f>IF(CD132=1,VLOOKUP(EA132,'EIA 2021'!$A$2:$J$213,4,0)*EH132,"")</f>
        <v>184382965.79999998</v>
      </c>
      <c r="EM132" s="29">
        <f>IF(CD132=1,VLOOKUP(EA132,'EIA 2021'!$A$2:$J$213,7,0)*EH132,"")</f>
        <v>2182091.61</v>
      </c>
      <c r="EN132" s="29">
        <f>IF(CD132=1,VLOOKUP(EA132,'EIA 2021'!$A$2:$J$213,10,0),"")</f>
        <v>1492612</v>
      </c>
      <c r="EO132" s="28">
        <f>IF(CD132=1,VLOOKUP(EA132,'EIA 2021'!$A$2:$Z$213,26,0),"")</f>
        <v>0</v>
      </c>
      <c r="EP132" s="23">
        <f t="shared" si="53"/>
        <v>4.6018616912053972E-2</v>
      </c>
      <c r="EQ132" s="32">
        <f t="shared" si="54"/>
        <v>227789.52791878209</v>
      </c>
      <c r="ER132" s="32">
        <f t="shared" si="55"/>
        <v>2468451.4720812179</v>
      </c>
      <c r="ES132" s="6"/>
      <c r="ET132" s="32"/>
    </row>
    <row r="133" spans="1:150" ht="15.75" customHeight="1">
      <c r="A133" s="7" t="s">
        <v>601</v>
      </c>
      <c r="B133" s="7" t="s">
        <v>602</v>
      </c>
      <c r="C133" s="32" t="s">
        <v>603</v>
      </c>
      <c r="D133" s="40">
        <v>403707925</v>
      </c>
      <c r="E133" s="40">
        <v>127968274</v>
      </c>
      <c r="F133" s="40">
        <v>917551381</v>
      </c>
      <c r="G133" s="40">
        <v>1514640167</v>
      </c>
      <c r="H133" s="40">
        <v>1543995393</v>
      </c>
      <c r="I133" s="40">
        <v>18640493</v>
      </c>
      <c r="J133" s="40">
        <v>2065099</v>
      </c>
      <c r="K133" s="40">
        <v>18062590</v>
      </c>
      <c r="L133" s="40">
        <v>3873630</v>
      </c>
      <c r="M133" s="40">
        <v>16006178</v>
      </c>
      <c r="N133" s="40">
        <v>1901342</v>
      </c>
      <c r="O133" s="40">
        <v>32460092</v>
      </c>
      <c r="P133" s="40">
        <v>3265994</v>
      </c>
      <c r="Q133" s="40">
        <v>19783566</v>
      </c>
      <c r="R133" s="40">
        <v>2204106</v>
      </c>
      <c r="S133" s="40">
        <v>14270179</v>
      </c>
      <c r="T133" s="40">
        <v>143156333</v>
      </c>
      <c r="U133" s="40">
        <v>24356856</v>
      </c>
      <c r="V133" s="40">
        <v>4399769</v>
      </c>
      <c r="W133" s="40">
        <v>288134</v>
      </c>
      <c r="X133" s="40">
        <f>IFERROR(VLOOKUP(A133,'Trans 21-23'!$A$2:$J$229,6,0),0)</f>
        <v>38342600</v>
      </c>
      <c r="Y133" s="41">
        <v>26405422</v>
      </c>
      <c r="Z133" s="41">
        <v>2933297</v>
      </c>
      <c r="AA133" s="41">
        <v>155113689</v>
      </c>
      <c r="AB133" s="41">
        <v>74259337</v>
      </c>
      <c r="AC133" s="41">
        <v>40376340</v>
      </c>
      <c r="AD133" s="41">
        <v>468320809</v>
      </c>
      <c r="AE133" s="41">
        <v>0</v>
      </c>
      <c r="AF133" s="41">
        <v>4886017465</v>
      </c>
      <c r="AG133" s="41">
        <v>2657945</v>
      </c>
      <c r="AH133" s="41">
        <v>3317571</v>
      </c>
      <c r="AI133" s="41">
        <v>89959774</v>
      </c>
      <c r="AJ133" s="41">
        <v>522287</v>
      </c>
      <c r="AK133" s="41">
        <v>0</v>
      </c>
      <c r="AL133" s="41">
        <v>27867774</v>
      </c>
      <c r="AM133" s="41">
        <v>31344751</v>
      </c>
      <c r="AN133" s="41">
        <v>23272703</v>
      </c>
      <c r="AO133" s="41">
        <v>315835</v>
      </c>
      <c r="AP133" s="41">
        <v>0</v>
      </c>
      <c r="AQ133" s="41">
        <v>82944041</v>
      </c>
      <c r="AR133" s="41">
        <v>3175875</v>
      </c>
      <c r="AS133" s="41">
        <v>86119916</v>
      </c>
      <c r="AT133" s="41">
        <v>142978</v>
      </c>
      <c r="AU133" s="41">
        <v>16213</v>
      </c>
      <c r="AV133" s="41">
        <v>0</v>
      </c>
      <c r="AW133" s="41">
        <v>1510666377</v>
      </c>
      <c r="AX133" s="41">
        <v>511265426</v>
      </c>
      <c r="AY133" s="41">
        <v>2244448027</v>
      </c>
      <c r="AZ133" s="41">
        <v>543895719</v>
      </c>
      <c r="BA133" s="41">
        <v>988483160</v>
      </c>
      <c r="BB133" s="41">
        <v>12405823336</v>
      </c>
      <c r="BC133" s="41">
        <v>42777919129</v>
      </c>
      <c r="BD133" s="41">
        <v>2025218438</v>
      </c>
      <c r="BE133" s="41">
        <v>3414749512</v>
      </c>
      <c r="BF133" s="41">
        <v>322622015</v>
      </c>
      <c r="BG133" s="41">
        <v>0</v>
      </c>
      <c r="BH133" s="41">
        <v>124342631</v>
      </c>
      <c r="BI133" s="41">
        <v>53609323</v>
      </c>
      <c r="BJ133" s="41">
        <v>20933225</v>
      </c>
      <c r="BK133" s="41">
        <v>28824051</v>
      </c>
      <c r="BL133" s="41">
        <v>0</v>
      </c>
      <c r="BM133" s="41">
        <v>57745773</v>
      </c>
      <c r="BN133" s="41">
        <v>442899856</v>
      </c>
      <c r="BO133" s="41">
        <v>2555159</v>
      </c>
      <c r="BP133" s="41">
        <v>105179118</v>
      </c>
      <c r="BQ133" s="41">
        <v>804694122</v>
      </c>
      <c r="BR133" s="41">
        <v>0</v>
      </c>
      <c r="BS133" s="42">
        <f>IFERROR(VLOOKUP(A133,'Trans 21-23'!$A$2:$J$229,5,0),0)</f>
        <v>2443022652</v>
      </c>
      <c r="BT133" s="43"/>
      <c r="BU133" s="6">
        <f t="shared" si="0"/>
        <v>12405823336</v>
      </c>
      <c r="BV133" s="6">
        <f t="shared" si="1"/>
        <v>16213</v>
      </c>
      <c r="BW133" s="6">
        <f t="shared" si="2"/>
        <v>2657945</v>
      </c>
      <c r="BX133" s="6">
        <f t="shared" si="3"/>
        <v>304734361</v>
      </c>
      <c r="BY133" s="6">
        <f t="shared" si="4"/>
        <v>299088085</v>
      </c>
      <c r="BZ133" s="6">
        <f t="shared" si="5"/>
        <v>543895719</v>
      </c>
      <c r="CA133" s="6">
        <f t="shared" si="6"/>
        <v>468320809</v>
      </c>
      <c r="CB133" s="6">
        <f t="shared" si="7"/>
        <v>3317571</v>
      </c>
      <c r="CC133" s="6">
        <f t="shared" si="8"/>
        <v>82944041</v>
      </c>
      <c r="CD133" s="6">
        <f t="shared" si="69"/>
        <v>1</v>
      </c>
      <c r="CE133" s="44">
        <f t="shared" si="10"/>
        <v>7</v>
      </c>
      <c r="CF133" s="27"/>
      <c r="CG133" s="28">
        <f t="shared" si="11"/>
        <v>765.17753259729852</v>
      </c>
      <c r="CH133" s="28">
        <f t="shared" si="12"/>
        <v>6.0998252409286122</v>
      </c>
      <c r="CI133" s="28">
        <f t="shared" si="13"/>
        <v>114.65036372084448</v>
      </c>
      <c r="CJ133" s="28">
        <f t="shared" si="14"/>
        <v>204.63016315236018</v>
      </c>
      <c r="CK133" s="23">
        <f t="shared" si="15"/>
        <v>3.9997701582926252E-2</v>
      </c>
      <c r="CL133" s="29" t="str">
        <f t="shared" si="16"/>
        <v/>
      </c>
      <c r="CM133" s="29" t="str">
        <f t="shared" si="66"/>
        <v/>
      </c>
      <c r="CN133" s="29" t="str">
        <f t="shared" si="18"/>
        <v/>
      </c>
      <c r="CO133" s="29" t="str">
        <f t="shared" si="19"/>
        <v/>
      </c>
      <c r="CP133" s="29" t="str">
        <f t="shared" si="20"/>
        <v/>
      </c>
      <c r="CQ133" s="29">
        <f t="shared" si="21"/>
        <v>0</v>
      </c>
      <c r="CR133" s="13"/>
      <c r="CS133" s="7">
        <f>VLOOKUP(A133,'Empresas 21-23'!$A$2:$M$228,13,0)</f>
        <v>1</v>
      </c>
      <c r="CT133" s="30"/>
      <c r="CU133" s="6">
        <f t="shared" si="22"/>
        <v>11663039037.200001</v>
      </c>
      <c r="CV133" s="6">
        <f t="shared" si="23"/>
        <v>543895719</v>
      </c>
      <c r="CW133" s="6">
        <f t="shared" si="24"/>
        <v>2025218438</v>
      </c>
      <c r="CX133" s="23">
        <f t="shared" si="70"/>
        <v>0.28619057975158235</v>
      </c>
      <c r="CY133" s="23">
        <f t="shared" si="71"/>
        <v>1.3346249690885303E-2</v>
      </c>
      <c r="CZ133" s="6">
        <f t="shared" si="25"/>
        <v>12242637476.094814</v>
      </c>
      <c r="DA133" s="6">
        <f t="shared" si="26"/>
        <v>570924789.9521327</v>
      </c>
      <c r="DB133" s="6">
        <f t="shared" si="27"/>
        <v>304734361</v>
      </c>
      <c r="DC133" s="6">
        <f t="shared" si="28"/>
        <v>343076961</v>
      </c>
      <c r="DD133" s="6">
        <f t="shared" si="29"/>
        <v>299088085</v>
      </c>
      <c r="DE133" s="6">
        <f t="shared" si="30"/>
        <v>468320809</v>
      </c>
      <c r="DF133" s="6">
        <f t="shared" si="31"/>
        <v>211123067.72903872</v>
      </c>
      <c r="DG133" s="30"/>
      <c r="DH133" s="32">
        <f>VLOOKUP(A133,'T_med_comp-USA'!$A$7:$Q$233,17,0)</f>
        <v>9.7630032447211974</v>
      </c>
      <c r="DI133" s="6" t="str">
        <f t="shared" si="32"/>
        <v>3_2012</v>
      </c>
      <c r="DJ133" s="32">
        <f>IF(DI133="","",VLOOKUP(DI133,'CPI USA'!$T:$U,2,FALSE))</f>
        <v>229.59399999999999</v>
      </c>
      <c r="DK133" s="32">
        <f>IF(DI133="","",VLOOKUP(DI133,'PPI USA'!$S:$T,2,FALSE))</f>
        <v>175.1</v>
      </c>
      <c r="DL133" s="32">
        <f>IF(DI133="","",VLOOKUP(DI133,'CPI USA'!$T:$V,3,FALSE))</f>
        <v>0.66730871354337351</v>
      </c>
      <c r="DM133" s="32">
        <f>IF(DI133="","",VLOOKUP(DI133,'CPI USA'!$T:$X,5,FALSE))</f>
        <v>0.49513551903851311</v>
      </c>
      <c r="DN133" s="32">
        <f t="shared" si="33"/>
        <v>1.3897894616766442</v>
      </c>
      <c r="DO133" s="32">
        <f t="shared" si="34"/>
        <v>1.4008620811189902</v>
      </c>
      <c r="DP133" s="32">
        <f t="shared" si="35"/>
        <v>0.41039016015298124</v>
      </c>
      <c r="DQ133" s="32">
        <f>IF(DP133="","",DP133*$DO$1/'CPI USA'!$U$508+(1-DP133)*AVERAGE($DO$1,$DQ$1)/AVERAGE('CPI USA'!$U$508,'PPI USA'!$T$514))</f>
        <v>1.1617243106137078</v>
      </c>
      <c r="DR133" s="6">
        <f t="shared" si="36"/>
        <v>103366599</v>
      </c>
      <c r="DS133" s="32">
        <f t="shared" si="37"/>
        <v>0.34759972863447347</v>
      </c>
      <c r="DT133" s="28">
        <f>IF(DS133="","",DS133*$DO$1/'CPI USA'!$U$508+(1-DS133)*AVERAGE($DO$1,$DQ$1)/AVERAGE('CPI USA'!$U$508,'PPI USA'!$T$514))</f>
        <v>1.1654355853385019</v>
      </c>
      <c r="DU133" s="6">
        <f t="shared" si="38"/>
        <v>58078917.456007473</v>
      </c>
      <c r="DV133" s="6">
        <f t="shared" si="39"/>
        <v>8682657.8953097239</v>
      </c>
      <c r="DW133" s="6">
        <f t="shared" si="40"/>
        <v>34324298.621662721</v>
      </c>
      <c r="DX133" s="16">
        <f t="shared" si="41"/>
        <v>0.2</v>
      </c>
      <c r="DY133" s="28">
        <f>IF(DX133="","",DX133*$DO$1/'CPI USA'!$U$508+(1-DX133)*AVERAGE($DO$1,$DQ$1)/AVERAGE('CPI USA'!$U$508,'PPI USA'!$T$514))</f>
        <v>1.1741595760647974</v>
      </c>
      <c r="DZ133" s="30"/>
      <c r="EA133" s="45" t="str">
        <f t="shared" si="42"/>
        <v>C001553</v>
      </c>
      <c r="EB133" s="29">
        <f t="shared" si="43"/>
        <v>17014688547.404121</v>
      </c>
      <c r="EC133" s="29">
        <f t="shared" si="44"/>
        <v>799786889.41476703</v>
      </c>
      <c r="ED133" s="29">
        <f t="shared" si="45"/>
        <v>398560846.00517094</v>
      </c>
      <c r="EE133" s="29">
        <f t="shared" si="46"/>
        <v>348567897.40974659</v>
      </c>
      <c r="EF133" s="29">
        <f t="shared" si="47"/>
        <v>247892171.70222759</v>
      </c>
      <c r="EG133" s="29">
        <f t="shared" si="48"/>
        <v>16213</v>
      </c>
      <c r="EH133" s="29">
        <f t="shared" si="49"/>
        <v>2657945</v>
      </c>
      <c r="EI133" s="29">
        <f t="shared" si="50"/>
        <v>3317571</v>
      </c>
      <c r="EJ133" s="29">
        <f t="shared" si="51"/>
        <v>82944041</v>
      </c>
      <c r="EK133" s="29">
        <f t="shared" si="52"/>
        <v>86213248.421319798</v>
      </c>
      <c r="EL133" s="29">
        <f>IF(CD133=1,VLOOKUP(EA133,'EIA 2021'!$A$2:$J$213,4,0)*EH133,"")</f>
        <v>375115777.84999996</v>
      </c>
      <c r="EM133" s="29">
        <f>IF(CD133=1,VLOOKUP(EA133,'EIA 2021'!$A$2:$J$213,7,0)*EH133,"")</f>
        <v>3402169.6</v>
      </c>
      <c r="EN133" s="29">
        <f>IF(CD133=1,VLOOKUP(EA133,'EIA 2021'!$A$2:$J$213,10,0),"")</f>
        <v>2642160</v>
      </c>
      <c r="EO133" s="28">
        <f>IF(CD133=1,VLOOKUP(EA133,'EIA 2021'!$A$2:$Z$213,26,0),"")</f>
        <v>0</v>
      </c>
      <c r="EP133" s="23">
        <f t="shared" si="53"/>
        <v>3.7920012076837019E-2</v>
      </c>
      <c r="EQ133" s="32">
        <f t="shared" si="54"/>
        <v>48363.578680203296</v>
      </c>
      <c r="ER133" s="32">
        <f t="shared" si="55"/>
        <v>3269207.4213197967</v>
      </c>
      <c r="ES133" s="6"/>
      <c r="ET133" s="32"/>
    </row>
    <row r="134" spans="1:150" ht="15.75" customHeight="1">
      <c r="A134" s="7" t="s">
        <v>604</v>
      </c>
      <c r="B134" s="7" t="s">
        <v>605</v>
      </c>
      <c r="C134" s="32" t="s">
        <v>606</v>
      </c>
      <c r="D134" s="40">
        <v>147811758</v>
      </c>
      <c r="E134" s="40">
        <v>0</v>
      </c>
      <c r="F134" s="40">
        <v>292964203</v>
      </c>
      <c r="G134" s="40">
        <v>174768271</v>
      </c>
      <c r="H134" s="40">
        <v>100866931</v>
      </c>
      <c r="I134" s="40">
        <v>4886573</v>
      </c>
      <c r="J134" s="40">
        <v>537805</v>
      </c>
      <c r="K134" s="40">
        <v>18945</v>
      </c>
      <c r="L134" s="40">
        <v>1697846</v>
      </c>
      <c r="M134" s="40">
        <v>719557</v>
      </c>
      <c r="N134" s="40">
        <v>350390</v>
      </c>
      <c r="O134" s="40">
        <v>1571126</v>
      </c>
      <c r="P134" s="40">
        <v>0</v>
      </c>
      <c r="Q134" s="40">
        <v>2244368</v>
      </c>
      <c r="R134" s="40">
        <v>2476800</v>
      </c>
      <c r="S134" s="40">
        <v>511514</v>
      </c>
      <c r="T134" s="40">
        <v>13427287</v>
      </c>
      <c r="U134" s="40">
        <v>1500198</v>
      </c>
      <c r="V134" s="40">
        <v>323428</v>
      </c>
      <c r="W134" s="40">
        <v>661222</v>
      </c>
      <c r="X134" s="40">
        <f>IFERROR(VLOOKUP(A134,'Trans 21-23'!$A$2:$J$229,6,0),0)</f>
        <v>24046383</v>
      </c>
      <c r="Y134" s="41">
        <v>2339753</v>
      </c>
      <c r="Z134" s="41">
        <v>6832</v>
      </c>
      <c r="AA134" s="41">
        <v>21318668</v>
      </c>
      <c r="AB134" s="41">
        <v>6669439</v>
      </c>
      <c r="AC134" s="41">
        <v>1100356</v>
      </c>
      <c r="AD134" s="41">
        <v>52972026</v>
      </c>
      <c r="AE134" s="41">
        <v>0</v>
      </c>
      <c r="AF134" s="41">
        <v>756751187</v>
      </c>
      <c r="AG134" s="41">
        <v>477674</v>
      </c>
      <c r="AH134" s="41">
        <v>545431</v>
      </c>
      <c r="AI134" s="41">
        <v>14578732</v>
      </c>
      <c r="AJ134" s="41">
        <v>15743</v>
      </c>
      <c r="AK134" s="41">
        <v>0</v>
      </c>
      <c r="AL134" s="41">
        <v>5436737</v>
      </c>
      <c r="AM134" s="41">
        <v>3656715</v>
      </c>
      <c r="AN134" s="41">
        <v>1608712</v>
      </c>
      <c r="AO134" s="41">
        <v>29246</v>
      </c>
      <c r="AP134" s="41">
        <v>0</v>
      </c>
      <c r="AQ134" s="41">
        <v>10731410</v>
      </c>
      <c r="AR134" s="41">
        <v>3286148</v>
      </c>
      <c r="AS134" s="41">
        <v>14017558</v>
      </c>
      <c r="AT134" s="41">
        <v>0</v>
      </c>
      <c r="AU134" s="41">
        <v>2441</v>
      </c>
      <c r="AV134" s="41">
        <v>0</v>
      </c>
      <c r="AW134" s="41">
        <v>248684287</v>
      </c>
      <c r="AX134" s="41">
        <v>34080442</v>
      </c>
      <c r="AY134" s="41">
        <v>235406373</v>
      </c>
      <c r="AZ134" s="41">
        <v>73793450</v>
      </c>
      <c r="BA134" s="41">
        <v>79941901</v>
      </c>
      <c r="BB134" s="41">
        <v>1695996134</v>
      </c>
      <c r="BC134" s="41">
        <v>6289179089</v>
      </c>
      <c r="BD134" s="41">
        <v>254743005</v>
      </c>
      <c r="BE134" s="41">
        <v>542817872</v>
      </c>
      <c r="BF134" s="41">
        <v>54321911</v>
      </c>
      <c r="BG134" s="41">
        <v>0</v>
      </c>
      <c r="BH134" s="41">
        <v>12714361</v>
      </c>
      <c r="BI134" s="41">
        <v>4486850</v>
      </c>
      <c r="BJ134" s="41">
        <v>3370217</v>
      </c>
      <c r="BK134" s="41">
        <v>582566</v>
      </c>
      <c r="BL134" s="41">
        <v>0</v>
      </c>
      <c r="BM134" s="41">
        <v>13668359</v>
      </c>
      <c r="BN134" s="41">
        <v>47362341</v>
      </c>
      <c r="BO134" s="41">
        <v>0</v>
      </c>
      <c r="BP134" s="41">
        <v>900163</v>
      </c>
      <c r="BQ134" s="41">
        <v>92685890</v>
      </c>
      <c r="BR134" s="41">
        <v>0</v>
      </c>
      <c r="BS134" s="42">
        <f>IFERROR(VLOOKUP(A134,'Trans 21-23'!$A$2:$J$229,5,0),0)</f>
        <v>501476807</v>
      </c>
      <c r="BT134" s="43"/>
      <c r="BU134" s="6">
        <f t="shared" si="0"/>
        <v>1695996134</v>
      </c>
      <c r="BV134" s="6">
        <f t="shared" si="1"/>
        <v>2441</v>
      </c>
      <c r="BW134" s="6">
        <f t="shared" si="2"/>
        <v>477674</v>
      </c>
      <c r="BX134" s="6">
        <f t="shared" si="3"/>
        <v>30927059</v>
      </c>
      <c r="BY134" s="6">
        <f t="shared" si="4"/>
        <v>31435048</v>
      </c>
      <c r="BZ134" s="6">
        <f t="shared" si="5"/>
        <v>73793450</v>
      </c>
      <c r="CA134" s="6">
        <f t="shared" si="6"/>
        <v>52972026</v>
      </c>
      <c r="CB134" s="6">
        <f t="shared" si="7"/>
        <v>545431</v>
      </c>
      <c r="CC134" s="6">
        <f t="shared" si="8"/>
        <v>10731410</v>
      </c>
      <c r="CD134" s="6">
        <f t="shared" si="69"/>
        <v>1</v>
      </c>
      <c r="CE134" s="44">
        <f t="shared" si="10"/>
        <v>11</v>
      </c>
      <c r="CF134" s="27"/>
      <c r="CG134" s="28">
        <f t="shared" si="11"/>
        <v>694.79563047931185</v>
      </c>
      <c r="CH134" s="28">
        <f t="shared" si="12"/>
        <v>5.1101797460192513</v>
      </c>
      <c r="CI134" s="28">
        <f t="shared" si="13"/>
        <v>64.745116962614674</v>
      </c>
      <c r="CJ134" s="28">
        <f t="shared" si="14"/>
        <v>154.48496254767895</v>
      </c>
      <c r="CK134" s="23">
        <f t="shared" si="15"/>
        <v>5.0825660374545376E-2</v>
      </c>
      <c r="CL134" s="29" t="str">
        <f t="shared" si="16"/>
        <v/>
      </c>
      <c r="CM134" s="29" t="str">
        <f t="shared" si="66"/>
        <v/>
      </c>
      <c r="CN134" s="29" t="str">
        <f t="shared" si="18"/>
        <v/>
      </c>
      <c r="CO134" s="29" t="str">
        <f t="shared" si="19"/>
        <v/>
      </c>
      <c r="CP134" s="29" t="str">
        <f t="shared" si="20"/>
        <v/>
      </c>
      <c r="CQ134" s="29">
        <f t="shared" si="21"/>
        <v>0</v>
      </c>
      <c r="CR134" s="13"/>
      <c r="CS134" s="7" t="str">
        <f>VLOOKUP(A134,'Empresas 21-23'!$A$2:$M$228,13,0)</f>
        <v/>
      </c>
      <c r="CT134" s="30"/>
      <c r="CU134" s="6">
        <f t="shared" si="22"/>
        <v>1882045501</v>
      </c>
      <c r="CV134" s="6">
        <f t="shared" si="23"/>
        <v>73793450</v>
      </c>
      <c r="CW134" s="6">
        <f t="shared" si="24"/>
        <v>254743005</v>
      </c>
      <c r="CX134" s="23">
        <f t="shared" si="70"/>
        <v>0.31188423819586852</v>
      </c>
      <c r="CY134" s="23">
        <f t="shared" si="71"/>
        <v>1.2228723442056099E-2</v>
      </c>
      <c r="CZ134" s="6">
        <f t="shared" si="25"/>
        <v>1961495829.0501513</v>
      </c>
      <c r="DA134" s="6">
        <f t="shared" si="26"/>
        <v>76908631.756943315</v>
      </c>
      <c r="DB134" s="6">
        <f t="shared" si="27"/>
        <v>30927059</v>
      </c>
      <c r="DC134" s="6">
        <f t="shared" si="28"/>
        <v>54973442</v>
      </c>
      <c r="DD134" s="6">
        <f t="shared" si="29"/>
        <v>31435048</v>
      </c>
      <c r="DE134" s="6">
        <f t="shared" si="30"/>
        <v>52972026</v>
      </c>
      <c r="DF134" s="6">
        <f t="shared" si="31"/>
        <v>28230776.538349602</v>
      </c>
      <c r="DG134" s="30"/>
      <c r="DH134" s="32">
        <f>VLOOKUP(A134,'T_med_comp-USA'!$A$7:$Q$233,17,0)</f>
        <v>9.9926136987338321</v>
      </c>
      <c r="DI134" s="6" t="str">
        <f t="shared" si="32"/>
        <v>1_2012</v>
      </c>
      <c r="DJ134" s="32">
        <f>IF(DI134="","",VLOOKUP(DI134,'CPI USA'!$T:$U,2,FALSE))</f>
        <v>229.59399999999999</v>
      </c>
      <c r="DK134" s="32">
        <f>IF(DI134="","",VLOOKUP(DI134,'PPI USA'!$S:$T,2,FALSE))</f>
        <v>175.1</v>
      </c>
      <c r="DL134" s="32">
        <f>IF(DI134="","",VLOOKUP(DI134,'CPI USA'!$T:$V,3,FALSE))</f>
        <v>0.66730871354337351</v>
      </c>
      <c r="DM134" s="32">
        <f>IF(DI134="","",VLOOKUP(DI134,'CPI USA'!$T:$X,5,FALSE))</f>
        <v>0.49513551903851311</v>
      </c>
      <c r="DN134" s="32">
        <f t="shared" si="33"/>
        <v>1.3897894616766442</v>
      </c>
      <c r="DO134" s="32">
        <f t="shared" si="34"/>
        <v>1.4008620811189902</v>
      </c>
      <c r="DP134" s="32">
        <f t="shared" si="35"/>
        <v>0.41110798799200404</v>
      </c>
      <c r="DQ134" s="32">
        <f>IF(DP134="","",DP134*$DO$1/'CPI USA'!$U$508+(1-DP134)*AVERAGE($DO$1,$DQ$1)/AVERAGE('CPI USA'!$U$508,'PPI USA'!$T$514))</f>
        <v>1.1616818828703193</v>
      </c>
      <c r="DR134" s="6">
        <f t="shared" si="36"/>
        <v>8439633</v>
      </c>
      <c r="DS134" s="32">
        <f t="shared" si="37"/>
        <v>0.26847845118607738</v>
      </c>
      <c r="DT134" s="28">
        <f>IF(DS134="","",DS134*$DO$1/'CPI USA'!$U$508+(1-DS134)*AVERAGE($DO$1,$DQ$1)/AVERAGE('CPI USA'!$U$508,'PPI USA'!$T$514))</f>
        <v>1.170112106746084</v>
      </c>
      <c r="DU134" s="6">
        <f t="shared" si="38"/>
        <v>13668359</v>
      </c>
      <c r="DV134" s="6">
        <f t="shared" si="39"/>
        <v>134048.63092185347</v>
      </c>
      <c r="DW134" s="6">
        <f t="shared" si="40"/>
        <v>6164730.079749966</v>
      </c>
      <c r="DX134" s="16">
        <f t="shared" si="41"/>
        <v>0.21836912886103566</v>
      </c>
      <c r="DY134" s="28">
        <f>IF(DX134="","",DX134*$DO$1/'CPI USA'!$U$508+(1-DX134)*AVERAGE($DO$1,$DQ$1)/AVERAGE('CPI USA'!$U$508,'PPI USA'!$T$514))</f>
        <v>1.1730738551673647</v>
      </c>
      <c r="DZ134" s="30"/>
      <c r="EA134" s="45" t="str">
        <f t="shared" si="42"/>
        <v>C001554</v>
      </c>
      <c r="EB134" s="29">
        <f t="shared" si="43"/>
        <v>2726066232.3365927</v>
      </c>
      <c r="EC134" s="29">
        <f t="shared" si="44"/>
        <v>107738385.93904568</v>
      </c>
      <c r="ED134" s="29">
        <f t="shared" si="45"/>
        <v>63861651.610422291</v>
      </c>
      <c r="EE134" s="29">
        <f t="shared" si="46"/>
        <v>36782530.240944274</v>
      </c>
      <c r="EF134" s="29">
        <f t="shared" si="47"/>
        <v>33116785.868210159</v>
      </c>
      <c r="EG134" s="29">
        <f t="shared" si="48"/>
        <v>2441</v>
      </c>
      <c r="EH134" s="29">
        <f t="shared" si="49"/>
        <v>477674</v>
      </c>
      <c r="EI134" s="29">
        <f t="shared" si="50"/>
        <v>545431</v>
      </c>
      <c r="EJ134" s="29">
        <f t="shared" si="51"/>
        <v>10731410</v>
      </c>
      <c r="EK134" s="29">
        <f t="shared" si="52"/>
        <v>11226798.137055837</v>
      </c>
      <c r="EL134" s="29">
        <f>IF(CD134=1,VLOOKUP(EA134,'EIA 2021'!$A$2:$J$213,4,0)*EH134,"")</f>
        <v>19312359.82</v>
      </c>
      <c r="EM134" s="29">
        <f>IF(CD134=1,VLOOKUP(EA134,'EIA 2021'!$A$2:$J$213,7,0)*EH134,"")</f>
        <v>374496.41600000003</v>
      </c>
      <c r="EN134" s="29">
        <f>IF(CD134=1,VLOOKUP(EA134,'EIA 2021'!$A$2:$J$213,10,0),"")</f>
        <v>477672</v>
      </c>
      <c r="EO134" s="28">
        <f>IF(CD134=1,VLOOKUP(EA134,'EIA 2021'!$A$2:$Z$213,26,0),"")</f>
        <v>0</v>
      </c>
      <c r="EP134" s="23">
        <f t="shared" si="53"/>
        <v>4.4125504975521923E-2</v>
      </c>
      <c r="EQ134" s="32">
        <f t="shared" si="54"/>
        <v>50042.862944162451</v>
      </c>
      <c r="ER134" s="32">
        <f t="shared" si="55"/>
        <v>495388.13705583755</v>
      </c>
      <c r="ES134" s="6"/>
      <c r="ET134" s="32"/>
    </row>
    <row r="135" spans="1:150" ht="15.75" customHeight="1">
      <c r="A135" s="7" t="s">
        <v>607</v>
      </c>
      <c r="B135" s="7" t="s">
        <v>608</v>
      </c>
      <c r="C135" s="32" t="s">
        <v>609</v>
      </c>
      <c r="D135" s="40">
        <v>161281215</v>
      </c>
      <c r="E135" s="40">
        <v>0</v>
      </c>
      <c r="F135" s="40">
        <v>308441609</v>
      </c>
      <c r="G135" s="40">
        <v>26489992</v>
      </c>
      <c r="H135" s="40">
        <v>30878078</v>
      </c>
      <c r="I135" s="40">
        <v>3729546</v>
      </c>
      <c r="J135" s="40">
        <v>101350</v>
      </c>
      <c r="K135" s="40">
        <v>954606</v>
      </c>
      <c r="L135" s="40">
        <v>1456126</v>
      </c>
      <c r="M135" s="40">
        <v>1133589</v>
      </c>
      <c r="N135" s="40">
        <v>20295</v>
      </c>
      <c r="O135" s="40">
        <v>10573944</v>
      </c>
      <c r="P135" s="40">
        <v>47775</v>
      </c>
      <c r="Q135" s="40">
        <v>2060730</v>
      </c>
      <c r="R135" s="40">
        <v>298856</v>
      </c>
      <c r="S135" s="40">
        <v>1555986</v>
      </c>
      <c r="T135" s="40">
        <v>19938451</v>
      </c>
      <c r="U135" s="40">
        <v>1157032</v>
      </c>
      <c r="V135" s="40">
        <v>459723</v>
      </c>
      <c r="W135" s="40">
        <v>466853</v>
      </c>
      <c r="X135" s="40">
        <f>IFERROR(VLOOKUP(A135,'Trans 21-23'!$A$2:$J$229,6,0),0)</f>
        <v>2943031</v>
      </c>
      <c r="Y135" s="41">
        <v>3630344</v>
      </c>
      <c r="Z135" s="41">
        <v>398773</v>
      </c>
      <c r="AA135" s="41">
        <v>10348526</v>
      </c>
      <c r="AB135" s="41">
        <v>5219332</v>
      </c>
      <c r="AC135" s="41">
        <v>4000163</v>
      </c>
      <c r="AD135" s="41">
        <v>65927867</v>
      </c>
      <c r="AE135" s="41">
        <v>0</v>
      </c>
      <c r="AF135" s="41">
        <v>768729772</v>
      </c>
      <c r="AG135" s="41">
        <v>190741</v>
      </c>
      <c r="AH135" s="41">
        <v>560601</v>
      </c>
      <c r="AI135" s="41">
        <v>18190242</v>
      </c>
      <c r="AJ135" s="41">
        <v>22360</v>
      </c>
      <c r="AK135" s="41">
        <v>0</v>
      </c>
      <c r="AL135" s="41">
        <v>2046922</v>
      </c>
      <c r="AM135" s="41">
        <v>2558752</v>
      </c>
      <c r="AN135" s="41">
        <v>4614726</v>
      </c>
      <c r="AO135" s="41">
        <v>33979</v>
      </c>
      <c r="AP135" s="41">
        <v>0</v>
      </c>
      <c r="AQ135" s="41">
        <v>9254379</v>
      </c>
      <c r="AR135" s="41">
        <v>8352902</v>
      </c>
      <c r="AS135" s="41">
        <v>17607281</v>
      </c>
      <c r="AT135" s="41">
        <v>0</v>
      </c>
      <c r="AU135" s="41">
        <v>2537</v>
      </c>
      <c r="AV135" s="41">
        <v>0</v>
      </c>
      <c r="AW135" s="41">
        <v>179718288</v>
      </c>
      <c r="AX135" s="41">
        <v>541193</v>
      </c>
      <c r="AY135" s="41">
        <v>96676534</v>
      </c>
      <c r="AZ135" s="41">
        <v>47661628</v>
      </c>
      <c r="BA135" s="41">
        <v>72290042</v>
      </c>
      <c r="BB135" s="41">
        <v>1155190728</v>
      </c>
      <c r="BC135" s="41">
        <v>4962249821</v>
      </c>
      <c r="BD135" s="41">
        <v>210182041</v>
      </c>
      <c r="BE135" s="41">
        <v>449337631</v>
      </c>
      <c r="BF135" s="41">
        <v>41590358</v>
      </c>
      <c r="BG135" s="41">
        <v>0</v>
      </c>
      <c r="BH135" s="41">
        <v>15991770</v>
      </c>
      <c r="BI135" s="41">
        <v>5137236</v>
      </c>
      <c r="BJ135" s="41">
        <v>3141803</v>
      </c>
      <c r="BK135" s="41">
        <v>2585248</v>
      </c>
      <c r="BL135" s="41">
        <v>0</v>
      </c>
      <c r="BM135" s="41">
        <v>17981549</v>
      </c>
      <c r="BN135" s="41">
        <v>88184462</v>
      </c>
      <c r="BO135" s="41">
        <v>2791713</v>
      </c>
      <c r="BP135" s="41">
        <v>5125123</v>
      </c>
      <c r="BQ135" s="41">
        <v>122160237</v>
      </c>
      <c r="BR135" s="41">
        <v>0</v>
      </c>
      <c r="BS135" s="42">
        <f>IFERROR(VLOOKUP(A135,'Trans 21-23'!$A$2:$J$229,5,0),0)</f>
        <v>334145123</v>
      </c>
      <c r="BT135" s="43"/>
      <c r="BU135" s="6">
        <f t="shared" si="0"/>
        <v>1155190728</v>
      </c>
      <c r="BV135" s="6">
        <f t="shared" si="1"/>
        <v>2537</v>
      </c>
      <c r="BW135" s="6">
        <f t="shared" si="2"/>
        <v>190741</v>
      </c>
      <c r="BX135" s="6">
        <f t="shared" si="3"/>
        <v>43954862</v>
      </c>
      <c r="BY135" s="6">
        <f t="shared" si="4"/>
        <v>23597138</v>
      </c>
      <c r="BZ135" s="6">
        <f t="shared" si="5"/>
        <v>47661628</v>
      </c>
      <c r="CA135" s="6">
        <f t="shared" si="6"/>
        <v>65927867</v>
      </c>
      <c r="CB135" s="6">
        <f t="shared" si="7"/>
        <v>560601</v>
      </c>
      <c r="CC135" s="6">
        <f t="shared" si="8"/>
        <v>9254379</v>
      </c>
      <c r="CD135" s="6">
        <f t="shared" si="69"/>
        <v>1</v>
      </c>
      <c r="CE135" s="44">
        <f t="shared" si="10"/>
        <v>9</v>
      </c>
      <c r="CF135" s="27"/>
      <c r="CG135" s="28">
        <f t="shared" si="11"/>
        <v>455.33729917225065</v>
      </c>
      <c r="CH135" s="28">
        <f t="shared" si="12"/>
        <v>13.300758620328089</v>
      </c>
      <c r="CI135" s="28">
        <f t="shared" si="13"/>
        <v>230.44265260221977</v>
      </c>
      <c r="CJ135" s="28">
        <f t="shared" si="14"/>
        <v>249.87615667318511</v>
      </c>
      <c r="CK135" s="23">
        <f t="shared" si="15"/>
        <v>6.0576836111855804E-2</v>
      </c>
      <c r="CL135" s="29" t="str">
        <f t="shared" si="16"/>
        <v/>
      </c>
      <c r="CM135" s="29" t="str">
        <f t="shared" si="66"/>
        <v/>
      </c>
      <c r="CN135" s="29" t="str">
        <f t="shared" si="18"/>
        <v/>
      </c>
      <c r="CO135" s="29" t="str">
        <f t="shared" si="19"/>
        <v/>
      </c>
      <c r="CP135" s="29" t="str">
        <f t="shared" si="20"/>
        <v/>
      </c>
      <c r="CQ135" s="29">
        <f t="shared" si="21"/>
        <v>0</v>
      </c>
      <c r="CR135" s="13"/>
      <c r="CS135" s="7">
        <f>VLOOKUP(A135,'Empresas 21-23'!$A$2:$M$228,13,0)</f>
        <v>1</v>
      </c>
      <c r="CT135" s="30"/>
      <c r="CU135" s="6">
        <f t="shared" si="22"/>
        <v>1311053544.8</v>
      </c>
      <c r="CV135" s="6">
        <f t="shared" si="23"/>
        <v>47661628</v>
      </c>
      <c r="CW135" s="6">
        <f t="shared" si="24"/>
        <v>210182041</v>
      </c>
      <c r="CX135" s="23">
        <f t="shared" si="70"/>
        <v>0.27589117106406252</v>
      </c>
      <c r="CY135" s="23">
        <f t="shared" si="71"/>
        <v>1.0029660814307661E-2</v>
      </c>
      <c r="CZ135" s="6">
        <f t="shared" si="25"/>
        <v>1369040914.2281249</v>
      </c>
      <c r="DA135" s="6">
        <f t="shared" si="26"/>
        <v>49769682.580488905</v>
      </c>
      <c r="DB135" s="6">
        <f t="shared" si="27"/>
        <v>43954862</v>
      </c>
      <c r="DC135" s="6">
        <f t="shared" si="28"/>
        <v>46897893</v>
      </c>
      <c r="DD135" s="6">
        <f t="shared" si="29"/>
        <v>23597138</v>
      </c>
      <c r="DE135" s="6">
        <f t="shared" si="30"/>
        <v>65927867</v>
      </c>
      <c r="DF135" s="6">
        <f t="shared" si="31"/>
        <v>22984985.034564231</v>
      </c>
      <c r="DG135" s="30"/>
      <c r="DH135" s="32">
        <f>VLOOKUP(A135,'T_med_comp-USA'!$A$7:$Q$233,17,0)</f>
        <v>10.589602858026625</v>
      </c>
      <c r="DI135" s="6" t="str">
        <f t="shared" si="32"/>
        <v>6_2011</v>
      </c>
      <c r="DJ135" s="32">
        <f>IF(DI135="","",VLOOKUP(DI135,'CPI USA'!$T:$U,2,FALSE))</f>
        <v>224.93899999999999</v>
      </c>
      <c r="DK135" s="32">
        <f>IF(DI135="","",VLOOKUP(DI135,'PPI USA'!$S:$T,2,FALSE))</f>
        <v>169.6</v>
      </c>
      <c r="DL135" s="32">
        <f>IF(DI135="","",VLOOKUP(DI135,'CPI USA'!$T:$V,3,FALSE))</f>
        <v>0.6684022975047168</v>
      </c>
      <c r="DM135" s="32">
        <f>IF(DI135="","",VLOOKUP(DI135,'CPI USA'!$T:$X,5,FALSE))</f>
        <v>0.49636791791307899</v>
      </c>
      <c r="DN135" s="32">
        <f t="shared" si="33"/>
        <v>1.4208751760332547</v>
      </c>
      <c r="DO135" s="32">
        <f t="shared" si="34"/>
        <v>1.4334111417560953</v>
      </c>
      <c r="DP135" s="32">
        <f t="shared" si="35"/>
        <v>0.37534031815971297</v>
      </c>
      <c r="DQ135" s="32">
        <f>IF(DP135="","",DP135*$DO$1/'CPI USA'!$U$508+(1-DP135)*AVERAGE($DO$1,$DQ$1)/AVERAGE('CPI USA'!$U$508,'PPI USA'!$T$514))</f>
        <v>1.1637959573527383</v>
      </c>
      <c r="DR135" s="6">
        <f t="shared" si="36"/>
        <v>10864287</v>
      </c>
      <c r="DS135" s="32">
        <f t="shared" si="37"/>
        <v>0.47498238201032567</v>
      </c>
      <c r="DT135" s="28">
        <f>IF(DS135="","",DS135*$DO$1/'CPI USA'!$U$508+(1-DS135)*AVERAGE($DO$1,$DQ$1)/AVERAGE('CPI USA'!$U$508,'PPI USA'!$T$514))</f>
        <v>1.1579065397432087</v>
      </c>
      <c r="DU135" s="6">
        <f t="shared" si="38"/>
        <v>18550802.618663989</v>
      </c>
      <c r="DV135" s="6">
        <f t="shared" si="39"/>
        <v>787435.90026773512</v>
      </c>
      <c r="DW135" s="6">
        <f t="shared" si="40"/>
        <v>5889346.3107369859</v>
      </c>
      <c r="DX135" s="16">
        <f t="shared" si="41"/>
        <v>0.25622580575452791</v>
      </c>
      <c r="DY135" s="28">
        <f>IF(DX135="","",DX135*$DO$1/'CPI USA'!$U$508+(1-DX135)*AVERAGE($DO$1,$DQ$1)/AVERAGE('CPI USA'!$U$508,'PPI USA'!$T$514))</f>
        <v>1.170836308383217</v>
      </c>
      <c r="DZ135" s="30"/>
      <c r="EA135" s="45" t="str">
        <f t="shared" si="42"/>
        <v>C001555</v>
      </c>
      <c r="EB135" s="29">
        <f t="shared" si="43"/>
        <v>1945236250.0006149</v>
      </c>
      <c r="EC135" s="29">
        <f t="shared" si="44"/>
        <v>71340417.532537043</v>
      </c>
      <c r="ED135" s="29">
        <f t="shared" si="45"/>
        <v>54579578.281761289</v>
      </c>
      <c r="EE135" s="29">
        <f t="shared" si="46"/>
        <v>27323280.409422979</v>
      </c>
      <c r="EF135" s="29">
        <f t="shared" si="47"/>
        <v>26911655.026112672</v>
      </c>
      <c r="EG135" s="29">
        <f t="shared" si="48"/>
        <v>2537</v>
      </c>
      <c r="EH135" s="29">
        <f t="shared" si="49"/>
        <v>190741</v>
      </c>
      <c r="EI135" s="29">
        <f t="shared" si="50"/>
        <v>560601</v>
      </c>
      <c r="EJ135" s="29">
        <f t="shared" si="51"/>
        <v>9254379</v>
      </c>
      <c r="EK135" s="29">
        <f t="shared" si="52"/>
        <v>9687778.4467005078</v>
      </c>
      <c r="EL135" s="29">
        <f>IF(CD135=1,VLOOKUP(EA135,'EIA 2021'!$A$2:$J$213,4,0)*EH135,"")</f>
        <v>15602613.799999999</v>
      </c>
      <c r="EM135" s="29">
        <f>IF(CD135=1,VLOOKUP(EA135,'EIA 2021'!$A$2:$J$213,7,0)*EH135,"")</f>
        <v>314722.64999999997</v>
      </c>
      <c r="EN135" s="29">
        <f>IF(CD135=1,VLOOKUP(EA135,'EIA 2021'!$A$2:$J$213,10,0),"")</f>
        <v>190734</v>
      </c>
      <c r="EO135" s="28">
        <f>IF(CD135=1,VLOOKUP(EA135,'EIA 2021'!$A$2:$Z$213,26,0),"")</f>
        <v>0</v>
      </c>
      <c r="EP135" s="23">
        <f t="shared" si="53"/>
        <v>4.473672153889071E-2</v>
      </c>
      <c r="EQ135" s="32">
        <f t="shared" si="54"/>
        <v>127201.55329949223</v>
      </c>
      <c r="ER135" s="32">
        <f t="shared" si="55"/>
        <v>433399.44670050777</v>
      </c>
      <c r="ES135" s="6"/>
      <c r="ET135" s="32"/>
    </row>
    <row r="136" spans="1:150" ht="15.75" customHeight="1">
      <c r="A136" s="7" t="s">
        <v>610</v>
      </c>
      <c r="B136" s="7" t="s">
        <v>611</v>
      </c>
      <c r="C136" s="32" t="s">
        <v>612</v>
      </c>
      <c r="D136" s="40">
        <v>54180320</v>
      </c>
      <c r="E136" s="40">
        <v>0</v>
      </c>
      <c r="F136" s="40">
        <v>42493</v>
      </c>
      <c r="G136" s="40">
        <v>0</v>
      </c>
      <c r="H136" s="40">
        <v>0</v>
      </c>
      <c r="I136" s="40">
        <v>0</v>
      </c>
      <c r="J136" s="40">
        <v>0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f>IFERROR(VLOOKUP(A136,'Trans 21-23'!$A$2:$J$229,6,0),0)</f>
        <v>0</v>
      </c>
      <c r="Y136" s="41">
        <v>0</v>
      </c>
      <c r="Z136" s="41">
        <v>0</v>
      </c>
      <c r="AA136" s="41">
        <v>0</v>
      </c>
      <c r="AB136" s="41">
        <v>0</v>
      </c>
      <c r="AC136" s="41">
        <v>0</v>
      </c>
      <c r="AD136" s="41">
        <v>5623707</v>
      </c>
      <c r="AE136" s="41">
        <v>0</v>
      </c>
      <c r="AF136" s="41">
        <v>112688610</v>
      </c>
      <c r="AG136" s="41">
        <v>0</v>
      </c>
      <c r="AH136" s="41">
        <v>0</v>
      </c>
      <c r="AI136" s="41">
        <v>911064</v>
      </c>
      <c r="AJ136" s="41">
        <v>0</v>
      </c>
      <c r="AK136" s="41">
        <v>0</v>
      </c>
      <c r="AL136" s="41">
        <v>0</v>
      </c>
      <c r="AM136" s="41">
        <v>0</v>
      </c>
      <c r="AN136" s="41">
        <v>0</v>
      </c>
      <c r="AO136" s="41">
        <v>0</v>
      </c>
      <c r="AP136" s="41">
        <v>0</v>
      </c>
      <c r="AQ136" s="41">
        <v>0</v>
      </c>
      <c r="AR136" s="41">
        <v>911064</v>
      </c>
      <c r="AS136" s="41">
        <v>911064</v>
      </c>
      <c r="AT136" s="41">
        <v>0</v>
      </c>
      <c r="AU136" s="41">
        <v>997</v>
      </c>
      <c r="AV136" s="41">
        <v>0</v>
      </c>
      <c r="AW136" s="41">
        <v>0</v>
      </c>
      <c r="AX136" s="41">
        <v>0</v>
      </c>
      <c r="AY136" s="41">
        <v>0</v>
      </c>
      <c r="AZ136" s="41">
        <v>0</v>
      </c>
      <c r="BA136" s="41">
        <v>0</v>
      </c>
      <c r="BB136" s="41">
        <v>0</v>
      </c>
      <c r="BC136" s="41">
        <v>853982864</v>
      </c>
      <c r="BD136" s="41">
        <v>23648397</v>
      </c>
      <c r="BE136" s="41">
        <v>0</v>
      </c>
      <c r="BF136" s="41">
        <v>0</v>
      </c>
      <c r="BG136" s="41">
        <v>0</v>
      </c>
      <c r="BH136" s="41">
        <v>0</v>
      </c>
      <c r="BI136" s="41">
        <v>0</v>
      </c>
      <c r="BJ136" s="41">
        <v>0</v>
      </c>
      <c r="BK136" s="41">
        <v>0</v>
      </c>
      <c r="BL136" s="41">
        <v>0</v>
      </c>
      <c r="BM136" s="41">
        <v>0</v>
      </c>
      <c r="BN136" s="41">
        <v>0</v>
      </c>
      <c r="BO136" s="41">
        <v>0</v>
      </c>
      <c r="BP136" s="41">
        <v>0</v>
      </c>
      <c r="BQ136" s="41">
        <v>0</v>
      </c>
      <c r="BR136" s="41">
        <v>0</v>
      </c>
      <c r="BS136" s="42">
        <f>IFERROR(VLOOKUP(A136,'Trans 21-23'!$A$2:$J$229,5,0),0)</f>
        <v>0</v>
      </c>
      <c r="BT136" s="43"/>
      <c r="BU136" s="6">
        <f t="shared" si="0"/>
        <v>0</v>
      </c>
      <c r="BV136" s="6">
        <f t="shared" si="1"/>
        <v>997</v>
      </c>
      <c r="BW136" s="6">
        <f t="shared" si="2"/>
        <v>0</v>
      </c>
      <c r="BX136" s="6">
        <f t="shared" si="3"/>
        <v>0</v>
      </c>
      <c r="BY136" s="6">
        <f t="shared" si="4"/>
        <v>0</v>
      </c>
      <c r="BZ136" s="6">
        <f t="shared" si="5"/>
        <v>0</v>
      </c>
      <c r="CA136" s="6">
        <f t="shared" si="6"/>
        <v>5623707</v>
      </c>
      <c r="CB136" s="6">
        <f t="shared" si="7"/>
        <v>0</v>
      </c>
      <c r="CC136" s="6">
        <f t="shared" si="8"/>
        <v>0</v>
      </c>
      <c r="CD136" s="6">
        <f t="shared" si="69"/>
        <v>0</v>
      </c>
      <c r="CE136" s="44">
        <f t="shared" si="10"/>
        <v>58</v>
      </c>
      <c r="CF136" s="27"/>
      <c r="CG136" s="28" t="str">
        <f t="shared" si="11"/>
        <v/>
      </c>
      <c r="CH136" s="28" t="str">
        <f t="shared" si="12"/>
        <v/>
      </c>
      <c r="CI136" s="28" t="str">
        <f t="shared" si="13"/>
        <v/>
      </c>
      <c r="CJ136" s="28" t="str">
        <f t="shared" si="14"/>
        <v/>
      </c>
      <c r="CK136" s="23" t="str">
        <f t="shared" si="15"/>
        <v/>
      </c>
      <c r="CL136" s="29" t="str">
        <f t="shared" si="16"/>
        <v/>
      </c>
      <c r="CM136" s="29" t="str">
        <f t="shared" si="66"/>
        <v/>
      </c>
      <c r="CN136" s="29" t="str">
        <f t="shared" si="18"/>
        <v/>
      </c>
      <c r="CO136" s="29" t="str">
        <f t="shared" si="19"/>
        <v/>
      </c>
      <c r="CP136" s="29" t="str">
        <f t="shared" si="20"/>
        <v/>
      </c>
      <c r="CQ136" s="29">
        <f t="shared" si="21"/>
        <v>0</v>
      </c>
      <c r="CR136" s="13"/>
      <c r="CS136" s="7" t="str">
        <f>VLOOKUP(A136,'Empresas 21-23'!$A$2:$M$228,13,0)</f>
        <v/>
      </c>
      <c r="CT136" s="30"/>
      <c r="CU136" s="6">
        <f t="shared" si="22"/>
        <v>0</v>
      </c>
      <c r="CV136" s="6">
        <f t="shared" si="23"/>
        <v>0</v>
      </c>
      <c r="CW136" s="6">
        <f t="shared" si="24"/>
        <v>23648397</v>
      </c>
      <c r="CX136" s="23">
        <f t="shared" si="70"/>
        <v>0</v>
      </c>
      <c r="CY136" s="23">
        <f t="shared" si="71"/>
        <v>0</v>
      </c>
      <c r="CZ136" s="6">
        <f t="shared" si="25"/>
        <v>0</v>
      </c>
      <c r="DA136" s="6">
        <f t="shared" si="26"/>
        <v>0</v>
      </c>
      <c r="DB136" s="6">
        <f t="shared" si="27"/>
        <v>0</v>
      </c>
      <c r="DC136" s="6">
        <f t="shared" si="28"/>
        <v>0</v>
      </c>
      <c r="DD136" s="6">
        <f t="shared" si="29"/>
        <v>0</v>
      </c>
      <c r="DE136" s="6">
        <f t="shared" si="30"/>
        <v>5623707</v>
      </c>
      <c r="DF136" s="6">
        <f t="shared" si="31"/>
        <v>0</v>
      </c>
      <c r="DG136" s="30"/>
      <c r="DH136" s="32" t="str">
        <f>VLOOKUP(A136,'T_med_comp-USA'!$A$7:$Q$233,17,0)</f>
        <v>-</v>
      </c>
      <c r="DI136" s="6" t="str">
        <f t="shared" si="32"/>
        <v/>
      </c>
      <c r="DJ136" s="32" t="str">
        <f>IF(DI136="","",VLOOKUP(DI136,'CPI USA'!$T:$U,2,FALSE))</f>
        <v/>
      </c>
      <c r="DK136" s="32" t="str">
        <f>IF(DI136="","",VLOOKUP(DI136,'PPI USA'!$S:$T,2,FALSE))</f>
        <v/>
      </c>
      <c r="DL136" s="32" t="str">
        <f>IF(DI136="","",VLOOKUP(DI136,'CPI USA'!$T:$V,3,FALSE))</f>
        <v/>
      </c>
      <c r="DM136" s="32" t="str">
        <f>IF(DI136="","",VLOOKUP(DI136,'CPI USA'!$T:$X,5,FALSE))</f>
        <v/>
      </c>
      <c r="DN136" s="32" t="str">
        <f t="shared" si="33"/>
        <v/>
      </c>
      <c r="DO136" s="32" t="str">
        <f t="shared" si="34"/>
        <v/>
      </c>
      <c r="DP136" s="32" t="str">
        <f t="shared" si="35"/>
        <v/>
      </c>
      <c r="DQ136" s="32" t="str">
        <f>IF(DP136="","",DP136*$DO$1/'CPI USA'!$U$508+(1-DP136)*AVERAGE($DO$1,$DQ$1)/AVERAGE('CPI USA'!$U$508,'PPI USA'!$T$514))</f>
        <v/>
      </c>
      <c r="DR136" s="6">
        <f t="shared" si="36"/>
        <v>0</v>
      </c>
      <c r="DS136" s="32" t="str">
        <f t="shared" si="37"/>
        <v/>
      </c>
      <c r="DT136" s="28" t="str">
        <f>IF(DS136="","",DS136*$DO$1/'CPI USA'!$U$508+(1-DS136)*AVERAGE($DO$1,$DQ$1)/AVERAGE('CPI USA'!$U$508,'PPI USA'!$T$514))</f>
        <v/>
      </c>
      <c r="DU136" s="6" t="str">
        <f t="shared" si="38"/>
        <v/>
      </c>
      <c r="DV136" s="6" t="str">
        <f t="shared" si="39"/>
        <v/>
      </c>
      <c r="DW136" s="6">
        <f t="shared" si="40"/>
        <v>0</v>
      </c>
      <c r="DX136" s="16" t="str">
        <f t="shared" si="41"/>
        <v/>
      </c>
      <c r="DY136" s="28" t="str">
        <f>IF(DX136="","",DX136*$DO$1/'CPI USA'!$U$508+(1-DX136)*AVERAGE($DO$1,$DQ$1)/AVERAGE('CPI USA'!$U$508,'PPI USA'!$T$514))</f>
        <v/>
      </c>
      <c r="DZ136" s="30"/>
      <c r="EA136" s="45" t="str">
        <f t="shared" si="42"/>
        <v>C001559</v>
      </c>
      <c r="EB136" s="29" t="str">
        <f t="shared" si="43"/>
        <v/>
      </c>
      <c r="EC136" s="29" t="str">
        <f t="shared" si="44"/>
        <v/>
      </c>
      <c r="ED136" s="29" t="str">
        <f t="shared" si="45"/>
        <v/>
      </c>
      <c r="EE136" s="29" t="str">
        <f t="shared" si="46"/>
        <v/>
      </c>
      <c r="EF136" s="29" t="str">
        <f t="shared" si="47"/>
        <v/>
      </c>
      <c r="EG136" s="29" t="str">
        <f t="shared" si="48"/>
        <v/>
      </c>
      <c r="EH136" s="29" t="str">
        <f t="shared" si="49"/>
        <v/>
      </c>
      <c r="EI136" s="29" t="str">
        <f t="shared" si="50"/>
        <v/>
      </c>
      <c r="EJ136" s="29" t="str">
        <f t="shared" si="51"/>
        <v/>
      </c>
      <c r="EK136" s="29" t="str">
        <f t="shared" si="52"/>
        <v/>
      </c>
      <c r="EL136" s="29" t="str">
        <f>IF(CD136=1,VLOOKUP(EA136,'EIA 2021'!$A$2:$J$213,4,0)*EH136,"")</f>
        <v/>
      </c>
      <c r="EM136" s="29" t="str">
        <f>IF(CD136=1,VLOOKUP(EA136,'EIA 2021'!$A$2:$J$213,7,0)*EH136,"")</f>
        <v/>
      </c>
      <c r="EN136" s="29" t="str">
        <f>IF(CD136=1,VLOOKUP(EA136,'EIA 2021'!$A$2:$J$213,10,0),"")</f>
        <v/>
      </c>
      <c r="EO136" s="28" t="str">
        <f>IF(CD136=1,VLOOKUP(EA136,'EIA 2021'!$A$2:$Z$213,26,0),"")</f>
        <v/>
      </c>
      <c r="EP136" s="23" t="str">
        <f t="shared" si="53"/>
        <v/>
      </c>
      <c r="EQ136" s="32" t="str">
        <f t="shared" si="54"/>
        <v/>
      </c>
      <c r="ER136" s="32" t="str">
        <f t="shared" si="55"/>
        <v/>
      </c>
      <c r="ES136" s="6"/>
      <c r="ET136" s="32"/>
    </row>
    <row r="137" spans="1:150" ht="15.75" customHeight="1">
      <c r="A137" s="7" t="s">
        <v>613</v>
      </c>
      <c r="B137" s="7" t="s">
        <v>614</v>
      </c>
      <c r="C137" s="32" t="s">
        <v>615</v>
      </c>
      <c r="D137" s="40">
        <v>0</v>
      </c>
      <c r="E137" s="40">
        <v>0</v>
      </c>
      <c r="F137" s="40">
        <v>0</v>
      </c>
      <c r="G137" s="40">
        <v>299022010</v>
      </c>
      <c r="H137" s="40">
        <v>306357791</v>
      </c>
      <c r="I137" s="40">
        <v>8422370</v>
      </c>
      <c r="J137" s="40">
        <v>6397359</v>
      </c>
      <c r="K137" s="40">
        <v>0</v>
      </c>
      <c r="L137" s="40">
        <v>7510175</v>
      </c>
      <c r="M137" s="40">
        <v>762894</v>
      </c>
      <c r="N137" s="40">
        <v>223954</v>
      </c>
      <c r="O137" s="40">
        <v>42812438</v>
      </c>
      <c r="P137" s="40">
        <v>1731892</v>
      </c>
      <c r="Q137" s="40">
        <v>2040244</v>
      </c>
      <c r="R137" s="40">
        <v>47887</v>
      </c>
      <c r="S137" s="40">
        <v>1453845</v>
      </c>
      <c r="T137" s="40">
        <v>37232895</v>
      </c>
      <c r="U137" s="40">
        <v>348574</v>
      </c>
      <c r="V137" s="40">
        <v>0</v>
      </c>
      <c r="W137" s="40">
        <v>3857078</v>
      </c>
      <c r="X137" s="40">
        <f>IFERROR(VLOOKUP(A137,'Trans 21-23'!$A$2:$J$229,6,0),0)</f>
        <v>2399376</v>
      </c>
      <c r="Y137" s="41">
        <v>2795842</v>
      </c>
      <c r="Z137" s="41">
        <v>0</v>
      </c>
      <c r="AA137" s="41">
        <v>63044198</v>
      </c>
      <c r="AB137" s="41">
        <v>48864689</v>
      </c>
      <c r="AC137" s="41">
        <v>812483</v>
      </c>
      <c r="AD137" s="41">
        <v>22707583</v>
      </c>
      <c r="AE137" s="41">
        <v>0</v>
      </c>
      <c r="AF137" s="41">
        <v>594890999</v>
      </c>
      <c r="AG137" s="41">
        <v>342161</v>
      </c>
      <c r="AH137" s="41">
        <v>89937</v>
      </c>
      <c r="AI137" s="41">
        <v>5032802</v>
      </c>
      <c r="AJ137" s="41">
        <v>0</v>
      </c>
      <c r="AK137" s="41">
        <v>0</v>
      </c>
      <c r="AL137" s="41">
        <v>2184812</v>
      </c>
      <c r="AM137" s="41">
        <v>2334424</v>
      </c>
      <c r="AN137" s="41">
        <v>397393</v>
      </c>
      <c r="AO137" s="41">
        <v>26236</v>
      </c>
      <c r="AP137" s="41">
        <v>0</v>
      </c>
      <c r="AQ137" s="41">
        <v>4942865</v>
      </c>
      <c r="AR137" s="41">
        <v>0</v>
      </c>
      <c r="AS137" s="41">
        <v>4942865</v>
      </c>
      <c r="AT137" s="41">
        <v>0</v>
      </c>
      <c r="AU137" s="41">
        <v>1234</v>
      </c>
      <c r="AV137" s="41">
        <v>0</v>
      </c>
      <c r="AW137" s="41">
        <v>316609801</v>
      </c>
      <c r="AX137" s="41">
        <v>236246370</v>
      </c>
      <c r="AY137" s="41">
        <v>256151074</v>
      </c>
      <c r="AZ137" s="41">
        <v>89796114</v>
      </c>
      <c r="BA137" s="41">
        <v>64580046</v>
      </c>
      <c r="BB137" s="41">
        <v>1769394249</v>
      </c>
      <c r="BC137" s="41">
        <v>3462064058</v>
      </c>
      <c r="BD137" s="41">
        <v>330979833</v>
      </c>
      <c r="BE137" s="41">
        <v>491346698</v>
      </c>
      <c r="BF137" s="41">
        <v>53812637</v>
      </c>
      <c r="BG137" s="41">
        <v>0</v>
      </c>
      <c r="BH137" s="41">
        <v>55021879</v>
      </c>
      <c r="BI137" s="41">
        <v>0</v>
      </c>
      <c r="BJ137" s="41">
        <v>0</v>
      </c>
      <c r="BK137" s="41">
        <v>0</v>
      </c>
      <c r="BL137" s="41">
        <v>0</v>
      </c>
      <c r="BM137" s="41">
        <v>7121721</v>
      </c>
      <c r="BN137" s="41">
        <v>73994093</v>
      </c>
      <c r="BO137" s="41">
        <v>0</v>
      </c>
      <c r="BP137" s="41">
        <v>702394</v>
      </c>
      <c r="BQ137" s="41">
        <v>105525332</v>
      </c>
      <c r="BR137" s="41">
        <v>0</v>
      </c>
      <c r="BS137" s="42">
        <f>IFERROR(VLOOKUP(A137,'Trans 21-23'!$A$2:$J$229,5,0),0)</f>
        <v>152877726</v>
      </c>
      <c r="BT137" s="43"/>
      <c r="BU137" s="6">
        <f t="shared" si="0"/>
        <v>1769394249</v>
      </c>
      <c r="BV137" s="6">
        <f t="shared" si="1"/>
        <v>1234</v>
      </c>
      <c r="BW137" s="6">
        <f t="shared" si="2"/>
        <v>342161</v>
      </c>
      <c r="BX137" s="6">
        <f t="shared" si="3"/>
        <v>112841605</v>
      </c>
      <c r="BY137" s="6">
        <f t="shared" si="4"/>
        <v>115517212</v>
      </c>
      <c r="BZ137" s="6">
        <f t="shared" si="5"/>
        <v>89796114</v>
      </c>
      <c r="CA137" s="6">
        <f t="shared" si="6"/>
        <v>22707583</v>
      </c>
      <c r="CB137" s="6">
        <f t="shared" si="7"/>
        <v>89937</v>
      </c>
      <c r="CC137" s="6">
        <f t="shared" si="8"/>
        <v>4942865</v>
      </c>
      <c r="CD137" s="6">
        <f t="shared" si="69"/>
        <v>1</v>
      </c>
      <c r="CE137" s="44">
        <f t="shared" si="10"/>
        <v>20</v>
      </c>
      <c r="CF137" s="27"/>
      <c r="CG137" s="28">
        <f t="shared" si="11"/>
        <v>1433.8689213938412</v>
      </c>
      <c r="CH137" s="28">
        <f t="shared" si="12"/>
        <v>3.6064893427363143</v>
      </c>
      <c r="CI137" s="28">
        <f t="shared" si="13"/>
        <v>329.79096098035723</v>
      </c>
      <c r="CJ137" s="28">
        <f t="shared" si="14"/>
        <v>262.43819137774324</v>
      </c>
      <c r="CK137" s="23">
        <f t="shared" si="15"/>
        <v>1.819531789761606E-2</v>
      </c>
      <c r="CL137" s="29" t="str">
        <f t="shared" si="16"/>
        <v/>
      </c>
      <c r="CM137" s="29" t="str">
        <f t="shared" si="66"/>
        <v/>
      </c>
      <c r="CN137" s="29" t="str">
        <f t="shared" si="18"/>
        <v/>
      </c>
      <c r="CO137" s="29" t="str">
        <f t="shared" si="19"/>
        <v/>
      </c>
      <c r="CP137" s="29" t="str">
        <f t="shared" si="20"/>
        <v/>
      </c>
      <c r="CQ137" s="29">
        <f t="shared" si="21"/>
        <v>0</v>
      </c>
      <c r="CR137" s="13"/>
      <c r="CS137" s="7">
        <f>VLOOKUP(A137,'Empresas 21-23'!$A$2:$M$228,13,0)</f>
        <v>1</v>
      </c>
      <c r="CT137" s="30"/>
      <c r="CU137" s="6">
        <f t="shared" si="22"/>
        <v>1472457348.5999999</v>
      </c>
      <c r="CV137" s="6">
        <f t="shared" si="23"/>
        <v>89796114</v>
      </c>
      <c r="CW137" s="6">
        <f t="shared" si="24"/>
        <v>330979833</v>
      </c>
      <c r="CX137" s="23">
        <f t="shared" si="70"/>
        <v>0.47027075696119286</v>
      </c>
      <c r="CY137" s="23">
        <f t="shared" si="71"/>
        <v>2.8678919999349427E-2</v>
      </c>
      <c r="CZ137" s="6">
        <f t="shared" si="25"/>
        <v>1628107485.203799</v>
      </c>
      <c r="DA137" s="6">
        <f t="shared" si="26"/>
        <v>99288258.152005032</v>
      </c>
      <c r="DB137" s="6">
        <f t="shared" si="27"/>
        <v>112841605</v>
      </c>
      <c r="DC137" s="6">
        <f t="shared" si="28"/>
        <v>115240981</v>
      </c>
      <c r="DD137" s="6">
        <f t="shared" si="29"/>
        <v>115517212</v>
      </c>
      <c r="DE137" s="6">
        <f t="shared" si="30"/>
        <v>22707583</v>
      </c>
      <c r="DF137" s="6">
        <f t="shared" si="31"/>
        <v>19712022.949170228</v>
      </c>
      <c r="DG137" s="30"/>
      <c r="DH137" s="32">
        <f>VLOOKUP(A137,'T_med_comp-USA'!$A$7:$Q$233,17,0)</f>
        <v>9.5331964426378999</v>
      </c>
      <c r="DI137" s="6" t="str">
        <f t="shared" si="32"/>
        <v>6_2012</v>
      </c>
      <c r="DJ137" s="32">
        <f>IF(DI137="","",VLOOKUP(DI137,'CPI USA'!$T:$U,2,FALSE))</f>
        <v>229.59399999999999</v>
      </c>
      <c r="DK137" s="32">
        <f>IF(DI137="","",VLOOKUP(DI137,'PPI USA'!$S:$T,2,FALSE))</f>
        <v>175.1</v>
      </c>
      <c r="DL137" s="32">
        <f>IF(DI137="","",VLOOKUP(DI137,'CPI USA'!$T:$V,3,FALSE))</f>
        <v>0.66730871354337351</v>
      </c>
      <c r="DM137" s="32">
        <f>IF(DI137="","",VLOOKUP(DI137,'CPI USA'!$T:$X,5,FALSE))</f>
        <v>0.49513551903851311</v>
      </c>
      <c r="DN137" s="32">
        <f t="shared" si="33"/>
        <v>1.3897894616766442</v>
      </c>
      <c r="DO137" s="32">
        <f t="shared" si="34"/>
        <v>1.4008620811189902</v>
      </c>
      <c r="DP137" s="32">
        <f t="shared" si="35"/>
        <v>0.48760276850014672</v>
      </c>
      <c r="DQ137" s="32">
        <f>IF(DP137="","",DP137*$DO$1/'CPI USA'!$U$508+(1-DP137)*AVERAGE($DO$1,$DQ$1)/AVERAGE('CPI USA'!$U$508,'PPI USA'!$T$514))</f>
        <v>1.1571606024998404</v>
      </c>
      <c r="DR137" s="6">
        <f t="shared" si="36"/>
        <v>0</v>
      </c>
      <c r="DS137" s="32">
        <f t="shared" si="37"/>
        <v>0.2</v>
      </c>
      <c r="DT137" s="28">
        <f>IF(DS137="","",DS137*$DO$1/'CPI USA'!$U$508+(1-DS137)*AVERAGE($DO$1,$DQ$1)/AVERAGE('CPI USA'!$U$508,'PPI USA'!$T$514))</f>
        <v>1.1741595760647974</v>
      </c>
      <c r="DU137" s="6">
        <f t="shared" si="38"/>
        <v>7121721</v>
      </c>
      <c r="DV137" s="6">
        <f t="shared" si="39"/>
        <v>47720.987367039837</v>
      </c>
      <c r="DW137" s="6">
        <f t="shared" si="40"/>
        <v>5331184.6058634548</v>
      </c>
      <c r="DX137" s="16">
        <f t="shared" si="41"/>
        <v>0.27045344963378654</v>
      </c>
      <c r="DY137" s="28">
        <f>IF(DX137="","",DX137*$DO$1/'CPI USA'!$U$508+(1-DX137)*AVERAGE($DO$1,$DQ$1)/AVERAGE('CPI USA'!$U$508,'PPI USA'!$T$514))</f>
        <v>1.1699953730074679</v>
      </c>
      <c r="DZ137" s="30"/>
      <c r="EA137" s="45" t="str">
        <f t="shared" si="42"/>
        <v>C001607</v>
      </c>
      <c r="EB137" s="29">
        <f t="shared" si="43"/>
        <v>2262726625.4131026</v>
      </c>
      <c r="EC137" s="29">
        <f t="shared" si="44"/>
        <v>139089155.9454973</v>
      </c>
      <c r="ED137" s="29">
        <f t="shared" si="45"/>
        <v>133352323.00663267</v>
      </c>
      <c r="EE137" s="29">
        <f t="shared" si="46"/>
        <v>135635640.67010733</v>
      </c>
      <c r="EF137" s="29">
        <f t="shared" si="47"/>
        <v>23062975.643146187</v>
      </c>
      <c r="EG137" s="29">
        <f t="shared" si="48"/>
        <v>1234</v>
      </c>
      <c r="EH137" s="29">
        <f t="shared" si="49"/>
        <v>342161</v>
      </c>
      <c r="EI137" s="29">
        <f t="shared" si="50"/>
        <v>89937</v>
      </c>
      <c r="EJ137" s="29">
        <f t="shared" si="51"/>
        <v>4942865</v>
      </c>
      <c r="EK137" s="29">
        <f t="shared" si="52"/>
        <v>5032802</v>
      </c>
      <c r="EL137" s="29">
        <f>IF(CD137=1,VLOOKUP(EA137,'EIA 2021'!$A$2:$J$213,4,0)*EH137,"")</f>
        <v>13686440</v>
      </c>
      <c r="EM137" s="29">
        <f>IF(CD137=1,VLOOKUP(EA137,'EIA 2021'!$A$2:$J$213,7,0)*EH137,"")</f>
        <v>195031.77</v>
      </c>
      <c r="EN137" s="29">
        <f>IF(CD137=1,VLOOKUP(EA137,'EIA 2021'!$A$2:$J$213,10,0),"")</f>
        <v>346330</v>
      </c>
      <c r="EO137" s="28">
        <f>IF(CD137=1,VLOOKUP(EA137,'EIA 2021'!$A$2:$Z$213,26,0),"")</f>
        <v>0</v>
      </c>
      <c r="EP137" s="23">
        <f t="shared" si="53"/>
        <v>1.7870164572339624E-2</v>
      </c>
      <c r="EQ137" s="32">
        <f t="shared" si="54"/>
        <v>0</v>
      </c>
      <c r="ER137" s="32">
        <f t="shared" si="55"/>
        <v>89937</v>
      </c>
      <c r="ES137" s="6"/>
      <c r="ET137" s="32"/>
    </row>
    <row r="138" spans="1:150" ht="15.75" customHeight="1">
      <c r="A138" s="7" t="s">
        <v>616</v>
      </c>
      <c r="B138" s="7" t="s">
        <v>617</v>
      </c>
      <c r="C138" s="32" t="s">
        <v>618</v>
      </c>
      <c r="D138" s="40">
        <v>65768760</v>
      </c>
      <c r="E138" s="40">
        <v>0</v>
      </c>
      <c r="F138" s="40">
        <v>138091093</v>
      </c>
      <c r="G138" s="40">
        <v>275226092</v>
      </c>
      <c r="H138" s="40">
        <v>193870241</v>
      </c>
      <c r="I138" s="40">
        <v>1328997</v>
      </c>
      <c r="J138" s="40">
        <v>843779</v>
      </c>
      <c r="K138" s="40">
        <v>1008771</v>
      </c>
      <c r="L138" s="40">
        <v>4617629</v>
      </c>
      <c r="M138" s="40">
        <v>1095027</v>
      </c>
      <c r="N138" s="40">
        <v>1300</v>
      </c>
      <c r="O138" s="40">
        <v>6783555</v>
      </c>
      <c r="P138" s="40">
        <v>1250756</v>
      </c>
      <c r="Q138" s="40">
        <v>0</v>
      </c>
      <c r="R138" s="40">
        <v>0</v>
      </c>
      <c r="S138" s="40">
        <v>2607848</v>
      </c>
      <c r="T138" s="40">
        <v>0</v>
      </c>
      <c r="U138" s="40">
        <v>651284</v>
      </c>
      <c r="V138" s="40">
        <v>0</v>
      </c>
      <c r="W138" s="40">
        <v>254809</v>
      </c>
      <c r="X138" s="40">
        <f>IFERROR(VLOOKUP(A138,'Trans 21-23'!$A$2:$J$229,6,0),0)</f>
        <v>606303</v>
      </c>
      <c r="Y138" s="41">
        <v>1308531</v>
      </c>
      <c r="Z138" s="41">
        <v>166956</v>
      </c>
      <c r="AA138" s="41">
        <v>8922162</v>
      </c>
      <c r="AB138" s="41">
        <v>12320422</v>
      </c>
      <c r="AC138" s="41">
        <v>353207</v>
      </c>
      <c r="AD138" s="41">
        <v>45484347</v>
      </c>
      <c r="AE138" s="41">
        <v>0</v>
      </c>
      <c r="AF138" s="41">
        <v>554722088</v>
      </c>
      <c r="AG138" s="41">
        <v>365465</v>
      </c>
      <c r="AH138" s="41">
        <v>666613</v>
      </c>
      <c r="AI138" s="41">
        <v>10931054</v>
      </c>
      <c r="AJ138" s="41">
        <v>43405</v>
      </c>
      <c r="AK138" s="41">
        <v>0</v>
      </c>
      <c r="AL138" s="41">
        <v>2769297</v>
      </c>
      <c r="AM138" s="41">
        <v>3056594</v>
      </c>
      <c r="AN138" s="41">
        <v>3716257</v>
      </c>
      <c r="AO138" s="41">
        <v>14580</v>
      </c>
      <c r="AP138" s="41">
        <v>0</v>
      </c>
      <c r="AQ138" s="41">
        <v>9556728</v>
      </c>
      <c r="AR138" s="41">
        <v>664308</v>
      </c>
      <c r="AS138" s="41">
        <v>10221036</v>
      </c>
      <c r="AT138" s="41">
        <v>0</v>
      </c>
      <c r="AU138" s="41">
        <v>2106</v>
      </c>
      <c r="AV138" s="41">
        <v>0</v>
      </c>
      <c r="AW138" s="41">
        <v>179650527</v>
      </c>
      <c r="AX138" s="41">
        <v>82509348</v>
      </c>
      <c r="AY138" s="41">
        <v>399030956</v>
      </c>
      <c r="AZ138" s="41">
        <v>53947726</v>
      </c>
      <c r="BA138" s="41">
        <v>47702101</v>
      </c>
      <c r="BB138" s="41">
        <v>1840556325</v>
      </c>
      <c r="BC138" s="41">
        <v>4148300009</v>
      </c>
      <c r="BD138" s="41">
        <v>158889822</v>
      </c>
      <c r="BE138" s="41">
        <v>591561575</v>
      </c>
      <c r="BF138" s="41">
        <v>32907186</v>
      </c>
      <c r="BG138" s="41">
        <v>0</v>
      </c>
      <c r="BH138" s="41">
        <v>11077199</v>
      </c>
      <c r="BI138" s="41">
        <v>3612218</v>
      </c>
      <c r="BJ138" s="41">
        <v>592518</v>
      </c>
      <c r="BK138" s="41">
        <v>219140</v>
      </c>
      <c r="BL138" s="41">
        <v>0</v>
      </c>
      <c r="BM138" s="41">
        <v>11392464</v>
      </c>
      <c r="BN138" s="41">
        <v>43429135</v>
      </c>
      <c r="BO138" s="41">
        <v>11546299</v>
      </c>
      <c r="BP138" s="41">
        <v>3148581</v>
      </c>
      <c r="BQ138" s="41">
        <v>95696373</v>
      </c>
      <c r="BR138" s="41">
        <v>0</v>
      </c>
      <c r="BS138" s="42">
        <f>IFERROR(VLOOKUP(A138,'Trans 21-23'!$A$2:$J$229,5,0),0)</f>
        <v>43380312</v>
      </c>
      <c r="BT138" s="43"/>
      <c r="BU138" s="6">
        <f t="shared" si="0"/>
        <v>1840556325</v>
      </c>
      <c r="BV138" s="6">
        <f t="shared" si="1"/>
        <v>2106</v>
      </c>
      <c r="BW138" s="6">
        <f t="shared" si="2"/>
        <v>365465</v>
      </c>
      <c r="BX138" s="6">
        <f t="shared" si="3"/>
        <v>20443755</v>
      </c>
      <c r="BY138" s="6">
        <f t="shared" si="4"/>
        <v>23071278</v>
      </c>
      <c r="BZ138" s="6">
        <f t="shared" si="5"/>
        <v>53947726</v>
      </c>
      <c r="CA138" s="6">
        <f t="shared" si="6"/>
        <v>45484347</v>
      </c>
      <c r="CB138" s="6">
        <f t="shared" si="7"/>
        <v>666613</v>
      </c>
      <c r="CC138" s="6">
        <f t="shared" si="8"/>
        <v>9556728</v>
      </c>
      <c r="CD138" s="6">
        <f t="shared" si="69"/>
        <v>1</v>
      </c>
      <c r="CE138" s="44">
        <f t="shared" si="10"/>
        <v>13</v>
      </c>
      <c r="CF138" s="27"/>
      <c r="CG138" s="28">
        <f t="shared" si="11"/>
        <v>873.95836894586887</v>
      </c>
      <c r="CH138" s="28">
        <f t="shared" si="12"/>
        <v>5.7625217189060516</v>
      </c>
      <c r="CI138" s="28">
        <f t="shared" si="13"/>
        <v>55.939022888648708</v>
      </c>
      <c r="CJ138" s="28">
        <f t="shared" si="14"/>
        <v>147.61393293475436</v>
      </c>
      <c r="CK138" s="23">
        <f t="shared" si="15"/>
        <v>6.9753267017749171E-2</v>
      </c>
      <c r="CL138" s="29" t="str">
        <f t="shared" si="16"/>
        <v/>
      </c>
      <c r="CM138" s="29" t="str">
        <f t="shared" si="66"/>
        <v/>
      </c>
      <c r="CN138" s="29" t="str">
        <f t="shared" si="18"/>
        <v/>
      </c>
      <c r="CO138" s="29" t="str">
        <f t="shared" si="19"/>
        <v/>
      </c>
      <c r="CP138" s="29" t="str">
        <f t="shared" si="20"/>
        <v/>
      </c>
      <c r="CQ138" s="29">
        <f t="shared" si="21"/>
        <v>0</v>
      </c>
      <c r="CR138" s="13"/>
      <c r="CS138" s="7">
        <f>VLOOKUP(A138,'Empresas 21-23'!$A$2:$M$228,13,0)</f>
        <v>1</v>
      </c>
      <c r="CT138" s="30"/>
      <c r="CU138" s="6">
        <f t="shared" si="22"/>
        <v>1493362627.5999999</v>
      </c>
      <c r="CV138" s="6">
        <f t="shared" si="23"/>
        <v>53947726</v>
      </c>
      <c r="CW138" s="6">
        <f t="shared" si="24"/>
        <v>158889822</v>
      </c>
      <c r="CX138" s="23">
        <f t="shared" si="70"/>
        <v>0.37433168252949062</v>
      </c>
      <c r="CY138" s="23">
        <f t="shared" si="71"/>
        <v>1.35227323015807E-2</v>
      </c>
      <c r="CZ138" s="6">
        <f t="shared" si="25"/>
        <v>1552840122.0060711</v>
      </c>
      <c r="DA138" s="6">
        <f t="shared" si="26"/>
        <v>56096350.528351806</v>
      </c>
      <c r="DB138" s="6">
        <f t="shared" si="27"/>
        <v>20443755</v>
      </c>
      <c r="DC138" s="6">
        <f t="shared" si="28"/>
        <v>21050058</v>
      </c>
      <c r="DD138" s="6">
        <f t="shared" si="29"/>
        <v>23071278</v>
      </c>
      <c r="DE138" s="6">
        <f t="shared" si="30"/>
        <v>45484347</v>
      </c>
      <c r="DF138" s="6">
        <f t="shared" si="31"/>
        <v>17997242.437799733</v>
      </c>
      <c r="DG138" s="30"/>
      <c r="DH138" s="32">
        <f>VLOOKUP(A138,'T_med_comp-USA'!$A$7:$Q$233,17,0)</f>
        <v>16.057205275795319</v>
      </c>
      <c r="DI138" s="6" t="str">
        <f t="shared" si="32"/>
        <v>12_2005</v>
      </c>
      <c r="DJ138" s="32">
        <f>IF(DI138="","",VLOOKUP(DI138,'CPI USA'!$T:$U,2,FALSE))</f>
        <v>195.3</v>
      </c>
      <c r="DK138" s="32">
        <f>IF(DI138="","",VLOOKUP(DI138,'PPI USA'!$S:$T,2,FALSE))</f>
        <v>131.30000000000001</v>
      </c>
      <c r="DL138" s="32">
        <f>IF(DI138="","",VLOOKUP(DI138,'CPI USA'!$T:$V,3,FALSE))</f>
        <v>0.67888602568792966</v>
      </c>
      <c r="DM138" s="32">
        <f>IF(DI138="","",VLOOKUP(DI138,'CPI USA'!$T:$X,5,FALSE))</f>
        <v>0.50828944385363772</v>
      </c>
      <c r="DN138" s="32">
        <f t="shared" si="33"/>
        <v>1.6621774217199745</v>
      </c>
      <c r="DO138" s="32">
        <f t="shared" si="34"/>
        <v>1.6905992787819408</v>
      </c>
      <c r="DP138" s="32">
        <f t="shared" si="35"/>
        <v>0.68589364227971439</v>
      </c>
      <c r="DQ138" s="32">
        <f>IF(DP138="","",DP138*$DO$1/'CPI USA'!$U$508+(1-DP138)*AVERAGE($DO$1,$DQ$1)/AVERAGE('CPI USA'!$U$508,'PPI USA'!$T$514))</f>
        <v>1.1454404742857434</v>
      </c>
      <c r="DR138" s="6">
        <f t="shared" si="36"/>
        <v>4423876</v>
      </c>
      <c r="DS138" s="32">
        <f t="shared" si="37"/>
        <v>0.24272738673066674</v>
      </c>
      <c r="DT138" s="28">
        <f>IF(DS138="","",DS138*$DO$1/'CPI USA'!$U$508+(1-DS138)*AVERAGE($DO$1,$DQ$1)/AVERAGE('CPI USA'!$U$508,'PPI USA'!$T$514))</f>
        <v>1.1716341423865262</v>
      </c>
      <c r="DU138" s="6">
        <f t="shared" si="38"/>
        <v>14421324.595329288</v>
      </c>
      <c r="DV138" s="6">
        <f t="shared" si="39"/>
        <v>387584.56488712342</v>
      </c>
      <c r="DW138" s="6">
        <f t="shared" si="40"/>
        <v>5285714.5683583524</v>
      </c>
      <c r="DX138" s="16">
        <f t="shared" si="41"/>
        <v>0.2936958029334944</v>
      </c>
      <c r="DY138" s="28">
        <f>IF(DX138="","",DX138*$DO$1/'CPI USA'!$U$508+(1-DX138)*AVERAGE($DO$1,$DQ$1)/AVERAGE('CPI USA'!$U$508,'PPI USA'!$T$514))</f>
        <v>1.1686216165885379</v>
      </c>
      <c r="DZ138" s="30"/>
      <c r="EA138" s="45" t="str">
        <f t="shared" si="42"/>
        <v>C001609</v>
      </c>
      <c r="EB138" s="29">
        <f t="shared" si="43"/>
        <v>2581095790.3393817</v>
      </c>
      <c r="EC138" s="29">
        <f t="shared" si="44"/>
        <v>94836449.745530516</v>
      </c>
      <c r="ED138" s="29">
        <f t="shared" si="45"/>
        <v>24111588.419262405</v>
      </c>
      <c r="EE138" s="29">
        <f t="shared" si="46"/>
        <v>27031097.013291128</v>
      </c>
      <c r="EF138" s="29">
        <f t="shared" si="47"/>
        <v>21031966.551797364</v>
      </c>
      <c r="EG138" s="29">
        <f t="shared" si="48"/>
        <v>2106</v>
      </c>
      <c r="EH138" s="29">
        <f t="shared" si="49"/>
        <v>365465</v>
      </c>
      <c r="EI138" s="29">
        <f t="shared" si="50"/>
        <v>666613</v>
      </c>
      <c r="EJ138" s="29">
        <f t="shared" si="51"/>
        <v>9556728</v>
      </c>
      <c r="EK138" s="29">
        <f t="shared" si="52"/>
        <v>10213224.634517767</v>
      </c>
      <c r="EL138" s="29">
        <f>IF(CD138=1,VLOOKUP(EA138,'EIA 2021'!$A$2:$J$213,4,0)*EH138,"")</f>
        <v>44265120.800000004</v>
      </c>
      <c r="EM138" s="29">
        <f>IF(CD138=1,VLOOKUP(EA138,'EIA 2021'!$A$2:$J$213,7,0)*EH138,"")</f>
        <v>466698.80499999999</v>
      </c>
      <c r="EN138" s="29">
        <f>IF(CD138=1,VLOOKUP(EA138,'EIA 2021'!$A$2:$J$213,10,0),"")</f>
        <v>370828</v>
      </c>
      <c r="EO138" s="28">
        <f>IF(CD138=1,VLOOKUP(EA138,'EIA 2021'!$A$2:$Z$213,26,0),"")</f>
        <v>0</v>
      </c>
      <c r="EP138" s="23">
        <f t="shared" si="53"/>
        <v>6.4279075219690798E-2</v>
      </c>
      <c r="EQ138" s="32">
        <f t="shared" si="54"/>
        <v>10116.365482233465</v>
      </c>
      <c r="ER138" s="32">
        <f t="shared" si="55"/>
        <v>656496.63451776654</v>
      </c>
      <c r="ES138" s="6"/>
      <c r="ET138" s="32"/>
    </row>
    <row r="139" spans="1:150" ht="15.75" customHeight="1">
      <c r="A139" s="7" t="s">
        <v>619</v>
      </c>
      <c r="B139" s="7" t="s">
        <v>620</v>
      </c>
      <c r="C139" s="32" t="s">
        <v>621</v>
      </c>
      <c r="D139" s="40">
        <v>0</v>
      </c>
      <c r="E139" s="40">
        <v>0</v>
      </c>
      <c r="F139" s="40">
        <v>484571496</v>
      </c>
      <c r="G139" s="40">
        <v>737708393</v>
      </c>
      <c r="H139" s="40">
        <v>504172924</v>
      </c>
      <c r="I139" s="40">
        <v>915244</v>
      </c>
      <c r="J139" s="40">
        <v>743388</v>
      </c>
      <c r="K139" s="40">
        <v>1393090</v>
      </c>
      <c r="L139" s="40">
        <v>2200433</v>
      </c>
      <c r="M139" s="40">
        <v>2587953</v>
      </c>
      <c r="N139" s="40">
        <v>4273463</v>
      </c>
      <c r="O139" s="40">
        <v>135104</v>
      </c>
      <c r="P139" s="40">
        <v>0</v>
      </c>
      <c r="Q139" s="40">
        <v>16672</v>
      </c>
      <c r="R139" s="40">
        <v>4473</v>
      </c>
      <c r="S139" s="40">
        <v>4257587</v>
      </c>
      <c r="T139" s="40">
        <v>2552035</v>
      </c>
      <c r="U139" s="40">
        <v>766636</v>
      </c>
      <c r="V139" s="40">
        <v>0</v>
      </c>
      <c r="W139" s="40">
        <v>2438121</v>
      </c>
      <c r="X139" s="40">
        <f>IFERROR(VLOOKUP(A139,'Trans 21-23'!$A$2:$J$229,6,0),0)</f>
        <v>2952900</v>
      </c>
      <c r="Y139" s="41">
        <v>7101</v>
      </c>
      <c r="Z139" s="41">
        <v>393430</v>
      </c>
      <c r="AA139" s="41">
        <v>39581356</v>
      </c>
      <c r="AB139" s="41">
        <v>33769959</v>
      </c>
      <c r="AC139" s="41">
        <v>258523</v>
      </c>
      <c r="AD139" s="41">
        <v>87098911</v>
      </c>
      <c r="AE139" s="41">
        <v>0</v>
      </c>
      <c r="AF139" s="41">
        <v>1287376696</v>
      </c>
      <c r="AG139" s="41">
        <v>984990</v>
      </c>
      <c r="AH139" s="41">
        <v>403714</v>
      </c>
      <c r="AI139" s="41">
        <v>22885515</v>
      </c>
      <c r="AJ139" s="41">
        <v>15017</v>
      </c>
      <c r="AK139" s="41">
        <v>0</v>
      </c>
      <c r="AL139" s="41">
        <v>10415347</v>
      </c>
      <c r="AM139" s="41">
        <v>4837610</v>
      </c>
      <c r="AN139" s="41">
        <v>5270612</v>
      </c>
      <c r="AO139" s="41">
        <v>141919</v>
      </c>
      <c r="AP139" s="41">
        <v>55683</v>
      </c>
      <c r="AQ139" s="41">
        <v>20721171</v>
      </c>
      <c r="AR139" s="41">
        <v>1745613</v>
      </c>
      <c r="AS139" s="41">
        <v>22466784</v>
      </c>
      <c r="AT139" s="41">
        <v>0</v>
      </c>
      <c r="AU139" s="41">
        <v>6300</v>
      </c>
      <c r="AV139" s="41">
        <v>0</v>
      </c>
      <c r="AW139" s="41">
        <v>118016311</v>
      </c>
      <c r="AX139" s="41">
        <v>275946097</v>
      </c>
      <c r="AY139" s="41">
        <v>1590393159</v>
      </c>
      <c r="AZ139" s="41">
        <v>161583040</v>
      </c>
      <c r="BA139" s="41">
        <v>1451939</v>
      </c>
      <c r="BB139" s="41">
        <v>3896126810</v>
      </c>
      <c r="BC139" s="41">
        <v>9953664999</v>
      </c>
      <c r="BD139" s="41">
        <v>418002629</v>
      </c>
      <c r="BE139" s="41">
        <v>1381253439</v>
      </c>
      <c r="BF139" s="41">
        <v>91070037</v>
      </c>
      <c r="BG139" s="41">
        <v>0</v>
      </c>
      <c r="BH139" s="41">
        <v>12425968</v>
      </c>
      <c r="BI139" s="41">
        <v>11792195</v>
      </c>
      <c r="BJ139" s="41">
        <v>775466</v>
      </c>
      <c r="BK139" s="41">
        <v>144487</v>
      </c>
      <c r="BL139" s="41">
        <v>0</v>
      </c>
      <c r="BM139" s="41">
        <v>21667007</v>
      </c>
      <c r="BN139" s="41">
        <v>73000626</v>
      </c>
      <c r="BO139" s="41">
        <v>19665617</v>
      </c>
      <c r="BP139" s="41">
        <v>6216515</v>
      </c>
      <c r="BQ139" s="41">
        <v>135273541</v>
      </c>
      <c r="BR139" s="41">
        <v>0</v>
      </c>
      <c r="BS139" s="42">
        <f>IFERROR(VLOOKUP(A139,'Trans 21-23'!$A$2:$J$229,5,0),0)</f>
        <v>69906608</v>
      </c>
      <c r="BT139" s="43"/>
      <c r="BU139" s="6">
        <f t="shared" si="0"/>
        <v>3896126810</v>
      </c>
      <c r="BV139" s="6">
        <f t="shared" si="1"/>
        <v>6300</v>
      </c>
      <c r="BW139" s="6">
        <f t="shared" si="2"/>
        <v>984990</v>
      </c>
      <c r="BX139" s="6">
        <f t="shared" si="3"/>
        <v>22284199</v>
      </c>
      <c r="BY139" s="6">
        <f t="shared" si="4"/>
        <v>74010369</v>
      </c>
      <c r="BZ139" s="6">
        <f t="shared" si="5"/>
        <v>161583040</v>
      </c>
      <c r="CA139" s="6">
        <f t="shared" si="6"/>
        <v>87098911</v>
      </c>
      <c r="CB139" s="6">
        <f t="shared" si="7"/>
        <v>403714</v>
      </c>
      <c r="CC139" s="6">
        <f t="shared" si="8"/>
        <v>20721171</v>
      </c>
      <c r="CD139" s="6">
        <f t="shared" si="69"/>
        <v>1</v>
      </c>
      <c r="CE139" s="44">
        <f t="shared" si="10"/>
        <v>11</v>
      </c>
      <c r="CF139" s="27"/>
      <c r="CG139" s="28">
        <f t="shared" si="11"/>
        <v>618.4328269841269</v>
      </c>
      <c r="CH139" s="28">
        <f t="shared" si="12"/>
        <v>6.3960040203453845</v>
      </c>
      <c r="CI139" s="28">
        <f t="shared" si="13"/>
        <v>22.623781967329617</v>
      </c>
      <c r="CJ139" s="28">
        <f t="shared" si="14"/>
        <v>164.04536086660778</v>
      </c>
      <c r="CK139" s="23">
        <f t="shared" si="15"/>
        <v>1.9483165309528115E-2</v>
      </c>
      <c r="CL139" s="29" t="str">
        <f t="shared" si="16"/>
        <v/>
      </c>
      <c r="CM139" s="29" t="str">
        <f t="shared" si="66"/>
        <v/>
      </c>
      <c r="CN139" s="29" t="str">
        <f t="shared" si="18"/>
        <v/>
      </c>
      <c r="CO139" s="29" t="str">
        <f t="shared" si="19"/>
        <v/>
      </c>
      <c r="CP139" s="29" t="str">
        <f t="shared" si="20"/>
        <v/>
      </c>
      <c r="CQ139" s="29">
        <f t="shared" si="21"/>
        <v>0</v>
      </c>
      <c r="CR139" s="13"/>
      <c r="CS139" s="7">
        <f>VLOOKUP(A139,'Empresas 21-23'!$A$2:$M$228,13,0)</f>
        <v>1</v>
      </c>
      <c r="CT139" s="30"/>
      <c r="CU139" s="6">
        <f t="shared" si="22"/>
        <v>2683194885.4000001</v>
      </c>
      <c r="CV139" s="6">
        <f t="shared" si="23"/>
        <v>161583040</v>
      </c>
      <c r="CW139" s="6">
        <f t="shared" si="24"/>
        <v>418002629</v>
      </c>
      <c r="CX139" s="23">
        <f t="shared" si="70"/>
        <v>0.28138526525871532</v>
      </c>
      <c r="CY139" s="23">
        <f t="shared" si="71"/>
        <v>1.6945130157749073E-2</v>
      </c>
      <c r="CZ139" s="6">
        <f t="shared" si="25"/>
        <v>2800814666.0400057</v>
      </c>
      <c r="DA139" s="6">
        <f t="shared" si="26"/>
        <v>168666148.95468628</v>
      </c>
      <c r="DB139" s="6">
        <f t="shared" si="27"/>
        <v>22284199</v>
      </c>
      <c r="DC139" s="6">
        <f t="shared" si="28"/>
        <v>25237099</v>
      </c>
      <c r="DD139" s="6">
        <f t="shared" si="29"/>
        <v>74010369</v>
      </c>
      <c r="DE139" s="6">
        <f t="shared" si="30"/>
        <v>87098911</v>
      </c>
      <c r="DF139" s="6">
        <f t="shared" si="31"/>
        <v>40865167.451514557</v>
      </c>
      <c r="DG139" s="30"/>
      <c r="DH139" s="32">
        <f>VLOOKUP(A139,'T_med_comp-USA'!$A$7:$Q$233,17,0)</f>
        <v>15.100515372656531</v>
      </c>
      <c r="DI139" s="6" t="str">
        <f t="shared" si="32"/>
        <v>11_2006</v>
      </c>
      <c r="DJ139" s="32">
        <f>IF(DI139="","",VLOOKUP(DI139,'CPI USA'!$T:$U,2,FALSE))</f>
        <v>201.6</v>
      </c>
      <c r="DK139" s="32">
        <f>IF(DI139="","",VLOOKUP(DI139,'PPI USA'!$S:$T,2,FALSE))</f>
        <v>145.30000000000001</v>
      </c>
      <c r="DL139" s="32">
        <f>IF(DI139="","",VLOOKUP(DI139,'CPI USA'!$T:$V,3,FALSE))</f>
        <v>0.67263024008352756</v>
      </c>
      <c r="DM139" s="32">
        <f>IF(DI139="","",VLOOKUP(DI139,'CPI USA'!$T:$X,5,FALSE))</f>
        <v>0.50115228263529643</v>
      </c>
      <c r="DN139" s="32">
        <f t="shared" si="33"/>
        <v>1.595396421204319</v>
      </c>
      <c r="DO139" s="32">
        <f t="shared" si="34"/>
        <v>1.6147712829199015</v>
      </c>
      <c r="DP139" s="32">
        <f t="shared" si="35"/>
        <v>0.70782871021456339</v>
      </c>
      <c r="DQ139" s="32">
        <f>IF(DP139="","",DP139*$DO$1/'CPI USA'!$U$508+(1-DP139)*AVERAGE($DO$1,$DQ$1)/AVERAGE('CPI USA'!$U$508,'PPI USA'!$T$514))</f>
        <v>1.144143985931634</v>
      </c>
      <c r="DR139" s="6">
        <f t="shared" si="36"/>
        <v>12712148</v>
      </c>
      <c r="DS139" s="32">
        <f t="shared" si="37"/>
        <v>0.21803255408317115</v>
      </c>
      <c r="DT139" s="28">
        <f>IF(DS139="","",DS139*$DO$1/'CPI USA'!$U$508+(1-DS139)*AVERAGE($DO$1,$DQ$1)/AVERAGE('CPI USA'!$U$508,'PPI USA'!$T$514))</f>
        <v>1.1730937486676307</v>
      </c>
      <c r="DU139" s="6">
        <f t="shared" si="38"/>
        <v>27503875.593405198</v>
      </c>
      <c r="DV139" s="6">
        <f t="shared" si="39"/>
        <v>1043672.5391502901</v>
      </c>
      <c r="DW139" s="6">
        <f t="shared" si="40"/>
        <v>9830485.2409315407</v>
      </c>
      <c r="DX139" s="16">
        <f t="shared" si="41"/>
        <v>0.24055903484538885</v>
      </c>
      <c r="DY139" s="28">
        <f>IF(DX139="","",DX139*$DO$1/'CPI USA'!$U$508+(1-DX139)*AVERAGE($DO$1,$DQ$1)/AVERAGE('CPI USA'!$U$508,'PPI USA'!$T$514))</f>
        <v>1.1717623044225511</v>
      </c>
      <c r="DZ139" s="30"/>
      <c r="EA139" s="45" t="str">
        <f t="shared" si="42"/>
        <v>C001610</v>
      </c>
      <c r="EB139" s="29">
        <f t="shared" si="43"/>
        <v>4468409694.6567945</v>
      </c>
      <c r="EC139" s="29">
        <f t="shared" si="44"/>
        <v>272357253.73271799</v>
      </c>
      <c r="ED139" s="29">
        <f t="shared" si="45"/>
        <v>28874875.043211255</v>
      </c>
      <c r="EE139" s="29">
        <f t="shared" si="46"/>
        <v>86821101.210484609</v>
      </c>
      <c r="EF139" s="29">
        <f t="shared" si="47"/>
        <v>47884262.783600129</v>
      </c>
      <c r="EG139" s="29">
        <f t="shared" si="48"/>
        <v>6300</v>
      </c>
      <c r="EH139" s="29">
        <f t="shared" si="49"/>
        <v>984990</v>
      </c>
      <c r="EI139" s="29">
        <f t="shared" si="50"/>
        <v>403714</v>
      </c>
      <c r="EJ139" s="29">
        <f t="shared" si="51"/>
        <v>20721171</v>
      </c>
      <c r="EK139" s="29">
        <f t="shared" si="52"/>
        <v>21098302.060913704</v>
      </c>
      <c r="EL139" s="29">
        <f>IF(CD139=1,VLOOKUP(EA139,'EIA 2021'!$A$2:$J$213,4,0)*EH139,"")</f>
        <v>51170230.5</v>
      </c>
      <c r="EM139" s="29">
        <f>IF(CD139=1,VLOOKUP(EA139,'EIA 2021'!$A$2:$J$213,7,0)*EH139,"")</f>
        <v>672748.17</v>
      </c>
      <c r="EN139" s="29">
        <f>IF(CD139=1,VLOOKUP(EA139,'EIA 2021'!$A$2:$J$213,10,0),"")</f>
        <v>1003180</v>
      </c>
      <c r="EO139" s="28">
        <f>IF(CD139=1,VLOOKUP(EA139,'EIA 2021'!$A$2:$Z$213,26,0),"")</f>
        <v>0</v>
      </c>
      <c r="EP139" s="23">
        <f t="shared" si="53"/>
        <v>1.7874948411719396E-2</v>
      </c>
      <c r="EQ139" s="32">
        <f t="shared" si="54"/>
        <v>26582.9390862945</v>
      </c>
      <c r="ER139" s="32">
        <f t="shared" si="55"/>
        <v>377131.0609137055</v>
      </c>
      <c r="ES139" s="6"/>
      <c r="ET139" s="32"/>
    </row>
    <row r="140" spans="1:150" ht="15.75" customHeight="1">
      <c r="A140" s="7" t="s">
        <v>622</v>
      </c>
      <c r="B140" s="7" t="s">
        <v>623</v>
      </c>
      <c r="C140" s="32" t="s">
        <v>624</v>
      </c>
      <c r="D140" s="40">
        <v>681733834</v>
      </c>
      <c r="E140" s="40">
        <v>0</v>
      </c>
      <c r="F140" s="40">
        <v>333859748</v>
      </c>
      <c r="G140" s="40">
        <v>682349483</v>
      </c>
      <c r="H140" s="40">
        <v>722290621</v>
      </c>
      <c r="I140" s="40">
        <v>9002354</v>
      </c>
      <c r="J140" s="40">
        <v>4524018</v>
      </c>
      <c r="K140" s="40">
        <v>13698661</v>
      </c>
      <c r="L140" s="40">
        <v>9627966</v>
      </c>
      <c r="M140" s="40">
        <v>0</v>
      </c>
      <c r="N140" s="40">
        <v>17375269</v>
      </c>
      <c r="O140" s="40">
        <v>546692</v>
      </c>
      <c r="P140" s="40">
        <v>3341252</v>
      </c>
      <c r="Q140" s="40">
        <v>6141981</v>
      </c>
      <c r="R140" s="40">
        <v>1955273</v>
      </c>
      <c r="S140" s="40">
        <v>9046758</v>
      </c>
      <c r="T140" s="40">
        <v>116547834</v>
      </c>
      <c r="U140" s="40">
        <v>31879531</v>
      </c>
      <c r="V140" s="40">
        <v>1195363</v>
      </c>
      <c r="W140" s="40">
        <v>6796973</v>
      </c>
      <c r="X140" s="40">
        <f>IFERROR(VLOOKUP(A140,'Trans 21-23'!$A$2:$J$229,6,0),0)</f>
        <v>10509175</v>
      </c>
      <c r="Y140" s="41">
        <v>2840279</v>
      </c>
      <c r="Z140" s="41">
        <v>552196</v>
      </c>
      <c r="AA140" s="41">
        <v>70217992</v>
      </c>
      <c r="AB140" s="41">
        <v>114011672</v>
      </c>
      <c r="AC140" s="41">
        <v>293</v>
      </c>
      <c r="AD140" s="41">
        <v>173645777</v>
      </c>
      <c r="AE140" s="41">
        <v>0</v>
      </c>
      <c r="AF140" s="41">
        <v>2905907427</v>
      </c>
      <c r="AG140" s="41">
        <v>2002780</v>
      </c>
      <c r="AH140" s="41">
        <v>4336430</v>
      </c>
      <c r="AI140" s="41">
        <v>65850494</v>
      </c>
      <c r="AJ140" s="41">
        <v>127333</v>
      </c>
      <c r="AK140" s="41">
        <v>0</v>
      </c>
      <c r="AL140" s="41">
        <v>17904789</v>
      </c>
      <c r="AM140" s="41">
        <v>18839074</v>
      </c>
      <c r="AN140" s="41">
        <v>19415943</v>
      </c>
      <c r="AO140" s="41">
        <v>114128</v>
      </c>
      <c r="AP140" s="41">
        <v>0</v>
      </c>
      <c r="AQ140" s="41">
        <v>56273934</v>
      </c>
      <c r="AR140" s="41">
        <v>5112797</v>
      </c>
      <c r="AS140" s="41">
        <v>61386731</v>
      </c>
      <c r="AT140" s="41">
        <v>0</v>
      </c>
      <c r="AU140" s="41">
        <v>10861</v>
      </c>
      <c r="AV140" s="41">
        <v>0</v>
      </c>
      <c r="AW140" s="41">
        <v>888377419</v>
      </c>
      <c r="AX140" s="41">
        <v>442119714</v>
      </c>
      <c r="AY140" s="41">
        <v>1025725688</v>
      </c>
      <c r="AZ140" s="41">
        <v>265165951</v>
      </c>
      <c r="BA140" s="41">
        <v>63006725</v>
      </c>
      <c r="BB140" s="41">
        <v>8033617302</v>
      </c>
      <c r="BC140" s="41">
        <v>32098209670</v>
      </c>
      <c r="BD140" s="41">
        <v>1378826364</v>
      </c>
      <c r="BE140" s="41">
        <v>3144745016</v>
      </c>
      <c r="BF140" s="41">
        <v>195020683</v>
      </c>
      <c r="BG140" s="41">
        <v>0</v>
      </c>
      <c r="BH140" s="41">
        <v>112873084</v>
      </c>
      <c r="BI140" s="41">
        <v>29931652</v>
      </c>
      <c r="BJ140" s="41">
        <v>7548741</v>
      </c>
      <c r="BK140" s="41">
        <v>0</v>
      </c>
      <c r="BL140" s="41">
        <v>0</v>
      </c>
      <c r="BM140" s="41">
        <v>41806504</v>
      </c>
      <c r="BN140" s="41">
        <v>359153337</v>
      </c>
      <c r="BO140" s="41">
        <v>0</v>
      </c>
      <c r="BP140" s="41">
        <v>12400229</v>
      </c>
      <c r="BQ140" s="41">
        <v>555089264</v>
      </c>
      <c r="BR140" s="41">
        <v>0</v>
      </c>
      <c r="BS140" s="42">
        <f>IFERROR(VLOOKUP(A140,'Trans 21-23'!$A$2:$J$229,5,0),0)</f>
        <v>1049810791</v>
      </c>
      <c r="BT140" s="43"/>
      <c r="BU140" s="6">
        <f t="shared" si="0"/>
        <v>8033617302</v>
      </c>
      <c r="BV140" s="6">
        <f t="shared" si="1"/>
        <v>10861</v>
      </c>
      <c r="BW140" s="6">
        <f t="shared" si="2"/>
        <v>2002780</v>
      </c>
      <c r="BX140" s="6">
        <f t="shared" si="3"/>
        <v>231679925</v>
      </c>
      <c r="BY140" s="6">
        <f t="shared" si="4"/>
        <v>187622432</v>
      </c>
      <c r="BZ140" s="6">
        <f t="shared" si="5"/>
        <v>265165951</v>
      </c>
      <c r="CA140" s="6">
        <f t="shared" si="6"/>
        <v>173645777</v>
      </c>
      <c r="CB140" s="6">
        <f t="shared" si="7"/>
        <v>4336430</v>
      </c>
      <c r="CC140" s="6">
        <f t="shared" si="8"/>
        <v>56273934</v>
      </c>
      <c r="CD140" s="6">
        <f t="shared" si="69"/>
        <v>1</v>
      </c>
      <c r="CE140" s="44">
        <f t="shared" si="10"/>
        <v>12</v>
      </c>
      <c r="CF140" s="27"/>
      <c r="CG140" s="28">
        <f t="shared" si="11"/>
        <v>739.67565620108644</v>
      </c>
      <c r="CH140" s="28">
        <f t="shared" si="12"/>
        <v>5.4229620827050402</v>
      </c>
      <c r="CI140" s="28">
        <f t="shared" si="13"/>
        <v>115.67916845584638</v>
      </c>
      <c r="CJ140" s="28">
        <f t="shared" si="14"/>
        <v>132.39894097204885</v>
      </c>
      <c r="CK140" s="23">
        <f t="shared" si="15"/>
        <v>7.7059300670182393E-2</v>
      </c>
      <c r="CL140" s="29" t="str">
        <f t="shared" si="16"/>
        <v/>
      </c>
      <c r="CM140" s="29" t="str">
        <f t="shared" si="66"/>
        <v/>
      </c>
      <c r="CN140" s="29" t="str">
        <f t="shared" si="18"/>
        <v/>
      </c>
      <c r="CO140" s="29" t="str">
        <f t="shared" si="19"/>
        <v/>
      </c>
      <c r="CP140" s="29" t="str">
        <f t="shared" si="20"/>
        <v/>
      </c>
      <c r="CQ140" s="29">
        <f t="shared" si="21"/>
        <v>0</v>
      </c>
      <c r="CR140" s="13"/>
      <c r="CS140" s="7">
        <f>VLOOKUP(A140,'Empresas 21-23'!$A$2:$M$228,13,0)</f>
        <v>1</v>
      </c>
      <c r="CT140" s="30"/>
      <c r="CU140" s="6">
        <f t="shared" si="22"/>
        <v>7874548175.8000002</v>
      </c>
      <c r="CV140" s="6">
        <f t="shared" si="23"/>
        <v>265165951</v>
      </c>
      <c r="CW140" s="6">
        <f t="shared" si="24"/>
        <v>1378826364</v>
      </c>
      <c r="CX140" s="23">
        <f t="shared" si="70"/>
        <v>0.25633809433478999</v>
      </c>
      <c r="CY140" s="23">
        <f t="shared" si="71"/>
        <v>8.6318774162438584E-3</v>
      </c>
      <c r="CZ140" s="6">
        <f t="shared" si="25"/>
        <v>8227993898.3663273</v>
      </c>
      <c r="DA140" s="6">
        <f t="shared" si="26"/>
        <v>277067811.15233326</v>
      </c>
      <c r="DB140" s="6">
        <f t="shared" si="27"/>
        <v>231679925</v>
      </c>
      <c r="DC140" s="6">
        <f t="shared" si="28"/>
        <v>242189100</v>
      </c>
      <c r="DD140" s="6">
        <f t="shared" si="29"/>
        <v>187622432</v>
      </c>
      <c r="DE140" s="6">
        <f t="shared" si="30"/>
        <v>173645777</v>
      </c>
      <c r="DF140" s="6">
        <f t="shared" si="31"/>
        <v>75056969.22518836</v>
      </c>
      <c r="DG140" s="30"/>
      <c r="DH140" s="32">
        <f>VLOOKUP(A140,'T_med_comp-USA'!$A$7:$Q$233,17,0)</f>
        <v>15.780569975532169</v>
      </c>
      <c r="DI140" s="6" t="str">
        <f t="shared" si="32"/>
        <v>3_2006</v>
      </c>
      <c r="DJ140" s="32">
        <f>IF(DI140="","",VLOOKUP(DI140,'CPI USA'!$T:$U,2,FALSE))</f>
        <v>201.6</v>
      </c>
      <c r="DK140" s="32">
        <f>IF(DI140="","",VLOOKUP(DI140,'PPI USA'!$S:$T,2,FALSE))</f>
        <v>145.30000000000001</v>
      </c>
      <c r="DL140" s="32">
        <f>IF(DI140="","",VLOOKUP(DI140,'CPI USA'!$T:$V,3,FALSE))</f>
        <v>0.67263024008352756</v>
      </c>
      <c r="DM140" s="32">
        <f>IF(DI140="","",VLOOKUP(DI140,'CPI USA'!$T:$X,5,FALSE))</f>
        <v>0.50115228263529643</v>
      </c>
      <c r="DN140" s="32">
        <f t="shared" si="33"/>
        <v>1.595396421204319</v>
      </c>
      <c r="DO140" s="32">
        <f t="shared" si="34"/>
        <v>1.6147712829199015</v>
      </c>
      <c r="DP140" s="32">
        <f t="shared" si="35"/>
        <v>0.48719406310235985</v>
      </c>
      <c r="DQ140" s="32">
        <f>IF(DP140="","",DP140*$DO$1/'CPI USA'!$U$508+(1-DP140)*AVERAGE($DO$1,$DQ$1)/AVERAGE('CPI USA'!$U$508,'PPI USA'!$T$514))</f>
        <v>1.1571847593335494</v>
      </c>
      <c r="DR140" s="6">
        <f t="shared" si="36"/>
        <v>37480393</v>
      </c>
      <c r="DS140" s="32">
        <f t="shared" si="37"/>
        <v>0.2</v>
      </c>
      <c r="DT140" s="28">
        <f>IF(DS140="","",DS140*$DO$1/'CPI USA'!$U$508+(1-DS140)*AVERAGE($DO$1,$DQ$1)/AVERAGE('CPI USA'!$U$508,'PPI USA'!$T$514))</f>
        <v>1.1741595760647974</v>
      </c>
      <c r="DU140" s="6">
        <f t="shared" si="38"/>
        <v>41806504</v>
      </c>
      <c r="DV140" s="6">
        <f t="shared" si="39"/>
        <v>955262.01904819405</v>
      </c>
      <c r="DW140" s="6">
        <f t="shared" si="40"/>
        <v>17901490.926769096</v>
      </c>
      <c r="DX140" s="16">
        <f t="shared" si="41"/>
        <v>0.23850537946796735</v>
      </c>
      <c r="DY140" s="28">
        <f>IF(DX140="","",DX140*$DO$1/'CPI USA'!$U$508+(1-DX140)*AVERAGE($DO$1,$DQ$1)/AVERAGE('CPI USA'!$U$508,'PPI USA'!$T$514))</f>
        <v>1.1718836872369598</v>
      </c>
      <c r="DZ140" s="30"/>
      <c r="EA140" s="45" t="str">
        <f t="shared" si="42"/>
        <v>C001646</v>
      </c>
      <c r="EB140" s="29">
        <f t="shared" si="43"/>
        <v>13126912019.144611</v>
      </c>
      <c r="EC140" s="29">
        <f t="shared" si="44"/>
        <v>447401144.87026215</v>
      </c>
      <c r="ED140" s="29">
        <f t="shared" si="45"/>
        <v>280257535.39670891</v>
      </c>
      <c r="EE140" s="29">
        <f t="shared" si="46"/>
        <v>220298675.21736628</v>
      </c>
      <c r="EF140" s="29">
        <f t="shared" si="47"/>
        <v>87958037.848444745</v>
      </c>
      <c r="EG140" s="29">
        <f t="shared" si="48"/>
        <v>10861</v>
      </c>
      <c r="EH140" s="29">
        <f t="shared" si="49"/>
        <v>2002780</v>
      </c>
      <c r="EI140" s="29">
        <f t="shared" si="50"/>
        <v>4336430</v>
      </c>
      <c r="EJ140" s="29">
        <f t="shared" si="51"/>
        <v>56273934</v>
      </c>
      <c r="EK140" s="29">
        <f t="shared" si="52"/>
        <v>60532504.147208124</v>
      </c>
      <c r="EL140" s="29">
        <f>IF(CD140=1,VLOOKUP(EA140,'EIA 2021'!$A$2:$J$213,4,0)*EH140,"")</f>
        <v>231565429.16</v>
      </c>
      <c r="EM140" s="29">
        <f>IF(CD140=1,VLOOKUP(EA140,'EIA 2021'!$A$2:$J$213,7,0)*EH140,"")</f>
        <v>7782803.0800000001</v>
      </c>
      <c r="EN140" s="29">
        <f>IF(CD140=1,VLOOKUP(EA140,'EIA 2021'!$A$2:$J$213,10,0),"")</f>
        <v>45433</v>
      </c>
      <c r="EO140" s="28">
        <f>IF(CD140=1,VLOOKUP(EA140,'EIA 2021'!$A$2:$Z$213,26,0),"")</f>
        <v>0</v>
      </c>
      <c r="EP140" s="23">
        <f t="shared" si="53"/>
        <v>7.0351792102500268E-2</v>
      </c>
      <c r="EQ140" s="32">
        <f t="shared" si="54"/>
        <v>77859.852791878395</v>
      </c>
      <c r="ER140" s="32">
        <f t="shared" si="55"/>
        <v>4258570.1472081216</v>
      </c>
      <c r="ES140" s="6"/>
      <c r="ET140" s="32"/>
    </row>
    <row r="141" spans="1:150" ht="15.75" customHeight="1">
      <c r="A141" s="7" t="s">
        <v>625</v>
      </c>
      <c r="B141" s="7" t="s">
        <v>626</v>
      </c>
      <c r="C141" s="32" t="s">
        <v>627</v>
      </c>
      <c r="D141" s="40">
        <v>0</v>
      </c>
      <c r="E141" s="40">
        <v>0</v>
      </c>
      <c r="F141" s="40">
        <v>0</v>
      </c>
      <c r="G141" s="40">
        <v>0</v>
      </c>
      <c r="H141" s="40">
        <v>0</v>
      </c>
      <c r="I141" s="40">
        <v>0</v>
      </c>
      <c r="J141" s="40">
        <v>0</v>
      </c>
      <c r="K141" s="40">
        <v>0</v>
      </c>
      <c r="L141" s="40">
        <v>0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f>IFERROR(VLOOKUP(A141,'Trans 21-23'!$A$2:$J$229,6,0),0)</f>
        <v>0</v>
      </c>
      <c r="Y141" s="41">
        <v>0</v>
      </c>
      <c r="Z141" s="41">
        <v>0</v>
      </c>
      <c r="AA141" s="41">
        <v>12410</v>
      </c>
      <c r="AB141" s="41">
        <v>0</v>
      </c>
      <c r="AC141" s="41">
        <v>0</v>
      </c>
      <c r="AD141" s="41">
        <v>91080</v>
      </c>
      <c r="AE141" s="41">
        <v>0</v>
      </c>
      <c r="AF141" s="41">
        <v>173877</v>
      </c>
      <c r="AG141" s="41">
        <v>0</v>
      </c>
      <c r="AH141" s="41">
        <v>0</v>
      </c>
      <c r="AI141" s="41">
        <v>0</v>
      </c>
      <c r="AJ141" s="41">
        <v>0</v>
      </c>
      <c r="AK141" s="41">
        <v>0</v>
      </c>
      <c r="AL141" s="41">
        <v>0</v>
      </c>
      <c r="AM141" s="41">
        <v>0</v>
      </c>
      <c r="AN141" s="41">
        <v>0</v>
      </c>
      <c r="AO141" s="41">
        <v>0</v>
      </c>
      <c r="AP141" s="41">
        <v>0</v>
      </c>
      <c r="AQ141" s="41">
        <v>0</v>
      </c>
      <c r="AR141" s="41">
        <v>0</v>
      </c>
      <c r="AS141" s="41">
        <v>0</v>
      </c>
      <c r="AT141" s="41">
        <v>0</v>
      </c>
      <c r="AU141" s="41">
        <v>0</v>
      </c>
      <c r="AV141" s="41">
        <v>0</v>
      </c>
      <c r="AW141" s="41">
        <v>0</v>
      </c>
      <c r="AX141" s="41">
        <v>0</v>
      </c>
      <c r="AY141" s="41">
        <v>0</v>
      </c>
      <c r="AZ141" s="41">
        <v>0</v>
      </c>
      <c r="BA141" s="41">
        <v>0</v>
      </c>
      <c r="BB141" s="41">
        <v>0</v>
      </c>
      <c r="BC141" s="41">
        <v>6069793</v>
      </c>
      <c r="BD141" s="41">
        <v>57076</v>
      </c>
      <c r="BE141" s="41">
        <v>0</v>
      </c>
      <c r="BF141" s="41">
        <v>0</v>
      </c>
      <c r="BG141" s="41">
        <v>0</v>
      </c>
      <c r="BH141" s="41">
        <v>19</v>
      </c>
      <c r="BI141" s="41">
        <v>43</v>
      </c>
      <c r="BJ141" s="41">
        <v>0</v>
      </c>
      <c r="BK141" s="41">
        <v>0</v>
      </c>
      <c r="BL141" s="41">
        <v>0</v>
      </c>
      <c r="BM141" s="41">
        <v>42313</v>
      </c>
      <c r="BN141" s="41">
        <v>44334</v>
      </c>
      <c r="BO141" s="41">
        <v>0</v>
      </c>
      <c r="BP141" s="41">
        <v>0</v>
      </c>
      <c r="BQ141" s="41">
        <v>44687</v>
      </c>
      <c r="BR141" s="41">
        <v>0</v>
      </c>
      <c r="BS141" s="42">
        <f>IFERROR(VLOOKUP(A141,'Trans 21-23'!$A$2:$J$229,5,0),0)</f>
        <v>0</v>
      </c>
      <c r="BT141" s="43"/>
      <c r="BU141" s="6">
        <f t="shared" si="0"/>
        <v>0</v>
      </c>
      <c r="BV141" s="6">
        <f t="shared" si="1"/>
        <v>0</v>
      </c>
      <c r="BW141" s="6">
        <f t="shared" si="2"/>
        <v>0</v>
      </c>
      <c r="BX141" s="6">
        <f t="shared" si="3"/>
        <v>0</v>
      </c>
      <c r="BY141" s="6">
        <f t="shared" si="4"/>
        <v>12410</v>
      </c>
      <c r="BZ141" s="6">
        <f t="shared" si="5"/>
        <v>0</v>
      </c>
      <c r="CA141" s="6">
        <f t="shared" si="6"/>
        <v>91080</v>
      </c>
      <c r="CB141" s="6">
        <f t="shared" si="7"/>
        <v>0</v>
      </c>
      <c r="CC141" s="6">
        <f t="shared" si="8"/>
        <v>0</v>
      </c>
      <c r="CD141" s="6">
        <f t="shared" si="69"/>
        <v>0</v>
      </c>
      <c r="CE141" s="44">
        <f t="shared" si="10"/>
        <v>58</v>
      </c>
      <c r="CF141" s="27"/>
      <c r="CG141" s="28" t="str">
        <f t="shared" si="11"/>
        <v/>
      </c>
      <c r="CH141" s="28" t="str">
        <f t="shared" si="12"/>
        <v/>
      </c>
      <c r="CI141" s="28" t="str">
        <f t="shared" si="13"/>
        <v/>
      </c>
      <c r="CJ141" s="28" t="str">
        <f t="shared" si="14"/>
        <v/>
      </c>
      <c r="CK141" s="23" t="str">
        <f t="shared" si="15"/>
        <v/>
      </c>
      <c r="CL141" s="29" t="str">
        <f t="shared" si="16"/>
        <v/>
      </c>
      <c r="CM141" s="29" t="str">
        <f t="shared" si="66"/>
        <v/>
      </c>
      <c r="CN141" s="29" t="str">
        <f t="shared" si="18"/>
        <v/>
      </c>
      <c r="CO141" s="29" t="str">
        <f t="shared" si="19"/>
        <v/>
      </c>
      <c r="CP141" s="29" t="str">
        <f t="shared" si="20"/>
        <v/>
      </c>
      <c r="CQ141" s="29">
        <f t="shared" si="21"/>
        <v>0</v>
      </c>
      <c r="CR141" s="13"/>
      <c r="CS141" s="7" t="str">
        <f>VLOOKUP(A141,'Empresas 21-23'!$A$2:$M$228,13,0)</f>
        <v/>
      </c>
      <c r="CT141" s="30"/>
      <c r="CU141" s="6">
        <f t="shared" si="22"/>
        <v>0</v>
      </c>
      <c r="CV141" s="6">
        <f t="shared" si="23"/>
        <v>0</v>
      </c>
      <c r="CW141" s="6">
        <f t="shared" si="24"/>
        <v>57076</v>
      </c>
      <c r="CX141" s="23">
        <f t="shared" si="70"/>
        <v>0</v>
      </c>
      <c r="CY141" s="23">
        <f t="shared" si="71"/>
        <v>0</v>
      </c>
      <c r="CZ141" s="6">
        <f t="shared" si="25"/>
        <v>0</v>
      </c>
      <c r="DA141" s="6">
        <f t="shared" si="26"/>
        <v>0</v>
      </c>
      <c r="DB141" s="6">
        <f t="shared" si="27"/>
        <v>0</v>
      </c>
      <c r="DC141" s="6">
        <f t="shared" si="28"/>
        <v>0</v>
      </c>
      <c r="DD141" s="6">
        <f t="shared" si="29"/>
        <v>12410</v>
      </c>
      <c r="DE141" s="6">
        <f t="shared" si="30"/>
        <v>91080</v>
      </c>
      <c r="DF141" s="6">
        <f t="shared" si="31"/>
        <v>13651.494619370267</v>
      </c>
      <c r="DG141" s="30"/>
      <c r="DH141" s="32" t="str">
        <f>VLOOKUP(A141,'T_med_comp-USA'!$A$7:$Q$233,17,0)</f>
        <v>-</v>
      </c>
      <c r="DI141" s="6" t="str">
        <f t="shared" si="32"/>
        <v/>
      </c>
      <c r="DJ141" s="32" t="str">
        <f>IF(DI141="","",VLOOKUP(DI141,'CPI USA'!$T:$U,2,FALSE))</f>
        <v/>
      </c>
      <c r="DK141" s="32" t="str">
        <f>IF(DI141="","",VLOOKUP(DI141,'PPI USA'!$S:$T,2,FALSE))</f>
        <v/>
      </c>
      <c r="DL141" s="32" t="str">
        <f>IF(DI141="","",VLOOKUP(DI141,'CPI USA'!$T:$V,3,FALSE))</f>
        <v/>
      </c>
      <c r="DM141" s="32" t="str">
        <f>IF(DI141="","",VLOOKUP(DI141,'CPI USA'!$T:$X,5,FALSE))</f>
        <v/>
      </c>
      <c r="DN141" s="32" t="str">
        <f t="shared" si="33"/>
        <v/>
      </c>
      <c r="DO141" s="32" t="str">
        <f t="shared" si="34"/>
        <v/>
      </c>
      <c r="DP141" s="32" t="str">
        <f t="shared" si="35"/>
        <v/>
      </c>
      <c r="DQ141" s="32" t="str">
        <f>IF(DP141="","",DP141*$DO$1/'CPI USA'!$U$508+(1-DP141)*AVERAGE($DO$1,$DQ$1)/AVERAGE('CPI USA'!$U$508,'PPI USA'!$T$514))</f>
        <v/>
      </c>
      <c r="DR141" s="6">
        <f t="shared" si="36"/>
        <v>43</v>
      </c>
      <c r="DS141" s="32">
        <f t="shared" si="37"/>
        <v>0.2</v>
      </c>
      <c r="DT141" s="28">
        <f>IF(DS141="","",DS141*$DO$1/'CPI USA'!$U$508+(1-DS141)*AVERAGE($DO$1,$DQ$1)/AVERAGE('CPI USA'!$U$508,'PPI USA'!$T$514))</f>
        <v>1.1741595760647974</v>
      </c>
      <c r="DU141" s="6" t="str">
        <f t="shared" si="38"/>
        <v/>
      </c>
      <c r="DV141" s="6">
        <f t="shared" si="39"/>
        <v>0</v>
      </c>
      <c r="DW141" s="6">
        <f t="shared" si="40"/>
        <v>0</v>
      </c>
      <c r="DX141" s="16" t="str">
        <f t="shared" si="41"/>
        <v/>
      </c>
      <c r="DY141" s="28" t="str">
        <f>IF(DX141="","",DX141*$DO$1/'CPI USA'!$U$508+(1-DX141)*AVERAGE($DO$1,$DQ$1)/AVERAGE('CPI USA'!$U$508,'PPI USA'!$T$514))</f>
        <v/>
      </c>
      <c r="DZ141" s="30"/>
      <c r="EA141" s="45" t="str">
        <f t="shared" si="42"/>
        <v>C001654</v>
      </c>
      <c r="EB141" s="29" t="str">
        <f t="shared" si="43"/>
        <v/>
      </c>
      <c r="EC141" s="29" t="str">
        <f t="shared" si="44"/>
        <v/>
      </c>
      <c r="ED141" s="29" t="str">
        <f t="shared" si="45"/>
        <v/>
      </c>
      <c r="EE141" s="29" t="str">
        <f t="shared" si="46"/>
        <v/>
      </c>
      <c r="EF141" s="29" t="str">
        <f t="shared" si="47"/>
        <v/>
      </c>
      <c r="EG141" s="29" t="str">
        <f t="shared" si="48"/>
        <v/>
      </c>
      <c r="EH141" s="29" t="str">
        <f t="shared" si="49"/>
        <v/>
      </c>
      <c r="EI141" s="29" t="str">
        <f t="shared" si="50"/>
        <v/>
      </c>
      <c r="EJ141" s="29" t="str">
        <f t="shared" si="51"/>
        <v/>
      </c>
      <c r="EK141" s="29" t="str">
        <f t="shared" si="52"/>
        <v/>
      </c>
      <c r="EL141" s="29" t="str">
        <f>IF(CD141=1,VLOOKUP(EA141,'EIA 2021'!$A$2:$J$213,4,0)*EH141,"")</f>
        <v/>
      </c>
      <c r="EM141" s="29" t="str">
        <f>IF(CD141=1,VLOOKUP(EA141,'EIA 2021'!$A$2:$J$213,7,0)*EH141,"")</f>
        <v/>
      </c>
      <c r="EN141" s="29" t="str">
        <f>IF(CD141=1,VLOOKUP(EA141,'EIA 2021'!$A$2:$J$213,10,0),"")</f>
        <v/>
      </c>
      <c r="EO141" s="28" t="str">
        <f>IF(CD141=1,VLOOKUP(EA141,'EIA 2021'!$A$2:$Z$213,26,0),"")</f>
        <v/>
      </c>
      <c r="EP141" s="23" t="str">
        <f t="shared" si="53"/>
        <v/>
      </c>
      <c r="EQ141" s="32" t="str">
        <f t="shared" si="54"/>
        <v/>
      </c>
      <c r="ER141" s="32" t="str">
        <f t="shared" si="55"/>
        <v/>
      </c>
      <c r="ES141" s="6"/>
      <c r="ET141" s="32"/>
    </row>
    <row r="142" spans="1:150" ht="15.75" customHeight="1">
      <c r="A142" s="7" t="s">
        <v>628</v>
      </c>
      <c r="B142" s="7" t="s">
        <v>629</v>
      </c>
      <c r="C142" s="32" t="s">
        <v>630</v>
      </c>
      <c r="D142" s="40">
        <v>0</v>
      </c>
      <c r="E142" s="40">
        <v>0</v>
      </c>
      <c r="F142" s="40">
        <v>0</v>
      </c>
      <c r="G142" s="40">
        <v>0</v>
      </c>
      <c r="H142" s="40">
        <v>0</v>
      </c>
      <c r="I142" s="40">
        <v>0</v>
      </c>
      <c r="J142" s="40">
        <v>0</v>
      </c>
      <c r="K142" s="40">
        <v>0</v>
      </c>
      <c r="L142" s="40">
        <v>0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f>IFERROR(VLOOKUP(A142,'Trans 21-23'!$A$2:$J$229,6,0),0)</f>
        <v>0</v>
      </c>
      <c r="Y142" s="41">
        <v>0</v>
      </c>
      <c r="Z142" s="41">
        <v>0</v>
      </c>
      <c r="AA142" s="41">
        <v>63799</v>
      </c>
      <c r="AB142" s="41">
        <v>3</v>
      </c>
      <c r="AC142" s="41">
        <v>0</v>
      </c>
      <c r="AD142" s="41">
        <v>1104907</v>
      </c>
      <c r="AE142" s="41">
        <v>0</v>
      </c>
      <c r="AF142" s="41">
        <v>7277793</v>
      </c>
      <c r="AG142" s="41">
        <v>0</v>
      </c>
      <c r="AH142" s="41">
        <v>0</v>
      </c>
      <c r="AI142" s="41">
        <v>0</v>
      </c>
      <c r="AJ142" s="41">
        <v>0</v>
      </c>
      <c r="AK142" s="41">
        <v>0</v>
      </c>
      <c r="AL142" s="41">
        <v>0</v>
      </c>
      <c r="AM142" s="41">
        <v>0</v>
      </c>
      <c r="AN142" s="41">
        <v>0</v>
      </c>
      <c r="AO142" s="41">
        <v>0</v>
      </c>
      <c r="AP142" s="41">
        <v>0</v>
      </c>
      <c r="AQ142" s="41">
        <v>0</v>
      </c>
      <c r="AR142" s="41">
        <v>0</v>
      </c>
      <c r="AS142" s="41">
        <v>0</v>
      </c>
      <c r="AT142" s="41">
        <v>0</v>
      </c>
      <c r="AU142" s="41">
        <v>0</v>
      </c>
      <c r="AV142" s="41">
        <v>0</v>
      </c>
      <c r="AW142" s="41">
        <v>0</v>
      </c>
      <c r="AX142" s="41">
        <v>0</v>
      </c>
      <c r="AY142" s="41">
        <v>0</v>
      </c>
      <c r="AZ142" s="41">
        <v>0</v>
      </c>
      <c r="BA142" s="41">
        <v>0</v>
      </c>
      <c r="BB142" s="41">
        <v>0</v>
      </c>
      <c r="BC142" s="41">
        <v>186679753</v>
      </c>
      <c r="BD142" s="41">
        <v>0</v>
      </c>
      <c r="BE142" s="41">
        <v>0</v>
      </c>
      <c r="BF142" s="41">
        <v>0</v>
      </c>
      <c r="BG142" s="41">
        <v>0</v>
      </c>
      <c r="BH142" s="41">
        <v>0</v>
      </c>
      <c r="BI142" s="41">
        <v>802</v>
      </c>
      <c r="BJ142" s="41">
        <v>0</v>
      </c>
      <c r="BK142" s="41">
        <v>0</v>
      </c>
      <c r="BL142" s="41">
        <v>0</v>
      </c>
      <c r="BM142" s="41">
        <v>278972</v>
      </c>
      <c r="BN142" s="41">
        <v>415925</v>
      </c>
      <c r="BO142" s="41">
        <v>5278</v>
      </c>
      <c r="BP142" s="41">
        <v>163</v>
      </c>
      <c r="BQ142" s="41">
        <v>865127</v>
      </c>
      <c r="BR142" s="41">
        <v>0</v>
      </c>
      <c r="BS142" s="42">
        <f>IFERROR(VLOOKUP(A142,'Trans 21-23'!$A$2:$J$229,5,0),0)</f>
        <v>0</v>
      </c>
      <c r="BT142" s="43"/>
      <c r="BU142" s="6">
        <f t="shared" si="0"/>
        <v>0</v>
      </c>
      <c r="BV142" s="6">
        <f t="shared" si="1"/>
        <v>0</v>
      </c>
      <c r="BW142" s="6">
        <f t="shared" si="2"/>
        <v>0</v>
      </c>
      <c r="BX142" s="6">
        <f t="shared" si="3"/>
        <v>0</v>
      </c>
      <c r="BY142" s="6">
        <f t="shared" si="4"/>
        <v>63802</v>
      </c>
      <c r="BZ142" s="6">
        <f t="shared" si="5"/>
        <v>0</v>
      </c>
      <c r="CA142" s="6">
        <f t="shared" si="6"/>
        <v>1104907</v>
      </c>
      <c r="CB142" s="6">
        <f t="shared" si="7"/>
        <v>0</v>
      </c>
      <c r="CC142" s="6">
        <f t="shared" si="8"/>
        <v>0</v>
      </c>
      <c r="CD142" s="6">
        <f t="shared" si="69"/>
        <v>0</v>
      </c>
      <c r="CE142" s="44">
        <f t="shared" si="10"/>
        <v>57</v>
      </c>
      <c r="CF142" s="27"/>
      <c r="CG142" s="28" t="str">
        <f t="shared" si="11"/>
        <v/>
      </c>
      <c r="CH142" s="28" t="str">
        <f t="shared" si="12"/>
        <v/>
      </c>
      <c r="CI142" s="28" t="str">
        <f t="shared" si="13"/>
        <v/>
      </c>
      <c r="CJ142" s="28" t="str">
        <f t="shared" si="14"/>
        <v/>
      </c>
      <c r="CK142" s="23" t="str">
        <f t="shared" si="15"/>
        <v/>
      </c>
      <c r="CL142" s="29" t="str">
        <f t="shared" si="16"/>
        <v/>
      </c>
      <c r="CM142" s="29" t="str">
        <f t="shared" si="66"/>
        <v/>
      </c>
      <c r="CN142" s="29" t="str">
        <f t="shared" si="18"/>
        <v/>
      </c>
      <c r="CO142" s="29" t="str">
        <f t="shared" si="19"/>
        <v/>
      </c>
      <c r="CP142" s="29" t="str">
        <f t="shared" si="20"/>
        <v/>
      </c>
      <c r="CQ142" s="29">
        <f t="shared" si="21"/>
        <v>0</v>
      </c>
      <c r="CR142" s="13"/>
      <c r="CS142" s="7" t="str">
        <f>VLOOKUP(A142,'Empresas 21-23'!$A$2:$M$228,13,0)</f>
        <v/>
      </c>
      <c r="CT142" s="30"/>
      <c r="CU142" s="6">
        <f t="shared" si="22"/>
        <v>0</v>
      </c>
      <c r="CV142" s="6">
        <f t="shared" si="23"/>
        <v>0</v>
      </c>
      <c r="CW142" s="6">
        <f t="shared" si="24"/>
        <v>0</v>
      </c>
      <c r="CX142" s="23">
        <f t="shared" si="70"/>
        <v>0</v>
      </c>
      <c r="CY142" s="23">
        <f t="shared" si="71"/>
        <v>0</v>
      </c>
      <c r="CZ142" s="6">
        <f t="shared" si="25"/>
        <v>0</v>
      </c>
      <c r="DA142" s="6">
        <f t="shared" si="26"/>
        <v>0</v>
      </c>
      <c r="DB142" s="6">
        <f t="shared" si="27"/>
        <v>0</v>
      </c>
      <c r="DC142" s="6">
        <f t="shared" si="28"/>
        <v>0</v>
      </c>
      <c r="DD142" s="6">
        <f t="shared" si="29"/>
        <v>63802</v>
      </c>
      <c r="DE142" s="6">
        <f t="shared" si="30"/>
        <v>1104907</v>
      </c>
      <c r="DF142" s="6">
        <f t="shared" si="31"/>
        <v>11420.148762507521</v>
      </c>
      <c r="DG142" s="30"/>
      <c r="DH142" s="32" t="str">
        <f>VLOOKUP(A142,'T_med_comp-USA'!$A$7:$Q$233,17,0)</f>
        <v>-</v>
      </c>
      <c r="DI142" s="6" t="str">
        <f t="shared" si="32"/>
        <v/>
      </c>
      <c r="DJ142" s="32" t="str">
        <f>IF(DI142="","",VLOOKUP(DI142,'CPI USA'!$T:$U,2,FALSE))</f>
        <v/>
      </c>
      <c r="DK142" s="32" t="str">
        <f>IF(DI142="","",VLOOKUP(DI142,'PPI USA'!$S:$T,2,FALSE))</f>
        <v/>
      </c>
      <c r="DL142" s="32" t="str">
        <f>IF(DI142="","",VLOOKUP(DI142,'CPI USA'!$T:$V,3,FALSE))</f>
        <v/>
      </c>
      <c r="DM142" s="32" t="str">
        <f>IF(DI142="","",VLOOKUP(DI142,'CPI USA'!$T:$X,5,FALSE))</f>
        <v/>
      </c>
      <c r="DN142" s="32" t="str">
        <f t="shared" si="33"/>
        <v/>
      </c>
      <c r="DO142" s="32" t="str">
        <f t="shared" si="34"/>
        <v/>
      </c>
      <c r="DP142" s="32" t="str">
        <f t="shared" si="35"/>
        <v/>
      </c>
      <c r="DQ142" s="32" t="str">
        <f>IF(DP142="","",DP142*$DO$1/'CPI USA'!$U$508+(1-DP142)*AVERAGE($DO$1,$DQ$1)/AVERAGE('CPI USA'!$U$508,'PPI USA'!$T$514))</f>
        <v/>
      </c>
      <c r="DR142" s="6">
        <f t="shared" si="36"/>
        <v>802</v>
      </c>
      <c r="DS142" s="32">
        <f t="shared" si="37"/>
        <v>0.2</v>
      </c>
      <c r="DT142" s="28">
        <f>IF(DS142="","",DS142*$DO$1/'CPI USA'!$U$508+(1-DS142)*AVERAGE($DO$1,$DQ$1)/AVERAGE('CPI USA'!$U$508,'PPI USA'!$T$514))</f>
        <v>1.1741595760647974</v>
      </c>
      <c r="DU142" s="6" t="str">
        <f t="shared" si="38"/>
        <v/>
      </c>
      <c r="DV142" s="6">
        <f t="shared" si="39"/>
        <v>52.571478119320574</v>
      </c>
      <c r="DW142" s="6">
        <f t="shared" si="40"/>
        <v>0</v>
      </c>
      <c r="DX142" s="16" t="str">
        <f t="shared" si="41"/>
        <v/>
      </c>
      <c r="DY142" s="28" t="str">
        <f>IF(DX142="","",DX142*$DO$1/'CPI USA'!$U$508+(1-DX142)*AVERAGE($DO$1,$DQ$1)/AVERAGE('CPI USA'!$U$508,'PPI USA'!$T$514))</f>
        <v/>
      </c>
      <c r="DZ142" s="30"/>
      <c r="EA142" s="45" t="str">
        <f t="shared" si="42"/>
        <v>C001655</v>
      </c>
      <c r="EB142" s="29" t="str">
        <f t="shared" si="43"/>
        <v/>
      </c>
      <c r="EC142" s="29" t="str">
        <f t="shared" si="44"/>
        <v/>
      </c>
      <c r="ED142" s="29" t="str">
        <f t="shared" si="45"/>
        <v/>
      </c>
      <c r="EE142" s="29" t="str">
        <f t="shared" si="46"/>
        <v/>
      </c>
      <c r="EF142" s="29" t="str">
        <f t="shared" si="47"/>
        <v/>
      </c>
      <c r="EG142" s="29" t="str">
        <f t="shared" si="48"/>
        <v/>
      </c>
      <c r="EH142" s="29" t="str">
        <f t="shared" si="49"/>
        <v/>
      </c>
      <c r="EI142" s="29" t="str">
        <f t="shared" si="50"/>
        <v/>
      </c>
      <c r="EJ142" s="29" t="str">
        <f t="shared" si="51"/>
        <v/>
      </c>
      <c r="EK142" s="29" t="str">
        <f t="shared" si="52"/>
        <v/>
      </c>
      <c r="EL142" s="29" t="str">
        <f>IF(CD142=1,VLOOKUP(EA142,'EIA 2021'!$A$2:$J$213,4,0)*EH142,"")</f>
        <v/>
      </c>
      <c r="EM142" s="29" t="str">
        <f>IF(CD142=1,VLOOKUP(EA142,'EIA 2021'!$A$2:$J$213,7,0)*EH142,"")</f>
        <v/>
      </c>
      <c r="EN142" s="29" t="str">
        <f>IF(CD142=1,VLOOKUP(EA142,'EIA 2021'!$A$2:$J$213,10,0),"")</f>
        <v/>
      </c>
      <c r="EO142" s="28" t="str">
        <f>IF(CD142=1,VLOOKUP(EA142,'EIA 2021'!$A$2:$Z$213,26,0),"")</f>
        <v/>
      </c>
      <c r="EP142" s="23" t="str">
        <f t="shared" si="53"/>
        <v/>
      </c>
      <c r="EQ142" s="32" t="str">
        <f t="shared" si="54"/>
        <v/>
      </c>
      <c r="ER142" s="32" t="str">
        <f t="shared" si="55"/>
        <v/>
      </c>
      <c r="ES142" s="6"/>
      <c r="ET142" s="32"/>
    </row>
    <row r="143" spans="1:150" ht="15.75" customHeight="1">
      <c r="A143" s="7" t="s">
        <v>631</v>
      </c>
      <c r="B143" s="7" t="s">
        <v>632</v>
      </c>
      <c r="C143" s="32" t="s">
        <v>633</v>
      </c>
      <c r="D143" s="40">
        <v>0</v>
      </c>
      <c r="E143" s="40">
        <v>0</v>
      </c>
      <c r="F143" s="40">
        <v>0</v>
      </c>
      <c r="G143" s="40">
        <v>0</v>
      </c>
      <c r="H143" s="40">
        <v>0</v>
      </c>
      <c r="I143" s="40">
        <v>0</v>
      </c>
      <c r="J143" s="40">
        <v>0</v>
      </c>
      <c r="K143" s="40">
        <v>0</v>
      </c>
      <c r="L143" s="40">
        <v>0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f>IFERROR(VLOOKUP(A143,'Trans 21-23'!$A$2:$J$229,6,0),0)</f>
        <v>0</v>
      </c>
      <c r="Y143" s="41">
        <v>0</v>
      </c>
      <c r="Z143" s="41">
        <v>0</v>
      </c>
      <c r="AA143" s="41">
        <v>74862</v>
      </c>
      <c r="AB143" s="41">
        <v>0</v>
      </c>
      <c r="AC143" s="41">
        <v>0</v>
      </c>
      <c r="AD143" s="41">
        <v>2899021</v>
      </c>
      <c r="AE143" s="41">
        <v>0</v>
      </c>
      <c r="AF143" s="41">
        <v>7766706</v>
      </c>
      <c r="AG143" s="41">
        <v>0</v>
      </c>
      <c r="AH143" s="41">
        <v>0</v>
      </c>
      <c r="AI143" s="41">
        <v>0</v>
      </c>
      <c r="AJ143" s="41">
        <v>0</v>
      </c>
      <c r="AK143" s="41">
        <v>0</v>
      </c>
      <c r="AL143" s="41">
        <v>0</v>
      </c>
      <c r="AM143" s="41">
        <v>0</v>
      </c>
      <c r="AN143" s="41">
        <v>0</v>
      </c>
      <c r="AO143" s="41">
        <v>0</v>
      </c>
      <c r="AP143" s="41">
        <v>0</v>
      </c>
      <c r="AQ143" s="41">
        <v>0</v>
      </c>
      <c r="AR143" s="41">
        <v>0</v>
      </c>
      <c r="AS143" s="41">
        <v>0</v>
      </c>
      <c r="AT143" s="41">
        <v>0</v>
      </c>
      <c r="AU143" s="41">
        <v>0</v>
      </c>
      <c r="AV143" s="41">
        <v>0</v>
      </c>
      <c r="AW143" s="41">
        <v>0</v>
      </c>
      <c r="AX143" s="41">
        <v>0</v>
      </c>
      <c r="AY143" s="41">
        <v>0</v>
      </c>
      <c r="AZ143" s="41">
        <v>0</v>
      </c>
      <c r="BA143" s="41">
        <v>0</v>
      </c>
      <c r="BB143" s="41">
        <v>0</v>
      </c>
      <c r="BC143" s="41">
        <v>270554648</v>
      </c>
      <c r="BD143" s="41">
        <v>1874866</v>
      </c>
      <c r="BE143" s="41">
        <v>0</v>
      </c>
      <c r="BF143" s="41">
        <v>0</v>
      </c>
      <c r="BG143" s="41">
        <v>0</v>
      </c>
      <c r="BH143" s="41">
        <v>3102</v>
      </c>
      <c r="BI143" s="41">
        <v>1187</v>
      </c>
      <c r="BJ143" s="41">
        <v>0</v>
      </c>
      <c r="BK143" s="41">
        <v>0</v>
      </c>
      <c r="BL143" s="41">
        <v>0</v>
      </c>
      <c r="BM143" s="41">
        <v>835573</v>
      </c>
      <c r="BN143" s="41">
        <v>2770300</v>
      </c>
      <c r="BO143" s="41">
        <v>9048</v>
      </c>
      <c r="BP143" s="41">
        <v>253</v>
      </c>
      <c r="BQ143" s="41">
        <v>2831875</v>
      </c>
      <c r="BR143" s="41">
        <v>0</v>
      </c>
      <c r="BS143" s="42">
        <f>IFERROR(VLOOKUP(A143,'Trans 21-23'!$A$2:$J$229,5,0),0)</f>
        <v>0</v>
      </c>
      <c r="BT143" s="43"/>
      <c r="BU143" s="6">
        <f t="shared" si="0"/>
        <v>0</v>
      </c>
      <c r="BV143" s="6">
        <f t="shared" si="1"/>
        <v>0</v>
      </c>
      <c r="BW143" s="6">
        <f t="shared" si="2"/>
        <v>0</v>
      </c>
      <c r="BX143" s="6">
        <f t="shared" si="3"/>
        <v>0</v>
      </c>
      <c r="BY143" s="6">
        <f t="shared" si="4"/>
        <v>74862</v>
      </c>
      <c r="BZ143" s="6">
        <f t="shared" si="5"/>
        <v>0</v>
      </c>
      <c r="CA143" s="6">
        <f t="shared" si="6"/>
        <v>2899021</v>
      </c>
      <c r="CB143" s="6">
        <f t="shared" si="7"/>
        <v>0</v>
      </c>
      <c r="CC143" s="6">
        <f t="shared" si="8"/>
        <v>0</v>
      </c>
      <c r="CD143" s="6">
        <f t="shared" si="69"/>
        <v>0</v>
      </c>
      <c r="CE143" s="44">
        <f t="shared" si="10"/>
        <v>56</v>
      </c>
      <c r="CF143" s="27"/>
      <c r="CG143" s="28" t="str">
        <f t="shared" si="11"/>
        <v/>
      </c>
      <c r="CH143" s="28" t="str">
        <f t="shared" si="12"/>
        <v/>
      </c>
      <c r="CI143" s="28" t="str">
        <f t="shared" si="13"/>
        <v/>
      </c>
      <c r="CJ143" s="28" t="str">
        <f t="shared" si="14"/>
        <v/>
      </c>
      <c r="CK143" s="23" t="str">
        <f t="shared" si="15"/>
        <v/>
      </c>
      <c r="CL143" s="29" t="str">
        <f t="shared" si="16"/>
        <v/>
      </c>
      <c r="CM143" s="29" t="str">
        <f t="shared" si="66"/>
        <v/>
      </c>
      <c r="CN143" s="29" t="str">
        <f t="shared" si="18"/>
        <v/>
      </c>
      <c r="CO143" s="29" t="str">
        <f t="shared" si="19"/>
        <v/>
      </c>
      <c r="CP143" s="29" t="str">
        <f t="shared" si="20"/>
        <v/>
      </c>
      <c r="CQ143" s="29">
        <f t="shared" si="21"/>
        <v>0</v>
      </c>
      <c r="CR143" s="13"/>
      <c r="CS143" s="7" t="str">
        <f>VLOOKUP(A143,'Empresas 21-23'!$A$2:$M$228,13,0)</f>
        <v/>
      </c>
      <c r="CT143" s="30"/>
      <c r="CU143" s="6">
        <f t="shared" si="22"/>
        <v>0</v>
      </c>
      <c r="CV143" s="6">
        <f t="shared" si="23"/>
        <v>0</v>
      </c>
      <c r="CW143" s="6">
        <f t="shared" si="24"/>
        <v>1874866</v>
      </c>
      <c r="CX143" s="23">
        <f t="shared" si="70"/>
        <v>0</v>
      </c>
      <c r="CY143" s="23">
        <f t="shared" si="71"/>
        <v>0</v>
      </c>
      <c r="CZ143" s="6">
        <f t="shared" si="25"/>
        <v>0</v>
      </c>
      <c r="DA143" s="6">
        <f t="shared" si="26"/>
        <v>0</v>
      </c>
      <c r="DB143" s="6">
        <f t="shared" si="27"/>
        <v>0</v>
      </c>
      <c r="DC143" s="6">
        <f t="shared" si="28"/>
        <v>0</v>
      </c>
      <c r="DD143" s="6">
        <f t="shared" si="29"/>
        <v>74862</v>
      </c>
      <c r="DE143" s="6">
        <f t="shared" si="30"/>
        <v>2899021</v>
      </c>
      <c r="DF143" s="6">
        <f t="shared" si="31"/>
        <v>44585.159085273597</v>
      </c>
      <c r="DG143" s="30"/>
      <c r="DH143" s="32" t="str">
        <f>VLOOKUP(A143,'T_med_comp-USA'!$A$7:$Q$233,17,0)</f>
        <v>-</v>
      </c>
      <c r="DI143" s="6" t="str">
        <f t="shared" si="32"/>
        <v/>
      </c>
      <c r="DJ143" s="32" t="str">
        <f>IF(DI143="","",VLOOKUP(DI143,'CPI USA'!$T:$U,2,FALSE))</f>
        <v/>
      </c>
      <c r="DK143" s="32" t="str">
        <f>IF(DI143="","",VLOOKUP(DI143,'PPI USA'!$S:$T,2,FALSE))</f>
        <v/>
      </c>
      <c r="DL143" s="32" t="str">
        <f>IF(DI143="","",VLOOKUP(DI143,'CPI USA'!$T:$V,3,FALSE))</f>
        <v/>
      </c>
      <c r="DM143" s="32" t="str">
        <f>IF(DI143="","",VLOOKUP(DI143,'CPI USA'!$T:$X,5,FALSE))</f>
        <v/>
      </c>
      <c r="DN143" s="32" t="str">
        <f t="shared" si="33"/>
        <v/>
      </c>
      <c r="DO143" s="32" t="str">
        <f t="shared" si="34"/>
        <v/>
      </c>
      <c r="DP143" s="32" t="str">
        <f t="shared" si="35"/>
        <v/>
      </c>
      <c r="DQ143" s="32" t="str">
        <f>IF(DP143="","",DP143*$DO$1/'CPI USA'!$U$508+(1-DP143)*AVERAGE($DO$1,$DQ$1)/AVERAGE('CPI USA'!$U$508,'PPI USA'!$T$514))</f>
        <v/>
      </c>
      <c r="DR143" s="6">
        <f t="shared" si="36"/>
        <v>1187</v>
      </c>
      <c r="DS143" s="32">
        <f t="shared" si="37"/>
        <v>0.2</v>
      </c>
      <c r="DT143" s="28">
        <f>IF(DS143="","",DS143*$DO$1/'CPI USA'!$U$508+(1-DS143)*AVERAGE($DO$1,$DQ$1)/AVERAGE('CPI USA'!$U$508,'PPI USA'!$T$514))</f>
        <v>1.1741595760647974</v>
      </c>
      <c r="DU143" s="6" t="str">
        <f t="shared" si="38"/>
        <v/>
      </c>
      <c r="DV143" s="6">
        <f t="shared" si="39"/>
        <v>74.656846499991886</v>
      </c>
      <c r="DW143" s="6">
        <f t="shared" si="40"/>
        <v>0</v>
      </c>
      <c r="DX143" s="16" t="str">
        <f t="shared" si="41"/>
        <v/>
      </c>
      <c r="DY143" s="28" t="str">
        <f>IF(DX143="","",DX143*$DO$1/'CPI USA'!$U$508+(1-DX143)*AVERAGE($DO$1,$DQ$1)/AVERAGE('CPI USA'!$U$508,'PPI USA'!$T$514))</f>
        <v/>
      </c>
      <c r="DZ143" s="30"/>
      <c r="EA143" s="45" t="str">
        <f t="shared" si="42"/>
        <v>C001656</v>
      </c>
      <c r="EB143" s="29" t="str">
        <f t="shared" si="43"/>
        <v/>
      </c>
      <c r="EC143" s="29" t="str">
        <f t="shared" si="44"/>
        <v/>
      </c>
      <c r="ED143" s="29" t="str">
        <f t="shared" si="45"/>
        <v/>
      </c>
      <c r="EE143" s="29" t="str">
        <f t="shared" si="46"/>
        <v/>
      </c>
      <c r="EF143" s="29" t="str">
        <f t="shared" si="47"/>
        <v/>
      </c>
      <c r="EG143" s="29" t="str">
        <f t="shared" si="48"/>
        <v/>
      </c>
      <c r="EH143" s="29" t="str">
        <f t="shared" si="49"/>
        <v/>
      </c>
      <c r="EI143" s="29" t="str">
        <f t="shared" si="50"/>
        <v/>
      </c>
      <c r="EJ143" s="29" t="str">
        <f t="shared" si="51"/>
        <v/>
      </c>
      <c r="EK143" s="29" t="str">
        <f t="shared" si="52"/>
        <v/>
      </c>
      <c r="EL143" s="29" t="str">
        <f>IF(CD143=1,VLOOKUP(EA143,'EIA 2021'!$A$2:$J$213,4,0)*EH143,"")</f>
        <v/>
      </c>
      <c r="EM143" s="29" t="str">
        <f>IF(CD143=1,VLOOKUP(EA143,'EIA 2021'!$A$2:$J$213,7,0)*EH143,"")</f>
        <v/>
      </c>
      <c r="EN143" s="29" t="str">
        <f>IF(CD143=1,VLOOKUP(EA143,'EIA 2021'!$A$2:$J$213,10,0),"")</f>
        <v/>
      </c>
      <c r="EO143" s="28" t="str">
        <f>IF(CD143=1,VLOOKUP(EA143,'EIA 2021'!$A$2:$Z$213,26,0),"")</f>
        <v/>
      </c>
      <c r="EP143" s="23" t="str">
        <f t="shared" si="53"/>
        <v/>
      </c>
      <c r="EQ143" s="32" t="str">
        <f t="shared" si="54"/>
        <v/>
      </c>
      <c r="ER143" s="32" t="str">
        <f t="shared" si="55"/>
        <v/>
      </c>
      <c r="ES143" s="6"/>
      <c r="ET143" s="32"/>
    </row>
    <row r="144" spans="1:150" ht="15.75" customHeight="1">
      <c r="A144" s="7" t="s">
        <v>634</v>
      </c>
      <c r="B144" s="7" t="s">
        <v>635</v>
      </c>
      <c r="C144" s="32" t="s">
        <v>636</v>
      </c>
      <c r="D144" s="40">
        <v>117461791</v>
      </c>
      <c r="E144" s="40">
        <v>0</v>
      </c>
      <c r="F144" s="40">
        <v>0</v>
      </c>
      <c r="G144" s="40">
        <v>438960806</v>
      </c>
      <c r="H144" s="40">
        <v>440851745</v>
      </c>
      <c r="I144" s="40">
        <v>970890</v>
      </c>
      <c r="J144" s="40">
        <v>2884</v>
      </c>
      <c r="K144" s="40">
        <v>582092</v>
      </c>
      <c r="L144" s="40">
        <v>306166</v>
      </c>
      <c r="M144" s="40">
        <v>139435</v>
      </c>
      <c r="N144" s="40">
        <v>9237</v>
      </c>
      <c r="O144" s="40">
        <v>5966317</v>
      </c>
      <c r="P144" s="40">
        <v>91388</v>
      </c>
      <c r="Q144" s="40">
        <v>867650</v>
      </c>
      <c r="R144" s="40">
        <v>0</v>
      </c>
      <c r="S144" s="40">
        <v>76280</v>
      </c>
      <c r="T144" s="40">
        <v>12987079</v>
      </c>
      <c r="U144" s="40">
        <v>1770527</v>
      </c>
      <c r="V144" s="40">
        <v>0</v>
      </c>
      <c r="W144" s="40">
        <v>938244</v>
      </c>
      <c r="X144" s="40">
        <f>IFERROR(VLOOKUP(A144,'Trans 21-23'!$A$2:$J$229,6,0),0)</f>
        <v>2851920</v>
      </c>
      <c r="Y144" s="41">
        <v>386755</v>
      </c>
      <c r="Z144" s="41">
        <v>368</v>
      </c>
      <c r="AA144" s="41">
        <v>5378218</v>
      </c>
      <c r="AB144" s="41">
        <v>7299190</v>
      </c>
      <c r="AC144" s="41">
        <v>20544</v>
      </c>
      <c r="AD144" s="41">
        <v>66951072</v>
      </c>
      <c r="AE144" s="41">
        <v>0</v>
      </c>
      <c r="AF144" s="41">
        <v>821965053</v>
      </c>
      <c r="AG144" s="41">
        <v>149676</v>
      </c>
      <c r="AH144" s="41">
        <v>464757</v>
      </c>
      <c r="AI144" s="41">
        <v>15872858</v>
      </c>
      <c r="AJ144" s="41">
        <v>16407</v>
      </c>
      <c r="AK144" s="41">
        <v>0</v>
      </c>
      <c r="AL144" s="41">
        <v>1046341</v>
      </c>
      <c r="AM144" s="41">
        <v>1181246</v>
      </c>
      <c r="AN144" s="41">
        <v>6611310</v>
      </c>
      <c r="AO144" s="41">
        <v>10445</v>
      </c>
      <c r="AP144" s="41">
        <v>47497</v>
      </c>
      <c r="AQ144" s="41">
        <v>8896839</v>
      </c>
      <c r="AR144" s="41">
        <v>6494855</v>
      </c>
      <c r="AS144" s="41">
        <v>15391694</v>
      </c>
      <c r="AT144" s="41">
        <v>0</v>
      </c>
      <c r="AU144" s="41">
        <v>1557</v>
      </c>
      <c r="AV144" s="41">
        <v>0</v>
      </c>
      <c r="AW144" s="41">
        <v>103483950</v>
      </c>
      <c r="AX144" s="41">
        <v>14464908</v>
      </c>
      <c r="AY144" s="41">
        <v>113084892</v>
      </c>
      <c r="AZ144" s="41">
        <v>68218583</v>
      </c>
      <c r="BA144" s="41">
        <v>6535806</v>
      </c>
      <c r="BB144" s="41">
        <v>668166036</v>
      </c>
      <c r="BC144" s="41">
        <v>4882138215</v>
      </c>
      <c r="BD144" s="41">
        <v>234872350</v>
      </c>
      <c r="BE144" s="41">
        <v>317739191</v>
      </c>
      <c r="BF144" s="41">
        <v>22194751</v>
      </c>
      <c r="BG144" s="41">
        <v>0</v>
      </c>
      <c r="BH144" s="41">
        <v>12007335</v>
      </c>
      <c r="BI144" s="41">
        <v>2487725</v>
      </c>
      <c r="BJ144" s="41">
        <v>813807</v>
      </c>
      <c r="BK144" s="41">
        <v>680</v>
      </c>
      <c r="BL144" s="41">
        <v>0</v>
      </c>
      <c r="BM144" s="41">
        <v>25759604</v>
      </c>
      <c r="BN144" s="41">
        <v>76261294</v>
      </c>
      <c r="BO144" s="41">
        <v>1031053</v>
      </c>
      <c r="BP144" s="41">
        <v>17208682</v>
      </c>
      <c r="BQ144" s="41">
        <v>110084760</v>
      </c>
      <c r="BR144" s="41">
        <v>0</v>
      </c>
      <c r="BS144" s="42">
        <f>IFERROR(VLOOKUP(A144,'Trans 21-23'!$A$2:$J$229,5,0),0)</f>
        <v>181711836</v>
      </c>
      <c r="BT144" s="43"/>
      <c r="BU144" s="6">
        <f t="shared" si="0"/>
        <v>668166036</v>
      </c>
      <c r="BV144" s="6">
        <f t="shared" si="1"/>
        <v>1557</v>
      </c>
      <c r="BW144" s="6">
        <f t="shared" si="2"/>
        <v>149676</v>
      </c>
      <c r="BX144" s="6">
        <f t="shared" si="3"/>
        <v>24708189</v>
      </c>
      <c r="BY144" s="6">
        <f t="shared" si="4"/>
        <v>13085075</v>
      </c>
      <c r="BZ144" s="6">
        <f t="shared" si="5"/>
        <v>68218583</v>
      </c>
      <c r="CA144" s="6">
        <f t="shared" si="6"/>
        <v>66951072</v>
      </c>
      <c r="CB144" s="6">
        <f t="shared" si="7"/>
        <v>464757</v>
      </c>
      <c r="CC144" s="6">
        <f t="shared" si="8"/>
        <v>8896839</v>
      </c>
      <c r="CD144" s="6">
        <f t="shared" si="69"/>
        <v>1</v>
      </c>
      <c r="CE144" s="44">
        <f t="shared" si="10"/>
        <v>11</v>
      </c>
      <c r="CF144" s="27"/>
      <c r="CG144" s="28">
        <f t="shared" si="11"/>
        <v>429.13682466281313</v>
      </c>
      <c r="CH144" s="28">
        <f t="shared" si="12"/>
        <v>10.402469333760923</v>
      </c>
      <c r="CI144" s="28">
        <f t="shared" si="13"/>
        <v>165.07782810871481</v>
      </c>
      <c r="CJ144" s="28">
        <f t="shared" si="14"/>
        <v>455.77502739250116</v>
      </c>
      <c r="CK144" s="23">
        <f t="shared" si="15"/>
        <v>5.2238441091268482E-2</v>
      </c>
      <c r="CL144" s="29" t="str">
        <f t="shared" si="16"/>
        <v/>
      </c>
      <c r="CM144" s="29" t="str">
        <f t="shared" si="66"/>
        <v/>
      </c>
      <c r="CN144" s="29" t="str">
        <f t="shared" si="18"/>
        <v/>
      </c>
      <c r="CO144" s="29" t="str">
        <f t="shared" si="19"/>
        <v/>
      </c>
      <c r="CP144" s="29" t="str">
        <f t="shared" si="20"/>
        <v/>
      </c>
      <c r="CQ144" s="29">
        <f t="shared" si="21"/>
        <v>0</v>
      </c>
      <c r="CR144" s="13"/>
      <c r="CS144" s="7">
        <f>VLOOKUP(A144,'Empresas 21-23'!$A$2:$M$228,13,0)</f>
        <v>1</v>
      </c>
      <c r="CT144" s="30"/>
      <c r="CU144" s="6">
        <f t="shared" si="22"/>
        <v>698593603</v>
      </c>
      <c r="CV144" s="6">
        <f t="shared" si="23"/>
        <v>68218583</v>
      </c>
      <c r="CW144" s="6">
        <f t="shared" si="24"/>
        <v>234872350</v>
      </c>
      <c r="CX144" s="23">
        <f t="shared" si="70"/>
        <v>0.15032357159966359</v>
      </c>
      <c r="CY144" s="23">
        <f t="shared" si="71"/>
        <v>1.4679294230565826E-2</v>
      </c>
      <c r="CZ144" s="6">
        <f t="shared" si="25"/>
        <v>733900453.52200627</v>
      </c>
      <c r="DA144" s="6">
        <f t="shared" si="26"/>
        <v>71666343.332274437</v>
      </c>
      <c r="DB144" s="6">
        <f t="shared" si="27"/>
        <v>24708189</v>
      </c>
      <c r="DC144" s="6">
        <f t="shared" si="28"/>
        <v>27560109</v>
      </c>
      <c r="DD144" s="6">
        <f t="shared" si="29"/>
        <v>13085075</v>
      </c>
      <c r="DE144" s="6">
        <f t="shared" si="30"/>
        <v>66951072</v>
      </c>
      <c r="DF144" s="6">
        <f t="shared" si="31"/>
        <v>13834430.524228087</v>
      </c>
      <c r="DG144" s="30"/>
      <c r="DH144" s="32">
        <f>VLOOKUP(A144,'T_med_comp-USA'!$A$7:$Q$233,17,0)</f>
        <v>14.227950903717968</v>
      </c>
      <c r="DI144" s="6" t="str">
        <f t="shared" si="32"/>
        <v>10_2007</v>
      </c>
      <c r="DJ144" s="32">
        <f>IF(DI144="","",VLOOKUP(DI144,'CPI USA'!$T:$U,2,FALSE))</f>
        <v>207.34200000000001</v>
      </c>
      <c r="DK144" s="32">
        <f>IF(DI144="","",VLOOKUP(DI144,'PPI USA'!$S:$T,2,FALSE))</f>
        <v>151.69999999999999</v>
      </c>
      <c r="DL144" s="32">
        <f>IF(DI144="","",VLOOKUP(DI144,'CPI USA'!$T:$V,3,FALSE))</f>
        <v>0.67123734379962852</v>
      </c>
      <c r="DM144" s="32">
        <f>IF(DI144="","",VLOOKUP(DI144,'CPI USA'!$T:$X,5,FALSE))</f>
        <v>0.49957259686190569</v>
      </c>
      <c r="DN144" s="32">
        <f t="shared" si="33"/>
        <v>1.5480022216582647</v>
      </c>
      <c r="DO144" s="32">
        <f t="shared" si="34"/>
        <v>1.5651038394149617</v>
      </c>
      <c r="DP144" s="32">
        <f t="shared" si="35"/>
        <v>0.49253606637221048</v>
      </c>
      <c r="DQ144" s="32">
        <f>IF(DP144="","",DP144*$DO$1/'CPI USA'!$U$508+(1-DP144)*AVERAGE($DO$1,$DQ$1)/AVERAGE('CPI USA'!$U$508,'PPI USA'!$T$514))</f>
        <v>1.1568690162937947</v>
      </c>
      <c r="DR144" s="6">
        <f t="shared" si="36"/>
        <v>3302212</v>
      </c>
      <c r="DS144" s="32">
        <f t="shared" si="37"/>
        <v>0.25577674713000026</v>
      </c>
      <c r="DT144" s="28">
        <f>IF(DS144="","",DS144*$DO$1/'CPI USA'!$U$508+(1-DS144)*AVERAGE($DO$1,$DQ$1)/AVERAGE('CPI USA'!$U$508,'PPI USA'!$T$514))</f>
        <v>1.1708628503241281</v>
      </c>
      <c r="DU144" s="6">
        <f t="shared" si="38"/>
        <v>26107873.949143689</v>
      </c>
      <c r="DV144" s="6">
        <f t="shared" si="39"/>
        <v>4772906.4709421517</v>
      </c>
      <c r="DW144" s="6">
        <f t="shared" si="40"/>
        <v>6199354.0161800021</v>
      </c>
      <c r="DX144" s="16">
        <f t="shared" si="41"/>
        <v>0.44811053156999425</v>
      </c>
      <c r="DY144" s="28">
        <f>IF(DX144="","",DX144*$DO$1/'CPI USA'!$U$508+(1-DX144)*AVERAGE($DO$1,$DQ$1)/AVERAGE('CPI USA'!$U$508,'PPI USA'!$T$514))</f>
        <v>1.1594948202651898</v>
      </c>
      <c r="DZ144" s="30"/>
      <c r="EA144" s="45" t="str">
        <f t="shared" si="42"/>
        <v>C001673</v>
      </c>
      <c r="EB144" s="29">
        <f t="shared" si="43"/>
        <v>1136079532.5280738</v>
      </c>
      <c r="EC144" s="29">
        <f t="shared" si="44"/>
        <v>112165269.10617356</v>
      </c>
      <c r="ED144" s="29">
        <f t="shared" si="45"/>
        <v>31883436.187779758</v>
      </c>
      <c r="EE144" s="29">
        <f t="shared" si="46"/>
        <v>15320828.211204991</v>
      </c>
      <c r="EF144" s="29">
        <f t="shared" si="47"/>
        <v>16040950.5341611</v>
      </c>
      <c r="EG144" s="29">
        <f t="shared" si="48"/>
        <v>1557</v>
      </c>
      <c r="EH144" s="29">
        <f t="shared" si="49"/>
        <v>149676</v>
      </c>
      <c r="EI144" s="29">
        <f t="shared" si="50"/>
        <v>464757</v>
      </c>
      <c r="EJ144" s="29">
        <f t="shared" si="51"/>
        <v>8896839</v>
      </c>
      <c r="EK144" s="29">
        <f t="shared" si="52"/>
        <v>9262689.5786802024</v>
      </c>
      <c r="EL144" s="29">
        <f>IF(CD144=1,VLOOKUP(EA144,'EIA 2021'!$A$2:$J$213,4,0)*EH144,"")</f>
        <v>18859176</v>
      </c>
      <c r="EM144" s="29">
        <f>IF(CD144=1,VLOOKUP(EA144,'EIA 2021'!$A$2:$J$213,7,0)*EH144,"")</f>
        <v>217030.19999999998</v>
      </c>
      <c r="EN144" s="29">
        <f>IF(CD144=1,VLOOKUP(EA144,'EIA 2021'!$A$2:$J$213,10,0),"")</f>
        <v>149660</v>
      </c>
      <c r="EO144" s="28">
        <f>IF(CD144=1,VLOOKUP(EA144,'EIA 2021'!$A$2:$Z$213,26,0),"")</f>
        <v>0</v>
      </c>
      <c r="EP144" s="23">
        <f t="shared" si="53"/>
        <v>3.9497229781107666E-2</v>
      </c>
      <c r="EQ144" s="32">
        <f t="shared" si="54"/>
        <v>98906.421319796704</v>
      </c>
      <c r="ER144" s="32">
        <f t="shared" si="55"/>
        <v>365850.5786802033</v>
      </c>
      <c r="ES144" s="6"/>
      <c r="ET144" s="32"/>
    </row>
    <row r="145" spans="1:150" ht="15.75" customHeight="1">
      <c r="A145" s="7" t="s">
        <v>637</v>
      </c>
      <c r="B145" s="7" t="s">
        <v>638</v>
      </c>
      <c r="C145" s="32" t="s">
        <v>639</v>
      </c>
      <c r="D145" s="40">
        <v>0</v>
      </c>
      <c r="E145" s="40">
        <v>0</v>
      </c>
      <c r="F145" s="40">
        <v>0</v>
      </c>
      <c r="G145" s="40">
        <v>0</v>
      </c>
      <c r="H145" s="40">
        <v>0</v>
      </c>
      <c r="I145" s="40">
        <v>0</v>
      </c>
      <c r="J145" s="40">
        <v>0</v>
      </c>
      <c r="K145" s="40">
        <v>0</v>
      </c>
      <c r="L145" s="40">
        <v>0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f>IFERROR(VLOOKUP(A145,'Trans 21-23'!$A$2:$J$229,6,0),0)</f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  <c r="AF145" s="41">
        <v>0</v>
      </c>
      <c r="AG145" s="41">
        <v>0</v>
      </c>
      <c r="AH145" s="41">
        <v>0</v>
      </c>
      <c r="AI145" s="41">
        <v>0</v>
      </c>
      <c r="AJ145" s="41">
        <v>0</v>
      </c>
      <c r="AK145" s="41">
        <v>0</v>
      </c>
      <c r="AL145" s="41">
        <v>0</v>
      </c>
      <c r="AM145" s="41">
        <v>0</v>
      </c>
      <c r="AN145" s="41">
        <v>0</v>
      </c>
      <c r="AO145" s="41">
        <v>0</v>
      </c>
      <c r="AP145" s="41">
        <v>0</v>
      </c>
      <c r="AQ145" s="41">
        <v>0</v>
      </c>
      <c r="AR145" s="41">
        <v>0</v>
      </c>
      <c r="AS145" s="41">
        <v>0</v>
      </c>
      <c r="AT145" s="41">
        <v>0</v>
      </c>
      <c r="AU145" s="41">
        <v>0</v>
      </c>
      <c r="AV145" s="41">
        <v>0</v>
      </c>
      <c r="AW145" s="41">
        <v>0</v>
      </c>
      <c r="AX145" s="41">
        <v>0</v>
      </c>
      <c r="AY145" s="41">
        <v>0</v>
      </c>
      <c r="AZ145" s="41">
        <v>0</v>
      </c>
      <c r="BA145" s="41">
        <v>0</v>
      </c>
      <c r="BB145" s="41">
        <v>0</v>
      </c>
      <c r="BC145" s="41">
        <v>360814</v>
      </c>
      <c r="BD145" s="41">
        <v>360814</v>
      </c>
      <c r="BE145" s="41">
        <v>0</v>
      </c>
      <c r="BF145" s="41">
        <v>0</v>
      </c>
      <c r="BG145" s="41">
        <v>0</v>
      </c>
      <c r="BH145" s="41">
        <v>0</v>
      </c>
      <c r="BI145" s="41">
        <v>0</v>
      </c>
      <c r="BJ145" s="41">
        <v>0</v>
      </c>
      <c r="BK145" s="41">
        <v>0</v>
      </c>
      <c r="BL145" s="41">
        <v>0</v>
      </c>
      <c r="BM145" s="41">
        <v>0</v>
      </c>
      <c r="BN145" s="41">
        <v>0</v>
      </c>
      <c r="BO145" s="41">
        <v>0</v>
      </c>
      <c r="BP145" s="41">
        <v>0</v>
      </c>
      <c r="BQ145" s="41">
        <v>0</v>
      </c>
      <c r="BR145" s="41">
        <v>0</v>
      </c>
      <c r="BS145" s="42">
        <f>IFERROR(VLOOKUP(A145,'Trans 21-23'!$A$2:$J$229,5,0),0)</f>
        <v>0</v>
      </c>
      <c r="BT145" s="43"/>
      <c r="BU145" s="6">
        <f t="shared" si="0"/>
        <v>0</v>
      </c>
      <c r="BV145" s="6">
        <f t="shared" si="1"/>
        <v>0</v>
      </c>
      <c r="BW145" s="6">
        <f t="shared" si="2"/>
        <v>0</v>
      </c>
      <c r="BX145" s="6">
        <f t="shared" si="3"/>
        <v>0</v>
      </c>
      <c r="BY145" s="6">
        <f t="shared" si="4"/>
        <v>0</v>
      </c>
      <c r="BZ145" s="6">
        <f t="shared" si="5"/>
        <v>0</v>
      </c>
      <c r="CA145" s="6">
        <f t="shared" si="6"/>
        <v>0</v>
      </c>
      <c r="CB145" s="6">
        <f t="shared" si="7"/>
        <v>0</v>
      </c>
      <c r="CC145" s="6">
        <f t="shared" si="8"/>
        <v>0</v>
      </c>
      <c r="CD145" s="6">
        <f>IF(OR(BU145&lt;=0,BV145&lt;=0,BW145&lt;=0,BX145&lt;=0,BY145&lt;=0,BZ145&lt;=0,CA145&lt;=0,CB145&lt;=0,CC145&lt;=0),0,1)</f>
        <v>0</v>
      </c>
      <c r="CE145" s="44">
        <f t="shared" si="10"/>
        <v>66</v>
      </c>
      <c r="CF145" s="27"/>
      <c r="CG145" s="28" t="str">
        <f t="shared" si="11"/>
        <v/>
      </c>
      <c r="CH145" s="28" t="str">
        <f t="shared" si="12"/>
        <v/>
      </c>
      <c r="CI145" s="28" t="str">
        <f t="shared" si="13"/>
        <v/>
      </c>
      <c r="CJ145" s="28" t="str">
        <f t="shared" si="14"/>
        <v/>
      </c>
      <c r="CK145" s="23" t="str">
        <f t="shared" si="15"/>
        <v/>
      </c>
      <c r="CL145" s="29" t="str">
        <f t="shared" si="16"/>
        <v/>
      </c>
      <c r="CM145" s="29" t="str">
        <f t="shared" si="66"/>
        <v/>
      </c>
      <c r="CN145" s="29" t="str">
        <f t="shared" si="18"/>
        <v/>
      </c>
      <c r="CO145" s="29" t="str">
        <f t="shared" si="19"/>
        <v/>
      </c>
      <c r="CP145" s="29" t="str">
        <f t="shared" si="20"/>
        <v/>
      </c>
      <c r="CQ145" s="29">
        <f t="shared" si="21"/>
        <v>0</v>
      </c>
      <c r="CR145" s="13"/>
      <c r="CS145" s="7" t="str">
        <f>VLOOKUP(A145,'Empresas 21-23'!$A$2:$M$228,13,0)</f>
        <v/>
      </c>
      <c r="CT145" s="30"/>
      <c r="CU145" s="6">
        <f t="shared" si="22"/>
        <v>0</v>
      </c>
      <c r="CV145" s="6">
        <f t="shared" si="23"/>
        <v>0</v>
      </c>
      <c r="CW145" s="6">
        <f t="shared" si="24"/>
        <v>360814</v>
      </c>
      <c r="CX145" s="23" t="str">
        <f>IFERROR(CU145/(BC145-BD145),"")</f>
        <v/>
      </c>
      <c r="CY145" s="23" t="str">
        <f>IFERROR(CV145/(BC145-BD145),"")</f>
        <v/>
      </c>
      <c r="CZ145" s="6" t="e">
        <f t="shared" si="25"/>
        <v>#VALUE!</v>
      </c>
      <c r="DA145" s="6" t="e">
        <f t="shared" si="26"/>
        <v>#VALUE!</v>
      </c>
      <c r="DB145" s="6">
        <f t="shared" si="27"/>
        <v>0</v>
      </c>
      <c r="DC145" s="6">
        <f t="shared" si="28"/>
        <v>0</v>
      </c>
      <c r="DD145" s="6">
        <f t="shared" si="29"/>
        <v>0</v>
      </c>
      <c r="DE145" s="6">
        <f t="shared" si="30"/>
        <v>0</v>
      </c>
      <c r="DF145" s="6" t="e">
        <f t="shared" si="31"/>
        <v>#DIV/0!</v>
      </c>
      <c r="DG145" s="30"/>
      <c r="DH145" s="32" t="str">
        <f>VLOOKUP(A145,'T_med_comp-USA'!$A$7:$Q$233,17,0)</f>
        <v>-</v>
      </c>
      <c r="DI145" s="6" t="str">
        <f t="shared" si="32"/>
        <v/>
      </c>
      <c r="DJ145" s="32" t="str">
        <f>IF(DI145="","",VLOOKUP(DI145,'CPI USA'!$T:$U,2,FALSE))</f>
        <v/>
      </c>
      <c r="DK145" s="32" t="str">
        <f>IF(DI145="","",VLOOKUP(DI145,'PPI USA'!$S:$T,2,FALSE))</f>
        <v/>
      </c>
      <c r="DL145" s="32" t="str">
        <f>IF(DI145="","",VLOOKUP(DI145,'CPI USA'!$T:$V,3,FALSE))</f>
        <v/>
      </c>
      <c r="DM145" s="32" t="str">
        <f>IF(DI145="","",VLOOKUP(DI145,'CPI USA'!$T:$X,5,FALSE))</f>
        <v/>
      </c>
      <c r="DN145" s="32" t="str">
        <f t="shared" si="33"/>
        <v/>
      </c>
      <c r="DO145" s="32" t="str">
        <f t="shared" si="34"/>
        <v/>
      </c>
      <c r="DP145" s="32" t="str">
        <f t="shared" si="35"/>
        <v/>
      </c>
      <c r="DQ145" s="32" t="str">
        <f>IF(DP145="","",DP145*$DO$1/'CPI USA'!$U$508+(1-DP145)*AVERAGE($DO$1,$DQ$1)/AVERAGE('CPI USA'!$U$508,'PPI USA'!$T$514))</f>
        <v/>
      </c>
      <c r="DR145" s="6">
        <f t="shared" si="36"/>
        <v>0</v>
      </c>
      <c r="DS145" s="32" t="str">
        <f t="shared" si="37"/>
        <v/>
      </c>
      <c r="DT145" s="28" t="str">
        <f>IF(DS145="","",DS145*$DO$1/'CPI USA'!$U$508+(1-DS145)*AVERAGE($DO$1,$DQ$1)/AVERAGE('CPI USA'!$U$508,'PPI USA'!$T$514))</f>
        <v/>
      </c>
      <c r="DU145" s="6" t="str">
        <f t="shared" si="38"/>
        <v/>
      </c>
      <c r="DV145" s="6" t="str">
        <f t="shared" si="39"/>
        <v/>
      </c>
      <c r="DW145" s="6">
        <f t="shared" si="40"/>
        <v>0</v>
      </c>
      <c r="DX145" s="16" t="e">
        <f t="shared" si="41"/>
        <v>#VALUE!</v>
      </c>
      <c r="DY145" s="28" t="e">
        <f>IF(DX145="","",DX145*$DO$1/'CPI USA'!$U$508+(1-DX145)*AVERAGE($DO$1,$DQ$1)/AVERAGE('CPI USA'!$U$508,'PPI USA'!$T$514))</f>
        <v>#VALUE!</v>
      </c>
      <c r="DZ145" s="30"/>
      <c r="EA145" s="45" t="str">
        <f t="shared" si="42"/>
        <v>C001675</v>
      </c>
      <c r="EB145" s="29" t="str">
        <f t="shared" si="43"/>
        <v/>
      </c>
      <c r="EC145" s="29" t="str">
        <f t="shared" si="44"/>
        <v/>
      </c>
      <c r="ED145" s="29" t="str">
        <f t="shared" si="45"/>
        <v/>
      </c>
      <c r="EE145" s="29" t="str">
        <f t="shared" si="46"/>
        <v/>
      </c>
      <c r="EF145" s="29" t="str">
        <f t="shared" si="47"/>
        <v/>
      </c>
      <c r="EG145" s="29" t="str">
        <f t="shared" si="48"/>
        <v/>
      </c>
      <c r="EH145" s="29" t="str">
        <f t="shared" si="49"/>
        <v/>
      </c>
      <c r="EI145" s="29" t="str">
        <f t="shared" si="50"/>
        <v/>
      </c>
      <c r="EJ145" s="29" t="str">
        <f t="shared" si="51"/>
        <v/>
      </c>
      <c r="EK145" s="29" t="str">
        <f t="shared" si="52"/>
        <v/>
      </c>
      <c r="EL145" s="29" t="str">
        <f>IF(CD145=1,VLOOKUP(EA145,'EIA 2021'!$A$2:$J$213,4,0)*EH145,"")</f>
        <v/>
      </c>
      <c r="EM145" s="29" t="str">
        <f>IF(CD145=1,VLOOKUP(EA145,'EIA 2021'!$A$2:$J$213,7,0)*EH145,"")</f>
        <v/>
      </c>
      <c r="EN145" s="29" t="str">
        <f>IF(CD145=1,VLOOKUP(EA145,'EIA 2021'!$A$2:$J$213,10,0),"")</f>
        <v/>
      </c>
      <c r="EO145" s="28" t="str">
        <f>IF(CD145=1,VLOOKUP(EA145,'EIA 2021'!$A$2:$Z$213,26,0),"")</f>
        <v/>
      </c>
      <c r="EP145" s="23" t="str">
        <f t="shared" si="53"/>
        <v/>
      </c>
      <c r="EQ145" s="32" t="str">
        <f t="shared" si="54"/>
        <v/>
      </c>
      <c r="ER145" s="32" t="str">
        <f t="shared" si="55"/>
        <v/>
      </c>
      <c r="ES145" s="6"/>
      <c r="ET145" s="32"/>
    </row>
    <row r="146" spans="1:150" ht="15.75" customHeight="1">
      <c r="A146" s="7" t="s">
        <v>640</v>
      </c>
      <c r="B146" s="7" t="s">
        <v>641</v>
      </c>
      <c r="C146" s="32" t="s">
        <v>642</v>
      </c>
      <c r="D146" s="40">
        <v>0</v>
      </c>
      <c r="E146" s="40">
        <v>0</v>
      </c>
      <c r="F146" s="40">
        <v>17115442</v>
      </c>
      <c r="G146" s="40">
        <v>144445383</v>
      </c>
      <c r="H146" s="40">
        <v>145758409</v>
      </c>
      <c r="I146" s="40">
        <v>716476</v>
      </c>
      <c r="J146" s="40">
        <v>19018</v>
      </c>
      <c r="K146" s="40">
        <v>439967</v>
      </c>
      <c r="L146" s="40">
        <v>347433</v>
      </c>
      <c r="M146" s="40">
        <v>884256</v>
      </c>
      <c r="N146" s="40">
        <v>470417</v>
      </c>
      <c r="O146" s="40">
        <v>2857172</v>
      </c>
      <c r="P146" s="40">
        <v>14926</v>
      </c>
      <c r="Q146" s="40">
        <v>116516</v>
      </c>
      <c r="R146" s="40">
        <v>0</v>
      </c>
      <c r="S146" s="40">
        <v>875705</v>
      </c>
      <c r="T146" s="40">
        <v>3957274</v>
      </c>
      <c r="U146" s="40">
        <v>205135</v>
      </c>
      <c r="V146" s="40">
        <v>4327</v>
      </c>
      <c r="W146" s="40">
        <v>24981</v>
      </c>
      <c r="X146" s="40">
        <f>IFERROR(VLOOKUP(A146,'Trans 21-23'!$A$2:$J$229,6,0),0)</f>
        <v>1769350</v>
      </c>
      <c r="Y146" s="41">
        <v>753024</v>
      </c>
      <c r="Z146" s="41">
        <v>63844</v>
      </c>
      <c r="AA146" s="41">
        <v>2495064</v>
      </c>
      <c r="AB146" s="41">
        <v>261444</v>
      </c>
      <c r="AC146" s="41">
        <v>18161</v>
      </c>
      <c r="AD146" s="41">
        <v>26589980</v>
      </c>
      <c r="AE146" s="41">
        <v>0</v>
      </c>
      <c r="AF146" s="41">
        <v>218838272</v>
      </c>
      <c r="AG146" s="41">
        <v>99567</v>
      </c>
      <c r="AH146" s="41">
        <v>142564</v>
      </c>
      <c r="AI146" s="41">
        <v>2721742</v>
      </c>
      <c r="AJ146" s="41">
        <v>5161</v>
      </c>
      <c r="AK146" s="41">
        <v>0</v>
      </c>
      <c r="AL146" s="41">
        <v>640380</v>
      </c>
      <c r="AM146" s="41">
        <v>794507</v>
      </c>
      <c r="AN146" s="41">
        <v>365136</v>
      </c>
      <c r="AO146" s="41">
        <v>5981</v>
      </c>
      <c r="AP146" s="41">
        <v>114907</v>
      </c>
      <c r="AQ146" s="41">
        <v>1920911</v>
      </c>
      <c r="AR146" s="41">
        <v>653106</v>
      </c>
      <c r="AS146" s="41">
        <v>2574017</v>
      </c>
      <c r="AT146" s="41">
        <v>0</v>
      </c>
      <c r="AU146" s="41">
        <v>407</v>
      </c>
      <c r="AV146" s="41">
        <v>0</v>
      </c>
      <c r="AW146" s="41">
        <v>57826763</v>
      </c>
      <c r="AX146" s="41">
        <v>15784467</v>
      </c>
      <c r="AY146" s="41">
        <v>33480351</v>
      </c>
      <c r="AZ146" s="41">
        <v>19161296</v>
      </c>
      <c r="BA146" s="41">
        <v>10930615</v>
      </c>
      <c r="BB146" s="41">
        <v>383163466</v>
      </c>
      <c r="BC146" s="41">
        <v>1102681233</v>
      </c>
      <c r="BD146" s="41">
        <v>47054085</v>
      </c>
      <c r="BE146" s="41">
        <v>152587038</v>
      </c>
      <c r="BF146" s="41">
        <v>8675225</v>
      </c>
      <c r="BG146" s="41">
        <v>0</v>
      </c>
      <c r="BH146" s="41">
        <v>5287196</v>
      </c>
      <c r="BI146" s="41">
        <v>1036700</v>
      </c>
      <c r="BJ146" s="41">
        <v>205367</v>
      </c>
      <c r="BK146" s="41">
        <v>11433</v>
      </c>
      <c r="BL146" s="41">
        <v>0</v>
      </c>
      <c r="BM146" s="41">
        <v>10279693</v>
      </c>
      <c r="BN146" s="41">
        <v>20409821</v>
      </c>
      <c r="BO146" s="41">
        <v>0</v>
      </c>
      <c r="BP146" s="41">
        <v>3362034</v>
      </c>
      <c r="BQ146" s="41">
        <v>27527889</v>
      </c>
      <c r="BR146" s="41">
        <v>0</v>
      </c>
      <c r="BS146" s="42">
        <f>IFERROR(VLOOKUP(A146,'Trans 21-23'!$A$2:$J$229,5,0),0)</f>
        <v>112735227</v>
      </c>
      <c r="BT146" s="43"/>
      <c r="BU146" s="6">
        <f t="shared" si="0"/>
        <v>383163466</v>
      </c>
      <c r="BV146" s="6">
        <f t="shared" si="1"/>
        <v>407</v>
      </c>
      <c r="BW146" s="6">
        <f t="shared" si="2"/>
        <v>99567</v>
      </c>
      <c r="BX146" s="6">
        <f t="shared" si="3"/>
        <v>10933603</v>
      </c>
      <c r="BY146" s="6">
        <f t="shared" si="4"/>
        <v>3591537</v>
      </c>
      <c r="BZ146" s="6">
        <f t="shared" si="5"/>
        <v>19161296</v>
      </c>
      <c r="CA146" s="6">
        <f t="shared" si="6"/>
        <v>26589980</v>
      </c>
      <c r="CB146" s="6">
        <f t="shared" si="7"/>
        <v>142564</v>
      </c>
      <c r="CC146" s="6">
        <f t="shared" si="8"/>
        <v>1920911</v>
      </c>
      <c r="CD146" s="6">
        <f t="shared" ref="CD146:CD147" si="72">IF(OR(BU146&lt;=0,BV146&lt;=0,BW146&lt;=0,BX146&lt;=0,BY146&lt;=0,BZ146&lt;=0,CA146&lt;=0,CB146&lt;=0,CC146&lt;=0,DF146&lt;=0),0,1)</f>
        <v>1</v>
      </c>
      <c r="CE146" s="44">
        <f t="shared" si="10"/>
        <v>11</v>
      </c>
      <c r="CF146" s="27"/>
      <c r="CG146" s="28">
        <f t="shared" si="11"/>
        <v>941.43357739557746</v>
      </c>
      <c r="CH146" s="28">
        <f t="shared" si="12"/>
        <v>4.0876997398736528</v>
      </c>
      <c r="CI146" s="28">
        <f t="shared" si="13"/>
        <v>109.81151385499211</v>
      </c>
      <c r="CJ146" s="28">
        <f t="shared" si="14"/>
        <v>192.44625227233922</v>
      </c>
      <c r="CK146" s="23">
        <f t="shared" si="15"/>
        <v>7.4216868975189379E-2</v>
      </c>
      <c r="CL146" s="29" t="str">
        <f t="shared" si="16"/>
        <v/>
      </c>
      <c r="CM146" s="29" t="str">
        <f t="shared" si="66"/>
        <v/>
      </c>
      <c r="CN146" s="29" t="str">
        <f t="shared" si="18"/>
        <v/>
      </c>
      <c r="CO146" s="29" t="str">
        <f t="shared" si="19"/>
        <v/>
      </c>
      <c r="CP146" s="29" t="str">
        <f t="shared" si="20"/>
        <v/>
      </c>
      <c r="CQ146" s="29">
        <f t="shared" si="21"/>
        <v>0</v>
      </c>
      <c r="CR146" s="13"/>
      <c r="CS146" s="7">
        <f>VLOOKUP(A146,'Empresas 21-23'!$A$2:$M$228,13,0)</f>
        <v>1</v>
      </c>
      <c r="CT146" s="30"/>
      <c r="CU146" s="6">
        <f t="shared" si="22"/>
        <v>436247891.19999999</v>
      </c>
      <c r="CV146" s="6">
        <f t="shared" si="23"/>
        <v>19161296</v>
      </c>
      <c r="CW146" s="6">
        <f t="shared" si="24"/>
        <v>47054085</v>
      </c>
      <c r="CX146" s="23">
        <f t="shared" ref="CX146:CX157" si="73">CU146/(BC146-BD146)</f>
        <v>0.41325944679096105</v>
      </c>
      <c r="CY146" s="23">
        <f t="shared" ref="CY146:CY157" si="74">CV146/(BC146-BD146)</f>
        <v>1.8151575616734708E-2</v>
      </c>
      <c r="CZ146" s="6">
        <f t="shared" si="25"/>
        <v>455693436.33635485</v>
      </c>
      <c r="DA146" s="6">
        <f t="shared" si="26"/>
        <v>20015401.781953763</v>
      </c>
      <c r="DB146" s="6">
        <f t="shared" si="27"/>
        <v>10933603</v>
      </c>
      <c r="DC146" s="6">
        <f t="shared" si="28"/>
        <v>12702953</v>
      </c>
      <c r="DD146" s="6">
        <f t="shared" si="29"/>
        <v>3591537</v>
      </c>
      <c r="DE146" s="6">
        <f t="shared" si="30"/>
        <v>26589980</v>
      </c>
      <c r="DF146" s="6">
        <f t="shared" si="31"/>
        <v>14749903.264889365</v>
      </c>
      <c r="DG146" s="30"/>
      <c r="DH146" s="32">
        <f>VLOOKUP(A146,'T_med_comp-USA'!$A$7:$Q$233,17,0)</f>
        <v>17.277984380726608</v>
      </c>
      <c r="DI146" s="6" t="str">
        <f t="shared" si="32"/>
        <v>9_2004</v>
      </c>
      <c r="DJ146" s="32">
        <f>IF(DI146="","",VLOOKUP(DI146,'CPI USA'!$T:$U,2,FALSE))</f>
        <v>188.9</v>
      </c>
      <c r="DK146" s="32">
        <f>IF(DI146="","",VLOOKUP(DI146,'PPI USA'!$S:$T,2,FALSE))</f>
        <v>123.7</v>
      </c>
      <c r="DL146" s="32">
        <f>IF(DI146="","",VLOOKUP(DI146,'CPI USA'!$T:$V,3,FALSE))</f>
        <v>0.68116912558338294</v>
      </c>
      <c r="DM146" s="32">
        <f>IF(DI146="","",VLOOKUP(DI146,'CPI USA'!$T:$X,5,FALSE))</f>
        <v>0.51091164550905577</v>
      </c>
      <c r="DN146" s="32">
        <f t="shared" si="33"/>
        <v>1.7242718973721483</v>
      </c>
      <c r="DO146" s="32">
        <f t="shared" si="34"/>
        <v>1.7568944717328012</v>
      </c>
      <c r="DP146" s="32">
        <f t="shared" si="35"/>
        <v>0.48357307284707518</v>
      </c>
      <c r="DQ146" s="32">
        <f>IF(DP146="","",DP146*$DO$1/'CPI USA'!$U$508+(1-DP146)*AVERAGE($DO$1,$DQ$1)/AVERAGE('CPI USA'!$U$508,'PPI USA'!$T$514))</f>
        <v>1.1573987806308739</v>
      </c>
      <c r="DR146" s="6">
        <f t="shared" si="36"/>
        <v>1253500</v>
      </c>
      <c r="DS146" s="32">
        <f t="shared" si="37"/>
        <v>0.34901492035304105</v>
      </c>
      <c r="DT146" s="28">
        <f>IF(DS146="","",DS146*$DO$1/'CPI USA'!$U$508+(1-DS146)*AVERAGE($DO$1,$DQ$1)/AVERAGE('CPI USA'!$U$508,'PPI USA'!$T$514))</f>
        <v>1.1653519393891296</v>
      </c>
      <c r="DU146" s="6">
        <f t="shared" si="38"/>
        <v>10279693</v>
      </c>
      <c r="DV146" s="6">
        <f t="shared" si="39"/>
        <v>1430145.0279976439</v>
      </c>
      <c r="DW146" s="6">
        <f t="shared" si="40"/>
        <v>3752629.2244489593</v>
      </c>
      <c r="DX146" s="16">
        <f t="shared" si="41"/>
        <v>0.25441720918819238</v>
      </c>
      <c r="DY146" s="28">
        <f>IF(DX146="","",DX146*$DO$1/'CPI USA'!$U$508+(1-DX146)*AVERAGE($DO$1,$DQ$1)/AVERAGE('CPI USA'!$U$508,'PPI USA'!$T$514))</f>
        <v>1.1709432068160139</v>
      </c>
      <c r="DZ146" s="30"/>
      <c r="EA146" s="45" t="str">
        <f t="shared" si="42"/>
        <v>C001696</v>
      </c>
      <c r="EB146" s="29">
        <f t="shared" si="43"/>
        <v>785739386.09172082</v>
      </c>
      <c r="EC146" s="29">
        <f t="shared" si="44"/>
        <v>35164948.740225427</v>
      </c>
      <c r="ED146" s="29">
        <f t="shared" si="45"/>
        <v>14702382.3126113</v>
      </c>
      <c r="EE146" s="29">
        <f t="shared" si="46"/>
        <v>4185404.6083378163</v>
      </c>
      <c r="EF146" s="29">
        <f t="shared" si="47"/>
        <v>17271299.029215548</v>
      </c>
      <c r="EG146" s="29">
        <f t="shared" si="48"/>
        <v>407</v>
      </c>
      <c r="EH146" s="29">
        <f t="shared" si="49"/>
        <v>99567</v>
      </c>
      <c r="EI146" s="29">
        <f t="shared" si="50"/>
        <v>142564</v>
      </c>
      <c r="EJ146" s="29">
        <f t="shared" si="51"/>
        <v>1920911</v>
      </c>
      <c r="EK146" s="29">
        <f t="shared" si="52"/>
        <v>2053529.2233502539</v>
      </c>
      <c r="EL146" s="29">
        <f>IF(CD146=1,VLOOKUP(EA146,'EIA 2021'!$A$2:$J$213,4,0)*EH146,"")</f>
        <v>6489976.1940000001</v>
      </c>
      <c r="EM146" s="29">
        <f>IF(CD146=1,VLOOKUP(EA146,'EIA 2021'!$A$2:$J$213,7,0)*EH146,"")</f>
        <v>194354.78399999999</v>
      </c>
      <c r="EN146" s="29">
        <f>IF(CD146=1,VLOOKUP(EA146,'EIA 2021'!$A$2:$J$213,10,0),"")</f>
        <v>99535</v>
      </c>
      <c r="EO146" s="28">
        <f>IF(CD146=1,VLOOKUP(EA146,'EIA 2021'!$A$2:$Z$213,26,0),"")</f>
        <v>0</v>
      </c>
      <c r="EP146" s="23">
        <f t="shared" si="53"/>
        <v>6.458063603004989E-2</v>
      </c>
      <c r="EQ146" s="32">
        <f t="shared" si="54"/>
        <v>9945.7766497462289</v>
      </c>
      <c r="ER146" s="32">
        <f t="shared" si="55"/>
        <v>132618.22335025377</v>
      </c>
      <c r="ES146" s="6"/>
      <c r="ET146" s="32"/>
    </row>
    <row r="147" spans="1:150" ht="15.75" customHeight="1">
      <c r="A147" s="7" t="s">
        <v>643</v>
      </c>
      <c r="B147" s="7" t="s">
        <v>644</v>
      </c>
      <c r="C147" s="32" t="s">
        <v>645</v>
      </c>
      <c r="D147" s="40">
        <v>0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  <c r="L147" s="40">
        <v>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f>IFERROR(VLOOKUP(A147,'Trans 21-23'!$A$2:$J$229,6,0),0)</f>
        <v>0</v>
      </c>
      <c r="Y147" s="41">
        <v>0</v>
      </c>
      <c r="Z147" s="41">
        <v>0</v>
      </c>
      <c r="AA147" s="41">
        <v>0</v>
      </c>
      <c r="AB147" s="41">
        <v>0</v>
      </c>
      <c r="AC147" s="41">
        <v>0</v>
      </c>
      <c r="AD147" s="41">
        <v>470476</v>
      </c>
      <c r="AE147" s="41">
        <v>0</v>
      </c>
      <c r="AF147" s="41">
        <v>2944972</v>
      </c>
      <c r="AG147" s="41">
        <v>0</v>
      </c>
      <c r="AH147" s="41">
        <v>0</v>
      </c>
      <c r="AI147" s="41">
        <v>0</v>
      </c>
      <c r="AJ147" s="41">
        <v>0</v>
      </c>
      <c r="AK147" s="41">
        <v>0</v>
      </c>
      <c r="AL147" s="41">
        <v>0</v>
      </c>
      <c r="AM147" s="41">
        <v>0</v>
      </c>
      <c r="AN147" s="41">
        <v>0</v>
      </c>
      <c r="AO147" s="41">
        <v>0</v>
      </c>
      <c r="AP147" s="41">
        <v>0</v>
      </c>
      <c r="AQ147" s="41">
        <v>0</v>
      </c>
      <c r="AR147" s="41">
        <v>0</v>
      </c>
      <c r="AS147" s="41">
        <v>0</v>
      </c>
      <c r="AT147" s="41">
        <v>0</v>
      </c>
      <c r="AU147" s="41">
        <v>0</v>
      </c>
      <c r="AV147" s="41">
        <v>0</v>
      </c>
      <c r="AW147" s="41">
        <v>0</v>
      </c>
      <c r="AX147" s="41">
        <v>0</v>
      </c>
      <c r="AY147" s="41">
        <v>0</v>
      </c>
      <c r="AZ147" s="41">
        <v>0</v>
      </c>
      <c r="BA147" s="41">
        <v>0</v>
      </c>
      <c r="BB147" s="41">
        <v>0</v>
      </c>
      <c r="BC147" s="41">
        <v>99297030</v>
      </c>
      <c r="BD147" s="41">
        <v>18723</v>
      </c>
      <c r="BE147" s="41">
        <v>0</v>
      </c>
      <c r="BF147" s="41">
        <v>0</v>
      </c>
      <c r="BG147" s="41">
        <v>0</v>
      </c>
      <c r="BH147" s="41">
        <v>0</v>
      </c>
      <c r="BI147" s="41">
        <v>0</v>
      </c>
      <c r="BJ147" s="41">
        <v>0</v>
      </c>
      <c r="BK147" s="41">
        <v>0</v>
      </c>
      <c r="BL147" s="41">
        <v>0</v>
      </c>
      <c r="BM147" s="41">
        <v>0</v>
      </c>
      <c r="BN147" s="41">
        <v>0</v>
      </c>
      <c r="BO147" s="41">
        <v>0</v>
      </c>
      <c r="BP147" s="41">
        <v>0</v>
      </c>
      <c r="BQ147" s="41">
        <v>0</v>
      </c>
      <c r="BR147" s="41">
        <v>0</v>
      </c>
      <c r="BS147" s="42">
        <f>IFERROR(VLOOKUP(A147,'Trans 21-23'!$A$2:$J$229,5,0),0)</f>
        <v>0</v>
      </c>
      <c r="BT147" s="43"/>
      <c r="BU147" s="6">
        <f t="shared" si="0"/>
        <v>0</v>
      </c>
      <c r="BV147" s="6">
        <f t="shared" si="1"/>
        <v>0</v>
      </c>
      <c r="BW147" s="6">
        <f t="shared" si="2"/>
        <v>0</v>
      </c>
      <c r="BX147" s="6">
        <f t="shared" si="3"/>
        <v>0</v>
      </c>
      <c r="BY147" s="6">
        <f t="shared" si="4"/>
        <v>0</v>
      </c>
      <c r="BZ147" s="6">
        <f t="shared" si="5"/>
        <v>0</v>
      </c>
      <c r="CA147" s="6">
        <f t="shared" si="6"/>
        <v>470476</v>
      </c>
      <c r="CB147" s="6">
        <f t="shared" si="7"/>
        <v>0</v>
      </c>
      <c r="CC147" s="6">
        <f t="shared" si="8"/>
        <v>0</v>
      </c>
      <c r="CD147" s="6">
        <f t="shared" si="72"/>
        <v>0</v>
      </c>
      <c r="CE147" s="44">
        <f t="shared" si="10"/>
        <v>64</v>
      </c>
      <c r="CF147" s="27"/>
      <c r="CG147" s="28" t="str">
        <f t="shared" si="11"/>
        <v/>
      </c>
      <c r="CH147" s="28" t="str">
        <f t="shared" si="12"/>
        <v/>
      </c>
      <c r="CI147" s="28" t="str">
        <f t="shared" si="13"/>
        <v/>
      </c>
      <c r="CJ147" s="28" t="str">
        <f t="shared" si="14"/>
        <v/>
      </c>
      <c r="CK147" s="23" t="str">
        <f t="shared" si="15"/>
        <v/>
      </c>
      <c r="CL147" s="29" t="str">
        <f t="shared" si="16"/>
        <v/>
      </c>
      <c r="CM147" s="29" t="str">
        <f t="shared" si="66"/>
        <v/>
      </c>
      <c r="CN147" s="29" t="str">
        <f t="shared" si="18"/>
        <v/>
      </c>
      <c r="CO147" s="29" t="str">
        <f t="shared" si="19"/>
        <v/>
      </c>
      <c r="CP147" s="29" t="str">
        <f t="shared" si="20"/>
        <v/>
      </c>
      <c r="CQ147" s="29">
        <f t="shared" si="21"/>
        <v>0</v>
      </c>
      <c r="CR147" s="13"/>
      <c r="CS147" s="7" t="str">
        <f>VLOOKUP(A147,'Empresas 21-23'!$A$2:$M$228,13,0)</f>
        <v/>
      </c>
      <c r="CT147" s="30"/>
      <c r="CU147" s="6">
        <f t="shared" si="22"/>
        <v>0</v>
      </c>
      <c r="CV147" s="6">
        <f t="shared" si="23"/>
        <v>0</v>
      </c>
      <c r="CW147" s="6">
        <f t="shared" si="24"/>
        <v>18723</v>
      </c>
      <c r="CX147" s="23">
        <f t="shared" si="73"/>
        <v>0</v>
      </c>
      <c r="CY147" s="23">
        <f t="shared" si="74"/>
        <v>0</v>
      </c>
      <c r="CZ147" s="6">
        <f t="shared" si="25"/>
        <v>0</v>
      </c>
      <c r="DA147" s="6">
        <f t="shared" si="26"/>
        <v>0</v>
      </c>
      <c r="DB147" s="6">
        <f t="shared" si="27"/>
        <v>0</v>
      </c>
      <c r="DC147" s="6">
        <f t="shared" si="28"/>
        <v>0</v>
      </c>
      <c r="DD147" s="6">
        <f t="shared" si="29"/>
        <v>0</v>
      </c>
      <c r="DE147" s="6">
        <f t="shared" si="30"/>
        <v>470476</v>
      </c>
      <c r="DF147" s="6">
        <f t="shared" si="31"/>
        <v>0</v>
      </c>
      <c r="DG147" s="30"/>
      <c r="DH147" s="32" t="str">
        <f>VLOOKUP(A147,'T_med_comp-USA'!$A$7:$Q$233,17,0)</f>
        <v>-</v>
      </c>
      <c r="DI147" s="6" t="str">
        <f t="shared" si="32"/>
        <v/>
      </c>
      <c r="DJ147" s="32" t="str">
        <f>IF(DI147="","",VLOOKUP(DI147,'CPI USA'!$T:$U,2,FALSE))</f>
        <v/>
      </c>
      <c r="DK147" s="32" t="str">
        <f>IF(DI147="","",VLOOKUP(DI147,'PPI USA'!$S:$T,2,FALSE))</f>
        <v/>
      </c>
      <c r="DL147" s="32" t="str">
        <f>IF(DI147="","",VLOOKUP(DI147,'CPI USA'!$T:$V,3,FALSE))</f>
        <v/>
      </c>
      <c r="DM147" s="32" t="str">
        <f>IF(DI147="","",VLOOKUP(DI147,'CPI USA'!$T:$X,5,FALSE))</f>
        <v/>
      </c>
      <c r="DN147" s="32" t="str">
        <f t="shared" si="33"/>
        <v/>
      </c>
      <c r="DO147" s="32" t="str">
        <f t="shared" si="34"/>
        <v/>
      </c>
      <c r="DP147" s="32" t="str">
        <f t="shared" si="35"/>
        <v/>
      </c>
      <c r="DQ147" s="32" t="str">
        <f>IF(DP147="","",DP147*$DO$1/'CPI USA'!$U$508+(1-DP147)*AVERAGE($DO$1,$DQ$1)/AVERAGE('CPI USA'!$U$508,'PPI USA'!$T$514))</f>
        <v/>
      </c>
      <c r="DR147" s="6">
        <f t="shared" si="36"/>
        <v>0</v>
      </c>
      <c r="DS147" s="32" t="str">
        <f t="shared" si="37"/>
        <v/>
      </c>
      <c r="DT147" s="28" t="str">
        <f>IF(DS147="","",DS147*$DO$1/'CPI USA'!$U$508+(1-DS147)*AVERAGE($DO$1,$DQ$1)/AVERAGE('CPI USA'!$U$508,'PPI USA'!$T$514))</f>
        <v/>
      </c>
      <c r="DU147" s="6" t="str">
        <f t="shared" si="38"/>
        <v/>
      </c>
      <c r="DV147" s="6" t="str">
        <f t="shared" si="39"/>
        <v/>
      </c>
      <c r="DW147" s="6">
        <f t="shared" si="40"/>
        <v>0</v>
      </c>
      <c r="DX147" s="16" t="str">
        <f t="shared" si="41"/>
        <v/>
      </c>
      <c r="DY147" s="28" t="str">
        <f>IF(DX147="","",DX147*$DO$1/'CPI USA'!$U$508+(1-DX147)*AVERAGE($DO$1,$DQ$1)/AVERAGE('CPI USA'!$U$508,'PPI USA'!$T$514))</f>
        <v/>
      </c>
      <c r="DZ147" s="30"/>
      <c r="EA147" s="45" t="str">
        <f t="shared" si="42"/>
        <v>C001702</v>
      </c>
      <c r="EB147" s="29" t="str">
        <f t="shared" si="43"/>
        <v/>
      </c>
      <c r="EC147" s="29" t="str">
        <f t="shared" si="44"/>
        <v/>
      </c>
      <c r="ED147" s="29" t="str">
        <f t="shared" si="45"/>
        <v/>
      </c>
      <c r="EE147" s="29" t="str">
        <f t="shared" si="46"/>
        <v/>
      </c>
      <c r="EF147" s="29" t="str">
        <f t="shared" si="47"/>
        <v/>
      </c>
      <c r="EG147" s="29" t="str">
        <f t="shared" si="48"/>
        <v/>
      </c>
      <c r="EH147" s="29" t="str">
        <f t="shared" si="49"/>
        <v/>
      </c>
      <c r="EI147" s="29" t="str">
        <f t="shared" si="50"/>
        <v/>
      </c>
      <c r="EJ147" s="29" t="str">
        <f t="shared" si="51"/>
        <v/>
      </c>
      <c r="EK147" s="29" t="str">
        <f t="shared" si="52"/>
        <v/>
      </c>
      <c r="EL147" s="29" t="str">
        <f>IF(CD147=1,VLOOKUP(EA147,'EIA 2021'!$A$2:$J$213,4,0)*EH147,"")</f>
        <v/>
      </c>
      <c r="EM147" s="29" t="str">
        <f>IF(CD147=1,VLOOKUP(EA147,'EIA 2021'!$A$2:$J$213,7,0)*EH147,"")</f>
        <v/>
      </c>
      <c r="EN147" s="29" t="str">
        <f>IF(CD147=1,VLOOKUP(EA147,'EIA 2021'!$A$2:$J$213,10,0),"")</f>
        <v/>
      </c>
      <c r="EO147" s="28" t="str">
        <f>IF(CD147=1,VLOOKUP(EA147,'EIA 2021'!$A$2:$Z$213,26,0),"")</f>
        <v/>
      </c>
      <c r="EP147" s="23" t="str">
        <f t="shared" si="53"/>
        <v/>
      </c>
      <c r="EQ147" s="32" t="str">
        <f t="shared" si="54"/>
        <v/>
      </c>
      <c r="ER147" s="32" t="str">
        <f t="shared" si="55"/>
        <v/>
      </c>
      <c r="ES147" s="6"/>
      <c r="ET147" s="32"/>
    </row>
    <row r="148" spans="1:150" ht="15.75" customHeight="1">
      <c r="A148" s="7" t="s">
        <v>646</v>
      </c>
      <c r="B148" s="7" t="s">
        <v>647</v>
      </c>
      <c r="C148" s="32" t="s">
        <v>648</v>
      </c>
      <c r="D148" s="40">
        <v>0</v>
      </c>
      <c r="E148" s="40">
        <v>0</v>
      </c>
      <c r="F148" s="40">
        <v>0</v>
      </c>
      <c r="G148" s="40">
        <v>29662167</v>
      </c>
      <c r="H148" s="40">
        <v>29665467</v>
      </c>
      <c r="I148" s="40">
        <v>0</v>
      </c>
      <c r="J148" s="40">
        <v>0</v>
      </c>
      <c r="K148" s="40">
        <v>0</v>
      </c>
      <c r="L148" s="40">
        <v>56683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14957</v>
      </c>
      <c r="U148" s="40">
        <v>23403</v>
      </c>
      <c r="V148" s="40">
        <v>2079</v>
      </c>
      <c r="W148" s="40">
        <v>0</v>
      </c>
      <c r="X148" s="40">
        <f>IFERROR(VLOOKUP(A148,'Trans 21-23'!$A$2:$J$229,6,0),0)</f>
        <v>861380</v>
      </c>
      <c r="Y148" s="41">
        <v>0</v>
      </c>
      <c r="Z148" s="41">
        <v>0</v>
      </c>
      <c r="AA148" s="41">
        <v>44288</v>
      </c>
      <c r="AB148" s="41">
        <v>7989</v>
      </c>
      <c r="AC148" s="41">
        <v>0</v>
      </c>
      <c r="AD148" s="41">
        <v>3013159</v>
      </c>
      <c r="AE148" s="41">
        <v>0</v>
      </c>
      <c r="AF148" s="41">
        <v>38017855</v>
      </c>
      <c r="AG148" s="41">
        <v>111</v>
      </c>
      <c r="AH148" s="41">
        <v>6353</v>
      </c>
      <c r="AI148" s="41">
        <v>716259</v>
      </c>
      <c r="AJ148" s="41">
        <v>605</v>
      </c>
      <c r="AK148" s="41">
        <v>0</v>
      </c>
      <c r="AL148" s="41">
        <v>686</v>
      </c>
      <c r="AM148" s="41">
        <v>9377</v>
      </c>
      <c r="AN148" s="41">
        <v>699068</v>
      </c>
      <c r="AO148" s="41">
        <v>25</v>
      </c>
      <c r="AP148" s="41">
        <v>145</v>
      </c>
      <c r="AQ148" s="41">
        <v>709301</v>
      </c>
      <c r="AR148" s="41">
        <v>0</v>
      </c>
      <c r="AS148" s="41">
        <v>709301</v>
      </c>
      <c r="AT148" s="41">
        <v>0</v>
      </c>
      <c r="AU148" s="41">
        <v>111</v>
      </c>
      <c r="AV148" s="41">
        <v>0</v>
      </c>
      <c r="AW148" s="41">
        <v>32908</v>
      </c>
      <c r="AX148" s="41">
        <v>0</v>
      </c>
      <c r="AY148" s="41">
        <v>86760</v>
      </c>
      <c r="AZ148" s="41">
        <v>253326</v>
      </c>
      <c r="BA148" s="41">
        <v>0</v>
      </c>
      <c r="BB148" s="41">
        <v>846067</v>
      </c>
      <c r="BC148" s="41">
        <v>68144261</v>
      </c>
      <c r="BD148" s="41">
        <v>4149510</v>
      </c>
      <c r="BE148" s="41">
        <v>366333</v>
      </c>
      <c r="BF148" s="41">
        <v>28813</v>
      </c>
      <c r="BG148" s="41">
        <v>0</v>
      </c>
      <c r="BH148" s="41">
        <v>37962</v>
      </c>
      <c r="BI148" s="41">
        <v>0</v>
      </c>
      <c r="BJ148" s="41">
        <v>0</v>
      </c>
      <c r="BK148" s="41">
        <v>0</v>
      </c>
      <c r="BL148" s="41">
        <v>0</v>
      </c>
      <c r="BM148" s="41">
        <v>1076662</v>
      </c>
      <c r="BN148" s="41">
        <v>3240574</v>
      </c>
      <c r="BO148" s="41">
        <v>0</v>
      </c>
      <c r="BP148" s="41">
        <v>0</v>
      </c>
      <c r="BQ148" s="41">
        <v>3240574</v>
      </c>
      <c r="BR148" s="41">
        <v>0</v>
      </c>
      <c r="BS148" s="42">
        <f>IFERROR(VLOOKUP(A148,'Trans 21-23'!$A$2:$J$229,5,0),0)</f>
        <v>5096007</v>
      </c>
      <c r="BT148" s="43"/>
      <c r="BU148" s="6">
        <f t="shared" si="0"/>
        <v>846067</v>
      </c>
      <c r="BV148" s="6">
        <f t="shared" si="1"/>
        <v>111</v>
      </c>
      <c r="BW148" s="6">
        <f t="shared" si="2"/>
        <v>111</v>
      </c>
      <c r="BX148" s="6">
        <f t="shared" si="3"/>
        <v>97122</v>
      </c>
      <c r="BY148" s="6">
        <f t="shared" si="4"/>
        <v>52277</v>
      </c>
      <c r="BZ148" s="6">
        <f t="shared" si="5"/>
        <v>253326</v>
      </c>
      <c r="CA148" s="6">
        <f t="shared" si="6"/>
        <v>3013159</v>
      </c>
      <c r="CB148" s="6">
        <f t="shared" si="7"/>
        <v>6353</v>
      </c>
      <c r="CC148" s="6">
        <f t="shared" si="8"/>
        <v>709301</v>
      </c>
      <c r="CD148" s="6">
        <v>0</v>
      </c>
      <c r="CE148" s="44">
        <f t="shared" si="10"/>
        <v>32</v>
      </c>
      <c r="CF148" s="27"/>
      <c r="CG148" s="28" t="str">
        <f t="shared" si="11"/>
        <v/>
      </c>
      <c r="CH148" s="28" t="str">
        <f t="shared" si="12"/>
        <v/>
      </c>
      <c r="CI148" s="28" t="str">
        <f t="shared" si="13"/>
        <v/>
      </c>
      <c r="CJ148" s="28" t="str">
        <f t="shared" si="14"/>
        <v/>
      </c>
      <c r="CK148" s="23" t="str">
        <f t="shared" si="15"/>
        <v/>
      </c>
      <c r="CL148" s="29" t="str">
        <f t="shared" si="16"/>
        <v/>
      </c>
      <c r="CM148" s="29" t="str">
        <f t="shared" si="66"/>
        <v/>
      </c>
      <c r="CN148" s="29" t="str">
        <f t="shared" si="18"/>
        <v/>
      </c>
      <c r="CO148" s="29" t="str">
        <f t="shared" si="19"/>
        <v/>
      </c>
      <c r="CP148" s="29" t="str">
        <f t="shared" si="20"/>
        <v/>
      </c>
      <c r="CQ148" s="29">
        <f t="shared" si="21"/>
        <v>0</v>
      </c>
      <c r="CR148" s="13"/>
      <c r="CS148" s="7" t="str">
        <f>VLOOKUP(A148,'Empresas 21-23'!$A$2:$M$228,13,0)</f>
        <v/>
      </c>
      <c r="CT148" s="30"/>
      <c r="CU148" s="6">
        <f t="shared" si="22"/>
        <v>5636692</v>
      </c>
      <c r="CV148" s="6">
        <f t="shared" si="23"/>
        <v>253326</v>
      </c>
      <c r="CW148" s="6">
        <f t="shared" si="24"/>
        <v>4149510</v>
      </c>
      <c r="CX148" s="23">
        <f t="shared" si="73"/>
        <v>8.8080536480249758E-2</v>
      </c>
      <c r="CY148" s="23">
        <f t="shared" si="74"/>
        <v>3.9585434124120586E-3</v>
      </c>
      <c r="CZ148" s="6">
        <f t="shared" si="25"/>
        <v>6002183.0669301609</v>
      </c>
      <c r="DA148" s="6">
        <f t="shared" si="26"/>
        <v>269752.01547523797</v>
      </c>
      <c r="DB148" s="6">
        <f t="shared" si="27"/>
        <v>97122</v>
      </c>
      <c r="DC148" s="6">
        <f t="shared" si="28"/>
        <v>958502</v>
      </c>
      <c r="DD148" s="6">
        <f t="shared" si="29"/>
        <v>52277</v>
      </c>
      <c r="DE148" s="6">
        <f t="shared" si="30"/>
        <v>3013159</v>
      </c>
      <c r="DF148" s="6">
        <f t="shared" si="31"/>
        <v>570426.52429049218</v>
      </c>
      <c r="DG148" s="30"/>
      <c r="DH148" s="32">
        <f>VLOOKUP(A148,'T_med_comp-USA'!$A$7:$Q$233,17,0)</f>
        <v>16.369745813818195</v>
      </c>
      <c r="DI148" s="6" t="str">
        <f t="shared" si="32"/>
        <v>8_2005</v>
      </c>
      <c r="DJ148" s="32">
        <f>IF(DI148="","",VLOOKUP(DI148,'CPI USA'!$T:$U,2,FALSE))</f>
        <v>195.3</v>
      </c>
      <c r="DK148" s="32">
        <f>IF(DI148="","",VLOOKUP(DI148,'PPI USA'!$S:$T,2,FALSE))</f>
        <v>131.30000000000001</v>
      </c>
      <c r="DL148" s="32">
        <f>IF(DI148="","",VLOOKUP(DI148,'CPI USA'!$T:$V,3,FALSE))</f>
        <v>0.67888602568792966</v>
      </c>
      <c r="DM148" s="32">
        <f>IF(DI148="","",VLOOKUP(DI148,'CPI USA'!$T:$X,5,FALSE))</f>
        <v>0.50828944385363772</v>
      </c>
      <c r="DN148" s="32">
        <f t="shared" si="33"/>
        <v>1.6621774217199745</v>
      </c>
      <c r="DO148" s="32">
        <f t="shared" si="34"/>
        <v>1.6905992787819408</v>
      </c>
      <c r="DP148" s="32">
        <f t="shared" si="35"/>
        <v>0.39086921603756103</v>
      </c>
      <c r="DQ148" s="32">
        <f>IF(DP148="","",DP148*$DO$1/'CPI USA'!$U$508+(1-DP148)*AVERAGE($DO$1,$DQ$1)/AVERAGE('CPI USA'!$U$508,'PPI USA'!$T$514))</f>
        <v>1.1628781104005164</v>
      </c>
      <c r="DR148" s="6">
        <f t="shared" si="36"/>
        <v>0</v>
      </c>
      <c r="DS148" s="32">
        <f t="shared" si="37"/>
        <v>0.2</v>
      </c>
      <c r="DT148" s="28">
        <f>IF(DS148="","",DS148*$DO$1/'CPI USA'!$U$508+(1-DS148)*AVERAGE($DO$1,$DQ$1)/AVERAGE('CPI USA'!$U$508,'PPI USA'!$T$514))</f>
        <v>1.1741595760647974</v>
      </c>
      <c r="DU148" s="6">
        <f t="shared" si="38"/>
        <v>1076662</v>
      </c>
      <c r="DV148" s="6">
        <f t="shared" si="39"/>
        <v>0</v>
      </c>
      <c r="DW148" s="6">
        <f t="shared" si="40"/>
        <v>12612.655302424817</v>
      </c>
      <c r="DX148" s="16">
        <f t="shared" si="41"/>
        <v>0.2</v>
      </c>
      <c r="DY148" s="28">
        <f>IF(DX148="","",DX148*$DO$1/'CPI USA'!$U$508+(1-DX148)*AVERAGE($DO$1,$DQ$1)/AVERAGE('CPI USA'!$U$508,'PPI USA'!$T$514))</f>
        <v>1.1741595760647974</v>
      </c>
      <c r="DZ148" s="30"/>
      <c r="EA148" s="45" t="str">
        <f t="shared" si="42"/>
        <v>C001731</v>
      </c>
      <c r="EB148" s="29" t="str">
        <f t="shared" si="43"/>
        <v/>
      </c>
      <c r="EC148" s="29" t="str">
        <f t="shared" si="44"/>
        <v/>
      </c>
      <c r="ED148" s="29" t="str">
        <f t="shared" si="45"/>
        <v/>
      </c>
      <c r="EE148" s="29" t="str">
        <f t="shared" si="46"/>
        <v/>
      </c>
      <c r="EF148" s="29" t="str">
        <f t="shared" si="47"/>
        <v/>
      </c>
      <c r="EG148" s="29" t="str">
        <f t="shared" si="48"/>
        <v/>
      </c>
      <c r="EH148" s="29" t="str">
        <f t="shared" si="49"/>
        <v/>
      </c>
      <c r="EI148" s="29" t="str">
        <f t="shared" si="50"/>
        <v/>
      </c>
      <c r="EJ148" s="29" t="str">
        <f t="shared" si="51"/>
        <v/>
      </c>
      <c r="EK148" s="29" t="str">
        <f t="shared" si="52"/>
        <v/>
      </c>
      <c r="EL148" s="29" t="str">
        <f>IF(CD148=1,VLOOKUP(EA148,'EIA 2021'!$A$2:$J$213,4,0)*EH148,"")</f>
        <v/>
      </c>
      <c r="EM148" s="29" t="str">
        <f>IF(CD148=1,VLOOKUP(EA148,'EIA 2021'!$A$2:$J$213,7,0)*EH148,"")</f>
        <v/>
      </c>
      <c r="EN148" s="29" t="str">
        <f>IF(CD148=1,VLOOKUP(EA148,'EIA 2021'!$A$2:$J$213,10,0),"")</f>
        <v/>
      </c>
      <c r="EO148" s="28" t="str">
        <f>IF(CD148=1,VLOOKUP(EA148,'EIA 2021'!$A$2:$Z$213,26,0),"")</f>
        <v/>
      </c>
      <c r="EP148" s="23" t="str">
        <f t="shared" si="53"/>
        <v/>
      </c>
      <c r="EQ148" s="32" t="str">
        <f t="shared" si="54"/>
        <v/>
      </c>
      <c r="ER148" s="32" t="str">
        <f t="shared" si="55"/>
        <v/>
      </c>
      <c r="ES148" s="6"/>
      <c r="ET148" s="32"/>
    </row>
    <row r="149" spans="1:150" ht="15.75" customHeight="1">
      <c r="A149" s="7" t="s">
        <v>649</v>
      </c>
      <c r="B149" s="7" t="s">
        <v>650</v>
      </c>
      <c r="C149" s="32" t="s">
        <v>651</v>
      </c>
      <c r="D149" s="40">
        <v>4805098</v>
      </c>
      <c r="E149" s="40">
        <v>1297374</v>
      </c>
      <c r="F149" s="40">
        <v>966572</v>
      </c>
      <c r="G149" s="40">
        <v>316557619</v>
      </c>
      <c r="H149" s="40">
        <v>317935864</v>
      </c>
      <c r="I149" s="40">
        <v>871058</v>
      </c>
      <c r="J149" s="40">
        <v>215522</v>
      </c>
      <c r="K149" s="40">
        <v>144905</v>
      </c>
      <c r="L149" s="40">
        <v>1048131</v>
      </c>
      <c r="M149" s="40">
        <v>62815</v>
      </c>
      <c r="N149" s="40">
        <v>51962</v>
      </c>
      <c r="O149" s="40">
        <v>2571186</v>
      </c>
      <c r="P149" s="40">
        <v>407410</v>
      </c>
      <c r="Q149" s="40">
        <v>52010</v>
      </c>
      <c r="R149" s="40">
        <v>0</v>
      </c>
      <c r="S149" s="40">
        <v>2592401</v>
      </c>
      <c r="T149" s="40">
        <v>32269765</v>
      </c>
      <c r="U149" s="40">
        <v>738831</v>
      </c>
      <c r="V149" s="40">
        <v>0</v>
      </c>
      <c r="W149" s="40">
        <v>243287</v>
      </c>
      <c r="X149" s="40">
        <f>IFERROR(VLOOKUP(A149,'Trans 21-23'!$A$2:$J$229,6,0),0)</f>
        <v>1723090</v>
      </c>
      <c r="Y149" s="41">
        <v>459455</v>
      </c>
      <c r="Z149" s="41">
        <v>474987</v>
      </c>
      <c r="AA149" s="41">
        <v>6627689</v>
      </c>
      <c r="AB149" s="41">
        <v>2395985</v>
      </c>
      <c r="AC149" s="41">
        <v>10298</v>
      </c>
      <c r="AD149" s="41">
        <v>43856450</v>
      </c>
      <c r="AE149" s="41">
        <v>0</v>
      </c>
      <c r="AF149" s="41">
        <v>549670311</v>
      </c>
      <c r="AG149" s="41">
        <v>269872</v>
      </c>
      <c r="AH149" s="41">
        <v>256336</v>
      </c>
      <c r="AI149" s="41">
        <v>4804980</v>
      </c>
      <c r="AJ149" s="41">
        <v>8934</v>
      </c>
      <c r="AK149" s="41">
        <v>0</v>
      </c>
      <c r="AL149" s="41">
        <v>1567112</v>
      </c>
      <c r="AM149" s="41">
        <v>1420037</v>
      </c>
      <c r="AN149" s="41">
        <v>1109561</v>
      </c>
      <c r="AO149" s="41">
        <v>3794</v>
      </c>
      <c r="AP149" s="41">
        <v>0</v>
      </c>
      <c r="AQ149" s="41">
        <v>4100504</v>
      </c>
      <c r="AR149" s="41">
        <v>439206</v>
      </c>
      <c r="AS149" s="41">
        <v>4539710</v>
      </c>
      <c r="AT149" s="41">
        <v>0</v>
      </c>
      <c r="AU149" s="41">
        <v>626</v>
      </c>
      <c r="AV149" s="41">
        <v>0</v>
      </c>
      <c r="AW149" s="41">
        <v>247331365</v>
      </c>
      <c r="AX149" s="41">
        <v>20476975</v>
      </c>
      <c r="AY149" s="41">
        <v>50804874</v>
      </c>
      <c r="AZ149" s="41">
        <v>43669585</v>
      </c>
      <c r="BA149" s="41">
        <v>19736366</v>
      </c>
      <c r="BB149" s="41">
        <v>1011390219</v>
      </c>
      <c r="BC149" s="41">
        <v>2058875634</v>
      </c>
      <c r="BD149" s="41">
        <v>145796184</v>
      </c>
      <c r="BE149" s="41">
        <v>344020972</v>
      </c>
      <c r="BF149" s="41">
        <v>23794392</v>
      </c>
      <c r="BG149" s="41">
        <v>0</v>
      </c>
      <c r="BH149" s="41">
        <v>17335905</v>
      </c>
      <c r="BI149" s="41">
        <v>2324754</v>
      </c>
      <c r="BJ149" s="41">
        <v>2230839</v>
      </c>
      <c r="BK149" s="41">
        <v>10079</v>
      </c>
      <c r="BL149" s="41">
        <v>0</v>
      </c>
      <c r="BM149" s="41">
        <v>12550877</v>
      </c>
      <c r="BN149" s="41">
        <v>39757081</v>
      </c>
      <c r="BO149" s="41">
        <v>0</v>
      </c>
      <c r="BP149" s="41">
        <v>4546082</v>
      </c>
      <c r="BQ149" s="41">
        <v>60335162</v>
      </c>
      <c r="BR149" s="41">
        <v>0</v>
      </c>
      <c r="BS149" s="42">
        <f>IFERROR(VLOOKUP(A149,'Trans 21-23'!$A$2:$J$229,5,0),0)</f>
        <v>109787764</v>
      </c>
      <c r="BT149" s="43"/>
      <c r="BU149" s="6">
        <f t="shared" si="0"/>
        <v>1011390219</v>
      </c>
      <c r="BV149" s="6">
        <f t="shared" si="1"/>
        <v>626</v>
      </c>
      <c r="BW149" s="6">
        <f t="shared" si="2"/>
        <v>269872</v>
      </c>
      <c r="BX149" s="6">
        <f t="shared" si="3"/>
        <v>41269283</v>
      </c>
      <c r="BY149" s="6">
        <f t="shared" si="4"/>
        <v>9968414</v>
      </c>
      <c r="BZ149" s="6">
        <f t="shared" si="5"/>
        <v>43669585</v>
      </c>
      <c r="CA149" s="6">
        <f t="shared" si="6"/>
        <v>43856450</v>
      </c>
      <c r="CB149" s="6">
        <f t="shared" si="7"/>
        <v>256336</v>
      </c>
      <c r="CC149" s="6">
        <f t="shared" si="8"/>
        <v>4100504</v>
      </c>
      <c r="CD149" s="6">
        <f t="shared" ref="CD149:CD157" si="75">IF(OR(BU149&lt;=0,BV149&lt;=0,BW149&lt;=0,BX149&lt;=0,BY149&lt;=0,BZ149&lt;=0,CA149&lt;=0,CB149&lt;=0,CC149&lt;=0,DF149&lt;=0),0,1)</f>
        <v>1</v>
      </c>
      <c r="CE149" s="44">
        <f t="shared" si="10"/>
        <v>11</v>
      </c>
      <c r="CF149" s="27"/>
      <c r="CG149" s="28">
        <f t="shared" si="11"/>
        <v>1615.6393274760383</v>
      </c>
      <c r="CH149" s="28">
        <f t="shared" si="12"/>
        <v>2.3196181893638466</v>
      </c>
      <c r="CI149" s="28">
        <f t="shared" si="13"/>
        <v>152.92169250607697</v>
      </c>
      <c r="CJ149" s="28">
        <f t="shared" si="14"/>
        <v>161.81591643445782</v>
      </c>
      <c r="CK149" s="23">
        <f t="shared" si="15"/>
        <v>6.2513291049100306E-2</v>
      </c>
      <c r="CL149" s="29" t="str">
        <f t="shared" si="16"/>
        <v/>
      </c>
      <c r="CM149" s="29" t="str">
        <f t="shared" si="66"/>
        <v/>
      </c>
      <c r="CN149" s="29" t="str">
        <f t="shared" si="18"/>
        <v/>
      </c>
      <c r="CO149" s="29" t="str">
        <f t="shared" si="19"/>
        <v/>
      </c>
      <c r="CP149" s="29" t="str">
        <f t="shared" si="20"/>
        <v/>
      </c>
      <c r="CQ149" s="29">
        <f t="shared" si="21"/>
        <v>0</v>
      </c>
      <c r="CR149" s="13"/>
      <c r="CS149" s="7">
        <f>VLOOKUP(A149,'Empresas 21-23'!$A$2:$M$228,13,0)</f>
        <v>1</v>
      </c>
      <c r="CT149" s="30"/>
      <c r="CU149" s="6">
        <f t="shared" si="22"/>
        <v>1015002922.6</v>
      </c>
      <c r="CV149" s="6">
        <f t="shared" si="23"/>
        <v>43669585</v>
      </c>
      <c r="CW149" s="6">
        <f t="shared" si="24"/>
        <v>145796184</v>
      </c>
      <c r="CX149" s="23">
        <f t="shared" si="73"/>
        <v>0.53055973320919836</v>
      </c>
      <c r="CY149" s="23">
        <f t="shared" si="74"/>
        <v>2.2826853845510704E-2</v>
      </c>
      <c r="CZ149" s="6">
        <f t="shared" si="25"/>
        <v>1092356507.0859592</v>
      </c>
      <c r="DA149" s="6">
        <f t="shared" si="26"/>
        <v>46997653.183401182</v>
      </c>
      <c r="DB149" s="6">
        <f t="shared" si="27"/>
        <v>41269283</v>
      </c>
      <c r="DC149" s="6">
        <f t="shared" si="28"/>
        <v>42992373</v>
      </c>
      <c r="DD149" s="6">
        <f t="shared" si="29"/>
        <v>9968414</v>
      </c>
      <c r="DE149" s="6">
        <f t="shared" si="30"/>
        <v>43856450</v>
      </c>
      <c r="DF149" s="6">
        <f t="shared" si="31"/>
        <v>12846001.641446095</v>
      </c>
      <c r="DG149" s="30"/>
      <c r="DH149" s="32">
        <f>VLOOKUP(A149,'T_med_comp-USA'!$A$7:$Q$233,17,0)</f>
        <v>14.323765946624684</v>
      </c>
      <c r="DI149" s="6" t="str">
        <f t="shared" si="32"/>
        <v>9_2007</v>
      </c>
      <c r="DJ149" s="32">
        <f>IF(DI149="","",VLOOKUP(DI149,'CPI USA'!$T:$U,2,FALSE))</f>
        <v>207.34200000000001</v>
      </c>
      <c r="DK149" s="32">
        <f>IF(DI149="","",VLOOKUP(DI149,'PPI USA'!$S:$T,2,FALSE))</f>
        <v>151.69999999999999</v>
      </c>
      <c r="DL149" s="32">
        <f>IF(DI149="","",VLOOKUP(DI149,'CPI USA'!$T:$V,3,FALSE))</f>
        <v>0.67123734379962852</v>
      </c>
      <c r="DM149" s="32">
        <f>IF(DI149="","",VLOOKUP(DI149,'CPI USA'!$T:$X,5,FALSE))</f>
        <v>0.49957259686190569</v>
      </c>
      <c r="DN149" s="32">
        <f t="shared" si="33"/>
        <v>1.5480022216582647</v>
      </c>
      <c r="DO149" s="32">
        <f t="shared" si="34"/>
        <v>1.5651038394149617</v>
      </c>
      <c r="DP149" s="32">
        <f t="shared" si="35"/>
        <v>0.42006799585057003</v>
      </c>
      <c r="DQ149" s="32">
        <f>IF(DP149="","",DP149*$DO$1/'CPI USA'!$U$508+(1-DP149)*AVERAGE($DO$1,$DQ$1)/AVERAGE('CPI USA'!$U$508,'PPI USA'!$T$514))</f>
        <v>1.1611522950032629</v>
      </c>
      <c r="DR149" s="6">
        <f t="shared" si="36"/>
        <v>4565672</v>
      </c>
      <c r="DS149" s="32">
        <f t="shared" si="37"/>
        <v>0.45801388264973747</v>
      </c>
      <c r="DT149" s="28">
        <f>IF(DS149="","",DS149*$DO$1/'CPI USA'!$U$508+(1-DS149)*AVERAGE($DO$1,$DQ$1)/AVERAGE('CPI USA'!$U$508,'PPI USA'!$T$514))</f>
        <v>1.1589094754019014</v>
      </c>
      <c r="DU149" s="6">
        <f t="shared" si="38"/>
        <v>12550877</v>
      </c>
      <c r="DV149" s="6">
        <f t="shared" si="39"/>
        <v>1022732.6927404789</v>
      </c>
      <c r="DW149" s="6">
        <f t="shared" si="40"/>
        <v>7477497.0992840733</v>
      </c>
      <c r="DX149" s="16">
        <f t="shared" si="41"/>
        <v>0.58208750924947883</v>
      </c>
      <c r="DY149" s="28">
        <f>IF(DX149="","",DX149*$DO$1/'CPI USA'!$U$508+(1-DX149)*AVERAGE($DO$1,$DQ$1)/AVERAGE('CPI USA'!$U$508,'PPI USA'!$T$514))</f>
        <v>1.1515760122726124</v>
      </c>
      <c r="DZ149" s="30"/>
      <c r="EA149" s="45" t="str">
        <f t="shared" si="42"/>
        <v>C001745</v>
      </c>
      <c r="EB149" s="29">
        <f t="shared" si="43"/>
        <v>1690970299.8119268</v>
      </c>
      <c r="EC149" s="29">
        <f t="shared" si="44"/>
        <v>73556207.440833986</v>
      </c>
      <c r="ED149" s="29">
        <f t="shared" si="45"/>
        <v>49920692.576586314</v>
      </c>
      <c r="EE149" s="29">
        <f t="shared" si="46"/>
        <v>11552489.439328969</v>
      </c>
      <c r="EF149" s="29">
        <f t="shared" si="47"/>
        <v>14793147.343903927</v>
      </c>
      <c r="EG149" s="29">
        <f t="shared" si="48"/>
        <v>626</v>
      </c>
      <c r="EH149" s="29">
        <f t="shared" si="49"/>
        <v>269872</v>
      </c>
      <c r="EI149" s="29">
        <f t="shared" si="50"/>
        <v>256336</v>
      </c>
      <c r="EJ149" s="29">
        <f t="shared" si="51"/>
        <v>4100504</v>
      </c>
      <c r="EK149" s="29">
        <f t="shared" si="52"/>
        <v>4350151.5837563453</v>
      </c>
      <c r="EL149" s="29">
        <f>IF(CD149=1,VLOOKUP(EA149,'EIA 2021'!$A$2:$J$213,4,0)*EH149,"")</f>
        <v>72703516.799999997</v>
      </c>
      <c r="EM149" s="29">
        <f>IF(CD149=1,VLOOKUP(EA149,'EIA 2021'!$A$2:$J$213,7,0)*EH149,"")</f>
        <v>607212</v>
      </c>
      <c r="EN149" s="29">
        <f>IF(CD149=1,VLOOKUP(EA149,'EIA 2021'!$A$2:$J$213,10,0),"")</f>
        <v>272395</v>
      </c>
      <c r="EO149" s="28">
        <f>IF(CD149=1,VLOOKUP(EA149,'EIA 2021'!$A$2:$Z$213,26,0),"")</f>
        <v>0</v>
      </c>
      <c r="EP149" s="23">
        <f t="shared" si="53"/>
        <v>5.7388249340216108E-2</v>
      </c>
      <c r="EQ149" s="32">
        <f t="shared" si="54"/>
        <v>6688.4162436548504</v>
      </c>
      <c r="ER149" s="32">
        <f t="shared" si="55"/>
        <v>249647.58375634515</v>
      </c>
      <c r="ES149" s="6"/>
      <c r="ET149" s="32"/>
    </row>
    <row r="150" spans="1:150" ht="15.75" customHeight="1">
      <c r="A150" s="7" t="s">
        <v>652</v>
      </c>
      <c r="B150" s="7" t="s">
        <v>653</v>
      </c>
      <c r="C150" s="32" t="s">
        <v>654</v>
      </c>
      <c r="D150" s="40">
        <v>459965204</v>
      </c>
      <c r="E150" s="40">
        <v>0</v>
      </c>
      <c r="F150" s="40">
        <v>659274081</v>
      </c>
      <c r="G150" s="40">
        <v>926485923</v>
      </c>
      <c r="H150" s="40">
        <v>1028711069</v>
      </c>
      <c r="I150" s="40">
        <v>5997400</v>
      </c>
      <c r="J150" s="40">
        <v>3340004</v>
      </c>
      <c r="K150" s="40">
        <v>0</v>
      </c>
      <c r="L150" s="40">
        <v>508456</v>
      </c>
      <c r="M150" s="40">
        <v>3688537</v>
      </c>
      <c r="N150" s="40">
        <v>20124</v>
      </c>
      <c r="O150" s="40">
        <v>6997931</v>
      </c>
      <c r="P150" s="40">
        <v>714426</v>
      </c>
      <c r="Q150" s="40">
        <v>7630157</v>
      </c>
      <c r="R150" s="40">
        <v>0</v>
      </c>
      <c r="S150" s="40">
        <v>4343168</v>
      </c>
      <c r="T150" s="40">
        <v>65952848</v>
      </c>
      <c r="U150" s="40">
        <v>1012183</v>
      </c>
      <c r="V150" s="40">
        <v>2052322</v>
      </c>
      <c r="W150" s="40">
        <v>660891</v>
      </c>
      <c r="X150" s="40">
        <f>IFERROR(VLOOKUP(A150,'Trans 21-23'!$A$2:$J$229,6,0),0)</f>
        <v>10336525</v>
      </c>
      <c r="Y150" s="41">
        <v>111210</v>
      </c>
      <c r="Z150" s="41">
        <v>1595582</v>
      </c>
      <c r="AA150" s="41">
        <v>21297790</v>
      </c>
      <c r="AB150" s="41">
        <v>46549545</v>
      </c>
      <c r="AC150" s="41">
        <v>3449187</v>
      </c>
      <c r="AD150" s="41">
        <v>122311111</v>
      </c>
      <c r="AE150" s="41">
        <v>0</v>
      </c>
      <c r="AF150" s="41">
        <v>2770073812</v>
      </c>
      <c r="AG150" s="41">
        <v>874592</v>
      </c>
      <c r="AH150" s="41">
        <v>1481091</v>
      </c>
      <c r="AI150" s="41">
        <v>30888898</v>
      </c>
      <c r="AJ150" s="41">
        <v>48955</v>
      </c>
      <c r="AK150" s="41">
        <v>93870</v>
      </c>
      <c r="AL150" s="41">
        <v>9551763</v>
      </c>
      <c r="AM150" s="41">
        <v>6763114</v>
      </c>
      <c r="AN150" s="41">
        <v>8434680</v>
      </c>
      <c r="AO150" s="41">
        <v>48586</v>
      </c>
      <c r="AP150" s="41">
        <v>2858515</v>
      </c>
      <c r="AQ150" s="41">
        <v>27656658</v>
      </c>
      <c r="AR150" s="41">
        <v>1608324</v>
      </c>
      <c r="AS150" s="41">
        <v>29264982</v>
      </c>
      <c r="AT150" s="41">
        <v>0</v>
      </c>
      <c r="AU150" s="41">
        <v>6722</v>
      </c>
      <c r="AV150" s="41">
        <v>0</v>
      </c>
      <c r="AW150" s="41">
        <v>877621435</v>
      </c>
      <c r="AX150" s="41">
        <v>296318243</v>
      </c>
      <c r="AY150" s="41">
        <v>929452149</v>
      </c>
      <c r="AZ150" s="41">
        <v>217966523</v>
      </c>
      <c r="BA150" s="41">
        <v>312613724</v>
      </c>
      <c r="BB150" s="41">
        <v>5120210086</v>
      </c>
      <c r="BC150" s="41">
        <v>14388058023</v>
      </c>
      <c r="BD150" s="41">
        <v>508793373</v>
      </c>
      <c r="BE150" s="41">
        <v>1570749015</v>
      </c>
      <c r="BF150" s="41">
        <v>134490390</v>
      </c>
      <c r="BG150" s="41">
        <v>0</v>
      </c>
      <c r="BH150" s="41">
        <v>34895823</v>
      </c>
      <c r="BI150" s="41">
        <v>8886294</v>
      </c>
      <c r="BJ150" s="41">
        <v>2938916</v>
      </c>
      <c r="BK150" s="41">
        <v>2742859</v>
      </c>
      <c r="BL150" s="41">
        <v>0</v>
      </c>
      <c r="BM150" s="41">
        <v>36765031</v>
      </c>
      <c r="BN150" s="41">
        <v>159457675</v>
      </c>
      <c r="BO150" s="41">
        <v>0</v>
      </c>
      <c r="BP150" s="41">
        <v>7362122</v>
      </c>
      <c r="BQ150" s="41">
        <v>254133846</v>
      </c>
      <c r="BR150" s="41">
        <v>0</v>
      </c>
      <c r="BS150" s="42">
        <f>IFERROR(VLOOKUP(A150,'Trans 21-23'!$A$2:$J$229,5,0),0)</f>
        <v>180777826</v>
      </c>
      <c r="BT150" s="43"/>
      <c r="BU150" s="6">
        <f t="shared" si="0"/>
        <v>5120210086</v>
      </c>
      <c r="BV150" s="6">
        <f t="shared" si="1"/>
        <v>6722</v>
      </c>
      <c r="BW150" s="6">
        <f t="shared" si="2"/>
        <v>874592</v>
      </c>
      <c r="BX150" s="6">
        <f t="shared" si="3"/>
        <v>102918447</v>
      </c>
      <c r="BY150" s="6">
        <f t="shared" si="4"/>
        <v>73003314</v>
      </c>
      <c r="BZ150" s="6">
        <f t="shared" si="5"/>
        <v>217966523</v>
      </c>
      <c r="CA150" s="6">
        <f t="shared" si="6"/>
        <v>122311111</v>
      </c>
      <c r="CB150" s="6">
        <f t="shared" si="7"/>
        <v>1481091</v>
      </c>
      <c r="CC150" s="6">
        <f t="shared" si="8"/>
        <v>27656658</v>
      </c>
      <c r="CD150" s="6">
        <f t="shared" si="75"/>
        <v>1</v>
      </c>
      <c r="CE150" s="44">
        <f t="shared" si="10"/>
        <v>10</v>
      </c>
      <c r="CF150" s="27"/>
      <c r="CG150" s="28">
        <f t="shared" si="11"/>
        <v>761.70932549836357</v>
      </c>
      <c r="CH150" s="28">
        <f t="shared" si="12"/>
        <v>7.685869525447294</v>
      </c>
      <c r="CI150" s="28">
        <f t="shared" si="13"/>
        <v>117.6759529014672</v>
      </c>
      <c r="CJ150" s="28">
        <f t="shared" si="14"/>
        <v>249.22080581574036</v>
      </c>
      <c r="CK150" s="23">
        <f t="shared" si="15"/>
        <v>5.3552782841657876E-2</v>
      </c>
      <c r="CL150" s="29" t="str">
        <f t="shared" si="16"/>
        <v/>
      </c>
      <c r="CM150" s="29" t="str">
        <f t="shared" si="66"/>
        <v/>
      </c>
      <c r="CN150" s="29" t="str">
        <f t="shared" si="18"/>
        <v/>
      </c>
      <c r="CO150" s="29" t="str">
        <f t="shared" si="19"/>
        <v/>
      </c>
      <c r="CP150" s="29" t="str">
        <f t="shared" si="20"/>
        <v/>
      </c>
      <c r="CQ150" s="29">
        <f t="shared" si="21"/>
        <v>0</v>
      </c>
      <c r="CR150" s="13"/>
      <c r="CS150" s="7">
        <f>VLOOKUP(A150,'Empresas 21-23'!$A$2:$M$228,13,0)</f>
        <v>1</v>
      </c>
      <c r="CT150" s="30"/>
      <c r="CU150" s="6">
        <f t="shared" si="22"/>
        <v>4034945429.8000002</v>
      </c>
      <c r="CV150" s="6">
        <f t="shared" si="23"/>
        <v>217966523</v>
      </c>
      <c r="CW150" s="6">
        <f t="shared" si="24"/>
        <v>508793373</v>
      </c>
      <c r="CX150" s="23">
        <f t="shared" si="73"/>
        <v>0.29071752225720404</v>
      </c>
      <c r="CY150" s="23">
        <f t="shared" si="74"/>
        <v>1.5704471994487115E-2</v>
      </c>
      <c r="CZ150" s="6">
        <f t="shared" si="25"/>
        <v>4182860578.5394454</v>
      </c>
      <c r="DA150" s="6">
        <f t="shared" si="26"/>
        <v>225956854.27725914</v>
      </c>
      <c r="DB150" s="6">
        <f t="shared" si="27"/>
        <v>102918447</v>
      </c>
      <c r="DC150" s="6">
        <f t="shared" si="28"/>
        <v>113254972</v>
      </c>
      <c r="DD150" s="6">
        <f t="shared" si="29"/>
        <v>73003314</v>
      </c>
      <c r="DE150" s="6">
        <f t="shared" si="30"/>
        <v>122311111</v>
      </c>
      <c r="DF150" s="6">
        <f t="shared" si="31"/>
        <v>45580022.243059441</v>
      </c>
      <c r="DG150" s="30"/>
      <c r="DH150" s="32">
        <f>VLOOKUP(A150,'T_med_comp-USA'!$A$7:$Q$233,17,0)</f>
        <v>11.054206078650724</v>
      </c>
      <c r="DI150" s="6" t="str">
        <f t="shared" si="32"/>
        <v>12_2010</v>
      </c>
      <c r="DJ150" s="32">
        <f>IF(DI150="","",VLOOKUP(DI150,'CPI USA'!$T:$U,2,FALSE))</f>
        <v>218.05600000000001</v>
      </c>
      <c r="DK150" s="32">
        <f>IF(DI150="","",VLOOKUP(DI150,'PPI USA'!$S:$T,2,FALSE))</f>
        <v>160.80000000000001</v>
      </c>
      <c r="DL150" s="32">
        <f>IF(DI150="","",VLOOKUP(DI150,'CPI USA'!$T:$V,3,FALSE))</f>
        <v>0.67050107279443949</v>
      </c>
      <c r="DM150" s="32">
        <f>IF(DI150="","",VLOOKUP(DI150,'CPI USA'!$T:$X,5,FALSE))</f>
        <v>0.4987389730136107</v>
      </c>
      <c r="DN150" s="32">
        <f t="shared" si="33"/>
        <v>1.4703278680244813</v>
      </c>
      <c r="DO150" s="32">
        <f t="shared" si="34"/>
        <v>1.4857204383544427</v>
      </c>
      <c r="DP150" s="32">
        <f t="shared" si="35"/>
        <v>0.33906286013040987</v>
      </c>
      <c r="DQ150" s="32">
        <f>IF(DP150="","",DP150*$DO$1/'CPI USA'!$U$508+(1-DP150)*AVERAGE($DO$1,$DQ$1)/AVERAGE('CPI USA'!$U$508,'PPI USA'!$T$514))</f>
        <v>1.1659401632422017</v>
      </c>
      <c r="DR150" s="6">
        <f t="shared" si="36"/>
        <v>14568069</v>
      </c>
      <c r="DS150" s="32">
        <f t="shared" si="37"/>
        <v>0.2</v>
      </c>
      <c r="DT150" s="28">
        <f>IF(DS150="","",DS150*$DO$1/'CPI USA'!$U$508+(1-DS150)*AVERAGE($DO$1,$DQ$1)/AVERAGE('CPI USA'!$U$508,'PPI USA'!$T$514))</f>
        <v>1.1741595760647974</v>
      </c>
      <c r="DU150" s="6">
        <f t="shared" si="38"/>
        <v>36765031</v>
      </c>
      <c r="DV150" s="6">
        <f t="shared" si="39"/>
        <v>1096838.1594472388</v>
      </c>
      <c r="DW150" s="6">
        <f t="shared" si="40"/>
        <v>11744780.594731668</v>
      </c>
      <c r="DX150" s="16">
        <f t="shared" si="41"/>
        <v>0.25767386711883555</v>
      </c>
      <c r="DY150" s="28">
        <f>IF(DX150="","",DX150*$DO$1/'CPI USA'!$U$508+(1-DX150)*AVERAGE($DO$1,$DQ$1)/AVERAGE('CPI USA'!$U$508,'PPI USA'!$T$514))</f>
        <v>1.1707507196492117</v>
      </c>
      <c r="DZ150" s="30"/>
      <c r="EA150" s="45" t="str">
        <f t="shared" si="42"/>
        <v>C001775</v>
      </c>
      <c r="EB150" s="29">
        <f t="shared" si="43"/>
        <v>6150176476.6875515</v>
      </c>
      <c r="EC150" s="29">
        <f t="shared" si="44"/>
        <v>335708716.58600038</v>
      </c>
      <c r="ED150" s="29">
        <f t="shared" si="45"/>
        <v>132048520.54167099</v>
      </c>
      <c r="EE150" s="29">
        <f t="shared" si="46"/>
        <v>85717540.217565283</v>
      </c>
      <c r="EF150" s="29">
        <f t="shared" si="47"/>
        <v>53362843.842688918</v>
      </c>
      <c r="EG150" s="29">
        <f t="shared" si="48"/>
        <v>6722</v>
      </c>
      <c r="EH150" s="29">
        <f t="shared" si="49"/>
        <v>874592</v>
      </c>
      <c r="EI150" s="29">
        <f t="shared" si="50"/>
        <v>1481091</v>
      </c>
      <c r="EJ150" s="29">
        <f t="shared" si="51"/>
        <v>27656658</v>
      </c>
      <c r="EK150" s="29">
        <f t="shared" si="52"/>
        <v>29113256.756345179</v>
      </c>
      <c r="EL150" s="29">
        <f>IF(CD150=1,VLOOKUP(EA150,'EIA 2021'!$A$2:$J$213,4,0)*EH150,"")</f>
        <v>79780282.239999995</v>
      </c>
      <c r="EM150" s="29">
        <f>IF(CD150=1,VLOOKUP(EA150,'EIA 2021'!$A$2:$J$213,7,0)*EH150,"")</f>
        <v>932315.07200000004</v>
      </c>
      <c r="EN150" s="29">
        <f>IF(CD150=1,VLOOKUP(EA150,'EIA 2021'!$A$2:$J$213,10,0),"")</f>
        <v>70780</v>
      </c>
      <c r="EO150" s="28">
        <f>IF(CD150=1,VLOOKUP(EA150,'EIA 2021'!$A$2:$Z$213,26,0),"")</f>
        <v>0</v>
      </c>
      <c r="EP150" s="23">
        <f t="shared" si="53"/>
        <v>5.0032147503652771E-2</v>
      </c>
      <c r="EQ150" s="32">
        <f t="shared" si="54"/>
        <v>24492.243654822465</v>
      </c>
      <c r="ER150" s="32">
        <f t="shared" si="55"/>
        <v>1456598.7563451775</v>
      </c>
      <c r="ES150" s="6"/>
      <c r="ET150" s="32"/>
    </row>
    <row r="151" spans="1:150" ht="15.75" customHeight="1">
      <c r="A151" s="7" t="s">
        <v>655</v>
      </c>
      <c r="B151" s="7" t="s">
        <v>656</v>
      </c>
      <c r="C151" s="32" t="s">
        <v>657</v>
      </c>
      <c r="D151" s="40">
        <v>44346023</v>
      </c>
      <c r="E151" s="40">
        <v>0</v>
      </c>
      <c r="F151" s="40">
        <v>23477997</v>
      </c>
      <c r="G151" s="40">
        <v>257640492</v>
      </c>
      <c r="H151" s="40">
        <v>208845264</v>
      </c>
      <c r="I151" s="40">
        <v>3368549</v>
      </c>
      <c r="J151" s="40">
        <v>1612335</v>
      </c>
      <c r="K151" s="40">
        <v>0</v>
      </c>
      <c r="L151" s="40">
        <v>1933123</v>
      </c>
      <c r="M151" s="40">
        <v>2886644</v>
      </c>
      <c r="N151" s="40">
        <v>1627282</v>
      </c>
      <c r="O151" s="40">
        <v>2946278</v>
      </c>
      <c r="P151" s="40">
        <v>79059</v>
      </c>
      <c r="Q151" s="40">
        <v>1377391</v>
      </c>
      <c r="R151" s="40">
        <v>35634</v>
      </c>
      <c r="S151" s="40">
        <v>721567</v>
      </c>
      <c r="T151" s="40">
        <v>13347613</v>
      </c>
      <c r="U151" s="40">
        <v>1082933</v>
      </c>
      <c r="V151" s="40">
        <v>118023</v>
      </c>
      <c r="W151" s="40">
        <v>44445</v>
      </c>
      <c r="X151" s="40">
        <f>IFERROR(VLOOKUP(A151,'Trans 21-23'!$A$2:$J$229,6,0),0)</f>
        <v>4572709</v>
      </c>
      <c r="Y151" s="41">
        <v>2543121</v>
      </c>
      <c r="Z151" s="41">
        <v>1547625</v>
      </c>
      <c r="AA151" s="41">
        <v>9447985</v>
      </c>
      <c r="AB151" s="41">
        <v>5246759</v>
      </c>
      <c r="AC151" s="41">
        <v>354190</v>
      </c>
      <c r="AD151" s="41">
        <v>108445925</v>
      </c>
      <c r="AE151" s="41">
        <v>0</v>
      </c>
      <c r="AF151" s="41">
        <v>532482319</v>
      </c>
      <c r="AG151" s="41">
        <v>453536</v>
      </c>
      <c r="AH151" s="41">
        <v>1104798</v>
      </c>
      <c r="AI151" s="41">
        <v>9946696</v>
      </c>
      <c r="AJ151" s="41">
        <v>7550</v>
      </c>
      <c r="AK151" s="41">
        <v>0</v>
      </c>
      <c r="AL151" s="41">
        <v>3299444</v>
      </c>
      <c r="AM151" s="41">
        <v>3795835</v>
      </c>
      <c r="AN151" s="41">
        <v>721224</v>
      </c>
      <c r="AO151" s="41">
        <v>46169</v>
      </c>
      <c r="AP151" s="41">
        <v>6652</v>
      </c>
      <c r="AQ151" s="41">
        <v>7876849</v>
      </c>
      <c r="AR151" s="41">
        <v>957499</v>
      </c>
      <c r="AS151" s="41">
        <v>8834348</v>
      </c>
      <c r="AT151" s="41">
        <v>0</v>
      </c>
      <c r="AU151" s="41">
        <v>2115</v>
      </c>
      <c r="AV151" s="41">
        <v>0</v>
      </c>
      <c r="AW151" s="41">
        <v>160449708</v>
      </c>
      <c r="AX151" s="41">
        <v>166295854</v>
      </c>
      <c r="AY151" s="41">
        <v>309294194</v>
      </c>
      <c r="AZ151" s="41">
        <v>78725104</v>
      </c>
      <c r="BA151" s="41">
        <v>85946211</v>
      </c>
      <c r="BB151" s="41">
        <v>2020743908</v>
      </c>
      <c r="BC151" s="41">
        <v>4923748060</v>
      </c>
      <c r="BD151" s="41">
        <v>170796327</v>
      </c>
      <c r="BE151" s="41">
        <v>876364764</v>
      </c>
      <c r="BF151" s="41">
        <v>56848499</v>
      </c>
      <c r="BG151" s="41">
        <v>0</v>
      </c>
      <c r="BH151" s="41">
        <v>21772089</v>
      </c>
      <c r="BI151" s="41">
        <v>4312376</v>
      </c>
      <c r="BJ151" s="41">
        <v>3954373</v>
      </c>
      <c r="BK151" s="41">
        <v>0</v>
      </c>
      <c r="BL151" s="41">
        <v>0</v>
      </c>
      <c r="BM151" s="41">
        <v>31670967</v>
      </c>
      <c r="BN151" s="41">
        <v>80282647</v>
      </c>
      <c r="BO151" s="41">
        <v>0</v>
      </c>
      <c r="BP151" s="41">
        <v>1568453</v>
      </c>
      <c r="BQ151" s="41">
        <v>158918206</v>
      </c>
      <c r="BR151" s="41">
        <v>7525</v>
      </c>
      <c r="BS151" s="42">
        <f>IFERROR(VLOOKUP(A151,'Trans 21-23'!$A$2:$J$229,5,0),0)</f>
        <v>503799170</v>
      </c>
      <c r="BT151" s="43"/>
      <c r="BU151" s="6">
        <f t="shared" si="0"/>
        <v>2020743908</v>
      </c>
      <c r="BV151" s="6">
        <f t="shared" si="1"/>
        <v>2115</v>
      </c>
      <c r="BW151" s="6">
        <f t="shared" si="2"/>
        <v>453536</v>
      </c>
      <c r="BX151" s="6">
        <f t="shared" si="3"/>
        <v>31180876</v>
      </c>
      <c r="BY151" s="6">
        <f t="shared" si="4"/>
        <v>19139680</v>
      </c>
      <c r="BZ151" s="6">
        <f t="shared" si="5"/>
        <v>78725104</v>
      </c>
      <c r="CA151" s="6">
        <f t="shared" si="6"/>
        <v>108445925</v>
      </c>
      <c r="CB151" s="6">
        <f t="shared" si="7"/>
        <v>1104798</v>
      </c>
      <c r="CC151" s="6">
        <f t="shared" si="8"/>
        <v>7876849</v>
      </c>
      <c r="CD151" s="6">
        <f t="shared" si="75"/>
        <v>1</v>
      </c>
      <c r="CE151" s="44">
        <f t="shared" si="10"/>
        <v>10</v>
      </c>
      <c r="CF151" s="27"/>
      <c r="CG151" s="28">
        <f t="shared" si="11"/>
        <v>955.43447186761227</v>
      </c>
      <c r="CH151" s="28">
        <f t="shared" si="12"/>
        <v>4.663356381852819</v>
      </c>
      <c r="CI151" s="28">
        <f t="shared" si="13"/>
        <v>68.750608551471103</v>
      </c>
      <c r="CJ151" s="28">
        <f t="shared" si="14"/>
        <v>173.58071685599378</v>
      </c>
      <c r="CK151" s="23">
        <f t="shared" si="15"/>
        <v>0.14025887762987457</v>
      </c>
      <c r="CL151" s="29" t="str">
        <f t="shared" si="16"/>
        <v/>
      </c>
      <c r="CM151" s="29" t="str">
        <f t="shared" si="66"/>
        <v/>
      </c>
      <c r="CN151" s="29" t="str">
        <f t="shared" si="18"/>
        <v/>
      </c>
      <c r="CO151" s="29" t="str">
        <f t="shared" si="19"/>
        <v/>
      </c>
      <c r="CP151" s="29" t="str">
        <f t="shared" si="20"/>
        <v/>
      </c>
      <c r="CQ151" s="29">
        <f t="shared" si="21"/>
        <v>0</v>
      </c>
      <c r="CR151" s="13"/>
      <c r="CS151" s="7">
        <f>VLOOKUP(A151,'Empresas 21-23'!$A$2:$M$228,13,0)</f>
        <v>1</v>
      </c>
      <c r="CT151" s="30"/>
      <c r="CU151" s="6">
        <f t="shared" si="22"/>
        <v>2074517734.2</v>
      </c>
      <c r="CV151" s="6">
        <f t="shared" si="23"/>
        <v>78725104</v>
      </c>
      <c r="CW151" s="6">
        <f t="shared" si="24"/>
        <v>170796327</v>
      </c>
      <c r="CX151" s="23">
        <f t="shared" si="73"/>
        <v>0.43646934594275627</v>
      </c>
      <c r="CY151" s="23">
        <f t="shared" si="74"/>
        <v>1.6563413310807969E-2</v>
      </c>
      <c r="CZ151" s="6">
        <f t="shared" si="25"/>
        <v>2149065095.335115</v>
      </c>
      <c r="DA151" s="6">
        <f t="shared" si="26"/>
        <v>81554074.156068906</v>
      </c>
      <c r="DB151" s="6">
        <f t="shared" si="27"/>
        <v>31180876</v>
      </c>
      <c r="DC151" s="6">
        <f t="shared" si="28"/>
        <v>35753585</v>
      </c>
      <c r="DD151" s="6">
        <f t="shared" si="29"/>
        <v>19139680</v>
      </c>
      <c r="DE151" s="6">
        <f t="shared" si="30"/>
        <v>108445925</v>
      </c>
      <c r="DF151" s="6">
        <f t="shared" si="31"/>
        <v>40395383.333466507</v>
      </c>
      <c r="DG151" s="30"/>
      <c r="DH151" s="32">
        <f>VLOOKUP(A151,'T_med_comp-USA'!$A$7:$Q$233,17,0)</f>
        <v>15.085986648318963</v>
      </c>
      <c r="DI151" s="6" t="str">
        <f t="shared" si="32"/>
        <v>12_2006</v>
      </c>
      <c r="DJ151" s="32">
        <f>IF(DI151="","",VLOOKUP(DI151,'CPI USA'!$T:$U,2,FALSE))</f>
        <v>201.6</v>
      </c>
      <c r="DK151" s="32">
        <f>IF(DI151="","",VLOOKUP(DI151,'PPI USA'!$S:$T,2,FALSE))</f>
        <v>145.30000000000001</v>
      </c>
      <c r="DL151" s="32">
        <f>IF(DI151="","",VLOOKUP(DI151,'CPI USA'!$T:$V,3,FALSE))</f>
        <v>0.67263024008352756</v>
      </c>
      <c r="DM151" s="32">
        <f>IF(DI151="","",VLOOKUP(DI151,'CPI USA'!$T:$X,5,FALSE))</f>
        <v>0.50115228263529643</v>
      </c>
      <c r="DN151" s="32">
        <f t="shared" si="33"/>
        <v>1.595396421204319</v>
      </c>
      <c r="DO151" s="32">
        <f t="shared" si="34"/>
        <v>1.6147712829199015</v>
      </c>
      <c r="DP151" s="32">
        <f t="shared" si="35"/>
        <v>0.69825135765909851</v>
      </c>
      <c r="DQ151" s="32">
        <f>IF(DP151="","",DP151*$DO$1/'CPI USA'!$U$508+(1-DP151)*AVERAGE($DO$1,$DQ$1)/AVERAGE('CPI USA'!$U$508,'PPI USA'!$T$514))</f>
        <v>1.1447100624119184</v>
      </c>
      <c r="DR151" s="6">
        <f t="shared" si="36"/>
        <v>8266749</v>
      </c>
      <c r="DS151" s="32">
        <f t="shared" si="37"/>
        <v>0.43191678230775016</v>
      </c>
      <c r="DT151" s="28">
        <f>IF(DS151="","",DS151*$DO$1/'CPI USA'!$U$508+(1-DS151)*AVERAGE($DO$1,$DQ$1)/AVERAGE('CPI USA'!$U$508,'PPI USA'!$T$514))</f>
        <v>1.1604519637484116</v>
      </c>
      <c r="DU151" s="6">
        <f t="shared" si="38"/>
        <v>31670967</v>
      </c>
      <c r="DV151" s="6">
        <f t="shared" si="39"/>
        <v>315694.31954590359</v>
      </c>
      <c r="DW151" s="6">
        <f t="shared" si="40"/>
        <v>11968241.873473674</v>
      </c>
      <c r="DX151" s="16">
        <f t="shared" si="41"/>
        <v>0.29627746751838102</v>
      </c>
      <c r="DY151" s="28">
        <f>IF(DX151="","",DX151*$DO$1/'CPI USA'!$U$508+(1-DX151)*AVERAGE($DO$1,$DQ$1)/AVERAGE('CPI USA'!$U$508,'PPI USA'!$T$514))</f>
        <v>1.168469025400835</v>
      </c>
      <c r="DZ151" s="30"/>
      <c r="EA151" s="45" t="str">
        <f t="shared" si="42"/>
        <v>C001789</v>
      </c>
      <c r="EB151" s="29">
        <f t="shared" si="43"/>
        <v>3428610762.0327611</v>
      </c>
      <c r="EC151" s="29">
        <f t="shared" si="44"/>
        <v>131691176.95234017</v>
      </c>
      <c r="ED151" s="29">
        <f t="shared" si="45"/>
        <v>40927488.51679983</v>
      </c>
      <c r="EE151" s="29">
        <f t="shared" si="46"/>
        <v>22210679.241516199</v>
      </c>
      <c r="EF151" s="29">
        <f t="shared" si="47"/>
        <v>47200754.194348745</v>
      </c>
      <c r="EG151" s="29">
        <f t="shared" si="48"/>
        <v>2115</v>
      </c>
      <c r="EH151" s="29">
        <f t="shared" si="49"/>
        <v>453536</v>
      </c>
      <c r="EI151" s="29">
        <f t="shared" si="50"/>
        <v>1104798</v>
      </c>
      <c r="EJ151" s="29">
        <f t="shared" si="51"/>
        <v>7876849</v>
      </c>
      <c r="EK151" s="29">
        <f t="shared" si="52"/>
        <v>8967065.7969543152</v>
      </c>
      <c r="EL151" s="29">
        <f>IF(CD151=1,VLOOKUP(EA151,'EIA 2021'!$A$2:$J$213,4,0)*EH151,"")</f>
        <v>58235383.007999994</v>
      </c>
      <c r="EM151" s="29">
        <f>IF(CD151=1,VLOOKUP(EA151,'EIA 2021'!$A$2:$J$213,7,0)*EH151,"")</f>
        <v>621797.85600000003</v>
      </c>
      <c r="EN151" s="29">
        <f>IF(CD151=1,VLOOKUP(EA151,'EIA 2021'!$A$2:$J$213,10,0),"")</f>
        <v>359805</v>
      </c>
      <c r="EO151" s="28">
        <f>IF(CD151=1,VLOOKUP(EA151,'EIA 2021'!$A$2:$Z$213,26,0),"")</f>
        <v>0</v>
      </c>
      <c r="EP151" s="23">
        <f t="shared" si="53"/>
        <v>0.12158010453370481</v>
      </c>
      <c r="EQ151" s="32">
        <f t="shared" si="54"/>
        <v>14581.20304568531</v>
      </c>
      <c r="ER151" s="32">
        <f t="shared" si="55"/>
        <v>1090216.7969543147</v>
      </c>
      <c r="ES151" s="6"/>
      <c r="ET151" s="32"/>
    </row>
    <row r="152" spans="1:150" ht="15.75" customHeight="1">
      <c r="A152" s="7" t="s">
        <v>658</v>
      </c>
      <c r="B152" s="7" t="s">
        <v>659</v>
      </c>
      <c r="C152" s="32" t="s">
        <v>660</v>
      </c>
      <c r="D152" s="40">
        <v>0</v>
      </c>
      <c r="E152" s="40">
        <v>0</v>
      </c>
      <c r="F152" s="40">
        <v>0</v>
      </c>
      <c r="G152" s="40">
        <v>0</v>
      </c>
      <c r="H152" s="40">
        <v>0</v>
      </c>
      <c r="I152" s="40">
        <v>38470958</v>
      </c>
      <c r="J152" s="40">
        <v>1137577</v>
      </c>
      <c r="K152" s="40">
        <v>2603083</v>
      </c>
      <c r="L152" s="40">
        <v>3385312</v>
      </c>
      <c r="M152" s="40">
        <v>12427648</v>
      </c>
      <c r="N152" s="40">
        <v>3110916</v>
      </c>
      <c r="O152" s="40">
        <v>25406245</v>
      </c>
      <c r="P152" s="40">
        <v>63644</v>
      </c>
      <c r="Q152" s="40">
        <v>4626955</v>
      </c>
      <c r="R152" s="40">
        <v>799050</v>
      </c>
      <c r="S152" s="40">
        <v>12061985</v>
      </c>
      <c r="T152" s="40">
        <v>70445069</v>
      </c>
      <c r="U152" s="40">
        <v>11989080</v>
      </c>
      <c r="V152" s="40">
        <v>3968386</v>
      </c>
      <c r="W152" s="40">
        <v>1389858</v>
      </c>
      <c r="X152" s="40">
        <f>IFERROR(VLOOKUP(A152,'Trans 21-23'!$A$2:$J$229,6,0),0)</f>
        <v>0</v>
      </c>
      <c r="Y152" s="41">
        <v>27963298</v>
      </c>
      <c r="Z152" s="41">
        <v>8487513</v>
      </c>
      <c r="AA152" s="41">
        <v>20187863</v>
      </c>
      <c r="AB152" s="41">
        <v>37666097</v>
      </c>
      <c r="AC152" s="41">
        <v>0</v>
      </c>
      <c r="AD152" s="41">
        <v>246061226</v>
      </c>
      <c r="AE152" s="41">
        <v>0</v>
      </c>
      <c r="AF152" s="41">
        <v>1589169645</v>
      </c>
      <c r="AG152" s="41">
        <v>2651537</v>
      </c>
      <c r="AH152" s="41">
        <v>0</v>
      </c>
      <c r="AI152" s="41">
        <v>0</v>
      </c>
      <c r="AJ152" s="41">
        <v>0</v>
      </c>
      <c r="AK152" s="41">
        <v>0</v>
      </c>
      <c r="AL152" s="41">
        <v>30650030</v>
      </c>
      <c r="AM152" s="41">
        <v>25666132</v>
      </c>
      <c r="AN152" s="41">
        <v>40497154</v>
      </c>
      <c r="AO152" s="41">
        <v>85137</v>
      </c>
      <c r="AP152" s="41">
        <v>0</v>
      </c>
      <c r="AQ152" s="41">
        <v>96898453</v>
      </c>
      <c r="AR152" s="41">
        <v>0</v>
      </c>
      <c r="AS152" s="41">
        <v>96898453</v>
      </c>
      <c r="AT152" s="41">
        <v>0</v>
      </c>
      <c r="AU152" s="41">
        <v>0</v>
      </c>
      <c r="AV152" s="41">
        <v>0</v>
      </c>
      <c r="AW152" s="41">
        <v>1173999206</v>
      </c>
      <c r="AX152" s="41">
        <v>703580378</v>
      </c>
      <c r="AY152" s="41">
        <v>1266948716</v>
      </c>
      <c r="AZ152" s="41">
        <v>260769573</v>
      </c>
      <c r="BA152" s="41">
        <v>723170164</v>
      </c>
      <c r="BB152" s="41">
        <v>8532464781</v>
      </c>
      <c r="BC152" s="41">
        <v>14416245159</v>
      </c>
      <c r="BD152" s="41">
        <v>1112722583</v>
      </c>
      <c r="BE152" s="41">
        <v>2965112647</v>
      </c>
      <c r="BF152" s="41">
        <v>254153797</v>
      </c>
      <c r="BG152" s="41">
        <v>0</v>
      </c>
      <c r="BH152" s="41">
        <v>104347794</v>
      </c>
      <c r="BI152" s="41">
        <v>5593556</v>
      </c>
      <c r="BJ152" s="41">
        <v>1504106</v>
      </c>
      <c r="BK152" s="41">
        <v>0</v>
      </c>
      <c r="BL152" s="41">
        <v>0</v>
      </c>
      <c r="BM152" s="41">
        <v>5550244</v>
      </c>
      <c r="BN152" s="41">
        <v>141655759</v>
      </c>
      <c r="BO152" s="41">
        <v>13732508</v>
      </c>
      <c r="BP152" s="41">
        <v>0</v>
      </c>
      <c r="BQ152" s="41">
        <v>333269130</v>
      </c>
      <c r="BR152" s="41">
        <v>0</v>
      </c>
      <c r="BS152" s="42">
        <f>IFERROR(VLOOKUP(A152,'Trans 21-23'!$A$2:$J$229,5,0),0)</f>
        <v>0</v>
      </c>
      <c r="BT152" s="43"/>
      <c r="BU152" s="6">
        <f t="shared" si="0"/>
        <v>8532464781</v>
      </c>
      <c r="BV152" s="6">
        <f t="shared" si="1"/>
        <v>0</v>
      </c>
      <c r="BW152" s="6">
        <f t="shared" si="2"/>
        <v>2651537</v>
      </c>
      <c r="BX152" s="6">
        <f t="shared" si="3"/>
        <v>191885766</v>
      </c>
      <c r="BY152" s="6">
        <f t="shared" si="4"/>
        <v>94304771</v>
      </c>
      <c r="BZ152" s="6">
        <f t="shared" si="5"/>
        <v>260769573</v>
      </c>
      <c r="CA152" s="6">
        <f t="shared" si="6"/>
        <v>246061226</v>
      </c>
      <c r="CB152" s="6">
        <f t="shared" si="7"/>
        <v>0</v>
      </c>
      <c r="CC152" s="6">
        <f t="shared" si="8"/>
        <v>96898453</v>
      </c>
      <c r="CD152" s="6">
        <f t="shared" si="75"/>
        <v>0</v>
      </c>
      <c r="CE152" s="44">
        <f t="shared" si="10"/>
        <v>23</v>
      </c>
      <c r="CF152" s="27"/>
      <c r="CG152" s="28" t="str">
        <f t="shared" si="11"/>
        <v/>
      </c>
      <c r="CH152" s="28" t="str">
        <f t="shared" si="12"/>
        <v/>
      </c>
      <c r="CI152" s="28" t="str">
        <f t="shared" si="13"/>
        <v/>
      </c>
      <c r="CJ152" s="28" t="str">
        <f t="shared" si="14"/>
        <v/>
      </c>
      <c r="CK152" s="23" t="str">
        <f t="shared" si="15"/>
        <v/>
      </c>
      <c r="CL152" s="29" t="str">
        <f t="shared" si="16"/>
        <v/>
      </c>
      <c r="CM152" s="29" t="str">
        <f t="shared" si="66"/>
        <v/>
      </c>
      <c r="CN152" s="29" t="str">
        <f t="shared" si="18"/>
        <v/>
      </c>
      <c r="CO152" s="29" t="str">
        <f t="shared" si="19"/>
        <v/>
      </c>
      <c r="CP152" s="29" t="str">
        <f t="shared" si="20"/>
        <v/>
      </c>
      <c r="CQ152" s="29">
        <f t="shared" si="21"/>
        <v>0</v>
      </c>
      <c r="CR152" s="13"/>
      <c r="CS152" s="7" t="str">
        <f>VLOOKUP(A152,'Empresas 21-23'!$A$2:$M$228,13,0)</f>
        <v/>
      </c>
      <c r="CT152" s="30"/>
      <c r="CU152" s="6">
        <f t="shared" si="22"/>
        <v>6366207587.6000004</v>
      </c>
      <c r="CV152" s="6">
        <f t="shared" si="23"/>
        <v>260769573</v>
      </c>
      <c r="CW152" s="6">
        <f t="shared" si="24"/>
        <v>1112722583</v>
      </c>
      <c r="CX152" s="23">
        <f t="shared" si="73"/>
        <v>0.47853548195459539</v>
      </c>
      <c r="CY152" s="23">
        <f t="shared" si="74"/>
        <v>1.9601543238663498E-2</v>
      </c>
      <c r="CZ152" s="6">
        <f t="shared" si="25"/>
        <v>6898684825.1376677</v>
      </c>
      <c r="DA152" s="6">
        <f t="shared" si="26"/>
        <v>282580652.82331181</v>
      </c>
      <c r="DB152" s="6">
        <f t="shared" si="27"/>
        <v>191885766</v>
      </c>
      <c r="DC152" s="6">
        <f t="shared" si="28"/>
        <v>191885766</v>
      </c>
      <c r="DD152" s="6">
        <f t="shared" si="29"/>
        <v>94304771</v>
      </c>
      <c r="DE152" s="6">
        <f t="shared" si="30"/>
        <v>246061226</v>
      </c>
      <c r="DF152" s="6">
        <f t="shared" si="31"/>
        <v>52430908.337429129</v>
      </c>
      <c r="DG152" s="30"/>
      <c r="DH152" s="32">
        <f>VLOOKUP(A152,'T_med_comp-USA'!$A$7:$Q$233,17,0)</f>
        <v>10.962829095865596</v>
      </c>
      <c r="DI152" s="6" t="str">
        <f t="shared" si="32"/>
        <v>1_2011</v>
      </c>
      <c r="DJ152" s="32">
        <f>IF(DI152="","",VLOOKUP(DI152,'CPI USA'!$T:$U,2,FALSE))</f>
        <v>224.93899999999999</v>
      </c>
      <c r="DK152" s="32">
        <f>IF(DI152="","",VLOOKUP(DI152,'PPI USA'!$S:$T,2,FALSE))</f>
        <v>169.6</v>
      </c>
      <c r="DL152" s="32">
        <f>IF(DI152="","",VLOOKUP(DI152,'CPI USA'!$T:$V,3,FALSE))</f>
        <v>0.6684022975047168</v>
      </c>
      <c r="DM152" s="32">
        <f>IF(DI152="","",VLOOKUP(DI152,'CPI USA'!$T:$X,5,FALSE))</f>
        <v>0.49636791791307899</v>
      </c>
      <c r="DN152" s="32">
        <f t="shared" si="33"/>
        <v>1.4208751760332547</v>
      </c>
      <c r="DO152" s="32">
        <f t="shared" si="34"/>
        <v>1.4334111417560953</v>
      </c>
      <c r="DP152" s="32">
        <f t="shared" si="35"/>
        <v>0.59651930024396715</v>
      </c>
      <c r="DQ152" s="32">
        <f>IF(DP152="","",DP152*$DO$1/'CPI USA'!$U$508+(1-DP152)*AVERAGE($DO$1,$DQ$1)/AVERAGE('CPI USA'!$U$508,'PPI USA'!$T$514))</f>
        <v>1.1507230106311828</v>
      </c>
      <c r="DR152" s="6">
        <f t="shared" si="36"/>
        <v>7097662</v>
      </c>
      <c r="DS152" s="32">
        <f t="shared" si="37"/>
        <v>0.2</v>
      </c>
      <c r="DT152" s="28">
        <f>IF(DS152="","",DS152*$DO$1/'CPI USA'!$U$508+(1-DS152)*AVERAGE($DO$1,$DQ$1)/AVERAGE('CPI USA'!$U$508,'PPI USA'!$T$514))</f>
        <v>1.1741595760647974</v>
      </c>
      <c r="DU152" s="6">
        <f t="shared" si="38"/>
        <v>6088300.275791456</v>
      </c>
      <c r="DV152" s="6">
        <f t="shared" si="39"/>
        <v>0</v>
      </c>
      <c r="DW152" s="6">
        <f t="shared" si="40"/>
        <v>4789875.154320444</v>
      </c>
      <c r="DX152" s="16">
        <f t="shared" si="41"/>
        <v>0.2</v>
      </c>
      <c r="DY152" s="28">
        <f>IF(DX152="","",DX152*$DO$1/'CPI USA'!$U$508+(1-DX152)*AVERAGE($DO$1,$DQ$1)/AVERAGE('CPI USA'!$U$508,'PPI USA'!$T$514))</f>
        <v>1.1741595760647974</v>
      </c>
      <c r="DZ152" s="30"/>
      <c r="EA152" s="45" t="str">
        <f t="shared" si="42"/>
        <v>C002012</v>
      </c>
      <c r="EB152" s="29" t="str">
        <f t="shared" si="43"/>
        <v/>
      </c>
      <c r="EC152" s="29" t="str">
        <f t="shared" si="44"/>
        <v/>
      </c>
      <c r="ED152" s="29" t="str">
        <f t="shared" si="45"/>
        <v/>
      </c>
      <c r="EE152" s="29" t="str">
        <f t="shared" si="46"/>
        <v/>
      </c>
      <c r="EF152" s="29" t="str">
        <f t="shared" si="47"/>
        <v/>
      </c>
      <c r="EG152" s="29" t="str">
        <f t="shared" si="48"/>
        <v/>
      </c>
      <c r="EH152" s="29" t="str">
        <f t="shared" si="49"/>
        <v/>
      </c>
      <c r="EI152" s="29" t="str">
        <f t="shared" si="50"/>
        <v/>
      </c>
      <c r="EJ152" s="29" t="str">
        <f t="shared" si="51"/>
        <v/>
      </c>
      <c r="EK152" s="29" t="str">
        <f t="shared" si="52"/>
        <v/>
      </c>
      <c r="EL152" s="29" t="str">
        <f>IF(CD152=1,VLOOKUP(EA152,'EIA 2021'!$A$2:$J$213,4,0)*EH152,"")</f>
        <v/>
      </c>
      <c r="EM152" s="29" t="str">
        <f>IF(CD152=1,VLOOKUP(EA152,'EIA 2021'!$A$2:$J$213,7,0)*EH152,"")</f>
        <v/>
      </c>
      <c r="EN152" s="29" t="str">
        <f>IF(CD152=1,VLOOKUP(EA152,'EIA 2021'!$A$2:$J$213,10,0),"")</f>
        <v/>
      </c>
      <c r="EO152" s="28" t="str">
        <f>IF(CD152=1,VLOOKUP(EA152,'EIA 2021'!$A$2:$Z$213,26,0),"")</f>
        <v/>
      </c>
      <c r="EP152" s="23" t="str">
        <f t="shared" si="53"/>
        <v/>
      </c>
      <c r="EQ152" s="32" t="str">
        <f t="shared" si="54"/>
        <v/>
      </c>
      <c r="ER152" s="32" t="str">
        <f t="shared" si="55"/>
        <v/>
      </c>
      <c r="ES152" s="6"/>
      <c r="ET152" s="32"/>
    </row>
    <row r="153" spans="1:150" ht="15.75" customHeight="1">
      <c r="A153" s="7" t="s">
        <v>661</v>
      </c>
      <c r="B153" s="7" t="s">
        <v>662</v>
      </c>
      <c r="C153" s="32" t="s">
        <v>663</v>
      </c>
      <c r="D153" s="40">
        <v>47602983</v>
      </c>
      <c r="E153" s="40">
        <v>0</v>
      </c>
      <c r="F153" s="40">
        <v>5022571</v>
      </c>
      <c r="G153" s="40">
        <v>21479591</v>
      </c>
      <c r="H153" s="40">
        <v>23543429</v>
      </c>
      <c r="I153" s="40">
        <v>1909059</v>
      </c>
      <c r="J153" s="40">
        <v>695792</v>
      </c>
      <c r="K153" s="40">
        <v>0</v>
      </c>
      <c r="L153" s="40">
        <v>684843</v>
      </c>
      <c r="M153" s="40">
        <v>1597485</v>
      </c>
      <c r="N153" s="40">
        <v>268740</v>
      </c>
      <c r="O153" s="40">
        <v>3541667</v>
      </c>
      <c r="P153" s="40">
        <v>111129</v>
      </c>
      <c r="Q153" s="40">
        <v>883972</v>
      </c>
      <c r="R153" s="40">
        <v>0</v>
      </c>
      <c r="S153" s="40">
        <v>168630</v>
      </c>
      <c r="T153" s="40">
        <v>3308463</v>
      </c>
      <c r="U153" s="40">
        <v>614751</v>
      </c>
      <c r="V153" s="40">
        <v>78392</v>
      </c>
      <c r="W153" s="40">
        <v>1004768</v>
      </c>
      <c r="X153" s="40">
        <f>IFERROR(VLOOKUP(A153,'Trans 21-23'!$A$2:$J$229,6,0),0)</f>
        <v>0</v>
      </c>
      <c r="Y153" s="41">
        <v>1274118</v>
      </c>
      <c r="Z153" s="41">
        <v>69627</v>
      </c>
      <c r="AA153" s="41">
        <v>3839843</v>
      </c>
      <c r="AB153" s="41">
        <v>366851</v>
      </c>
      <c r="AC153" s="41">
        <v>149628</v>
      </c>
      <c r="AD153" s="41">
        <v>30129545</v>
      </c>
      <c r="AE153" s="41">
        <v>0</v>
      </c>
      <c r="AF153" s="41">
        <v>196615597</v>
      </c>
      <c r="AG153" s="41">
        <v>144044</v>
      </c>
      <c r="AH153" s="41">
        <v>255099</v>
      </c>
      <c r="AI153" s="41">
        <v>3602596</v>
      </c>
      <c r="AJ153" s="41">
        <v>0</v>
      </c>
      <c r="AK153" s="41">
        <v>0</v>
      </c>
      <c r="AL153" s="41">
        <v>1164846</v>
      </c>
      <c r="AM153" s="41">
        <v>1432997</v>
      </c>
      <c r="AN153" s="41">
        <v>589405</v>
      </c>
      <c r="AO153" s="41">
        <v>18484</v>
      </c>
      <c r="AP153" s="41">
        <v>59939</v>
      </c>
      <c r="AQ153" s="41">
        <v>3271618</v>
      </c>
      <c r="AR153" s="41">
        <v>75879</v>
      </c>
      <c r="AS153" s="41">
        <v>3347497</v>
      </c>
      <c r="AT153" s="41">
        <v>0</v>
      </c>
      <c r="AU153" s="41">
        <v>604</v>
      </c>
      <c r="AV153" s="41">
        <v>0</v>
      </c>
      <c r="AW153" s="41">
        <v>37373996</v>
      </c>
      <c r="AX153" s="41">
        <v>238830</v>
      </c>
      <c r="AY153" s="41">
        <v>139505983</v>
      </c>
      <c r="AZ153" s="41">
        <v>19129146</v>
      </c>
      <c r="BA153" s="41">
        <v>9336340</v>
      </c>
      <c r="BB153" s="41">
        <v>474037053</v>
      </c>
      <c r="BC153" s="41">
        <v>2131441494</v>
      </c>
      <c r="BD153" s="41">
        <v>33545977</v>
      </c>
      <c r="BE153" s="41">
        <v>156618153</v>
      </c>
      <c r="BF153" s="41">
        <v>11122003</v>
      </c>
      <c r="BG153" s="41">
        <v>0</v>
      </c>
      <c r="BH153" s="41">
        <v>10134950</v>
      </c>
      <c r="BI153" s="41">
        <v>2014570</v>
      </c>
      <c r="BJ153" s="41">
        <v>235776</v>
      </c>
      <c r="BK153" s="41">
        <v>125014</v>
      </c>
      <c r="BL153" s="41">
        <v>0</v>
      </c>
      <c r="BM153" s="41">
        <v>7355336</v>
      </c>
      <c r="BN153" s="41">
        <v>33706418</v>
      </c>
      <c r="BO153" s="41">
        <v>4153449</v>
      </c>
      <c r="BP153" s="41">
        <v>9087023</v>
      </c>
      <c r="BQ153" s="41">
        <v>94766310</v>
      </c>
      <c r="BR153" s="41">
        <v>5947</v>
      </c>
      <c r="BS153" s="42">
        <f>IFERROR(VLOOKUP(A153,'Trans 21-23'!$A$2:$J$229,5,0),0)</f>
        <v>0</v>
      </c>
      <c r="BT153" s="43"/>
      <c r="BU153" s="6">
        <f t="shared" si="0"/>
        <v>474037053</v>
      </c>
      <c r="BV153" s="6">
        <f t="shared" si="1"/>
        <v>604</v>
      </c>
      <c r="BW153" s="6">
        <f t="shared" si="2"/>
        <v>144044</v>
      </c>
      <c r="BX153" s="6">
        <f t="shared" si="3"/>
        <v>14867691</v>
      </c>
      <c r="BY153" s="6">
        <f t="shared" si="4"/>
        <v>5700067</v>
      </c>
      <c r="BZ153" s="6">
        <f t="shared" si="5"/>
        <v>19129146</v>
      </c>
      <c r="CA153" s="6">
        <f t="shared" si="6"/>
        <v>30129545</v>
      </c>
      <c r="CB153" s="6">
        <f t="shared" si="7"/>
        <v>255099</v>
      </c>
      <c r="CC153" s="6">
        <f t="shared" si="8"/>
        <v>3271618</v>
      </c>
      <c r="CD153" s="6">
        <f t="shared" si="75"/>
        <v>1</v>
      </c>
      <c r="CE153" s="44">
        <f t="shared" si="10"/>
        <v>12</v>
      </c>
      <c r="CF153" s="27"/>
      <c r="CG153" s="28">
        <f t="shared" si="11"/>
        <v>784.82955794701979</v>
      </c>
      <c r="CH153" s="28">
        <f t="shared" si="12"/>
        <v>4.1931632001332924</v>
      </c>
      <c r="CI153" s="28">
        <f t="shared" si="13"/>
        <v>103.21631584793535</v>
      </c>
      <c r="CJ153" s="28">
        <f t="shared" si="14"/>
        <v>132.8007136708228</v>
      </c>
      <c r="CK153" s="23">
        <f t="shared" si="15"/>
        <v>7.7973345298870469E-2</v>
      </c>
      <c r="CL153" s="29" t="str">
        <f t="shared" si="16"/>
        <v/>
      </c>
      <c r="CM153" s="29" t="str">
        <f t="shared" si="66"/>
        <v/>
      </c>
      <c r="CN153" s="29" t="str">
        <f t="shared" si="18"/>
        <v/>
      </c>
      <c r="CO153" s="29" t="str">
        <f t="shared" si="19"/>
        <v/>
      </c>
      <c r="CP153" s="29" t="str">
        <f t="shared" si="20"/>
        <v/>
      </c>
      <c r="CQ153" s="29">
        <f t="shared" si="21"/>
        <v>0</v>
      </c>
      <c r="CR153" s="13"/>
      <c r="CS153" s="7" t="str">
        <f>VLOOKUP(A153,'Empresas 21-23'!$A$2:$M$228,13,0)</f>
        <v/>
      </c>
      <c r="CT153" s="30"/>
      <c r="CU153" s="6">
        <f t="shared" si="22"/>
        <v>361724679.19999999</v>
      </c>
      <c r="CV153" s="6">
        <f t="shared" si="23"/>
        <v>19129146</v>
      </c>
      <c r="CW153" s="6">
        <f t="shared" si="24"/>
        <v>33545977</v>
      </c>
      <c r="CX153" s="23">
        <f t="shared" si="73"/>
        <v>0.17242263795733159</v>
      </c>
      <c r="CY153" s="23">
        <f t="shared" si="74"/>
        <v>9.1182548630232858E-3</v>
      </c>
      <c r="CZ153" s="6">
        <f t="shared" si="25"/>
        <v>367508765.04719597</v>
      </c>
      <c r="DA153" s="6">
        <f t="shared" si="26"/>
        <v>19435026.767915118</v>
      </c>
      <c r="DB153" s="6">
        <f t="shared" si="27"/>
        <v>14867691</v>
      </c>
      <c r="DC153" s="6">
        <f t="shared" si="28"/>
        <v>14867691</v>
      </c>
      <c r="DD153" s="6">
        <f t="shared" si="29"/>
        <v>5700067</v>
      </c>
      <c r="DE153" s="6">
        <f t="shared" si="30"/>
        <v>30129545</v>
      </c>
      <c r="DF153" s="6">
        <f t="shared" si="31"/>
        <v>6861351.8692696951</v>
      </c>
      <c r="DG153" s="30"/>
      <c r="DH153" s="32">
        <f>VLOOKUP(A153,'T_med_comp-USA'!$A$7:$Q$233,17,0)</f>
        <v>14.511392747343061</v>
      </c>
      <c r="DI153" s="6" t="str">
        <f t="shared" si="32"/>
        <v>7_2007</v>
      </c>
      <c r="DJ153" s="32">
        <f>IF(DI153="","",VLOOKUP(DI153,'CPI USA'!$T:$U,2,FALSE))</f>
        <v>207.34200000000001</v>
      </c>
      <c r="DK153" s="32">
        <f>IF(DI153="","",VLOOKUP(DI153,'PPI USA'!$S:$T,2,FALSE))</f>
        <v>151.69999999999999</v>
      </c>
      <c r="DL153" s="32">
        <f>IF(DI153="","",VLOOKUP(DI153,'CPI USA'!$T:$V,3,FALSE))</f>
        <v>0.67123734379962852</v>
      </c>
      <c r="DM153" s="32">
        <f>IF(DI153="","",VLOOKUP(DI153,'CPI USA'!$T:$X,5,FALSE))</f>
        <v>0.49957259686190569</v>
      </c>
      <c r="DN153" s="32">
        <f t="shared" si="33"/>
        <v>1.5480022216582647</v>
      </c>
      <c r="DO153" s="32">
        <f t="shared" si="34"/>
        <v>1.5651038394149617</v>
      </c>
      <c r="DP153" s="32">
        <f t="shared" si="35"/>
        <v>0.76567517375066507</v>
      </c>
      <c r="DQ153" s="32">
        <f>IF(DP153="","",DP153*$DO$1/'CPI USA'!$U$508+(1-DP153)*AVERAGE($DO$1,$DQ$1)/AVERAGE('CPI USA'!$U$508,'PPI USA'!$T$514))</f>
        <v>1.1407249280776206</v>
      </c>
      <c r="DR153" s="6">
        <f t="shared" si="36"/>
        <v>2375360</v>
      </c>
      <c r="DS153" s="32">
        <f t="shared" si="37"/>
        <v>0.46807555410112778</v>
      </c>
      <c r="DT153" s="28">
        <f>IF(DS153="","",DS153*$DO$1/'CPI USA'!$U$508+(1-DS153)*AVERAGE($DO$1,$DQ$1)/AVERAGE('CPI USA'!$U$508,'PPI USA'!$T$514))</f>
        <v>1.1583147728963819</v>
      </c>
      <c r="DU153" s="6">
        <f t="shared" si="38"/>
        <v>8261691.9632430831</v>
      </c>
      <c r="DV153" s="6">
        <f t="shared" si="39"/>
        <v>780096.44740306959</v>
      </c>
      <c r="DW153" s="6">
        <f t="shared" si="40"/>
        <v>3355906.1651579426</v>
      </c>
      <c r="DX153" s="16">
        <f t="shared" si="41"/>
        <v>0.48910276416346166</v>
      </c>
      <c r="DY153" s="28">
        <f>IF(DX153="","",DX153*$DO$1/'CPI USA'!$U$508+(1-DX153)*AVERAGE($DO$1,$DQ$1)/AVERAGE('CPI USA'!$U$508,'PPI USA'!$T$514))</f>
        <v>1.1570719441508226</v>
      </c>
      <c r="DZ153" s="30"/>
      <c r="EA153" s="45" t="str">
        <f t="shared" si="42"/>
        <v>C002045</v>
      </c>
      <c r="EB153" s="29">
        <f t="shared" si="43"/>
        <v>568904384.77194464</v>
      </c>
      <c r="EC153" s="29">
        <f t="shared" si="44"/>
        <v>30417835.013596505</v>
      </c>
      <c r="ED153" s="29">
        <f t="shared" si="45"/>
        <v>16959945.746655285</v>
      </c>
      <c r="EE153" s="29">
        <f t="shared" si="46"/>
        <v>6602471.8125991607</v>
      </c>
      <c r="EF153" s="29">
        <f t="shared" si="47"/>
        <v>7939077.7468787665</v>
      </c>
      <c r="EG153" s="29">
        <f t="shared" si="48"/>
        <v>604</v>
      </c>
      <c r="EH153" s="29">
        <f t="shared" si="49"/>
        <v>144044</v>
      </c>
      <c r="EI153" s="29">
        <f t="shared" si="50"/>
        <v>255099</v>
      </c>
      <c r="EJ153" s="29">
        <f t="shared" si="51"/>
        <v>3271618</v>
      </c>
      <c r="EK153" s="29">
        <f t="shared" si="52"/>
        <v>3525561.4822335024</v>
      </c>
      <c r="EL153" s="29" t="e">
        <f>IF(CD153=1,VLOOKUP(EA153,'EIA 2021'!$A$2:$J$213,4,0)*EH153,"")</f>
        <v>#VALUE!</v>
      </c>
      <c r="EM153" s="29">
        <f>IF(CD153=1,VLOOKUP(EA153,'EIA 2021'!$A$2:$J$213,7,0)*EH153,"")</f>
        <v>446536.4</v>
      </c>
      <c r="EN153" s="29">
        <f>IF(CD153=1,VLOOKUP(EA153,'EIA 2021'!$A$2:$J$213,10,0),"")</f>
        <v>25554</v>
      </c>
      <c r="EO153" s="28">
        <f>IF(CD153=1,VLOOKUP(EA153,'EIA 2021'!$A$2:$Z$213,26,0),"")</f>
        <v>0</v>
      </c>
      <c r="EP153" s="23">
        <f t="shared" si="53"/>
        <v>7.2029230950363426E-2</v>
      </c>
      <c r="EQ153" s="32">
        <f t="shared" si="54"/>
        <v>1155.5177664974617</v>
      </c>
      <c r="ER153" s="32">
        <f t="shared" si="55"/>
        <v>253943.48223350255</v>
      </c>
      <c r="ES153" s="6"/>
      <c r="ET153" s="32"/>
    </row>
    <row r="154" spans="1:150" ht="15.75" customHeight="1">
      <c r="A154" s="7" t="s">
        <v>664</v>
      </c>
      <c r="B154" s="7" t="s">
        <v>665</v>
      </c>
      <c r="C154" s="32" t="s">
        <v>666</v>
      </c>
      <c r="D154" s="40">
        <v>0</v>
      </c>
      <c r="E154" s="40">
        <v>0</v>
      </c>
      <c r="F154" s="40">
        <v>0</v>
      </c>
      <c r="G154" s="40">
        <v>0</v>
      </c>
      <c r="H154" s="40">
        <v>0</v>
      </c>
      <c r="I154" s="40">
        <v>0</v>
      </c>
      <c r="J154" s="40">
        <v>0</v>
      </c>
      <c r="K154" s="40">
        <v>0</v>
      </c>
      <c r="L154" s="40">
        <v>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f>IFERROR(VLOOKUP(A154,'Trans 21-23'!$A$2:$J$229,6,0),0)</f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1477487</v>
      </c>
      <c r="AE154" s="41">
        <v>0</v>
      </c>
      <c r="AF154" s="41">
        <v>1494536</v>
      </c>
      <c r="AG154" s="41">
        <v>0</v>
      </c>
      <c r="AH154" s="41">
        <v>0</v>
      </c>
      <c r="AI154" s="41">
        <v>0</v>
      </c>
      <c r="AJ154" s="41">
        <v>0</v>
      </c>
      <c r="AK154" s="41">
        <v>0</v>
      </c>
      <c r="AL154" s="41">
        <v>0</v>
      </c>
      <c r="AM154" s="41">
        <v>0</v>
      </c>
      <c r="AN154" s="41">
        <v>0</v>
      </c>
      <c r="AO154" s="41">
        <v>0</v>
      </c>
      <c r="AP154" s="41">
        <v>0</v>
      </c>
      <c r="AQ154" s="41">
        <v>0</v>
      </c>
      <c r="AR154" s="41">
        <v>0</v>
      </c>
      <c r="AS154" s="41">
        <v>0</v>
      </c>
      <c r="AT154" s="41">
        <v>0</v>
      </c>
      <c r="AU154" s="41">
        <v>0</v>
      </c>
      <c r="AV154" s="41">
        <v>0</v>
      </c>
      <c r="AW154" s="41">
        <v>0</v>
      </c>
      <c r="AX154" s="41">
        <v>0</v>
      </c>
      <c r="AY154" s="41">
        <v>0</v>
      </c>
      <c r="AZ154" s="41">
        <v>0</v>
      </c>
      <c r="BA154" s="41">
        <v>0</v>
      </c>
      <c r="BB154" s="41">
        <v>0</v>
      </c>
      <c r="BC154" s="41">
        <v>23845594</v>
      </c>
      <c r="BD154" s="41">
        <v>520800</v>
      </c>
      <c r="BE154" s="41">
        <v>0</v>
      </c>
      <c r="BF154" s="41">
        <v>0</v>
      </c>
      <c r="BG154" s="41">
        <v>0</v>
      </c>
      <c r="BH154" s="41">
        <v>0</v>
      </c>
      <c r="BI154" s="41">
        <v>0</v>
      </c>
      <c r="BJ154" s="41">
        <v>0</v>
      </c>
      <c r="BK154" s="41">
        <v>0</v>
      </c>
      <c r="BL154" s="41">
        <v>0</v>
      </c>
      <c r="BM154" s="41">
        <v>0</v>
      </c>
      <c r="BN154" s="41">
        <v>0</v>
      </c>
      <c r="BO154" s="41">
        <v>0</v>
      </c>
      <c r="BP154" s="41">
        <v>0</v>
      </c>
      <c r="BQ154" s="41">
        <v>0</v>
      </c>
      <c r="BR154" s="41">
        <v>0</v>
      </c>
      <c r="BS154" s="42">
        <f>IFERROR(VLOOKUP(A154,'Trans 21-23'!$A$2:$J$229,5,0),0)</f>
        <v>0</v>
      </c>
      <c r="BT154" s="43"/>
      <c r="BU154" s="6">
        <f t="shared" si="0"/>
        <v>0</v>
      </c>
      <c r="BV154" s="6">
        <f t="shared" si="1"/>
        <v>0</v>
      </c>
      <c r="BW154" s="6">
        <f t="shared" si="2"/>
        <v>0</v>
      </c>
      <c r="BX154" s="6">
        <f t="shared" si="3"/>
        <v>0</v>
      </c>
      <c r="BY154" s="6">
        <f t="shared" si="4"/>
        <v>0</v>
      </c>
      <c r="BZ154" s="6">
        <f t="shared" si="5"/>
        <v>0</v>
      </c>
      <c r="CA154" s="6">
        <f t="shared" si="6"/>
        <v>1477487</v>
      </c>
      <c r="CB154" s="6">
        <f t="shared" si="7"/>
        <v>0</v>
      </c>
      <c r="CC154" s="6">
        <f t="shared" si="8"/>
        <v>0</v>
      </c>
      <c r="CD154" s="6">
        <f t="shared" si="75"/>
        <v>0</v>
      </c>
      <c r="CE154" s="44">
        <f t="shared" si="10"/>
        <v>64</v>
      </c>
      <c r="CF154" s="27"/>
      <c r="CG154" s="28" t="str">
        <f t="shared" si="11"/>
        <v/>
      </c>
      <c r="CH154" s="28" t="str">
        <f t="shared" si="12"/>
        <v/>
      </c>
      <c r="CI154" s="28" t="str">
        <f t="shared" si="13"/>
        <v/>
      </c>
      <c r="CJ154" s="28" t="str">
        <f t="shared" si="14"/>
        <v/>
      </c>
      <c r="CK154" s="23" t="str">
        <f t="shared" si="15"/>
        <v/>
      </c>
      <c r="CL154" s="29" t="str">
        <f t="shared" si="16"/>
        <v/>
      </c>
      <c r="CM154" s="29" t="str">
        <f t="shared" si="66"/>
        <v/>
      </c>
      <c r="CN154" s="29" t="str">
        <f t="shared" si="18"/>
        <v/>
      </c>
      <c r="CO154" s="29" t="str">
        <f t="shared" si="19"/>
        <v/>
      </c>
      <c r="CP154" s="29" t="str">
        <f t="shared" si="20"/>
        <v/>
      </c>
      <c r="CQ154" s="29">
        <f t="shared" si="21"/>
        <v>0</v>
      </c>
      <c r="CR154" s="13"/>
      <c r="CS154" s="7" t="str">
        <f>VLOOKUP(A154,'Empresas 21-23'!$A$2:$M$228,13,0)</f>
        <v/>
      </c>
      <c r="CT154" s="30"/>
      <c r="CU154" s="6">
        <f t="shared" si="22"/>
        <v>0</v>
      </c>
      <c r="CV154" s="6">
        <f t="shared" si="23"/>
        <v>0</v>
      </c>
      <c r="CW154" s="6">
        <f t="shared" si="24"/>
        <v>520800</v>
      </c>
      <c r="CX154" s="23">
        <f t="shared" si="73"/>
        <v>0</v>
      </c>
      <c r="CY154" s="23">
        <f t="shared" si="74"/>
        <v>0</v>
      </c>
      <c r="CZ154" s="6">
        <f t="shared" si="25"/>
        <v>0</v>
      </c>
      <c r="DA154" s="6">
        <f t="shared" si="26"/>
        <v>0</v>
      </c>
      <c r="DB154" s="6">
        <f t="shared" si="27"/>
        <v>0</v>
      </c>
      <c r="DC154" s="6">
        <f t="shared" si="28"/>
        <v>0</v>
      </c>
      <c r="DD154" s="6">
        <f t="shared" si="29"/>
        <v>0</v>
      </c>
      <c r="DE154" s="6">
        <f t="shared" si="30"/>
        <v>1477487</v>
      </c>
      <c r="DF154" s="6">
        <f t="shared" si="31"/>
        <v>0</v>
      </c>
      <c r="DG154" s="30"/>
      <c r="DH154" s="32" t="str">
        <f>VLOOKUP(A154,'T_med_comp-USA'!$A$7:$Q$233,17,0)</f>
        <v>-</v>
      </c>
      <c r="DI154" s="6" t="str">
        <f t="shared" si="32"/>
        <v/>
      </c>
      <c r="DJ154" s="32" t="str">
        <f>IF(DI154="","",VLOOKUP(DI154,'CPI USA'!$T:$U,2,FALSE))</f>
        <v/>
      </c>
      <c r="DK154" s="32" t="str">
        <f>IF(DI154="","",VLOOKUP(DI154,'PPI USA'!$S:$T,2,FALSE))</f>
        <v/>
      </c>
      <c r="DL154" s="32" t="str">
        <f>IF(DI154="","",VLOOKUP(DI154,'CPI USA'!$T:$V,3,FALSE))</f>
        <v/>
      </c>
      <c r="DM154" s="32" t="str">
        <f>IF(DI154="","",VLOOKUP(DI154,'CPI USA'!$T:$X,5,FALSE))</f>
        <v/>
      </c>
      <c r="DN154" s="32" t="str">
        <f t="shared" si="33"/>
        <v/>
      </c>
      <c r="DO154" s="32" t="str">
        <f t="shared" si="34"/>
        <v/>
      </c>
      <c r="DP154" s="32" t="str">
        <f t="shared" si="35"/>
        <v/>
      </c>
      <c r="DQ154" s="32" t="str">
        <f>IF(DP154="","",DP154*$DO$1/'CPI USA'!$U$508+(1-DP154)*AVERAGE($DO$1,$DQ$1)/AVERAGE('CPI USA'!$U$508,'PPI USA'!$T$514))</f>
        <v/>
      </c>
      <c r="DR154" s="6">
        <f t="shared" si="36"/>
        <v>0</v>
      </c>
      <c r="DS154" s="32" t="str">
        <f t="shared" si="37"/>
        <v/>
      </c>
      <c r="DT154" s="28" t="str">
        <f>IF(DS154="","",DS154*$DO$1/'CPI USA'!$U$508+(1-DS154)*AVERAGE($DO$1,$DQ$1)/AVERAGE('CPI USA'!$U$508,'PPI USA'!$T$514))</f>
        <v/>
      </c>
      <c r="DU154" s="6" t="str">
        <f t="shared" si="38"/>
        <v/>
      </c>
      <c r="DV154" s="6" t="str">
        <f t="shared" si="39"/>
        <v/>
      </c>
      <c r="DW154" s="6">
        <f t="shared" si="40"/>
        <v>0</v>
      </c>
      <c r="DX154" s="16" t="str">
        <f t="shared" si="41"/>
        <v/>
      </c>
      <c r="DY154" s="28" t="str">
        <f>IF(DX154="","",DX154*$DO$1/'CPI USA'!$U$508+(1-DX154)*AVERAGE($DO$1,$DQ$1)/AVERAGE('CPI USA'!$U$508,'PPI USA'!$T$514))</f>
        <v/>
      </c>
      <c r="DZ154" s="30"/>
      <c r="EA154" s="45" t="str">
        <f t="shared" si="42"/>
        <v>C002073</v>
      </c>
      <c r="EB154" s="29" t="str">
        <f t="shared" si="43"/>
        <v/>
      </c>
      <c r="EC154" s="29" t="str">
        <f t="shared" si="44"/>
        <v/>
      </c>
      <c r="ED154" s="29" t="str">
        <f t="shared" si="45"/>
        <v/>
      </c>
      <c r="EE154" s="29" t="str">
        <f t="shared" si="46"/>
        <v/>
      </c>
      <c r="EF154" s="29" t="str">
        <f t="shared" si="47"/>
        <v/>
      </c>
      <c r="EG154" s="29" t="str">
        <f t="shared" si="48"/>
        <v/>
      </c>
      <c r="EH154" s="29" t="str">
        <f t="shared" si="49"/>
        <v/>
      </c>
      <c r="EI154" s="29" t="str">
        <f t="shared" si="50"/>
        <v/>
      </c>
      <c r="EJ154" s="29" t="str">
        <f t="shared" si="51"/>
        <v/>
      </c>
      <c r="EK154" s="29" t="str">
        <f t="shared" si="52"/>
        <v/>
      </c>
      <c r="EL154" s="29" t="str">
        <f>IF(CD154=1,VLOOKUP(EA154,'EIA 2021'!$A$2:$J$213,4,0)*EH154,"")</f>
        <v/>
      </c>
      <c r="EM154" s="29" t="str">
        <f>IF(CD154=1,VLOOKUP(EA154,'EIA 2021'!$A$2:$J$213,7,0)*EH154,"")</f>
        <v/>
      </c>
      <c r="EN154" s="29" t="str">
        <f>IF(CD154=1,VLOOKUP(EA154,'EIA 2021'!$A$2:$J$213,10,0),"")</f>
        <v/>
      </c>
      <c r="EO154" s="28" t="str">
        <f>IF(CD154=1,VLOOKUP(EA154,'EIA 2021'!$A$2:$Z$213,26,0),"")</f>
        <v/>
      </c>
      <c r="EP154" s="23" t="str">
        <f t="shared" si="53"/>
        <v/>
      </c>
      <c r="EQ154" s="32" t="str">
        <f t="shared" si="54"/>
        <v/>
      </c>
      <c r="ER154" s="32" t="str">
        <f t="shared" si="55"/>
        <v/>
      </c>
      <c r="ES154" s="6"/>
      <c r="ET154" s="32"/>
    </row>
    <row r="155" spans="1:150" ht="15.75" customHeight="1">
      <c r="A155" s="7" t="s">
        <v>667</v>
      </c>
      <c r="B155" s="7" t="s">
        <v>668</v>
      </c>
      <c r="C155" s="32" t="s">
        <v>669</v>
      </c>
      <c r="D155" s="40">
        <v>0</v>
      </c>
      <c r="E155" s="40">
        <v>0</v>
      </c>
      <c r="F155" s="40">
        <v>0</v>
      </c>
      <c r="G155" s="40">
        <v>0</v>
      </c>
      <c r="H155" s="40">
        <v>0</v>
      </c>
      <c r="I155" s="40">
        <v>0</v>
      </c>
      <c r="J155" s="40">
        <v>0</v>
      </c>
      <c r="K155" s="40">
        <v>0</v>
      </c>
      <c r="L155" s="40">
        <v>0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f>IFERROR(VLOOKUP(A155,'Trans 21-23'!$A$2:$J$229,6,0),0)</f>
        <v>0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1846129</v>
      </c>
      <c r="AE155" s="41">
        <v>0</v>
      </c>
      <c r="AF155" s="41">
        <v>2086236</v>
      </c>
      <c r="AG155" s="41">
        <v>0</v>
      </c>
      <c r="AH155" s="41">
        <v>0</v>
      </c>
      <c r="AI155" s="41">
        <v>0</v>
      </c>
      <c r="AJ155" s="41">
        <v>0</v>
      </c>
      <c r="AK155" s="41">
        <v>0</v>
      </c>
      <c r="AL155" s="41">
        <v>0</v>
      </c>
      <c r="AM155" s="41">
        <v>0</v>
      </c>
      <c r="AN155" s="41">
        <v>0</v>
      </c>
      <c r="AO155" s="41">
        <v>0</v>
      </c>
      <c r="AP155" s="41">
        <v>0</v>
      </c>
      <c r="AQ155" s="41">
        <v>0</v>
      </c>
      <c r="AR155" s="41">
        <v>0</v>
      </c>
      <c r="AS155" s="41">
        <v>0</v>
      </c>
      <c r="AT155" s="41">
        <v>0</v>
      </c>
      <c r="AU155" s="41">
        <v>0</v>
      </c>
      <c r="AV155" s="41">
        <v>0</v>
      </c>
      <c r="AW155" s="41">
        <v>0</v>
      </c>
      <c r="AX155" s="41">
        <v>0</v>
      </c>
      <c r="AY155" s="41">
        <v>0</v>
      </c>
      <c r="AZ155" s="41">
        <v>0</v>
      </c>
      <c r="BA155" s="41">
        <v>0</v>
      </c>
      <c r="BB155" s="41">
        <v>0</v>
      </c>
      <c r="BC155" s="41">
        <v>151611726</v>
      </c>
      <c r="BD155" s="41">
        <v>0</v>
      </c>
      <c r="BE155" s="41">
        <v>0</v>
      </c>
      <c r="BF155" s="41">
        <v>0</v>
      </c>
      <c r="BG155" s="41">
        <v>0</v>
      </c>
      <c r="BH155" s="41">
        <v>0</v>
      </c>
      <c r="BI155" s="41">
        <v>0</v>
      </c>
      <c r="BJ155" s="41">
        <v>0</v>
      </c>
      <c r="BK155" s="41">
        <v>0</v>
      </c>
      <c r="BL155" s="41">
        <v>0</v>
      </c>
      <c r="BM155" s="41">
        <v>0</v>
      </c>
      <c r="BN155" s="41">
        <v>0</v>
      </c>
      <c r="BO155" s="41">
        <v>0</v>
      </c>
      <c r="BP155" s="41">
        <v>0</v>
      </c>
      <c r="BQ155" s="41">
        <v>0</v>
      </c>
      <c r="BR155" s="41">
        <v>0</v>
      </c>
      <c r="BS155" s="42">
        <f>IFERROR(VLOOKUP(A155,'Trans 21-23'!$A$2:$J$229,5,0),0)</f>
        <v>0</v>
      </c>
      <c r="BT155" s="43"/>
      <c r="BU155" s="6">
        <f t="shared" si="0"/>
        <v>0</v>
      </c>
      <c r="BV155" s="6">
        <f t="shared" si="1"/>
        <v>0</v>
      </c>
      <c r="BW155" s="6">
        <f t="shared" si="2"/>
        <v>0</v>
      </c>
      <c r="BX155" s="6">
        <f t="shared" si="3"/>
        <v>0</v>
      </c>
      <c r="BY155" s="6">
        <f t="shared" si="4"/>
        <v>0</v>
      </c>
      <c r="BZ155" s="6">
        <f t="shared" si="5"/>
        <v>0</v>
      </c>
      <c r="CA155" s="6">
        <f t="shared" si="6"/>
        <v>1846129</v>
      </c>
      <c r="CB155" s="6">
        <f t="shared" si="7"/>
        <v>0</v>
      </c>
      <c r="CC155" s="6">
        <f t="shared" si="8"/>
        <v>0</v>
      </c>
      <c r="CD155" s="6">
        <f t="shared" si="75"/>
        <v>0</v>
      </c>
      <c r="CE155" s="44">
        <f t="shared" si="10"/>
        <v>65</v>
      </c>
      <c r="CF155" s="27"/>
      <c r="CG155" s="28" t="str">
        <f t="shared" si="11"/>
        <v/>
      </c>
      <c r="CH155" s="28" t="str">
        <f t="shared" si="12"/>
        <v/>
      </c>
      <c r="CI155" s="28" t="str">
        <f t="shared" si="13"/>
        <v/>
      </c>
      <c r="CJ155" s="28" t="str">
        <f t="shared" si="14"/>
        <v/>
      </c>
      <c r="CK155" s="23" t="str">
        <f t="shared" si="15"/>
        <v/>
      </c>
      <c r="CL155" s="29" t="str">
        <f t="shared" si="16"/>
        <v/>
      </c>
      <c r="CM155" s="29" t="str">
        <f t="shared" si="66"/>
        <v/>
      </c>
      <c r="CN155" s="29" t="str">
        <f t="shared" si="18"/>
        <v/>
      </c>
      <c r="CO155" s="29" t="str">
        <f t="shared" si="19"/>
        <v/>
      </c>
      <c r="CP155" s="29" t="str">
        <f t="shared" si="20"/>
        <v/>
      </c>
      <c r="CQ155" s="29">
        <f t="shared" si="21"/>
        <v>0</v>
      </c>
      <c r="CR155" s="13"/>
      <c r="CS155" s="7" t="str">
        <f>VLOOKUP(A155,'Empresas 21-23'!$A$2:$M$228,13,0)</f>
        <v/>
      </c>
      <c r="CT155" s="30"/>
      <c r="CU155" s="6">
        <f t="shared" si="22"/>
        <v>0</v>
      </c>
      <c r="CV155" s="6">
        <f t="shared" si="23"/>
        <v>0</v>
      </c>
      <c r="CW155" s="6">
        <f t="shared" si="24"/>
        <v>0</v>
      </c>
      <c r="CX155" s="23">
        <f t="shared" si="73"/>
        <v>0</v>
      </c>
      <c r="CY155" s="23">
        <f t="shared" si="74"/>
        <v>0</v>
      </c>
      <c r="CZ155" s="6">
        <f t="shared" si="25"/>
        <v>0</v>
      </c>
      <c r="DA155" s="6">
        <f t="shared" si="26"/>
        <v>0</v>
      </c>
      <c r="DB155" s="6">
        <f t="shared" si="27"/>
        <v>0</v>
      </c>
      <c r="DC155" s="6">
        <f t="shared" si="28"/>
        <v>0</v>
      </c>
      <c r="DD155" s="6">
        <f t="shared" si="29"/>
        <v>0</v>
      </c>
      <c r="DE155" s="6">
        <f t="shared" si="30"/>
        <v>1846129</v>
      </c>
      <c r="DF155" s="6">
        <f t="shared" si="31"/>
        <v>0</v>
      </c>
      <c r="DG155" s="30"/>
      <c r="DH155" s="32" t="str">
        <f>VLOOKUP(A155,'T_med_comp-USA'!$A$7:$Q$233,17,0)</f>
        <v>-</v>
      </c>
      <c r="DI155" s="6" t="str">
        <f t="shared" si="32"/>
        <v/>
      </c>
      <c r="DJ155" s="32" t="str">
        <f>IF(DI155="","",VLOOKUP(DI155,'CPI USA'!$T:$U,2,FALSE))</f>
        <v/>
      </c>
      <c r="DK155" s="32" t="str">
        <f>IF(DI155="","",VLOOKUP(DI155,'PPI USA'!$S:$T,2,FALSE))</f>
        <v/>
      </c>
      <c r="DL155" s="32" t="str">
        <f>IF(DI155="","",VLOOKUP(DI155,'CPI USA'!$T:$V,3,FALSE))</f>
        <v/>
      </c>
      <c r="DM155" s="32" t="str">
        <f>IF(DI155="","",VLOOKUP(DI155,'CPI USA'!$T:$X,5,FALSE))</f>
        <v/>
      </c>
      <c r="DN155" s="32" t="str">
        <f t="shared" si="33"/>
        <v/>
      </c>
      <c r="DO155" s="32" t="str">
        <f t="shared" si="34"/>
        <v/>
      </c>
      <c r="DP155" s="32" t="str">
        <f t="shared" si="35"/>
        <v/>
      </c>
      <c r="DQ155" s="32" t="str">
        <f>IF(DP155="","",DP155*$DO$1/'CPI USA'!$U$508+(1-DP155)*AVERAGE($DO$1,$DQ$1)/AVERAGE('CPI USA'!$U$508,'PPI USA'!$T$514))</f>
        <v/>
      </c>
      <c r="DR155" s="6">
        <f t="shared" si="36"/>
        <v>0</v>
      </c>
      <c r="DS155" s="32" t="str">
        <f t="shared" si="37"/>
        <v/>
      </c>
      <c r="DT155" s="28" t="str">
        <f>IF(DS155="","",DS155*$DO$1/'CPI USA'!$U$508+(1-DS155)*AVERAGE($DO$1,$DQ$1)/AVERAGE('CPI USA'!$U$508,'PPI USA'!$T$514))</f>
        <v/>
      </c>
      <c r="DU155" s="6" t="str">
        <f t="shared" si="38"/>
        <v/>
      </c>
      <c r="DV155" s="6" t="str">
        <f t="shared" si="39"/>
        <v/>
      </c>
      <c r="DW155" s="6">
        <f t="shared" si="40"/>
        <v>0</v>
      </c>
      <c r="DX155" s="16" t="str">
        <f t="shared" si="41"/>
        <v/>
      </c>
      <c r="DY155" s="28" t="str">
        <f>IF(DX155="","",DX155*$DO$1/'CPI USA'!$U$508+(1-DX155)*AVERAGE($DO$1,$DQ$1)/AVERAGE('CPI USA'!$U$508,'PPI USA'!$T$514))</f>
        <v/>
      </c>
      <c r="DZ155" s="30"/>
      <c r="EA155" s="45" t="str">
        <f t="shared" si="42"/>
        <v>C002083</v>
      </c>
      <c r="EB155" s="29" t="str">
        <f t="shared" si="43"/>
        <v/>
      </c>
      <c r="EC155" s="29" t="str">
        <f t="shared" si="44"/>
        <v/>
      </c>
      <c r="ED155" s="29" t="str">
        <f t="shared" si="45"/>
        <v/>
      </c>
      <c r="EE155" s="29" t="str">
        <f t="shared" si="46"/>
        <v/>
      </c>
      <c r="EF155" s="29" t="str">
        <f t="shared" si="47"/>
        <v/>
      </c>
      <c r="EG155" s="29" t="str">
        <f t="shared" si="48"/>
        <v/>
      </c>
      <c r="EH155" s="29" t="str">
        <f t="shared" si="49"/>
        <v/>
      </c>
      <c r="EI155" s="29" t="str">
        <f t="shared" si="50"/>
        <v/>
      </c>
      <c r="EJ155" s="29" t="str">
        <f t="shared" si="51"/>
        <v/>
      </c>
      <c r="EK155" s="29" t="str">
        <f t="shared" si="52"/>
        <v/>
      </c>
      <c r="EL155" s="29" t="str">
        <f>IF(CD155=1,VLOOKUP(EA155,'EIA 2021'!$A$2:$J$213,4,0)*EH155,"")</f>
        <v/>
      </c>
      <c r="EM155" s="29" t="str">
        <f>IF(CD155=1,VLOOKUP(EA155,'EIA 2021'!$A$2:$J$213,7,0)*EH155,"")</f>
        <v/>
      </c>
      <c r="EN155" s="29" t="str">
        <f>IF(CD155=1,VLOOKUP(EA155,'EIA 2021'!$A$2:$J$213,10,0),"")</f>
        <v/>
      </c>
      <c r="EO155" s="28" t="str">
        <f>IF(CD155=1,VLOOKUP(EA155,'EIA 2021'!$A$2:$Z$213,26,0),"")</f>
        <v/>
      </c>
      <c r="EP155" s="23" t="str">
        <f t="shared" si="53"/>
        <v/>
      </c>
      <c r="EQ155" s="32" t="str">
        <f t="shared" si="54"/>
        <v/>
      </c>
      <c r="ER155" s="32" t="str">
        <f t="shared" si="55"/>
        <v/>
      </c>
      <c r="ES155" s="6"/>
      <c r="ET155" s="32"/>
    </row>
    <row r="156" spans="1:150" ht="15.75" customHeight="1">
      <c r="A156" s="7" t="s">
        <v>670</v>
      </c>
      <c r="B156" s="7" t="s">
        <v>671</v>
      </c>
      <c r="C156" s="32" t="s">
        <v>672</v>
      </c>
      <c r="D156" s="40">
        <v>0</v>
      </c>
      <c r="E156" s="40">
        <v>0</v>
      </c>
      <c r="F156" s="40">
        <v>0</v>
      </c>
      <c r="G156" s="40">
        <v>44601725</v>
      </c>
      <c r="H156" s="40">
        <v>44601725</v>
      </c>
      <c r="I156" s="40">
        <v>414262</v>
      </c>
      <c r="J156" s="40">
        <v>51818</v>
      </c>
      <c r="K156" s="40">
        <v>309100</v>
      </c>
      <c r="L156" s="40">
        <v>245667</v>
      </c>
      <c r="M156" s="40">
        <v>42144</v>
      </c>
      <c r="N156" s="40">
        <v>215341</v>
      </c>
      <c r="O156" s="40">
        <v>396972</v>
      </c>
      <c r="P156" s="40">
        <v>45541</v>
      </c>
      <c r="Q156" s="40">
        <v>234104</v>
      </c>
      <c r="R156" s="40">
        <v>0</v>
      </c>
      <c r="S156" s="40">
        <v>204927</v>
      </c>
      <c r="T156" s="40">
        <v>8432591</v>
      </c>
      <c r="U156" s="40">
        <v>54189</v>
      </c>
      <c r="V156" s="40">
        <v>76765</v>
      </c>
      <c r="W156" s="40">
        <v>38693</v>
      </c>
      <c r="X156" s="40">
        <f>IFERROR(VLOOKUP(A156,'Trans 21-23'!$A$2:$J$229,6,0),0)</f>
        <v>528791</v>
      </c>
      <c r="Y156" s="41">
        <v>471060</v>
      </c>
      <c r="Z156" s="41">
        <v>29788</v>
      </c>
      <c r="AA156" s="41">
        <v>3193081</v>
      </c>
      <c r="AB156" s="41">
        <v>26337</v>
      </c>
      <c r="AC156" s="41">
        <v>10275</v>
      </c>
      <c r="AD156" s="41">
        <v>9480123</v>
      </c>
      <c r="AE156" s="41">
        <v>0</v>
      </c>
      <c r="AF156" s="41">
        <v>77837179</v>
      </c>
      <c r="AG156" s="41">
        <v>62630</v>
      </c>
      <c r="AH156" s="41">
        <v>67686</v>
      </c>
      <c r="AI156" s="41">
        <v>1064814</v>
      </c>
      <c r="AJ156" s="41">
        <v>1381</v>
      </c>
      <c r="AK156" s="41">
        <v>0</v>
      </c>
      <c r="AL156" s="41">
        <v>581556</v>
      </c>
      <c r="AM156" s="41">
        <v>305981</v>
      </c>
      <c r="AN156" s="41">
        <v>102408</v>
      </c>
      <c r="AO156" s="41">
        <v>4954</v>
      </c>
      <c r="AP156" s="41">
        <v>709</v>
      </c>
      <c r="AQ156" s="41">
        <v>995608</v>
      </c>
      <c r="AR156" s="41">
        <v>139</v>
      </c>
      <c r="AS156" s="41">
        <v>995747</v>
      </c>
      <c r="AT156" s="41">
        <v>0</v>
      </c>
      <c r="AU156" s="41">
        <v>216</v>
      </c>
      <c r="AV156" s="41">
        <v>0</v>
      </c>
      <c r="AW156" s="41">
        <v>49273563</v>
      </c>
      <c r="AX156" s="41">
        <v>8675380</v>
      </c>
      <c r="AY156" s="41">
        <v>13826261</v>
      </c>
      <c r="AZ156" s="41">
        <v>9753669</v>
      </c>
      <c r="BA156" s="41">
        <v>2263603</v>
      </c>
      <c r="BB156" s="41">
        <v>189938363</v>
      </c>
      <c r="BC156" s="41">
        <v>263922017</v>
      </c>
      <c r="BD156" s="41">
        <v>8769327</v>
      </c>
      <c r="BE156" s="41">
        <v>65733490</v>
      </c>
      <c r="BF156" s="41">
        <v>4726476</v>
      </c>
      <c r="BG156" s="41">
        <v>0</v>
      </c>
      <c r="BH156" s="41">
        <v>3290741</v>
      </c>
      <c r="BI156" s="41">
        <v>1199060</v>
      </c>
      <c r="BJ156" s="41">
        <v>0</v>
      </c>
      <c r="BK156" s="41">
        <v>0</v>
      </c>
      <c r="BL156" s="41">
        <v>0</v>
      </c>
      <c r="BM156" s="41">
        <v>3252083</v>
      </c>
      <c r="BN156" s="41">
        <v>8860832</v>
      </c>
      <c r="BO156" s="41">
        <v>0</v>
      </c>
      <c r="BP156" s="41">
        <v>5996394</v>
      </c>
      <c r="BQ156" s="41">
        <v>145773595</v>
      </c>
      <c r="BR156" s="41">
        <v>0</v>
      </c>
      <c r="BS156" s="42">
        <f>IFERROR(VLOOKUP(A156,'Trans 21-23'!$A$2:$J$229,5,0),0)</f>
        <v>25482098</v>
      </c>
      <c r="BT156" s="43"/>
      <c r="BU156" s="6">
        <f t="shared" si="0"/>
        <v>189938363</v>
      </c>
      <c r="BV156" s="6">
        <f t="shared" si="1"/>
        <v>216</v>
      </c>
      <c r="BW156" s="6">
        <f t="shared" si="2"/>
        <v>62630</v>
      </c>
      <c r="BX156" s="6">
        <f t="shared" si="3"/>
        <v>10762114</v>
      </c>
      <c r="BY156" s="6">
        <f t="shared" si="4"/>
        <v>3730541</v>
      </c>
      <c r="BZ156" s="6">
        <f t="shared" si="5"/>
        <v>9753669</v>
      </c>
      <c r="CA156" s="6">
        <f t="shared" si="6"/>
        <v>9480123</v>
      </c>
      <c r="CB156" s="6">
        <f t="shared" si="7"/>
        <v>67686</v>
      </c>
      <c r="CC156" s="6">
        <f t="shared" si="8"/>
        <v>995608</v>
      </c>
      <c r="CD156" s="6">
        <f t="shared" si="75"/>
        <v>1</v>
      </c>
      <c r="CE156" s="44">
        <f t="shared" si="10"/>
        <v>14</v>
      </c>
      <c r="CF156" s="27"/>
      <c r="CG156" s="28">
        <f t="shared" si="11"/>
        <v>879.3442731481482</v>
      </c>
      <c r="CH156" s="28">
        <f t="shared" si="12"/>
        <v>3.4488264410027143</v>
      </c>
      <c r="CI156" s="28">
        <f t="shared" si="13"/>
        <v>171.83640427909947</v>
      </c>
      <c r="CJ156" s="28">
        <f t="shared" si="14"/>
        <v>155.73477566661344</v>
      </c>
      <c r="CK156" s="23">
        <f t="shared" si="15"/>
        <v>6.7984588311865712E-2</v>
      </c>
      <c r="CL156" s="29" t="str">
        <f t="shared" si="16"/>
        <v/>
      </c>
      <c r="CM156" s="29" t="str">
        <f t="shared" si="66"/>
        <v/>
      </c>
      <c r="CN156" s="29" t="str">
        <f t="shared" si="18"/>
        <v/>
      </c>
      <c r="CO156" s="29" t="str">
        <f t="shared" si="19"/>
        <v/>
      </c>
      <c r="CP156" s="29" t="str">
        <f t="shared" si="20"/>
        <v/>
      </c>
      <c r="CQ156" s="29">
        <f t="shared" si="21"/>
        <v>0</v>
      </c>
      <c r="CR156" s="13"/>
      <c r="CS156" s="7">
        <f>VLOOKUP(A156,'Empresas 21-23'!$A$2:$M$228,13,0)</f>
        <v>1</v>
      </c>
      <c r="CT156" s="30"/>
      <c r="CU156" s="6">
        <f t="shared" si="22"/>
        <v>189902204.40000001</v>
      </c>
      <c r="CV156" s="6">
        <f t="shared" si="23"/>
        <v>9753669</v>
      </c>
      <c r="CW156" s="6">
        <f t="shared" si="24"/>
        <v>8769327</v>
      </c>
      <c r="CX156" s="23">
        <f t="shared" si="73"/>
        <v>0.74426887053395363</v>
      </c>
      <c r="CY156" s="23">
        <f t="shared" si="74"/>
        <v>3.8226792749078996E-2</v>
      </c>
      <c r="CZ156" s="6">
        <f t="shared" si="25"/>
        <v>196428941.5016329</v>
      </c>
      <c r="DA156" s="6">
        <f t="shared" si="26"/>
        <v>10088892.245777903</v>
      </c>
      <c r="DB156" s="6">
        <f t="shared" si="27"/>
        <v>10762114</v>
      </c>
      <c r="DC156" s="6">
        <f t="shared" si="28"/>
        <v>11290905</v>
      </c>
      <c r="DD156" s="6">
        <f t="shared" si="29"/>
        <v>3730541</v>
      </c>
      <c r="DE156" s="6">
        <f t="shared" si="30"/>
        <v>9480123</v>
      </c>
      <c r="DF156" s="6">
        <f t="shared" si="31"/>
        <v>5994660.9760082066</v>
      </c>
      <c r="DG156" s="30"/>
      <c r="DH156" s="32">
        <f>VLOOKUP(A156,'T_med_comp-USA'!$A$7:$Q$233,17,0)</f>
        <v>13.421813261713515</v>
      </c>
      <c r="DI156" s="6" t="str">
        <f t="shared" si="32"/>
        <v>8_2008</v>
      </c>
      <c r="DJ156" s="32">
        <f>IF(DI156="","",VLOOKUP(DI156,'CPI USA'!$T:$U,2,FALSE))</f>
        <v>215.303</v>
      </c>
      <c r="DK156" s="32">
        <f>IF(DI156="","",VLOOKUP(DI156,'PPI USA'!$S:$T,2,FALSE))</f>
        <v>159.30000000000001</v>
      </c>
      <c r="DL156" s="32">
        <f>IF(DI156="","",VLOOKUP(DI156,'CPI USA'!$T:$V,3,FALSE))</f>
        <v>0.67018812038291731</v>
      </c>
      <c r="DM156" s="32">
        <f>IF(DI156="","",VLOOKUP(DI156,'CPI USA'!$T:$X,5,FALSE))</f>
        <v>0.49838492968660258</v>
      </c>
      <c r="DN156" s="32">
        <f t="shared" si="33"/>
        <v>1.4884333659448254</v>
      </c>
      <c r="DO156" s="32">
        <f t="shared" si="34"/>
        <v>1.5036496327119213</v>
      </c>
      <c r="DP156" s="32">
        <f t="shared" si="35"/>
        <v>0.30577087364062489</v>
      </c>
      <c r="DQ156" s="32">
        <f>IF(DP156="","",DP156*$DO$1/'CPI USA'!$U$508+(1-DP156)*AVERAGE($DO$1,$DQ$1)/AVERAGE('CPI USA'!$U$508,'PPI USA'!$T$514))</f>
        <v>1.1679079106363457</v>
      </c>
      <c r="DR156" s="6">
        <f t="shared" si="36"/>
        <v>1199060</v>
      </c>
      <c r="DS156" s="32">
        <f t="shared" si="37"/>
        <v>0.32141718855254509</v>
      </c>
      <c r="DT156" s="28">
        <f>IF(DS156="","",DS156*$DO$1/'CPI USA'!$U$508+(1-DS156)*AVERAGE($DO$1,$DQ$1)/AVERAGE('CPI USA'!$U$508,'PPI USA'!$T$514))</f>
        <v>1.1669831236638009</v>
      </c>
      <c r="DU156" s="6">
        <f t="shared" si="38"/>
        <v>3252083</v>
      </c>
      <c r="DV156" s="6">
        <f t="shared" si="39"/>
        <v>139513.24571667449</v>
      </c>
      <c r="DW156" s="6">
        <f t="shared" si="40"/>
        <v>1718528.4875748653</v>
      </c>
      <c r="DX156" s="16">
        <f t="shared" si="41"/>
        <v>0.2866765100566569</v>
      </c>
      <c r="DY156" s="28">
        <f>IF(DX156="","",DX156*$DO$1/'CPI USA'!$U$508+(1-DX156)*AVERAGE($DO$1,$DQ$1)/AVERAGE('CPI USA'!$U$508,'PPI USA'!$T$514))</f>
        <v>1.1690364970664981</v>
      </c>
      <c r="DZ156" s="30"/>
      <c r="EA156" s="45" t="str">
        <f t="shared" si="42"/>
        <v>C002089</v>
      </c>
      <c r="EB156" s="29">
        <f t="shared" si="43"/>
        <v>292371390.56825465</v>
      </c>
      <c r="EC156" s="29">
        <f t="shared" si="44"/>
        <v>15170159.119834095</v>
      </c>
      <c r="ED156" s="29">
        <f t="shared" si="45"/>
        <v>13186737.267743468</v>
      </c>
      <c r="EE156" s="29">
        <f t="shared" si="46"/>
        <v>4353478.3891358795</v>
      </c>
      <c r="EF156" s="29">
        <f t="shared" si="47"/>
        <v>7007977.4684938686</v>
      </c>
      <c r="EG156" s="29">
        <f t="shared" si="48"/>
        <v>216</v>
      </c>
      <c r="EH156" s="29">
        <f t="shared" si="49"/>
        <v>62630</v>
      </c>
      <c r="EI156" s="29">
        <f t="shared" si="50"/>
        <v>67686</v>
      </c>
      <c r="EJ156" s="29">
        <f t="shared" si="51"/>
        <v>995608</v>
      </c>
      <c r="EK156" s="29">
        <f t="shared" si="52"/>
        <v>1063291.883248731</v>
      </c>
      <c r="EL156" s="29">
        <f>IF(CD156=1,VLOOKUP(EA156,'EIA 2021'!$A$2:$J$213,4,0)*EH156,"")</f>
        <v>5693067</v>
      </c>
      <c r="EM156" s="29">
        <f>IF(CD156=1,VLOOKUP(EA156,'EIA 2021'!$A$2:$J$213,7,0)*EH156,"")</f>
        <v>69519.3</v>
      </c>
      <c r="EN156" s="29">
        <f>IF(CD156=1,VLOOKUP(EA156,'EIA 2021'!$A$2:$J$213,10,0),"")</f>
        <v>59404</v>
      </c>
      <c r="EO156" s="28">
        <f>IF(CD156=1,VLOOKUP(EA156,'EIA 2021'!$A$2:$Z$213,26,0),"")</f>
        <v>0</v>
      </c>
      <c r="EP156" s="23">
        <f t="shared" si="53"/>
        <v>6.3655036133571222E-2</v>
      </c>
      <c r="EQ156" s="32">
        <f t="shared" si="54"/>
        <v>2.1167512690355466</v>
      </c>
      <c r="ER156" s="32">
        <f t="shared" si="55"/>
        <v>67683.88324873097</v>
      </c>
      <c r="ES156" s="6"/>
      <c r="ET156" s="32"/>
    </row>
    <row r="157" spans="1:150" ht="15.75" customHeight="1">
      <c r="A157" s="7" t="s">
        <v>673</v>
      </c>
      <c r="B157" s="7" t="s">
        <v>674</v>
      </c>
      <c r="C157" s="32" t="s">
        <v>675</v>
      </c>
      <c r="D157" s="40">
        <v>0</v>
      </c>
      <c r="E157" s="40">
        <v>0</v>
      </c>
      <c r="F157" s="40">
        <v>0</v>
      </c>
      <c r="G157" s="40">
        <v>0</v>
      </c>
      <c r="H157" s="40">
        <v>306175</v>
      </c>
      <c r="I157" s="40">
        <v>0</v>
      </c>
      <c r="J157" s="40">
        <v>0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f>IFERROR(VLOOKUP(A157,'Trans 21-23'!$A$2:$J$229,6,0),0)</f>
        <v>0</v>
      </c>
      <c r="Y157" s="41">
        <v>0</v>
      </c>
      <c r="Z157" s="41">
        <v>0</v>
      </c>
      <c r="AA157" s="41">
        <v>0</v>
      </c>
      <c r="AB157" s="41">
        <v>0</v>
      </c>
      <c r="AC157" s="41">
        <v>0</v>
      </c>
      <c r="AD157" s="41">
        <v>31861707</v>
      </c>
      <c r="AE157" s="41">
        <v>0</v>
      </c>
      <c r="AF157" s="41">
        <v>79699619</v>
      </c>
      <c r="AG157" s="41">
        <v>0</v>
      </c>
      <c r="AH157" s="41">
        <v>0</v>
      </c>
      <c r="AI157" s="41">
        <v>0</v>
      </c>
      <c r="AJ157" s="41">
        <v>0</v>
      </c>
      <c r="AK157" s="41">
        <v>0</v>
      </c>
      <c r="AL157" s="41">
        <v>0</v>
      </c>
      <c r="AM157" s="41">
        <v>0</v>
      </c>
      <c r="AN157" s="41">
        <v>0</v>
      </c>
      <c r="AO157" s="41">
        <v>0</v>
      </c>
      <c r="AP157" s="41">
        <v>0</v>
      </c>
      <c r="AQ157" s="41">
        <v>0</v>
      </c>
      <c r="AR157" s="41">
        <v>0</v>
      </c>
      <c r="AS157" s="41">
        <v>0</v>
      </c>
      <c r="AT157" s="41">
        <v>0</v>
      </c>
      <c r="AU157" s="41">
        <v>8489</v>
      </c>
      <c r="AV157" s="41">
        <v>0</v>
      </c>
      <c r="AW157" s="41">
        <v>0</v>
      </c>
      <c r="AX157" s="41">
        <v>0</v>
      </c>
      <c r="AY157" s="41">
        <v>0</v>
      </c>
      <c r="AZ157" s="41">
        <v>0</v>
      </c>
      <c r="BA157" s="41">
        <v>0</v>
      </c>
      <c r="BB157" s="41">
        <v>0</v>
      </c>
      <c r="BC157" s="41">
        <v>2831468707</v>
      </c>
      <c r="BD157" s="41">
        <v>112374331</v>
      </c>
      <c r="BE157" s="41">
        <v>0</v>
      </c>
      <c r="BF157" s="41">
        <v>0</v>
      </c>
      <c r="BG157" s="41">
        <v>0</v>
      </c>
      <c r="BH157" s="41">
        <v>0</v>
      </c>
      <c r="BI157" s="41">
        <v>0</v>
      </c>
      <c r="BJ157" s="41">
        <v>0</v>
      </c>
      <c r="BK157" s="41">
        <v>0</v>
      </c>
      <c r="BL157" s="41">
        <v>0</v>
      </c>
      <c r="BM157" s="41">
        <v>8340211</v>
      </c>
      <c r="BN157" s="41">
        <v>11380987</v>
      </c>
      <c r="BO157" s="41">
        <v>0</v>
      </c>
      <c r="BP157" s="41">
        <v>149798</v>
      </c>
      <c r="BQ157" s="41">
        <v>22854285</v>
      </c>
      <c r="BR157" s="41">
        <v>0</v>
      </c>
      <c r="BS157" s="42">
        <f>IFERROR(VLOOKUP(A157,'Trans 21-23'!$A$2:$J$229,5,0),0)</f>
        <v>0</v>
      </c>
      <c r="BT157" s="43"/>
      <c r="BU157" s="6">
        <f t="shared" si="0"/>
        <v>0</v>
      </c>
      <c r="BV157" s="6">
        <f t="shared" si="1"/>
        <v>8489</v>
      </c>
      <c r="BW157" s="6">
        <f t="shared" si="2"/>
        <v>0</v>
      </c>
      <c r="BX157" s="6">
        <f t="shared" si="3"/>
        <v>0</v>
      </c>
      <c r="BY157" s="6">
        <f t="shared" si="4"/>
        <v>0</v>
      </c>
      <c r="BZ157" s="6">
        <f t="shared" si="5"/>
        <v>0</v>
      </c>
      <c r="CA157" s="6">
        <f t="shared" si="6"/>
        <v>31861707</v>
      </c>
      <c r="CB157" s="6">
        <f t="shared" si="7"/>
        <v>0</v>
      </c>
      <c r="CC157" s="6">
        <f t="shared" si="8"/>
        <v>0</v>
      </c>
      <c r="CD157" s="6">
        <f t="shared" si="75"/>
        <v>0</v>
      </c>
      <c r="CE157" s="44">
        <f t="shared" si="10"/>
        <v>58</v>
      </c>
      <c r="CF157" s="27"/>
      <c r="CG157" s="28" t="str">
        <f t="shared" si="11"/>
        <v/>
      </c>
      <c r="CH157" s="28" t="str">
        <f t="shared" si="12"/>
        <v/>
      </c>
      <c r="CI157" s="28" t="str">
        <f t="shared" si="13"/>
        <v/>
      </c>
      <c r="CJ157" s="28" t="str">
        <f t="shared" si="14"/>
        <v/>
      </c>
      <c r="CK157" s="23" t="str">
        <f t="shared" si="15"/>
        <v/>
      </c>
      <c r="CL157" s="29" t="str">
        <f t="shared" si="16"/>
        <v/>
      </c>
      <c r="CM157" s="29" t="str">
        <f t="shared" si="66"/>
        <v/>
      </c>
      <c r="CN157" s="29" t="str">
        <f t="shared" si="18"/>
        <v/>
      </c>
      <c r="CO157" s="29" t="str">
        <f t="shared" si="19"/>
        <v/>
      </c>
      <c r="CP157" s="29" t="str">
        <f t="shared" si="20"/>
        <v/>
      </c>
      <c r="CQ157" s="29">
        <f t="shared" si="21"/>
        <v>0</v>
      </c>
      <c r="CR157" s="13"/>
      <c r="CS157" s="7" t="str">
        <f>VLOOKUP(A157,'Empresas 21-23'!$A$2:$M$228,13,0)</f>
        <v/>
      </c>
      <c r="CT157" s="30"/>
      <c r="CU157" s="6">
        <f t="shared" si="22"/>
        <v>0</v>
      </c>
      <c r="CV157" s="6">
        <f t="shared" si="23"/>
        <v>0</v>
      </c>
      <c r="CW157" s="6">
        <f t="shared" si="24"/>
        <v>112374331</v>
      </c>
      <c r="CX157" s="23">
        <f t="shared" si="73"/>
        <v>0</v>
      </c>
      <c r="CY157" s="23">
        <f t="shared" si="74"/>
        <v>0</v>
      </c>
      <c r="CZ157" s="6">
        <f t="shared" si="25"/>
        <v>0</v>
      </c>
      <c r="DA157" s="6">
        <f t="shared" si="26"/>
        <v>0</v>
      </c>
      <c r="DB157" s="6">
        <f t="shared" si="27"/>
        <v>0</v>
      </c>
      <c r="DC157" s="6">
        <f t="shared" si="28"/>
        <v>0</v>
      </c>
      <c r="DD157" s="6">
        <f t="shared" si="29"/>
        <v>0</v>
      </c>
      <c r="DE157" s="6">
        <f t="shared" si="30"/>
        <v>31861707</v>
      </c>
      <c r="DF157" s="6">
        <f t="shared" si="31"/>
        <v>0</v>
      </c>
      <c r="DG157" s="30"/>
      <c r="DH157" s="32" t="str">
        <f>VLOOKUP(A157,'T_med_comp-USA'!$A$7:$Q$233,17,0)</f>
        <v>-</v>
      </c>
      <c r="DI157" s="6" t="str">
        <f t="shared" si="32"/>
        <v/>
      </c>
      <c r="DJ157" s="32" t="str">
        <f>IF(DI157="","",VLOOKUP(DI157,'CPI USA'!$T:$U,2,FALSE))</f>
        <v/>
      </c>
      <c r="DK157" s="32" t="str">
        <f>IF(DI157="","",VLOOKUP(DI157,'PPI USA'!$S:$T,2,FALSE))</f>
        <v/>
      </c>
      <c r="DL157" s="32" t="str">
        <f>IF(DI157="","",VLOOKUP(DI157,'CPI USA'!$T:$V,3,FALSE))</f>
        <v/>
      </c>
      <c r="DM157" s="32" t="str">
        <f>IF(DI157="","",VLOOKUP(DI157,'CPI USA'!$T:$X,5,FALSE))</f>
        <v/>
      </c>
      <c r="DN157" s="32" t="str">
        <f t="shared" si="33"/>
        <v/>
      </c>
      <c r="DO157" s="32" t="str">
        <f t="shared" si="34"/>
        <v/>
      </c>
      <c r="DP157" s="32" t="str">
        <f t="shared" si="35"/>
        <v/>
      </c>
      <c r="DQ157" s="32" t="str">
        <f>IF(DP157="","",DP157*$DO$1/'CPI USA'!$U$508+(1-DP157)*AVERAGE($DO$1,$DQ$1)/AVERAGE('CPI USA'!$U$508,'PPI USA'!$T$514))</f>
        <v/>
      </c>
      <c r="DR157" s="6">
        <f t="shared" si="36"/>
        <v>0</v>
      </c>
      <c r="DS157" s="32" t="str">
        <f t="shared" si="37"/>
        <v/>
      </c>
      <c r="DT157" s="28" t="str">
        <f>IF(DS157="","",DS157*$DO$1/'CPI USA'!$U$508+(1-DS157)*AVERAGE($DO$1,$DQ$1)/AVERAGE('CPI USA'!$U$508,'PPI USA'!$T$514))</f>
        <v/>
      </c>
      <c r="DU157" s="6" t="str">
        <f t="shared" si="38"/>
        <v/>
      </c>
      <c r="DV157" s="6">
        <f t="shared" si="39"/>
        <v>55026.432765382458</v>
      </c>
      <c r="DW157" s="6">
        <f t="shared" si="40"/>
        <v>0</v>
      </c>
      <c r="DX157" s="16" t="str">
        <f t="shared" si="41"/>
        <v/>
      </c>
      <c r="DY157" s="28" t="str">
        <f>IF(DX157="","",DX157*$DO$1/'CPI USA'!$U$508+(1-DX157)*AVERAGE($DO$1,$DQ$1)/AVERAGE('CPI USA'!$U$508,'PPI USA'!$T$514))</f>
        <v/>
      </c>
      <c r="DZ157" s="30"/>
      <c r="EA157" s="45" t="str">
        <f t="shared" si="42"/>
        <v>C002101</v>
      </c>
      <c r="EB157" s="29" t="str">
        <f t="shared" si="43"/>
        <v/>
      </c>
      <c r="EC157" s="29" t="str">
        <f t="shared" si="44"/>
        <v/>
      </c>
      <c r="ED157" s="29" t="str">
        <f t="shared" si="45"/>
        <v/>
      </c>
      <c r="EE157" s="29" t="str">
        <f t="shared" si="46"/>
        <v/>
      </c>
      <c r="EF157" s="29" t="str">
        <f t="shared" si="47"/>
        <v/>
      </c>
      <c r="EG157" s="29" t="str">
        <f t="shared" si="48"/>
        <v/>
      </c>
      <c r="EH157" s="29" t="str">
        <f t="shared" si="49"/>
        <v/>
      </c>
      <c r="EI157" s="29" t="str">
        <f t="shared" si="50"/>
        <v/>
      </c>
      <c r="EJ157" s="29" t="str">
        <f t="shared" si="51"/>
        <v/>
      </c>
      <c r="EK157" s="29" t="str">
        <f t="shared" si="52"/>
        <v/>
      </c>
      <c r="EL157" s="29" t="str">
        <f>IF(CD157=1,VLOOKUP(EA157,'EIA 2021'!$A$2:$J$213,4,0)*EH157,"")</f>
        <v/>
      </c>
      <c r="EM157" s="29" t="str">
        <f>IF(CD157=1,VLOOKUP(EA157,'EIA 2021'!$A$2:$J$213,7,0)*EH157,"")</f>
        <v/>
      </c>
      <c r="EN157" s="29" t="str">
        <f>IF(CD157=1,VLOOKUP(EA157,'EIA 2021'!$A$2:$J$213,10,0),"")</f>
        <v/>
      </c>
      <c r="EO157" s="28" t="str">
        <f>IF(CD157=1,VLOOKUP(EA157,'EIA 2021'!$A$2:$Z$213,26,0),"")</f>
        <v/>
      </c>
      <c r="EP157" s="23" t="str">
        <f t="shared" si="53"/>
        <v/>
      </c>
      <c r="EQ157" s="32" t="str">
        <f t="shared" si="54"/>
        <v/>
      </c>
      <c r="ER157" s="32" t="str">
        <f t="shared" si="55"/>
        <v/>
      </c>
      <c r="ES157" s="6"/>
      <c r="ET157" s="32"/>
    </row>
    <row r="158" spans="1:150" ht="15.75" customHeight="1">
      <c r="A158" s="7" t="s">
        <v>676</v>
      </c>
      <c r="B158" s="7" t="s">
        <v>677</v>
      </c>
      <c r="C158" s="32" t="s">
        <v>678</v>
      </c>
      <c r="D158" s="40">
        <v>0</v>
      </c>
      <c r="E158" s="40">
        <v>0</v>
      </c>
      <c r="F158" s="40">
        <v>0</v>
      </c>
      <c r="G158" s="40">
        <v>0</v>
      </c>
      <c r="H158" s="40">
        <v>0</v>
      </c>
      <c r="I158" s="40">
        <v>0</v>
      </c>
      <c r="J158" s="40">
        <v>0</v>
      </c>
      <c r="K158" s="40">
        <v>0</v>
      </c>
      <c r="L158" s="40">
        <v>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f>IFERROR(VLOOKUP(A158,'Trans 21-23'!$A$2:$J$229,6,0),0)</f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41">
        <v>0</v>
      </c>
      <c r="AF158" s="41">
        <v>0</v>
      </c>
      <c r="AG158" s="41">
        <v>9</v>
      </c>
      <c r="AH158" s="41">
        <v>0</v>
      </c>
      <c r="AI158" s="41">
        <v>0</v>
      </c>
      <c r="AJ158" s="41">
        <v>0</v>
      </c>
      <c r="AK158" s="41">
        <v>0</v>
      </c>
      <c r="AL158" s="41">
        <v>0</v>
      </c>
      <c r="AM158" s="41">
        <v>0</v>
      </c>
      <c r="AN158" s="41">
        <v>0</v>
      </c>
      <c r="AO158" s="41">
        <v>0</v>
      </c>
      <c r="AP158" s="41">
        <v>0</v>
      </c>
      <c r="AQ158" s="41">
        <v>0</v>
      </c>
      <c r="AR158" s="41">
        <v>0</v>
      </c>
      <c r="AS158" s="41">
        <v>0</v>
      </c>
      <c r="AT158" s="41">
        <v>0</v>
      </c>
      <c r="AU158" s="41">
        <v>0</v>
      </c>
      <c r="AV158" s="41">
        <v>0</v>
      </c>
      <c r="AW158" s="41">
        <v>0</v>
      </c>
      <c r="AX158" s="41">
        <v>0</v>
      </c>
      <c r="AY158" s="41">
        <v>0</v>
      </c>
      <c r="AZ158" s="41">
        <v>0</v>
      </c>
      <c r="BA158" s="41">
        <v>0</v>
      </c>
      <c r="BB158" s="41">
        <v>0</v>
      </c>
      <c r="BC158" s="41">
        <v>0</v>
      </c>
      <c r="BD158" s="41">
        <v>0</v>
      </c>
      <c r="BE158" s="41">
        <v>0</v>
      </c>
      <c r="BF158" s="41">
        <v>0</v>
      </c>
      <c r="BG158" s="41">
        <v>0</v>
      </c>
      <c r="BH158" s="41">
        <v>0</v>
      </c>
      <c r="BI158" s="41">
        <v>0</v>
      </c>
      <c r="BJ158" s="41">
        <v>0</v>
      </c>
      <c r="BK158" s="41">
        <v>0</v>
      </c>
      <c r="BL158" s="41">
        <v>0</v>
      </c>
      <c r="BM158" s="41">
        <v>0</v>
      </c>
      <c r="BN158" s="41">
        <v>0</v>
      </c>
      <c r="BO158" s="41">
        <v>0</v>
      </c>
      <c r="BP158" s="41">
        <v>1156341</v>
      </c>
      <c r="BQ158" s="41">
        <v>1156341</v>
      </c>
      <c r="BR158" s="41">
        <v>0</v>
      </c>
      <c r="BS158" s="42">
        <f>IFERROR(VLOOKUP(A158,'Trans 21-23'!$A$2:$J$229,5,0),0)</f>
        <v>0</v>
      </c>
      <c r="BT158" s="43"/>
      <c r="BU158" s="6">
        <f t="shared" si="0"/>
        <v>0</v>
      </c>
      <c r="BV158" s="6">
        <f t="shared" si="1"/>
        <v>0</v>
      </c>
      <c r="BW158" s="6">
        <f t="shared" si="2"/>
        <v>9</v>
      </c>
      <c r="BX158" s="6">
        <f t="shared" si="3"/>
        <v>0</v>
      </c>
      <c r="BY158" s="6">
        <f t="shared" si="4"/>
        <v>0</v>
      </c>
      <c r="BZ158" s="6">
        <f t="shared" si="5"/>
        <v>0</v>
      </c>
      <c r="CA158" s="6">
        <f t="shared" si="6"/>
        <v>0</v>
      </c>
      <c r="CB158" s="6">
        <f t="shared" si="7"/>
        <v>0</v>
      </c>
      <c r="CC158" s="6">
        <f t="shared" si="8"/>
        <v>0</v>
      </c>
      <c r="CD158" s="6">
        <f t="shared" ref="CD158:CD159" si="76">IF(OR(BU158&lt;=0,BV158&lt;=0,BW158&lt;=0,BX158&lt;=0,BY158&lt;=0,BZ158&lt;=0,CA158&lt;=0,CB158&lt;=0,CC158&lt;=0),0,1)</f>
        <v>0</v>
      </c>
      <c r="CE158" s="44">
        <f t="shared" si="10"/>
        <v>65</v>
      </c>
      <c r="CF158" s="27"/>
      <c r="CG158" s="28" t="str">
        <f t="shared" si="11"/>
        <v/>
      </c>
      <c r="CH158" s="28" t="str">
        <f t="shared" si="12"/>
        <v/>
      </c>
      <c r="CI158" s="28" t="str">
        <f t="shared" si="13"/>
        <v/>
      </c>
      <c r="CJ158" s="28" t="str">
        <f t="shared" si="14"/>
        <v/>
      </c>
      <c r="CK158" s="23" t="str">
        <f t="shared" si="15"/>
        <v/>
      </c>
      <c r="CL158" s="29" t="str">
        <f t="shared" si="16"/>
        <v/>
      </c>
      <c r="CM158" s="29" t="str">
        <f t="shared" si="66"/>
        <v/>
      </c>
      <c r="CN158" s="29" t="str">
        <f t="shared" si="18"/>
        <v/>
      </c>
      <c r="CO158" s="29" t="str">
        <f t="shared" si="19"/>
        <v/>
      </c>
      <c r="CP158" s="29" t="str">
        <f t="shared" si="20"/>
        <v/>
      </c>
      <c r="CQ158" s="29">
        <f t="shared" si="21"/>
        <v>0</v>
      </c>
      <c r="CR158" s="13"/>
      <c r="CS158" s="7" t="str">
        <f>VLOOKUP(A158,'Empresas 21-23'!$A$2:$M$228,13,0)</f>
        <v/>
      </c>
      <c r="CT158" s="30"/>
      <c r="CU158" s="6">
        <f t="shared" si="22"/>
        <v>0</v>
      </c>
      <c r="CV158" s="6">
        <f t="shared" si="23"/>
        <v>0</v>
      </c>
      <c r="CW158" s="6">
        <f t="shared" si="24"/>
        <v>0</v>
      </c>
      <c r="CX158" s="23" t="str">
        <f t="shared" ref="CX158:CX159" si="77">IFERROR(CU158/(BC158-BD158),"")</f>
        <v/>
      </c>
      <c r="CY158" s="23" t="str">
        <f t="shared" ref="CY158:CY159" si="78">IFERROR(CV158/(BC158-BD158),"")</f>
        <v/>
      </c>
      <c r="CZ158" s="6" t="e">
        <f t="shared" si="25"/>
        <v>#VALUE!</v>
      </c>
      <c r="DA158" s="6" t="e">
        <f t="shared" si="26"/>
        <v>#VALUE!</v>
      </c>
      <c r="DB158" s="6">
        <f t="shared" si="27"/>
        <v>0</v>
      </c>
      <c r="DC158" s="6">
        <f t="shared" si="28"/>
        <v>0</v>
      </c>
      <c r="DD158" s="6">
        <f t="shared" si="29"/>
        <v>0</v>
      </c>
      <c r="DE158" s="6">
        <f t="shared" si="30"/>
        <v>0</v>
      </c>
      <c r="DF158" s="6" t="str">
        <f t="shared" ref="DF158:DF159" si="79">IFERROR(DE158*(DC158+DD158)/(AF158-AD158-F158-H158-E158-D158),"")</f>
        <v/>
      </c>
      <c r="DG158" s="30"/>
      <c r="DH158" s="32" t="str">
        <f>VLOOKUP(A158,'T_med_comp-USA'!$A$7:$Q$233,17,0)</f>
        <v>-</v>
      </c>
      <c r="DI158" s="6" t="str">
        <f t="shared" si="32"/>
        <v/>
      </c>
      <c r="DJ158" s="32" t="str">
        <f>IF(DI158="","",VLOOKUP(DI158,'CPI USA'!$T:$U,2,FALSE))</f>
        <v/>
      </c>
      <c r="DK158" s="32" t="str">
        <f>IF(DI158="","",VLOOKUP(DI158,'PPI USA'!$S:$T,2,FALSE))</f>
        <v/>
      </c>
      <c r="DL158" s="32" t="str">
        <f>IF(DI158="","",VLOOKUP(DI158,'CPI USA'!$T:$V,3,FALSE))</f>
        <v/>
      </c>
      <c r="DM158" s="32" t="str">
        <f>IF(DI158="","",VLOOKUP(DI158,'CPI USA'!$T:$X,5,FALSE))</f>
        <v/>
      </c>
      <c r="DN158" s="32" t="str">
        <f t="shared" si="33"/>
        <v/>
      </c>
      <c r="DO158" s="32" t="str">
        <f t="shared" si="34"/>
        <v/>
      </c>
      <c r="DP158" s="32" t="str">
        <f t="shared" si="35"/>
        <v/>
      </c>
      <c r="DQ158" s="32" t="str">
        <f>IF(DP158="","",DP158*$DO$1/'CPI USA'!$U$508+(1-DP158)*AVERAGE($DO$1,$DQ$1)/AVERAGE('CPI USA'!$U$508,'PPI USA'!$T$514))</f>
        <v/>
      </c>
      <c r="DR158" s="6">
        <f t="shared" si="36"/>
        <v>0</v>
      </c>
      <c r="DS158" s="32" t="str">
        <f t="shared" si="37"/>
        <v/>
      </c>
      <c r="DT158" s="28" t="str">
        <f>IF(DS158="","",DS158*$DO$1/'CPI USA'!$U$508+(1-DS158)*AVERAGE($DO$1,$DQ$1)/AVERAGE('CPI USA'!$U$508,'PPI USA'!$T$514))</f>
        <v/>
      </c>
      <c r="DU158" s="6" t="str">
        <f t="shared" si="38"/>
        <v/>
      </c>
      <c r="DV158" s="6" t="str">
        <f t="shared" si="39"/>
        <v/>
      </c>
      <c r="DW158" s="6">
        <f t="shared" si="40"/>
        <v>0</v>
      </c>
      <c r="DX158" s="16" t="e">
        <f t="shared" si="41"/>
        <v>#VALUE!</v>
      </c>
      <c r="DY158" s="28" t="e">
        <f>IF(DX158="","",DX158*$DO$1/'CPI USA'!$U$508+(1-DX158)*AVERAGE($DO$1,$DQ$1)/AVERAGE('CPI USA'!$U$508,'PPI USA'!$T$514))</f>
        <v>#VALUE!</v>
      </c>
      <c r="DZ158" s="30"/>
      <c r="EA158" s="45" t="str">
        <f t="shared" si="42"/>
        <v>C002115</v>
      </c>
      <c r="EB158" s="29" t="str">
        <f t="shared" si="43"/>
        <v/>
      </c>
      <c r="EC158" s="29" t="str">
        <f t="shared" si="44"/>
        <v/>
      </c>
      <c r="ED158" s="29" t="str">
        <f t="shared" si="45"/>
        <v/>
      </c>
      <c r="EE158" s="29" t="str">
        <f t="shared" si="46"/>
        <v/>
      </c>
      <c r="EF158" s="29" t="str">
        <f t="shared" si="47"/>
        <v/>
      </c>
      <c r="EG158" s="29" t="str">
        <f t="shared" si="48"/>
        <v/>
      </c>
      <c r="EH158" s="29" t="str">
        <f t="shared" si="49"/>
        <v/>
      </c>
      <c r="EI158" s="29" t="str">
        <f t="shared" si="50"/>
        <v/>
      </c>
      <c r="EJ158" s="29" t="str">
        <f t="shared" si="51"/>
        <v/>
      </c>
      <c r="EK158" s="29" t="str">
        <f t="shared" si="52"/>
        <v/>
      </c>
      <c r="EL158" s="29" t="str">
        <f>IF(CD158=1,VLOOKUP(EA158,'EIA 2021'!$A$2:$J$213,4,0)*EH158,"")</f>
        <v/>
      </c>
      <c r="EM158" s="29" t="str">
        <f>IF(CD158=1,VLOOKUP(EA158,'EIA 2021'!$A$2:$J$213,7,0)*EH158,"")</f>
        <v/>
      </c>
      <c r="EN158" s="29" t="str">
        <f>IF(CD158=1,VLOOKUP(EA158,'EIA 2021'!$A$2:$J$213,10,0),"")</f>
        <v/>
      </c>
      <c r="EO158" s="28" t="str">
        <f>IF(CD158=1,VLOOKUP(EA158,'EIA 2021'!$A$2:$Z$213,26,0),"")</f>
        <v/>
      </c>
      <c r="EP158" s="23" t="str">
        <f t="shared" si="53"/>
        <v/>
      </c>
      <c r="EQ158" s="32" t="str">
        <f t="shared" si="54"/>
        <v/>
      </c>
      <c r="ER158" s="32" t="str">
        <f t="shared" si="55"/>
        <v/>
      </c>
      <c r="ES158" s="6"/>
      <c r="ET158" s="32"/>
    </row>
    <row r="159" spans="1:150" ht="15.75" customHeight="1">
      <c r="A159" s="7" t="s">
        <v>679</v>
      </c>
      <c r="B159" s="7" t="s">
        <v>680</v>
      </c>
      <c r="C159" s="32" t="s">
        <v>681</v>
      </c>
      <c r="D159" s="40">
        <v>0</v>
      </c>
      <c r="E159" s="40">
        <v>0</v>
      </c>
      <c r="F159" s="40">
        <v>0</v>
      </c>
      <c r="G159" s="40">
        <v>0</v>
      </c>
      <c r="H159" s="40">
        <v>0</v>
      </c>
      <c r="I159" s="40">
        <v>0</v>
      </c>
      <c r="J159" s="40">
        <v>0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f>IFERROR(VLOOKUP(A159,'Trans 21-23'!$A$2:$J$229,6,0),0)</f>
        <v>0</v>
      </c>
      <c r="Y159" s="41">
        <v>0</v>
      </c>
      <c r="Z159" s="41">
        <v>0</v>
      </c>
      <c r="AA159" s="41">
        <v>0</v>
      </c>
      <c r="AB159" s="41">
        <v>0</v>
      </c>
      <c r="AC159" s="41">
        <v>0</v>
      </c>
      <c r="AD159" s="41">
        <v>14156</v>
      </c>
      <c r="AE159" s="41">
        <v>0</v>
      </c>
      <c r="AF159" s="41">
        <v>14156</v>
      </c>
      <c r="AG159" s="41">
        <v>0</v>
      </c>
      <c r="AH159" s="41">
        <v>0</v>
      </c>
      <c r="AI159" s="41">
        <v>0</v>
      </c>
      <c r="AJ159" s="41">
        <v>0</v>
      </c>
      <c r="AK159" s="41">
        <v>0</v>
      </c>
      <c r="AL159" s="41">
        <v>0</v>
      </c>
      <c r="AM159" s="41">
        <v>0</v>
      </c>
      <c r="AN159" s="41">
        <v>0</v>
      </c>
      <c r="AO159" s="41">
        <v>0</v>
      </c>
      <c r="AP159" s="41">
        <v>0</v>
      </c>
      <c r="AQ159" s="41">
        <v>0</v>
      </c>
      <c r="AR159" s="41">
        <v>0</v>
      </c>
      <c r="AS159" s="41">
        <v>0</v>
      </c>
      <c r="AT159" s="41">
        <v>0</v>
      </c>
      <c r="AU159" s="41">
        <v>0</v>
      </c>
      <c r="AV159" s="41">
        <v>0</v>
      </c>
      <c r="AW159" s="41">
        <v>0</v>
      </c>
      <c r="AX159" s="41">
        <v>0</v>
      </c>
      <c r="AY159" s="41">
        <v>0</v>
      </c>
      <c r="AZ159" s="41">
        <v>0</v>
      </c>
      <c r="BA159" s="41">
        <v>0</v>
      </c>
      <c r="BB159" s="41">
        <v>0</v>
      </c>
      <c r="BC159" s="41">
        <v>0</v>
      </c>
      <c r="BD159" s="41">
        <v>0</v>
      </c>
      <c r="BE159" s="41">
        <v>0</v>
      </c>
      <c r="BF159" s="41">
        <v>0</v>
      </c>
      <c r="BG159" s="41">
        <v>0</v>
      </c>
      <c r="BH159" s="41">
        <v>0</v>
      </c>
      <c r="BI159" s="41">
        <v>0</v>
      </c>
      <c r="BJ159" s="41">
        <v>0</v>
      </c>
      <c r="BK159" s="41">
        <v>0</v>
      </c>
      <c r="BL159" s="41">
        <v>0</v>
      </c>
      <c r="BM159" s="41">
        <v>0</v>
      </c>
      <c r="BN159" s="41">
        <v>0</v>
      </c>
      <c r="BO159" s="41">
        <v>0</v>
      </c>
      <c r="BP159" s="41">
        <v>2907633</v>
      </c>
      <c r="BQ159" s="41">
        <v>2907633</v>
      </c>
      <c r="BR159" s="41">
        <v>0</v>
      </c>
      <c r="BS159" s="42">
        <f>IFERROR(VLOOKUP(A159,'Trans 21-23'!$A$2:$J$229,5,0),0)</f>
        <v>0</v>
      </c>
      <c r="BT159" s="43"/>
      <c r="BU159" s="6">
        <f t="shared" si="0"/>
        <v>0</v>
      </c>
      <c r="BV159" s="6">
        <f t="shared" si="1"/>
        <v>0</v>
      </c>
      <c r="BW159" s="6">
        <f t="shared" si="2"/>
        <v>0</v>
      </c>
      <c r="BX159" s="6">
        <f t="shared" si="3"/>
        <v>0</v>
      </c>
      <c r="BY159" s="6">
        <f t="shared" si="4"/>
        <v>0</v>
      </c>
      <c r="BZ159" s="6">
        <f t="shared" si="5"/>
        <v>0</v>
      </c>
      <c r="CA159" s="6">
        <f t="shared" si="6"/>
        <v>14156</v>
      </c>
      <c r="CB159" s="6">
        <f t="shared" si="7"/>
        <v>0</v>
      </c>
      <c r="CC159" s="6">
        <f t="shared" si="8"/>
        <v>0</v>
      </c>
      <c r="CD159" s="6">
        <f t="shared" si="76"/>
        <v>0</v>
      </c>
      <c r="CE159" s="44">
        <f t="shared" si="10"/>
        <v>64</v>
      </c>
      <c r="CF159" s="27"/>
      <c r="CG159" s="28" t="str">
        <f t="shared" si="11"/>
        <v/>
      </c>
      <c r="CH159" s="28" t="str">
        <f t="shared" si="12"/>
        <v/>
      </c>
      <c r="CI159" s="28" t="str">
        <f t="shared" si="13"/>
        <v/>
      </c>
      <c r="CJ159" s="28" t="str">
        <f t="shared" si="14"/>
        <v/>
      </c>
      <c r="CK159" s="23" t="str">
        <f t="shared" si="15"/>
        <v/>
      </c>
      <c r="CL159" s="29" t="str">
        <f t="shared" si="16"/>
        <v/>
      </c>
      <c r="CM159" s="29" t="str">
        <f t="shared" si="66"/>
        <v/>
      </c>
      <c r="CN159" s="29" t="str">
        <f t="shared" si="18"/>
        <v/>
      </c>
      <c r="CO159" s="29" t="str">
        <f t="shared" si="19"/>
        <v/>
      </c>
      <c r="CP159" s="29" t="str">
        <f t="shared" si="20"/>
        <v/>
      </c>
      <c r="CQ159" s="29">
        <f t="shared" si="21"/>
        <v>0</v>
      </c>
      <c r="CR159" s="13"/>
      <c r="CS159" s="7" t="str">
        <f>VLOOKUP(A159,'Empresas 21-23'!$A$2:$M$228,13,0)</f>
        <v/>
      </c>
      <c r="CT159" s="30"/>
      <c r="CU159" s="6">
        <f t="shared" si="22"/>
        <v>0</v>
      </c>
      <c r="CV159" s="6">
        <f t="shared" si="23"/>
        <v>0</v>
      </c>
      <c r="CW159" s="6">
        <f t="shared" si="24"/>
        <v>0</v>
      </c>
      <c r="CX159" s="23" t="str">
        <f t="shared" si="77"/>
        <v/>
      </c>
      <c r="CY159" s="23" t="str">
        <f t="shared" si="78"/>
        <v/>
      </c>
      <c r="CZ159" s="6" t="e">
        <f t="shared" si="25"/>
        <v>#VALUE!</v>
      </c>
      <c r="DA159" s="6" t="e">
        <f t="shared" si="26"/>
        <v>#VALUE!</v>
      </c>
      <c r="DB159" s="6">
        <f t="shared" si="27"/>
        <v>0</v>
      </c>
      <c r="DC159" s="6">
        <f t="shared" si="28"/>
        <v>0</v>
      </c>
      <c r="DD159" s="6">
        <f t="shared" si="29"/>
        <v>0</v>
      </c>
      <c r="DE159" s="6">
        <f t="shared" si="30"/>
        <v>14156</v>
      </c>
      <c r="DF159" s="6" t="str">
        <f t="shared" si="79"/>
        <v/>
      </c>
      <c r="DG159" s="30"/>
      <c r="DH159" s="32" t="str">
        <f>VLOOKUP(A159,'T_med_comp-USA'!$A$7:$Q$233,17,0)</f>
        <v>-</v>
      </c>
      <c r="DI159" s="6" t="str">
        <f t="shared" si="32"/>
        <v/>
      </c>
      <c r="DJ159" s="32" t="str">
        <f>IF(DI159="","",VLOOKUP(DI159,'CPI USA'!$T:$U,2,FALSE))</f>
        <v/>
      </c>
      <c r="DK159" s="32" t="str">
        <f>IF(DI159="","",VLOOKUP(DI159,'PPI USA'!$S:$T,2,FALSE))</f>
        <v/>
      </c>
      <c r="DL159" s="32" t="str">
        <f>IF(DI159="","",VLOOKUP(DI159,'CPI USA'!$T:$V,3,FALSE))</f>
        <v/>
      </c>
      <c r="DM159" s="32" t="str">
        <f>IF(DI159="","",VLOOKUP(DI159,'CPI USA'!$T:$X,5,FALSE))</f>
        <v/>
      </c>
      <c r="DN159" s="32" t="str">
        <f t="shared" si="33"/>
        <v/>
      </c>
      <c r="DO159" s="32" t="str">
        <f t="shared" si="34"/>
        <v/>
      </c>
      <c r="DP159" s="32" t="str">
        <f t="shared" si="35"/>
        <v/>
      </c>
      <c r="DQ159" s="32" t="str">
        <f>IF(DP159="","",DP159*$DO$1/'CPI USA'!$U$508+(1-DP159)*AVERAGE($DO$1,$DQ$1)/AVERAGE('CPI USA'!$U$508,'PPI USA'!$T$514))</f>
        <v/>
      </c>
      <c r="DR159" s="6">
        <f t="shared" si="36"/>
        <v>0</v>
      </c>
      <c r="DS159" s="32" t="str">
        <f t="shared" si="37"/>
        <v/>
      </c>
      <c r="DT159" s="28" t="str">
        <f>IF(DS159="","",DS159*$DO$1/'CPI USA'!$U$508+(1-DS159)*AVERAGE($DO$1,$DQ$1)/AVERAGE('CPI USA'!$U$508,'PPI USA'!$T$514))</f>
        <v/>
      </c>
      <c r="DU159" s="6" t="str">
        <f t="shared" si="38"/>
        <v/>
      </c>
      <c r="DV159" s="6" t="str">
        <f t="shared" si="39"/>
        <v/>
      </c>
      <c r="DW159" s="6">
        <f t="shared" si="40"/>
        <v>0</v>
      </c>
      <c r="DX159" s="16" t="e">
        <f t="shared" si="41"/>
        <v>#VALUE!</v>
      </c>
      <c r="DY159" s="28" t="e">
        <f>IF(DX159="","",DX159*$DO$1/'CPI USA'!$U$508+(1-DX159)*AVERAGE($DO$1,$DQ$1)/AVERAGE('CPI USA'!$U$508,'PPI USA'!$T$514))</f>
        <v>#VALUE!</v>
      </c>
      <c r="DZ159" s="30"/>
      <c r="EA159" s="45" t="str">
        <f t="shared" si="42"/>
        <v>C002116</v>
      </c>
      <c r="EB159" s="29" t="str">
        <f t="shared" si="43"/>
        <v/>
      </c>
      <c r="EC159" s="29" t="str">
        <f t="shared" si="44"/>
        <v/>
      </c>
      <c r="ED159" s="29" t="str">
        <f t="shared" si="45"/>
        <v/>
      </c>
      <c r="EE159" s="29" t="str">
        <f t="shared" si="46"/>
        <v/>
      </c>
      <c r="EF159" s="29" t="str">
        <f t="shared" si="47"/>
        <v/>
      </c>
      <c r="EG159" s="29" t="str">
        <f t="shared" si="48"/>
        <v/>
      </c>
      <c r="EH159" s="29" t="str">
        <f t="shared" si="49"/>
        <v/>
      </c>
      <c r="EI159" s="29" t="str">
        <f t="shared" si="50"/>
        <v/>
      </c>
      <c r="EJ159" s="29" t="str">
        <f t="shared" si="51"/>
        <v/>
      </c>
      <c r="EK159" s="29" t="str">
        <f t="shared" si="52"/>
        <v/>
      </c>
      <c r="EL159" s="29" t="str">
        <f>IF(CD159=1,VLOOKUP(EA159,'EIA 2021'!$A$2:$J$213,4,0)*EH159,"")</f>
        <v/>
      </c>
      <c r="EM159" s="29" t="str">
        <f>IF(CD159=1,VLOOKUP(EA159,'EIA 2021'!$A$2:$J$213,7,0)*EH159,"")</f>
        <v/>
      </c>
      <c r="EN159" s="29" t="str">
        <f>IF(CD159=1,VLOOKUP(EA159,'EIA 2021'!$A$2:$J$213,10,0),"")</f>
        <v/>
      </c>
      <c r="EO159" s="28" t="str">
        <f>IF(CD159=1,VLOOKUP(EA159,'EIA 2021'!$A$2:$Z$213,26,0),"")</f>
        <v/>
      </c>
      <c r="EP159" s="23" t="str">
        <f t="shared" si="53"/>
        <v/>
      </c>
      <c r="EQ159" s="32" t="str">
        <f t="shared" si="54"/>
        <v/>
      </c>
      <c r="ER159" s="32" t="str">
        <f t="shared" si="55"/>
        <v/>
      </c>
      <c r="ES159" s="6"/>
      <c r="ET159" s="32"/>
    </row>
    <row r="160" spans="1:150" ht="15.75" customHeight="1">
      <c r="A160" s="7" t="s">
        <v>682</v>
      </c>
      <c r="B160" s="7" t="s">
        <v>683</v>
      </c>
      <c r="C160" s="32" t="s">
        <v>684</v>
      </c>
      <c r="D160" s="40">
        <v>0</v>
      </c>
      <c r="E160" s="40">
        <v>0</v>
      </c>
      <c r="F160" s="40">
        <v>0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  <c r="L160" s="40">
        <v>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f>IFERROR(VLOOKUP(A160,'Trans 21-23'!$A$2:$J$229,6,0),0)</f>
        <v>0</v>
      </c>
      <c r="Y160" s="41">
        <v>0</v>
      </c>
      <c r="Z160" s="41">
        <v>0</v>
      </c>
      <c r="AA160" s="41">
        <v>0</v>
      </c>
      <c r="AB160" s="41">
        <v>0</v>
      </c>
      <c r="AC160" s="41">
        <v>0</v>
      </c>
      <c r="AD160" s="41">
        <v>6734295</v>
      </c>
      <c r="AE160" s="41">
        <v>0</v>
      </c>
      <c r="AF160" s="41">
        <v>11063908</v>
      </c>
      <c r="AG160" s="41">
        <v>0</v>
      </c>
      <c r="AH160" s="41">
        <v>0</v>
      </c>
      <c r="AI160" s="41">
        <v>0</v>
      </c>
      <c r="AJ160" s="41">
        <v>0</v>
      </c>
      <c r="AK160" s="41">
        <v>0</v>
      </c>
      <c r="AL160" s="41">
        <v>0</v>
      </c>
      <c r="AM160" s="41">
        <v>0</v>
      </c>
      <c r="AN160" s="41">
        <v>0</v>
      </c>
      <c r="AO160" s="41">
        <v>0</v>
      </c>
      <c r="AP160" s="41">
        <v>0</v>
      </c>
      <c r="AQ160" s="41">
        <v>0</v>
      </c>
      <c r="AR160" s="41">
        <v>0</v>
      </c>
      <c r="AS160" s="41">
        <v>0</v>
      </c>
      <c r="AT160" s="41">
        <v>0</v>
      </c>
      <c r="AU160" s="41">
        <v>0</v>
      </c>
      <c r="AV160" s="41">
        <v>0</v>
      </c>
      <c r="AW160" s="41">
        <v>0</v>
      </c>
      <c r="AX160" s="41">
        <v>0</v>
      </c>
      <c r="AY160" s="41">
        <v>0</v>
      </c>
      <c r="AZ160" s="41">
        <v>0</v>
      </c>
      <c r="BA160" s="41">
        <v>0</v>
      </c>
      <c r="BB160" s="41">
        <v>0</v>
      </c>
      <c r="BC160" s="41">
        <v>1814630423</v>
      </c>
      <c r="BD160" s="41">
        <v>7178571</v>
      </c>
      <c r="BE160" s="41">
        <v>0</v>
      </c>
      <c r="BF160" s="41">
        <v>0</v>
      </c>
      <c r="BG160" s="41">
        <v>0</v>
      </c>
      <c r="BH160" s="41">
        <v>0</v>
      </c>
      <c r="BI160" s="41">
        <v>0</v>
      </c>
      <c r="BJ160" s="41">
        <v>0</v>
      </c>
      <c r="BK160" s="41">
        <v>0</v>
      </c>
      <c r="BL160" s="41">
        <v>0</v>
      </c>
      <c r="BM160" s="41">
        <v>2187604</v>
      </c>
      <c r="BN160" s="41">
        <v>4760650</v>
      </c>
      <c r="BO160" s="41">
        <v>4653</v>
      </c>
      <c r="BP160" s="41">
        <v>35023</v>
      </c>
      <c r="BQ160" s="41">
        <v>9187498</v>
      </c>
      <c r="BR160" s="41">
        <v>0</v>
      </c>
      <c r="BS160" s="42">
        <f>IFERROR(VLOOKUP(A160,'Trans 21-23'!$A$2:$J$229,5,0),0)</f>
        <v>0</v>
      </c>
      <c r="BT160" s="43"/>
      <c r="BU160" s="6">
        <f t="shared" si="0"/>
        <v>0</v>
      </c>
      <c r="BV160" s="6">
        <f t="shared" si="1"/>
        <v>0</v>
      </c>
      <c r="BW160" s="6">
        <f t="shared" si="2"/>
        <v>0</v>
      </c>
      <c r="BX160" s="6">
        <f t="shared" si="3"/>
        <v>0</v>
      </c>
      <c r="BY160" s="6">
        <f t="shared" si="4"/>
        <v>0</v>
      </c>
      <c r="BZ160" s="6">
        <f t="shared" si="5"/>
        <v>0</v>
      </c>
      <c r="CA160" s="6">
        <f t="shared" si="6"/>
        <v>6734295</v>
      </c>
      <c r="CB160" s="6">
        <f t="shared" si="7"/>
        <v>0</v>
      </c>
      <c r="CC160" s="6">
        <f t="shared" si="8"/>
        <v>0</v>
      </c>
      <c r="CD160" s="6">
        <f t="shared" ref="CD160:CD161" si="80">IF(OR(BU160&lt;=0,BV160&lt;=0,BW160&lt;=0,BX160&lt;=0,BY160&lt;=0,BZ160&lt;=0,CA160&lt;=0,CB160&lt;=0,CC160&lt;=0,DF160&lt;=0),0,1)</f>
        <v>0</v>
      </c>
      <c r="CE160" s="44">
        <f t="shared" si="10"/>
        <v>59</v>
      </c>
      <c r="CF160" s="27"/>
      <c r="CG160" s="28" t="str">
        <f t="shared" si="11"/>
        <v/>
      </c>
      <c r="CH160" s="28" t="str">
        <f t="shared" si="12"/>
        <v/>
      </c>
      <c r="CI160" s="28" t="str">
        <f t="shared" si="13"/>
        <v/>
      </c>
      <c r="CJ160" s="28" t="str">
        <f t="shared" si="14"/>
        <v/>
      </c>
      <c r="CK160" s="23" t="str">
        <f t="shared" si="15"/>
        <v/>
      </c>
      <c r="CL160" s="29" t="str">
        <f t="shared" si="16"/>
        <v/>
      </c>
      <c r="CM160" s="29" t="str">
        <f t="shared" si="66"/>
        <v/>
      </c>
      <c r="CN160" s="29" t="str">
        <f t="shared" si="18"/>
        <v/>
      </c>
      <c r="CO160" s="29" t="str">
        <f t="shared" si="19"/>
        <v/>
      </c>
      <c r="CP160" s="29" t="str">
        <f t="shared" si="20"/>
        <v/>
      </c>
      <c r="CQ160" s="29">
        <f t="shared" si="21"/>
        <v>0</v>
      </c>
      <c r="CR160" s="13"/>
      <c r="CS160" s="7" t="str">
        <f>VLOOKUP(A160,'Empresas 21-23'!$A$2:$M$228,13,0)</f>
        <v/>
      </c>
      <c r="CT160" s="30"/>
      <c r="CU160" s="6">
        <f t="shared" si="22"/>
        <v>0</v>
      </c>
      <c r="CV160" s="6">
        <f t="shared" si="23"/>
        <v>0</v>
      </c>
      <c r="CW160" s="6">
        <f t="shared" si="24"/>
        <v>7178571</v>
      </c>
      <c r="CX160" s="23">
        <f t="shared" ref="CX160:CX166" si="81">CU160/(BC160-BD160)</f>
        <v>0</v>
      </c>
      <c r="CY160" s="23">
        <f t="shared" ref="CY160:CY166" si="82">CV160/(BC160-BD160)</f>
        <v>0</v>
      </c>
      <c r="CZ160" s="6">
        <f t="shared" si="25"/>
        <v>0</v>
      </c>
      <c r="DA160" s="6">
        <f t="shared" si="26"/>
        <v>0</v>
      </c>
      <c r="DB160" s="6">
        <f t="shared" si="27"/>
        <v>0</v>
      </c>
      <c r="DC160" s="6">
        <f t="shared" si="28"/>
        <v>0</v>
      </c>
      <c r="DD160" s="6">
        <f t="shared" si="29"/>
        <v>0</v>
      </c>
      <c r="DE160" s="6">
        <f t="shared" si="30"/>
        <v>6734295</v>
      </c>
      <c r="DF160" s="6">
        <f t="shared" ref="DF160:DF161" si="83">DE160*(DC160+DD160)/(AF160-AD160-F160-H160-E160-D160)</f>
        <v>0</v>
      </c>
      <c r="DG160" s="30"/>
      <c r="DH160" s="32" t="str">
        <f>VLOOKUP(A160,'T_med_comp-USA'!$A$7:$Q$233,17,0)</f>
        <v>-</v>
      </c>
      <c r="DI160" s="6" t="str">
        <f t="shared" si="32"/>
        <v/>
      </c>
      <c r="DJ160" s="32" t="str">
        <f>IF(DI160="","",VLOOKUP(DI160,'CPI USA'!$T:$U,2,FALSE))</f>
        <v/>
      </c>
      <c r="DK160" s="32" t="str">
        <f>IF(DI160="","",VLOOKUP(DI160,'PPI USA'!$S:$T,2,FALSE))</f>
        <v/>
      </c>
      <c r="DL160" s="32" t="str">
        <f>IF(DI160="","",VLOOKUP(DI160,'CPI USA'!$T:$V,3,FALSE))</f>
        <v/>
      </c>
      <c r="DM160" s="32" t="str">
        <f>IF(DI160="","",VLOOKUP(DI160,'CPI USA'!$T:$X,5,FALSE))</f>
        <v/>
      </c>
      <c r="DN160" s="32" t="str">
        <f t="shared" si="33"/>
        <v/>
      </c>
      <c r="DO160" s="32" t="str">
        <f t="shared" si="34"/>
        <v/>
      </c>
      <c r="DP160" s="32" t="str">
        <f t="shared" si="35"/>
        <v/>
      </c>
      <c r="DQ160" s="32" t="str">
        <f>IF(DP160="","",DP160*$DO$1/'CPI USA'!$U$508+(1-DP160)*AVERAGE($DO$1,$DQ$1)/AVERAGE('CPI USA'!$U$508,'PPI USA'!$T$514))</f>
        <v/>
      </c>
      <c r="DR160" s="6">
        <f t="shared" si="36"/>
        <v>0</v>
      </c>
      <c r="DS160" s="32" t="str">
        <f t="shared" si="37"/>
        <v/>
      </c>
      <c r="DT160" s="28" t="str">
        <f>IF(DS160="","",DS160*$DO$1/'CPI USA'!$U$508+(1-DS160)*AVERAGE($DO$1,$DQ$1)/AVERAGE('CPI USA'!$U$508,'PPI USA'!$T$514))</f>
        <v/>
      </c>
      <c r="DU160" s="6" t="str">
        <f t="shared" si="38"/>
        <v/>
      </c>
      <c r="DV160" s="6">
        <f t="shared" si="39"/>
        <v>8371.1187293054609</v>
      </c>
      <c r="DW160" s="6">
        <f t="shared" si="40"/>
        <v>0</v>
      </c>
      <c r="DX160" s="16" t="str">
        <f t="shared" si="41"/>
        <v/>
      </c>
      <c r="DY160" s="28" t="str">
        <f>IF(DX160="","",DX160*$DO$1/'CPI USA'!$U$508+(1-DX160)*AVERAGE($DO$1,$DQ$1)/AVERAGE('CPI USA'!$U$508,'PPI USA'!$T$514))</f>
        <v/>
      </c>
      <c r="DZ160" s="30"/>
      <c r="EA160" s="45" t="str">
        <f t="shared" si="42"/>
        <v>C002196</v>
      </c>
      <c r="EB160" s="29" t="str">
        <f t="shared" si="43"/>
        <v/>
      </c>
      <c r="EC160" s="29" t="str">
        <f t="shared" si="44"/>
        <v/>
      </c>
      <c r="ED160" s="29" t="str">
        <f t="shared" si="45"/>
        <v/>
      </c>
      <c r="EE160" s="29" t="str">
        <f t="shared" si="46"/>
        <v/>
      </c>
      <c r="EF160" s="29" t="str">
        <f t="shared" si="47"/>
        <v/>
      </c>
      <c r="EG160" s="29" t="str">
        <f t="shared" si="48"/>
        <v/>
      </c>
      <c r="EH160" s="29" t="str">
        <f t="shared" si="49"/>
        <v/>
      </c>
      <c r="EI160" s="29" t="str">
        <f t="shared" si="50"/>
        <v/>
      </c>
      <c r="EJ160" s="29" t="str">
        <f t="shared" si="51"/>
        <v/>
      </c>
      <c r="EK160" s="29" t="str">
        <f t="shared" si="52"/>
        <v/>
      </c>
      <c r="EL160" s="29" t="str">
        <f>IF(CD160=1,VLOOKUP(EA160,'EIA 2021'!$A$2:$J$213,4,0)*EH160,"")</f>
        <v/>
      </c>
      <c r="EM160" s="29" t="str">
        <f>IF(CD160=1,VLOOKUP(EA160,'EIA 2021'!$A$2:$J$213,7,0)*EH160,"")</f>
        <v/>
      </c>
      <c r="EN160" s="29" t="str">
        <f>IF(CD160=1,VLOOKUP(EA160,'EIA 2021'!$A$2:$J$213,10,0),"")</f>
        <v/>
      </c>
      <c r="EO160" s="28" t="str">
        <f>IF(CD160=1,VLOOKUP(EA160,'EIA 2021'!$A$2:$Z$213,26,0),"")</f>
        <v/>
      </c>
      <c r="EP160" s="23" t="str">
        <f t="shared" si="53"/>
        <v/>
      </c>
      <c r="EQ160" s="32" t="str">
        <f t="shared" si="54"/>
        <v/>
      </c>
      <c r="ER160" s="32" t="str">
        <f t="shared" si="55"/>
        <v/>
      </c>
      <c r="ES160" s="6"/>
      <c r="ET160" s="32"/>
    </row>
    <row r="161" spans="1:150" ht="15.75" customHeight="1">
      <c r="A161" s="7" t="s">
        <v>685</v>
      </c>
      <c r="B161" s="7" t="s">
        <v>686</v>
      </c>
      <c r="C161" s="32" t="s">
        <v>687</v>
      </c>
      <c r="D161" s="40">
        <v>0</v>
      </c>
      <c r="E161" s="40">
        <v>0</v>
      </c>
      <c r="F161" s="40">
        <v>0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  <c r="L161" s="40">
        <v>0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f>IFERROR(VLOOKUP(A161,'Trans 21-23'!$A$2:$J$229,6,0),0)</f>
        <v>0</v>
      </c>
      <c r="Y161" s="41">
        <v>0</v>
      </c>
      <c r="Z161" s="41">
        <v>0</v>
      </c>
      <c r="AA161" s="41">
        <v>0</v>
      </c>
      <c r="AB161" s="41">
        <v>0</v>
      </c>
      <c r="AC161" s="41">
        <v>0</v>
      </c>
      <c r="AD161" s="41">
        <v>11827896</v>
      </c>
      <c r="AE161" s="41">
        <v>0</v>
      </c>
      <c r="AF161" s="41">
        <v>25508384</v>
      </c>
      <c r="AG161" s="41">
        <v>0</v>
      </c>
      <c r="AH161" s="41">
        <v>0</v>
      </c>
      <c r="AI161" s="41">
        <v>0</v>
      </c>
      <c r="AJ161" s="41">
        <v>0</v>
      </c>
      <c r="AK161" s="41">
        <v>0</v>
      </c>
      <c r="AL161" s="41">
        <v>0</v>
      </c>
      <c r="AM161" s="41">
        <v>0</v>
      </c>
      <c r="AN161" s="41">
        <v>0</v>
      </c>
      <c r="AO161" s="41">
        <v>0</v>
      </c>
      <c r="AP161" s="41">
        <v>0</v>
      </c>
      <c r="AQ161" s="41">
        <v>0</v>
      </c>
      <c r="AR161" s="41">
        <v>0</v>
      </c>
      <c r="AS161" s="41">
        <v>0</v>
      </c>
      <c r="AT161" s="41">
        <v>0</v>
      </c>
      <c r="AU161" s="41">
        <v>0</v>
      </c>
      <c r="AV161" s="41">
        <v>0</v>
      </c>
      <c r="AW161" s="41">
        <v>0</v>
      </c>
      <c r="AX161" s="41">
        <v>0</v>
      </c>
      <c r="AY161" s="41">
        <v>0</v>
      </c>
      <c r="AZ161" s="41">
        <v>0</v>
      </c>
      <c r="BA161" s="41">
        <v>0</v>
      </c>
      <c r="BB161" s="41">
        <v>0</v>
      </c>
      <c r="BC161" s="41">
        <v>770432643</v>
      </c>
      <c r="BD161" s="41">
        <v>33711302</v>
      </c>
      <c r="BE161" s="41">
        <v>0</v>
      </c>
      <c r="BF161" s="41">
        <v>0</v>
      </c>
      <c r="BG161" s="41">
        <v>0</v>
      </c>
      <c r="BH161" s="41">
        <v>0</v>
      </c>
      <c r="BI161" s="41">
        <v>0</v>
      </c>
      <c r="BJ161" s="41">
        <v>0</v>
      </c>
      <c r="BK161" s="41">
        <v>0</v>
      </c>
      <c r="BL161" s="41">
        <v>0</v>
      </c>
      <c r="BM161" s="41">
        <v>1737949</v>
      </c>
      <c r="BN161" s="41">
        <v>3112201</v>
      </c>
      <c r="BO161" s="41">
        <v>0</v>
      </c>
      <c r="BP161" s="41">
        <v>0</v>
      </c>
      <c r="BQ161" s="41">
        <v>4031575</v>
      </c>
      <c r="BR161" s="41">
        <v>0</v>
      </c>
      <c r="BS161" s="42">
        <f>IFERROR(VLOOKUP(A161,'Trans 21-23'!$A$2:$J$229,5,0),0)</f>
        <v>0</v>
      </c>
      <c r="BT161" s="43"/>
      <c r="BU161" s="6">
        <f t="shared" si="0"/>
        <v>0</v>
      </c>
      <c r="BV161" s="6">
        <f t="shared" si="1"/>
        <v>0</v>
      </c>
      <c r="BW161" s="6">
        <f t="shared" si="2"/>
        <v>0</v>
      </c>
      <c r="BX161" s="6">
        <f t="shared" si="3"/>
        <v>0</v>
      </c>
      <c r="BY161" s="6">
        <f t="shared" si="4"/>
        <v>0</v>
      </c>
      <c r="BZ161" s="6">
        <f t="shared" si="5"/>
        <v>0</v>
      </c>
      <c r="CA161" s="6">
        <f t="shared" si="6"/>
        <v>11827896</v>
      </c>
      <c r="CB161" s="6">
        <f t="shared" si="7"/>
        <v>0</v>
      </c>
      <c r="CC161" s="6">
        <f t="shared" si="8"/>
        <v>0</v>
      </c>
      <c r="CD161" s="6">
        <f t="shared" si="80"/>
        <v>0</v>
      </c>
      <c r="CE161" s="44">
        <f t="shared" si="10"/>
        <v>61</v>
      </c>
      <c r="CF161" s="27"/>
      <c r="CG161" s="28" t="str">
        <f t="shared" si="11"/>
        <v/>
      </c>
      <c r="CH161" s="28" t="str">
        <f t="shared" si="12"/>
        <v/>
      </c>
      <c r="CI161" s="28" t="str">
        <f t="shared" si="13"/>
        <v/>
      </c>
      <c r="CJ161" s="28" t="str">
        <f t="shared" si="14"/>
        <v/>
      </c>
      <c r="CK161" s="23" t="str">
        <f t="shared" si="15"/>
        <v/>
      </c>
      <c r="CL161" s="29" t="str">
        <f t="shared" si="16"/>
        <v/>
      </c>
      <c r="CM161" s="29" t="str">
        <f t="shared" si="66"/>
        <v/>
      </c>
      <c r="CN161" s="29" t="str">
        <f t="shared" si="18"/>
        <v/>
      </c>
      <c r="CO161" s="29" t="str">
        <f t="shared" si="19"/>
        <v/>
      </c>
      <c r="CP161" s="29" t="str">
        <f t="shared" si="20"/>
        <v/>
      </c>
      <c r="CQ161" s="29">
        <f t="shared" si="21"/>
        <v>0</v>
      </c>
      <c r="CR161" s="13"/>
      <c r="CS161" s="7" t="str">
        <f>VLOOKUP(A161,'Empresas 21-23'!$A$2:$M$228,13,0)</f>
        <v/>
      </c>
      <c r="CT161" s="30"/>
      <c r="CU161" s="6">
        <f t="shared" si="22"/>
        <v>0</v>
      </c>
      <c r="CV161" s="6">
        <f t="shared" si="23"/>
        <v>0</v>
      </c>
      <c r="CW161" s="6">
        <f t="shared" si="24"/>
        <v>33711302</v>
      </c>
      <c r="CX161" s="23">
        <f t="shared" si="81"/>
        <v>0</v>
      </c>
      <c r="CY161" s="23">
        <f t="shared" si="82"/>
        <v>0</v>
      </c>
      <c r="CZ161" s="6">
        <f t="shared" si="25"/>
        <v>0</v>
      </c>
      <c r="DA161" s="6">
        <f t="shared" si="26"/>
        <v>0</v>
      </c>
      <c r="DB161" s="6">
        <f t="shared" si="27"/>
        <v>0</v>
      </c>
      <c r="DC161" s="6">
        <f t="shared" si="28"/>
        <v>0</v>
      </c>
      <c r="DD161" s="6">
        <f t="shared" si="29"/>
        <v>0</v>
      </c>
      <c r="DE161" s="6">
        <f t="shared" si="30"/>
        <v>11827896</v>
      </c>
      <c r="DF161" s="6">
        <f t="shared" si="83"/>
        <v>0</v>
      </c>
      <c r="DG161" s="30"/>
      <c r="DH161" s="32" t="str">
        <f>VLOOKUP(A161,'T_med_comp-USA'!$A$7:$Q$233,17,0)</f>
        <v>-</v>
      </c>
      <c r="DI161" s="6" t="str">
        <f t="shared" si="32"/>
        <v/>
      </c>
      <c r="DJ161" s="32" t="str">
        <f>IF(DI161="","",VLOOKUP(DI161,'CPI USA'!$T:$U,2,FALSE))</f>
        <v/>
      </c>
      <c r="DK161" s="32" t="str">
        <f>IF(DI161="","",VLOOKUP(DI161,'PPI USA'!$S:$T,2,FALSE))</f>
        <v/>
      </c>
      <c r="DL161" s="32" t="str">
        <f>IF(DI161="","",VLOOKUP(DI161,'CPI USA'!$T:$V,3,FALSE))</f>
        <v/>
      </c>
      <c r="DM161" s="32" t="str">
        <f>IF(DI161="","",VLOOKUP(DI161,'CPI USA'!$T:$X,5,FALSE))</f>
        <v/>
      </c>
      <c r="DN161" s="32" t="str">
        <f t="shared" si="33"/>
        <v/>
      </c>
      <c r="DO161" s="32" t="str">
        <f t="shared" si="34"/>
        <v/>
      </c>
      <c r="DP161" s="32" t="str">
        <f t="shared" si="35"/>
        <v/>
      </c>
      <c r="DQ161" s="32" t="str">
        <f>IF(DP161="","",DP161*$DO$1/'CPI USA'!$U$508+(1-DP161)*AVERAGE($DO$1,$DQ$1)/AVERAGE('CPI USA'!$U$508,'PPI USA'!$T$514))</f>
        <v/>
      </c>
      <c r="DR161" s="6">
        <f t="shared" si="36"/>
        <v>0</v>
      </c>
      <c r="DS161" s="32" t="str">
        <f t="shared" si="37"/>
        <v/>
      </c>
      <c r="DT161" s="28" t="str">
        <f>IF(DS161="","",DS161*$DO$1/'CPI USA'!$U$508+(1-DS161)*AVERAGE($DO$1,$DQ$1)/AVERAGE('CPI USA'!$U$508,'PPI USA'!$T$514))</f>
        <v/>
      </c>
      <c r="DU161" s="6" t="str">
        <f t="shared" si="38"/>
        <v/>
      </c>
      <c r="DV161" s="6">
        <f t="shared" si="39"/>
        <v>0</v>
      </c>
      <c r="DW161" s="6">
        <f t="shared" si="40"/>
        <v>0</v>
      </c>
      <c r="DX161" s="16" t="str">
        <f t="shared" si="41"/>
        <v/>
      </c>
      <c r="DY161" s="28" t="str">
        <f>IF(DX161="","",DX161*$DO$1/'CPI USA'!$U$508+(1-DX161)*AVERAGE($DO$1,$DQ$1)/AVERAGE('CPI USA'!$U$508,'PPI USA'!$T$514))</f>
        <v/>
      </c>
      <c r="DZ161" s="30"/>
      <c r="EA161" s="45" t="str">
        <f t="shared" si="42"/>
        <v>C002308</v>
      </c>
      <c r="EB161" s="29" t="str">
        <f t="shared" si="43"/>
        <v/>
      </c>
      <c r="EC161" s="29" t="str">
        <f t="shared" si="44"/>
        <v/>
      </c>
      <c r="ED161" s="29" t="str">
        <f t="shared" si="45"/>
        <v/>
      </c>
      <c r="EE161" s="29" t="str">
        <f t="shared" si="46"/>
        <v/>
      </c>
      <c r="EF161" s="29" t="str">
        <f t="shared" si="47"/>
        <v/>
      </c>
      <c r="EG161" s="29" t="str">
        <f t="shared" si="48"/>
        <v/>
      </c>
      <c r="EH161" s="29" t="str">
        <f t="shared" si="49"/>
        <v/>
      </c>
      <c r="EI161" s="29" t="str">
        <f t="shared" si="50"/>
        <v/>
      </c>
      <c r="EJ161" s="29" t="str">
        <f t="shared" si="51"/>
        <v/>
      </c>
      <c r="EK161" s="29" t="str">
        <f t="shared" si="52"/>
        <v/>
      </c>
      <c r="EL161" s="29" t="str">
        <f>IF(CD161=1,VLOOKUP(EA161,'EIA 2021'!$A$2:$J$213,4,0)*EH161,"")</f>
        <v/>
      </c>
      <c r="EM161" s="29" t="str">
        <f>IF(CD161=1,VLOOKUP(EA161,'EIA 2021'!$A$2:$J$213,7,0)*EH161,"")</f>
        <v/>
      </c>
      <c r="EN161" s="29" t="str">
        <f>IF(CD161=1,VLOOKUP(EA161,'EIA 2021'!$A$2:$J$213,10,0),"")</f>
        <v/>
      </c>
      <c r="EO161" s="28" t="str">
        <f>IF(CD161=1,VLOOKUP(EA161,'EIA 2021'!$A$2:$Z$213,26,0),"")</f>
        <v/>
      </c>
      <c r="EP161" s="23" t="str">
        <f t="shared" si="53"/>
        <v/>
      </c>
      <c r="EQ161" s="32" t="str">
        <f t="shared" si="54"/>
        <v/>
      </c>
      <c r="ER161" s="32" t="str">
        <f t="shared" si="55"/>
        <v/>
      </c>
      <c r="ES161" s="6"/>
      <c r="ET161" s="32"/>
    </row>
    <row r="162" spans="1:150" ht="15.75" customHeight="1">
      <c r="A162" s="7" t="s">
        <v>688</v>
      </c>
      <c r="B162" s="7" t="s">
        <v>689</v>
      </c>
      <c r="C162" s="32" t="s">
        <v>690</v>
      </c>
      <c r="D162" s="40">
        <v>0</v>
      </c>
      <c r="E162" s="40">
        <v>0</v>
      </c>
      <c r="F162" s="40">
        <v>0</v>
      </c>
      <c r="G162" s="40">
        <v>0</v>
      </c>
      <c r="H162" s="40">
        <v>0</v>
      </c>
      <c r="I162" s="40">
        <v>0</v>
      </c>
      <c r="J162" s="40">
        <v>0</v>
      </c>
      <c r="K162" s="40">
        <v>0</v>
      </c>
      <c r="L162" s="40">
        <v>0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f>IFERROR(VLOOKUP(A162,'Trans 21-23'!$A$2:$J$229,6,0),0)</f>
        <v>0</v>
      </c>
      <c r="Y162" s="41">
        <v>0</v>
      </c>
      <c r="Z162" s="41">
        <v>0</v>
      </c>
      <c r="AA162" s="41">
        <v>0</v>
      </c>
      <c r="AB162" s="41">
        <v>0</v>
      </c>
      <c r="AC162" s="41">
        <v>0</v>
      </c>
      <c r="AD162" s="41">
        <v>577645</v>
      </c>
      <c r="AE162" s="41">
        <v>0</v>
      </c>
      <c r="AF162" s="41">
        <v>577645</v>
      </c>
      <c r="AG162" s="41">
        <v>0</v>
      </c>
      <c r="AH162" s="41">
        <v>0</v>
      </c>
      <c r="AI162" s="41">
        <v>0</v>
      </c>
      <c r="AJ162" s="41">
        <v>0</v>
      </c>
      <c r="AK162" s="41">
        <v>0</v>
      </c>
      <c r="AL162" s="41">
        <v>0</v>
      </c>
      <c r="AM162" s="41">
        <v>0</v>
      </c>
      <c r="AN162" s="41">
        <v>0</v>
      </c>
      <c r="AO162" s="41">
        <v>0</v>
      </c>
      <c r="AP162" s="41">
        <v>0</v>
      </c>
      <c r="AQ162" s="41">
        <v>0</v>
      </c>
      <c r="AR162" s="41">
        <v>0</v>
      </c>
      <c r="AS162" s="41">
        <v>0</v>
      </c>
      <c r="AT162" s="41">
        <v>0</v>
      </c>
      <c r="AU162" s="41">
        <v>0</v>
      </c>
      <c r="AV162" s="41">
        <v>0</v>
      </c>
      <c r="AW162" s="41">
        <v>0</v>
      </c>
      <c r="AX162" s="41">
        <v>0</v>
      </c>
      <c r="AY162" s="41">
        <v>0</v>
      </c>
      <c r="AZ162" s="41">
        <v>0</v>
      </c>
      <c r="BA162" s="41">
        <v>0</v>
      </c>
      <c r="BB162" s="41">
        <v>0</v>
      </c>
      <c r="BC162" s="41">
        <v>191802208</v>
      </c>
      <c r="BD162" s="41">
        <v>0</v>
      </c>
      <c r="BE162" s="41">
        <v>0</v>
      </c>
      <c r="BF162" s="41">
        <v>0</v>
      </c>
      <c r="BG162" s="41">
        <v>0</v>
      </c>
      <c r="BH162" s="41">
        <v>0</v>
      </c>
      <c r="BI162" s="41">
        <v>0</v>
      </c>
      <c r="BJ162" s="41">
        <v>0</v>
      </c>
      <c r="BK162" s="41">
        <v>0</v>
      </c>
      <c r="BL162" s="41">
        <v>0</v>
      </c>
      <c r="BM162" s="41">
        <v>0</v>
      </c>
      <c r="BN162" s="41">
        <v>0</v>
      </c>
      <c r="BO162" s="41">
        <v>0</v>
      </c>
      <c r="BP162" s="41">
        <v>0</v>
      </c>
      <c r="BQ162" s="41">
        <v>0</v>
      </c>
      <c r="BR162" s="41">
        <v>0</v>
      </c>
      <c r="BS162" s="42">
        <f>IFERROR(VLOOKUP(A162,'Trans 21-23'!$A$2:$J$229,5,0),0)</f>
        <v>0</v>
      </c>
      <c r="BT162" s="43"/>
      <c r="BU162" s="6">
        <f t="shared" si="0"/>
        <v>0</v>
      </c>
      <c r="BV162" s="6">
        <f t="shared" si="1"/>
        <v>0</v>
      </c>
      <c r="BW162" s="6">
        <f t="shared" si="2"/>
        <v>0</v>
      </c>
      <c r="BX162" s="6">
        <f t="shared" si="3"/>
        <v>0</v>
      </c>
      <c r="BY162" s="6">
        <f t="shared" si="4"/>
        <v>0</v>
      </c>
      <c r="BZ162" s="6">
        <f t="shared" si="5"/>
        <v>0</v>
      </c>
      <c r="CA162" s="6">
        <f t="shared" si="6"/>
        <v>577645</v>
      </c>
      <c r="CB162" s="6">
        <f t="shared" si="7"/>
        <v>0</v>
      </c>
      <c r="CC162" s="6">
        <f t="shared" si="8"/>
        <v>0</v>
      </c>
      <c r="CD162" s="6">
        <f>IF(OR(BU162&lt;=0,BV162&lt;=0,BW162&lt;=0,BX162&lt;=0,BY162&lt;=0,BZ162&lt;=0,CA162&lt;=0,CB162&lt;=0,CC162&lt;=0),0,1)</f>
        <v>0</v>
      </c>
      <c r="CE162" s="44">
        <f t="shared" si="10"/>
        <v>65</v>
      </c>
      <c r="CF162" s="27"/>
      <c r="CG162" s="28" t="str">
        <f t="shared" si="11"/>
        <v/>
      </c>
      <c r="CH162" s="28" t="str">
        <f t="shared" si="12"/>
        <v/>
      </c>
      <c r="CI162" s="28" t="str">
        <f t="shared" si="13"/>
        <v/>
      </c>
      <c r="CJ162" s="28" t="str">
        <f t="shared" si="14"/>
        <v/>
      </c>
      <c r="CK162" s="23" t="str">
        <f t="shared" si="15"/>
        <v/>
      </c>
      <c r="CL162" s="29" t="str">
        <f t="shared" si="16"/>
        <v/>
      </c>
      <c r="CM162" s="29" t="str">
        <f t="shared" si="66"/>
        <v/>
      </c>
      <c r="CN162" s="29" t="str">
        <f t="shared" si="18"/>
        <v/>
      </c>
      <c r="CO162" s="29" t="str">
        <f t="shared" si="19"/>
        <v/>
      </c>
      <c r="CP162" s="29" t="str">
        <f t="shared" si="20"/>
        <v/>
      </c>
      <c r="CQ162" s="29">
        <f t="shared" si="21"/>
        <v>0</v>
      </c>
      <c r="CR162" s="13"/>
      <c r="CS162" s="7" t="str">
        <f>VLOOKUP(A162,'Empresas 21-23'!$A$2:$M$228,13,0)</f>
        <v/>
      </c>
      <c r="CT162" s="30"/>
      <c r="CU162" s="6">
        <f t="shared" si="22"/>
        <v>0</v>
      </c>
      <c r="CV162" s="6">
        <f t="shared" si="23"/>
        <v>0</v>
      </c>
      <c r="CW162" s="6">
        <f t="shared" si="24"/>
        <v>0</v>
      </c>
      <c r="CX162" s="23">
        <f t="shared" si="81"/>
        <v>0</v>
      </c>
      <c r="CY162" s="23">
        <f t="shared" si="82"/>
        <v>0</v>
      </c>
      <c r="CZ162" s="6">
        <f t="shared" si="25"/>
        <v>0</v>
      </c>
      <c r="DA162" s="6">
        <f t="shared" si="26"/>
        <v>0</v>
      </c>
      <c r="DB162" s="6">
        <f t="shared" si="27"/>
        <v>0</v>
      </c>
      <c r="DC162" s="6">
        <f t="shared" si="28"/>
        <v>0</v>
      </c>
      <c r="DD162" s="6">
        <f t="shared" si="29"/>
        <v>0</v>
      </c>
      <c r="DE162" s="6">
        <f t="shared" si="30"/>
        <v>577645</v>
      </c>
      <c r="DF162" s="6" t="str">
        <f>IFERROR(DE162*(DC162+DD162)/(AF162-AD162-F162-H162-E162-D162),"")</f>
        <v/>
      </c>
      <c r="DG162" s="30"/>
      <c r="DH162" s="32" t="str">
        <f>VLOOKUP(A162,'T_med_comp-USA'!$A$7:$Q$233,17,0)</f>
        <v>-</v>
      </c>
      <c r="DI162" s="6" t="str">
        <f t="shared" si="32"/>
        <v/>
      </c>
      <c r="DJ162" s="32" t="str">
        <f>IF(DI162="","",VLOOKUP(DI162,'CPI USA'!$T:$U,2,FALSE))</f>
        <v/>
      </c>
      <c r="DK162" s="32" t="str">
        <f>IF(DI162="","",VLOOKUP(DI162,'PPI USA'!$S:$T,2,FALSE))</f>
        <v/>
      </c>
      <c r="DL162" s="32" t="str">
        <f>IF(DI162="","",VLOOKUP(DI162,'CPI USA'!$T:$V,3,FALSE))</f>
        <v/>
      </c>
      <c r="DM162" s="32" t="str">
        <f>IF(DI162="","",VLOOKUP(DI162,'CPI USA'!$T:$X,5,FALSE))</f>
        <v/>
      </c>
      <c r="DN162" s="32" t="str">
        <f t="shared" si="33"/>
        <v/>
      </c>
      <c r="DO162" s="32" t="str">
        <f t="shared" si="34"/>
        <v/>
      </c>
      <c r="DP162" s="32" t="str">
        <f t="shared" si="35"/>
        <v/>
      </c>
      <c r="DQ162" s="32" t="str">
        <f>IF(DP162="","",DP162*$DO$1/'CPI USA'!$U$508+(1-DP162)*AVERAGE($DO$1,$DQ$1)/AVERAGE('CPI USA'!$U$508,'PPI USA'!$T$514))</f>
        <v/>
      </c>
      <c r="DR162" s="6">
        <f t="shared" si="36"/>
        <v>0</v>
      </c>
      <c r="DS162" s="32" t="str">
        <f t="shared" si="37"/>
        <v/>
      </c>
      <c r="DT162" s="28" t="str">
        <f>IF(DS162="","",DS162*$DO$1/'CPI USA'!$U$508+(1-DS162)*AVERAGE($DO$1,$DQ$1)/AVERAGE('CPI USA'!$U$508,'PPI USA'!$T$514))</f>
        <v/>
      </c>
      <c r="DU162" s="6" t="str">
        <f t="shared" si="38"/>
        <v/>
      </c>
      <c r="DV162" s="6" t="str">
        <f t="shared" si="39"/>
        <v/>
      </c>
      <c r="DW162" s="6">
        <f t="shared" si="40"/>
        <v>0</v>
      </c>
      <c r="DX162" s="16" t="str">
        <f t="shared" si="41"/>
        <v/>
      </c>
      <c r="DY162" s="28" t="str">
        <f>IF(DX162="","",DX162*$DO$1/'CPI USA'!$U$508+(1-DX162)*AVERAGE($DO$1,$DQ$1)/AVERAGE('CPI USA'!$U$508,'PPI USA'!$T$514))</f>
        <v/>
      </c>
      <c r="DZ162" s="30"/>
      <c r="EA162" s="45" t="str">
        <f t="shared" si="42"/>
        <v>C002335</v>
      </c>
      <c r="EB162" s="29" t="str">
        <f t="shared" si="43"/>
        <v/>
      </c>
      <c r="EC162" s="29" t="str">
        <f t="shared" si="44"/>
        <v/>
      </c>
      <c r="ED162" s="29" t="str">
        <f t="shared" si="45"/>
        <v/>
      </c>
      <c r="EE162" s="29" t="str">
        <f t="shared" si="46"/>
        <v/>
      </c>
      <c r="EF162" s="29" t="str">
        <f t="shared" si="47"/>
        <v/>
      </c>
      <c r="EG162" s="29" t="str">
        <f t="shared" si="48"/>
        <v/>
      </c>
      <c r="EH162" s="29" t="str">
        <f t="shared" si="49"/>
        <v/>
      </c>
      <c r="EI162" s="29" t="str">
        <f t="shared" si="50"/>
        <v/>
      </c>
      <c r="EJ162" s="29" t="str">
        <f t="shared" si="51"/>
        <v/>
      </c>
      <c r="EK162" s="29" t="str">
        <f t="shared" si="52"/>
        <v/>
      </c>
      <c r="EL162" s="29" t="str">
        <f>IF(CD162=1,VLOOKUP(EA162,'EIA 2021'!$A$2:$J$213,4,0)*EH162,"")</f>
        <v/>
      </c>
      <c r="EM162" s="29" t="str">
        <f>IF(CD162=1,VLOOKUP(EA162,'EIA 2021'!$A$2:$J$213,7,0)*EH162,"")</f>
        <v/>
      </c>
      <c r="EN162" s="29" t="str">
        <f>IF(CD162=1,VLOOKUP(EA162,'EIA 2021'!$A$2:$J$213,10,0),"")</f>
        <v/>
      </c>
      <c r="EO162" s="28" t="str">
        <f>IF(CD162=1,VLOOKUP(EA162,'EIA 2021'!$A$2:$Z$213,26,0),"")</f>
        <v/>
      </c>
      <c r="EP162" s="23" t="str">
        <f t="shared" si="53"/>
        <v/>
      </c>
      <c r="EQ162" s="32" t="str">
        <f t="shared" si="54"/>
        <v/>
      </c>
      <c r="ER162" s="32" t="str">
        <f t="shared" si="55"/>
        <v/>
      </c>
      <c r="ES162" s="6"/>
      <c r="ET162" s="32"/>
    </row>
    <row r="163" spans="1:150" ht="15.75" customHeight="1">
      <c r="A163" s="7" t="s">
        <v>691</v>
      </c>
      <c r="B163" s="7" t="s">
        <v>692</v>
      </c>
      <c r="C163" s="32" t="s">
        <v>693</v>
      </c>
      <c r="D163" s="40">
        <v>0</v>
      </c>
      <c r="E163" s="40">
        <v>0</v>
      </c>
      <c r="F163" s="40">
        <v>0</v>
      </c>
      <c r="G163" s="40">
        <v>0</v>
      </c>
      <c r="H163" s="40">
        <v>0</v>
      </c>
      <c r="I163" s="40">
        <v>0</v>
      </c>
      <c r="J163" s="40">
        <v>0</v>
      </c>
      <c r="K163" s="40">
        <v>0</v>
      </c>
      <c r="L163" s="40">
        <v>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f>IFERROR(VLOOKUP(A163,'Trans 21-23'!$A$2:$J$229,6,0),0)</f>
        <v>0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41">
        <v>270087</v>
      </c>
      <c r="AE163" s="41">
        <v>0</v>
      </c>
      <c r="AF163" s="41">
        <v>276087</v>
      </c>
      <c r="AG163" s="41">
        <v>0</v>
      </c>
      <c r="AH163" s="41">
        <v>0</v>
      </c>
      <c r="AI163" s="41">
        <v>0</v>
      </c>
      <c r="AJ163" s="41">
        <v>0</v>
      </c>
      <c r="AK163" s="41">
        <v>0</v>
      </c>
      <c r="AL163" s="41">
        <v>0</v>
      </c>
      <c r="AM163" s="41">
        <v>0</v>
      </c>
      <c r="AN163" s="41">
        <v>0</v>
      </c>
      <c r="AO163" s="41">
        <v>0</v>
      </c>
      <c r="AP163" s="41">
        <v>0</v>
      </c>
      <c r="AQ163" s="41">
        <v>0</v>
      </c>
      <c r="AR163" s="41">
        <v>0</v>
      </c>
      <c r="AS163" s="41">
        <v>0</v>
      </c>
      <c r="AT163" s="41">
        <v>0</v>
      </c>
      <c r="AU163" s="41">
        <v>0</v>
      </c>
      <c r="AV163" s="41">
        <v>0</v>
      </c>
      <c r="AW163" s="41">
        <v>0</v>
      </c>
      <c r="AX163" s="41">
        <v>0</v>
      </c>
      <c r="AY163" s="41">
        <v>0</v>
      </c>
      <c r="AZ163" s="41">
        <v>0</v>
      </c>
      <c r="BA163" s="41">
        <v>0</v>
      </c>
      <c r="BB163" s="41">
        <v>0</v>
      </c>
      <c r="BC163" s="41">
        <v>157772748</v>
      </c>
      <c r="BD163" s="41">
        <v>0</v>
      </c>
      <c r="BE163" s="41">
        <v>0</v>
      </c>
      <c r="BF163" s="41">
        <v>0</v>
      </c>
      <c r="BG163" s="41">
        <v>0</v>
      </c>
      <c r="BH163" s="41">
        <v>0</v>
      </c>
      <c r="BI163" s="41">
        <v>0</v>
      </c>
      <c r="BJ163" s="41">
        <v>0</v>
      </c>
      <c r="BK163" s="41">
        <v>0</v>
      </c>
      <c r="BL163" s="41">
        <v>0</v>
      </c>
      <c r="BM163" s="41">
        <v>0</v>
      </c>
      <c r="BN163" s="41">
        <v>0</v>
      </c>
      <c r="BO163" s="41">
        <v>0</v>
      </c>
      <c r="BP163" s="41">
        <v>0</v>
      </c>
      <c r="BQ163" s="41">
        <v>0</v>
      </c>
      <c r="BR163" s="41">
        <v>0</v>
      </c>
      <c r="BS163" s="42">
        <f>IFERROR(VLOOKUP(A163,'Trans 21-23'!$A$2:$J$229,5,0),0)</f>
        <v>0</v>
      </c>
      <c r="BT163" s="43"/>
      <c r="BU163" s="6">
        <f t="shared" si="0"/>
        <v>0</v>
      </c>
      <c r="BV163" s="6">
        <f t="shared" si="1"/>
        <v>0</v>
      </c>
      <c r="BW163" s="6">
        <f t="shared" si="2"/>
        <v>0</v>
      </c>
      <c r="BX163" s="6">
        <f t="shared" si="3"/>
        <v>0</v>
      </c>
      <c r="BY163" s="6">
        <f t="shared" si="4"/>
        <v>0</v>
      </c>
      <c r="BZ163" s="6">
        <f t="shared" si="5"/>
        <v>0</v>
      </c>
      <c r="CA163" s="6">
        <f t="shared" si="6"/>
        <v>270087</v>
      </c>
      <c r="CB163" s="6">
        <f t="shared" si="7"/>
        <v>0</v>
      </c>
      <c r="CC163" s="6">
        <f t="shared" si="8"/>
        <v>0</v>
      </c>
      <c r="CD163" s="6">
        <f t="shared" ref="CD163:CD172" si="84">IF(OR(BU163&lt;=0,BV163&lt;=0,BW163&lt;=0,BX163&lt;=0,BY163&lt;=0,BZ163&lt;=0,CA163&lt;=0,CB163&lt;=0,CC163&lt;=0,DF163&lt;=0),0,1)</f>
        <v>0</v>
      </c>
      <c r="CE163" s="44">
        <f t="shared" si="10"/>
        <v>65</v>
      </c>
      <c r="CF163" s="27"/>
      <c r="CG163" s="28" t="str">
        <f t="shared" si="11"/>
        <v/>
      </c>
      <c r="CH163" s="28" t="str">
        <f t="shared" si="12"/>
        <v/>
      </c>
      <c r="CI163" s="28" t="str">
        <f t="shared" si="13"/>
        <v/>
      </c>
      <c r="CJ163" s="28" t="str">
        <f t="shared" si="14"/>
        <v/>
      </c>
      <c r="CK163" s="23" t="str">
        <f t="shared" si="15"/>
        <v/>
      </c>
      <c r="CL163" s="29" t="str">
        <f t="shared" si="16"/>
        <v/>
      </c>
      <c r="CM163" s="29" t="str">
        <f t="shared" si="66"/>
        <v/>
      </c>
      <c r="CN163" s="29" t="str">
        <f t="shared" si="18"/>
        <v/>
      </c>
      <c r="CO163" s="29" t="str">
        <f t="shared" si="19"/>
        <v/>
      </c>
      <c r="CP163" s="29" t="str">
        <f t="shared" si="20"/>
        <v/>
      </c>
      <c r="CQ163" s="29">
        <f t="shared" si="21"/>
        <v>0</v>
      </c>
      <c r="CR163" s="13"/>
      <c r="CS163" s="7" t="str">
        <f>VLOOKUP(A163,'Empresas 21-23'!$A$2:$M$228,13,0)</f>
        <v/>
      </c>
      <c r="CT163" s="30"/>
      <c r="CU163" s="6">
        <f t="shared" si="22"/>
        <v>0</v>
      </c>
      <c r="CV163" s="6">
        <f t="shared" si="23"/>
        <v>0</v>
      </c>
      <c r="CW163" s="6">
        <f t="shared" si="24"/>
        <v>0</v>
      </c>
      <c r="CX163" s="23">
        <f t="shared" si="81"/>
        <v>0</v>
      </c>
      <c r="CY163" s="23">
        <f t="shared" si="82"/>
        <v>0</v>
      </c>
      <c r="CZ163" s="6">
        <f t="shared" si="25"/>
        <v>0</v>
      </c>
      <c r="DA163" s="6">
        <f t="shared" si="26"/>
        <v>0</v>
      </c>
      <c r="DB163" s="6">
        <f t="shared" si="27"/>
        <v>0</v>
      </c>
      <c r="DC163" s="6">
        <f t="shared" si="28"/>
        <v>0</v>
      </c>
      <c r="DD163" s="6">
        <f t="shared" si="29"/>
        <v>0</v>
      </c>
      <c r="DE163" s="6">
        <f t="shared" si="30"/>
        <v>270087</v>
      </c>
      <c r="DF163" s="6">
        <f t="shared" ref="DF163:DF172" si="85">DE163*(DC163+DD163)/(AF163-AD163-F163-H163-E163-D163)</f>
        <v>0</v>
      </c>
      <c r="DG163" s="30"/>
      <c r="DH163" s="32" t="str">
        <f>VLOOKUP(A163,'T_med_comp-USA'!$A$7:$Q$233,17,0)</f>
        <v>-</v>
      </c>
      <c r="DI163" s="6" t="str">
        <f t="shared" si="32"/>
        <v/>
      </c>
      <c r="DJ163" s="32" t="str">
        <f>IF(DI163="","",VLOOKUP(DI163,'CPI USA'!$T:$U,2,FALSE))</f>
        <v/>
      </c>
      <c r="DK163" s="32" t="str">
        <f>IF(DI163="","",VLOOKUP(DI163,'PPI USA'!$S:$T,2,FALSE))</f>
        <v/>
      </c>
      <c r="DL163" s="32" t="str">
        <f>IF(DI163="","",VLOOKUP(DI163,'CPI USA'!$T:$V,3,FALSE))</f>
        <v/>
      </c>
      <c r="DM163" s="32" t="str">
        <f>IF(DI163="","",VLOOKUP(DI163,'CPI USA'!$T:$X,5,FALSE))</f>
        <v/>
      </c>
      <c r="DN163" s="32" t="str">
        <f t="shared" si="33"/>
        <v/>
      </c>
      <c r="DO163" s="32" t="str">
        <f t="shared" si="34"/>
        <v/>
      </c>
      <c r="DP163" s="32" t="str">
        <f t="shared" si="35"/>
        <v/>
      </c>
      <c r="DQ163" s="32" t="str">
        <f>IF(DP163="","",DP163*$DO$1/'CPI USA'!$U$508+(1-DP163)*AVERAGE($DO$1,$DQ$1)/AVERAGE('CPI USA'!$U$508,'PPI USA'!$T$514))</f>
        <v/>
      </c>
      <c r="DR163" s="6">
        <f t="shared" si="36"/>
        <v>0</v>
      </c>
      <c r="DS163" s="32" t="str">
        <f t="shared" si="37"/>
        <v/>
      </c>
      <c r="DT163" s="28" t="str">
        <f>IF(DS163="","",DS163*$DO$1/'CPI USA'!$U$508+(1-DS163)*AVERAGE($DO$1,$DQ$1)/AVERAGE('CPI USA'!$U$508,'PPI USA'!$T$514))</f>
        <v/>
      </c>
      <c r="DU163" s="6" t="str">
        <f t="shared" si="38"/>
        <v/>
      </c>
      <c r="DV163" s="6" t="str">
        <f t="shared" si="39"/>
        <v/>
      </c>
      <c r="DW163" s="6">
        <f t="shared" si="40"/>
        <v>0</v>
      </c>
      <c r="DX163" s="16" t="str">
        <f t="shared" si="41"/>
        <v/>
      </c>
      <c r="DY163" s="28" t="str">
        <f>IF(DX163="","",DX163*$DO$1/'CPI USA'!$U$508+(1-DX163)*AVERAGE($DO$1,$DQ$1)/AVERAGE('CPI USA'!$U$508,'PPI USA'!$T$514))</f>
        <v/>
      </c>
      <c r="DZ163" s="30"/>
      <c r="EA163" s="45" t="str">
        <f t="shared" si="42"/>
        <v>C002336</v>
      </c>
      <c r="EB163" s="29" t="str">
        <f t="shared" si="43"/>
        <v/>
      </c>
      <c r="EC163" s="29" t="str">
        <f t="shared" si="44"/>
        <v/>
      </c>
      <c r="ED163" s="29" t="str">
        <f t="shared" si="45"/>
        <v/>
      </c>
      <c r="EE163" s="29" t="str">
        <f t="shared" si="46"/>
        <v/>
      </c>
      <c r="EF163" s="29" t="str">
        <f t="shared" si="47"/>
        <v/>
      </c>
      <c r="EG163" s="29" t="str">
        <f t="shared" si="48"/>
        <v/>
      </c>
      <c r="EH163" s="29" t="str">
        <f t="shared" si="49"/>
        <v/>
      </c>
      <c r="EI163" s="29" t="str">
        <f t="shared" si="50"/>
        <v/>
      </c>
      <c r="EJ163" s="29" t="str">
        <f t="shared" si="51"/>
        <v/>
      </c>
      <c r="EK163" s="29" t="str">
        <f t="shared" si="52"/>
        <v/>
      </c>
      <c r="EL163" s="29" t="str">
        <f>IF(CD163=1,VLOOKUP(EA163,'EIA 2021'!$A$2:$J$213,4,0)*EH163,"")</f>
        <v/>
      </c>
      <c r="EM163" s="29" t="str">
        <f>IF(CD163=1,VLOOKUP(EA163,'EIA 2021'!$A$2:$J$213,7,0)*EH163,"")</f>
        <v/>
      </c>
      <c r="EN163" s="29" t="str">
        <f>IF(CD163=1,VLOOKUP(EA163,'EIA 2021'!$A$2:$J$213,10,0),"")</f>
        <v/>
      </c>
      <c r="EO163" s="28" t="str">
        <f>IF(CD163=1,VLOOKUP(EA163,'EIA 2021'!$A$2:$Z$213,26,0),"")</f>
        <v/>
      </c>
      <c r="EP163" s="23" t="str">
        <f t="shared" si="53"/>
        <v/>
      </c>
      <c r="EQ163" s="32" t="str">
        <f t="shared" si="54"/>
        <v/>
      </c>
      <c r="ER163" s="32" t="str">
        <f t="shared" si="55"/>
        <v/>
      </c>
      <c r="ES163" s="6"/>
      <c r="ET163" s="32"/>
    </row>
    <row r="164" spans="1:150" ht="15.75" customHeight="1">
      <c r="A164" s="7" t="s">
        <v>694</v>
      </c>
      <c r="B164" s="7" t="s">
        <v>695</v>
      </c>
      <c r="C164" s="32" t="s">
        <v>696</v>
      </c>
      <c r="D164" s="40">
        <v>0</v>
      </c>
      <c r="E164" s="40">
        <v>0</v>
      </c>
      <c r="F164" s="40">
        <v>0</v>
      </c>
      <c r="G164" s="40">
        <v>0</v>
      </c>
      <c r="H164" s="40">
        <v>0</v>
      </c>
      <c r="I164" s="40">
        <v>0</v>
      </c>
      <c r="J164" s="40">
        <v>0</v>
      </c>
      <c r="K164" s="40">
        <v>0</v>
      </c>
      <c r="L164" s="40">
        <v>0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f>IFERROR(VLOOKUP(A164,'Trans 21-23'!$A$2:$J$229,6,0),0)</f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0</v>
      </c>
      <c r="AD164" s="41">
        <v>31115371</v>
      </c>
      <c r="AE164" s="41">
        <v>0</v>
      </c>
      <c r="AF164" s="41">
        <v>66470803</v>
      </c>
      <c r="AG164" s="41">
        <v>0</v>
      </c>
      <c r="AH164" s="41">
        <v>0</v>
      </c>
      <c r="AI164" s="41">
        <v>0</v>
      </c>
      <c r="AJ164" s="41">
        <v>0</v>
      </c>
      <c r="AK164" s="41">
        <v>0</v>
      </c>
      <c r="AL164" s="41">
        <v>0</v>
      </c>
      <c r="AM164" s="41">
        <v>0</v>
      </c>
      <c r="AN164" s="41">
        <v>0</v>
      </c>
      <c r="AO164" s="41">
        <v>0</v>
      </c>
      <c r="AP164" s="41">
        <v>0</v>
      </c>
      <c r="AQ164" s="41">
        <v>0</v>
      </c>
      <c r="AR164" s="41">
        <v>0</v>
      </c>
      <c r="AS164" s="41">
        <v>0</v>
      </c>
      <c r="AT164" s="41">
        <v>0</v>
      </c>
      <c r="AU164" s="41">
        <v>11120</v>
      </c>
      <c r="AV164" s="41">
        <v>0</v>
      </c>
      <c r="AW164" s="41">
        <v>0</v>
      </c>
      <c r="AX164" s="41">
        <v>0</v>
      </c>
      <c r="AY164" s="41">
        <v>0</v>
      </c>
      <c r="AZ164" s="41">
        <v>0</v>
      </c>
      <c r="BA164" s="41">
        <v>0</v>
      </c>
      <c r="BB164" s="41">
        <v>0</v>
      </c>
      <c r="BC164" s="41">
        <v>3503685587</v>
      </c>
      <c r="BD164" s="41">
        <v>336594624</v>
      </c>
      <c r="BE164" s="41">
        <v>0</v>
      </c>
      <c r="BF164" s="41">
        <v>0</v>
      </c>
      <c r="BG164" s="41">
        <v>0</v>
      </c>
      <c r="BH164" s="41">
        <v>0</v>
      </c>
      <c r="BI164" s="41">
        <v>0</v>
      </c>
      <c r="BJ164" s="41">
        <v>0</v>
      </c>
      <c r="BK164" s="41">
        <v>0</v>
      </c>
      <c r="BL164" s="41">
        <v>0</v>
      </c>
      <c r="BM164" s="41">
        <v>9226612</v>
      </c>
      <c r="BN164" s="41">
        <v>13475805</v>
      </c>
      <c r="BO164" s="41">
        <v>0</v>
      </c>
      <c r="BP164" s="41">
        <v>143445</v>
      </c>
      <c r="BQ164" s="41">
        <v>30353622</v>
      </c>
      <c r="BR164" s="41">
        <v>0</v>
      </c>
      <c r="BS164" s="42">
        <f>IFERROR(VLOOKUP(A164,'Trans 21-23'!$A$2:$J$229,5,0),0)</f>
        <v>0</v>
      </c>
      <c r="BT164" s="43"/>
      <c r="BU164" s="6">
        <f t="shared" si="0"/>
        <v>0</v>
      </c>
      <c r="BV164" s="6">
        <f t="shared" si="1"/>
        <v>11120</v>
      </c>
      <c r="BW164" s="6">
        <f t="shared" si="2"/>
        <v>0</v>
      </c>
      <c r="BX164" s="6">
        <f t="shared" si="3"/>
        <v>0</v>
      </c>
      <c r="BY164" s="6">
        <f t="shared" si="4"/>
        <v>0</v>
      </c>
      <c r="BZ164" s="6">
        <f t="shared" si="5"/>
        <v>0</v>
      </c>
      <c r="CA164" s="6">
        <f t="shared" si="6"/>
        <v>31115371</v>
      </c>
      <c r="CB164" s="6">
        <f t="shared" si="7"/>
        <v>0</v>
      </c>
      <c r="CC164" s="6">
        <f t="shared" si="8"/>
        <v>0</v>
      </c>
      <c r="CD164" s="6">
        <f t="shared" si="84"/>
        <v>0</v>
      </c>
      <c r="CE164" s="44">
        <f t="shared" si="10"/>
        <v>59</v>
      </c>
      <c r="CF164" s="27"/>
      <c r="CG164" s="28" t="str">
        <f t="shared" si="11"/>
        <v/>
      </c>
      <c r="CH164" s="28" t="str">
        <f t="shared" si="12"/>
        <v/>
      </c>
      <c r="CI164" s="28" t="str">
        <f t="shared" si="13"/>
        <v/>
      </c>
      <c r="CJ164" s="28" t="str">
        <f t="shared" si="14"/>
        <v/>
      </c>
      <c r="CK164" s="23" t="str">
        <f t="shared" si="15"/>
        <v/>
      </c>
      <c r="CL164" s="29" t="str">
        <f t="shared" si="16"/>
        <v/>
      </c>
      <c r="CM164" s="29" t="str">
        <f t="shared" si="66"/>
        <v/>
      </c>
      <c r="CN164" s="29" t="str">
        <f t="shared" si="18"/>
        <v/>
      </c>
      <c r="CO164" s="29" t="str">
        <f t="shared" si="19"/>
        <v/>
      </c>
      <c r="CP164" s="29" t="str">
        <f t="shared" si="20"/>
        <v/>
      </c>
      <c r="CQ164" s="29">
        <f t="shared" si="21"/>
        <v>0</v>
      </c>
      <c r="CR164" s="13"/>
      <c r="CS164" s="7" t="str">
        <f>VLOOKUP(A164,'Empresas 21-23'!$A$2:$M$228,13,0)</f>
        <v/>
      </c>
      <c r="CT164" s="30"/>
      <c r="CU164" s="6">
        <f t="shared" si="22"/>
        <v>0</v>
      </c>
      <c r="CV164" s="6">
        <f t="shared" si="23"/>
        <v>0</v>
      </c>
      <c r="CW164" s="6">
        <f t="shared" si="24"/>
        <v>336594624</v>
      </c>
      <c r="CX164" s="23">
        <f t="shared" si="81"/>
        <v>0</v>
      </c>
      <c r="CY164" s="23">
        <f t="shared" si="82"/>
        <v>0</v>
      </c>
      <c r="CZ164" s="6">
        <f t="shared" si="25"/>
        <v>0</v>
      </c>
      <c r="DA164" s="6">
        <f t="shared" si="26"/>
        <v>0</v>
      </c>
      <c r="DB164" s="6">
        <f t="shared" si="27"/>
        <v>0</v>
      </c>
      <c r="DC164" s="6">
        <f t="shared" si="28"/>
        <v>0</v>
      </c>
      <c r="DD164" s="6">
        <f t="shared" si="29"/>
        <v>0</v>
      </c>
      <c r="DE164" s="6">
        <f t="shared" si="30"/>
        <v>31115371</v>
      </c>
      <c r="DF164" s="6">
        <f t="shared" si="85"/>
        <v>0</v>
      </c>
      <c r="DG164" s="30"/>
      <c r="DH164" s="32" t="str">
        <f>VLOOKUP(A164,'T_med_comp-USA'!$A$7:$Q$233,17,0)</f>
        <v>-</v>
      </c>
      <c r="DI164" s="6" t="str">
        <f t="shared" si="32"/>
        <v/>
      </c>
      <c r="DJ164" s="32" t="str">
        <f>IF(DI164="","",VLOOKUP(DI164,'CPI USA'!$T:$U,2,FALSE))</f>
        <v/>
      </c>
      <c r="DK164" s="32" t="str">
        <f>IF(DI164="","",VLOOKUP(DI164,'PPI USA'!$S:$T,2,FALSE))</f>
        <v/>
      </c>
      <c r="DL164" s="32" t="str">
        <f>IF(DI164="","",VLOOKUP(DI164,'CPI USA'!$T:$V,3,FALSE))</f>
        <v/>
      </c>
      <c r="DM164" s="32" t="str">
        <f>IF(DI164="","",VLOOKUP(DI164,'CPI USA'!$T:$X,5,FALSE))</f>
        <v/>
      </c>
      <c r="DN164" s="32" t="str">
        <f t="shared" si="33"/>
        <v/>
      </c>
      <c r="DO164" s="32" t="str">
        <f t="shared" si="34"/>
        <v/>
      </c>
      <c r="DP164" s="32" t="str">
        <f t="shared" si="35"/>
        <v/>
      </c>
      <c r="DQ164" s="32" t="str">
        <f>IF(DP164="","",DP164*$DO$1/'CPI USA'!$U$508+(1-DP164)*AVERAGE($DO$1,$DQ$1)/AVERAGE('CPI USA'!$U$508,'PPI USA'!$T$514))</f>
        <v/>
      </c>
      <c r="DR164" s="6">
        <f t="shared" si="36"/>
        <v>0</v>
      </c>
      <c r="DS164" s="32" t="str">
        <f t="shared" si="37"/>
        <v/>
      </c>
      <c r="DT164" s="28" t="str">
        <f>IF(DS164="","",DS164*$DO$1/'CPI USA'!$U$508+(1-DS164)*AVERAGE($DO$1,$DQ$1)/AVERAGE('CPI USA'!$U$508,'PPI USA'!$T$514))</f>
        <v/>
      </c>
      <c r="DU164" s="6" t="str">
        <f t="shared" si="38"/>
        <v/>
      </c>
      <c r="DV164" s="6">
        <f t="shared" si="39"/>
        <v>43810.115986410805</v>
      </c>
      <c r="DW164" s="6">
        <f t="shared" si="40"/>
        <v>0</v>
      </c>
      <c r="DX164" s="16" t="str">
        <f t="shared" si="41"/>
        <v/>
      </c>
      <c r="DY164" s="28" t="str">
        <f>IF(DX164="","",DX164*$DO$1/'CPI USA'!$U$508+(1-DX164)*AVERAGE($DO$1,$DQ$1)/AVERAGE('CPI USA'!$U$508,'PPI USA'!$T$514))</f>
        <v/>
      </c>
      <c r="DZ164" s="30"/>
      <c r="EA164" s="45" t="str">
        <f t="shared" si="42"/>
        <v>C002446</v>
      </c>
      <c r="EB164" s="29" t="str">
        <f t="shared" si="43"/>
        <v/>
      </c>
      <c r="EC164" s="29" t="str">
        <f t="shared" si="44"/>
        <v/>
      </c>
      <c r="ED164" s="29" t="str">
        <f t="shared" si="45"/>
        <v/>
      </c>
      <c r="EE164" s="29" t="str">
        <f t="shared" si="46"/>
        <v/>
      </c>
      <c r="EF164" s="29" t="str">
        <f t="shared" si="47"/>
        <v/>
      </c>
      <c r="EG164" s="29" t="str">
        <f t="shared" si="48"/>
        <v/>
      </c>
      <c r="EH164" s="29" t="str">
        <f t="shared" si="49"/>
        <v/>
      </c>
      <c r="EI164" s="29" t="str">
        <f t="shared" si="50"/>
        <v/>
      </c>
      <c r="EJ164" s="29" t="str">
        <f t="shared" si="51"/>
        <v/>
      </c>
      <c r="EK164" s="29" t="str">
        <f t="shared" si="52"/>
        <v/>
      </c>
      <c r="EL164" s="29" t="str">
        <f>IF(CD164=1,VLOOKUP(EA164,'EIA 2021'!$A$2:$J$213,4,0)*EH164,"")</f>
        <v/>
      </c>
      <c r="EM164" s="29" t="str">
        <f>IF(CD164=1,VLOOKUP(EA164,'EIA 2021'!$A$2:$J$213,7,0)*EH164,"")</f>
        <v/>
      </c>
      <c r="EN164" s="29" t="str">
        <f>IF(CD164=1,VLOOKUP(EA164,'EIA 2021'!$A$2:$J$213,10,0),"")</f>
        <v/>
      </c>
      <c r="EO164" s="28" t="str">
        <f>IF(CD164=1,VLOOKUP(EA164,'EIA 2021'!$A$2:$Z$213,26,0),"")</f>
        <v/>
      </c>
      <c r="EP164" s="23" t="str">
        <f t="shared" si="53"/>
        <v/>
      </c>
      <c r="EQ164" s="32" t="str">
        <f t="shared" si="54"/>
        <v/>
      </c>
      <c r="ER164" s="32" t="str">
        <f t="shared" si="55"/>
        <v/>
      </c>
      <c r="ES164" s="6"/>
      <c r="ET164" s="32"/>
    </row>
    <row r="165" spans="1:150" ht="15.75" customHeight="1">
      <c r="A165" s="7" t="s">
        <v>697</v>
      </c>
      <c r="B165" s="7" t="s">
        <v>698</v>
      </c>
      <c r="C165" s="32" t="s">
        <v>699</v>
      </c>
      <c r="D165" s="40">
        <v>53184199</v>
      </c>
      <c r="E165" s="40">
        <v>0</v>
      </c>
      <c r="F165" s="40">
        <v>4544562</v>
      </c>
      <c r="G165" s="40">
        <v>47773337</v>
      </c>
      <c r="H165" s="40">
        <v>48854096</v>
      </c>
      <c r="I165" s="40">
        <v>1598981</v>
      </c>
      <c r="J165" s="40">
        <v>1701609</v>
      </c>
      <c r="K165" s="40">
        <v>1319547</v>
      </c>
      <c r="L165" s="40">
        <v>4009</v>
      </c>
      <c r="M165" s="40">
        <v>689019</v>
      </c>
      <c r="N165" s="40">
        <v>60281</v>
      </c>
      <c r="O165" s="40">
        <v>3519308</v>
      </c>
      <c r="P165" s="40">
        <v>18997</v>
      </c>
      <c r="Q165" s="40">
        <v>152817</v>
      </c>
      <c r="R165" s="40">
        <v>0</v>
      </c>
      <c r="S165" s="40">
        <v>308758</v>
      </c>
      <c r="T165" s="40">
        <v>4092739</v>
      </c>
      <c r="U165" s="40">
        <v>399527</v>
      </c>
      <c r="V165" s="40">
        <v>190693</v>
      </c>
      <c r="W165" s="40">
        <v>0</v>
      </c>
      <c r="X165" s="40">
        <f>IFERROR(VLOOKUP(A165,'Trans 21-23'!$A$2:$J$229,6,0),0)</f>
        <v>0</v>
      </c>
      <c r="Y165" s="41">
        <v>779380</v>
      </c>
      <c r="Z165" s="41">
        <v>0</v>
      </c>
      <c r="AA165" s="41">
        <v>8395983</v>
      </c>
      <c r="AB165" s="41">
        <v>10010128</v>
      </c>
      <c r="AC165" s="41">
        <v>413261</v>
      </c>
      <c r="AD165" s="41">
        <v>37870784</v>
      </c>
      <c r="AE165" s="41">
        <v>0</v>
      </c>
      <c r="AF165" s="41">
        <v>251993653</v>
      </c>
      <c r="AG165" s="41">
        <v>160976</v>
      </c>
      <c r="AH165" s="41">
        <v>94889</v>
      </c>
      <c r="AI165" s="41">
        <v>3743744</v>
      </c>
      <c r="AJ165" s="41">
        <v>3471</v>
      </c>
      <c r="AK165" s="41">
        <v>0</v>
      </c>
      <c r="AL165" s="41">
        <v>896710</v>
      </c>
      <c r="AM165" s="41">
        <v>1779720</v>
      </c>
      <c r="AN165" s="41">
        <v>162802</v>
      </c>
      <c r="AO165" s="41">
        <v>8856</v>
      </c>
      <c r="AP165" s="41">
        <v>351436</v>
      </c>
      <c r="AQ165" s="41">
        <v>3201351</v>
      </c>
      <c r="AR165" s="41">
        <v>444033</v>
      </c>
      <c r="AS165" s="41">
        <v>3645384</v>
      </c>
      <c r="AT165" s="41">
        <v>0</v>
      </c>
      <c r="AU165" s="41">
        <v>679</v>
      </c>
      <c r="AV165" s="41">
        <v>0</v>
      </c>
      <c r="AW165" s="41">
        <v>54467465</v>
      </c>
      <c r="AX165" s="41">
        <v>133969070</v>
      </c>
      <c r="AY165" s="41">
        <v>174334193</v>
      </c>
      <c r="AZ165" s="41">
        <v>28718225</v>
      </c>
      <c r="BA165" s="41">
        <v>3370732</v>
      </c>
      <c r="BB165" s="41">
        <v>754845219</v>
      </c>
      <c r="BC165" s="41">
        <v>1674020306</v>
      </c>
      <c r="BD165" s="41">
        <v>10128790</v>
      </c>
      <c r="BE165" s="41">
        <v>203644633</v>
      </c>
      <c r="BF165" s="41">
        <v>16467031</v>
      </c>
      <c r="BG165" s="41">
        <v>0</v>
      </c>
      <c r="BH165" s="41">
        <v>6594052</v>
      </c>
      <c r="BI165" s="41">
        <v>793030</v>
      </c>
      <c r="BJ165" s="41">
        <v>3400057</v>
      </c>
      <c r="BK165" s="41">
        <v>101507</v>
      </c>
      <c r="BL165" s="41">
        <v>0</v>
      </c>
      <c r="BM165" s="41">
        <v>11854088</v>
      </c>
      <c r="BN165" s="41">
        <v>27995109</v>
      </c>
      <c r="BO165" s="41">
        <v>9737473</v>
      </c>
      <c r="BP165" s="41">
        <v>2430734</v>
      </c>
      <c r="BQ165" s="41">
        <v>62461471</v>
      </c>
      <c r="BR165" s="41">
        <v>1827</v>
      </c>
      <c r="BS165" s="42">
        <f>IFERROR(VLOOKUP(A165,'Trans 21-23'!$A$2:$J$229,5,0),0)</f>
        <v>0</v>
      </c>
      <c r="BT165" s="43"/>
      <c r="BU165" s="6">
        <f t="shared" si="0"/>
        <v>754845219</v>
      </c>
      <c r="BV165" s="6">
        <f t="shared" si="1"/>
        <v>679</v>
      </c>
      <c r="BW165" s="6">
        <f t="shared" si="2"/>
        <v>160976</v>
      </c>
      <c r="BX165" s="6">
        <f t="shared" si="3"/>
        <v>14056285</v>
      </c>
      <c r="BY165" s="6">
        <f t="shared" si="4"/>
        <v>19598752</v>
      </c>
      <c r="BZ165" s="6">
        <f t="shared" si="5"/>
        <v>28718225</v>
      </c>
      <c r="CA165" s="6">
        <f t="shared" si="6"/>
        <v>37870784</v>
      </c>
      <c r="CB165" s="6">
        <f t="shared" si="7"/>
        <v>94889</v>
      </c>
      <c r="CC165" s="6">
        <f t="shared" si="8"/>
        <v>3201351</v>
      </c>
      <c r="CD165" s="6">
        <f t="shared" si="84"/>
        <v>1</v>
      </c>
      <c r="CE165" s="44">
        <f t="shared" si="10"/>
        <v>12</v>
      </c>
      <c r="CF165" s="27"/>
      <c r="CG165" s="28">
        <f t="shared" si="11"/>
        <v>1111.7013534609719</v>
      </c>
      <c r="CH165" s="28">
        <f t="shared" si="12"/>
        <v>4.2180200775270844</v>
      </c>
      <c r="CI165" s="28">
        <f t="shared" si="13"/>
        <v>87.319134529370842</v>
      </c>
      <c r="CJ165" s="28">
        <f t="shared" si="14"/>
        <v>178.40066221051586</v>
      </c>
      <c r="CK165" s="23">
        <f t="shared" si="15"/>
        <v>2.9640298736377236E-2</v>
      </c>
      <c r="CL165" s="29" t="str">
        <f t="shared" si="16"/>
        <v/>
      </c>
      <c r="CM165" s="29" t="str">
        <f t="shared" si="66"/>
        <v/>
      </c>
      <c r="CN165" s="29" t="str">
        <f t="shared" si="18"/>
        <v/>
      </c>
      <c r="CO165" s="29" t="str">
        <f t="shared" si="19"/>
        <v/>
      </c>
      <c r="CP165" s="29" t="str">
        <f t="shared" si="20"/>
        <v/>
      </c>
      <c r="CQ165" s="29">
        <f t="shared" si="21"/>
        <v>0</v>
      </c>
      <c r="CR165" s="13"/>
      <c r="CS165" s="7">
        <f>VLOOKUP(A165,'Empresas 21-23'!$A$2:$M$228,13,0)</f>
        <v>1</v>
      </c>
      <c r="CT165" s="30"/>
      <c r="CU165" s="6">
        <f t="shared" si="22"/>
        <v>537774304.20000005</v>
      </c>
      <c r="CV165" s="6">
        <f t="shared" si="23"/>
        <v>28718225</v>
      </c>
      <c r="CW165" s="6">
        <f t="shared" si="24"/>
        <v>10128790</v>
      </c>
      <c r="CX165" s="23">
        <f t="shared" si="81"/>
        <v>0.32320274430679896</v>
      </c>
      <c r="CY165" s="23">
        <f t="shared" si="82"/>
        <v>1.7259673917346906E-2</v>
      </c>
      <c r="CZ165" s="6">
        <f t="shared" si="25"/>
        <v>541047956.92450726</v>
      </c>
      <c r="DA165" s="6">
        <f t="shared" si="26"/>
        <v>28893044.612577286</v>
      </c>
      <c r="DB165" s="6">
        <f t="shared" si="27"/>
        <v>14056285</v>
      </c>
      <c r="DC165" s="6">
        <f t="shared" si="28"/>
        <v>14056285</v>
      </c>
      <c r="DD165" s="6">
        <f t="shared" si="29"/>
        <v>19598752</v>
      </c>
      <c r="DE165" s="6">
        <f t="shared" si="30"/>
        <v>37870784</v>
      </c>
      <c r="DF165" s="6">
        <f t="shared" si="85"/>
        <v>11851799.279499875</v>
      </c>
      <c r="DG165" s="30"/>
      <c r="DH165" s="32">
        <f>VLOOKUP(A165,'T_med_comp-USA'!$A$7:$Q$233,17,0)</f>
        <v>12.396353928660782</v>
      </c>
      <c r="DI165" s="6" t="str">
        <f t="shared" si="32"/>
        <v>8_2009</v>
      </c>
      <c r="DJ165" s="32">
        <f>IF(DI165="","",VLOOKUP(DI165,'CPI USA'!$T:$U,2,FALSE))</f>
        <v>214.53700000000001</v>
      </c>
      <c r="DK165" s="32">
        <f>IF(DI165="","",VLOOKUP(DI165,'PPI USA'!$S:$T,2,FALSE))</f>
        <v>159.1</v>
      </c>
      <c r="DL165" s="32">
        <f>IF(DI165="","",VLOOKUP(DI165,'CPI USA'!$T:$V,3,FALSE))</f>
        <v>0.66997101349938215</v>
      </c>
      <c r="DM165" s="32">
        <f>IF(DI165="","",VLOOKUP(DI165,'CPI USA'!$T:$X,5,FALSE))</f>
        <v>0.49813941766071862</v>
      </c>
      <c r="DN165" s="32">
        <f t="shared" si="33"/>
        <v>1.4932638886873792</v>
      </c>
      <c r="DO165" s="32">
        <f t="shared" si="34"/>
        <v>1.5082750176818205</v>
      </c>
      <c r="DP165" s="32">
        <f t="shared" si="35"/>
        <v>0.63228979897852733</v>
      </c>
      <c r="DQ165" s="32">
        <f>IF(DP165="","",DP165*$DO$1/'CPI USA'!$U$508+(1-DP165)*AVERAGE($DO$1,$DQ$1)/AVERAGE('CPI USA'!$U$508,'PPI USA'!$T$514))</f>
        <v>1.1486087689444107</v>
      </c>
      <c r="DR165" s="6">
        <f t="shared" si="36"/>
        <v>4294594</v>
      </c>
      <c r="DS165" s="32">
        <f t="shared" si="37"/>
        <v>0.29534393529571551</v>
      </c>
      <c r="DT165" s="28">
        <f>IF(DS165="","",DS165*$DO$1/'CPI USA'!$U$508+(1-DS165)*AVERAGE($DO$1,$DQ$1)/AVERAGE('CPI USA'!$U$508,'PPI USA'!$T$514))</f>
        <v>1.1685242025107698</v>
      </c>
      <c r="DU165" s="6">
        <f t="shared" si="38"/>
        <v>15977267.582534363</v>
      </c>
      <c r="DV165" s="6">
        <f t="shared" si="39"/>
        <v>479989.68829238258</v>
      </c>
      <c r="DW165" s="6">
        <f t="shared" si="40"/>
        <v>6401019.8550381986</v>
      </c>
      <c r="DX165" s="16">
        <f t="shared" si="41"/>
        <v>0.540088445988963</v>
      </c>
      <c r="DY165" s="28">
        <f>IF(DX165="","",DX165*$DO$1/'CPI USA'!$U$508+(1-DX165)*AVERAGE($DO$1,$DQ$1)/AVERAGE('CPI USA'!$U$508,'PPI USA'!$T$514))</f>
        <v>1.1540583978554833</v>
      </c>
      <c r="DZ165" s="30"/>
      <c r="EA165" s="45" t="str">
        <f t="shared" si="42"/>
        <v>C002498</v>
      </c>
      <c r="EB165" s="29">
        <f t="shared" si="43"/>
        <v>807927376.12345135</v>
      </c>
      <c r="EC165" s="29">
        <f t="shared" si="44"/>
        <v>43578657.373916633</v>
      </c>
      <c r="ED165" s="29">
        <f t="shared" si="45"/>
        <v>16145172.209781785</v>
      </c>
      <c r="EE165" s="29">
        <f t="shared" si="46"/>
        <v>22901616.051006354</v>
      </c>
      <c r="EF165" s="29">
        <f t="shared" si="47"/>
        <v>13677668.488204397</v>
      </c>
      <c r="EG165" s="29">
        <f t="shared" si="48"/>
        <v>679</v>
      </c>
      <c r="EH165" s="29">
        <f t="shared" si="49"/>
        <v>160976</v>
      </c>
      <c r="EI165" s="29">
        <f t="shared" si="50"/>
        <v>94889</v>
      </c>
      <c r="EJ165" s="29">
        <f t="shared" si="51"/>
        <v>3201351</v>
      </c>
      <c r="EK165" s="29">
        <f t="shared" si="52"/>
        <v>3289478.0761421318</v>
      </c>
      <c r="EL165" s="29">
        <f>IF(CD165=1,VLOOKUP(EA165,'EIA 2021'!$A$2:$J$213,4,0)*EH165,"")</f>
        <v>5138836.8479999993</v>
      </c>
      <c r="EM165" s="29">
        <f>IF(CD165=1,VLOOKUP(EA165,'EIA 2021'!$A$2:$J$213,7,0)*EH165,"")</f>
        <v>45717.183999999994</v>
      </c>
      <c r="EN165" s="29">
        <f>IF(CD165=1,VLOOKUP(EA165,'EIA 2021'!$A$2:$J$213,10,0),"")</f>
        <v>161751</v>
      </c>
      <c r="EO165" s="28">
        <f>IF(CD165=1,VLOOKUP(EA165,'EIA 2021'!$A$2:$Z$213,26,0),"")</f>
        <v>0</v>
      </c>
      <c r="EP165" s="23">
        <f t="shared" si="53"/>
        <v>2.6790595377819505E-2</v>
      </c>
      <c r="EQ165" s="32">
        <f t="shared" si="54"/>
        <v>6761.9238578680088</v>
      </c>
      <c r="ER165" s="32">
        <f t="shared" si="55"/>
        <v>88127.076142131991</v>
      </c>
      <c r="ES165" s="6"/>
      <c r="ET165" s="32"/>
    </row>
    <row r="166" spans="1:150" ht="15.75" customHeight="1">
      <c r="A166" s="7" t="s">
        <v>700</v>
      </c>
      <c r="B166" s="7" t="s">
        <v>701</v>
      </c>
      <c r="C166" s="32" t="s">
        <v>702</v>
      </c>
      <c r="D166" s="40">
        <v>0</v>
      </c>
      <c r="E166" s="40">
        <v>0</v>
      </c>
      <c r="F166" s="40">
        <v>0</v>
      </c>
      <c r="G166" s="40">
        <v>0</v>
      </c>
      <c r="H166" s="40">
        <v>0</v>
      </c>
      <c r="I166" s="40">
        <v>0</v>
      </c>
      <c r="J166" s="40">
        <v>0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f>IFERROR(VLOOKUP(A166,'Trans 21-23'!$A$2:$J$229,6,0),0)</f>
        <v>20448456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  <c r="AD166" s="41">
        <v>33373730</v>
      </c>
      <c r="AE166" s="41">
        <v>0</v>
      </c>
      <c r="AF166" s="41">
        <v>74949785</v>
      </c>
      <c r="AG166" s="41">
        <v>0</v>
      </c>
      <c r="AH166" s="41">
        <v>0</v>
      </c>
      <c r="AI166" s="41">
        <v>0</v>
      </c>
      <c r="AJ166" s="41">
        <v>0</v>
      </c>
      <c r="AK166" s="41">
        <v>0</v>
      </c>
      <c r="AL166" s="41">
        <v>0</v>
      </c>
      <c r="AM166" s="41">
        <v>0</v>
      </c>
      <c r="AN166" s="41">
        <v>0</v>
      </c>
      <c r="AO166" s="41">
        <v>0</v>
      </c>
      <c r="AP166" s="41">
        <v>0</v>
      </c>
      <c r="AQ166" s="41">
        <v>0</v>
      </c>
      <c r="AR166" s="41">
        <v>0</v>
      </c>
      <c r="AS166" s="41">
        <v>0</v>
      </c>
      <c r="AT166" s="41">
        <v>0</v>
      </c>
      <c r="AU166" s="41">
        <v>3403</v>
      </c>
      <c r="AV166" s="41">
        <v>0</v>
      </c>
      <c r="AW166" s="41">
        <v>0</v>
      </c>
      <c r="AX166" s="41">
        <v>0</v>
      </c>
      <c r="AY166" s="41">
        <v>0</v>
      </c>
      <c r="AZ166" s="41">
        <v>0</v>
      </c>
      <c r="BA166" s="41">
        <v>0</v>
      </c>
      <c r="BB166" s="41">
        <v>0</v>
      </c>
      <c r="BC166" s="41">
        <v>4498869745</v>
      </c>
      <c r="BD166" s="41">
        <v>165167987</v>
      </c>
      <c r="BE166" s="41">
        <v>0</v>
      </c>
      <c r="BF166" s="41">
        <v>0</v>
      </c>
      <c r="BG166" s="41">
        <v>0</v>
      </c>
      <c r="BH166" s="41">
        <v>0</v>
      </c>
      <c r="BI166" s="41">
        <v>0</v>
      </c>
      <c r="BJ166" s="41">
        <v>0</v>
      </c>
      <c r="BK166" s="41">
        <v>0</v>
      </c>
      <c r="BL166" s="41">
        <v>0</v>
      </c>
      <c r="BM166" s="41">
        <v>8732013</v>
      </c>
      <c r="BN166" s="41">
        <v>13349644</v>
      </c>
      <c r="BO166" s="41">
        <v>0</v>
      </c>
      <c r="BP166" s="41">
        <v>137482</v>
      </c>
      <c r="BQ166" s="41">
        <v>28723919</v>
      </c>
      <c r="BR166" s="41">
        <v>0</v>
      </c>
      <c r="BS166" s="42">
        <f>IFERROR(VLOOKUP(A166,'Trans 21-23'!$A$2:$J$229,5,0),0)</f>
        <v>1302886140</v>
      </c>
      <c r="BT166" s="43"/>
      <c r="BU166" s="6">
        <f t="shared" si="0"/>
        <v>0</v>
      </c>
      <c r="BV166" s="6">
        <f t="shared" si="1"/>
        <v>3403</v>
      </c>
      <c r="BW166" s="6">
        <f t="shared" si="2"/>
        <v>0</v>
      </c>
      <c r="BX166" s="6">
        <f t="shared" si="3"/>
        <v>0</v>
      </c>
      <c r="BY166" s="6">
        <f t="shared" si="4"/>
        <v>0</v>
      </c>
      <c r="BZ166" s="6">
        <f t="shared" si="5"/>
        <v>0</v>
      </c>
      <c r="CA166" s="6">
        <f t="shared" si="6"/>
        <v>33373730</v>
      </c>
      <c r="CB166" s="6">
        <f t="shared" si="7"/>
        <v>0</v>
      </c>
      <c r="CC166" s="6">
        <f t="shared" si="8"/>
        <v>0</v>
      </c>
      <c r="CD166" s="6">
        <f t="shared" si="84"/>
        <v>0</v>
      </c>
      <c r="CE166" s="44">
        <f t="shared" si="10"/>
        <v>57</v>
      </c>
      <c r="CF166" s="27"/>
      <c r="CG166" s="28" t="str">
        <f t="shared" si="11"/>
        <v/>
      </c>
      <c r="CH166" s="28" t="str">
        <f t="shared" si="12"/>
        <v/>
      </c>
      <c r="CI166" s="28" t="str">
        <f t="shared" si="13"/>
        <v/>
      </c>
      <c r="CJ166" s="28" t="str">
        <f t="shared" si="14"/>
        <v/>
      </c>
      <c r="CK166" s="23" t="str">
        <f t="shared" si="15"/>
        <v/>
      </c>
      <c r="CL166" s="29" t="str">
        <f t="shared" si="16"/>
        <v/>
      </c>
      <c r="CM166" s="29" t="str">
        <f t="shared" si="66"/>
        <v/>
      </c>
      <c r="CN166" s="29" t="str">
        <f t="shared" si="18"/>
        <v/>
      </c>
      <c r="CO166" s="29" t="str">
        <f t="shared" si="19"/>
        <v/>
      </c>
      <c r="CP166" s="29" t="str">
        <f t="shared" si="20"/>
        <v/>
      </c>
      <c r="CQ166" s="29">
        <f t="shared" si="21"/>
        <v>0</v>
      </c>
      <c r="CR166" s="13"/>
      <c r="CS166" s="7" t="str">
        <f>VLOOKUP(A166,'Empresas 21-23'!$A$2:$M$228,13,0)</f>
        <v/>
      </c>
      <c r="CT166" s="30"/>
      <c r="CU166" s="6">
        <f t="shared" si="22"/>
        <v>1302886140</v>
      </c>
      <c r="CV166" s="6">
        <f t="shared" si="23"/>
        <v>0</v>
      </c>
      <c r="CW166" s="6">
        <f t="shared" si="24"/>
        <v>165167987</v>
      </c>
      <c r="CX166" s="23">
        <f t="shared" si="81"/>
        <v>0.30064047153103607</v>
      </c>
      <c r="CY166" s="23">
        <f t="shared" si="82"/>
        <v>0</v>
      </c>
      <c r="CZ166" s="6">
        <f t="shared" si="25"/>
        <v>1352542321.4935122</v>
      </c>
      <c r="DA166" s="6">
        <f t="shared" si="26"/>
        <v>0</v>
      </c>
      <c r="DB166" s="6">
        <f t="shared" si="27"/>
        <v>0</v>
      </c>
      <c r="DC166" s="6">
        <f t="shared" si="28"/>
        <v>20448456</v>
      </c>
      <c r="DD166" s="6">
        <f t="shared" si="29"/>
        <v>0</v>
      </c>
      <c r="DE166" s="6">
        <f t="shared" si="30"/>
        <v>33373730</v>
      </c>
      <c r="DF166" s="6">
        <f t="shared" si="85"/>
        <v>16414285.806117969</v>
      </c>
      <c r="DG166" s="30"/>
      <c r="DH166" s="32" t="str">
        <f>VLOOKUP(A166,'T_med_comp-USA'!$A$7:$Q$233,17,0)</f>
        <v>-</v>
      </c>
      <c r="DI166" s="6" t="str">
        <f t="shared" si="32"/>
        <v/>
      </c>
      <c r="DJ166" s="32" t="str">
        <f>IF(DI166="","",VLOOKUP(DI166,'CPI USA'!$T:$U,2,FALSE))</f>
        <v/>
      </c>
      <c r="DK166" s="32" t="str">
        <f>IF(DI166="","",VLOOKUP(DI166,'PPI USA'!$S:$T,2,FALSE))</f>
        <v/>
      </c>
      <c r="DL166" s="32" t="str">
        <f>IF(DI166="","",VLOOKUP(DI166,'CPI USA'!$T:$V,3,FALSE))</f>
        <v/>
      </c>
      <c r="DM166" s="32" t="str">
        <f>IF(DI166="","",VLOOKUP(DI166,'CPI USA'!$T:$X,5,FALSE))</f>
        <v/>
      </c>
      <c r="DN166" s="32" t="str">
        <f t="shared" si="33"/>
        <v/>
      </c>
      <c r="DO166" s="32" t="str">
        <f t="shared" si="34"/>
        <v/>
      </c>
      <c r="DP166" s="32" t="str">
        <f t="shared" si="35"/>
        <v/>
      </c>
      <c r="DQ166" s="32" t="str">
        <f>IF(DP166="","",DP166*$DO$1/'CPI USA'!$U$508+(1-DP166)*AVERAGE($DO$1,$DQ$1)/AVERAGE('CPI USA'!$U$508,'PPI USA'!$T$514))</f>
        <v/>
      </c>
      <c r="DR166" s="6">
        <f t="shared" si="36"/>
        <v>0</v>
      </c>
      <c r="DS166" s="32" t="str">
        <f t="shared" si="37"/>
        <v/>
      </c>
      <c r="DT166" s="28" t="str">
        <f>IF(DS166="","",DS166*$DO$1/'CPI USA'!$U$508+(1-DS166)*AVERAGE($DO$1,$DQ$1)/AVERAGE('CPI USA'!$U$508,'PPI USA'!$T$514))</f>
        <v/>
      </c>
      <c r="DU166" s="6" t="str">
        <f t="shared" si="38"/>
        <v/>
      </c>
      <c r="DV166" s="6">
        <f t="shared" si="39"/>
        <v>41995.251498674006</v>
      </c>
      <c r="DW166" s="6">
        <f t="shared" si="40"/>
        <v>0</v>
      </c>
      <c r="DX166" s="16" t="str">
        <f t="shared" si="41"/>
        <v/>
      </c>
      <c r="DY166" s="28" t="str">
        <f>IF(DX166="","",DX166*$DO$1/'CPI USA'!$U$508+(1-DX166)*AVERAGE($DO$1,$DQ$1)/AVERAGE('CPI USA'!$U$508,'PPI USA'!$T$514))</f>
        <v/>
      </c>
      <c r="DZ166" s="30"/>
      <c r="EA166" s="45" t="str">
        <f t="shared" si="42"/>
        <v>C002525</v>
      </c>
      <c r="EB166" s="29" t="str">
        <f t="shared" si="43"/>
        <v/>
      </c>
      <c r="EC166" s="29" t="str">
        <f t="shared" si="44"/>
        <v/>
      </c>
      <c r="ED166" s="29" t="str">
        <f t="shared" si="45"/>
        <v/>
      </c>
      <c r="EE166" s="29" t="str">
        <f t="shared" si="46"/>
        <v/>
      </c>
      <c r="EF166" s="29" t="str">
        <f t="shared" si="47"/>
        <v/>
      </c>
      <c r="EG166" s="29" t="str">
        <f t="shared" si="48"/>
        <v/>
      </c>
      <c r="EH166" s="29" t="str">
        <f t="shared" si="49"/>
        <v/>
      </c>
      <c r="EI166" s="29" t="str">
        <f t="shared" si="50"/>
        <v/>
      </c>
      <c r="EJ166" s="29" t="str">
        <f t="shared" si="51"/>
        <v/>
      </c>
      <c r="EK166" s="29" t="str">
        <f t="shared" si="52"/>
        <v/>
      </c>
      <c r="EL166" s="29" t="str">
        <f>IF(CD166=1,VLOOKUP(EA166,'EIA 2021'!$A$2:$J$213,4,0)*EH166,"")</f>
        <v/>
      </c>
      <c r="EM166" s="29" t="str">
        <f>IF(CD166=1,VLOOKUP(EA166,'EIA 2021'!$A$2:$J$213,7,0)*EH166,"")</f>
        <v/>
      </c>
      <c r="EN166" s="29" t="str">
        <f>IF(CD166=1,VLOOKUP(EA166,'EIA 2021'!$A$2:$J$213,10,0),"")</f>
        <v/>
      </c>
      <c r="EO166" s="28" t="str">
        <f>IF(CD166=1,VLOOKUP(EA166,'EIA 2021'!$A$2:$Z$213,26,0),"")</f>
        <v/>
      </c>
      <c r="EP166" s="23" t="str">
        <f t="shared" si="53"/>
        <v/>
      </c>
      <c r="EQ166" s="32" t="str">
        <f t="shared" si="54"/>
        <v/>
      </c>
      <c r="ER166" s="32" t="str">
        <f t="shared" si="55"/>
        <v/>
      </c>
      <c r="ES166" s="6"/>
      <c r="ET166" s="32"/>
    </row>
    <row r="167" spans="1:150" ht="15.75" customHeight="1">
      <c r="A167" s="7" t="s">
        <v>703</v>
      </c>
      <c r="B167" s="7" t="s">
        <v>704</v>
      </c>
      <c r="C167" s="32" t="s">
        <v>705</v>
      </c>
      <c r="D167" s="40">
        <v>0</v>
      </c>
      <c r="E167" s="40">
        <v>0</v>
      </c>
      <c r="F167" s="40">
        <v>0</v>
      </c>
      <c r="G167" s="40">
        <v>0</v>
      </c>
      <c r="H167" s="40">
        <v>0</v>
      </c>
      <c r="I167" s="40">
        <v>0</v>
      </c>
      <c r="J167" s="40">
        <v>0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f>IFERROR(VLOOKUP(A167,'Trans 21-23'!$A$2:$J$229,6,0),0)</f>
        <v>0</v>
      </c>
      <c r="Y167" s="41">
        <v>0</v>
      </c>
      <c r="Z167" s="41">
        <v>0</v>
      </c>
      <c r="AA167" s="41">
        <v>0</v>
      </c>
      <c r="AB167" s="41">
        <v>0</v>
      </c>
      <c r="AC167" s="41">
        <v>0</v>
      </c>
      <c r="AD167" s="41">
        <v>103132</v>
      </c>
      <c r="AE167" s="41">
        <v>0</v>
      </c>
      <c r="AF167" s="41">
        <v>107644</v>
      </c>
      <c r="AG167" s="41">
        <v>0</v>
      </c>
      <c r="AH167" s="41">
        <v>0</v>
      </c>
      <c r="AI167" s="41">
        <v>0</v>
      </c>
      <c r="AJ167" s="41">
        <v>0</v>
      </c>
      <c r="AK167" s="41">
        <v>0</v>
      </c>
      <c r="AL167" s="41">
        <v>0</v>
      </c>
      <c r="AM167" s="41">
        <v>0</v>
      </c>
      <c r="AN167" s="41">
        <v>0</v>
      </c>
      <c r="AO167" s="41">
        <v>0</v>
      </c>
      <c r="AP167" s="41">
        <v>0</v>
      </c>
      <c r="AQ167" s="41">
        <v>0</v>
      </c>
      <c r="AR167" s="41">
        <v>0</v>
      </c>
      <c r="AS167" s="41">
        <v>0</v>
      </c>
      <c r="AT167" s="41">
        <v>0</v>
      </c>
      <c r="AU167" s="41">
        <v>0</v>
      </c>
      <c r="AV167" s="41">
        <v>0</v>
      </c>
      <c r="AW167" s="41">
        <v>0</v>
      </c>
      <c r="AX167" s="41">
        <v>0</v>
      </c>
      <c r="AY167" s="41">
        <v>0</v>
      </c>
      <c r="AZ167" s="41">
        <v>0</v>
      </c>
      <c r="BA167" s="41">
        <v>0</v>
      </c>
      <c r="BB167" s="41">
        <v>0</v>
      </c>
      <c r="BC167" s="41">
        <v>0</v>
      </c>
      <c r="BD167" s="41">
        <v>0</v>
      </c>
      <c r="BE167" s="41">
        <v>0</v>
      </c>
      <c r="BF167" s="41">
        <v>0</v>
      </c>
      <c r="BG167" s="41">
        <v>0</v>
      </c>
      <c r="BH167" s="41">
        <v>0</v>
      </c>
      <c r="BI167" s="41">
        <v>0</v>
      </c>
      <c r="BJ167" s="41">
        <v>0</v>
      </c>
      <c r="BK167" s="41">
        <v>0</v>
      </c>
      <c r="BL167" s="41">
        <v>0</v>
      </c>
      <c r="BM167" s="41">
        <v>0</v>
      </c>
      <c r="BN167" s="41">
        <v>0</v>
      </c>
      <c r="BO167" s="41">
        <v>0</v>
      </c>
      <c r="BP167" s="41">
        <v>0</v>
      </c>
      <c r="BQ167" s="41">
        <v>0</v>
      </c>
      <c r="BR167" s="41">
        <v>0</v>
      </c>
      <c r="BS167" s="42">
        <f>IFERROR(VLOOKUP(A167,'Trans 21-23'!$A$2:$J$229,5,0),0)</f>
        <v>0</v>
      </c>
      <c r="BT167" s="43"/>
      <c r="BU167" s="6">
        <f t="shared" si="0"/>
        <v>0</v>
      </c>
      <c r="BV167" s="6">
        <f t="shared" si="1"/>
        <v>0</v>
      </c>
      <c r="BW167" s="6">
        <f t="shared" si="2"/>
        <v>0</v>
      </c>
      <c r="BX167" s="6">
        <f t="shared" si="3"/>
        <v>0</v>
      </c>
      <c r="BY167" s="6">
        <f t="shared" si="4"/>
        <v>0</v>
      </c>
      <c r="BZ167" s="6">
        <f t="shared" si="5"/>
        <v>0</v>
      </c>
      <c r="CA167" s="6">
        <f t="shared" si="6"/>
        <v>103132</v>
      </c>
      <c r="CB167" s="6">
        <f t="shared" si="7"/>
        <v>0</v>
      </c>
      <c r="CC167" s="6">
        <f t="shared" si="8"/>
        <v>0</v>
      </c>
      <c r="CD167" s="6">
        <f t="shared" si="84"/>
        <v>0</v>
      </c>
      <c r="CE167" s="44">
        <f t="shared" si="10"/>
        <v>66</v>
      </c>
      <c r="CF167" s="27"/>
      <c r="CG167" s="28" t="str">
        <f t="shared" si="11"/>
        <v/>
      </c>
      <c r="CH167" s="28" t="str">
        <f t="shared" si="12"/>
        <v/>
      </c>
      <c r="CI167" s="28" t="str">
        <f t="shared" si="13"/>
        <v/>
      </c>
      <c r="CJ167" s="28" t="str">
        <f t="shared" si="14"/>
        <v/>
      </c>
      <c r="CK167" s="23" t="str">
        <f t="shared" si="15"/>
        <v/>
      </c>
      <c r="CL167" s="29" t="str">
        <f t="shared" si="16"/>
        <v/>
      </c>
      <c r="CM167" s="29" t="str">
        <f t="shared" si="66"/>
        <v/>
      </c>
      <c r="CN167" s="29" t="str">
        <f t="shared" si="18"/>
        <v/>
      </c>
      <c r="CO167" s="29" t="str">
        <f t="shared" si="19"/>
        <v/>
      </c>
      <c r="CP167" s="29" t="str">
        <f t="shared" si="20"/>
        <v/>
      </c>
      <c r="CQ167" s="29">
        <f t="shared" si="21"/>
        <v>0</v>
      </c>
      <c r="CR167" s="13"/>
      <c r="CS167" s="7" t="str">
        <f>VLOOKUP(A167,'Empresas 21-23'!$A$2:$M$228,13,0)</f>
        <v/>
      </c>
      <c r="CT167" s="30"/>
      <c r="CU167" s="6">
        <f t="shared" si="22"/>
        <v>0</v>
      </c>
      <c r="CV167" s="6">
        <f t="shared" si="23"/>
        <v>0</v>
      </c>
      <c r="CW167" s="6">
        <f t="shared" si="24"/>
        <v>0</v>
      </c>
      <c r="CX167" s="23" t="str">
        <f>IFERROR(CU167/(BC167-BD167),"")</f>
        <v/>
      </c>
      <c r="CY167" s="23" t="str">
        <f>IFERROR(CV167/(BC167-BD167),"")</f>
        <v/>
      </c>
      <c r="CZ167" s="6" t="e">
        <f t="shared" si="25"/>
        <v>#VALUE!</v>
      </c>
      <c r="DA167" s="6" t="e">
        <f t="shared" si="26"/>
        <v>#VALUE!</v>
      </c>
      <c r="DB167" s="6">
        <f t="shared" si="27"/>
        <v>0</v>
      </c>
      <c r="DC167" s="6">
        <f t="shared" si="28"/>
        <v>0</v>
      </c>
      <c r="DD167" s="6">
        <f t="shared" si="29"/>
        <v>0</v>
      </c>
      <c r="DE167" s="6">
        <f t="shared" si="30"/>
        <v>103132</v>
      </c>
      <c r="DF167" s="6">
        <f t="shared" si="85"/>
        <v>0</v>
      </c>
      <c r="DG167" s="30"/>
      <c r="DH167" s="32" t="str">
        <f>VLOOKUP(A167,'T_med_comp-USA'!$A$7:$Q$233,17,0)</f>
        <v>-</v>
      </c>
      <c r="DI167" s="6" t="str">
        <f t="shared" si="32"/>
        <v/>
      </c>
      <c r="DJ167" s="32" t="str">
        <f>IF(DI167="","",VLOOKUP(DI167,'CPI USA'!$T:$U,2,FALSE))</f>
        <v/>
      </c>
      <c r="DK167" s="32" t="str">
        <f>IF(DI167="","",VLOOKUP(DI167,'PPI USA'!$S:$T,2,FALSE))</f>
        <v/>
      </c>
      <c r="DL167" s="32" t="str">
        <f>IF(DI167="","",VLOOKUP(DI167,'CPI USA'!$T:$V,3,FALSE))</f>
        <v/>
      </c>
      <c r="DM167" s="32" t="str">
        <f>IF(DI167="","",VLOOKUP(DI167,'CPI USA'!$T:$X,5,FALSE))</f>
        <v/>
      </c>
      <c r="DN167" s="32" t="str">
        <f t="shared" si="33"/>
        <v/>
      </c>
      <c r="DO167" s="32" t="str">
        <f t="shared" si="34"/>
        <v/>
      </c>
      <c r="DP167" s="32" t="str">
        <f t="shared" si="35"/>
        <v/>
      </c>
      <c r="DQ167" s="32" t="str">
        <f>IF(DP167="","",DP167*$DO$1/'CPI USA'!$U$508+(1-DP167)*AVERAGE($DO$1,$DQ$1)/AVERAGE('CPI USA'!$U$508,'PPI USA'!$T$514))</f>
        <v/>
      </c>
      <c r="DR167" s="6">
        <f t="shared" si="36"/>
        <v>0</v>
      </c>
      <c r="DS167" s="32" t="str">
        <f t="shared" si="37"/>
        <v/>
      </c>
      <c r="DT167" s="28" t="str">
        <f>IF(DS167="","",DS167*$DO$1/'CPI USA'!$U$508+(1-DS167)*AVERAGE($DO$1,$DQ$1)/AVERAGE('CPI USA'!$U$508,'PPI USA'!$T$514))</f>
        <v/>
      </c>
      <c r="DU167" s="6" t="str">
        <f t="shared" si="38"/>
        <v/>
      </c>
      <c r="DV167" s="6" t="str">
        <f t="shared" si="39"/>
        <v/>
      </c>
      <c r="DW167" s="6">
        <f t="shared" si="40"/>
        <v>0</v>
      </c>
      <c r="DX167" s="16" t="e">
        <f t="shared" si="41"/>
        <v>#VALUE!</v>
      </c>
      <c r="DY167" s="28" t="e">
        <f>IF(DX167="","",DX167*$DO$1/'CPI USA'!$U$508+(1-DX167)*AVERAGE($DO$1,$DQ$1)/AVERAGE('CPI USA'!$U$508,'PPI USA'!$T$514))</f>
        <v>#VALUE!</v>
      </c>
      <c r="DZ167" s="30"/>
      <c r="EA167" s="45" t="str">
        <f t="shared" si="42"/>
        <v>C002827</v>
      </c>
      <c r="EB167" s="29" t="str">
        <f t="shared" si="43"/>
        <v/>
      </c>
      <c r="EC167" s="29" t="str">
        <f t="shared" si="44"/>
        <v/>
      </c>
      <c r="ED167" s="29" t="str">
        <f t="shared" si="45"/>
        <v/>
      </c>
      <c r="EE167" s="29" t="str">
        <f t="shared" si="46"/>
        <v/>
      </c>
      <c r="EF167" s="29" t="str">
        <f t="shared" si="47"/>
        <v/>
      </c>
      <c r="EG167" s="29" t="str">
        <f t="shared" si="48"/>
        <v/>
      </c>
      <c r="EH167" s="29" t="str">
        <f t="shared" si="49"/>
        <v/>
      </c>
      <c r="EI167" s="29" t="str">
        <f t="shared" si="50"/>
        <v/>
      </c>
      <c r="EJ167" s="29" t="str">
        <f t="shared" si="51"/>
        <v/>
      </c>
      <c r="EK167" s="29" t="str">
        <f t="shared" si="52"/>
        <v/>
      </c>
      <c r="EL167" s="29" t="str">
        <f>IF(CD167=1,VLOOKUP(EA167,'EIA 2021'!$A$2:$J$213,4,0)*EH167,"")</f>
        <v/>
      </c>
      <c r="EM167" s="29" t="str">
        <f>IF(CD167=1,VLOOKUP(EA167,'EIA 2021'!$A$2:$J$213,7,0)*EH167,"")</f>
        <v/>
      </c>
      <c r="EN167" s="29" t="str">
        <f>IF(CD167=1,VLOOKUP(EA167,'EIA 2021'!$A$2:$J$213,10,0),"")</f>
        <v/>
      </c>
      <c r="EO167" s="28" t="str">
        <f>IF(CD167=1,VLOOKUP(EA167,'EIA 2021'!$A$2:$Z$213,26,0),"")</f>
        <v/>
      </c>
      <c r="EP167" s="23" t="str">
        <f t="shared" si="53"/>
        <v/>
      </c>
      <c r="EQ167" s="32" t="str">
        <f t="shared" si="54"/>
        <v/>
      </c>
      <c r="ER167" s="32" t="str">
        <f t="shared" si="55"/>
        <v/>
      </c>
      <c r="ES167" s="6"/>
      <c r="ET167" s="32"/>
    </row>
    <row r="168" spans="1:150" ht="15.75" customHeight="1">
      <c r="A168" s="7" t="s">
        <v>706</v>
      </c>
      <c r="B168" s="7" t="s">
        <v>707</v>
      </c>
      <c r="C168" s="32" t="s">
        <v>708</v>
      </c>
      <c r="D168" s="40">
        <v>0</v>
      </c>
      <c r="E168" s="40">
        <v>0</v>
      </c>
      <c r="F168" s="40">
        <v>0</v>
      </c>
      <c r="G168" s="40">
        <v>0</v>
      </c>
      <c r="H168" s="40">
        <v>0</v>
      </c>
      <c r="I168" s="40">
        <v>0</v>
      </c>
      <c r="J168" s="40">
        <v>0</v>
      </c>
      <c r="K168" s="40">
        <v>0</v>
      </c>
      <c r="L168" s="40">
        <v>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f>IFERROR(VLOOKUP(A168,'Trans 21-23'!$A$2:$J$229,6,0),0)</f>
        <v>0</v>
      </c>
      <c r="Y168" s="41">
        <v>0</v>
      </c>
      <c r="Z168" s="41">
        <v>0</v>
      </c>
      <c r="AA168" s="41">
        <v>0</v>
      </c>
      <c r="AB168" s="41">
        <v>1541253</v>
      </c>
      <c r="AC168" s="41">
        <v>0</v>
      </c>
      <c r="AD168" s="41">
        <v>1019294</v>
      </c>
      <c r="AE168" s="41">
        <v>0</v>
      </c>
      <c r="AF168" s="41">
        <v>11055803</v>
      </c>
      <c r="AG168" s="41">
        <v>0</v>
      </c>
      <c r="AH168" s="41">
        <v>0</v>
      </c>
      <c r="AI168" s="41">
        <v>0</v>
      </c>
      <c r="AJ168" s="41">
        <v>0</v>
      </c>
      <c r="AK168" s="41">
        <v>0</v>
      </c>
      <c r="AL168" s="41">
        <v>0</v>
      </c>
      <c r="AM168" s="41">
        <v>0</v>
      </c>
      <c r="AN168" s="41">
        <v>0</v>
      </c>
      <c r="AO168" s="41">
        <v>0</v>
      </c>
      <c r="AP168" s="41">
        <v>0</v>
      </c>
      <c r="AQ168" s="41">
        <v>0</v>
      </c>
      <c r="AR168" s="41">
        <v>0</v>
      </c>
      <c r="AS168" s="41">
        <v>0</v>
      </c>
      <c r="AT168" s="41">
        <v>0</v>
      </c>
      <c r="AU168" s="41">
        <v>0</v>
      </c>
      <c r="AV168" s="41">
        <v>0</v>
      </c>
      <c r="AW168" s="41">
        <v>0</v>
      </c>
      <c r="AX168" s="41">
        <v>0</v>
      </c>
      <c r="AY168" s="41">
        <v>0</v>
      </c>
      <c r="AZ168" s="41">
        <v>0</v>
      </c>
      <c r="BA168" s="41">
        <v>0</v>
      </c>
      <c r="BB168" s="41">
        <v>0</v>
      </c>
      <c r="BC168" s="41">
        <v>9443020</v>
      </c>
      <c r="BD168" s="41">
        <v>0</v>
      </c>
      <c r="BE168" s="41">
        <v>0</v>
      </c>
      <c r="BF168" s="41">
        <v>0</v>
      </c>
      <c r="BG168" s="41">
        <v>0</v>
      </c>
      <c r="BH168" s="41">
        <v>0</v>
      </c>
      <c r="BI168" s="41">
        <v>0</v>
      </c>
      <c r="BJ168" s="41">
        <v>0</v>
      </c>
      <c r="BK168" s="41">
        <v>0</v>
      </c>
      <c r="BL168" s="41">
        <v>0</v>
      </c>
      <c r="BM168" s="41">
        <v>0</v>
      </c>
      <c r="BN168" s="41">
        <v>0</v>
      </c>
      <c r="BO168" s="41">
        <v>0</v>
      </c>
      <c r="BP168" s="41">
        <v>0</v>
      </c>
      <c r="BQ168" s="41">
        <v>0</v>
      </c>
      <c r="BR168" s="41">
        <v>0</v>
      </c>
      <c r="BS168" s="42">
        <f>IFERROR(VLOOKUP(A168,'Trans 21-23'!$A$2:$J$229,5,0),0)</f>
        <v>0</v>
      </c>
      <c r="BT168" s="43"/>
      <c r="BU168" s="6">
        <f t="shared" si="0"/>
        <v>0</v>
      </c>
      <c r="BV168" s="6">
        <f t="shared" si="1"/>
        <v>0</v>
      </c>
      <c r="BW168" s="6">
        <f t="shared" si="2"/>
        <v>0</v>
      </c>
      <c r="BX168" s="6">
        <f t="shared" si="3"/>
        <v>0</v>
      </c>
      <c r="BY168" s="6">
        <f t="shared" si="4"/>
        <v>1541253</v>
      </c>
      <c r="BZ168" s="6">
        <f t="shared" si="5"/>
        <v>0</v>
      </c>
      <c r="CA168" s="6">
        <f t="shared" si="6"/>
        <v>1019294</v>
      </c>
      <c r="CB168" s="6">
        <f t="shared" si="7"/>
        <v>0</v>
      </c>
      <c r="CC168" s="6">
        <f t="shared" si="8"/>
        <v>0</v>
      </c>
      <c r="CD168" s="6">
        <f t="shared" si="84"/>
        <v>0</v>
      </c>
      <c r="CE168" s="44">
        <f t="shared" si="10"/>
        <v>64</v>
      </c>
      <c r="CF168" s="27"/>
      <c r="CG168" s="28" t="str">
        <f t="shared" si="11"/>
        <v/>
      </c>
      <c r="CH168" s="28" t="str">
        <f t="shared" si="12"/>
        <v/>
      </c>
      <c r="CI168" s="28" t="str">
        <f t="shared" si="13"/>
        <v/>
      </c>
      <c r="CJ168" s="28" t="str">
        <f t="shared" si="14"/>
        <v/>
      </c>
      <c r="CK168" s="23" t="str">
        <f t="shared" si="15"/>
        <v/>
      </c>
      <c r="CL168" s="29" t="str">
        <f t="shared" si="16"/>
        <v/>
      </c>
      <c r="CM168" s="29" t="str">
        <f t="shared" si="66"/>
        <v/>
      </c>
      <c r="CN168" s="29" t="str">
        <f t="shared" si="18"/>
        <v/>
      </c>
      <c r="CO168" s="29" t="str">
        <f t="shared" si="19"/>
        <v/>
      </c>
      <c r="CP168" s="29" t="str">
        <f t="shared" si="20"/>
        <v/>
      </c>
      <c r="CQ168" s="29">
        <f t="shared" si="21"/>
        <v>0</v>
      </c>
      <c r="CR168" s="13"/>
      <c r="CS168" s="7" t="str">
        <f>VLOOKUP(A168,'Empresas 21-23'!$A$2:$M$228,13,0)</f>
        <v/>
      </c>
      <c r="CT168" s="30"/>
      <c r="CU168" s="6">
        <f t="shared" si="22"/>
        <v>0</v>
      </c>
      <c r="CV168" s="6">
        <f t="shared" si="23"/>
        <v>0</v>
      </c>
      <c r="CW168" s="6">
        <f t="shared" si="24"/>
        <v>0</v>
      </c>
      <c r="CX168" s="23">
        <f t="shared" ref="CX168:CX172" si="86">CU168/(BC168-BD168)</f>
        <v>0</v>
      </c>
      <c r="CY168" s="23">
        <f t="shared" ref="CY168:CY172" si="87">CV168/(BC168-BD168)</f>
        <v>0</v>
      </c>
      <c r="CZ168" s="6">
        <f t="shared" si="25"/>
        <v>0</v>
      </c>
      <c r="DA168" s="6">
        <f t="shared" si="26"/>
        <v>0</v>
      </c>
      <c r="DB168" s="6">
        <f t="shared" si="27"/>
        <v>0</v>
      </c>
      <c r="DC168" s="6">
        <f t="shared" si="28"/>
        <v>0</v>
      </c>
      <c r="DD168" s="6">
        <f t="shared" si="29"/>
        <v>1541253</v>
      </c>
      <c r="DE168" s="6">
        <f t="shared" si="30"/>
        <v>1019294</v>
      </c>
      <c r="DF168" s="6">
        <f t="shared" si="85"/>
        <v>156527.527189185</v>
      </c>
      <c r="DG168" s="30"/>
      <c r="DH168" s="32" t="str">
        <f>VLOOKUP(A168,'T_med_comp-USA'!$A$7:$Q$233,17,0)</f>
        <v>-</v>
      </c>
      <c r="DI168" s="6" t="str">
        <f t="shared" si="32"/>
        <v/>
      </c>
      <c r="DJ168" s="32" t="str">
        <f>IF(DI168="","",VLOOKUP(DI168,'CPI USA'!$T:$U,2,FALSE))</f>
        <v/>
      </c>
      <c r="DK168" s="32" t="str">
        <f>IF(DI168="","",VLOOKUP(DI168,'PPI USA'!$S:$T,2,FALSE))</f>
        <v/>
      </c>
      <c r="DL168" s="32" t="str">
        <f>IF(DI168="","",VLOOKUP(DI168,'CPI USA'!$T:$V,3,FALSE))</f>
        <v/>
      </c>
      <c r="DM168" s="32" t="str">
        <f>IF(DI168="","",VLOOKUP(DI168,'CPI USA'!$T:$X,5,FALSE))</f>
        <v/>
      </c>
      <c r="DN168" s="32" t="str">
        <f t="shared" si="33"/>
        <v/>
      </c>
      <c r="DO168" s="32" t="str">
        <f t="shared" si="34"/>
        <v/>
      </c>
      <c r="DP168" s="32" t="str">
        <f t="shared" si="35"/>
        <v/>
      </c>
      <c r="DQ168" s="32" t="str">
        <f>IF(DP168="","",DP168*$DO$1/'CPI USA'!$U$508+(1-DP168)*AVERAGE($DO$1,$DQ$1)/AVERAGE('CPI USA'!$U$508,'PPI USA'!$T$514))</f>
        <v/>
      </c>
      <c r="DR168" s="6">
        <f t="shared" si="36"/>
        <v>0</v>
      </c>
      <c r="DS168" s="32">
        <f t="shared" si="37"/>
        <v>0.2</v>
      </c>
      <c r="DT168" s="28">
        <f>IF(DS168="","",DS168*$DO$1/'CPI USA'!$U$508+(1-DS168)*AVERAGE($DO$1,$DQ$1)/AVERAGE('CPI USA'!$U$508,'PPI USA'!$T$514))</f>
        <v>1.1741595760647974</v>
      </c>
      <c r="DU168" s="6" t="str">
        <f t="shared" si="38"/>
        <v/>
      </c>
      <c r="DV168" s="6" t="str">
        <f t="shared" si="39"/>
        <v/>
      </c>
      <c r="DW168" s="6">
        <f t="shared" si="40"/>
        <v>0</v>
      </c>
      <c r="DX168" s="16" t="str">
        <f t="shared" si="41"/>
        <v/>
      </c>
      <c r="DY168" s="28" t="str">
        <f>IF(DX168="","",DX168*$DO$1/'CPI USA'!$U$508+(1-DX168)*AVERAGE($DO$1,$DQ$1)/AVERAGE('CPI USA'!$U$508,'PPI USA'!$T$514))</f>
        <v/>
      </c>
      <c r="DZ168" s="30"/>
      <c r="EA168" s="45" t="str">
        <f t="shared" si="42"/>
        <v>C002854</v>
      </c>
      <c r="EB168" s="29" t="str">
        <f t="shared" si="43"/>
        <v/>
      </c>
      <c r="EC168" s="29" t="str">
        <f t="shared" si="44"/>
        <v/>
      </c>
      <c r="ED168" s="29" t="str">
        <f t="shared" si="45"/>
        <v/>
      </c>
      <c r="EE168" s="29" t="str">
        <f t="shared" si="46"/>
        <v/>
      </c>
      <c r="EF168" s="29" t="str">
        <f t="shared" si="47"/>
        <v/>
      </c>
      <c r="EG168" s="29" t="str">
        <f t="shared" si="48"/>
        <v/>
      </c>
      <c r="EH168" s="29" t="str">
        <f t="shared" si="49"/>
        <v/>
      </c>
      <c r="EI168" s="29" t="str">
        <f t="shared" si="50"/>
        <v/>
      </c>
      <c r="EJ168" s="29" t="str">
        <f t="shared" si="51"/>
        <v/>
      </c>
      <c r="EK168" s="29" t="str">
        <f t="shared" si="52"/>
        <v/>
      </c>
      <c r="EL168" s="29" t="str">
        <f>IF(CD168=1,VLOOKUP(EA168,'EIA 2021'!$A$2:$J$213,4,0)*EH168,"")</f>
        <v/>
      </c>
      <c r="EM168" s="29" t="str">
        <f>IF(CD168=1,VLOOKUP(EA168,'EIA 2021'!$A$2:$J$213,7,0)*EH168,"")</f>
        <v/>
      </c>
      <c r="EN168" s="29" t="str">
        <f>IF(CD168=1,VLOOKUP(EA168,'EIA 2021'!$A$2:$J$213,10,0),"")</f>
        <v/>
      </c>
      <c r="EO168" s="28" t="str">
        <f>IF(CD168=1,VLOOKUP(EA168,'EIA 2021'!$A$2:$Z$213,26,0),"")</f>
        <v/>
      </c>
      <c r="EP168" s="23" t="str">
        <f t="shared" si="53"/>
        <v/>
      </c>
      <c r="EQ168" s="32" t="str">
        <f t="shared" si="54"/>
        <v/>
      </c>
      <c r="ER168" s="32" t="str">
        <f t="shared" si="55"/>
        <v/>
      </c>
      <c r="ES168" s="6"/>
      <c r="ET168" s="32"/>
    </row>
    <row r="169" spans="1:150" ht="15.75" customHeight="1">
      <c r="A169" s="7" t="s">
        <v>709</v>
      </c>
      <c r="B169" s="7" t="s">
        <v>710</v>
      </c>
      <c r="C169" s="32" t="s">
        <v>711</v>
      </c>
      <c r="D169" s="40">
        <v>0</v>
      </c>
      <c r="E169" s="40">
        <v>0</v>
      </c>
      <c r="F169" s="40">
        <v>0</v>
      </c>
      <c r="G169" s="40">
        <v>0</v>
      </c>
      <c r="H169" s="40">
        <v>0</v>
      </c>
      <c r="I169" s="40">
        <v>0</v>
      </c>
      <c r="J169" s="40">
        <v>0</v>
      </c>
      <c r="K169" s="40">
        <v>0</v>
      </c>
      <c r="L169" s="40">
        <v>0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f>IFERROR(VLOOKUP(A169,'Trans 21-23'!$A$2:$J$229,6,0),0)</f>
        <v>0</v>
      </c>
      <c r="Y169" s="41">
        <v>0</v>
      </c>
      <c r="Z169" s="41">
        <v>0</v>
      </c>
      <c r="AA169" s="41">
        <v>0</v>
      </c>
      <c r="AB169" s="41">
        <v>0</v>
      </c>
      <c r="AC169" s="41">
        <v>0</v>
      </c>
      <c r="AD169" s="41">
        <v>8906929</v>
      </c>
      <c r="AE169" s="41">
        <v>0</v>
      </c>
      <c r="AF169" s="41">
        <v>13996066</v>
      </c>
      <c r="AG169" s="41">
        <v>0</v>
      </c>
      <c r="AH169" s="41">
        <v>0</v>
      </c>
      <c r="AI169" s="41">
        <v>0</v>
      </c>
      <c r="AJ169" s="41">
        <v>0</v>
      </c>
      <c r="AK169" s="41">
        <v>0</v>
      </c>
      <c r="AL169" s="41">
        <v>0</v>
      </c>
      <c r="AM169" s="41">
        <v>0</v>
      </c>
      <c r="AN169" s="41">
        <v>0</v>
      </c>
      <c r="AO169" s="41">
        <v>0</v>
      </c>
      <c r="AP169" s="41">
        <v>0</v>
      </c>
      <c r="AQ169" s="41">
        <v>0</v>
      </c>
      <c r="AR169" s="41">
        <v>0</v>
      </c>
      <c r="AS169" s="41">
        <v>0</v>
      </c>
      <c r="AT169" s="41">
        <v>0</v>
      </c>
      <c r="AU169" s="41">
        <v>0</v>
      </c>
      <c r="AV169" s="41">
        <v>0</v>
      </c>
      <c r="AW169" s="41">
        <v>0</v>
      </c>
      <c r="AX169" s="41">
        <v>0</v>
      </c>
      <c r="AY169" s="41">
        <v>0</v>
      </c>
      <c r="AZ169" s="41">
        <v>0</v>
      </c>
      <c r="BA169" s="41">
        <v>0</v>
      </c>
      <c r="BB169" s="41">
        <v>0</v>
      </c>
      <c r="BC169" s="41">
        <v>596394173</v>
      </c>
      <c r="BD169" s="41">
        <v>560039</v>
      </c>
      <c r="BE169" s="41">
        <v>0</v>
      </c>
      <c r="BF169" s="41">
        <v>0</v>
      </c>
      <c r="BG169" s="41">
        <v>0</v>
      </c>
      <c r="BH169" s="41">
        <v>0</v>
      </c>
      <c r="BI169" s="41">
        <v>0</v>
      </c>
      <c r="BJ169" s="41">
        <v>0</v>
      </c>
      <c r="BK169" s="41">
        <v>0</v>
      </c>
      <c r="BL169" s="41">
        <v>0</v>
      </c>
      <c r="BM169" s="41">
        <v>2936004</v>
      </c>
      <c r="BN169" s="41">
        <v>3176051</v>
      </c>
      <c r="BO169" s="41">
        <v>0</v>
      </c>
      <c r="BP169" s="41">
        <v>8614</v>
      </c>
      <c r="BQ169" s="41">
        <v>3432559</v>
      </c>
      <c r="BR169" s="41">
        <v>0</v>
      </c>
      <c r="BS169" s="42">
        <f>IFERROR(VLOOKUP(A169,'Trans 21-23'!$A$2:$J$229,5,0),0)</f>
        <v>0</v>
      </c>
      <c r="BT169" s="43"/>
      <c r="BU169" s="6">
        <f t="shared" si="0"/>
        <v>0</v>
      </c>
      <c r="BV169" s="6">
        <f t="shared" si="1"/>
        <v>0</v>
      </c>
      <c r="BW169" s="6">
        <f t="shared" si="2"/>
        <v>0</v>
      </c>
      <c r="BX169" s="6">
        <f t="shared" si="3"/>
        <v>0</v>
      </c>
      <c r="BY169" s="6">
        <f t="shared" si="4"/>
        <v>0</v>
      </c>
      <c r="BZ169" s="6">
        <f t="shared" si="5"/>
        <v>0</v>
      </c>
      <c r="CA169" s="6">
        <f t="shared" si="6"/>
        <v>8906929</v>
      </c>
      <c r="CB169" s="6">
        <f t="shared" si="7"/>
        <v>0</v>
      </c>
      <c r="CC169" s="6">
        <f t="shared" si="8"/>
        <v>0</v>
      </c>
      <c r="CD169" s="6">
        <f t="shared" si="84"/>
        <v>0</v>
      </c>
      <c r="CE169" s="44">
        <f t="shared" si="10"/>
        <v>60</v>
      </c>
      <c r="CF169" s="27"/>
      <c r="CG169" s="28" t="str">
        <f t="shared" si="11"/>
        <v/>
      </c>
      <c r="CH169" s="28" t="str">
        <f t="shared" si="12"/>
        <v/>
      </c>
      <c r="CI169" s="28" t="str">
        <f t="shared" si="13"/>
        <v/>
      </c>
      <c r="CJ169" s="28" t="str">
        <f t="shared" si="14"/>
        <v/>
      </c>
      <c r="CK169" s="23" t="str">
        <f t="shared" si="15"/>
        <v/>
      </c>
      <c r="CL169" s="29" t="str">
        <f t="shared" si="16"/>
        <v/>
      </c>
      <c r="CM169" s="29" t="str">
        <f t="shared" si="66"/>
        <v/>
      </c>
      <c r="CN169" s="29" t="str">
        <f t="shared" si="18"/>
        <v/>
      </c>
      <c r="CO169" s="29" t="str">
        <f t="shared" si="19"/>
        <v/>
      </c>
      <c r="CP169" s="29" t="str">
        <f t="shared" si="20"/>
        <v/>
      </c>
      <c r="CQ169" s="29">
        <f t="shared" si="21"/>
        <v>0</v>
      </c>
      <c r="CR169" s="13"/>
      <c r="CS169" s="7" t="str">
        <f>VLOOKUP(A169,'Empresas 21-23'!$A$2:$M$228,13,0)</f>
        <v/>
      </c>
      <c r="CT169" s="30"/>
      <c r="CU169" s="6">
        <f t="shared" si="22"/>
        <v>0</v>
      </c>
      <c r="CV169" s="6">
        <f t="shared" si="23"/>
        <v>0</v>
      </c>
      <c r="CW169" s="6">
        <f t="shared" si="24"/>
        <v>560039</v>
      </c>
      <c r="CX169" s="23">
        <f t="shared" si="86"/>
        <v>0</v>
      </c>
      <c r="CY169" s="23">
        <f t="shared" si="87"/>
        <v>0</v>
      </c>
      <c r="CZ169" s="6">
        <f t="shared" si="25"/>
        <v>0</v>
      </c>
      <c r="DA169" s="6">
        <f t="shared" si="26"/>
        <v>0</v>
      </c>
      <c r="DB169" s="6">
        <f t="shared" si="27"/>
        <v>0</v>
      </c>
      <c r="DC169" s="6">
        <f t="shared" si="28"/>
        <v>0</v>
      </c>
      <c r="DD169" s="6">
        <f t="shared" si="29"/>
        <v>0</v>
      </c>
      <c r="DE169" s="6">
        <f t="shared" si="30"/>
        <v>8906929</v>
      </c>
      <c r="DF169" s="6">
        <f t="shared" si="85"/>
        <v>0</v>
      </c>
      <c r="DG169" s="30"/>
      <c r="DH169" s="32" t="str">
        <f>VLOOKUP(A169,'T_med_comp-USA'!$A$7:$Q$233,17,0)</f>
        <v>-</v>
      </c>
      <c r="DI169" s="6" t="str">
        <f t="shared" si="32"/>
        <v/>
      </c>
      <c r="DJ169" s="32" t="str">
        <f>IF(DI169="","",VLOOKUP(DI169,'CPI USA'!$T:$U,2,FALSE))</f>
        <v/>
      </c>
      <c r="DK169" s="32" t="str">
        <f>IF(DI169="","",VLOOKUP(DI169,'PPI USA'!$S:$T,2,FALSE))</f>
        <v/>
      </c>
      <c r="DL169" s="32" t="str">
        <f>IF(DI169="","",VLOOKUP(DI169,'CPI USA'!$T:$V,3,FALSE))</f>
        <v/>
      </c>
      <c r="DM169" s="32" t="str">
        <f>IF(DI169="","",VLOOKUP(DI169,'CPI USA'!$T:$X,5,FALSE))</f>
        <v/>
      </c>
      <c r="DN169" s="32" t="str">
        <f t="shared" si="33"/>
        <v/>
      </c>
      <c r="DO169" s="32" t="str">
        <f t="shared" si="34"/>
        <v/>
      </c>
      <c r="DP169" s="32" t="str">
        <f t="shared" si="35"/>
        <v/>
      </c>
      <c r="DQ169" s="32" t="str">
        <f>IF(DP169="","",DP169*$DO$1/'CPI USA'!$U$508+(1-DP169)*AVERAGE($DO$1,$DQ$1)/AVERAGE('CPI USA'!$U$508,'PPI USA'!$T$514))</f>
        <v/>
      </c>
      <c r="DR169" s="6">
        <f t="shared" si="36"/>
        <v>0</v>
      </c>
      <c r="DS169" s="32" t="str">
        <f t="shared" si="37"/>
        <v/>
      </c>
      <c r="DT169" s="28" t="str">
        <f>IF(DS169="","",DS169*$DO$1/'CPI USA'!$U$508+(1-DS169)*AVERAGE($DO$1,$DQ$1)/AVERAGE('CPI USA'!$U$508,'PPI USA'!$T$514))</f>
        <v/>
      </c>
      <c r="DU169" s="6" t="str">
        <f t="shared" si="38"/>
        <v/>
      </c>
      <c r="DV169" s="6">
        <f t="shared" si="39"/>
        <v>7386.432450287607</v>
      </c>
      <c r="DW169" s="6">
        <f t="shared" si="40"/>
        <v>0</v>
      </c>
      <c r="DX169" s="16" t="str">
        <f t="shared" si="41"/>
        <v/>
      </c>
      <c r="DY169" s="28" t="str">
        <f>IF(DX169="","",DX169*$DO$1/'CPI USA'!$U$508+(1-DX169)*AVERAGE($DO$1,$DQ$1)/AVERAGE('CPI USA'!$U$508,'PPI USA'!$T$514))</f>
        <v/>
      </c>
      <c r="DZ169" s="30"/>
      <c r="EA169" s="45" t="str">
        <f t="shared" si="42"/>
        <v>C003138</v>
      </c>
      <c r="EB169" s="29" t="str">
        <f t="shared" si="43"/>
        <v/>
      </c>
      <c r="EC169" s="29" t="str">
        <f t="shared" si="44"/>
        <v/>
      </c>
      <c r="ED169" s="29" t="str">
        <f t="shared" si="45"/>
        <v/>
      </c>
      <c r="EE169" s="29" t="str">
        <f t="shared" si="46"/>
        <v/>
      </c>
      <c r="EF169" s="29" t="str">
        <f t="shared" si="47"/>
        <v/>
      </c>
      <c r="EG169" s="29" t="str">
        <f t="shared" si="48"/>
        <v/>
      </c>
      <c r="EH169" s="29" t="str">
        <f t="shared" si="49"/>
        <v/>
      </c>
      <c r="EI169" s="29" t="str">
        <f t="shared" si="50"/>
        <v/>
      </c>
      <c r="EJ169" s="29" t="str">
        <f t="shared" si="51"/>
        <v/>
      </c>
      <c r="EK169" s="29" t="str">
        <f t="shared" si="52"/>
        <v/>
      </c>
      <c r="EL169" s="29" t="str">
        <f>IF(CD169=1,VLOOKUP(EA169,'EIA 2021'!$A$2:$J$213,4,0)*EH169,"")</f>
        <v/>
      </c>
      <c r="EM169" s="29" t="str">
        <f>IF(CD169=1,VLOOKUP(EA169,'EIA 2021'!$A$2:$J$213,7,0)*EH169,"")</f>
        <v/>
      </c>
      <c r="EN169" s="29" t="str">
        <f>IF(CD169=1,VLOOKUP(EA169,'EIA 2021'!$A$2:$J$213,10,0),"")</f>
        <v/>
      </c>
      <c r="EO169" s="28" t="str">
        <f>IF(CD169=1,VLOOKUP(EA169,'EIA 2021'!$A$2:$Z$213,26,0),"")</f>
        <v/>
      </c>
      <c r="EP169" s="23" t="str">
        <f t="shared" si="53"/>
        <v/>
      </c>
      <c r="EQ169" s="32" t="str">
        <f t="shared" si="54"/>
        <v/>
      </c>
      <c r="ER169" s="32" t="str">
        <f t="shared" si="55"/>
        <v/>
      </c>
      <c r="ES169" s="6"/>
      <c r="ET169" s="32"/>
    </row>
    <row r="170" spans="1:150" ht="15.75" customHeight="1">
      <c r="A170" s="7" t="s">
        <v>712</v>
      </c>
      <c r="B170" s="7" t="s">
        <v>713</v>
      </c>
      <c r="C170" s="32" t="s">
        <v>714</v>
      </c>
      <c r="D170" s="40">
        <v>83441252</v>
      </c>
      <c r="E170" s="40">
        <v>0</v>
      </c>
      <c r="F170" s="40">
        <v>0</v>
      </c>
      <c r="G170" s="40">
        <v>0</v>
      </c>
      <c r="H170" s="40">
        <v>239894</v>
      </c>
      <c r="I170" s="40">
        <v>0</v>
      </c>
      <c r="J170" s="40">
        <v>0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f>IFERROR(VLOOKUP(A170,'Trans 21-23'!$A$2:$J$229,6,0),0)</f>
        <v>0</v>
      </c>
      <c r="Y170" s="41">
        <v>0</v>
      </c>
      <c r="Z170" s="41">
        <v>0</v>
      </c>
      <c r="AA170" s="41">
        <v>0</v>
      </c>
      <c r="AB170" s="41">
        <v>0</v>
      </c>
      <c r="AC170" s="41">
        <v>0</v>
      </c>
      <c r="AD170" s="41">
        <v>3322257</v>
      </c>
      <c r="AE170" s="41">
        <v>0</v>
      </c>
      <c r="AF170" s="41">
        <v>188081419</v>
      </c>
      <c r="AG170" s="41">
        <v>2</v>
      </c>
      <c r="AH170" s="41">
        <v>0</v>
      </c>
      <c r="AI170" s="41">
        <v>2401333</v>
      </c>
      <c r="AJ170" s="41">
        <v>0</v>
      </c>
      <c r="AK170" s="41">
        <v>0</v>
      </c>
      <c r="AL170" s="41">
        <v>0</v>
      </c>
      <c r="AM170" s="41">
        <v>0</v>
      </c>
      <c r="AN170" s="41">
        <v>0</v>
      </c>
      <c r="AO170" s="41">
        <v>0</v>
      </c>
      <c r="AP170" s="41">
        <v>0</v>
      </c>
      <c r="AQ170" s="41">
        <v>0</v>
      </c>
      <c r="AR170" s="41">
        <v>2401333</v>
      </c>
      <c r="AS170" s="41">
        <v>2401333</v>
      </c>
      <c r="AT170" s="41">
        <v>0</v>
      </c>
      <c r="AU170" s="41">
        <v>1306</v>
      </c>
      <c r="AV170" s="41">
        <v>0</v>
      </c>
      <c r="AW170" s="41">
        <v>0</v>
      </c>
      <c r="AX170" s="41">
        <v>0</v>
      </c>
      <c r="AY170" s="41">
        <v>0</v>
      </c>
      <c r="AZ170" s="41">
        <v>0</v>
      </c>
      <c r="BA170" s="41">
        <v>0</v>
      </c>
      <c r="BB170" s="41">
        <v>0</v>
      </c>
      <c r="BC170" s="41">
        <v>1242941833</v>
      </c>
      <c r="BD170" s="41">
        <v>657382</v>
      </c>
      <c r="BE170" s="41">
        <v>0</v>
      </c>
      <c r="BF170" s="41">
        <v>0</v>
      </c>
      <c r="BG170" s="41">
        <v>0</v>
      </c>
      <c r="BH170" s="41">
        <v>0</v>
      </c>
      <c r="BI170" s="41">
        <v>0</v>
      </c>
      <c r="BJ170" s="41">
        <v>0</v>
      </c>
      <c r="BK170" s="41">
        <v>0</v>
      </c>
      <c r="BL170" s="41">
        <v>0</v>
      </c>
      <c r="BM170" s="41">
        <v>4343215</v>
      </c>
      <c r="BN170" s="41">
        <v>12338849</v>
      </c>
      <c r="BO170" s="41">
        <v>2600955</v>
      </c>
      <c r="BP170" s="41">
        <v>2706512</v>
      </c>
      <c r="BQ170" s="41">
        <v>15542165</v>
      </c>
      <c r="BR170" s="41">
        <v>0</v>
      </c>
      <c r="BS170" s="42">
        <f>IFERROR(VLOOKUP(A170,'Trans 21-23'!$A$2:$J$229,5,0),0)</f>
        <v>0</v>
      </c>
      <c r="BT170" s="43"/>
      <c r="BU170" s="6">
        <f t="shared" si="0"/>
        <v>0</v>
      </c>
      <c r="BV170" s="6">
        <f t="shared" si="1"/>
        <v>1306</v>
      </c>
      <c r="BW170" s="6">
        <f t="shared" si="2"/>
        <v>2</v>
      </c>
      <c r="BX170" s="6">
        <f t="shared" si="3"/>
        <v>0</v>
      </c>
      <c r="BY170" s="6">
        <f t="shared" si="4"/>
        <v>0</v>
      </c>
      <c r="BZ170" s="6">
        <f t="shared" si="5"/>
        <v>0</v>
      </c>
      <c r="CA170" s="6">
        <f t="shared" si="6"/>
        <v>3322257</v>
      </c>
      <c r="CB170" s="6">
        <f t="shared" si="7"/>
        <v>0</v>
      </c>
      <c r="CC170" s="6">
        <f t="shared" si="8"/>
        <v>0</v>
      </c>
      <c r="CD170" s="6">
        <f t="shared" si="84"/>
        <v>0</v>
      </c>
      <c r="CE170" s="44">
        <f t="shared" si="10"/>
        <v>52</v>
      </c>
      <c r="CF170" s="27"/>
      <c r="CG170" s="28" t="str">
        <f t="shared" si="11"/>
        <v/>
      </c>
      <c r="CH170" s="28" t="str">
        <f t="shared" si="12"/>
        <v/>
      </c>
      <c r="CI170" s="28" t="str">
        <f t="shared" si="13"/>
        <v/>
      </c>
      <c r="CJ170" s="28" t="str">
        <f t="shared" si="14"/>
        <v/>
      </c>
      <c r="CK170" s="23" t="str">
        <f t="shared" si="15"/>
        <v/>
      </c>
      <c r="CL170" s="29" t="str">
        <f t="shared" si="16"/>
        <v/>
      </c>
      <c r="CM170" s="29" t="str">
        <f t="shared" si="66"/>
        <v/>
      </c>
      <c r="CN170" s="29" t="str">
        <f t="shared" si="18"/>
        <v/>
      </c>
      <c r="CO170" s="29" t="str">
        <f t="shared" si="19"/>
        <v/>
      </c>
      <c r="CP170" s="29" t="str">
        <f t="shared" si="20"/>
        <v/>
      </c>
      <c r="CQ170" s="29">
        <f t="shared" si="21"/>
        <v>0</v>
      </c>
      <c r="CR170" s="13"/>
      <c r="CS170" s="7" t="str">
        <f>VLOOKUP(A170,'Empresas 21-23'!$A$2:$M$228,13,0)</f>
        <v/>
      </c>
      <c r="CT170" s="30"/>
      <c r="CU170" s="6">
        <f t="shared" si="22"/>
        <v>0</v>
      </c>
      <c r="CV170" s="6">
        <f t="shared" si="23"/>
        <v>0</v>
      </c>
      <c r="CW170" s="6">
        <f t="shared" si="24"/>
        <v>657382</v>
      </c>
      <c r="CX170" s="23">
        <f t="shared" si="86"/>
        <v>0</v>
      </c>
      <c r="CY170" s="23">
        <f t="shared" si="87"/>
        <v>0</v>
      </c>
      <c r="CZ170" s="6">
        <f t="shared" si="25"/>
        <v>0</v>
      </c>
      <c r="DA170" s="6">
        <f t="shared" si="26"/>
        <v>0</v>
      </c>
      <c r="DB170" s="6">
        <f t="shared" si="27"/>
        <v>0</v>
      </c>
      <c r="DC170" s="6">
        <f t="shared" si="28"/>
        <v>0</v>
      </c>
      <c r="DD170" s="6">
        <f t="shared" si="29"/>
        <v>0</v>
      </c>
      <c r="DE170" s="6">
        <f t="shared" si="30"/>
        <v>3322257</v>
      </c>
      <c r="DF170" s="6">
        <f t="shared" si="85"/>
        <v>0</v>
      </c>
      <c r="DG170" s="30"/>
      <c r="DH170" s="32" t="str">
        <f>VLOOKUP(A170,'T_med_comp-USA'!$A$7:$Q$233,17,0)</f>
        <v>-</v>
      </c>
      <c r="DI170" s="6" t="str">
        <f t="shared" si="32"/>
        <v/>
      </c>
      <c r="DJ170" s="32" t="str">
        <f>IF(DI170="","",VLOOKUP(DI170,'CPI USA'!$T:$U,2,FALSE))</f>
        <v/>
      </c>
      <c r="DK170" s="32" t="str">
        <f>IF(DI170="","",VLOOKUP(DI170,'PPI USA'!$S:$T,2,FALSE))</f>
        <v/>
      </c>
      <c r="DL170" s="32" t="str">
        <f>IF(DI170="","",VLOOKUP(DI170,'CPI USA'!$T:$V,3,FALSE))</f>
        <v/>
      </c>
      <c r="DM170" s="32" t="str">
        <f>IF(DI170="","",VLOOKUP(DI170,'CPI USA'!$T:$X,5,FALSE))</f>
        <v/>
      </c>
      <c r="DN170" s="32" t="str">
        <f t="shared" si="33"/>
        <v/>
      </c>
      <c r="DO170" s="32" t="str">
        <f t="shared" si="34"/>
        <v/>
      </c>
      <c r="DP170" s="32" t="str">
        <f t="shared" si="35"/>
        <v/>
      </c>
      <c r="DQ170" s="32" t="str">
        <f>IF(DP170="","",DP170*$DO$1/'CPI USA'!$U$508+(1-DP170)*AVERAGE($DO$1,$DQ$1)/AVERAGE('CPI USA'!$U$508,'PPI USA'!$T$514))</f>
        <v/>
      </c>
      <c r="DR170" s="6">
        <f t="shared" si="36"/>
        <v>0</v>
      </c>
      <c r="DS170" s="32" t="str">
        <f t="shared" si="37"/>
        <v/>
      </c>
      <c r="DT170" s="28" t="str">
        <f>IF(DS170="","",DS170*$DO$1/'CPI USA'!$U$508+(1-DS170)*AVERAGE($DO$1,$DQ$1)/AVERAGE('CPI USA'!$U$508,'PPI USA'!$T$514))</f>
        <v/>
      </c>
      <c r="DU170" s="6" t="str">
        <f t="shared" si="38"/>
        <v/>
      </c>
      <c r="DV170" s="6">
        <f t="shared" si="39"/>
        <v>915805.64822685695</v>
      </c>
      <c r="DW170" s="6">
        <f t="shared" si="40"/>
        <v>0</v>
      </c>
      <c r="DX170" s="16" t="str">
        <f t="shared" si="41"/>
        <v/>
      </c>
      <c r="DY170" s="28" t="str">
        <f>IF(DX170="","",DX170*$DO$1/'CPI USA'!$U$508+(1-DX170)*AVERAGE($DO$1,$DQ$1)/AVERAGE('CPI USA'!$U$508,'PPI USA'!$T$514))</f>
        <v/>
      </c>
      <c r="DZ170" s="30"/>
      <c r="EA170" s="45" t="str">
        <f t="shared" si="42"/>
        <v>C003184</v>
      </c>
      <c r="EB170" s="29" t="str">
        <f t="shared" si="43"/>
        <v/>
      </c>
      <c r="EC170" s="29" t="str">
        <f t="shared" si="44"/>
        <v/>
      </c>
      <c r="ED170" s="29" t="str">
        <f t="shared" si="45"/>
        <v/>
      </c>
      <c r="EE170" s="29" t="str">
        <f t="shared" si="46"/>
        <v/>
      </c>
      <c r="EF170" s="29" t="str">
        <f t="shared" si="47"/>
        <v/>
      </c>
      <c r="EG170" s="29" t="str">
        <f t="shared" si="48"/>
        <v/>
      </c>
      <c r="EH170" s="29" t="str">
        <f t="shared" si="49"/>
        <v/>
      </c>
      <c r="EI170" s="29" t="str">
        <f t="shared" si="50"/>
        <v/>
      </c>
      <c r="EJ170" s="29" t="str">
        <f t="shared" si="51"/>
        <v/>
      </c>
      <c r="EK170" s="29" t="str">
        <f t="shared" si="52"/>
        <v/>
      </c>
      <c r="EL170" s="29" t="str">
        <f>IF(CD170=1,VLOOKUP(EA170,'EIA 2021'!$A$2:$J$213,4,0)*EH170,"")</f>
        <v/>
      </c>
      <c r="EM170" s="29" t="str">
        <f>IF(CD170=1,VLOOKUP(EA170,'EIA 2021'!$A$2:$J$213,7,0)*EH170,"")</f>
        <v/>
      </c>
      <c r="EN170" s="29" t="str">
        <f>IF(CD170=1,VLOOKUP(EA170,'EIA 2021'!$A$2:$J$213,10,0),"")</f>
        <v/>
      </c>
      <c r="EO170" s="28" t="str">
        <f>IF(CD170=1,VLOOKUP(EA170,'EIA 2021'!$A$2:$Z$213,26,0),"")</f>
        <v/>
      </c>
      <c r="EP170" s="23" t="str">
        <f t="shared" si="53"/>
        <v/>
      </c>
      <c r="EQ170" s="32" t="str">
        <f t="shared" si="54"/>
        <v/>
      </c>
      <c r="ER170" s="32" t="str">
        <f t="shared" si="55"/>
        <v/>
      </c>
      <c r="ES170" s="6"/>
      <c r="ET170" s="32"/>
    </row>
    <row r="171" spans="1:150" ht="15.75" customHeight="1">
      <c r="A171" s="7" t="s">
        <v>715</v>
      </c>
      <c r="B171" s="7" t="s">
        <v>716</v>
      </c>
      <c r="C171" s="32" t="s">
        <v>717</v>
      </c>
      <c r="D171" s="40">
        <v>0</v>
      </c>
      <c r="E171" s="40">
        <v>0</v>
      </c>
      <c r="F171" s="40">
        <v>0</v>
      </c>
      <c r="G171" s="40">
        <v>0</v>
      </c>
      <c r="H171" s="40">
        <v>0</v>
      </c>
      <c r="I171" s="40">
        <v>0</v>
      </c>
      <c r="J171" s="40">
        <v>0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f>IFERROR(VLOOKUP(A171,'Trans 21-23'!$A$2:$J$229,6,0),0)</f>
        <v>0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41">
        <v>650759</v>
      </c>
      <c r="AE171" s="41">
        <v>0</v>
      </c>
      <c r="AF171" s="41">
        <v>3232889</v>
      </c>
      <c r="AG171" s="41">
        <v>0</v>
      </c>
      <c r="AH171" s="41">
        <v>0</v>
      </c>
      <c r="AI171" s="41">
        <v>0</v>
      </c>
      <c r="AJ171" s="41">
        <v>0</v>
      </c>
      <c r="AK171" s="41">
        <v>0</v>
      </c>
      <c r="AL171" s="41">
        <v>0</v>
      </c>
      <c r="AM171" s="41">
        <v>0</v>
      </c>
      <c r="AN171" s="41">
        <v>0</v>
      </c>
      <c r="AO171" s="41">
        <v>0</v>
      </c>
      <c r="AP171" s="41">
        <v>0</v>
      </c>
      <c r="AQ171" s="41">
        <v>0</v>
      </c>
      <c r="AR171" s="41">
        <v>0</v>
      </c>
      <c r="AS171" s="41">
        <v>0</v>
      </c>
      <c r="AT171" s="41">
        <v>0</v>
      </c>
      <c r="AU171" s="41">
        <v>0</v>
      </c>
      <c r="AV171" s="41">
        <v>0</v>
      </c>
      <c r="AW171" s="41">
        <v>0</v>
      </c>
      <c r="AX171" s="41">
        <v>0</v>
      </c>
      <c r="AY171" s="41">
        <v>0</v>
      </c>
      <c r="AZ171" s="41">
        <v>0</v>
      </c>
      <c r="BA171" s="41">
        <v>0</v>
      </c>
      <c r="BB171" s="41">
        <v>0</v>
      </c>
      <c r="BC171" s="41">
        <v>313154744</v>
      </c>
      <c r="BD171" s="41">
        <v>0</v>
      </c>
      <c r="BE171" s="41">
        <v>0</v>
      </c>
      <c r="BF171" s="41">
        <v>0</v>
      </c>
      <c r="BG171" s="41">
        <v>0</v>
      </c>
      <c r="BH171" s="41">
        <v>0</v>
      </c>
      <c r="BI171" s="41">
        <v>0</v>
      </c>
      <c r="BJ171" s="41">
        <v>0</v>
      </c>
      <c r="BK171" s="41">
        <v>0</v>
      </c>
      <c r="BL171" s="41">
        <v>0</v>
      </c>
      <c r="BM171" s="41">
        <v>0</v>
      </c>
      <c r="BN171" s="41">
        <v>0</v>
      </c>
      <c r="BO171" s="41">
        <v>0</v>
      </c>
      <c r="BP171" s="41">
        <v>0</v>
      </c>
      <c r="BQ171" s="41">
        <v>0</v>
      </c>
      <c r="BR171" s="41">
        <v>0</v>
      </c>
      <c r="BS171" s="42">
        <f>IFERROR(VLOOKUP(A171,'Trans 21-23'!$A$2:$J$229,5,0),0)</f>
        <v>0</v>
      </c>
      <c r="BT171" s="43"/>
      <c r="BU171" s="6">
        <f t="shared" si="0"/>
        <v>0</v>
      </c>
      <c r="BV171" s="6">
        <f t="shared" si="1"/>
        <v>0</v>
      </c>
      <c r="BW171" s="6">
        <f t="shared" si="2"/>
        <v>0</v>
      </c>
      <c r="BX171" s="6">
        <f t="shared" si="3"/>
        <v>0</v>
      </c>
      <c r="BY171" s="6">
        <f t="shared" si="4"/>
        <v>0</v>
      </c>
      <c r="BZ171" s="6">
        <f t="shared" si="5"/>
        <v>0</v>
      </c>
      <c r="CA171" s="6">
        <f t="shared" si="6"/>
        <v>650759</v>
      </c>
      <c r="CB171" s="6">
        <f t="shared" si="7"/>
        <v>0</v>
      </c>
      <c r="CC171" s="6">
        <f t="shared" si="8"/>
        <v>0</v>
      </c>
      <c r="CD171" s="6">
        <f t="shared" si="84"/>
        <v>0</v>
      </c>
      <c r="CE171" s="44">
        <f t="shared" si="10"/>
        <v>65</v>
      </c>
      <c r="CF171" s="27"/>
      <c r="CG171" s="28" t="str">
        <f t="shared" si="11"/>
        <v/>
      </c>
      <c r="CH171" s="28" t="str">
        <f t="shared" si="12"/>
        <v/>
      </c>
      <c r="CI171" s="28" t="str">
        <f t="shared" si="13"/>
        <v/>
      </c>
      <c r="CJ171" s="28" t="str">
        <f t="shared" si="14"/>
        <v/>
      </c>
      <c r="CK171" s="23" t="str">
        <f t="shared" si="15"/>
        <v/>
      </c>
      <c r="CL171" s="29" t="str">
        <f t="shared" si="16"/>
        <v/>
      </c>
      <c r="CM171" s="29" t="str">
        <f t="shared" si="66"/>
        <v/>
      </c>
      <c r="CN171" s="29" t="str">
        <f t="shared" si="18"/>
        <v/>
      </c>
      <c r="CO171" s="29" t="str">
        <f t="shared" si="19"/>
        <v/>
      </c>
      <c r="CP171" s="29" t="str">
        <f t="shared" si="20"/>
        <v/>
      </c>
      <c r="CQ171" s="29">
        <f t="shared" si="21"/>
        <v>0</v>
      </c>
      <c r="CR171" s="13"/>
      <c r="CS171" s="7" t="str">
        <f>VLOOKUP(A171,'Empresas 21-23'!$A$2:$M$228,13,0)</f>
        <v/>
      </c>
      <c r="CT171" s="30"/>
      <c r="CU171" s="6">
        <f t="shared" si="22"/>
        <v>0</v>
      </c>
      <c r="CV171" s="6">
        <f t="shared" si="23"/>
        <v>0</v>
      </c>
      <c r="CW171" s="6">
        <f t="shared" si="24"/>
        <v>0</v>
      </c>
      <c r="CX171" s="23">
        <f t="shared" si="86"/>
        <v>0</v>
      </c>
      <c r="CY171" s="23">
        <f t="shared" si="87"/>
        <v>0</v>
      </c>
      <c r="CZ171" s="6">
        <f t="shared" si="25"/>
        <v>0</v>
      </c>
      <c r="DA171" s="6">
        <f t="shared" si="26"/>
        <v>0</v>
      </c>
      <c r="DB171" s="6">
        <f t="shared" si="27"/>
        <v>0</v>
      </c>
      <c r="DC171" s="6">
        <f t="shared" si="28"/>
        <v>0</v>
      </c>
      <c r="DD171" s="6">
        <f t="shared" si="29"/>
        <v>0</v>
      </c>
      <c r="DE171" s="6">
        <f t="shared" si="30"/>
        <v>650759</v>
      </c>
      <c r="DF171" s="6">
        <f t="shared" si="85"/>
        <v>0</v>
      </c>
      <c r="DG171" s="30"/>
      <c r="DH171" s="32" t="str">
        <f>VLOOKUP(A171,'T_med_comp-USA'!$A$7:$Q$233,17,0)</f>
        <v>-</v>
      </c>
      <c r="DI171" s="6" t="str">
        <f t="shared" si="32"/>
        <v/>
      </c>
      <c r="DJ171" s="32" t="str">
        <f>IF(DI171="","",VLOOKUP(DI171,'CPI USA'!$T:$U,2,FALSE))</f>
        <v/>
      </c>
      <c r="DK171" s="32" t="str">
        <f>IF(DI171="","",VLOOKUP(DI171,'PPI USA'!$S:$T,2,FALSE))</f>
        <v/>
      </c>
      <c r="DL171" s="32" t="str">
        <f>IF(DI171="","",VLOOKUP(DI171,'CPI USA'!$T:$V,3,FALSE))</f>
        <v/>
      </c>
      <c r="DM171" s="32" t="str">
        <f>IF(DI171="","",VLOOKUP(DI171,'CPI USA'!$T:$X,5,FALSE))</f>
        <v/>
      </c>
      <c r="DN171" s="32" t="str">
        <f t="shared" si="33"/>
        <v/>
      </c>
      <c r="DO171" s="32" t="str">
        <f t="shared" si="34"/>
        <v/>
      </c>
      <c r="DP171" s="32" t="str">
        <f t="shared" si="35"/>
        <v/>
      </c>
      <c r="DQ171" s="32" t="str">
        <f>IF(DP171="","",DP171*$DO$1/'CPI USA'!$U$508+(1-DP171)*AVERAGE($DO$1,$DQ$1)/AVERAGE('CPI USA'!$U$508,'PPI USA'!$T$514))</f>
        <v/>
      </c>
      <c r="DR171" s="6">
        <f t="shared" si="36"/>
        <v>0</v>
      </c>
      <c r="DS171" s="32" t="str">
        <f t="shared" si="37"/>
        <v/>
      </c>
      <c r="DT171" s="28" t="str">
        <f>IF(DS171="","",DS171*$DO$1/'CPI USA'!$U$508+(1-DS171)*AVERAGE($DO$1,$DQ$1)/AVERAGE('CPI USA'!$U$508,'PPI USA'!$T$514))</f>
        <v/>
      </c>
      <c r="DU171" s="6" t="str">
        <f t="shared" si="38"/>
        <v/>
      </c>
      <c r="DV171" s="6" t="str">
        <f t="shared" si="39"/>
        <v/>
      </c>
      <c r="DW171" s="6">
        <f t="shared" si="40"/>
        <v>0</v>
      </c>
      <c r="DX171" s="16" t="str">
        <f t="shared" si="41"/>
        <v/>
      </c>
      <c r="DY171" s="28" t="str">
        <f>IF(DX171="","",DX171*$DO$1/'CPI USA'!$U$508+(1-DX171)*AVERAGE($DO$1,$DQ$1)/AVERAGE('CPI USA'!$U$508,'PPI USA'!$T$514))</f>
        <v/>
      </c>
      <c r="DZ171" s="30"/>
      <c r="EA171" s="45" t="str">
        <f t="shared" si="42"/>
        <v>C003194</v>
      </c>
      <c r="EB171" s="29" t="str">
        <f t="shared" si="43"/>
        <v/>
      </c>
      <c r="EC171" s="29" t="str">
        <f t="shared" si="44"/>
        <v/>
      </c>
      <c r="ED171" s="29" t="str">
        <f t="shared" si="45"/>
        <v/>
      </c>
      <c r="EE171" s="29" t="str">
        <f t="shared" si="46"/>
        <v/>
      </c>
      <c r="EF171" s="29" t="str">
        <f t="shared" si="47"/>
        <v/>
      </c>
      <c r="EG171" s="29" t="str">
        <f t="shared" si="48"/>
        <v/>
      </c>
      <c r="EH171" s="29" t="str">
        <f t="shared" si="49"/>
        <v/>
      </c>
      <c r="EI171" s="29" t="str">
        <f t="shared" si="50"/>
        <v/>
      </c>
      <c r="EJ171" s="29" t="str">
        <f t="shared" si="51"/>
        <v/>
      </c>
      <c r="EK171" s="29" t="str">
        <f t="shared" si="52"/>
        <v/>
      </c>
      <c r="EL171" s="29" t="str">
        <f>IF(CD171=1,VLOOKUP(EA171,'EIA 2021'!$A$2:$J$213,4,0)*EH171,"")</f>
        <v/>
      </c>
      <c r="EM171" s="29" t="str">
        <f>IF(CD171=1,VLOOKUP(EA171,'EIA 2021'!$A$2:$J$213,7,0)*EH171,"")</f>
        <v/>
      </c>
      <c r="EN171" s="29" t="str">
        <f>IF(CD171=1,VLOOKUP(EA171,'EIA 2021'!$A$2:$J$213,10,0),"")</f>
        <v/>
      </c>
      <c r="EO171" s="28" t="str">
        <f>IF(CD171=1,VLOOKUP(EA171,'EIA 2021'!$A$2:$Z$213,26,0),"")</f>
        <v/>
      </c>
      <c r="EP171" s="23" t="str">
        <f t="shared" si="53"/>
        <v/>
      </c>
      <c r="EQ171" s="32" t="str">
        <f t="shared" si="54"/>
        <v/>
      </c>
      <c r="ER171" s="32" t="str">
        <f t="shared" si="55"/>
        <v/>
      </c>
      <c r="ES171" s="6"/>
      <c r="ET171" s="32"/>
    </row>
    <row r="172" spans="1:150" ht="15.75" customHeight="1">
      <c r="A172" s="7" t="s">
        <v>718</v>
      </c>
      <c r="B172" s="7" t="s">
        <v>719</v>
      </c>
      <c r="C172" s="32" t="s">
        <v>720</v>
      </c>
      <c r="D172" s="40">
        <v>0</v>
      </c>
      <c r="E172" s="40">
        <v>0</v>
      </c>
      <c r="F172" s="40">
        <v>65422700</v>
      </c>
      <c r="G172" s="40">
        <v>0</v>
      </c>
      <c r="H172" s="40">
        <v>0</v>
      </c>
      <c r="I172" s="40">
        <v>0</v>
      </c>
      <c r="J172" s="40">
        <v>0</v>
      </c>
      <c r="K172" s="40">
        <v>0</v>
      </c>
      <c r="L172" s="40">
        <v>0</v>
      </c>
      <c r="M172" s="40">
        <v>0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f>IFERROR(VLOOKUP(A172,'Trans 21-23'!$A$2:$J$229,6,0),0)</f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2238300</v>
      </c>
      <c r="AE172" s="41">
        <v>0</v>
      </c>
      <c r="AF172" s="41">
        <v>75376723</v>
      </c>
      <c r="AG172" s="41">
        <v>0</v>
      </c>
      <c r="AH172" s="41">
        <v>0</v>
      </c>
      <c r="AI172" s="41">
        <v>726962</v>
      </c>
      <c r="AJ172" s="41">
        <v>0</v>
      </c>
      <c r="AK172" s="41">
        <v>0</v>
      </c>
      <c r="AL172" s="41">
        <v>0</v>
      </c>
      <c r="AM172" s="41">
        <v>0</v>
      </c>
      <c r="AN172" s="41">
        <v>0</v>
      </c>
      <c r="AO172" s="41">
        <v>0</v>
      </c>
      <c r="AP172" s="41">
        <v>0</v>
      </c>
      <c r="AQ172" s="41">
        <v>0</v>
      </c>
      <c r="AR172" s="41">
        <v>726962</v>
      </c>
      <c r="AS172" s="41">
        <v>726962</v>
      </c>
      <c r="AT172" s="41">
        <v>0</v>
      </c>
      <c r="AU172" s="41">
        <v>0</v>
      </c>
      <c r="AV172" s="41">
        <v>0</v>
      </c>
      <c r="AW172" s="41">
        <v>0</v>
      </c>
      <c r="AX172" s="41">
        <v>0</v>
      </c>
      <c r="AY172" s="41">
        <v>0</v>
      </c>
      <c r="AZ172" s="41">
        <v>0</v>
      </c>
      <c r="BA172" s="41">
        <v>0</v>
      </c>
      <c r="BB172" s="41">
        <v>0</v>
      </c>
      <c r="BC172" s="41">
        <v>114991990</v>
      </c>
      <c r="BD172" s="41">
        <v>0</v>
      </c>
      <c r="BE172" s="41">
        <v>0</v>
      </c>
      <c r="BF172" s="41">
        <v>0</v>
      </c>
      <c r="BG172" s="41">
        <v>0</v>
      </c>
      <c r="BH172" s="41">
        <v>0</v>
      </c>
      <c r="BI172" s="41">
        <v>0</v>
      </c>
      <c r="BJ172" s="41">
        <v>0</v>
      </c>
      <c r="BK172" s="41">
        <v>0</v>
      </c>
      <c r="BL172" s="41">
        <v>0</v>
      </c>
      <c r="BM172" s="41">
        <v>0</v>
      </c>
      <c r="BN172" s="41">
        <v>0</v>
      </c>
      <c r="BO172" s="41">
        <v>0</v>
      </c>
      <c r="BP172" s="41">
        <v>0</v>
      </c>
      <c r="BQ172" s="41">
        <v>0</v>
      </c>
      <c r="BR172" s="41">
        <v>0</v>
      </c>
      <c r="BS172" s="42">
        <f>IFERROR(VLOOKUP(A172,'Trans 21-23'!$A$2:$J$229,5,0),0)</f>
        <v>0</v>
      </c>
      <c r="BT172" s="43"/>
      <c r="BU172" s="6">
        <f t="shared" si="0"/>
        <v>0</v>
      </c>
      <c r="BV172" s="6">
        <f t="shared" si="1"/>
        <v>0</v>
      </c>
      <c r="BW172" s="6">
        <f t="shared" si="2"/>
        <v>0</v>
      </c>
      <c r="BX172" s="6">
        <f t="shared" si="3"/>
        <v>0</v>
      </c>
      <c r="BY172" s="6">
        <f t="shared" si="4"/>
        <v>0</v>
      </c>
      <c r="BZ172" s="6">
        <f t="shared" si="5"/>
        <v>0</v>
      </c>
      <c r="CA172" s="6">
        <f t="shared" si="6"/>
        <v>2238300</v>
      </c>
      <c r="CB172" s="6">
        <f t="shared" si="7"/>
        <v>0</v>
      </c>
      <c r="CC172" s="6">
        <f t="shared" si="8"/>
        <v>0</v>
      </c>
      <c r="CD172" s="6">
        <f t="shared" si="84"/>
        <v>0</v>
      </c>
      <c r="CE172" s="44">
        <f t="shared" si="10"/>
        <v>61</v>
      </c>
      <c r="CF172" s="27"/>
      <c r="CG172" s="28" t="str">
        <f t="shared" si="11"/>
        <v/>
      </c>
      <c r="CH172" s="28" t="str">
        <f t="shared" si="12"/>
        <v/>
      </c>
      <c r="CI172" s="28" t="str">
        <f t="shared" si="13"/>
        <v/>
      </c>
      <c r="CJ172" s="28" t="str">
        <f t="shared" si="14"/>
        <v/>
      </c>
      <c r="CK172" s="23" t="str">
        <f t="shared" si="15"/>
        <v/>
      </c>
      <c r="CL172" s="29" t="str">
        <f t="shared" si="16"/>
        <v/>
      </c>
      <c r="CM172" s="29" t="str">
        <f t="shared" si="66"/>
        <v/>
      </c>
      <c r="CN172" s="29" t="str">
        <f t="shared" si="18"/>
        <v/>
      </c>
      <c r="CO172" s="29" t="str">
        <f t="shared" si="19"/>
        <v/>
      </c>
      <c r="CP172" s="29" t="str">
        <f t="shared" si="20"/>
        <v/>
      </c>
      <c r="CQ172" s="29">
        <f t="shared" si="21"/>
        <v>0</v>
      </c>
      <c r="CR172" s="13"/>
      <c r="CS172" s="7" t="str">
        <f>VLOOKUP(A172,'Empresas 21-23'!$A$2:$M$228,13,0)</f>
        <v/>
      </c>
      <c r="CT172" s="30"/>
      <c r="CU172" s="6">
        <f t="shared" si="22"/>
        <v>0</v>
      </c>
      <c r="CV172" s="6">
        <f t="shared" si="23"/>
        <v>0</v>
      </c>
      <c r="CW172" s="6">
        <f t="shared" si="24"/>
        <v>0</v>
      </c>
      <c r="CX172" s="23">
        <f t="shared" si="86"/>
        <v>0</v>
      </c>
      <c r="CY172" s="23">
        <f t="shared" si="87"/>
        <v>0</v>
      </c>
      <c r="CZ172" s="6">
        <f t="shared" si="25"/>
        <v>0</v>
      </c>
      <c r="DA172" s="6">
        <f t="shared" si="26"/>
        <v>0</v>
      </c>
      <c r="DB172" s="6">
        <f t="shared" si="27"/>
        <v>0</v>
      </c>
      <c r="DC172" s="6">
        <f t="shared" si="28"/>
        <v>0</v>
      </c>
      <c r="DD172" s="6">
        <f t="shared" si="29"/>
        <v>0</v>
      </c>
      <c r="DE172" s="6">
        <f t="shared" si="30"/>
        <v>2238300</v>
      </c>
      <c r="DF172" s="6">
        <f t="shared" si="85"/>
        <v>0</v>
      </c>
      <c r="DG172" s="30"/>
      <c r="DH172" s="32" t="str">
        <f>VLOOKUP(A172,'T_med_comp-USA'!$A$7:$Q$233,17,0)</f>
        <v>-</v>
      </c>
      <c r="DI172" s="6" t="str">
        <f t="shared" si="32"/>
        <v/>
      </c>
      <c r="DJ172" s="32" t="str">
        <f>IF(DI172="","",VLOOKUP(DI172,'CPI USA'!$T:$U,2,FALSE))</f>
        <v/>
      </c>
      <c r="DK172" s="32" t="str">
        <f>IF(DI172="","",VLOOKUP(DI172,'PPI USA'!$S:$T,2,FALSE))</f>
        <v/>
      </c>
      <c r="DL172" s="32" t="str">
        <f>IF(DI172="","",VLOOKUP(DI172,'CPI USA'!$T:$V,3,FALSE))</f>
        <v/>
      </c>
      <c r="DM172" s="32" t="str">
        <f>IF(DI172="","",VLOOKUP(DI172,'CPI USA'!$T:$X,5,FALSE))</f>
        <v/>
      </c>
      <c r="DN172" s="32" t="str">
        <f t="shared" si="33"/>
        <v/>
      </c>
      <c r="DO172" s="32" t="str">
        <f t="shared" si="34"/>
        <v/>
      </c>
      <c r="DP172" s="32" t="str">
        <f t="shared" si="35"/>
        <v/>
      </c>
      <c r="DQ172" s="32" t="str">
        <f>IF(DP172="","",DP172*$DO$1/'CPI USA'!$U$508+(1-DP172)*AVERAGE($DO$1,$DQ$1)/AVERAGE('CPI USA'!$U$508,'PPI USA'!$T$514))</f>
        <v/>
      </c>
      <c r="DR172" s="6">
        <f t="shared" si="36"/>
        <v>0</v>
      </c>
      <c r="DS172" s="32" t="str">
        <f t="shared" si="37"/>
        <v/>
      </c>
      <c r="DT172" s="28" t="str">
        <f>IF(DS172="","",DS172*$DO$1/'CPI USA'!$U$508+(1-DS172)*AVERAGE($DO$1,$DQ$1)/AVERAGE('CPI USA'!$U$508,'PPI USA'!$T$514))</f>
        <v/>
      </c>
      <c r="DU172" s="6" t="str">
        <f t="shared" si="38"/>
        <v/>
      </c>
      <c r="DV172" s="6" t="str">
        <f t="shared" si="39"/>
        <v/>
      </c>
      <c r="DW172" s="6">
        <f t="shared" si="40"/>
        <v>0</v>
      </c>
      <c r="DX172" s="16" t="str">
        <f t="shared" si="41"/>
        <v/>
      </c>
      <c r="DY172" s="28" t="str">
        <f>IF(DX172="","",DX172*$DO$1/'CPI USA'!$U$508+(1-DX172)*AVERAGE($DO$1,$DQ$1)/AVERAGE('CPI USA'!$U$508,'PPI USA'!$T$514))</f>
        <v/>
      </c>
      <c r="DZ172" s="30"/>
      <c r="EA172" s="45" t="str">
        <f t="shared" si="42"/>
        <v>C003435</v>
      </c>
      <c r="EB172" s="29" t="str">
        <f t="shared" si="43"/>
        <v/>
      </c>
      <c r="EC172" s="29" t="str">
        <f t="shared" si="44"/>
        <v/>
      </c>
      <c r="ED172" s="29" t="str">
        <f t="shared" si="45"/>
        <v/>
      </c>
      <c r="EE172" s="29" t="str">
        <f t="shared" si="46"/>
        <v/>
      </c>
      <c r="EF172" s="29" t="str">
        <f t="shared" si="47"/>
        <v/>
      </c>
      <c r="EG172" s="29" t="str">
        <f t="shared" si="48"/>
        <v/>
      </c>
      <c r="EH172" s="29" t="str">
        <f t="shared" si="49"/>
        <v/>
      </c>
      <c r="EI172" s="29" t="str">
        <f t="shared" si="50"/>
        <v/>
      </c>
      <c r="EJ172" s="29" t="str">
        <f t="shared" si="51"/>
        <v/>
      </c>
      <c r="EK172" s="29" t="str">
        <f t="shared" si="52"/>
        <v/>
      </c>
      <c r="EL172" s="29" t="str">
        <f>IF(CD172=1,VLOOKUP(EA172,'EIA 2021'!$A$2:$J$213,4,0)*EH172,"")</f>
        <v/>
      </c>
      <c r="EM172" s="29" t="str">
        <f>IF(CD172=1,VLOOKUP(EA172,'EIA 2021'!$A$2:$J$213,7,0)*EH172,"")</f>
        <v/>
      </c>
      <c r="EN172" s="29" t="str">
        <f>IF(CD172=1,VLOOKUP(EA172,'EIA 2021'!$A$2:$J$213,10,0),"")</f>
        <v/>
      </c>
      <c r="EO172" s="28" t="str">
        <f>IF(CD172=1,VLOOKUP(EA172,'EIA 2021'!$A$2:$Z$213,26,0),"")</f>
        <v/>
      </c>
      <c r="EP172" s="23" t="str">
        <f t="shared" si="53"/>
        <v/>
      </c>
      <c r="EQ172" s="32" t="str">
        <f t="shared" si="54"/>
        <v/>
      </c>
      <c r="ER172" s="32" t="str">
        <f t="shared" si="55"/>
        <v/>
      </c>
      <c r="ES172" s="6"/>
      <c r="ET172" s="32"/>
    </row>
    <row r="173" spans="1:150" ht="15.75" customHeight="1">
      <c r="A173" s="7" t="s">
        <v>721</v>
      </c>
      <c r="B173" s="7" t="s">
        <v>722</v>
      </c>
      <c r="C173" s="32" t="s">
        <v>723</v>
      </c>
      <c r="D173" s="40">
        <v>0</v>
      </c>
      <c r="E173" s="40">
        <v>0</v>
      </c>
      <c r="F173" s="40">
        <v>0</v>
      </c>
      <c r="G173" s="40">
        <v>0</v>
      </c>
      <c r="H173" s="40">
        <v>0</v>
      </c>
      <c r="I173" s="40">
        <v>0</v>
      </c>
      <c r="J173" s="40">
        <v>0</v>
      </c>
      <c r="K173" s="40">
        <v>0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40">
        <f>IFERROR(VLOOKUP(A173,'Trans 21-23'!$A$2:$J$229,6,0),0)</f>
        <v>0</v>
      </c>
      <c r="Y173" s="41">
        <v>0</v>
      </c>
      <c r="Z173" s="41">
        <v>0</v>
      </c>
      <c r="AA173" s="41">
        <v>0</v>
      </c>
      <c r="AB173" s="41">
        <v>0</v>
      </c>
      <c r="AC173" s="41">
        <v>0</v>
      </c>
      <c r="AD173" s="41">
        <v>11140</v>
      </c>
      <c r="AE173" s="41">
        <v>0</v>
      </c>
      <c r="AF173" s="41">
        <v>11140</v>
      </c>
      <c r="AG173" s="41">
        <v>7</v>
      </c>
      <c r="AH173" s="41">
        <v>0</v>
      </c>
      <c r="AI173" s="41">
        <v>0</v>
      </c>
      <c r="AJ173" s="41">
        <v>0</v>
      </c>
      <c r="AK173" s="41">
        <v>0</v>
      </c>
      <c r="AL173" s="41">
        <v>0</v>
      </c>
      <c r="AM173" s="41">
        <v>0</v>
      </c>
      <c r="AN173" s="41">
        <v>0</v>
      </c>
      <c r="AO173" s="41">
        <v>0</v>
      </c>
      <c r="AP173" s="41">
        <v>0</v>
      </c>
      <c r="AQ173" s="41">
        <v>0</v>
      </c>
      <c r="AR173" s="41">
        <v>0</v>
      </c>
      <c r="AS173" s="41">
        <v>0</v>
      </c>
      <c r="AT173" s="41">
        <v>0</v>
      </c>
      <c r="AU173" s="41">
        <v>0</v>
      </c>
      <c r="AV173" s="41">
        <v>0</v>
      </c>
      <c r="AW173" s="41">
        <v>0</v>
      </c>
      <c r="AX173" s="41">
        <v>0</v>
      </c>
      <c r="AY173" s="41">
        <v>0</v>
      </c>
      <c r="AZ173" s="41">
        <v>0</v>
      </c>
      <c r="BA173" s="41">
        <v>0</v>
      </c>
      <c r="BB173" s="41">
        <v>0</v>
      </c>
      <c r="BC173" s="41">
        <v>0</v>
      </c>
      <c r="BD173" s="41">
        <v>0</v>
      </c>
      <c r="BE173" s="41">
        <v>0</v>
      </c>
      <c r="BF173" s="41">
        <v>0</v>
      </c>
      <c r="BG173" s="41">
        <v>0</v>
      </c>
      <c r="BH173" s="41">
        <v>0</v>
      </c>
      <c r="BI173" s="41">
        <v>0</v>
      </c>
      <c r="BJ173" s="41">
        <v>0</v>
      </c>
      <c r="BK173" s="41">
        <v>0</v>
      </c>
      <c r="BL173" s="41">
        <v>0</v>
      </c>
      <c r="BM173" s="41">
        <v>0</v>
      </c>
      <c r="BN173" s="41">
        <v>0</v>
      </c>
      <c r="BO173" s="41">
        <v>0</v>
      </c>
      <c r="BP173" s="41">
        <v>1599449</v>
      </c>
      <c r="BQ173" s="41">
        <v>1599449</v>
      </c>
      <c r="BR173" s="41">
        <v>0</v>
      </c>
      <c r="BS173" s="42">
        <f>IFERROR(VLOOKUP(A173,'Trans 21-23'!$A$2:$J$229,5,0),0)</f>
        <v>0</v>
      </c>
      <c r="BT173" s="43"/>
      <c r="BU173" s="6">
        <f t="shared" si="0"/>
        <v>0</v>
      </c>
      <c r="BV173" s="6">
        <f t="shared" si="1"/>
        <v>0</v>
      </c>
      <c r="BW173" s="6">
        <f t="shared" si="2"/>
        <v>7</v>
      </c>
      <c r="BX173" s="6">
        <f t="shared" si="3"/>
        <v>0</v>
      </c>
      <c r="BY173" s="6">
        <f t="shared" si="4"/>
        <v>0</v>
      </c>
      <c r="BZ173" s="6">
        <f t="shared" si="5"/>
        <v>0</v>
      </c>
      <c r="CA173" s="6">
        <f t="shared" si="6"/>
        <v>11140</v>
      </c>
      <c r="CB173" s="6">
        <f t="shared" si="7"/>
        <v>0</v>
      </c>
      <c r="CC173" s="6">
        <f t="shared" si="8"/>
        <v>0</v>
      </c>
      <c r="CD173" s="6">
        <f>IF(OR(BU173&lt;=0,BV173&lt;=0,BW173&lt;=0,BX173&lt;=0,BY173&lt;=0,BZ173&lt;=0,CA173&lt;=0,CB173&lt;=0,CC173&lt;=0),0,1)</f>
        <v>0</v>
      </c>
      <c r="CE173" s="44">
        <f t="shared" si="10"/>
        <v>63</v>
      </c>
      <c r="CF173" s="27"/>
      <c r="CG173" s="28" t="str">
        <f t="shared" si="11"/>
        <v/>
      </c>
      <c r="CH173" s="28" t="str">
        <f t="shared" si="12"/>
        <v/>
      </c>
      <c r="CI173" s="28" t="str">
        <f t="shared" si="13"/>
        <v/>
      </c>
      <c r="CJ173" s="28" t="str">
        <f t="shared" si="14"/>
        <v/>
      </c>
      <c r="CK173" s="23" t="str">
        <f t="shared" si="15"/>
        <v/>
      </c>
      <c r="CL173" s="29" t="str">
        <f t="shared" si="16"/>
        <v/>
      </c>
      <c r="CM173" s="29" t="str">
        <f t="shared" si="66"/>
        <v/>
      </c>
      <c r="CN173" s="29" t="str">
        <f t="shared" si="18"/>
        <v/>
      </c>
      <c r="CO173" s="29" t="str">
        <f t="shared" si="19"/>
        <v/>
      </c>
      <c r="CP173" s="29" t="str">
        <f t="shared" si="20"/>
        <v/>
      </c>
      <c r="CQ173" s="29">
        <f t="shared" si="21"/>
        <v>0</v>
      </c>
      <c r="CR173" s="13"/>
      <c r="CS173" s="7" t="str">
        <f>VLOOKUP(A173,'Empresas 21-23'!$A$2:$M$228,13,0)</f>
        <v/>
      </c>
      <c r="CT173" s="30"/>
      <c r="CU173" s="6">
        <f t="shared" si="22"/>
        <v>0</v>
      </c>
      <c r="CV173" s="6">
        <f t="shared" si="23"/>
        <v>0</v>
      </c>
      <c r="CW173" s="6">
        <f t="shared" si="24"/>
        <v>0</v>
      </c>
      <c r="CX173" s="23" t="str">
        <f>IFERROR(CU173/(BC173-BD173),"")</f>
        <v/>
      </c>
      <c r="CY173" s="23" t="str">
        <f>IFERROR(CV173/(BC173-BD173),"")</f>
        <v/>
      </c>
      <c r="CZ173" s="6" t="e">
        <f t="shared" si="25"/>
        <v>#VALUE!</v>
      </c>
      <c r="DA173" s="6" t="e">
        <f t="shared" si="26"/>
        <v>#VALUE!</v>
      </c>
      <c r="DB173" s="6">
        <f t="shared" si="27"/>
        <v>0</v>
      </c>
      <c r="DC173" s="6">
        <f t="shared" si="28"/>
        <v>0</v>
      </c>
      <c r="DD173" s="6">
        <f t="shared" si="29"/>
        <v>0</v>
      </c>
      <c r="DE173" s="6">
        <f t="shared" si="30"/>
        <v>11140</v>
      </c>
      <c r="DF173" s="6" t="str">
        <f>IFERROR(DE173*(DC173+DD173)/(AF173-AD173-F173-H173-E173-D173),"")</f>
        <v/>
      </c>
      <c r="DG173" s="30"/>
      <c r="DH173" s="32" t="str">
        <f>VLOOKUP(A173,'T_med_comp-USA'!$A$7:$Q$233,17,0)</f>
        <v>-</v>
      </c>
      <c r="DI173" s="6" t="str">
        <f t="shared" si="32"/>
        <v/>
      </c>
      <c r="DJ173" s="32" t="str">
        <f>IF(DI173="","",VLOOKUP(DI173,'CPI USA'!$T:$U,2,FALSE))</f>
        <v/>
      </c>
      <c r="DK173" s="32" t="str">
        <f>IF(DI173="","",VLOOKUP(DI173,'PPI USA'!$S:$T,2,FALSE))</f>
        <v/>
      </c>
      <c r="DL173" s="32" t="str">
        <f>IF(DI173="","",VLOOKUP(DI173,'CPI USA'!$T:$V,3,FALSE))</f>
        <v/>
      </c>
      <c r="DM173" s="32" t="str">
        <f>IF(DI173="","",VLOOKUP(DI173,'CPI USA'!$T:$X,5,FALSE))</f>
        <v/>
      </c>
      <c r="DN173" s="32" t="str">
        <f t="shared" si="33"/>
        <v/>
      </c>
      <c r="DO173" s="32" t="str">
        <f t="shared" si="34"/>
        <v/>
      </c>
      <c r="DP173" s="32" t="str">
        <f t="shared" si="35"/>
        <v/>
      </c>
      <c r="DQ173" s="32" t="str">
        <f>IF(DP173="","",DP173*$DO$1/'CPI USA'!$U$508+(1-DP173)*AVERAGE($DO$1,$DQ$1)/AVERAGE('CPI USA'!$U$508,'PPI USA'!$T$514))</f>
        <v/>
      </c>
      <c r="DR173" s="6">
        <f t="shared" si="36"/>
        <v>0</v>
      </c>
      <c r="DS173" s="32" t="str">
        <f t="shared" si="37"/>
        <v/>
      </c>
      <c r="DT173" s="28" t="str">
        <f>IF(DS173="","",DS173*$DO$1/'CPI USA'!$U$508+(1-DS173)*AVERAGE($DO$1,$DQ$1)/AVERAGE('CPI USA'!$U$508,'PPI USA'!$T$514))</f>
        <v/>
      </c>
      <c r="DU173" s="6" t="str">
        <f t="shared" si="38"/>
        <v/>
      </c>
      <c r="DV173" s="6" t="str">
        <f t="shared" si="39"/>
        <v/>
      </c>
      <c r="DW173" s="6">
        <f t="shared" si="40"/>
        <v>0</v>
      </c>
      <c r="DX173" s="16" t="e">
        <f t="shared" si="41"/>
        <v>#VALUE!</v>
      </c>
      <c r="DY173" s="28" t="e">
        <f>IF(DX173="","",DX173*$DO$1/'CPI USA'!$U$508+(1-DX173)*AVERAGE($DO$1,$DQ$1)/AVERAGE('CPI USA'!$U$508,'PPI USA'!$T$514))</f>
        <v>#VALUE!</v>
      </c>
      <c r="DZ173" s="30"/>
      <c r="EA173" s="45" t="str">
        <f t="shared" si="42"/>
        <v>C003483</v>
      </c>
      <c r="EB173" s="29" t="str">
        <f t="shared" si="43"/>
        <v/>
      </c>
      <c r="EC173" s="29" t="str">
        <f t="shared" si="44"/>
        <v/>
      </c>
      <c r="ED173" s="29" t="str">
        <f t="shared" si="45"/>
        <v/>
      </c>
      <c r="EE173" s="29" t="str">
        <f t="shared" si="46"/>
        <v/>
      </c>
      <c r="EF173" s="29" t="str">
        <f t="shared" si="47"/>
        <v/>
      </c>
      <c r="EG173" s="29" t="str">
        <f t="shared" si="48"/>
        <v/>
      </c>
      <c r="EH173" s="29" t="str">
        <f t="shared" si="49"/>
        <v/>
      </c>
      <c r="EI173" s="29" t="str">
        <f t="shared" si="50"/>
        <v/>
      </c>
      <c r="EJ173" s="29" t="str">
        <f t="shared" si="51"/>
        <v/>
      </c>
      <c r="EK173" s="29" t="str">
        <f t="shared" si="52"/>
        <v/>
      </c>
      <c r="EL173" s="29" t="str">
        <f>IF(CD173=1,VLOOKUP(EA173,'EIA 2021'!$A$2:$J$213,4,0)*EH173,"")</f>
        <v/>
      </c>
      <c r="EM173" s="29" t="str">
        <f>IF(CD173=1,VLOOKUP(EA173,'EIA 2021'!$A$2:$J$213,7,0)*EH173,"")</f>
        <v/>
      </c>
      <c r="EN173" s="29" t="str">
        <f>IF(CD173=1,VLOOKUP(EA173,'EIA 2021'!$A$2:$J$213,10,0),"")</f>
        <v/>
      </c>
      <c r="EO173" s="28" t="str">
        <f>IF(CD173=1,VLOOKUP(EA173,'EIA 2021'!$A$2:$Z$213,26,0),"")</f>
        <v/>
      </c>
      <c r="EP173" s="23" t="str">
        <f t="shared" si="53"/>
        <v/>
      </c>
      <c r="EQ173" s="32" t="str">
        <f t="shared" si="54"/>
        <v/>
      </c>
      <c r="ER173" s="32" t="str">
        <f t="shared" si="55"/>
        <v/>
      </c>
      <c r="ES173" s="6"/>
      <c r="ET173" s="32"/>
    </row>
    <row r="174" spans="1:150" ht="15.75" customHeight="1">
      <c r="A174" s="7" t="s">
        <v>724</v>
      </c>
      <c r="B174" s="7" t="s">
        <v>725</v>
      </c>
      <c r="C174" s="32" t="s">
        <v>726</v>
      </c>
      <c r="D174" s="40">
        <v>85136571</v>
      </c>
      <c r="E174" s="40">
        <v>0</v>
      </c>
      <c r="F174" s="40">
        <v>0</v>
      </c>
      <c r="G174" s="40">
        <v>0</v>
      </c>
      <c r="H174" s="40">
        <v>0</v>
      </c>
      <c r="I174" s="40">
        <v>0</v>
      </c>
      <c r="J174" s="40">
        <v>0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f>IFERROR(VLOOKUP(A174,'Trans 21-23'!$A$2:$J$229,6,0),0)</f>
        <v>0</v>
      </c>
      <c r="Y174" s="41">
        <v>0</v>
      </c>
      <c r="Z174" s="41">
        <v>0</v>
      </c>
      <c r="AA174" s="41">
        <v>0</v>
      </c>
      <c r="AB174" s="41">
        <v>0</v>
      </c>
      <c r="AC174" s="41">
        <v>0</v>
      </c>
      <c r="AD174" s="41">
        <v>4484433</v>
      </c>
      <c r="AE174" s="41">
        <v>0</v>
      </c>
      <c r="AF174" s="41">
        <v>102733534</v>
      </c>
      <c r="AG174" s="41">
        <v>1</v>
      </c>
      <c r="AH174" s="41">
        <v>0</v>
      </c>
      <c r="AI174" s="41">
        <v>2433667</v>
      </c>
      <c r="AJ174" s="41">
        <v>0</v>
      </c>
      <c r="AK174" s="41">
        <v>0</v>
      </c>
      <c r="AL174" s="41">
        <v>0</v>
      </c>
      <c r="AM174" s="41">
        <v>0</v>
      </c>
      <c r="AN174" s="41">
        <v>0</v>
      </c>
      <c r="AO174" s="41">
        <v>0</v>
      </c>
      <c r="AP174" s="41">
        <v>0</v>
      </c>
      <c r="AQ174" s="41">
        <v>0</v>
      </c>
      <c r="AR174" s="41">
        <v>2433667</v>
      </c>
      <c r="AS174" s="41">
        <v>2433667</v>
      </c>
      <c r="AT174" s="41">
        <v>0</v>
      </c>
      <c r="AU174" s="41">
        <v>597</v>
      </c>
      <c r="AV174" s="41">
        <v>0</v>
      </c>
      <c r="AW174" s="41">
        <v>0</v>
      </c>
      <c r="AX174" s="41">
        <v>0</v>
      </c>
      <c r="AY174" s="41">
        <v>0</v>
      </c>
      <c r="AZ174" s="41">
        <v>0</v>
      </c>
      <c r="BA174" s="41">
        <v>0</v>
      </c>
      <c r="BB174" s="41">
        <v>0</v>
      </c>
      <c r="BC174" s="41">
        <v>764551331</v>
      </c>
      <c r="BD174" s="41">
        <v>0</v>
      </c>
      <c r="BE174" s="41">
        <v>0</v>
      </c>
      <c r="BF174" s="41">
        <v>0</v>
      </c>
      <c r="BG174" s="41">
        <v>0</v>
      </c>
      <c r="BH174" s="41">
        <v>0</v>
      </c>
      <c r="BI174" s="41">
        <v>0</v>
      </c>
      <c r="BJ174" s="41">
        <v>0</v>
      </c>
      <c r="BK174" s="41">
        <v>0</v>
      </c>
      <c r="BL174" s="41">
        <v>0</v>
      </c>
      <c r="BM174" s="41">
        <v>933534</v>
      </c>
      <c r="BN174" s="41">
        <v>6586015</v>
      </c>
      <c r="BO174" s="41">
        <v>0</v>
      </c>
      <c r="BP174" s="41">
        <v>1841</v>
      </c>
      <c r="BQ174" s="41">
        <v>6587856</v>
      </c>
      <c r="BR174" s="41">
        <v>0</v>
      </c>
      <c r="BS174" s="42">
        <f>IFERROR(VLOOKUP(A174,'Trans 21-23'!$A$2:$J$229,5,0),0)</f>
        <v>0</v>
      </c>
      <c r="BT174" s="43"/>
      <c r="BU174" s="6">
        <f t="shared" si="0"/>
        <v>0</v>
      </c>
      <c r="BV174" s="6">
        <f t="shared" si="1"/>
        <v>597</v>
      </c>
      <c r="BW174" s="6">
        <f t="shared" si="2"/>
        <v>1</v>
      </c>
      <c r="BX174" s="6">
        <f t="shared" si="3"/>
        <v>0</v>
      </c>
      <c r="BY174" s="6">
        <f t="shared" si="4"/>
        <v>0</v>
      </c>
      <c r="BZ174" s="6">
        <f t="shared" si="5"/>
        <v>0</v>
      </c>
      <c r="CA174" s="6">
        <f t="shared" si="6"/>
        <v>4484433</v>
      </c>
      <c r="CB174" s="6">
        <f t="shared" si="7"/>
        <v>0</v>
      </c>
      <c r="CC174" s="6">
        <f t="shared" si="8"/>
        <v>0</v>
      </c>
      <c r="CD174" s="6">
        <f t="shared" ref="CD174:CD221" si="88">IF(OR(BU174&lt;=0,BV174&lt;=0,BW174&lt;=0,BX174&lt;=0,BY174&lt;=0,BZ174&lt;=0,CA174&lt;=0,CB174&lt;=0,CC174&lt;=0,DF174&lt;=0),0,1)</f>
        <v>0</v>
      </c>
      <c r="CE174" s="44">
        <f t="shared" si="10"/>
        <v>55</v>
      </c>
      <c r="CF174" s="27"/>
      <c r="CG174" s="28" t="str">
        <f t="shared" si="11"/>
        <v/>
      </c>
      <c r="CH174" s="28" t="str">
        <f t="shared" si="12"/>
        <v/>
      </c>
      <c r="CI174" s="28" t="str">
        <f t="shared" si="13"/>
        <v/>
      </c>
      <c r="CJ174" s="28" t="str">
        <f t="shared" si="14"/>
        <v/>
      </c>
      <c r="CK174" s="23" t="str">
        <f t="shared" si="15"/>
        <v/>
      </c>
      <c r="CL174" s="29" t="str">
        <f t="shared" si="16"/>
        <v/>
      </c>
      <c r="CM174" s="29" t="str">
        <f t="shared" si="66"/>
        <v/>
      </c>
      <c r="CN174" s="29" t="str">
        <f t="shared" si="18"/>
        <v/>
      </c>
      <c r="CO174" s="29" t="str">
        <f t="shared" si="19"/>
        <v/>
      </c>
      <c r="CP174" s="29" t="str">
        <f t="shared" si="20"/>
        <v/>
      </c>
      <c r="CQ174" s="29">
        <f t="shared" si="21"/>
        <v>0</v>
      </c>
      <c r="CR174" s="13"/>
      <c r="CS174" s="7" t="str">
        <f>VLOOKUP(A174,'Empresas 21-23'!$A$2:$M$228,13,0)</f>
        <v/>
      </c>
      <c r="CT174" s="30"/>
      <c r="CU174" s="6">
        <f t="shared" si="22"/>
        <v>0</v>
      </c>
      <c r="CV174" s="6">
        <f t="shared" si="23"/>
        <v>0</v>
      </c>
      <c r="CW174" s="6">
        <f t="shared" si="24"/>
        <v>0</v>
      </c>
      <c r="CX174" s="23">
        <f t="shared" ref="CX174:CX177" si="89">CU174/(BC174-BD174)</f>
        <v>0</v>
      </c>
      <c r="CY174" s="23">
        <f t="shared" ref="CY174:CY177" si="90">CV174/(BC174-BD174)</f>
        <v>0</v>
      </c>
      <c r="CZ174" s="6">
        <f t="shared" si="25"/>
        <v>0</v>
      </c>
      <c r="DA174" s="6">
        <f t="shared" si="26"/>
        <v>0</v>
      </c>
      <c r="DB174" s="6">
        <f t="shared" si="27"/>
        <v>0</v>
      </c>
      <c r="DC174" s="6">
        <f t="shared" si="28"/>
        <v>0</v>
      </c>
      <c r="DD174" s="6">
        <f t="shared" si="29"/>
        <v>0</v>
      </c>
      <c r="DE174" s="6">
        <f t="shared" si="30"/>
        <v>4484433</v>
      </c>
      <c r="DF174" s="6">
        <f t="shared" ref="DF174:DF221" si="91">DE174*(DC174+DD174)/(AF174-AD174-F174-H174-E174-D174)</f>
        <v>0</v>
      </c>
      <c r="DG174" s="30"/>
      <c r="DH174" s="32" t="str">
        <f>VLOOKUP(A174,'T_med_comp-USA'!$A$7:$Q$233,17,0)</f>
        <v>-</v>
      </c>
      <c r="DI174" s="6" t="str">
        <f t="shared" si="32"/>
        <v/>
      </c>
      <c r="DJ174" s="32" t="str">
        <f>IF(DI174="","",VLOOKUP(DI174,'CPI USA'!$T:$U,2,FALSE))</f>
        <v/>
      </c>
      <c r="DK174" s="32" t="str">
        <f>IF(DI174="","",VLOOKUP(DI174,'PPI USA'!$S:$T,2,FALSE))</f>
        <v/>
      </c>
      <c r="DL174" s="32" t="str">
        <f>IF(DI174="","",VLOOKUP(DI174,'CPI USA'!$T:$V,3,FALSE))</f>
        <v/>
      </c>
      <c r="DM174" s="32" t="str">
        <f>IF(DI174="","",VLOOKUP(DI174,'CPI USA'!$T:$X,5,FALSE))</f>
        <v/>
      </c>
      <c r="DN174" s="32" t="str">
        <f t="shared" si="33"/>
        <v/>
      </c>
      <c r="DO174" s="32" t="str">
        <f t="shared" si="34"/>
        <v/>
      </c>
      <c r="DP174" s="32" t="str">
        <f t="shared" si="35"/>
        <v/>
      </c>
      <c r="DQ174" s="32" t="str">
        <f>IF(DP174="","",DP174*$DO$1/'CPI USA'!$U$508+(1-DP174)*AVERAGE($DO$1,$DQ$1)/AVERAGE('CPI USA'!$U$508,'PPI USA'!$T$514))</f>
        <v/>
      </c>
      <c r="DR174" s="6">
        <f t="shared" si="36"/>
        <v>0</v>
      </c>
      <c r="DS174" s="32" t="str">
        <f t="shared" si="37"/>
        <v/>
      </c>
      <c r="DT174" s="28" t="str">
        <f>IF(DS174="","",DS174*$DO$1/'CPI USA'!$U$508+(1-DS174)*AVERAGE($DO$1,$DQ$1)/AVERAGE('CPI USA'!$U$508,'PPI USA'!$T$514))</f>
        <v/>
      </c>
      <c r="DU174" s="6" t="str">
        <f t="shared" si="38"/>
        <v/>
      </c>
      <c r="DV174" s="6">
        <f t="shared" si="39"/>
        <v>260.95235039701549</v>
      </c>
      <c r="DW174" s="6">
        <f t="shared" si="40"/>
        <v>0</v>
      </c>
      <c r="DX174" s="16" t="str">
        <f t="shared" si="41"/>
        <v/>
      </c>
      <c r="DY174" s="28" t="str">
        <f>IF(DX174="","",DX174*$DO$1/'CPI USA'!$U$508+(1-DX174)*AVERAGE($DO$1,$DQ$1)/AVERAGE('CPI USA'!$U$508,'PPI USA'!$T$514))</f>
        <v/>
      </c>
      <c r="DZ174" s="30"/>
      <c r="EA174" s="45" t="str">
        <f t="shared" si="42"/>
        <v>C003646</v>
      </c>
      <c r="EB174" s="29" t="str">
        <f t="shared" si="43"/>
        <v/>
      </c>
      <c r="EC174" s="29" t="str">
        <f t="shared" si="44"/>
        <v/>
      </c>
      <c r="ED174" s="29" t="str">
        <f t="shared" si="45"/>
        <v/>
      </c>
      <c r="EE174" s="29" t="str">
        <f t="shared" si="46"/>
        <v/>
      </c>
      <c r="EF174" s="29" t="str">
        <f t="shared" si="47"/>
        <v/>
      </c>
      <c r="EG174" s="29" t="str">
        <f t="shared" si="48"/>
        <v/>
      </c>
      <c r="EH174" s="29" t="str">
        <f t="shared" si="49"/>
        <v/>
      </c>
      <c r="EI174" s="29" t="str">
        <f t="shared" si="50"/>
        <v/>
      </c>
      <c r="EJ174" s="29" t="str">
        <f t="shared" si="51"/>
        <v/>
      </c>
      <c r="EK174" s="29" t="str">
        <f t="shared" si="52"/>
        <v/>
      </c>
      <c r="EL174" s="29" t="str">
        <f>IF(CD174=1,VLOOKUP(EA174,'EIA 2021'!$A$2:$J$213,4,0)*EH174,"")</f>
        <v/>
      </c>
      <c r="EM174" s="29" t="str">
        <f>IF(CD174=1,VLOOKUP(EA174,'EIA 2021'!$A$2:$J$213,7,0)*EH174,"")</f>
        <v/>
      </c>
      <c r="EN174" s="29" t="str">
        <f>IF(CD174=1,VLOOKUP(EA174,'EIA 2021'!$A$2:$J$213,10,0),"")</f>
        <v/>
      </c>
      <c r="EO174" s="28" t="str">
        <f>IF(CD174=1,VLOOKUP(EA174,'EIA 2021'!$A$2:$Z$213,26,0),"")</f>
        <v/>
      </c>
      <c r="EP174" s="23" t="str">
        <f t="shared" si="53"/>
        <v/>
      </c>
      <c r="EQ174" s="32" t="str">
        <f t="shared" si="54"/>
        <v/>
      </c>
      <c r="ER174" s="32" t="str">
        <f t="shared" si="55"/>
        <v/>
      </c>
      <c r="ES174" s="6"/>
      <c r="ET174" s="32"/>
    </row>
    <row r="175" spans="1:150" ht="15.75" customHeight="1">
      <c r="A175" s="7" t="s">
        <v>727</v>
      </c>
      <c r="B175" s="7" t="s">
        <v>728</v>
      </c>
      <c r="C175" s="32" t="s">
        <v>729</v>
      </c>
      <c r="D175" s="40">
        <v>0</v>
      </c>
      <c r="E175" s="40">
        <v>0</v>
      </c>
      <c r="F175" s="40">
        <v>0</v>
      </c>
      <c r="G175" s="40">
        <v>0</v>
      </c>
      <c r="H175" s="40">
        <v>0</v>
      </c>
      <c r="I175" s="40">
        <v>0</v>
      </c>
      <c r="J175" s="40">
        <v>0</v>
      </c>
      <c r="K175" s="40">
        <v>0</v>
      </c>
      <c r="L175" s="40">
        <v>0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f>IFERROR(VLOOKUP(A175,'Trans 21-23'!$A$2:$J$229,6,0),0)</f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41">
        <v>1874828</v>
      </c>
      <c r="AE175" s="41">
        <v>0</v>
      </c>
      <c r="AF175" s="41">
        <v>3950577</v>
      </c>
      <c r="AG175" s="41">
        <v>0</v>
      </c>
      <c r="AH175" s="41">
        <v>0</v>
      </c>
      <c r="AI175" s="41">
        <v>0</v>
      </c>
      <c r="AJ175" s="41">
        <v>0</v>
      </c>
      <c r="AK175" s="41">
        <v>0</v>
      </c>
      <c r="AL175" s="41">
        <v>0</v>
      </c>
      <c r="AM175" s="41">
        <v>0</v>
      </c>
      <c r="AN175" s="41">
        <v>0</v>
      </c>
      <c r="AO175" s="41">
        <v>0</v>
      </c>
      <c r="AP175" s="41">
        <v>0</v>
      </c>
      <c r="AQ175" s="41">
        <v>0</v>
      </c>
      <c r="AR175" s="41">
        <v>0</v>
      </c>
      <c r="AS175" s="41">
        <v>0</v>
      </c>
      <c r="AT175" s="41">
        <v>0</v>
      </c>
      <c r="AU175" s="41">
        <v>0</v>
      </c>
      <c r="AV175" s="41">
        <v>0</v>
      </c>
      <c r="AW175" s="41">
        <v>0</v>
      </c>
      <c r="AX175" s="41">
        <v>0</v>
      </c>
      <c r="AY175" s="41">
        <v>0</v>
      </c>
      <c r="AZ175" s="41">
        <v>0</v>
      </c>
      <c r="BA175" s="41">
        <v>0</v>
      </c>
      <c r="BB175" s="41">
        <v>0</v>
      </c>
      <c r="BC175" s="41">
        <v>114375264</v>
      </c>
      <c r="BD175" s="41">
        <v>1025511</v>
      </c>
      <c r="BE175" s="41">
        <v>0</v>
      </c>
      <c r="BF175" s="41">
        <v>0</v>
      </c>
      <c r="BG175" s="41">
        <v>0</v>
      </c>
      <c r="BH175" s="41">
        <v>0</v>
      </c>
      <c r="BI175" s="41">
        <v>0</v>
      </c>
      <c r="BJ175" s="41">
        <v>0</v>
      </c>
      <c r="BK175" s="41">
        <v>0</v>
      </c>
      <c r="BL175" s="41">
        <v>0</v>
      </c>
      <c r="BM175" s="41">
        <v>0</v>
      </c>
      <c r="BN175" s="41">
        <v>0</v>
      </c>
      <c r="BO175" s="41">
        <v>0</v>
      </c>
      <c r="BP175" s="41">
        <v>0</v>
      </c>
      <c r="BQ175" s="41">
        <v>0</v>
      </c>
      <c r="BR175" s="41">
        <v>0</v>
      </c>
      <c r="BS175" s="42">
        <f>IFERROR(VLOOKUP(A175,'Trans 21-23'!$A$2:$J$229,5,0),0)</f>
        <v>0</v>
      </c>
      <c r="BT175" s="43"/>
      <c r="BU175" s="6">
        <f t="shared" si="0"/>
        <v>0</v>
      </c>
      <c r="BV175" s="6">
        <f t="shared" si="1"/>
        <v>0</v>
      </c>
      <c r="BW175" s="6">
        <f t="shared" si="2"/>
        <v>0</v>
      </c>
      <c r="BX175" s="6">
        <f t="shared" si="3"/>
        <v>0</v>
      </c>
      <c r="BY175" s="6">
        <f t="shared" si="4"/>
        <v>0</v>
      </c>
      <c r="BZ175" s="6">
        <f t="shared" si="5"/>
        <v>0</v>
      </c>
      <c r="CA175" s="6">
        <f t="shared" si="6"/>
        <v>1874828</v>
      </c>
      <c r="CB175" s="6">
        <f t="shared" si="7"/>
        <v>0</v>
      </c>
      <c r="CC175" s="6">
        <f t="shared" si="8"/>
        <v>0</v>
      </c>
      <c r="CD175" s="6">
        <f t="shared" si="88"/>
        <v>0</v>
      </c>
      <c r="CE175" s="44">
        <f t="shared" si="10"/>
        <v>64</v>
      </c>
      <c r="CF175" s="27"/>
      <c r="CG175" s="28" t="str">
        <f t="shared" si="11"/>
        <v/>
      </c>
      <c r="CH175" s="28" t="str">
        <f t="shared" si="12"/>
        <v/>
      </c>
      <c r="CI175" s="28" t="str">
        <f t="shared" si="13"/>
        <v/>
      </c>
      <c r="CJ175" s="28" t="str">
        <f t="shared" si="14"/>
        <v/>
      </c>
      <c r="CK175" s="23" t="str">
        <f t="shared" si="15"/>
        <v/>
      </c>
      <c r="CL175" s="29" t="str">
        <f t="shared" si="16"/>
        <v/>
      </c>
      <c r="CM175" s="29" t="str">
        <f t="shared" si="66"/>
        <v/>
      </c>
      <c r="CN175" s="29" t="str">
        <f t="shared" si="18"/>
        <v/>
      </c>
      <c r="CO175" s="29" t="str">
        <f t="shared" si="19"/>
        <v/>
      </c>
      <c r="CP175" s="29" t="str">
        <f t="shared" si="20"/>
        <v/>
      </c>
      <c r="CQ175" s="29">
        <f t="shared" si="21"/>
        <v>0</v>
      </c>
      <c r="CR175" s="13"/>
      <c r="CS175" s="7" t="str">
        <f>VLOOKUP(A175,'Empresas 21-23'!$A$2:$M$228,13,0)</f>
        <v/>
      </c>
      <c r="CT175" s="30"/>
      <c r="CU175" s="6">
        <f t="shared" si="22"/>
        <v>0</v>
      </c>
      <c r="CV175" s="6">
        <f t="shared" si="23"/>
        <v>0</v>
      </c>
      <c r="CW175" s="6">
        <f t="shared" si="24"/>
        <v>1025511</v>
      </c>
      <c r="CX175" s="23">
        <f t="shared" si="89"/>
        <v>0</v>
      </c>
      <c r="CY175" s="23">
        <f t="shared" si="90"/>
        <v>0</v>
      </c>
      <c r="CZ175" s="6">
        <f t="shared" si="25"/>
        <v>0</v>
      </c>
      <c r="DA175" s="6">
        <f t="shared" si="26"/>
        <v>0</v>
      </c>
      <c r="DB175" s="6">
        <f t="shared" si="27"/>
        <v>0</v>
      </c>
      <c r="DC175" s="6">
        <f t="shared" si="28"/>
        <v>0</v>
      </c>
      <c r="DD175" s="6">
        <f t="shared" si="29"/>
        <v>0</v>
      </c>
      <c r="DE175" s="6">
        <f t="shared" si="30"/>
        <v>1874828</v>
      </c>
      <c r="DF175" s="6">
        <f t="shared" si="91"/>
        <v>0</v>
      </c>
      <c r="DG175" s="30"/>
      <c r="DH175" s="32" t="str">
        <f>VLOOKUP(A175,'T_med_comp-USA'!$A$7:$Q$233,17,0)</f>
        <v>-</v>
      </c>
      <c r="DI175" s="6" t="str">
        <f t="shared" si="32"/>
        <v/>
      </c>
      <c r="DJ175" s="32" t="str">
        <f>IF(DI175="","",VLOOKUP(DI175,'CPI USA'!$T:$U,2,FALSE))</f>
        <v/>
      </c>
      <c r="DK175" s="32" t="str">
        <f>IF(DI175="","",VLOOKUP(DI175,'PPI USA'!$S:$T,2,FALSE))</f>
        <v/>
      </c>
      <c r="DL175" s="32" t="str">
        <f>IF(DI175="","",VLOOKUP(DI175,'CPI USA'!$T:$V,3,FALSE))</f>
        <v/>
      </c>
      <c r="DM175" s="32" t="str">
        <f>IF(DI175="","",VLOOKUP(DI175,'CPI USA'!$T:$X,5,FALSE))</f>
        <v/>
      </c>
      <c r="DN175" s="32" t="str">
        <f t="shared" si="33"/>
        <v/>
      </c>
      <c r="DO175" s="32" t="str">
        <f t="shared" si="34"/>
        <v/>
      </c>
      <c r="DP175" s="32" t="str">
        <f t="shared" si="35"/>
        <v/>
      </c>
      <c r="DQ175" s="32" t="str">
        <f>IF(DP175="","",DP175*$DO$1/'CPI USA'!$U$508+(1-DP175)*AVERAGE($DO$1,$DQ$1)/AVERAGE('CPI USA'!$U$508,'PPI USA'!$T$514))</f>
        <v/>
      </c>
      <c r="DR175" s="6">
        <f t="shared" si="36"/>
        <v>0</v>
      </c>
      <c r="DS175" s="32" t="str">
        <f t="shared" si="37"/>
        <v/>
      </c>
      <c r="DT175" s="28" t="str">
        <f>IF(DS175="","",DS175*$DO$1/'CPI USA'!$U$508+(1-DS175)*AVERAGE($DO$1,$DQ$1)/AVERAGE('CPI USA'!$U$508,'PPI USA'!$T$514))</f>
        <v/>
      </c>
      <c r="DU175" s="6" t="str">
        <f t="shared" si="38"/>
        <v/>
      </c>
      <c r="DV175" s="6" t="str">
        <f t="shared" si="39"/>
        <v/>
      </c>
      <c r="DW175" s="6">
        <f t="shared" si="40"/>
        <v>0</v>
      </c>
      <c r="DX175" s="16" t="str">
        <f t="shared" si="41"/>
        <v/>
      </c>
      <c r="DY175" s="28" t="str">
        <f>IF(DX175="","",DX175*$DO$1/'CPI USA'!$U$508+(1-DX175)*AVERAGE($DO$1,$DQ$1)/AVERAGE('CPI USA'!$U$508,'PPI USA'!$T$514))</f>
        <v/>
      </c>
      <c r="DZ175" s="30"/>
      <c r="EA175" s="45" t="str">
        <f t="shared" si="42"/>
        <v>C003713</v>
      </c>
      <c r="EB175" s="29" t="str">
        <f t="shared" si="43"/>
        <v/>
      </c>
      <c r="EC175" s="29" t="str">
        <f t="shared" si="44"/>
        <v/>
      </c>
      <c r="ED175" s="29" t="str">
        <f t="shared" si="45"/>
        <v/>
      </c>
      <c r="EE175" s="29" t="str">
        <f t="shared" si="46"/>
        <v/>
      </c>
      <c r="EF175" s="29" t="str">
        <f t="shared" si="47"/>
        <v/>
      </c>
      <c r="EG175" s="29" t="str">
        <f t="shared" si="48"/>
        <v/>
      </c>
      <c r="EH175" s="29" t="str">
        <f t="shared" si="49"/>
        <v/>
      </c>
      <c r="EI175" s="29" t="str">
        <f t="shared" si="50"/>
        <v/>
      </c>
      <c r="EJ175" s="29" t="str">
        <f t="shared" si="51"/>
        <v/>
      </c>
      <c r="EK175" s="29" t="str">
        <f t="shared" si="52"/>
        <v/>
      </c>
      <c r="EL175" s="29" t="str">
        <f>IF(CD175=1,VLOOKUP(EA175,'EIA 2021'!$A$2:$J$213,4,0)*EH175,"")</f>
        <v/>
      </c>
      <c r="EM175" s="29" t="str">
        <f>IF(CD175=1,VLOOKUP(EA175,'EIA 2021'!$A$2:$J$213,7,0)*EH175,"")</f>
        <v/>
      </c>
      <c r="EN175" s="29" t="str">
        <f>IF(CD175=1,VLOOKUP(EA175,'EIA 2021'!$A$2:$J$213,10,0),"")</f>
        <v/>
      </c>
      <c r="EO175" s="28" t="str">
        <f>IF(CD175=1,VLOOKUP(EA175,'EIA 2021'!$A$2:$Z$213,26,0),"")</f>
        <v/>
      </c>
      <c r="EP175" s="23" t="str">
        <f t="shared" si="53"/>
        <v/>
      </c>
      <c r="EQ175" s="32" t="str">
        <f t="shared" si="54"/>
        <v/>
      </c>
      <c r="ER175" s="32" t="str">
        <f t="shared" si="55"/>
        <v/>
      </c>
      <c r="ES175" s="6"/>
      <c r="ET175" s="32"/>
    </row>
    <row r="176" spans="1:150" ht="15.75" customHeight="1">
      <c r="A176" s="7" t="s">
        <v>730</v>
      </c>
      <c r="B176" s="7" t="s">
        <v>731</v>
      </c>
      <c r="C176" s="32" t="s">
        <v>732</v>
      </c>
      <c r="D176" s="40">
        <v>170722496</v>
      </c>
      <c r="E176" s="40">
        <v>0</v>
      </c>
      <c r="F176" s="40">
        <v>56322643</v>
      </c>
      <c r="G176" s="40">
        <v>383200053</v>
      </c>
      <c r="H176" s="40">
        <v>398571440</v>
      </c>
      <c r="I176" s="40">
        <v>39238</v>
      </c>
      <c r="J176" s="40">
        <v>1439241</v>
      </c>
      <c r="K176" s="40">
        <v>0</v>
      </c>
      <c r="L176" s="40">
        <v>0</v>
      </c>
      <c r="M176" s="40">
        <v>0</v>
      </c>
      <c r="N176" s="40">
        <v>0</v>
      </c>
      <c r="O176" s="40">
        <v>0</v>
      </c>
      <c r="P176" s="40">
        <v>0</v>
      </c>
      <c r="Q176" s="40">
        <v>1729</v>
      </c>
      <c r="R176" s="40">
        <v>0</v>
      </c>
      <c r="S176" s="40">
        <v>106545</v>
      </c>
      <c r="T176" s="40">
        <v>0</v>
      </c>
      <c r="U176" s="40">
        <v>0</v>
      </c>
      <c r="V176" s="40">
        <v>0</v>
      </c>
      <c r="W176" s="40">
        <v>0</v>
      </c>
      <c r="X176" s="40">
        <f>IFERROR(VLOOKUP(A176,'Trans 21-23'!$A$2:$J$229,6,0),0)</f>
        <v>5744499</v>
      </c>
      <c r="Y176" s="41">
        <v>0</v>
      </c>
      <c r="Z176" s="41">
        <v>0</v>
      </c>
      <c r="AA176" s="41">
        <v>671932</v>
      </c>
      <c r="AB176" s="41">
        <v>3326401</v>
      </c>
      <c r="AC176" s="41">
        <v>0</v>
      </c>
      <c r="AD176" s="41">
        <v>54941708</v>
      </c>
      <c r="AE176" s="41">
        <v>0</v>
      </c>
      <c r="AF176" s="41">
        <v>1114038422</v>
      </c>
      <c r="AG176" s="41">
        <v>0</v>
      </c>
      <c r="AH176" s="41">
        <v>574140</v>
      </c>
      <c r="AI176" s="41">
        <v>18367962</v>
      </c>
      <c r="AJ176" s="41">
        <v>0</v>
      </c>
      <c r="AK176" s="41">
        <v>0</v>
      </c>
      <c r="AL176" s="41">
        <v>0</v>
      </c>
      <c r="AM176" s="41">
        <v>0</v>
      </c>
      <c r="AN176" s="41">
        <v>0</v>
      </c>
      <c r="AO176" s="41">
        <v>0</v>
      </c>
      <c r="AP176" s="41">
        <v>0</v>
      </c>
      <c r="AQ176" s="41">
        <v>0</v>
      </c>
      <c r="AR176" s="41">
        <v>17793822</v>
      </c>
      <c r="AS176" s="41">
        <v>17793822</v>
      </c>
      <c r="AT176" s="41">
        <v>0</v>
      </c>
      <c r="AU176" s="41">
        <v>2973</v>
      </c>
      <c r="AV176" s="41">
        <v>0</v>
      </c>
      <c r="AW176" s="41">
        <v>0</v>
      </c>
      <c r="AX176" s="41">
        <v>0</v>
      </c>
      <c r="AY176" s="41">
        <v>0</v>
      </c>
      <c r="AZ176" s="41">
        <v>0</v>
      </c>
      <c r="BA176" s="41">
        <v>0</v>
      </c>
      <c r="BB176" s="41">
        <v>131985738</v>
      </c>
      <c r="BC176" s="41">
        <v>4499138747</v>
      </c>
      <c r="BD176" s="41">
        <v>406692626</v>
      </c>
      <c r="BE176" s="41">
        <v>43707584</v>
      </c>
      <c r="BF176" s="41">
        <v>1817985</v>
      </c>
      <c r="BG176" s="41">
        <v>0</v>
      </c>
      <c r="BH176" s="41">
        <v>714455</v>
      </c>
      <c r="BI176" s="41">
        <v>478176</v>
      </c>
      <c r="BJ176" s="41">
        <v>0</v>
      </c>
      <c r="BK176" s="41">
        <v>0</v>
      </c>
      <c r="BL176" s="41">
        <v>0</v>
      </c>
      <c r="BM176" s="41">
        <v>49960915</v>
      </c>
      <c r="BN176" s="41">
        <v>147284220</v>
      </c>
      <c r="BO176" s="41">
        <v>0</v>
      </c>
      <c r="BP176" s="41">
        <v>0</v>
      </c>
      <c r="BQ176" s="41">
        <v>198525483</v>
      </c>
      <c r="BR176" s="41">
        <v>0</v>
      </c>
      <c r="BS176" s="42">
        <f>IFERROR(VLOOKUP(A176,'Trans 21-23'!$A$2:$J$229,5,0),0)</f>
        <v>366014301</v>
      </c>
      <c r="BT176" s="43"/>
      <c r="BU176" s="6">
        <f t="shared" si="0"/>
        <v>131985738</v>
      </c>
      <c r="BV176" s="6">
        <f t="shared" si="1"/>
        <v>2973</v>
      </c>
      <c r="BW176" s="6">
        <f t="shared" si="2"/>
        <v>0</v>
      </c>
      <c r="BX176" s="6">
        <f t="shared" si="3"/>
        <v>1586753</v>
      </c>
      <c r="BY176" s="6">
        <f t="shared" si="4"/>
        <v>3998333</v>
      </c>
      <c r="BZ176" s="6">
        <f t="shared" si="5"/>
        <v>0</v>
      </c>
      <c r="CA176" s="6">
        <f t="shared" si="6"/>
        <v>54941708</v>
      </c>
      <c r="CB176" s="6">
        <f t="shared" si="7"/>
        <v>574140</v>
      </c>
      <c r="CC176" s="6">
        <f t="shared" si="8"/>
        <v>0</v>
      </c>
      <c r="CD176" s="6">
        <f t="shared" si="88"/>
        <v>0</v>
      </c>
      <c r="CE176" s="44">
        <f t="shared" si="10"/>
        <v>39</v>
      </c>
      <c r="CF176" s="27"/>
      <c r="CG176" s="28" t="str">
        <f t="shared" si="11"/>
        <v/>
      </c>
      <c r="CH176" s="28" t="str">
        <f t="shared" si="12"/>
        <v/>
      </c>
      <c r="CI176" s="28" t="str">
        <f t="shared" si="13"/>
        <v/>
      </c>
      <c r="CJ176" s="28" t="str">
        <f t="shared" si="14"/>
        <v/>
      </c>
      <c r="CK176" s="23" t="str">
        <f t="shared" si="15"/>
        <v/>
      </c>
      <c r="CL176" s="29" t="str">
        <f t="shared" si="16"/>
        <v/>
      </c>
      <c r="CM176" s="29" t="str">
        <f t="shared" si="66"/>
        <v/>
      </c>
      <c r="CN176" s="29" t="str">
        <f t="shared" si="18"/>
        <v/>
      </c>
      <c r="CO176" s="29" t="str">
        <f t="shared" si="19"/>
        <v/>
      </c>
      <c r="CP176" s="29" t="str">
        <f t="shared" si="20"/>
        <v/>
      </c>
      <c r="CQ176" s="29">
        <f t="shared" si="21"/>
        <v>0</v>
      </c>
      <c r="CR176" s="13"/>
      <c r="CS176" s="7" t="str">
        <f>VLOOKUP(A176,'Empresas 21-23'!$A$2:$M$228,13,0)</f>
        <v/>
      </c>
      <c r="CT176" s="30"/>
      <c r="CU176" s="6">
        <f t="shared" si="22"/>
        <v>498000039</v>
      </c>
      <c r="CV176" s="6">
        <f t="shared" si="23"/>
        <v>0</v>
      </c>
      <c r="CW176" s="6">
        <f t="shared" si="24"/>
        <v>406692626</v>
      </c>
      <c r="CX176" s="23">
        <f t="shared" si="89"/>
        <v>0.12168762257969871</v>
      </c>
      <c r="CY176" s="23">
        <f t="shared" si="90"/>
        <v>0</v>
      </c>
      <c r="CZ176" s="6">
        <f t="shared" si="25"/>
        <v>547489497.77863455</v>
      </c>
      <c r="DA176" s="6">
        <f t="shared" si="26"/>
        <v>0</v>
      </c>
      <c r="DB176" s="6">
        <f t="shared" si="27"/>
        <v>1586753</v>
      </c>
      <c r="DC176" s="6">
        <f t="shared" si="28"/>
        <v>7331252</v>
      </c>
      <c r="DD176" s="6">
        <f t="shared" si="29"/>
        <v>3998333</v>
      </c>
      <c r="DE176" s="6">
        <f t="shared" si="30"/>
        <v>54941708</v>
      </c>
      <c r="DF176" s="6">
        <f t="shared" si="91"/>
        <v>1435975.2629291306</v>
      </c>
      <c r="DG176" s="30"/>
      <c r="DH176" s="32">
        <f>VLOOKUP(A176,'T_med_comp-USA'!$A$7:$Q$233,17,0)</f>
        <v>20.254599241590924</v>
      </c>
      <c r="DI176" s="6" t="str">
        <f t="shared" si="32"/>
        <v>10_2001</v>
      </c>
      <c r="DJ176" s="32">
        <f>IF(DI176="","",VLOOKUP(DI176,'CPI USA'!$T:$U,2,FALSE))</f>
        <v>177.1</v>
      </c>
      <c r="DK176" s="32">
        <f>IF(DI176="","",VLOOKUP(DI176,'PPI USA'!$S:$T,2,FALSE))</f>
        <v>118.7</v>
      </c>
      <c r="DL176" s="32">
        <f>IF(DI176="","",VLOOKUP(DI176,'CPI USA'!$T:$V,3,FALSE))</f>
        <v>0.67915417987956239</v>
      </c>
      <c r="DM176" s="32">
        <f>IF(DI176="","",VLOOKUP(DI176,'CPI USA'!$T:$X,5,FALSE))</f>
        <v>0.50859694042773451</v>
      </c>
      <c r="DN176" s="32">
        <f t="shared" si="33"/>
        <v>1.833718090784568</v>
      </c>
      <c r="DO176" s="32">
        <f t="shared" si="34"/>
        <v>1.8654646098078655</v>
      </c>
      <c r="DP176" s="32">
        <f t="shared" si="35"/>
        <v>0.45026226514145556</v>
      </c>
      <c r="DQ176" s="32">
        <f>IF(DP176="","",DP176*$DO$1/'CPI USA'!$U$508+(1-DP176)*AVERAGE($DO$1,$DQ$1)/AVERAGE('CPI USA'!$U$508,'PPI USA'!$T$514))</f>
        <v>1.1593676404668489</v>
      </c>
      <c r="DR176" s="6">
        <f t="shared" si="36"/>
        <v>478176</v>
      </c>
      <c r="DS176" s="32">
        <f t="shared" si="37"/>
        <v>0.2</v>
      </c>
      <c r="DT176" s="28">
        <f>IF(DS176="","",DS176*$DO$1/'CPI USA'!$U$508+(1-DS176)*AVERAGE($DO$1,$DQ$1)/AVERAGE('CPI USA'!$U$508,'PPI USA'!$T$514))</f>
        <v>1.1741595760647974</v>
      </c>
      <c r="DU176" s="6">
        <f t="shared" si="38"/>
        <v>49960915</v>
      </c>
      <c r="DV176" s="6">
        <f t="shared" si="39"/>
        <v>0</v>
      </c>
      <c r="DW176" s="6">
        <f t="shared" si="40"/>
        <v>404557.50125413982</v>
      </c>
      <c r="DX176" s="16" t="str">
        <f t="shared" si="41"/>
        <v/>
      </c>
      <c r="DY176" s="28" t="str">
        <f>IF(DX176="","",DX176*$DO$1/'CPI USA'!$U$508+(1-DX176)*AVERAGE($DO$1,$DQ$1)/AVERAGE('CPI USA'!$U$508,'PPI USA'!$T$514))</f>
        <v/>
      </c>
      <c r="DZ176" s="30"/>
      <c r="EA176" s="45" t="str">
        <f t="shared" si="42"/>
        <v>C003836</v>
      </c>
      <c r="EB176" s="29" t="str">
        <f t="shared" si="43"/>
        <v/>
      </c>
      <c r="EC176" s="29" t="str">
        <f t="shared" si="44"/>
        <v/>
      </c>
      <c r="ED176" s="29" t="str">
        <f t="shared" si="45"/>
        <v/>
      </c>
      <c r="EE176" s="29" t="str">
        <f t="shared" si="46"/>
        <v/>
      </c>
      <c r="EF176" s="29" t="str">
        <f t="shared" si="47"/>
        <v/>
      </c>
      <c r="EG176" s="29" t="str">
        <f t="shared" si="48"/>
        <v/>
      </c>
      <c r="EH176" s="29" t="str">
        <f t="shared" si="49"/>
        <v/>
      </c>
      <c r="EI176" s="29" t="str">
        <f t="shared" si="50"/>
        <v/>
      </c>
      <c r="EJ176" s="29" t="str">
        <f t="shared" si="51"/>
        <v/>
      </c>
      <c r="EK176" s="29" t="str">
        <f t="shared" si="52"/>
        <v/>
      </c>
      <c r="EL176" s="29" t="str">
        <f>IF(CD176=1,VLOOKUP(EA176,'EIA 2021'!$A$2:$J$213,4,0)*EH176,"")</f>
        <v/>
      </c>
      <c r="EM176" s="29" t="str">
        <f>IF(CD176=1,VLOOKUP(EA176,'EIA 2021'!$A$2:$J$213,7,0)*EH176,"")</f>
        <v/>
      </c>
      <c r="EN176" s="29" t="str">
        <f>IF(CD176=1,VLOOKUP(EA176,'EIA 2021'!$A$2:$J$213,10,0),"")</f>
        <v/>
      </c>
      <c r="EO176" s="28" t="str">
        <f>IF(CD176=1,VLOOKUP(EA176,'EIA 2021'!$A$2:$Z$213,26,0),"")</f>
        <v/>
      </c>
      <c r="EP176" s="23" t="str">
        <f t="shared" si="53"/>
        <v/>
      </c>
      <c r="EQ176" s="32" t="str">
        <f t="shared" si="54"/>
        <v/>
      </c>
      <c r="ER176" s="32" t="str">
        <f t="shared" si="55"/>
        <v/>
      </c>
      <c r="ES176" s="6"/>
      <c r="ET176" s="32"/>
    </row>
    <row r="177" spans="1:150" ht="15.75" customHeight="1">
      <c r="A177" s="7" t="s">
        <v>733</v>
      </c>
      <c r="B177" s="7" t="s">
        <v>734</v>
      </c>
      <c r="C177" s="32" t="s">
        <v>735</v>
      </c>
      <c r="D177" s="40">
        <v>210672622</v>
      </c>
      <c r="E177" s="40">
        <v>0</v>
      </c>
      <c r="F177" s="40">
        <v>130596525</v>
      </c>
      <c r="G177" s="40">
        <v>618268515</v>
      </c>
      <c r="H177" s="40">
        <v>619489502</v>
      </c>
      <c r="I177" s="40">
        <v>0</v>
      </c>
      <c r="J177" s="40">
        <v>0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40">
        <f>IFERROR(VLOOKUP(A177,'Trans 21-23'!$A$2:$J$229,6,0),0)</f>
        <v>540756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  <c r="AD177" s="41">
        <v>117062616</v>
      </c>
      <c r="AE177" s="41">
        <v>0</v>
      </c>
      <c r="AF177" s="41">
        <v>1648286720</v>
      </c>
      <c r="AG177" s="41">
        <v>21</v>
      </c>
      <c r="AH177" s="41">
        <v>119334</v>
      </c>
      <c r="AI177" s="41">
        <v>33512748</v>
      </c>
      <c r="AJ177" s="41">
        <v>0</v>
      </c>
      <c r="AK177" s="41">
        <v>0</v>
      </c>
      <c r="AL177" s="41">
        <v>0</v>
      </c>
      <c r="AM177" s="41">
        <v>0</v>
      </c>
      <c r="AN177" s="41">
        <v>1098737</v>
      </c>
      <c r="AO177" s="41">
        <v>0</v>
      </c>
      <c r="AP177" s="41">
        <v>0</v>
      </c>
      <c r="AQ177" s="41">
        <v>1098737</v>
      </c>
      <c r="AR177" s="41">
        <v>32294677</v>
      </c>
      <c r="AS177" s="41">
        <v>33393414</v>
      </c>
      <c r="AT177" s="41">
        <v>0</v>
      </c>
      <c r="AU177" s="41">
        <v>4042</v>
      </c>
      <c r="AV177" s="41">
        <v>0</v>
      </c>
      <c r="AW177" s="41">
        <v>0</v>
      </c>
      <c r="AX177" s="41">
        <v>0</v>
      </c>
      <c r="AY177" s="41">
        <v>0</v>
      </c>
      <c r="AZ177" s="41">
        <v>0</v>
      </c>
      <c r="BA177" s="41">
        <v>0</v>
      </c>
      <c r="BB177" s="41">
        <v>0</v>
      </c>
      <c r="BC177" s="41">
        <v>7363352075</v>
      </c>
      <c r="BD177" s="41">
        <v>297637366</v>
      </c>
      <c r="BE177" s="41">
        <v>0</v>
      </c>
      <c r="BF177" s="41">
        <v>0</v>
      </c>
      <c r="BG177" s="41">
        <v>0</v>
      </c>
      <c r="BH177" s="41">
        <v>0</v>
      </c>
      <c r="BI177" s="41">
        <v>0</v>
      </c>
      <c r="BJ177" s="41">
        <v>0</v>
      </c>
      <c r="BK177" s="41">
        <v>0</v>
      </c>
      <c r="BL177" s="41">
        <v>0</v>
      </c>
      <c r="BM177" s="41">
        <v>50617548</v>
      </c>
      <c r="BN177" s="41">
        <v>111441703</v>
      </c>
      <c r="BO177" s="41">
        <v>0</v>
      </c>
      <c r="BP177" s="41">
        <v>470432</v>
      </c>
      <c r="BQ177" s="41">
        <v>115417144</v>
      </c>
      <c r="BR177" s="41">
        <v>0</v>
      </c>
      <c r="BS177" s="42">
        <f>IFERROR(VLOOKUP(A177,'Trans 21-23'!$A$2:$J$229,5,0),0)</f>
        <v>34454576</v>
      </c>
      <c r="BT177" s="43"/>
      <c r="BU177" s="6">
        <f t="shared" si="0"/>
        <v>0</v>
      </c>
      <c r="BV177" s="6">
        <f t="shared" si="1"/>
        <v>4042</v>
      </c>
      <c r="BW177" s="6">
        <f t="shared" si="2"/>
        <v>21</v>
      </c>
      <c r="BX177" s="6">
        <f t="shared" si="3"/>
        <v>0</v>
      </c>
      <c r="BY177" s="6">
        <f t="shared" si="4"/>
        <v>0</v>
      </c>
      <c r="BZ177" s="6">
        <f t="shared" si="5"/>
        <v>0</v>
      </c>
      <c r="CA177" s="6">
        <f t="shared" si="6"/>
        <v>117062616</v>
      </c>
      <c r="CB177" s="6">
        <f t="shared" si="7"/>
        <v>119334</v>
      </c>
      <c r="CC177" s="6">
        <f t="shared" si="8"/>
        <v>1098737</v>
      </c>
      <c r="CD177" s="6">
        <f t="shared" si="88"/>
        <v>0</v>
      </c>
      <c r="CE177" s="44">
        <f t="shared" si="10"/>
        <v>46</v>
      </c>
      <c r="CF177" s="27"/>
      <c r="CG177" s="28" t="str">
        <f t="shared" si="11"/>
        <v/>
      </c>
      <c r="CH177" s="28" t="str">
        <f t="shared" si="12"/>
        <v/>
      </c>
      <c r="CI177" s="28" t="str">
        <f t="shared" si="13"/>
        <v/>
      </c>
      <c r="CJ177" s="28" t="str">
        <f t="shared" si="14"/>
        <v/>
      </c>
      <c r="CK177" s="23" t="str">
        <f t="shared" si="15"/>
        <v/>
      </c>
      <c r="CL177" s="29" t="str">
        <f t="shared" si="16"/>
        <v/>
      </c>
      <c r="CM177" s="29" t="str">
        <f t="shared" si="66"/>
        <v/>
      </c>
      <c r="CN177" s="29" t="str">
        <f t="shared" si="18"/>
        <v/>
      </c>
      <c r="CO177" s="29" t="str">
        <f t="shared" si="19"/>
        <v/>
      </c>
      <c r="CP177" s="29" t="str">
        <f t="shared" si="20"/>
        <v/>
      </c>
      <c r="CQ177" s="29">
        <f t="shared" si="21"/>
        <v>0</v>
      </c>
      <c r="CR177" s="13"/>
      <c r="CS177" s="7" t="str">
        <f>VLOOKUP(A177,'Empresas 21-23'!$A$2:$M$228,13,0)</f>
        <v/>
      </c>
      <c r="CT177" s="30"/>
      <c r="CU177" s="6">
        <f t="shared" si="22"/>
        <v>34454576</v>
      </c>
      <c r="CV177" s="6">
        <f t="shared" si="23"/>
        <v>0</v>
      </c>
      <c r="CW177" s="6">
        <f t="shared" si="24"/>
        <v>297637366</v>
      </c>
      <c r="CX177" s="23">
        <f t="shared" si="89"/>
        <v>4.8763044389710866E-3</v>
      </c>
      <c r="CY177" s="23">
        <f t="shared" si="90"/>
        <v>0</v>
      </c>
      <c r="CZ177" s="6">
        <f t="shared" si="25"/>
        <v>35905946.409029461</v>
      </c>
      <c r="DA177" s="6">
        <f t="shared" si="26"/>
        <v>0</v>
      </c>
      <c r="DB177" s="6">
        <f t="shared" si="27"/>
        <v>0</v>
      </c>
      <c r="DC177" s="6">
        <f t="shared" si="28"/>
        <v>540756</v>
      </c>
      <c r="DD177" s="6">
        <f t="shared" si="29"/>
        <v>0</v>
      </c>
      <c r="DE177" s="6">
        <f t="shared" si="30"/>
        <v>117062616</v>
      </c>
      <c r="DF177" s="6">
        <f t="shared" si="91"/>
        <v>110966.07414676144</v>
      </c>
      <c r="DG177" s="30"/>
      <c r="DH177" s="32" t="str">
        <f>VLOOKUP(A177,'T_med_comp-USA'!$A$7:$Q$233,17,0)</f>
        <v>-</v>
      </c>
      <c r="DI177" s="6" t="str">
        <f t="shared" si="32"/>
        <v/>
      </c>
      <c r="DJ177" s="32" t="str">
        <f>IF(DI177="","",VLOOKUP(DI177,'CPI USA'!$T:$U,2,FALSE))</f>
        <v/>
      </c>
      <c r="DK177" s="32" t="str">
        <f>IF(DI177="","",VLOOKUP(DI177,'PPI USA'!$S:$T,2,FALSE))</f>
        <v/>
      </c>
      <c r="DL177" s="32" t="str">
        <f>IF(DI177="","",VLOOKUP(DI177,'CPI USA'!$T:$V,3,FALSE))</f>
        <v/>
      </c>
      <c r="DM177" s="32" t="str">
        <f>IF(DI177="","",VLOOKUP(DI177,'CPI USA'!$T:$X,5,FALSE))</f>
        <v/>
      </c>
      <c r="DN177" s="32" t="str">
        <f t="shared" si="33"/>
        <v/>
      </c>
      <c r="DO177" s="32" t="str">
        <f t="shared" si="34"/>
        <v/>
      </c>
      <c r="DP177" s="32" t="str">
        <f t="shared" si="35"/>
        <v/>
      </c>
      <c r="DQ177" s="32" t="str">
        <f>IF(DP177="","",DP177*$DO$1/'CPI USA'!$U$508+(1-DP177)*AVERAGE($DO$1,$DQ$1)/AVERAGE('CPI USA'!$U$508,'PPI USA'!$T$514))</f>
        <v/>
      </c>
      <c r="DR177" s="6">
        <f t="shared" si="36"/>
        <v>0</v>
      </c>
      <c r="DS177" s="32" t="str">
        <f t="shared" si="37"/>
        <v/>
      </c>
      <c r="DT177" s="28" t="str">
        <f>IF(DS177="","",DS177*$DO$1/'CPI USA'!$U$508+(1-DS177)*AVERAGE($DO$1,$DQ$1)/AVERAGE('CPI USA'!$U$508,'PPI USA'!$T$514))</f>
        <v/>
      </c>
      <c r="DU177" s="6" t="str">
        <f t="shared" si="38"/>
        <v/>
      </c>
      <c r="DV177" s="6">
        <f t="shared" si="39"/>
        <v>207157.85537855141</v>
      </c>
      <c r="DW177" s="6">
        <f t="shared" si="40"/>
        <v>0</v>
      </c>
      <c r="DX177" s="16" t="str">
        <f t="shared" si="41"/>
        <v/>
      </c>
      <c r="DY177" s="28" t="str">
        <f>IF(DX177="","",DX177*$DO$1/'CPI USA'!$U$508+(1-DX177)*AVERAGE($DO$1,$DQ$1)/AVERAGE('CPI USA'!$U$508,'PPI USA'!$T$514))</f>
        <v/>
      </c>
      <c r="DZ177" s="30"/>
      <c r="EA177" s="45" t="str">
        <f t="shared" si="42"/>
        <v>C003849</v>
      </c>
      <c r="EB177" s="29" t="str">
        <f t="shared" si="43"/>
        <v/>
      </c>
      <c r="EC177" s="29" t="str">
        <f t="shared" si="44"/>
        <v/>
      </c>
      <c r="ED177" s="29" t="str">
        <f t="shared" si="45"/>
        <v/>
      </c>
      <c r="EE177" s="29" t="str">
        <f t="shared" si="46"/>
        <v/>
      </c>
      <c r="EF177" s="29" t="str">
        <f t="shared" si="47"/>
        <v/>
      </c>
      <c r="EG177" s="29" t="str">
        <f t="shared" si="48"/>
        <v/>
      </c>
      <c r="EH177" s="29" t="str">
        <f t="shared" si="49"/>
        <v/>
      </c>
      <c r="EI177" s="29" t="str">
        <f t="shared" si="50"/>
        <v/>
      </c>
      <c r="EJ177" s="29" t="str">
        <f t="shared" si="51"/>
        <v/>
      </c>
      <c r="EK177" s="29" t="str">
        <f t="shared" si="52"/>
        <v/>
      </c>
      <c r="EL177" s="29" t="str">
        <f>IF(CD177=1,VLOOKUP(EA177,'EIA 2021'!$A$2:$J$213,4,0)*EH177,"")</f>
        <v/>
      </c>
      <c r="EM177" s="29" t="str">
        <f>IF(CD177=1,VLOOKUP(EA177,'EIA 2021'!$A$2:$J$213,7,0)*EH177,"")</f>
        <v/>
      </c>
      <c r="EN177" s="29" t="str">
        <f>IF(CD177=1,VLOOKUP(EA177,'EIA 2021'!$A$2:$J$213,10,0),"")</f>
        <v/>
      </c>
      <c r="EO177" s="28" t="str">
        <f>IF(CD177=1,VLOOKUP(EA177,'EIA 2021'!$A$2:$Z$213,26,0),"")</f>
        <v/>
      </c>
      <c r="EP177" s="23" t="str">
        <f t="shared" si="53"/>
        <v/>
      </c>
      <c r="EQ177" s="32" t="str">
        <f t="shared" si="54"/>
        <v/>
      </c>
      <c r="ER177" s="32" t="str">
        <f t="shared" si="55"/>
        <v/>
      </c>
      <c r="ES177" s="6"/>
      <c r="ET177" s="32"/>
    </row>
    <row r="178" spans="1:150" ht="15.75" customHeight="1">
      <c r="A178" s="7" t="s">
        <v>736</v>
      </c>
      <c r="B178" s="7" t="s">
        <v>737</v>
      </c>
      <c r="C178" s="32" t="s">
        <v>738</v>
      </c>
      <c r="D178" s="40">
        <v>0</v>
      </c>
      <c r="E178" s="40">
        <v>0</v>
      </c>
      <c r="F178" s="40">
        <v>0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40">
        <f>IFERROR(VLOOKUP(A178,'Trans 21-23'!$A$2:$J$229,6,0),0)</f>
        <v>0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41">
        <v>105030</v>
      </c>
      <c r="AE178" s="41">
        <v>0</v>
      </c>
      <c r="AF178" s="41">
        <v>2121375</v>
      </c>
      <c r="AG178" s="41">
        <v>0</v>
      </c>
      <c r="AH178" s="41">
        <v>0</v>
      </c>
      <c r="AI178" s="41">
        <v>0</v>
      </c>
      <c r="AJ178" s="41">
        <v>0</v>
      </c>
      <c r="AK178" s="41">
        <v>0</v>
      </c>
      <c r="AL178" s="41">
        <v>0</v>
      </c>
      <c r="AM178" s="41">
        <v>0</v>
      </c>
      <c r="AN178" s="41">
        <v>0</v>
      </c>
      <c r="AO178" s="41">
        <v>0</v>
      </c>
      <c r="AP178" s="41">
        <v>0</v>
      </c>
      <c r="AQ178" s="41">
        <v>0</v>
      </c>
      <c r="AR178" s="41">
        <v>0</v>
      </c>
      <c r="AS178" s="41">
        <v>0</v>
      </c>
      <c r="AT178" s="41">
        <v>0</v>
      </c>
      <c r="AU178" s="41">
        <v>0</v>
      </c>
      <c r="AV178" s="41">
        <v>0</v>
      </c>
      <c r="AW178" s="41">
        <v>0</v>
      </c>
      <c r="AX178" s="41">
        <v>0</v>
      </c>
      <c r="AY178" s="41">
        <v>0</v>
      </c>
      <c r="AZ178" s="41">
        <v>0</v>
      </c>
      <c r="BA178" s="41">
        <v>0</v>
      </c>
      <c r="BB178" s="41">
        <v>0</v>
      </c>
      <c r="BC178" s="41">
        <v>0</v>
      </c>
      <c r="BD178" s="41">
        <v>0</v>
      </c>
      <c r="BE178" s="41">
        <v>0</v>
      </c>
      <c r="BF178" s="41">
        <v>0</v>
      </c>
      <c r="BG178" s="41">
        <v>0</v>
      </c>
      <c r="BH178" s="41">
        <v>0</v>
      </c>
      <c r="BI178" s="41">
        <v>0</v>
      </c>
      <c r="BJ178" s="41">
        <v>0</v>
      </c>
      <c r="BK178" s="41">
        <v>0</v>
      </c>
      <c r="BL178" s="41">
        <v>0</v>
      </c>
      <c r="BM178" s="41">
        <v>0</v>
      </c>
      <c r="BN178" s="41">
        <v>0</v>
      </c>
      <c r="BO178" s="41">
        <v>0</v>
      </c>
      <c r="BP178" s="41">
        <v>0</v>
      </c>
      <c r="BQ178" s="41">
        <v>0</v>
      </c>
      <c r="BR178" s="41">
        <v>0</v>
      </c>
      <c r="BS178" s="42">
        <f>IFERROR(VLOOKUP(A178,'Trans 21-23'!$A$2:$J$229,5,0),0)</f>
        <v>0</v>
      </c>
      <c r="BT178" s="43"/>
      <c r="BU178" s="6">
        <f t="shared" si="0"/>
        <v>0</v>
      </c>
      <c r="BV178" s="6">
        <f t="shared" si="1"/>
        <v>0</v>
      </c>
      <c r="BW178" s="6">
        <f t="shared" si="2"/>
        <v>0</v>
      </c>
      <c r="BX178" s="6">
        <f t="shared" si="3"/>
        <v>0</v>
      </c>
      <c r="BY178" s="6">
        <f t="shared" si="4"/>
        <v>0</v>
      </c>
      <c r="BZ178" s="6">
        <f t="shared" si="5"/>
        <v>0</v>
      </c>
      <c r="CA178" s="6">
        <f t="shared" si="6"/>
        <v>105030</v>
      </c>
      <c r="CB178" s="6">
        <f t="shared" si="7"/>
        <v>0</v>
      </c>
      <c r="CC178" s="6">
        <f t="shared" si="8"/>
        <v>0</v>
      </c>
      <c r="CD178" s="6">
        <f t="shared" si="88"/>
        <v>0</v>
      </c>
      <c r="CE178" s="44">
        <f t="shared" si="10"/>
        <v>66</v>
      </c>
      <c r="CF178" s="27"/>
      <c r="CG178" s="28" t="str">
        <f t="shared" si="11"/>
        <v/>
      </c>
      <c r="CH178" s="28" t="str">
        <f t="shared" si="12"/>
        <v/>
      </c>
      <c r="CI178" s="28" t="str">
        <f t="shared" si="13"/>
        <v/>
      </c>
      <c r="CJ178" s="28" t="str">
        <f t="shared" si="14"/>
        <v/>
      </c>
      <c r="CK178" s="23" t="str">
        <f t="shared" si="15"/>
        <v/>
      </c>
      <c r="CL178" s="29" t="str">
        <f t="shared" si="16"/>
        <v/>
      </c>
      <c r="CM178" s="29" t="str">
        <f t="shared" si="66"/>
        <v/>
      </c>
      <c r="CN178" s="29" t="str">
        <f t="shared" si="18"/>
        <v/>
      </c>
      <c r="CO178" s="29" t="str">
        <f t="shared" si="19"/>
        <v/>
      </c>
      <c r="CP178" s="29" t="str">
        <f t="shared" si="20"/>
        <v/>
      </c>
      <c r="CQ178" s="29">
        <f t="shared" si="21"/>
        <v>0</v>
      </c>
      <c r="CR178" s="13"/>
      <c r="CS178" s="7" t="str">
        <f>VLOOKUP(A178,'Empresas 21-23'!$A$2:$M$228,13,0)</f>
        <v/>
      </c>
      <c r="CT178" s="30"/>
      <c r="CU178" s="6">
        <f t="shared" si="22"/>
        <v>0</v>
      </c>
      <c r="CV178" s="6">
        <f t="shared" si="23"/>
        <v>0</v>
      </c>
      <c r="CW178" s="6">
        <f t="shared" si="24"/>
        <v>0</v>
      </c>
      <c r="CX178" s="23" t="str">
        <f>IFERROR(CU178/(BC178-BD178),"")</f>
        <v/>
      </c>
      <c r="CY178" s="23" t="str">
        <f>IFERROR(CV178/(BC178-BD178),"")</f>
        <v/>
      </c>
      <c r="CZ178" s="6" t="e">
        <f t="shared" si="25"/>
        <v>#VALUE!</v>
      </c>
      <c r="DA178" s="6" t="e">
        <f t="shared" si="26"/>
        <v>#VALUE!</v>
      </c>
      <c r="DB178" s="6">
        <f t="shared" si="27"/>
        <v>0</v>
      </c>
      <c r="DC178" s="6">
        <f t="shared" si="28"/>
        <v>0</v>
      </c>
      <c r="DD178" s="6">
        <f t="shared" si="29"/>
        <v>0</v>
      </c>
      <c r="DE178" s="6">
        <f t="shared" si="30"/>
        <v>105030</v>
      </c>
      <c r="DF178" s="6">
        <f t="shared" si="91"/>
        <v>0</v>
      </c>
      <c r="DG178" s="30"/>
      <c r="DH178" s="32" t="str">
        <f>VLOOKUP(A178,'T_med_comp-USA'!$A$7:$Q$233,17,0)</f>
        <v>-</v>
      </c>
      <c r="DI178" s="6" t="str">
        <f t="shared" si="32"/>
        <v/>
      </c>
      <c r="DJ178" s="32" t="str">
        <f>IF(DI178="","",VLOOKUP(DI178,'CPI USA'!$T:$U,2,FALSE))</f>
        <v/>
      </c>
      <c r="DK178" s="32" t="str">
        <f>IF(DI178="","",VLOOKUP(DI178,'PPI USA'!$S:$T,2,FALSE))</f>
        <v/>
      </c>
      <c r="DL178" s="32" t="str">
        <f>IF(DI178="","",VLOOKUP(DI178,'CPI USA'!$T:$V,3,FALSE))</f>
        <v/>
      </c>
      <c r="DM178" s="32" t="str">
        <f>IF(DI178="","",VLOOKUP(DI178,'CPI USA'!$T:$X,5,FALSE))</f>
        <v/>
      </c>
      <c r="DN178" s="32" t="str">
        <f t="shared" si="33"/>
        <v/>
      </c>
      <c r="DO178" s="32" t="str">
        <f t="shared" si="34"/>
        <v/>
      </c>
      <c r="DP178" s="32" t="str">
        <f t="shared" si="35"/>
        <v/>
      </c>
      <c r="DQ178" s="32" t="str">
        <f>IF(DP178="","",DP178*$DO$1/'CPI USA'!$U$508+(1-DP178)*AVERAGE($DO$1,$DQ$1)/AVERAGE('CPI USA'!$U$508,'PPI USA'!$T$514))</f>
        <v/>
      </c>
      <c r="DR178" s="6">
        <f t="shared" si="36"/>
        <v>0</v>
      </c>
      <c r="DS178" s="32" t="str">
        <f t="shared" si="37"/>
        <v/>
      </c>
      <c r="DT178" s="28" t="str">
        <f>IF(DS178="","",DS178*$DO$1/'CPI USA'!$U$508+(1-DS178)*AVERAGE($DO$1,$DQ$1)/AVERAGE('CPI USA'!$U$508,'PPI USA'!$T$514))</f>
        <v/>
      </c>
      <c r="DU178" s="6" t="str">
        <f t="shared" si="38"/>
        <v/>
      </c>
      <c r="DV178" s="6" t="str">
        <f t="shared" si="39"/>
        <v/>
      </c>
      <c r="DW178" s="6">
        <f t="shared" si="40"/>
        <v>0</v>
      </c>
      <c r="DX178" s="16" t="e">
        <f t="shared" si="41"/>
        <v>#VALUE!</v>
      </c>
      <c r="DY178" s="28" t="e">
        <f>IF(DX178="","",DX178*$DO$1/'CPI USA'!$U$508+(1-DX178)*AVERAGE($DO$1,$DQ$1)/AVERAGE('CPI USA'!$U$508,'PPI USA'!$T$514))</f>
        <v>#VALUE!</v>
      </c>
      <c r="DZ178" s="30"/>
      <c r="EA178" s="45" t="str">
        <f t="shared" si="42"/>
        <v>C003988</v>
      </c>
      <c r="EB178" s="29" t="str">
        <f t="shared" si="43"/>
        <v/>
      </c>
      <c r="EC178" s="29" t="str">
        <f t="shared" si="44"/>
        <v/>
      </c>
      <c r="ED178" s="29" t="str">
        <f t="shared" si="45"/>
        <v/>
      </c>
      <c r="EE178" s="29" t="str">
        <f t="shared" si="46"/>
        <v/>
      </c>
      <c r="EF178" s="29" t="str">
        <f t="shared" si="47"/>
        <v/>
      </c>
      <c r="EG178" s="29" t="str">
        <f t="shared" si="48"/>
        <v/>
      </c>
      <c r="EH178" s="29" t="str">
        <f t="shared" si="49"/>
        <v/>
      </c>
      <c r="EI178" s="29" t="str">
        <f t="shared" si="50"/>
        <v/>
      </c>
      <c r="EJ178" s="29" t="str">
        <f t="shared" si="51"/>
        <v/>
      </c>
      <c r="EK178" s="29" t="str">
        <f t="shared" si="52"/>
        <v/>
      </c>
      <c r="EL178" s="29" t="str">
        <f>IF(CD178=1,VLOOKUP(EA178,'EIA 2021'!$A$2:$J$213,4,0)*EH178,"")</f>
        <v/>
      </c>
      <c r="EM178" s="29" t="str">
        <f>IF(CD178=1,VLOOKUP(EA178,'EIA 2021'!$A$2:$J$213,7,0)*EH178,"")</f>
        <v/>
      </c>
      <c r="EN178" s="29" t="str">
        <f>IF(CD178=1,VLOOKUP(EA178,'EIA 2021'!$A$2:$J$213,10,0),"")</f>
        <v/>
      </c>
      <c r="EO178" s="28" t="str">
        <f>IF(CD178=1,VLOOKUP(EA178,'EIA 2021'!$A$2:$Z$213,26,0),"")</f>
        <v/>
      </c>
      <c r="EP178" s="23" t="str">
        <f t="shared" si="53"/>
        <v/>
      </c>
      <c r="EQ178" s="32" t="str">
        <f t="shared" si="54"/>
        <v/>
      </c>
      <c r="ER178" s="32" t="str">
        <f t="shared" si="55"/>
        <v/>
      </c>
      <c r="ES178" s="6"/>
      <c r="ET178" s="32"/>
    </row>
    <row r="179" spans="1:150" ht="15.75" customHeight="1">
      <c r="A179" s="7" t="s">
        <v>739</v>
      </c>
      <c r="B179" s="7" t="s">
        <v>740</v>
      </c>
      <c r="C179" s="32" t="s">
        <v>741</v>
      </c>
      <c r="D179" s="40">
        <v>31804580</v>
      </c>
      <c r="E179" s="40">
        <v>25779591</v>
      </c>
      <c r="F179" s="40">
        <v>3198</v>
      </c>
      <c r="G179" s="40">
        <v>207719778</v>
      </c>
      <c r="H179" s="40">
        <v>211176757</v>
      </c>
      <c r="I179" s="40">
        <v>841669</v>
      </c>
      <c r="J179" s="40">
        <v>99433</v>
      </c>
      <c r="K179" s="40">
        <v>2303309</v>
      </c>
      <c r="L179" s="40">
        <v>448830</v>
      </c>
      <c r="M179" s="40">
        <v>610630</v>
      </c>
      <c r="N179" s="40">
        <v>18942</v>
      </c>
      <c r="O179" s="40">
        <v>3460382</v>
      </c>
      <c r="P179" s="40">
        <v>178427</v>
      </c>
      <c r="Q179" s="40">
        <v>178946</v>
      </c>
      <c r="R179" s="40">
        <v>6663</v>
      </c>
      <c r="S179" s="40">
        <v>1349320</v>
      </c>
      <c r="T179" s="40">
        <v>14081145</v>
      </c>
      <c r="U179" s="40">
        <v>1334714</v>
      </c>
      <c r="V179" s="40">
        <v>484696</v>
      </c>
      <c r="W179" s="40">
        <v>1718818</v>
      </c>
      <c r="X179" s="40">
        <f>IFERROR(VLOOKUP(A179,'Trans 21-23'!$A$2:$J$229,6,0),0)</f>
        <v>6835781</v>
      </c>
      <c r="Y179" s="41">
        <v>837941</v>
      </c>
      <c r="Z179" s="41">
        <v>162842</v>
      </c>
      <c r="AA179" s="41">
        <v>16757765</v>
      </c>
      <c r="AB179" s="41">
        <v>2457746</v>
      </c>
      <c r="AC179" s="41">
        <v>840955</v>
      </c>
      <c r="AD179" s="41">
        <v>99201020</v>
      </c>
      <c r="AE179" s="41">
        <v>0</v>
      </c>
      <c r="AF179" s="41">
        <v>617068523</v>
      </c>
      <c r="AG179" s="41">
        <v>337835</v>
      </c>
      <c r="AH179" s="41">
        <v>579858</v>
      </c>
      <c r="AI179" s="41">
        <v>10912496</v>
      </c>
      <c r="AJ179" s="41">
        <v>6391</v>
      </c>
      <c r="AK179" s="41">
        <v>0</v>
      </c>
      <c r="AL179" s="41">
        <v>3110589</v>
      </c>
      <c r="AM179" s="41">
        <v>3038677</v>
      </c>
      <c r="AN179" s="41">
        <v>3464617</v>
      </c>
      <c r="AO179" s="41">
        <v>16908</v>
      </c>
      <c r="AP179" s="41">
        <v>0</v>
      </c>
      <c r="AQ179" s="41">
        <v>9630791</v>
      </c>
      <c r="AR179" s="41">
        <v>1855172</v>
      </c>
      <c r="AS179" s="41">
        <v>11485963</v>
      </c>
      <c r="AT179" s="41">
        <v>0</v>
      </c>
      <c r="AU179" s="41">
        <v>2385</v>
      </c>
      <c r="AV179" s="41">
        <v>0</v>
      </c>
      <c r="AW179" s="41">
        <v>195948775</v>
      </c>
      <c r="AX179" s="41">
        <v>64182031</v>
      </c>
      <c r="AY179" s="41">
        <v>175279916</v>
      </c>
      <c r="AZ179" s="41">
        <v>81488650</v>
      </c>
      <c r="BA179" s="41">
        <v>43304277</v>
      </c>
      <c r="BB179" s="41">
        <v>1404077616</v>
      </c>
      <c r="BC179" s="41">
        <v>6771203946</v>
      </c>
      <c r="BD179" s="41">
        <v>175818515</v>
      </c>
      <c r="BE179" s="41">
        <v>360084191</v>
      </c>
      <c r="BF179" s="41">
        <v>34690316</v>
      </c>
      <c r="BG179" s="41">
        <v>0</v>
      </c>
      <c r="BH179" s="41">
        <v>10633811</v>
      </c>
      <c r="BI179" s="41">
        <v>5878046</v>
      </c>
      <c r="BJ179" s="41">
        <v>651058</v>
      </c>
      <c r="BK179" s="41">
        <v>749188</v>
      </c>
      <c r="BL179" s="41">
        <v>0</v>
      </c>
      <c r="BM179" s="41">
        <v>19952965</v>
      </c>
      <c r="BN179" s="41">
        <v>95897627</v>
      </c>
      <c r="BO179" s="41">
        <v>2858346</v>
      </c>
      <c r="BP179" s="41">
        <v>543609</v>
      </c>
      <c r="BQ179" s="41">
        <v>112934108</v>
      </c>
      <c r="BR179" s="41">
        <v>0</v>
      </c>
      <c r="BS179" s="42">
        <f>IFERROR(VLOOKUP(A179,'Trans 21-23'!$A$2:$J$229,5,0),0)</f>
        <v>435546026</v>
      </c>
      <c r="BT179" s="43"/>
      <c r="BU179" s="6">
        <f t="shared" si="0"/>
        <v>1404077616</v>
      </c>
      <c r="BV179" s="6">
        <f t="shared" si="1"/>
        <v>2385</v>
      </c>
      <c r="BW179" s="6">
        <f t="shared" si="2"/>
        <v>337835</v>
      </c>
      <c r="BX179" s="6">
        <f t="shared" si="3"/>
        <v>27115924</v>
      </c>
      <c r="BY179" s="6">
        <f t="shared" si="4"/>
        <v>21057249</v>
      </c>
      <c r="BZ179" s="6">
        <f t="shared" si="5"/>
        <v>81488650</v>
      </c>
      <c r="CA179" s="6">
        <f t="shared" si="6"/>
        <v>99201020</v>
      </c>
      <c r="CB179" s="6">
        <f t="shared" si="7"/>
        <v>579858</v>
      </c>
      <c r="CC179" s="6">
        <f t="shared" si="8"/>
        <v>9630791</v>
      </c>
      <c r="CD179" s="6">
        <f t="shared" si="88"/>
        <v>1</v>
      </c>
      <c r="CE179" s="44">
        <f t="shared" si="10"/>
        <v>8</v>
      </c>
      <c r="CF179" s="27"/>
      <c r="CG179" s="28">
        <f t="shared" si="11"/>
        <v>588.71178867924527</v>
      </c>
      <c r="CH179" s="28">
        <f t="shared" si="12"/>
        <v>7.0596593011381295</v>
      </c>
      <c r="CI179" s="28">
        <f t="shared" si="13"/>
        <v>80.263809255997757</v>
      </c>
      <c r="CJ179" s="28">
        <f t="shared" si="14"/>
        <v>241.20843015081326</v>
      </c>
      <c r="CK179" s="23">
        <f t="shared" si="15"/>
        <v>6.0208761668693669E-2</v>
      </c>
      <c r="CL179" s="29" t="str">
        <f t="shared" si="16"/>
        <v/>
      </c>
      <c r="CM179" s="29" t="str">
        <f t="shared" si="66"/>
        <v/>
      </c>
      <c r="CN179" s="29" t="str">
        <f t="shared" si="18"/>
        <v/>
      </c>
      <c r="CO179" s="29" t="str">
        <f t="shared" si="19"/>
        <v/>
      </c>
      <c r="CP179" s="29" t="str">
        <f t="shared" si="20"/>
        <v/>
      </c>
      <c r="CQ179" s="29">
        <f t="shared" si="21"/>
        <v>0</v>
      </c>
      <c r="CR179" s="13"/>
      <c r="CS179" s="7">
        <f>VLOOKUP(A179,'Empresas 21-23'!$A$2:$M$228,13,0)</f>
        <v>1</v>
      </c>
      <c r="CT179" s="30"/>
      <c r="CU179" s="6">
        <f t="shared" si="22"/>
        <v>1571153546.8</v>
      </c>
      <c r="CV179" s="6">
        <f t="shared" si="23"/>
        <v>81488650</v>
      </c>
      <c r="CW179" s="6">
        <f t="shared" si="24"/>
        <v>175818515</v>
      </c>
      <c r="CX179" s="23">
        <f t="shared" ref="CX179:CX205" si="92">CU179/(BC179-BD179)</f>
        <v>0.23822012575871246</v>
      </c>
      <c r="CY179" s="23">
        <f t="shared" ref="CY179:CY205" si="93">CV179/(BC179-BD179)</f>
        <v>1.2355403767152483E-2</v>
      </c>
      <c r="CZ179" s="6">
        <f t="shared" si="25"/>
        <v>1613037055.5540099</v>
      </c>
      <c r="DA179" s="6">
        <f t="shared" si="26"/>
        <v>83660958.742566153</v>
      </c>
      <c r="DB179" s="6">
        <f t="shared" si="27"/>
        <v>27115924</v>
      </c>
      <c r="DC179" s="6">
        <f t="shared" si="28"/>
        <v>33951705</v>
      </c>
      <c r="DD179" s="6">
        <f t="shared" si="29"/>
        <v>21057249</v>
      </c>
      <c r="DE179" s="6">
        <f t="shared" si="30"/>
        <v>99201020</v>
      </c>
      <c r="DF179" s="6">
        <f t="shared" si="91"/>
        <v>21906344.312357835</v>
      </c>
      <c r="DG179" s="30"/>
      <c r="DH179" s="32">
        <f>VLOOKUP(A179,'T_med_comp-USA'!$A$7:$Q$233,17,0)</f>
        <v>10.120551736946226</v>
      </c>
      <c r="DI179" s="6" t="str">
        <f t="shared" si="32"/>
        <v>11_2011</v>
      </c>
      <c r="DJ179" s="32">
        <f>IF(DI179="","",VLOOKUP(DI179,'CPI USA'!$T:$U,2,FALSE))</f>
        <v>224.93899999999999</v>
      </c>
      <c r="DK179" s="32">
        <f>IF(DI179="","",VLOOKUP(DI179,'PPI USA'!$S:$T,2,FALSE))</f>
        <v>169.6</v>
      </c>
      <c r="DL179" s="32">
        <f>IF(DI179="","",VLOOKUP(DI179,'CPI USA'!$T:$V,3,FALSE))</f>
        <v>0.6684022975047168</v>
      </c>
      <c r="DM179" s="32">
        <f>IF(DI179="","",VLOOKUP(DI179,'CPI USA'!$T:$X,5,FALSE))</f>
        <v>0.49636791791307899</v>
      </c>
      <c r="DN179" s="32">
        <f t="shared" si="33"/>
        <v>1.4208751760332547</v>
      </c>
      <c r="DO179" s="32">
        <f t="shared" si="34"/>
        <v>1.4334111417560953</v>
      </c>
      <c r="DP179" s="32">
        <f t="shared" si="35"/>
        <v>0.40384995679468561</v>
      </c>
      <c r="DQ179" s="32">
        <f>IF(DP179="","",DP179*$DO$1/'CPI USA'!$U$508+(1-DP179)*AVERAGE($DO$1,$DQ$1)/AVERAGE('CPI USA'!$U$508,'PPI USA'!$T$514))</f>
        <v>1.1621108741526365</v>
      </c>
      <c r="DR179" s="6">
        <f t="shared" si="36"/>
        <v>7278292</v>
      </c>
      <c r="DS179" s="32">
        <f t="shared" si="37"/>
        <v>0.35594537492510875</v>
      </c>
      <c r="DT179" s="28">
        <f>IF(DS179="","",DS179*$DO$1/'CPI USA'!$U$508+(1-DS179)*AVERAGE($DO$1,$DQ$1)/AVERAGE('CPI USA'!$U$508,'PPI USA'!$T$514))</f>
        <v>1.1649423097646372</v>
      </c>
      <c r="DU179" s="6">
        <f t="shared" si="38"/>
        <v>20547687.512746744</v>
      </c>
      <c r="DV179" s="6">
        <f t="shared" si="39"/>
        <v>96508.258680166546</v>
      </c>
      <c r="DW179" s="6">
        <f t="shared" si="40"/>
        <v>3855996.989476739</v>
      </c>
      <c r="DX179" s="16">
        <f t="shared" si="41"/>
        <v>0.2</v>
      </c>
      <c r="DY179" s="28">
        <f>IF(DX179="","",DX179*$DO$1/'CPI USA'!$U$508+(1-DX179)*AVERAGE($DO$1,$DQ$1)/AVERAGE('CPI USA'!$U$508,'PPI USA'!$T$514))</f>
        <v>1.1741595760647974</v>
      </c>
      <c r="DZ179" s="30"/>
      <c r="EA179" s="45" t="str">
        <f t="shared" si="42"/>
        <v>C004044</v>
      </c>
      <c r="EB179" s="29">
        <f t="shared" si="43"/>
        <v>2291924310.2584667</v>
      </c>
      <c r="EC179" s="29">
        <f t="shared" si="44"/>
        <v>119920550.39159133</v>
      </c>
      <c r="ED179" s="29">
        <f t="shared" si="45"/>
        <v>39455645.57652244</v>
      </c>
      <c r="EE179" s="29">
        <f t="shared" si="46"/>
        <v>24530480.287349097</v>
      </c>
      <c r="EF179" s="29">
        <f t="shared" si="47"/>
        <v>25721543.950927563</v>
      </c>
      <c r="EG179" s="29">
        <f t="shared" si="48"/>
        <v>2385</v>
      </c>
      <c r="EH179" s="29">
        <f t="shared" si="49"/>
        <v>337835</v>
      </c>
      <c r="EI179" s="29">
        <f t="shared" si="50"/>
        <v>579858</v>
      </c>
      <c r="EJ179" s="29">
        <f t="shared" si="51"/>
        <v>9630791</v>
      </c>
      <c r="EK179" s="29">
        <f t="shared" si="52"/>
        <v>10182397.649746193</v>
      </c>
      <c r="EL179" s="29">
        <f>IF(CD179=1,VLOOKUP(EA179,'EIA 2021'!$A$2:$J$213,4,0)*EH179,"")</f>
        <v>38479406.5</v>
      </c>
      <c r="EM179" s="29">
        <f>IF(CD179=1,VLOOKUP(EA179,'EIA 2021'!$A$2:$J$213,7,0)*EH179,"")</f>
        <v>449320.55000000005</v>
      </c>
      <c r="EN179" s="29">
        <f>IF(CD179=1,VLOOKUP(EA179,'EIA 2021'!$A$2:$J$213,10,0),"")</f>
        <v>337644</v>
      </c>
      <c r="EO179" s="28">
        <f>IF(CD179=1,VLOOKUP(EA179,'EIA 2021'!$A$2:$Z$213,26,0),"")</f>
        <v>0</v>
      </c>
      <c r="EP179" s="23">
        <f t="shared" si="53"/>
        <v>5.4172570029215293E-2</v>
      </c>
      <c r="EQ179" s="32">
        <f t="shared" si="54"/>
        <v>28251.350253807148</v>
      </c>
      <c r="ER179" s="32">
        <f t="shared" si="55"/>
        <v>551606.64974619285</v>
      </c>
      <c r="ES179" s="6"/>
      <c r="ET179" s="32"/>
    </row>
    <row r="180" spans="1:150" ht="15.75" customHeight="1">
      <c r="A180" s="7" t="s">
        <v>742</v>
      </c>
      <c r="B180" s="7" t="s">
        <v>743</v>
      </c>
      <c r="C180" s="32" t="s">
        <v>744</v>
      </c>
      <c r="D180" s="40">
        <v>0</v>
      </c>
      <c r="E180" s="40">
        <v>0</v>
      </c>
      <c r="F180" s="40">
        <v>0</v>
      </c>
      <c r="G180" s="40">
        <v>0</v>
      </c>
      <c r="H180" s="40">
        <v>0</v>
      </c>
      <c r="I180" s="40">
        <v>0</v>
      </c>
      <c r="J180" s="40">
        <v>0</v>
      </c>
      <c r="K180" s="40">
        <v>0</v>
      </c>
      <c r="L180" s="40">
        <v>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f>IFERROR(VLOOKUP(A180,'Trans 21-23'!$A$2:$J$229,6,0),0)</f>
        <v>0</v>
      </c>
      <c r="Y180" s="41">
        <v>0</v>
      </c>
      <c r="Z180" s="41">
        <v>0</v>
      </c>
      <c r="AA180" s="41">
        <v>0</v>
      </c>
      <c r="AB180" s="41">
        <v>0</v>
      </c>
      <c r="AC180" s="41">
        <v>0</v>
      </c>
      <c r="AD180" s="41">
        <v>193359</v>
      </c>
      <c r="AE180" s="41">
        <v>0</v>
      </c>
      <c r="AF180" s="41">
        <v>383354</v>
      </c>
      <c r="AG180" s="41">
        <v>0</v>
      </c>
      <c r="AH180" s="41">
        <v>0</v>
      </c>
      <c r="AI180" s="41">
        <v>0</v>
      </c>
      <c r="AJ180" s="41">
        <v>0</v>
      </c>
      <c r="AK180" s="41">
        <v>0</v>
      </c>
      <c r="AL180" s="41">
        <v>0</v>
      </c>
      <c r="AM180" s="41">
        <v>0</v>
      </c>
      <c r="AN180" s="41">
        <v>0</v>
      </c>
      <c r="AO180" s="41">
        <v>0</v>
      </c>
      <c r="AP180" s="41">
        <v>0</v>
      </c>
      <c r="AQ180" s="41">
        <v>0</v>
      </c>
      <c r="AR180" s="41">
        <v>0</v>
      </c>
      <c r="AS180" s="41">
        <v>0</v>
      </c>
      <c r="AT180" s="41">
        <v>0</v>
      </c>
      <c r="AU180" s="41">
        <v>0</v>
      </c>
      <c r="AV180" s="41">
        <v>0</v>
      </c>
      <c r="AW180" s="41">
        <v>0</v>
      </c>
      <c r="AX180" s="41">
        <v>0</v>
      </c>
      <c r="AY180" s="41">
        <v>0</v>
      </c>
      <c r="AZ180" s="41">
        <v>0</v>
      </c>
      <c r="BA180" s="41">
        <v>0</v>
      </c>
      <c r="BB180" s="41">
        <v>0</v>
      </c>
      <c r="BC180" s="41">
        <v>84758084</v>
      </c>
      <c r="BD180" s="41">
        <v>0</v>
      </c>
      <c r="BE180" s="41">
        <v>0</v>
      </c>
      <c r="BF180" s="41">
        <v>0</v>
      </c>
      <c r="BG180" s="41">
        <v>0</v>
      </c>
      <c r="BH180" s="41">
        <v>0</v>
      </c>
      <c r="BI180" s="41">
        <v>0</v>
      </c>
      <c r="BJ180" s="41">
        <v>0</v>
      </c>
      <c r="BK180" s="41">
        <v>0</v>
      </c>
      <c r="BL180" s="41">
        <v>0</v>
      </c>
      <c r="BM180" s="41">
        <v>0</v>
      </c>
      <c r="BN180" s="41">
        <v>0</v>
      </c>
      <c r="BO180" s="41">
        <v>0</v>
      </c>
      <c r="BP180" s="41">
        <v>0</v>
      </c>
      <c r="BQ180" s="41">
        <v>0</v>
      </c>
      <c r="BR180" s="41">
        <v>0</v>
      </c>
      <c r="BS180" s="42">
        <f>IFERROR(VLOOKUP(A180,'Trans 21-23'!$A$2:$J$229,5,0),0)</f>
        <v>0</v>
      </c>
      <c r="BT180" s="43"/>
      <c r="BU180" s="6">
        <f t="shared" si="0"/>
        <v>0</v>
      </c>
      <c r="BV180" s="6">
        <f t="shared" si="1"/>
        <v>0</v>
      </c>
      <c r="BW180" s="6">
        <f t="shared" si="2"/>
        <v>0</v>
      </c>
      <c r="BX180" s="6">
        <f t="shared" si="3"/>
        <v>0</v>
      </c>
      <c r="BY180" s="6">
        <f t="shared" si="4"/>
        <v>0</v>
      </c>
      <c r="BZ180" s="6">
        <f t="shared" si="5"/>
        <v>0</v>
      </c>
      <c r="CA180" s="6">
        <f t="shared" si="6"/>
        <v>193359</v>
      </c>
      <c r="CB180" s="6">
        <f t="shared" si="7"/>
        <v>0</v>
      </c>
      <c r="CC180" s="6">
        <f t="shared" si="8"/>
        <v>0</v>
      </c>
      <c r="CD180" s="6">
        <f t="shared" si="88"/>
        <v>0</v>
      </c>
      <c r="CE180" s="44">
        <f t="shared" si="10"/>
        <v>65</v>
      </c>
      <c r="CF180" s="27"/>
      <c r="CG180" s="28" t="str">
        <f t="shared" si="11"/>
        <v/>
      </c>
      <c r="CH180" s="28" t="str">
        <f t="shared" si="12"/>
        <v/>
      </c>
      <c r="CI180" s="28" t="str">
        <f t="shared" si="13"/>
        <v/>
      </c>
      <c r="CJ180" s="28" t="str">
        <f t="shared" si="14"/>
        <v/>
      </c>
      <c r="CK180" s="23" t="str">
        <f t="shared" si="15"/>
        <v/>
      </c>
      <c r="CL180" s="29" t="str">
        <f t="shared" si="16"/>
        <v/>
      </c>
      <c r="CM180" s="29" t="str">
        <f t="shared" si="66"/>
        <v/>
      </c>
      <c r="CN180" s="29" t="str">
        <f t="shared" si="18"/>
        <v/>
      </c>
      <c r="CO180" s="29" t="str">
        <f t="shared" si="19"/>
        <v/>
      </c>
      <c r="CP180" s="29" t="str">
        <f t="shared" si="20"/>
        <v/>
      </c>
      <c r="CQ180" s="29">
        <f t="shared" si="21"/>
        <v>0</v>
      </c>
      <c r="CR180" s="13"/>
      <c r="CS180" s="7" t="str">
        <f>VLOOKUP(A180,'Empresas 21-23'!$A$2:$M$228,13,0)</f>
        <v/>
      </c>
      <c r="CT180" s="30"/>
      <c r="CU180" s="6">
        <f t="shared" si="22"/>
        <v>0</v>
      </c>
      <c r="CV180" s="6">
        <f t="shared" si="23"/>
        <v>0</v>
      </c>
      <c r="CW180" s="6">
        <f t="shared" si="24"/>
        <v>0</v>
      </c>
      <c r="CX180" s="23">
        <f t="shared" si="92"/>
        <v>0</v>
      </c>
      <c r="CY180" s="23">
        <f t="shared" si="93"/>
        <v>0</v>
      </c>
      <c r="CZ180" s="6">
        <f t="shared" si="25"/>
        <v>0</v>
      </c>
      <c r="DA180" s="6">
        <f t="shared" si="26"/>
        <v>0</v>
      </c>
      <c r="DB180" s="6">
        <f t="shared" si="27"/>
        <v>0</v>
      </c>
      <c r="DC180" s="6">
        <f t="shared" si="28"/>
        <v>0</v>
      </c>
      <c r="DD180" s="6">
        <f t="shared" si="29"/>
        <v>0</v>
      </c>
      <c r="DE180" s="6">
        <f t="shared" si="30"/>
        <v>193359</v>
      </c>
      <c r="DF180" s="6">
        <f t="shared" si="91"/>
        <v>0</v>
      </c>
      <c r="DG180" s="30"/>
      <c r="DH180" s="32" t="str">
        <f>VLOOKUP(A180,'T_med_comp-USA'!$A$7:$Q$233,17,0)</f>
        <v>-</v>
      </c>
      <c r="DI180" s="6" t="str">
        <f t="shared" si="32"/>
        <v/>
      </c>
      <c r="DJ180" s="32" t="str">
        <f>IF(DI180="","",VLOOKUP(DI180,'CPI USA'!$T:$U,2,FALSE))</f>
        <v/>
      </c>
      <c r="DK180" s="32" t="str">
        <f>IF(DI180="","",VLOOKUP(DI180,'PPI USA'!$S:$T,2,FALSE))</f>
        <v/>
      </c>
      <c r="DL180" s="32" t="str">
        <f>IF(DI180="","",VLOOKUP(DI180,'CPI USA'!$T:$V,3,FALSE))</f>
        <v/>
      </c>
      <c r="DM180" s="32" t="str">
        <f>IF(DI180="","",VLOOKUP(DI180,'CPI USA'!$T:$X,5,FALSE))</f>
        <v/>
      </c>
      <c r="DN180" s="32" t="str">
        <f t="shared" si="33"/>
        <v/>
      </c>
      <c r="DO180" s="32" t="str">
        <f t="shared" si="34"/>
        <v/>
      </c>
      <c r="DP180" s="32" t="str">
        <f t="shared" si="35"/>
        <v/>
      </c>
      <c r="DQ180" s="32" t="str">
        <f>IF(DP180="","",DP180*$DO$1/'CPI USA'!$U$508+(1-DP180)*AVERAGE($DO$1,$DQ$1)/AVERAGE('CPI USA'!$U$508,'PPI USA'!$T$514))</f>
        <v/>
      </c>
      <c r="DR180" s="6">
        <f t="shared" si="36"/>
        <v>0</v>
      </c>
      <c r="DS180" s="32" t="str">
        <f t="shared" si="37"/>
        <v/>
      </c>
      <c r="DT180" s="28" t="str">
        <f>IF(DS180="","",DS180*$DO$1/'CPI USA'!$U$508+(1-DS180)*AVERAGE($DO$1,$DQ$1)/AVERAGE('CPI USA'!$U$508,'PPI USA'!$T$514))</f>
        <v/>
      </c>
      <c r="DU180" s="6" t="str">
        <f t="shared" si="38"/>
        <v/>
      </c>
      <c r="DV180" s="6" t="str">
        <f t="shared" si="39"/>
        <v/>
      </c>
      <c r="DW180" s="6">
        <f t="shared" si="40"/>
        <v>0</v>
      </c>
      <c r="DX180" s="16" t="str">
        <f t="shared" si="41"/>
        <v/>
      </c>
      <c r="DY180" s="28" t="str">
        <f>IF(DX180="","",DX180*$DO$1/'CPI USA'!$U$508+(1-DX180)*AVERAGE($DO$1,$DQ$1)/AVERAGE('CPI USA'!$U$508,'PPI USA'!$T$514))</f>
        <v/>
      </c>
      <c r="DZ180" s="30"/>
      <c r="EA180" s="45" t="str">
        <f t="shared" si="42"/>
        <v>C004872</v>
      </c>
      <c r="EB180" s="29" t="str">
        <f t="shared" si="43"/>
        <v/>
      </c>
      <c r="EC180" s="29" t="str">
        <f t="shared" si="44"/>
        <v/>
      </c>
      <c r="ED180" s="29" t="str">
        <f t="shared" si="45"/>
        <v/>
      </c>
      <c r="EE180" s="29" t="str">
        <f t="shared" si="46"/>
        <v/>
      </c>
      <c r="EF180" s="29" t="str">
        <f t="shared" si="47"/>
        <v/>
      </c>
      <c r="EG180" s="29" t="str">
        <f t="shared" si="48"/>
        <v/>
      </c>
      <c r="EH180" s="29" t="str">
        <f t="shared" si="49"/>
        <v/>
      </c>
      <c r="EI180" s="29" t="str">
        <f t="shared" si="50"/>
        <v/>
      </c>
      <c r="EJ180" s="29" t="str">
        <f t="shared" si="51"/>
        <v/>
      </c>
      <c r="EK180" s="29" t="str">
        <f t="shared" si="52"/>
        <v/>
      </c>
      <c r="EL180" s="29" t="str">
        <f>IF(CD180=1,VLOOKUP(EA180,'EIA 2021'!$A$2:$J$213,4,0)*EH180,"")</f>
        <v/>
      </c>
      <c r="EM180" s="29" t="str">
        <f>IF(CD180=1,VLOOKUP(EA180,'EIA 2021'!$A$2:$J$213,7,0)*EH180,"")</f>
        <v/>
      </c>
      <c r="EN180" s="29" t="str">
        <f>IF(CD180=1,VLOOKUP(EA180,'EIA 2021'!$A$2:$J$213,10,0),"")</f>
        <v/>
      </c>
      <c r="EO180" s="28" t="str">
        <f>IF(CD180=1,VLOOKUP(EA180,'EIA 2021'!$A$2:$Z$213,26,0),"")</f>
        <v/>
      </c>
      <c r="EP180" s="23" t="str">
        <f t="shared" si="53"/>
        <v/>
      </c>
      <c r="EQ180" s="32" t="str">
        <f t="shared" si="54"/>
        <v/>
      </c>
      <c r="ER180" s="32" t="str">
        <f t="shared" si="55"/>
        <v/>
      </c>
      <c r="ES180" s="6"/>
      <c r="ET180" s="32"/>
    </row>
    <row r="181" spans="1:150" ht="15.75" customHeight="1">
      <c r="A181" s="7" t="s">
        <v>745</v>
      </c>
      <c r="B181" s="7" t="s">
        <v>746</v>
      </c>
      <c r="C181" s="32" t="s">
        <v>747</v>
      </c>
      <c r="D181" s="40">
        <v>0</v>
      </c>
      <c r="E181" s="40">
        <v>0</v>
      </c>
      <c r="F181" s="40">
        <v>0</v>
      </c>
      <c r="G181" s="40">
        <v>0</v>
      </c>
      <c r="H181" s="40">
        <v>0</v>
      </c>
      <c r="I181" s="40">
        <v>0</v>
      </c>
      <c r="J181" s="40">
        <v>0</v>
      </c>
      <c r="K181" s="40">
        <v>0</v>
      </c>
      <c r="L181" s="40">
        <v>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40">
        <f>IFERROR(VLOOKUP(A181,'Trans 21-23'!$A$2:$J$229,6,0),0)</f>
        <v>0</v>
      </c>
      <c r="Y181" s="41">
        <v>0</v>
      </c>
      <c r="Z181" s="41">
        <v>0</v>
      </c>
      <c r="AA181" s="41">
        <v>0</v>
      </c>
      <c r="AB181" s="41">
        <v>0</v>
      </c>
      <c r="AC181" s="41">
        <v>0</v>
      </c>
      <c r="AD181" s="41">
        <v>424014</v>
      </c>
      <c r="AE181" s="41">
        <v>0</v>
      </c>
      <c r="AF181" s="41">
        <v>2981032</v>
      </c>
      <c r="AG181" s="41">
        <v>0</v>
      </c>
      <c r="AH181" s="41">
        <v>0</v>
      </c>
      <c r="AI181" s="41">
        <v>0</v>
      </c>
      <c r="AJ181" s="41">
        <v>0</v>
      </c>
      <c r="AK181" s="41">
        <v>0</v>
      </c>
      <c r="AL181" s="41">
        <v>0</v>
      </c>
      <c r="AM181" s="41">
        <v>0</v>
      </c>
      <c r="AN181" s="41">
        <v>0</v>
      </c>
      <c r="AO181" s="41">
        <v>0</v>
      </c>
      <c r="AP181" s="41">
        <v>0</v>
      </c>
      <c r="AQ181" s="41">
        <v>0</v>
      </c>
      <c r="AR181" s="41">
        <v>0</v>
      </c>
      <c r="AS181" s="41">
        <v>0</v>
      </c>
      <c r="AT181" s="41">
        <v>0</v>
      </c>
      <c r="AU181" s="41">
        <v>0</v>
      </c>
      <c r="AV181" s="41">
        <v>0</v>
      </c>
      <c r="AW181" s="41">
        <v>0</v>
      </c>
      <c r="AX181" s="41">
        <v>0</v>
      </c>
      <c r="AY181" s="41">
        <v>0</v>
      </c>
      <c r="AZ181" s="41">
        <v>0</v>
      </c>
      <c r="BA181" s="41">
        <v>0</v>
      </c>
      <c r="BB181" s="41">
        <v>0</v>
      </c>
      <c r="BC181" s="41">
        <v>57569623</v>
      </c>
      <c r="BD181" s="41">
        <v>410168</v>
      </c>
      <c r="BE181" s="41">
        <v>0</v>
      </c>
      <c r="BF181" s="41">
        <v>0</v>
      </c>
      <c r="BG181" s="41">
        <v>0</v>
      </c>
      <c r="BH181" s="41">
        <v>0</v>
      </c>
      <c r="BI181" s="41">
        <v>0</v>
      </c>
      <c r="BJ181" s="41">
        <v>0</v>
      </c>
      <c r="BK181" s="41">
        <v>0</v>
      </c>
      <c r="BL181" s="41">
        <v>0</v>
      </c>
      <c r="BM181" s="41">
        <v>0</v>
      </c>
      <c r="BN181" s="41">
        <v>0</v>
      </c>
      <c r="BO181" s="41">
        <v>0</v>
      </c>
      <c r="BP181" s="41">
        <v>0</v>
      </c>
      <c r="BQ181" s="41">
        <v>0</v>
      </c>
      <c r="BR181" s="41">
        <v>0</v>
      </c>
      <c r="BS181" s="42">
        <f>IFERROR(VLOOKUP(A181,'Trans 21-23'!$A$2:$J$229,5,0),0)</f>
        <v>0</v>
      </c>
      <c r="BT181" s="43"/>
      <c r="BU181" s="6">
        <f t="shared" si="0"/>
        <v>0</v>
      </c>
      <c r="BV181" s="6">
        <f t="shared" si="1"/>
        <v>0</v>
      </c>
      <c r="BW181" s="6">
        <f t="shared" si="2"/>
        <v>0</v>
      </c>
      <c r="BX181" s="6">
        <f t="shared" si="3"/>
        <v>0</v>
      </c>
      <c r="BY181" s="6">
        <f t="shared" si="4"/>
        <v>0</v>
      </c>
      <c r="BZ181" s="6">
        <f t="shared" si="5"/>
        <v>0</v>
      </c>
      <c r="CA181" s="6">
        <f t="shared" si="6"/>
        <v>424014</v>
      </c>
      <c r="CB181" s="6">
        <f t="shared" si="7"/>
        <v>0</v>
      </c>
      <c r="CC181" s="6">
        <f t="shared" si="8"/>
        <v>0</v>
      </c>
      <c r="CD181" s="6">
        <f t="shared" si="88"/>
        <v>0</v>
      </c>
      <c r="CE181" s="44">
        <f t="shared" si="10"/>
        <v>64</v>
      </c>
      <c r="CF181" s="27"/>
      <c r="CG181" s="28" t="str">
        <f t="shared" si="11"/>
        <v/>
      </c>
      <c r="CH181" s="28" t="str">
        <f t="shared" si="12"/>
        <v/>
      </c>
      <c r="CI181" s="28" t="str">
        <f t="shared" si="13"/>
        <v/>
      </c>
      <c r="CJ181" s="28" t="str">
        <f t="shared" si="14"/>
        <v/>
      </c>
      <c r="CK181" s="23" t="str">
        <f t="shared" si="15"/>
        <v/>
      </c>
      <c r="CL181" s="29" t="str">
        <f t="shared" si="16"/>
        <v/>
      </c>
      <c r="CM181" s="29" t="str">
        <f t="shared" si="66"/>
        <v/>
      </c>
      <c r="CN181" s="29" t="str">
        <f t="shared" si="18"/>
        <v/>
      </c>
      <c r="CO181" s="29" t="str">
        <f t="shared" si="19"/>
        <v/>
      </c>
      <c r="CP181" s="29" t="str">
        <f t="shared" si="20"/>
        <v/>
      </c>
      <c r="CQ181" s="29">
        <f t="shared" si="21"/>
        <v>0</v>
      </c>
      <c r="CR181" s="13"/>
      <c r="CS181" s="7" t="str">
        <f>VLOOKUP(A181,'Empresas 21-23'!$A$2:$M$228,13,0)</f>
        <v/>
      </c>
      <c r="CT181" s="30"/>
      <c r="CU181" s="6">
        <f t="shared" si="22"/>
        <v>0</v>
      </c>
      <c r="CV181" s="6">
        <f t="shared" si="23"/>
        <v>0</v>
      </c>
      <c r="CW181" s="6">
        <f t="shared" si="24"/>
        <v>410168</v>
      </c>
      <c r="CX181" s="23">
        <f t="shared" si="92"/>
        <v>0</v>
      </c>
      <c r="CY181" s="23">
        <f t="shared" si="93"/>
        <v>0</v>
      </c>
      <c r="CZ181" s="6">
        <f t="shared" si="25"/>
        <v>0</v>
      </c>
      <c r="DA181" s="6">
        <f t="shared" si="26"/>
        <v>0</v>
      </c>
      <c r="DB181" s="6">
        <f t="shared" si="27"/>
        <v>0</v>
      </c>
      <c r="DC181" s="6">
        <f t="shared" si="28"/>
        <v>0</v>
      </c>
      <c r="DD181" s="6">
        <f t="shared" si="29"/>
        <v>0</v>
      </c>
      <c r="DE181" s="6">
        <f t="shared" si="30"/>
        <v>424014</v>
      </c>
      <c r="DF181" s="6">
        <f t="shared" si="91"/>
        <v>0</v>
      </c>
      <c r="DG181" s="30"/>
      <c r="DH181" s="32" t="str">
        <f>VLOOKUP(A181,'T_med_comp-USA'!$A$7:$Q$233,17,0)</f>
        <v>-</v>
      </c>
      <c r="DI181" s="6" t="str">
        <f t="shared" si="32"/>
        <v/>
      </c>
      <c r="DJ181" s="32" t="str">
        <f>IF(DI181="","",VLOOKUP(DI181,'CPI USA'!$T:$U,2,FALSE))</f>
        <v/>
      </c>
      <c r="DK181" s="32" t="str">
        <f>IF(DI181="","",VLOOKUP(DI181,'PPI USA'!$S:$T,2,FALSE))</f>
        <v/>
      </c>
      <c r="DL181" s="32" t="str">
        <f>IF(DI181="","",VLOOKUP(DI181,'CPI USA'!$T:$V,3,FALSE))</f>
        <v/>
      </c>
      <c r="DM181" s="32" t="str">
        <f>IF(DI181="","",VLOOKUP(DI181,'CPI USA'!$T:$X,5,FALSE))</f>
        <v/>
      </c>
      <c r="DN181" s="32" t="str">
        <f t="shared" si="33"/>
        <v/>
      </c>
      <c r="DO181" s="32" t="str">
        <f t="shared" si="34"/>
        <v/>
      </c>
      <c r="DP181" s="32" t="str">
        <f t="shared" si="35"/>
        <v/>
      </c>
      <c r="DQ181" s="32" t="str">
        <f>IF(DP181="","",DP181*$DO$1/'CPI USA'!$U$508+(1-DP181)*AVERAGE($DO$1,$DQ$1)/AVERAGE('CPI USA'!$U$508,'PPI USA'!$T$514))</f>
        <v/>
      </c>
      <c r="DR181" s="6">
        <f t="shared" si="36"/>
        <v>0</v>
      </c>
      <c r="DS181" s="32" t="str">
        <f t="shared" si="37"/>
        <v/>
      </c>
      <c r="DT181" s="28" t="str">
        <f>IF(DS181="","",DS181*$DO$1/'CPI USA'!$U$508+(1-DS181)*AVERAGE($DO$1,$DQ$1)/AVERAGE('CPI USA'!$U$508,'PPI USA'!$T$514))</f>
        <v/>
      </c>
      <c r="DU181" s="6" t="str">
        <f t="shared" si="38"/>
        <v/>
      </c>
      <c r="DV181" s="6" t="str">
        <f t="shared" si="39"/>
        <v/>
      </c>
      <c r="DW181" s="6">
        <f t="shared" si="40"/>
        <v>0</v>
      </c>
      <c r="DX181" s="16" t="str">
        <f t="shared" si="41"/>
        <v/>
      </c>
      <c r="DY181" s="28" t="str">
        <f>IF(DX181="","",DX181*$DO$1/'CPI USA'!$U$508+(1-DX181)*AVERAGE($DO$1,$DQ$1)/AVERAGE('CPI USA'!$U$508,'PPI USA'!$T$514))</f>
        <v/>
      </c>
      <c r="DZ181" s="30"/>
      <c r="EA181" s="45" t="str">
        <f t="shared" si="42"/>
        <v>C004881</v>
      </c>
      <c r="EB181" s="29" t="str">
        <f t="shared" si="43"/>
        <v/>
      </c>
      <c r="EC181" s="29" t="str">
        <f t="shared" si="44"/>
        <v/>
      </c>
      <c r="ED181" s="29" t="str">
        <f t="shared" si="45"/>
        <v/>
      </c>
      <c r="EE181" s="29" t="str">
        <f t="shared" si="46"/>
        <v/>
      </c>
      <c r="EF181" s="29" t="str">
        <f t="shared" si="47"/>
        <v/>
      </c>
      <c r="EG181" s="29" t="str">
        <f t="shared" si="48"/>
        <v/>
      </c>
      <c r="EH181" s="29" t="str">
        <f t="shared" si="49"/>
        <v/>
      </c>
      <c r="EI181" s="29" t="str">
        <f t="shared" si="50"/>
        <v/>
      </c>
      <c r="EJ181" s="29" t="str">
        <f t="shared" si="51"/>
        <v/>
      </c>
      <c r="EK181" s="29" t="str">
        <f t="shared" si="52"/>
        <v/>
      </c>
      <c r="EL181" s="29" t="str">
        <f>IF(CD181=1,VLOOKUP(EA181,'EIA 2021'!$A$2:$J$213,4,0)*EH181,"")</f>
        <v/>
      </c>
      <c r="EM181" s="29" t="str">
        <f>IF(CD181=1,VLOOKUP(EA181,'EIA 2021'!$A$2:$J$213,7,0)*EH181,"")</f>
        <v/>
      </c>
      <c r="EN181" s="29" t="str">
        <f>IF(CD181=1,VLOOKUP(EA181,'EIA 2021'!$A$2:$J$213,10,0),"")</f>
        <v/>
      </c>
      <c r="EO181" s="28" t="str">
        <f>IF(CD181=1,VLOOKUP(EA181,'EIA 2021'!$A$2:$Z$213,26,0),"")</f>
        <v/>
      </c>
      <c r="EP181" s="23" t="str">
        <f t="shared" si="53"/>
        <v/>
      </c>
      <c r="EQ181" s="32" t="str">
        <f t="shared" si="54"/>
        <v/>
      </c>
      <c r="ER181" s="32" t="str">
        <f t="shared" si="55"/>
        <v/>
      </c>
      <c r="ES181" s="6"/>
      <c r="ET181" s="32"/>
    </row>
    <row r="182" spans="1:150" ht="15.75" customHeight="1">
      <c r="A182" s="7" t="s">
        <v>748</v>
      </c>
      <c r="B182" s="7" t="s">
        <v>749</v>
      </c>
      <c r="C182" s="32" t="s">
        <v>750</v>
      </c>
      <c r="D182" s="40">
        <v>0</v>
      </c>
      <c r="E182" s="40">
        <v>0</v>
      </c>
      <c r="F182" s="40">
        <v>0</v>
      </c>
      <c r="G182" s="40">
        <v>0</v>
      </c>
      <c r="H182" s="40">
        <v>0</v>
      </c>
      <c r="I182" s="40">
        <v>0</v>
      </c>
      <c r="J182" s="40">
        <v>0</v>
      </c>
      <c r="K182" s="40">
        <v>0</v>
      </c>
      <c r="L182" s="40">
        <v>0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f>IFERROR(VLOOKUP(A182,'Trans 21-23'!$A$2:$J$229,6,0),0)</f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41">
        <v>390487</v>
      </c>
      <c r="AE182" s="41">
        <v>0</v>
      </c>
      <c r="AF182" s="41">
        <v>489333</v>
      </c>
      <c r="AG182" s="41">
        <v>0</v>
      </c>
      <c r="AH182" s="41">
        <v>0</v>
      </c>
      <c r="AI182" s="41">
        <v>0</v>
      </c>
      <c r="AJ182" s="41">
        <v>0</v>
      </c>
      <c r="AK182" s="41">
        <v>0</v>
      </c>
      <c r="AL182" s="41">
        <v>0</v>
      </c>
      <c r="AM182" s="41">
        <v>0</v>
      </c>
      <c r="AN182" s="41">
        <v>0</v>
      </c>
      <c r="AO182" s="41">
        <v>0</v>
      </c>
      <c r="AP182" s="41">
        <v>0</v>
      </c>
      <c r="AQ182" s="41">
        <v>0</v>
      </c>
      <c r="AR182" s="41">
        <v>0</v>
      </c>
      <c r="AS182" s="41">
        <v>0</v>
      </c>
      <c r="AT182" s="41">
        <v>0</v>
      </c>
      <c r="AU182" s="41">
        <v>0</v>
      </c>
      <c r="AV182" s="41">
        <v>0</v>
      </c>
      <c r="AW182" s="41">
        <v>0</v>
      </c>
      <c r="AX182" s="41">
        <v>0</v>
      </c>
      <c r="AY182" s="41">
        <v>0</v>
      </c>
      <c r="AZ182" s="41">
        <v>0</v>
      </c>
      <c r="BA182" s="41">
        <v>0</v>
      </c>
      <c r="BB182" s="41">
        <v>0</v>
      </c>
      <c r="BC182" s="41">
        <v>19610316</v>
      </c>
      <c r="BD182" s="41">
        <v>0</v>
      </c>
      <c r="BE182" s="41">
        <v>0</v>
      </c>
      <c r="BF182" s="41">
        <v>0</v>
      </c>
      <c r="BG182" s="41">
        <v>0</v>
      </c>
      <c r="BH182" s="41">
        <v>0</v>
      </c>
      <c r="BI182" s="41">
        <v>0</v>
      </c>
      <c r="BJ182" s="41">
        <v>0</v>
      </c>
      <c r="BK182" s="41">
        <v>0</v>
      </c>
      <c r="BL182" s="41">
        <v>0</v>
      </c>
      <c r="BM182" s="41">
        <v>136612</v>
      </c>
      <c r="BN182" s="41">
        <v>161282</v>
      </c>
      <c r="BO182" s="41">
        <v>0</v>
      </c>
      <c r="BP182" s="41">
        <v>406</v>
      </c>
      <c r="BQ182" s="41">
        <v>161688</v>
      </c>
      <c r="BR182" s="41">
        <v>0</v>
      </c>
      <c r="BS182" s="42">
        <f>IFERROR(VLOOKUP(A182,'Trans 21-23'!$A$2:$J$229,5,0),0)</f>
        <v>0</v>
      </c>
      <c r="BT182" s="43"/>
      <c r="BU182" s="6">
        <f t="shared" si="0"/>
        <v>0</v>
      </c>
      <c r="BV182" s="6">
        <f t="shared" si="1"/>
        <v>0</v>
      </c>
      <c r="BW182" s="6">
        <f t="shared" si="2"/>
        <v>0</v>
      </c>
      <c r="BX182" s="6">
        <f t="shared" si="3"/>
        <v>0</v>
      </c>
      <c r="BY182" s="6">
        <f t="shared" si="4"/>
        <v>0</v>
      </c>
      <c r="BZ182" s="6">
        <f t="shared" si="5"/>
        <v>0</v>
      </c>
      <c r="CA182" s="6">
        <f t="shared" si="6"/>
        <v>390487</v>
      </c>
      <c r="CB182" s="6">
        <f t="shared" si="7"/>
        <v>0</v>
      </c>
      <c r="CC182" s="6">
        <f t="shared" si="8"/>
        <v>0</v>
      </c>
      <c r="CD182" s="6">
        <f t="shared" si="88"/>
        <v>0</v>
      </c>
      <c r="CE182" s="44">
        <f t="shared" si="10"/>
        <v>61</v>
      </c>
      <c r="CF182" s="27"/>
      <c r="CG182" s="28" t="str">
        <f t="shared" si="11"/>
        <v/>
      </c>
      <c r="CH182" s="28" t="str">
        <f t="shared" si="12"/>
        <v/>
      </c>
      <c r="CI182" s="28" t="str">
        <f t="shared" si="13"/>
        <v/>
      </c>
      <c r="CJ182" s="28" t="str">
        <f t="shared" si="14"/>
        <v/>
      </c>
      <c r="CK182" s="23" t="str">
        <f t="shared" si="15"/>
        <v/>
      </c>
      <c r="CL182" s="29" t="str">
        <f t="shared" si="16"/>
        <v/>
      </c>
      <c r="CM182" s="29" t="str">
        <f t="shared" si="66"/>
        <v/>
      </c>
      <c r="CN182" s="29" t="str">
        <f t="shared" si="18"/>
        <v/>
      </c>
      <c r="CO182" s="29" t="str">
        <f t="shared" si="19"/>
        <v/>
      </c>
      <c r="CP182" s="29" t="str">
        <f t="shared" si="20"/>
        <v/>
      </c>
      <c r="CQ182" s="29">
        <f t="shared" si="21"/>
        <v>0</v>
      </c>
      <c r="CR182" s="13"/>
      <c r="CS182" s="7" t="str">
        <f>VLOOKUP(A182,'Empresas 21-23'!$A$2:$M$228,13,0)</f>
        <v/>
      </c>
      <c r="CT182" s="30"/>
      <c r="CU182" s="6">
        <f t="shared" si="22"/>
        <v>0</v>
      </c>
      <c r="CV182" s="6">
        <f t="shared" si="23"/>
        <v>0</v>
      </c>
      <c r="CW182" s="6">
        <f t="shared" si="24"/>
        <v>0</v>
      </c>
      <c r="CX182" s="23">
        <f t="shared" si="92"/>
        <v>0</v>
      </c>
      <c r="CY182" s="23">
        <f t="shared" si="93"/>
        <v>0</v>
      </c>
      <c r="CZ182" s="6">
        <f t="shared" si="25"/>
        <v>0</v>
      </c>
      <c r="DA182" s="6">
        <f t="shared" si="26"/>
        <v>0</v>
      </c>
      <c r="DB182" s="6">
        <f t="shared" si="27"/>
        <v>0</v>
      </c>
      <c r="DC182" s="6">
        <f t="shared" si="28"/>
        <v>0</v>
      </c>
      <c r="DD182" s="6">
        <f t="shared" si="29"/>
        <v>0</v>
      </c>
      <c r="DE182" s="6">
        <f t="shared" si="30"/>
        <v>390487</v>
      </c>
      <c r="DF182" s="6">
        <f t="shared" si="91"/>
        <v>0</v>
      </c>
      <c r="DG182" s="30"/>
      <c r="DH182" s="32" t="str">
        <f>VLOOKUP(A182,'T_med_comp-USA'!$A$7:$Q$233,17,0)</f>
        <v>-</v>
      </c>
      <c r="DI182" s="6" t="str">
        <f t="shared" si="32"/>
        <v/>
      </c>
      <c r="DJ182" s="32" t="str">
        <f>IF(DI182="","",VLOOKUP(DI182,'CPI USA'!$T:$U,2,FALSE))</f>
        <v/>
      </c>
      <c r="DK182" s="32" t="str">
        <f>IF(DI182="","",VLOOKUP(DI182,'PPI USA'!$S:$T,2,FALSE))</f>
        <v/>
      </c>
      <c r="DL182" s="32" t="str">
        <f>IF(DI182="","",VLOOKUP(DI182,'CPI USA'!$T:$V,3,FALSE))</f>
        <v/>
      </c>
      <c r="DM182" s="32" t="str">
        <f>IF(DI182="","",VLOOKUP(DI182,'CPI USA'!$T:$X,5,FALSE))</f>
        <v/>
      </c>
      <c r="DN182" s="32" t="str">
        <f t="shared" si="33"/>
        <v/>
      </c>
      <c r="DO182" s="32" t="str">
        <f t="shared" si="34"/>
        <v/>
      </c>
      <c r="DP182" s="32" t="str">
        <f t="shared" si="35"/>
        <v/>
      </c>
      <c r="DQ182" s="32" t="str">
        <f>IF(DP182="","",DP182*$DO$1/'CPI USA'!$U$508+(1-DP182)*AVERAGE($DO$1,$DQ$1)/AVERAGE('CPI USA'!$U$508,'PPI USA'!$T$514))</f>
        <v/>
      </c>
      <c r="DR182" s="6">
        <f t="shared" si="36"/>
        <v>0</v>
      </c>
      <c r="DS182" s="32" t="str">
        <f t="shared" si="37"/>
        <v/>
      </c>
      <c r="DT182" s="28" t="str">
        <f>IF(DS182="","",DS182*$DO$1/'CPI USA'!$U$508+(1-DS182)*AVERAGE($DO$1,$DQ$1)/AVERAGE('CPI USA'!$U$508,'PPI USA'!$T$514))</f>
        <v/>
      </c>
      <c r="DU182" s="6" t="str">
        <f t="shared" si="38"/>
        <v/>
      </c>
      <c r="DV182" s="6">
        <f t="shared" si="39"/>
        <v>343.89747150952991</v>
      </c>
      <c r="DW182" s="6">
        <f t="shared" si="40"/>
        <v>0</v>
      </c>
      <c r="DX182" s="16" t="str">
        <f t="shared" si="41"/>
        <v/>
      </c>
      <c r="DY182" s="28" t="str">
        <f>IF(DX182="","",DX182*$DO$1/'CPI USA'!$U$508+(1-DX182)*AVERAGE($DO$1,$DQ$1)/AVERAGE('CPI USA'!$U$508,'PPI USA'!$T$514))</f>
        <v/>
      </c>
      <c r="DZ182" s="30"/>
      <c r="EA182" s="45" t="str">
        <f t="shared" si="42"/>
        <v>C004936</v>
      </c>
      <c r="EB182" s="29" t="str">
        <f t="shared" si="43"/>
        <v/>
      </c>
      <c r="EC182" s="29" t="str">
        <f t="shared" si="44"/>
        <v/>
      </c>
      <c r="ED182" s="29" t="str">
        <f t="shared" si="45"/>
        <v/>
      </c>
      <c r="EE182" s="29" t="str">
        <f t="shared" si="46"/>
        <v/>
      </c>
      <c r="EF182" s="29" t="str">
        <f t="shared" si="47"/>
        <v/>
      </c>
      <c r="EG182" s="29" t="str">
        <f t="shared" si="48"/>
        <v/>
      </c>
      <c r="EH182" s="29" t="str">
        <f t="shared" si="49"/>
        <v/>
      </c>
      <c r="EI182" s="29" t="str">
        <f t="shared" si="50"/>
        <v/>
      </c>
      <c r="EJ182" s="29" t="str">
        <f t="shared" si="51"/>
        <v/>
      </c>
      <c r="EK182" s="29" t="str">
        <f t="shared" si="52"/>
        <v/>
      </c>
      <c r="EL182" s="29" t="str">
        <f>IF(CD182=1,VLOOKUP(EA182,'EIA 2021'!$A$2:$J$213,4,0)*EH182,"")</f>
        <v/>
      </c>
      <c r="EM182" s="29" t="str">
        <f>IF(CD182=1,VLOOKUP(EA182,'EIA 2021'!$A$2:$J$213,7,0)*EH182,"")</f>
        <v/>
      </c>
      <c r="EN182" s="29" t="str">
        <f>IF(CD182=1,VLOOKUP(EA182,'EIA 2021'!$A$2:$J$213,10,0),"")</f>
        <v/>
      </c>
      <c r="EO182" s="28" t="str">
        <f>IF(CD182=1,VLOOKUP(EA182,'EIA 2021'!$A$2:$Z$213,26,0),"")</f>
        <v/>
      </c>
      <c r="EP182" s="23" t="str">
        <f t="shared" si="53"/>
        <v/>
      </c>
      <c r="EQ182" s="32" t="str">
        <f t="shared" si="54"/>
        <v/>
      </c>
      <c r="ER182" s="32" t="str">
        <f t="shared" si="55"/>
        <v/>
      </c>
      <c r="ES182" s="6"/>
      <c r="ET182" s="32"/>
    </row>
    <row r="183" spans="1:150" ht="15.75" customHeight="1">
      <c r="A183" s="7" t="s">
        <v>751</v>
      </c>
      <c r="B183" s="7" t="s">
        <v>752</v>
      </c>
      <c r="C183" s="32" t="s">
        <v>753</v>
      </c>
      <c r="D183" s="40">
        <v>1208925434</v>
      </c>
      <c r="E183" s="40">
        <v>96293500</v>
      </c>
      <c r="F183" s="40">
        <v>0</v>
      </c>
      <c r="G183" s="40">
        <v>768416236</v>
      </c>
      <c r="H183" s="40">
        <v>733965895</v>
      </c>
      <c r="I183" s="40">
        <v>20122580</v>
      </c>
      <c r="J183" s="40">
        <v>599104</v>
      </c>
      <c r="K183" s="40">
        <v>3261445</v>
      </c>
      <c r="L183" s="40">
        <v>1341314</v>
      </c>
      <c r="M183" s="40">
        <v>2613649</v>
      </c>
      <c r="N183" s="40">
        <v>1913234</v>
      </c>
      <c r="O183" s="40">
        <v>7843731</v>
      </c>
      <c r="P183" s="40">
        <v>5310889</v>
      </c>
      <c r="Q183" s="40">
        <v>3505656</v>
      </c>
      <c r="R183" s="40">
        <v>2093135</v>
      </c>
      <c r="S183" s="40">
        <v>4076828</v>
      </c>
      <c r="T183" s="40">
        <v>44756537</v>
      </c>
      <c r="U183" s="40">
        <v>3738385</v>
      </c>
      <c r="V183" s="40">
        <v>319215</v>
      </c>
      <c r="W183" s="40">
        <v>2342351</v>
      </c>
      <c r="X183" s="40">
        <f>IFERROR(VLOOKUP(A183,'Trans 21-23'!$A$2:$J$229,6,0),0)</f>
        <v>18739692</v>
      </c>
      <c r="Y183" s="41">
        <v>4917697</v>
      </c>
      <c r="Z183" s="41">
        <v>169703</v>
      </c>
      <c r="AA183" s="41">
        <v>52575383</v>
      </c>
      <c r="AB183" s="41">
        <v>25454358</v>
      </c>
      <c r="AC183" s="41">
        <v>3602873</v>
      </c>
      <c r="AD183" s="41">
        <v>330272482</v>
      </c>
      <c r="AE183" s="41">
        <v>0</v>
      </c>
      <c r="AF183" s="41">
        <v>3150173886</v>
      </c>
      <c r="AG183" s="41">
        <v>1106519</v>
      </c>
      <c r="AH183" s="41">
        <v>1943741</v>
      </c>
      <c r="AI183" s="41">
        <v>64350762</v>
      </c>
      <c r="AJ183" s="41">
        <v>60131</v>
      </c>
      <c r="AK183" s="41">
        <v>0</v>
      </c>
      <c r="AL183" s="41">
        <v>13587668</v>
      </c>
      <c r="AM183" s="41">
        <v>10384500</v>
      </c>
      <c r="AN183" s="41">
        <v>29869186</v>
      </c>
      <c r="AO183" s="41">
        <v>170050</v>
      </c>
      <c r="AP183" s="41">
        <v>621519</v>
      </c>
      <c r="AQ183" s="41">
        <v>54632923</v>
      </c>
      <c r="AR183" s="41">
        <v>7713967</v>
      </c>
      <c r="AS183" s="41">
        <v>62346890</v>
      </c>
      <c r="AT183" s="41">
        <v>0</v>
      </c>
      <c r="AU183" s="41">
        <v>9973</v>
      </c>
      <c r="AV183" s="41">
        <v>0</v>
      </c>
      <c r="AW183" s="41">
        <v>1445218439</v>
      </c>
      <c r="AX183" s="41">
        <v>245141979</v>
      </c>
      <c r="AY183" s="41">
        <v>364141838</v>
      </c>
      <c r="AZ183" s="41">
        <v>407795270</v>
      </c>
      <c r="BA183" s="41">
        <v>154816239</v>
      </c>
      <c r="BB183" s="41">
        <v>7310718147</v>
      </c>
      <c r="BC183" s="41">
        <v>28043492174</v>
      </c>
      <c r="BD183" s="41">
        <v>402783695</v>
      </c>
      <c r="BE183" s="41">
        <v>989991537</v>
      </c>
      <c r="BF183" s="41">
        <v>156798467</v>
      </c>
      <c r="BG183" s="41">
        <v>0</v>
      </c>
      <c r="BH183" s="41">
        <v>23567821</v>
      </c>
      <c r="BI183" s="41">
        <v>2674789</v>
      </c>
      <c r="BJ183" s="41">
        <v>3076336</v>
      </c>
      <c r="BK183" s="41">
        <v>2701540</v>
      </c>
      <c r="BL183" s="41">
        <v>0</v>
      </c>
      <c r="BM183" s="41">
        <v>6056844</v>
      </c>
      <c r="BN183" s="41">
        <v>81351051</v>
      </c>
      <c r="BO183" s="41">
        <v>0</v>
      </c>
      <c r="BP183" s="41">
        <v>43257423</v>
      </c>
      <c r="BQ183" s="41">
        <v>194006689</v>
      </c>
      <c r="BR183" s="41">
        <v>0</v>
      </c>
      <c r="BS183" s="42">
        <f>IFERROR(VLOOKUP(A183,'Trans 21-23'!$A$2:$J$229,5,0),0)</f>
        <v>1194011124</v>
      </c>
      <c r="BT183" s="43"/>
      <c r="BU183" s="6">
        <f t="shared" si="0"/>
        <v>7310718147</v>
      </c>
      <c r="BV183" s="6">
        <f t="shared" si="1"/>
        <v>9973</v>
      </c>
      <c r="BW183" s="6">
        <f t="shared" si="2"/>
        <v>1106519</v>
      </c>
      <c r="BX183" s="6">
        <f t="shared" si="3"/>
        <v>103838053</v>
      </c>
      <c r="BY183" s="6">
        <f t="shared" si="4"/>
        <v>86720014</v>
      </c>
      <c r="BZ183" s="6">
        <f t="shared" si="5"/>
        <v>407795270</v>
      </c>
      <c r="CA183" s="6">
        <f t="shared" si="6"/>
        <v>330272482</v>
      </c>
      <c r="CB183" s="6">
        <f t="shared" si="7"/>
        <v>1943741</v>
      </c>
      <c r="CC183" s="6">
        <f t="shared" si="8"/>
        <v>54632923</v>
      </c>
      <c r="CD183" s="6">
        <f t="shared" si="88"/>
        <v>1</v>
      </c>
      <c r="CE183" s="44">
        <f t="shared" si="10"/>
        <v>9</v>
      </c>
      <c r="CF183" s="27"/>
      <c r="CG183" s="28">
        <f t="shared" si="11"/>
        <v>733.0510525418631</v>
      </c>
      <c r="CH183" s="28">
        <f t="shared" si="12"/>
        <v>9.0129496194823595</v>
      </c>
      <c r="CI183" s="28">
        <f t="shared" si="13"/>
        <v>93.842087664106984</v>
      </c>
      <c r="CJ183" s="28">
        <f t="shared" si="14"/>
        <v>368.53887732610104</v>
      </c>
      <c r="CK183" s="23">
        <f t="shared" si="15"/>
        <v>3.557819888201845E-2</v>
      </c>
      <c r="CL183" s="29" t="str">
        <f t="shared" si="16"/>
        <v/>
      </c>
      <c r="CM183" s="29" t="str">
        <f t="shared" si="66"/>
        <v/>
      </c>
      <c r="CN183" s="29" t="str">
        <f t="shared" si="18"/>
        <v/>
      </c>
      <c r="CO183" s="29" t="str">
        <f t="shared" si="19"/>
        <v/>
      </c>
      <c r="CP183" s="29" t="str">
        <f t="shared" si="20"/>
        <v/>
      </c>
      <c r="CQ183" s="29">
        <f t="shared" si="21"/>
        <v>0</v>
      </c>
      <c r="CR183" s="13"/>
      <c r="CS183" s="7">
        <f>VLOOKUP(A183,'Empresas 21-23'!$A$2:$M$228,13,0)</f>
        <v>1</v>
      </c>
      <c r="CT183" s="30"/>
      <c r="CU183" s="6">
        <f t="shared" si="22"/>
        <v>7576547471.8000002</v>
      </c>
      <c r="CV183" s="6">
        <f t="shared" si="23"/>
        <v>407795270</v>
      </c>
      <c r="CW183" s="6">
        <f t="shared" si="24"/>
        <v>402783695</v>
      </c>
      <c r="CX183" s="23">
        <f t="shared" si="92"/>
        <v>0.27410829492870181</v>
      </c>
      <c r="CY183" s="23">
        <f t="shared" si="93"/>
        <v>1.4753430445164676E-2</v>
      </c>
      <c r="CZ183" s="6">
        <f t="shared" si="25"/>
        <v>7686953823.6615324</v>
      </c>
      <c r="DA183" s="6">
        <f t="shared" si="26"/>
        <v>413737711.22862893</v>
      </c>
      <c r="DB183" s="6">
        <f t="shared" si="27"/>
        <v>103838053</v>
      </c>
      <c r="DC183" s="6">
        <f t="shared" si="28"/>
        <v>122577745</v>
      </c>
      <c r="DD183" s="6">
        <f t="shared" si="29"/>
        <v>86720014</v>
      </c>
      <c r="DE183" s="6">
        <f t="shared" si="30"/>
        <v>330272482</v>
      </c>
      <c r="DF183" s="6">
        <f t="shared" si="91"/>
        <v>88540825.896988079</v>
      </c>
      <c r="DG183" s="30"/>
      <c r="DH183" s="32">
        <f>VLOOKUP(A183,'T_med_comp-USA'!$A$7:$Q$233,17,0)</f>
        <v>7.4928353767629376</v>
      </c>
      <c r="DI183" s="6" t="str">
        <f t="shared" si="32"/>
        <v>7_2014</v>
      </c>
      <c r="DJ183" s="32">
        <f>IF(DI183="","",VLOOKUP(DI183,'CPI USA'!$T:$U,2,FALSE))</f>
        <v>238.25</v>
      </c>
      <c r="DK183" s="32">
        <f>IF(DI183="","",VLOOKUP(DI183,'PPI USA'!$S:$T,2,FALSE))</f>
        <v>189.8</v>
      </c>
      <c r="DL183" s="32">
        <f>IF(DI183="","",VLOOKUP(DI183,'CPI USA'!$T:$V,3,FALSE))</f>
        <v>0.66756601812039096</v>
      </c>
      <c r="DM183" s="32">
        <f>IF(DI183="","",VLOOKUP(DI183,'CPI USA'!$T:$X,5,FALSE))</f>
        <v>0.49542529667095003</v>
      </c>
      <c r="DN183" s="32">
        <f t="shared" si="33"/>
        <v>1.3305966659194053</v>
      </c>
      <c r="DO183" s="32">
        <f t="shared" si="34"/>
        <v>1.3367684536017217</v>
      </c>
      <c r="DP183" s="32">
        <f t="shared" si="35"/>
        <v>0.22696709268999873</v>
      </c>
      <c r="DQ183" s="32">
        <f>IF(DP183="","",DP183*$DO$1/'CPI USA'!$U$508+(1-DP183)*AVERAGE($DO$1,$DQ$1)/AVERAGE('CPI USA'!$U$508,'PPI USA'!$T$514))</f>
        <v>1.1725656661794659</v>
      </c>
      <c r="DR183" s="6">
        <f t="shared" si="36"/>
        <v>8452665</v>
      </c>
      <c r="DS183" s="32">
        <f t="shared" si="37"/>
        <v>0.2</v>
      </c>
      <c r="DT183" s="28">
        <f>IF(DS183="","",DS183*$DO$1/'CPI USA'!$U$508+(1-DS183)*AVERAGE($DO$1,$DQ$1)/AVERAGE('CPI USA'!$U$508,'PPI USA'!$T$514))</f>
        <v>1.1741595760647974</v>
      </c>
      <c r="DU183" s="6">
        <f t="shared" si="38"/>
        <v>6056844</v>
      </c>
      <c r="DV183" s="6">
        <f t="shared" si="39"/>
        <v>1738008.2165906667</v>
      </c>
      <c r="DW183" s="6">
        <f t="shared" si="40"/>
        <v>3068122.0857664202</v>
      </c>
      <c r="DX183" s="16">
        <f t="shared" si="41"/>
        <v>0.2</v>
      </c>
      <c r="DY183" s="28">
        <f>IF(DX183="","",DX183*$DO$1/'CPI USA'!$U$508+(1-DX183)*AVERAGE($DO$1,$DQ$1)/AVERAGE('CPI USA'!$U$508,'PPI USA'!$T$514))</f>
        <v>1.1741595760647974</v>
      </c>
      <c r="DZ183" s="30"/>
      <c r="EA183" s="45" t="str">
        <f t="shared" si="42"/>
        <v>C004995</v>
      </c>
      <c r="EB183" s="29">
        <f t="shared" si="43"/>
        <v>10228235128.84046</v>
      </c>
      <c r="EC183" s="29">
        <f t="shared" si="44"/>
        <v>553071520.43580997</v>
      </c>
      <c r="ED183" s="29">
        <f t="shared" si="45"/>
        <v>143730455.2247017</v>
      </c>
      <c r="EE183" s="29">
        <f t="shared" si="46"/>
        <v>101823134.87457329</v>
      </c>
      <c r="EF183" s="29">
        <f t="shared" si="47"/>
        <v>103961058.59963456</v>
      </c>
      <c r="EG183" s="29">
        <f t="shared" si="48"/>
        <v>9973</v>
      </c>
      <c r="EH183" s="29">
        <f t="shared" si="49"/>
        <v>1106519</v>
      </c>
      <c r="EI183" s="29">
        <f t="shared" si="50"/>
        <v>1943741</v>
      </c>
      <c r="EJ183" s="29">
        <f t="shared" si="51"/>
        <v>54632923</v>
      </c>
      <c r="EK183" s="29">
        <f t="shared" si="52"/>
        <v>56459192.421319798</v>
      </c>
      <c r="EL183" s="29">
        <f>IF(CD183=1,VLOOKUP(EA183,'EIA 2021'!$A$2:$J$213,4,0)*EH183,"")</f>
        <v>272867585.39999998</v>
      </c>
      <c r="EM183" s="29">
        <f>IF(CD183=1,VLOOKUP(EA183,'EIA 2021'!$A$2:$J$213,7,0)*EH183,"")</f>
        <v>3495493.5209999997</v>
      </c>
      <c r="EN183" s="29">
        <f>IF(CD183=1,VLOOKUP(EA183,'EIA 2021'!$A$2:$J$213,10,0),"")</f>
        <v>1393336</v>
      </c>
      <c r="EO183" s="28">
        <f>IF(CD183=1,VLOOKUP(EA183,'EIA 2021'!$A$2:$Z$213,26,0),"")</f>
        <v>0</v>
      </c>
      <c r="EP183" s="23">
        <f t="shared" si="53"/>
        <v>3.2346715264566402E-2</v>
      </c>
      <c r="EQ183" s="32">
        <f t="shared" si="54"/>
        <v>117471.5786802033</v>
      </c>
      <c r="ER183" s="32">
        <f t="shared" si="55"/>
        <v>1826269.4213197967</v>
      </c>
      <c r="ES183" s="6"/>
      <c r="ET183" s="32"/>
    </row>
    <row r="184" spans="1:150" ht="15.75" customHeight="1">
      <c r="A184" s="7" t="s">
        <v>754</v>
      </c>
      <c r="B184" s="7" t="s">
        <v>755</v>
      </c>
      <c r="C184" s="32" t="s">
        <v>756</v>
      </c>
      <c r="D184" s="40">
        <v>0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>
        <v>0</v>
      </c>
      <c r="K184" s="40">
        <v>0</v>
      </c>
      <c r="L184" s="40">
        <v>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f>IFERROR(VLOOKUP(A184,'Trans 21-23'!$A$2:$J$229,6,0),0)</f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1634923</v>
      </c>
      <c r="AE184" s="41">
        <v>0</v>
      </c>
      <c r="AF184" s="41">
        <v>5921298</v>
      </c>
      <c r="AG184" s="41">
        <v>0</v>
      </c>
      <c r="AH184" s="41">
        <v>0</v>
      </c>
      <c r="AI184" s="41">
        <v>0</v>
      </c>
      <c r="AJ184" s="41">
        <v>0</v>
      </c>
      <c r="AK184" s="41">
        <v>0</v>
      </c>
      <c r="AL184" s="41">
        <v>0</v>
      </c>
      <c r="AM184" s="41">
        <v>0</v>
      </c>
      <c r="AN184" s="41">
        <v>0</v>
      </c>
      <c r="AO184" s="41">
        <v>0</v>
      </c>
      <c r="AP184" s="41">
        <v>0</v>
      </c>
      <c r="AQ184" s="41">
        <v>0</v>
      </c>
      <c r="AR184" s="41">
        <v>0</v>
      </c>
      <c r="AS184" s="41">
        <v>0</v>
      </c>
      <c r="AT184" s="41">
        <v>0</v>
      </c>
      <c r="AU184" s="41">
        <v>0</v>
      </c>
      <c r="AV184" s="41">
        <v>0</v>
      </c>
      <c r="AW184" s="41">
        <v>0</v>
      </c>
      <c r="AX184" s="41">
        <v>0</v>
      </c>
      <c r="AY184" s="41">
        <v>0</v>
      </c>
      <c r="AZ184" s="41">
        <v>0</v>
      </c>
      <c r="BA184" s="41">
        <v>0</v>
      </c>
      <c r="BB184" s="41">
        <v>0</v>
      </c>
      <c r="BC184" s="41">
        <v>157286775</v>
      </c>
      <c r="BD184" s="41">
        <v>798756</v>
      </c>
      <c r="BE184" s="41">
        <v>0</v>
      </c>
      <c r="BF184" s="41">
        <v>0</v>
      </c>
      <c r="BG184" s="41">
        <v>0</v>
      </c>
      <c r="BH184" s="41">
        <v>0</v>
      </c>
      <c r="BI184" s="41">
        <v>0</v>
      </c>
      <c r="BJ184" s="41">
        <v>0</v>
      </c>
      <c r="BK184" s="41">
        <v>0</v>
      </c>
      <c r="BL184" s="41">
        <v>0</v>
      </c>
      <c r="BM184" s="41">
        <v>0</v>
      </c>
      <c r="BN184" s="41">
        <v>0</v>
      </c>
      <c r="BO184" s="41">
        <v>0</v>
      </c>
      <c r="BP184" s="41">
        <v>0</v>
      </c>
      <c r="BQ184" s="41">
        <v>0</v>
      </c>
      <c r="BR184" s="41">
        <v>0</v>
      </c>
      <c r="BS184" s="42">
        <f>IFERROR(VLOOKUP(A184,'Trans 21-23'!$A$2:$J$229,5,0),0)</f>
        <v>0</v>
      </c>
      <c r="BT184" s="43"/>
      <c r="BU184" s="6">
        <f t="shared" si="0"/>
        <v>0</v>
      </c>
      <c r="BV184" s="6">
        <f t="shared" si="1"/>
        <v>0</v>
      </c>
      <c r="BW184" s="6">
        <f t="shared" si="2"/>
        <v>0</v>
      </c>
      <c r="BX184" s="6">
        <f t="shared" si="3"/>
        <v>0</v>
      </c>
      <c r="BY184" s="6">
        <f t="shared" si="4"/>
        <v>0</v>
      </c>
      <c r="BZ184" s="6">
        <f t="shared" si="5"/>
        <v>0</v>
      </c>
      <c r="CA184" s="6">
        <f t="shared" si="6"/>
        <v>1634923</v>
      </c>
      <c r="CB184" s="6">
        <f t="shared" si="7"/>
        <v>0</v>
      </c>
      <c r="CC184" s="6">
        <f t="shared" si="8"/>
        <v>0</v>
      </c>
      <c r="CD184" s="6">
        <f t="shared" si="88"/>
        <v>0</v>
      </c>
      <c r="CE184" s="44">
        <f t="shared" si="10"/>
        <v>64</v>
      </c>
      <c r="CF184" s="27"/>
      <c r="CG184" s="28" t="str">
        <f t="shared" si="11"/>
        <v/>
      </c>
      <c r="CH184" s="28" t="str">
        <f t="shared" si="12"/>
        <v/>
      </c>
      <c r="CI184" s="28" t="str">
        <f t="shared" si="13"/>
        <v/>
      </c>
      <c r="CJ184" s="28" t="str">
        <f t="shared" si="14"/>
        <v/>
      </c>
      <c r="CK184" s="23" t="str">
        <f t="shared" si="15"/>
        <v/>
      </c>
      <c r="CL184" s="29" t="str">
        <f t="shared" si="16"/>
        <v/>
      </c>
      <c r="CM184" s="29" t="str">
        <f t="shared" si="66"/>
        <v/>
      </c>
      <c r="CN184" s="29" t="str">
        <f t="shared" si="18"/>
        <v/>
      </c>
      <c r="CO184" s="29" t="str">
        <f t="shared" si="19"/>
        <v/>
      </c>
      <c r="CP184" s="29" t="str">
        <f t="shared" si="20"/>
        <v/>
      </c>
      <c r="CQ184" s="29">
        <f t="shared" si="21"/>
        <v>0</v>
      </c>
      <c r="CR184" s="13"/>
      <c r="CS184" s="7" t="str">
        <f>VLOOKUP(A184,'Empresas 21-23'!$A$2:$M$228,13,0)</f>
        <v/>
      </c>
      <c r="CT184" s="30"/>
      <c r="CU184" s="6">
        <f t="shared" si="22"/>
        <v>0</v>
      </c>
      <c r="CV184" s="6">
        <f t="shared" si="23"/>
        <v>0</v>
      </c>
      <c r="CW184" s="6">
        <f t="shared" si="24"/>
        <v>798756</v>
      </c>
      <c r="CX184" s="23">
        <f t="shared" si="92"/>
        <v>0</v>
      </c>
      <c r="CY184" s="23">
        <f t="shared" si="93"/>
        <v>0</v>
      </c>
      <c r="CZ184" s="6">
        <f t="shared" si="25"/>
        <v>0</v>
      </c>
      <c r="DA184" s="6">
        <f t="shared" si="26"/>
        <v>0</v>
      </c>
      <c r="DB184" s="6">
        <f t="shared" si="27"/>
        <v>0</v>
      </c>
      <c r="DC184" s="6">
        <f t="shared" si="28"/>
        <v>0</v>
      </c>
      <c r="DD184" s="6">
        <f t="shared" si="29"/>
        <v>0</v>
      </c>
      <c r="DE184" s="6">
        <f t="shared" si="30"/>
        <v>1634923</v>
      </c>
      <c r="DF184" s="6">
        <f t="shared" si="91"/>
        <v>0</v>
      </c>
      <c r="DG184" s="30"/>
      <c r="DH184" s="32" t="str">
        <f>VLOOKUP(A184,'T_med_comp-USA'!$A$7:$Q$233,17,0)</f>
        <v>-</v>
      </c>
      <c r="DI184" s="6" t="str">
        <f t="shared" si="32"/>
        <v/>
      </c>
      <c r="DJ184" s="32" t="str">
        <f>IF(DI184="","",VLOOKUP(DI184,'CPI USA'!$T:$U,2,FALSE))</f>
        <v/>
      </c>
      <c r="DK184" s="32" t="str">
        <f>IF(DI184="","",VLOOKUP(DI184,'PPI USA'!$S:$T,2,FALSE))</f>
        <v/>
      </c>
      <c r="DL184" s="32" t="str">
        <f>IF(DI184="","",VLOOKUP(DI184,'CPI USA'!$T:$V,3,FALSE))</f>
        <v/>
      </c>
      <c r="DM184" s="32" t="str">
        <f>IF(DI184="","",VLOOKUP(DI184,'CPI USA'!$T:$X,5,FALSE))</f>
        <v/>
      </c>
      <c r="DN184" s="32" t="str">
        <f t="shared" si="33"/>
        <v/>
      </c>
      <c r="DO184" s="32" t="str">
        <f t="shared" si="34"/>
        <v/>
      </c>
      <c r="DP184" s="32" t="str">
        <f t="shared" si="35"/>
        <v/>
      </c>
      <c r="DQ184" s="32" t="str">
        <f>IF(DP184="","",DP184*$DO$1/'CPI USA'!$U$508+(1-DP184)*AVERAGE($DO$1,$DQ$1)/AVERAGE('CPI USA'!$U$508,'PPI USA'!$T$514))</f>
        <v/>
      </c>
      <c r="DR184" s="6">
        <f t="shared" si="36"/>
        <v>0</v>
      </c>
      <c r="DS184" s="32" t="str">
        <f t="shared" si="37"/>
        <v/>
      </c>
      <c r="DT184" s="28" t="str">
        <f>IF(DS184="","",DS184*$DO$1/'CPI USA'!$U$508+(1-DS184)*AVERAGE($DO$1,$DQ$1)/AVERAGE('CPI USA'!$U$508,'PPI USA'!$T$514))</f>
        <v/>
      </c>
      <c r="DU184" s="6" t="str">
        <f t="shared" si="38"/>
        <v/>
      </c>
      <c r="DV184" s="6" t="str">
        <f t="shared" si="39"/>
        <v/>
      </c>
      <c r="DW184" s="6">
        <f t="shared" si="40"/>
        <v>0</v>
      </c>
      <c r="DX184" s="16" t="str">
        <f t="shared" si="41"/>
        <v/>
      </c>
      <c r="DY184" s="28" t="str">
        <f>IF(DX184="","",DX184*$DO$1/'CPI USA'!$U$508+(1-DX184)*AVERAGE($DO$1,$DQ$1)/AVERAGE('CPI USA'!$U$508,'PPI USA'!$T$514))</f>
        <v/>
      </c>
      <c r="DZ184" s="30"/>
      <c r="EA184" s="45" t="str">
        <f t="shared" si="42"/>
        <v>C005059</v>
      </c>
      <c r="EB184" s="29" t="str">
        <f t="shared" si="43"/>
        <v/>
      </c>
      <c r="EC184" s="29" t="str">
        <f t="shared" si="44"/>
        <v/>
      </c>
      <c r="ED184" s="29" t="str">
        <f t="shared" si="45"/>
        <v/>
      </c>
      <c r="EE184" s="29" t="str">
        <f t="shared" si="46"/>
        <v/>
      </c>
      <c r="EF184" s="29" t="str">
        <f t="shared" si="47"/>
        <v/>
      </c>
      <c r="EG184" s="29" t="str">
        <f t="shared" si="48"/>
        <v/>
      </c>
      <c r="EH184" s="29" t="str">
        <f t="shared" si="49"/>
        <v/>
      </c>
      <c r="EI184" s="29" t="str">
        <f t="shared" si="50"/>
        <v/>
      </c>
      <c r="EJ184" s="29" t="str">
        <f t="shared" si="51"/>
        <v/>
      </c>
      <c r="EK184" s="29" t="str">
        <f t="shared" si="52"/>
        <v/>
      </c>
      <c r="EL184" s="29" t="str">
        <f>IF(CD184=1,VLOOKUP(EA184,'EIA 2021'!$A$2:$J$213,4,0)*EH184,"")</f>
        <v/>
      </c>
      <c r="EM184" s="29" t="str">
        <f>IF(CD184=1,VLOOKUP(EA184,'EIA 2021'!$A$2:$J$213,7,0)*EH184,"")</f>
        <v/>
      </c>
      <c r="EN184" s="29" t="str">
        <f>IF(CD184=1,VLOOKUP(EA184,'EIA 2021'!$A$2:$J$213,10,0),"")</f>
        <v/>
      </c>
      <c r="EO184" s="28" t="str">
        <f>IF(CD184=1,VLOOKUP(EA184,'EIA 2021'!$A$2:$Z$213,26,0),"")</f>
        <v/>
      </c>
      <c r="EP184" s="23" t="str">
        <f t="shared" si="53"/>
        <v/>
      </c>
      <c r="EQ184" s="32" t="str">
        <f t="shared" si="54"/>
        <v/>
      </c>
      <c r="ER184" s="32" t="str">
        <f t="shared" si="55"/>
        <v/>
      </c>
      <c r="ES184" s="6"/>
      <c r="ET184" s="32"/>
    </row>
    <row r="185" spans="1:150" ht="15.75" customHeight="1">
      <c r="A185" s="7" t="s">
        <v>757</v>
      </c>
      <c r="B185" s="7" t="s">
        <v>758</v>
      </c>
      <c r="C185" s="32" t="s">
        <v>759</v>
      </c>
      <c r="D185" s="40">
        <v>0</v>
      </c>
      <c r="E185" s="40">
        <v>0</v>
      </c>
      <c r="F185" s="40">
        <v>0</v>
      </c>
      <c r="G185" s="40">
        <v>0</v>
      </c>
      <c r="H185" s="40">
        <v>0</v>
      </c>
      <c r="I185" s="40">
        <v>716694</v>
      </c>
      <c r="J185" s="40">
        <v>20013</v>
      </c>
      <c r="K185" s="40">
        <v>0</v>
      </c>
      <c r="L185" s="40">
        <v>12358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538761</v>
      </c>
      <c r="U185" s="40">
        <v>0</v>
      </c>
      <c r="V185" s="40">
        <v>0</v>
      </c>
      <c r="W185" s="40">
        <v>0</v>
      </c>
      <c r="X185" s="40">
        <f>IFERROR(VLOOKUP(A185,'Trans 21-23'!$A$2:$J$229,6,0),0)</f>
        <v>0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41">
        <v>8408831</v>
      </c>
      <c r="AE185" s="41">
        <v>0</v>
      </c>
      <c r="AF185" s="41">
        <v>10004549</v>
      </c>
      <c r="AG185" s="41">
        <v>0</v>
      </c>
      <c r="AH185" s="41">
        <v>0</v>
      </c>
      <c r="AI185" s="41">
        <v>0</v>
      </c>
      <c r="AJ185" s="41">
        <v>0</v>
      </c>
      <c r="AK185" s="41">
        <v>0</v>
      </c>
      <c r="AL185" s="41">
        <v>0</v>
      </c>
      <c r="AM185" s="41">
        <v>0</v>
      </c>
      <c r="AN185" s="41">
        <v>0</v>
      </c>
      <c r="AO185" s="41">
        <v>0</v>
      </c>
      <c r="AP185" s="41">
        <v>0</v>
      </c>
      <c r="AQ185" s="41">
        <v>0</v>
      </c>
      <c r="AR185" s="41">
        <v>0</v>
      </c>
      <c r="AS185" s="41">
        <v>0</v>
      </c>
      <c r="AT185" s="41">
        <v>0</v>
      </c>
      <c r="AU185" s="41">
        <v>0</v>
      </c>
      <c r="AV185" s="41">
        <v>0</v>
      </c>
      <c r="AW185" s="41">
        <v>19803896</v>
      </c>
      <c r="AX185" s="41">
        <v>0</v>
      </c>
      <c r="AY185" s="41">
        <v>0</v>
      </c>
      <c r="AZ185" s="41">
        <v>0</v>
      </c>
      <c r="BA185" s="41">
        <v>0</v>
      </c>
      <c r="BB185" s="41">
        <v>92951368</v>
      </c>
      <c r="BC185" s="41">
        <v>116931467</v>
      </c>
      <c r="BD185" s="41">
        <v>97096</v>
      </c>
      <c r="BE185" s="41">
        <v>17244852</v>
      </c>
      <c r="BF185" s="41">
        <v>1917967</v>
      </c>
      <c r="BG185" s="41">
        <v>0</v>
      </c>
      <c r="BH185" s="41">
        <v>0</v>
      </c>
      <c r="BI185" s="41">
        <v>0</v>
      </c>
      <c r="BJ185" s="41">
        <v>0</v>
      </c>
      <c r="BK185" s="41">
        <v>0</v>
      </c>
      <c r="BL185" s="41">
        <v>0</v>
      </c>
      <c r="BM185" s="41">
        <v>0</v>
      </c>
      <c r="BN185" s="41">
        <v>0</v>
      </c>
      <c r="BO185" s="41">
        <v>0</v>
      </c>
      <c r="BP185" s="41">
        <v>0</v>
      </c>
      <c r="BQ185" s="41">
        <v>0</v>
      </c>
      <c r="BR185" s="41">
        <v>0</v>
      </c>
      <c r="BS185" s="42">
        <f>IFERROR(VLOOKUP(A185,'Trans 21-23'!$A$2:$J$229,5,0),0)</f>
        <v>0</v>
      </c>
      <c r="BT185" s="43"/>
      <c r="BU185" s="6">
        <f t="shared" si="0"/>
        <v>92951368</v>
      </c>
      <c r="BV185" s="6">
        <f t="shared" si="1"/>
        <v>0</v>
      </c>
      <c r="BW185" s="6">
        <f t="shared" si="2"/>
        <v>0</v>
      </c>
      <c r="BX185" s="6">
        <f t="shared" si="3"/>
        <v>1287826</v>
      </c>
      <c r="BY185" s="6">
        <f t="shared" si="4"/>
        <v>0</v>
      </c>
      <c r="BZ185" s="6">
        <f t="shared" si="5"/>
        <v>0</v>
      </c>
      <c r="CA185" s="6">
        <f t="shared" si="6"/>
        <v>8408831</v>
      </c>
      <c r="CB185" s="6">
        <f t="shared" si="7"/>
        <v>0</v>
      </c>
      <c r="CC185" s="6">
        <f t="shared" si="8"/>
        <v>0</v>
      </c>
      <c r="CD185" s="6">
        <f t="shared" si="88"/>
        <v>0</v>
      </c>
      <c r="CE185" s="44">
        <f t="shared" si="10"/>
        <v>56</v>
      </c>
      <c r="CF185" s="27"/>
      <c r="CG185" s="28" t="str">
        <f t="shared" si="11"/>
        <v/>
      </c>
      <c r="CH185" s="28" t="str">
        <f t="shared" si="12"/>
        <v/>
      </c>
      <c r="CI185" s="28" t="str">
        <f t="shared" si="13"/>
        <v/>
      </c>
      <c r="CJ185" s="28" t="str">
        <f t="shared" si="14"/>
        <v/>
      </c>
      <c r="CK185" s="23" t="str">
        <f t="shared" si="15"/>
        <v/>
      </c>
      <c r="CL185" s="29" t="str">
        <f t="shared" si="16"/>
        <v/>
      </c>
      <c r="CM185" s="29" t="str">
        <f t="shared" si="66"/>
        <v/>
      </c>
      <c r="CN185" s="29" t="str">
        <f t="shared" si="18"/>
        <v/>
      </c>
      <c r="CO185" s="29" t="str">
        <f t="shared" si="19"/>
        <v/>
      </c>
      <c r="CP185" s="29" t="str">
        <f t="shared" si="20"/>
        <v/>
      </c>
      <c r="CQ185" s="29">
        <f t="shared" si="21"/>
        <v>0</v>
      </c>
      <c r="CR185" s="13"/>
      <c r="CS185" s="7" t="str">
        <f>VLOOKUP(A185,'Empresas 21-23'!$A$2:$M$228,13,0)</f>
        <v/>
      </c>
      <c r="CT185" s="30"/>
      <c r="CU185" s="6">
        <f t="shared" si="22"/>
        <v>92951368</v>
      </c>
      <c r="CV185" s="6">
        <f t="shared" si="23"/>
        <v>0</v>
      </c>
      <c r="CW185" s="6">
        <f t="shared" si="24"/>
        <v>97096</v>
      </c>
      <c r="CX185" s="23">
        <f t="shared" si="92"/>
        <v>0.79558238902146361</v>
      </c>
      <c r="CY185" s="23">
        <f t="shared" si="93"/>
        <v>0</v>
      </c>
      <c r="CZ185" s="6">
        <f t="shared" si="25"/>
        <v>93028615.867644429</v>
      </c>
      <c r="DA185" s="6">
        <f t="shared" si="26"/>
        <v>0</v>
      </c>
      <c r="DB185" s="6">
        <f t="shared" si="27"/>
        <v>1287826</v>
      </c>
      <c r="DC185" s="6">
        <f t="shared" si="28"/>
        <v>1287826</v>
      </c>
      <c r="DD185" s="6">
        <f t="shared" si="29"/>
        <v>0</v>
      </c>
      <c r="DE185" s="6">
        <f t="shared" si="30"/>
        <v>8408831</v>
      </c>
      <c r="DF185" s="6">
        <f t="shared" si="91"/>
        <v>6786356.4811614584</v>
      </c>
      <c r="DG185" s="30"/>
      <c r="DH185" s="32">
        <f>VLOOKUP(A185,'T_med_comp-USA'!$A$7:$Q$233,17,0)</f>
        <v>9.1716659616021392</v>
      </c>
      <c r="DI185" s="6" t="str">
        <f t="shared" si="32"/>
        <v>10_2012</v>
      </c>
      <c r="DJ185" s="32">
        <f>IF(DI185="","",VLOOKUP(DI185,'CPI USA'!$T:$U,2,FALSE))</f>
        <v>229.59399999999999</v>
      </c>
      <c r="DK185" s="32">
        <f>IF(DI185="","",VLOOKUP(DI185,'PPI USA'!$S:$T,2,FALSE))</f>
        <v>175.1</v>
      </c>
      <c r="DL185" s="32">
        <f>IF(DI185="","",VLOOKUP(DI185,'CPI USA'!$T:$V,3,FALSE))</f>
        <v>0.66730871354337351</v>
      </c>
      <c r="DM185" s="32">
        <f>IF(DI185="","",VLOOKUP(DI185,'CPI USA'!$T:$X,5,FALSE))</f>
        <v>0.49513551903851311</v>
      </c>
      <c r="DN185" s="32">
        <f t="shared" si="33"/>
        <v>1.3897894616766442</v>
      </c>
      <c r="DO185" s="32">
        <f t="shared" si="34"/>
        <v>1.4008620811189902</v>
      </c>
      <c r="DP185" s="32">
        <f t="shared" si="35"/>
        <v>0.2</v>
      </c>
      <c r="DQ185" s="32">
        <f>IF(DP185="","",DP185*$DO$1/'CPI USA'!$U$508+(1-DP185)*AVERAGE($DO$1,$DQ$1)/AVERAGE('CPI USA'!$U$508,'PPI USA'!$T$514))</f>
        <v>1.1741595760647974</v>
      </c>
      <c r="DR185" s="6">
        <f t="shared" si="36"/>
        <v>0</v>
      </c>
      <c r="DS185" s="32" t="str">
        <f t="shared" si="37"/>
        <v/>
      </c>
      <c r="DT185" s="28" t="str">
        <f>IF(DS185="","",DS185*$DO$1/'CPI USA'!$U$508+(1-DS185)*AVERAGE($DO$1,$DQ$1)/AVERAGE('CPI USA'!$U$508,'PPI USA'!$T$514))</f>
        <v/>
      </c>
      <c r="DU185" s="6">
        <f t="shared" si="38"/>
        <v>0</v>
      </c>
      <c r="DV185" s="6" t="str">
        <f t="shared" si="39"/>
        <v/>
      </c>
      <c r="DW185" s="6">
        <f t="shared" si="40"/>
        <v>0</v>
      </c>
      <c r="DX185" s="16" t="str">
        <f t="shared" si="41"/>
        <v/>
      </c>
      <c r="DY185" s="28" t="str">
        <f>IF(DX185="","",DX185*$DO$1/'CPI USA'!$U$508+(1-DX185)*AVERAGE($DO$1,$DQ$1)/AVERAGE('CPI USA'!$U$508,'PPI USA'!$T$514))</f>
        <v/>
      </c>
      <c r="DZ185" s="30"/>
      <c r="EA185" s="45" t="str">
        <f t="shared" si="42"/>
        <v>C005067</v>
      </c>
      <c r="EB185" s="29" t="str">
        <f t="shared" si="43"/>
        <v/>
      </c>
      <c r="EC185" s="29" t="str">
        <f t="shared" si="44"/>
        <v/>
      </c>
      <c r="ED185" s="29" t="str">
        <f t="shared" si="45"/>
        <v/>
      </c>
      <c r="EE185" s="29" t="str">
        <f t="shared" si="46"/>
        <v/>
      </c>
      <c r="EF185" s="29" t="str">
        <f t="shared" si="47"/>
        <v/>
      </c>
      <c r="EG185" s="29" t="str">
        <f t="shared" si="48"/>
        <v/>
      </c>
      <c r="EH185" s="29" t="str">
        <f t="shared" si="49"/>
        <v/>
      </c>
      <c r="EI185" s="29" t="str">
        <f t="shared" si="50"/>
        <v/>
      </c>
      <c r="EJ185" s="29" t="str">
        <f t="shared" si="51"/>
        <v/>
      </c>
      <c r="EK185" s="29" t="str">
        <f t="shared" si="52"/>
        <v/>
      </c>
      <c r="EL185" s="29" t="str">
        <f>IF(CD185=1,VLOOKUP(EA185,'EIA 2021'!$A$2:$J$213,4,0)*EH185,"")</f>
        <v/>
      </c>
      <c r="EM185" s="29" t="str">
        <f>IF(CD185=1,VLOOKUP(EA185,'EIA 2021'!$A$2:$J$213,7,0)*EH185,"")</f>
        <v/>
      </c>
      <c r="EN185" s="29" t="str">
        <f>IF(CD185=1,VLOOKUP(EA185,'EIA 2021'!$A$2:$J$213,10,0),"")</f>
        <v/>
      </c>
      <c r="EO185" s="28" t="str">
        <f>IF(CD185=1,VLOOKUP(EA185,'EIA 2021'!$A$2:$Z$213,26,0),"")</f>
        <v/>
      </c>
      <c r="EP185" s="23" t="str">
        <f t="shared" si="53"/>
        <v/>
      </c>
      <c r="EQ185" s="32" t="str">
        <f t="shared" si="54"/>
        <v/>
      </c>
      <c r="ER185" s="32" t="str">
        <f t="shared" si="55"/>
        <v/>
      </c>
      <c r="ES185" s="6"/>
      <c r="ET185" s="32"/>
    </row>
    <row r="186" spans="1:150" ht="15.75" customHeight="1">
      <c r="A186" s="7" t="s">
        <v>760</v>
      </c>
      <c r="B186" s="7" t="s">
        <v>761</v>
      </c>
      <c r="C186" s="32" t="s">
        <v>762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  <c r="L186" s="40">
        <v>0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40">
        <f>IFERROR(VLOOKUP(A186,'Trans 21-23'!$A$2:$J$229,6,0),0)</f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41">
        <v>29067</v>
      </c>
      <c r="AE186" s="41">
        <v>0</v>
      </c>
      <c r="AF186" s="41">
        <v>246020</v>
      </c>
      <c r="AG186" s="41">
        <v>0</v>
      </c>
      <c r="AH186" s="41">
        <v>0</v>
      </c>
      <c r="AI186" s="41">
        <v>0</v>
      </c>
      <c r="AJ186" s="41">
        <v>0</v>
      </c>
      <c r="AK186" s="41">
        <v>0</v>
      </c>
      <c r="AL186" s="41">
        <v>0</v>
      </c>
      <c r="AM186" s="41">
        <v>0</v>
      </c>
      <c r="AN186" s="41">
        <v>0</v>
      </c>
      <c r="AO186" s="41">
        <v>0</v>
      </c>
      <c r="AP186" s="41">
        <v>0</v>
      </c>
      <c r="AQ186" s="41">
        <v>0</v>
      </c>
      <c r="AR186" s="41">
        <v>0</v>
      </c>
      <c r="AS186" s="41">
        <v>0</v>
      </c>
      <c r="AT186" s="41">
        <v>0</v>
      </c>
      <c r="AU186" s="41">
        <v>0</v>
      </c>
      <c r="AV186" s="41">
        <v>0</v>
      </c>
      <c r="AW186" s="41">
        <v>0</v>
      </c>
      <c r="AX186" s="41">
        <v>0</v>
      </c>
      <c r="AY186" s="41">
        <v>0</v>
      </c>
      <c r="AZ186" s="41">
        <v>0</v>
      </c>
      <c r="BA186" s="41">
        <v>0</v>
      </c>
      <c r="BB186" s="41">
        <v>0</v>
      </c>
      <c r="BC186" s="41">
        <v>32138221</v>
      </c>
      <c r="BD186" s="41">
        <v>3793417</v>
      </c>
      <c r="BE186" s="41">
        <v>0</v>
      </c>
      <c r="BF186" s="41">
        <v>0</v>
      </c>
      <c r="BG186" s="41">
        <v>0</v>
      </c>
      <c r="BH186" s="41">
        <v>0</v>
      </c>
      <c r="BI186" s="41">
        <v>0</v>
      </c>
      <c r="BJ186" s="41">
        <v>0</v>
      </c>
      <c r="BK186" s="41">
        <v>0</v>
      </c>
      <c r="BL186" s="41">
        <v>0</v>
      </c>
      <c r="BM186" s="41">
        <v>0</v>
      </c>
      <c r="BN186" s="41">
        <v>0</v>
      </c>
      <c r="BO186" s="41">
        <v>0</v>
      </c>
      <c r="BP186" s="41">
        <v>0</v>
      </c>
      <c r="BQ186" s="41">
        <v>0</v>
      </c>
      <c r="BR186" s="41">
        <v>0</v>
      </c>
      <c r="BS186" s="42">
        <f>IFERROR(VLOOKUP(A186,'Trans 21-23'!$A$2:$J$229,5,0),0)</f>
        <v>0</v>
      </c>
      <c r="BT186" s="43"/>
      <c r="BU186" s="6">
        <f t="shared" si="0"/>
        <v>0</v>
      </c>
      <c r="BV186" s="6">
        <f t="shared" si="1"/>
        <v>0</v>
      </c>
      <c r="BW186" s="6">
        <f t="shared" si="2"/>
        <v>0</v>
      </c>
      <c r="BX186" s="6">
        <f t="shared" si="3"/>
        <v>0</v>
      </c>
      <c r="BY186" s="6">
        <f t="shared" si="4"/>
        <v>0</v>
      </c>
      <c r="BZ186" s="6">
        <f t="shared" si="5"/>
        <v>0</v>
      </c>
      <c r="CA186" s="6">
        <f t="shared" si="6"/>
        <v>29067</v>
      </c>
      <c r="CB186" s="6">
        <f t="shared" si="7"/>
        <v>0</v>
      </c>
      <c r="CC186" s="6">
        <f t="shared" si="8"/>
        <v>0</v>
      </c>
      <c r="CD186" s="6">
        <f t="shared" si="88"/>
        <v>0</v>
      </c>
      <c r="CE186" s="44">
        <f t="shared" si="10"/>
        <v>64</v>
      </c>
      <c r="CF186" s="27"/>
      <c r="CG186" s="28" t="str">
        <f t="shared" si="11"/>
        <v/>
      </c>
      <c r="CH186" s="28" t="str">
        <f t="shared" si="12"/>
        <v/>
      </c>
      <c r="CI186" s="28" t="str">
        <f t="shared" si="13"/>
        <v/>
      </c>
      <c r="CJ186" s="28" t="str">
        <f t="shared" si="14"/>
        <v/>
      </c>
      <c r="CK186" s="23" t="str">
        <f t="shared" si="15"/>
        <v/>
      </c>
      <c r="CL186" s="29" t="str">
        <f t="shared" si="16"/>
        <v/>
      </c>
      <c r="CM186" s="29" t="str">
        <f t="shared" si="66"/>
        <v/>
      </c>
      <c r="CN186" s="29" t="str">
        <f t="shared" si="18"/>
        <v/>
      </c>
      <c r="CO186" s="29" t="str">
        <f t="shared" si="19"/>
        <v/>
      </c>
      <c r="CP186" s="29" t="str">
        <f t="shared" si="20"/>
        <v/>
      </c>
      <c r="CQ186" s="29">
        <f t="shared" si="21"/>
        <v>0</v>
      </c>
      <c r="CR186" s="13"/>
      <c r="CS186" s="7" t="str">
        <f>VLOOKUP(A186,'Empresas 21-23'!$A$2:$M$228,13,0)</f>
        <v/>
      </c>
      <c r="CT186" s="30"/>
      <c r="CU186" s="6">
        <f t="shared" si="22"/>
        <v>0</v>
      </c>
      <c r="CV186" s="6">
        <f t="shared" si="23"/>
        <v>0</v>
      </c>
      <c r="CW186" s="6">
        <f t="shared" si="24"/>
        <v>3793417</v>
      </c>
      <c r="CX186" s="23">
        <f t="shared" si="92"/>
        <v>0</v>
      </c>
      <c r="CY186" s="23">
        <f t="shared" si="93"/>
        <v>0</v>
      </c>
      <c r="CZ186" s="6">
        <f t="shared" si="25"/>
        <v>0</v>
      </c>
      <c r="DA186" s="6">
        <f t="shared" si="26"/>
        <v>0</v>
      </c>
      <c r="DB186" s="6">
        <f t="shared" si="27"/>
        <v>0</v>
      </c>
      <c r="DC186" s="6">
        <f t="shared" si="28"/>
        <v>0</v>
      </c>
      <c r="DD186" s="6">
        <f t="shared" si="29"/>
        <v>0</v>
      </c>
      <c r="DE186" s="6">
        <f t="shared" si="30"/>
        <v>29067</v>
      </c>
      <c r="DF186" s="6">
        <f t="shared" si="91"/>
        <v>0</v>
      </c>
      <c r="DG186" s="30"/>
      <c r="DH186" s="32" t="str">
        <f>VLOOKUP(A186,'T_med_comp-USA'!$A$7:$Q$233,17,0)</f>
        <v>-</v>
      </c>
      <c r="DI186" s="6" t="str">
        <f t="shared" si="32"/>
        <v/>
      </c>
      <c r="DJ186" s="32" t="str">
        <f>IF(DI186="","",VLOOKUP(DI186,'CPI USA'!$T:$U,2,FALSE))</f>
        <v/>
      </c>
      <c r="DK186" s="32" t="str">
        <f>IF(DI186="","",VLOOKUP(DI186,'PPI USA'!$S:$T,2,FALSE))</f>
        <v/>
      </c>
      <c r="DL186" s="32" t="str">
        <f>IF(DI186="","",VLOOKUP(DI186,'CPI USA'!$T:$V,3,FALSE))</f>
        <v/>
      </c>
      <c r="DM186" s="32" t="str">
        <f>IF(DI186="","",VLOOKUP(DI186,'CPI USA'!$T:$X,5,FALSE))</f>
        <v/>
      </c>
      <c r="DN186" s="32" t="str">
        <f t="shared" si="33"/>
        <v/>
      </c>
      <c r="DO186" s="32" t="str">
        <f t="shared" si="34"/>
        <v/>
      </c>
      <c r="DP186" s="32" t="str">
        <f t="shared" si="35"/>
        <v/>
      </c>
      <c r="DQ186" s="32" t="str">
        <f>IF(DP186="","",DP186*$DO$1/'CPI USA'!$U$508+(1-DP186)*AVERAGE($DO$1,$DQ$1)/AVERAGE('CPI USA'!$U$508,'PPI USA'!$T$514))</f>
        <v/>
      </c>
      <c r="DR186" s="6">
        <f t="shared" si="36"/>
        <v>0</v>
      </c>
      <c r="DS186" s="32" t="str">
        <f t="shared" si="37"/>
        <v/>
      </c>
      <c r="DT186" s="28" t="str">
        <f>IF(DS186="","",DS186*$DO$1/'CPI USA'!$U$508+(1-DS186)*AVERAGE($DO$1,$DQ$1)/AVERAGE('CPI USA'!$U$508,'PPI USA'!$T$514))</f>
        <v/>
      </c>
      <c r="DU186" s="6" t="str">
        <f t="shared" si="38"/>
        <v/>
      </c>
      <c r="DV186" s="6" t="str">
        <f t="shared" si="39"/>
        <v/>
      </c>
      <c r="DW186" s="6">
        <f t="shared" si="40"/>
        <v>0</v>
      </c>
      <c r="DX186" s="16" t="str">
        <f t="shared" si="41"/>
        <v/>
      </c>
      <c r="DY186" s="28" t="str">
        <f>IF(DX186="","",DX186*$DO$1/'CPI USA'!$U$508+(1-DX186)*AVERAGE($DO$1,$DQ$1)/AVERAGE('CPI USA'!$U$508,'PPI USA'!$T$514))</f>
        <v/>
      </c>
      <c r="DZ186" s="30"/>
      <c r="EA186" s="45" t="str">
        <f t="shared" si="42"/>
        <v>C005423</v>
      </c>
      <c r="EB186" s="29" t="str">
        <f t="shared" si="43"/>
        <v/>
      </c>
      <c r="EC186" s="29" t="str">
        <f t="shared" si="44"/>
        <v/>
      </c>
      <c r="ED186" s="29" t="str">
        <f t="shared" si="45"/>
        <v/>
      </c>
      <c r="EE186" s="29" t="str">
        <f t="shared" si="46"/>
        <v/>
      </c>
      <c r="EF186" s="29" t="str">
        <f t="shared" si="47"/>
        <v/>
      </c>
      <c r="EG186" s="29" t="str">
        <f t="shared" si="48"/>
        <v/>
      </c>
      <c r="EH186" s="29" t="str">
        <f t="shared" si="49"/>
        <v/>
      </c>
      <c r="EI186" s="29" t="str">
        <f t="shared" si="50"/>
        <v/>
      </c>
      <c r="EJ186" s="29" t="str">
        <f t="shared" si="51"/>
        <v/>
      </c>
      <c r="EK186" s="29" t="str">
        <f t="shared" si="52"/>
        <v/>
      </c>
      <c r="EL186" s="29" t="str">
        <f>IF(CD186=1,VLOOKUP(EA186,'EIA 2021'!$A$2:$J$213,4,0)*EH186,"")</f>
        <v/>
      </c>
      <c r="EM186" s="29" t="str">
        <f>IF(CD186=1,VLOOKUP(EA186,'EIA 2021'!$A$2:$J$213,7,0)*EH186,"")</f>
        <v/>
      </c>
      <c r="EN186" s="29" t="str">
        <f>IF(CD186=1,VLOOKUP(EA186,'EIA 2021'!$A$2:$J$213,10,0),"")</f>
        <v/>
      </c>
      <c r="EO186" s="28" t="str">
        <f>IF(CD186=1,VLOOKUP(EA186,'EIA 2021'!$A$2:$Z$213,26,0),"")</f>
        <v/>
      </c>
      <c r="EP186" s="23" t="str">
        <f t="shared" si="53"/>
        <v/>
      </c>
      <c r="EQ186" s="32" t="str">
        <f t="shared" si="54"/>
        <v/>
      </c>
      <c r="ER186" s="32" t="str">
        <f t="shared" si="55"/>
        <v/>
      </c>
      <c r="ES186" s="6"/>
      <c r="ET186" s="32"/>
    </row>
    <row r="187" spans="1:150" ht="15.75" customHeight="1">
      <c r="A187" s="7" t="s">
        <v>763</v>
      </c>
      <c r="B187" s="7" t="s">
        <v>764</v>
      </c>
      <c r="C187" s="32" t="s">
        <v>765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f>IFERROR(VLOOKUP(A187,'Trans 21-23'!$A$2:$J$229,6,0),0)</f>
        <v>0</v>
      </c>
      <c r="Y187" s="41">
        <v>0</v>
      </c>
      <c r="Z187" s="41">
        <v>0</v>
      </c>
      <c r="AA187" s="41">
        <v>0</v>
      </c>
      <c r="AB187" s="41">
        <v>0</v>
      </c>
      <c r="AC187" s="41">
        <v>0</v>
      </c>
      <c r="AD187" s="41">
        <v>415280</v>
      </c>
      <c r="AE187" s="41">
        <v>0</v>
      </c>
      <c r="AF187" s="41">
        <v>470219</v>
      </c>
      <c r="AG187" s="41">
        <v>0</v>
      </c>
      <c r="AH187" s="41">
        <v>0</v>
      </c>
      <c r="AI187" s="41">
        <v>0</v>
      </c>
      <c r="AJ187" s="41">
        <v>0</v>
      </c>
      <c r="AK187" s="41">
        <v>0</v>
      </c>
      <c r="AL187" s="41">
        <v>0</v>
      </c>
      <c r="AM187" s="41">
        <v>0</v>
      </c>
      <c r="AN187" s="41">
        <v>0</v>
      </c>
      <c r="AO187" s="41">
        <v>0</v>
      </c>
      <c r="AP187" s="41">
        <v>0</v>
      </c>
      <c r="AQ187" s="41">
        <v>0</v>
      </c>
      <c r="AR187" s="41">
        <v>0</v>
      </c>
      <c r="AS187" s="41">
        <v>0</v>
      </c>
      <c r="AT187" s="41">
        <v>0</v>
      </c>
      <c r="AU187" s="41">
        <v>0</v>
      </c>
      <c r="AV187" s="41">
        <v>0</v>
      </c>
      <c r="AW187" s="41">
        <v>0</v>
      </c>
      <c r="AX187" s="41">
        <v>0</v>
      </c>
      <c r="AY187" s="41">
        <v>0</v>
      </c>
      <c r="AZ187" s="41">
        <v>0</v>
      </c>
      <c r="BA187" s="41">
        <v>0</v>
      </c>
      <c r="BB187" s="41">
        <v>0</v>
      </c>
      <c r="BC187" s="41">
        <v>2486667</v>
      </c>
      <c r="BD187" s="41">
        <v>0</v>
      </c>
      <c r="BE187" s="41">
        <v>0</v>
      </c>
      <c r="BF187" s="41">
        <v>0</v>
      </c>
      <c r="BG187" s="41">
        <v>0</v>
      </c>
      <c r="BH187" s="41">
        <v>0</v>
      </c>
      <c r="BI187" s="41">
        <v>0</v>
      </c>
      <c r="BJ187" s="41">
        <v>0</v>
      </c>
      <c r="BK187" s="41">
        <v>0</v>
      </c>
      <c r="BL187" s="41">
        <v>0</v>
      </c>
      <c r="BM187" s="41">
        <v>0</v>
      </c>
      <c r="BN187" s="41">
        <v>0</v>
      </c>
      <c r="BO187" s="41">
        <v>0</v>
      </c>
      <c r="BP187" s="41">
        <v>0</v>
      </c>
      <c r="BQ187" s="41">
        <v>0</v>
      </c>
      <c r="BR187" s="41">
        <v>0</v>
      </c>
      <c r="BS187" s="42">
        <f>IFERROR(VLOOKUP(A187,'Trans 21-23'!$A$2:$J$229,5,0),0)</f>
        <v>0</v>
      </c>
      <c r="BT187" s="43"/>
      <c r="BU187" s="6">
        <f t="shared" si="0"/>
        <v>0</v>
      </c>
      <c r="BV187" s="6">
        <f t="shared" si="1"/>
        <v>0</v>
      </c>
      <c r="BW187" s="6">
        <f t="shared" si="2"/>
        <v>0</v>
      </c>
      <c r="BX187" s="6">
        <f t="shared" si="3"/>
        <v>0</v>
      </c>
      <c r="BY187" s="6">
        <f t="shared" si="4"/>
        <v>0</v>
      </c>
      <c r="BZ187" s="6">
        <f t="shared" si="5"/>
        <v>0</v>
      </c>
      <c r="CA187" s="6">
        <f t="shared" si="6"/>
        <v>415280</v>
      </c>
      <c r="CB187" s="6">
        <f t="shared" si="7"/>
        <v>0</v>
      </c>
      <c r="CC187" s="6">
        <f t="shared" si="8"/>
        <v>0</v>
      </c>
      <c r="CD187" s="6">
        <f t="shared" si="88"/>
        <v>0</v>
      </c>
      <c r="CE187" s="44">
        <f t="shared" si="10"/>
        <v>65</v>
      </c>
      <c r="CF187" s="27"/>
      <c r="CG187" s="28" t="str">
        <f t="shared" si="11"/>
        <v/>
      </c>
      <c r="CH187" s="28" t="str">
        <f t="shared" si="12"/>
        <v/>
      </c>
      <c r="CI187" s="28" t="str">
        <f t="shared" si="13"/>
        <v/>
      </c>
      <c r="CJ187" s="28" t="str">
        <f t="shared" si="14"/>
        <v/>
      </c>
      <c r="CK187" s="23" t="str">
        <f t="shared" si="15"/>
        <v/>
      </c>
      <c r="CL187" s="29" t="str">
        <f t="shared" si="16"/>
        <v/>
      </c>
      <c r="CM187" s="29" t="str">
        <f t="shared" si="66"/>
        <v/>
      </c>
      <c r="CN187" s="29" t="str">
        <f t="shared" si="18"/>
        <v/>
      </c>
      <c r="CO187" s="29" t="str">
        <f t="shared" si="19"/>
        <v/>
      </c>
      <c r="CP187" s="29" t="str">
        <f t="shared" si="20"/>
        <v/>
      </c>
      <c r="CQ187" s="29">
        <f t="shared" si="21"/>
        <v>0</v>
      </c>
      <c r="CR187" s="13"/>
      <c r="CS187" s="7" t="str">
        <f>VLOOKUP(A187,'Empresas 21-23'!$A$2:$M$228,13,0)</f>
        <v/>
      </c>
      <c r="CT187" s="30"/>
      <c r="CU187" s="6">
        <f t="shared" si="22"/>
        <v>0</v>
      </c>
      <c r="CV187" s="6">
        <f t="shared" si="23"/>
        <v>0</v>
      </c>
      <c r="CW187" s="6">
        <f t="shared" si="24"/>
        <v>0</v>
      </c>
      <c r="CX187" s="23">
        <f t="shared" si="92"/>
        <v>0</v>
      </c>
      <c r="CY187" s="23">
        <f t="shared" si="93"/>
        <v>0</v>
      </c>
      <c r="CZ187" s="6">
        <f t="shared" si="25"/>
        <v>0</v>
      </c>
      <c r="DA187" s="6">
        <f t="shared" si="26"/>
        <v>0</v>
      </c>
      <c r="DB187" s="6">
        <f t="shared" si="27"/>
        <v>0</v>
      </c>
      <c r="DC187" s="6">
        <f t="shared" si="28"/>
        <v>0</v>
      </c>
      <c r="DD187" s="6">
        <f t="shared" si="29"/>
        <v>0</v>
      </c>
      <c r="DE187" s="6">
        <f t="shared" si="30"/>
        <v>415280</v>
      </c>
      <c r="DF187" s="6">
        <f t="shared" si="91"/>
        <v>0</v>
      </c>
      <c r="DG187" s="30"/>
      <c r="DH187" s="32" t="str">
        <f>VLOOKUP(A187,'T_med_comp-USA'!$A$7:$Q$233,17,0)</f>
        <v>-</v>
      </c>
      <c r="DI187" s="6" t="str">
        <f t="shared" si="32"/>
        <v/>
      </c>
      <c r="DJ187" s="32" t="str">
        <f>IF(DI187="","",VLOOKUP(DI187,'CPI USA'!$T:$U,2,FALSE))</f>
        <v/>
      </c>
      <c r="DK187" s="32" t="str">
        <f>IF(DI187="","",VLOOKUP(DI187,'PPI USA'!$S:$T,2,FALSE))</f>
        <v/>
      </c>
      <c r="DL187" s="32" t="str">
        <f>IF(DI187="","",VLOOKUP(DI187,'CPI USA'!$T:$V,3,FALSE))</f>
        <v/>
      </c>
      <c r="DM187" s="32" t="str">
        <f>IF(DI187="","",VLOOKUP(DI187,'CPI USA'!$T:$X,5,FALSE))</f>
        <v/>
      </c>
      <c r="DN187" s="32" t="str">
        <f t="shared" si="33"/>
        <v/>
      </c>
      <c r="DO187" s="32" t="str">
        <f t="shared" si="34"/>
        <v/>
      </c>
      <c r="DP187" s="32" t="str">
        <f t="shared" si="35"/>
        <v/>
      </c>
      <c r="DQ187" s="32" t="str">
        <f>IF(DP187="","",DP187*$DO$1/'CPI USA'!$U$508+(1-DP187)*AVERAGE($DO$1,$DQ$1)/AVERAGE('CPI USA'!$U$508,'PPI USA'!$T$514))</f>
        <v/>
      </c>
      <c r="DR187" s="6">
        <f t="shared" si="36"/>
        <v>0</v>
      </c>
      <c r="DS187" s="32" t="str">
        <f t="shared" si="37"/>
        <v/>
      </c>
      <c r="DT187" s="28" t="str">
        <f>IF(DS187="","",DS187*$DO$1/'CPI USA'!$U$508+(1-DS187)*AVERAGE($DO$1,$DQ$1)/AVERAGE('CPI USA'!$U$508,'PPI USA'!$T$514))</f>
        <v/>
      </c>
      <c r="DU187" s="6" t="str">
        <f t="shared" si="38"/>
        <v/>
      </c>
      <c r="DV187" s="6" t="str">
        <f t="shared" si="39"/>
        <v/>
      </c>
      <c r="DW187" s="6">
        <f t="shared" si="40"/>
        <v>0</v>
      </c>
      <c r="DX187" s="16" t="str">
        <f t="shared" si="41"/>
        <v/>
      </c>
      <c r="DY187" s="28" t="str">
        <f>IF(DX187="","",DX187*$DO$1/'CPI USA'!$U$508+(1-DX187)*AVERAGE($DO$1,$DQ$1)/AVERAGE('CPI USA'!$U$508,'PPI USA'!$T$514))</f>
        <v/>
      </c>
      <c r="DZ187" s="30"/>
      <c r="EA187" s="45" t="str">
        <f t="shared" si="42"/>
        <v>C005424</v>
      </c>
      <c r="EB187" s="29" t="str">
        <f t="shared" si="43"/>
        <v/>
      </c>
      <c r="EC187" s="29" t="str">
        <f t="shared" si="44"/>
        <v/>
      </c>
      <c r="ED187" s="29" t="str">
        <f t="shared" si="45"/>
        <v/>
      </c>
      <c r="EE187" s="29" t="str">
        <f t="shared" si="46"/>
        <v/>
      </c>
      <c r="EF187" s="29" t="str">
        <f t="shared" si="47"/>
        <v/>
      </c>
      <c r="EG187" s="29" t="str">
        <f t="shared" si="48"/>
        <v/>
      </c>
      <c r="EH187" s="29" t="str">
        <f t="shared" si="49"/>
        <v/>
      </c>
      <c r="EI187" s="29" t="str">
        <f t="shared" si="50"/>
        <v/>
      </c>
      <c r="EJ187" s="29" t="str">
        <f t="shared" si="51"/>
        <v/>
      </c>
      <c r="EK187" s="29" t="str">
        <f t="shared" si="52"/>
        <v/>
      </c>
      <c r="EL187" s="29" t="str">
        <f>IF(CD187=1,VLOOKUP(EA187,'EIA 2021'!$A$2:$J$213,4,0)*EH187,"")</f>
        <v/>
      </c>
      <c r="EM187" s="29" t="str">
        <f>IF(CD187=1,VLOOKUP(EA187,'EIA 2021'!$A$2:$J$213,7,0)*EH187,"")</f>
        <v/>
      </c>
      <c r="EN187" s="29" t="str">
        <f>IF(CD187=1,VLOOKUP(EA187,'EIA 2021'!$A$2:$J$213,10,0),"")</f>
        <v/>
      </c>
      <c r="EO187" s="28" t="str">
        <f>IF(CD187=1,VLOOKUP(EA187,'EIA 2021'!$A$2:$Z$213,26,0),"")</f>
        <v/>
      </c>
      <c r="EP187" s="23" t="str">
        <f t="shared" si="53"/>
        <v/>
      </c>
      <c r="EQ187" s="32" t="str">
        <f t="shared" si="54"/>
        <v/>
      </c>
      <c r="ER187" s="32" t="str">
        <f t="shared" si="55"/>
        <v/>
      </c>
      <c r="ES187" s="6"/>
      <c r="ET187" s="32"/>
    </row>
    <row r="188" spans="1:150" ht="15.75" customHeight="1">
      <c r="A188" s="7" t="s">
        <v>766</v>
      </c>
      <c r="B188" s="7" t="s">
        <v>767</v>
      </c>
      <c r="C188" s="32" t="s">
        <v>768</v>
      </c>
      <c r="D188" s="40">
        <v>0</v>
      </c>
      <c r="E188" s="40">
        <v>0</v>
      </c>
      <c r="F188" s="40">
        <v>29311488</v>
      </c>
      <c r="G188" s="40">
        <v>50639528</v>
      </c>
      <c r="H188" s="40">
        <v>51496743</v>
      </c>
      <c r="I188" s="40">
        <v>10798</v>
      </c>
      <c r="J188" s="40">
        <v>67706</v>
      </c>
      <c r="K188" s="40">
        <v>93010</v>
      </c>
      <c r="L188" s="40">
        <v>667965</v>
      </c>
      <c r="M188" s="40">
        <v>81210</v>
      </c>
      <c r="N188" s="40">
        <v>0</v>
      </c>
      <c r="O188" s="40">
        <v>506737</v>
      </c>
      <c r="P188" s="40">
        <v>0</v>
      </c>
      <c r="Q188" s="40">
        <v>374</v>
      </c>
      <c r="R188" s="40">
        <v>6144</v>
      </c>
      <c r="S188" s="40">
        <v>141479</v>
      </c>
      <c r="T188" s="40">
        <v>1698351</v>
      </c>
      <c r="U188" s="40">
        <v>84619</v>
      </c>
      <c r="V188" s="40">
        <v>17</v>
      </c>
      <c r="W188" s="40">
        <v>0</v>
      </c>
      <c r="X188" s="40">
        <f>IFERROR(VLOOKUP(A188,'Trans 21-23'!$A$2:$J$229,6,0),0)</f>
        <v>0</v>
      </c>
      <c r="Y188" s="41">
        <v>88582</v>
      </c>
      <c r="Z188" s="41">
        <v>0</v>
      </c>
      <c r="AA188" s="41">
        <v>2195178</v>
      </c>
      <c r="AB188" s="41">
        <v>3411824</v>
      </c>
      <c r="AC188" s="41">
        <v>0</v>
      </c>
      <c r="AD188" s="41">
        <v>3506964</v>
      </c>
      <c r="AE188" s="41">
        <v>0</v>
      </c>
      <c r="AF188" s="41">
        <v>122802919</v>
      </c>
      <c r="AG188" s="41">
        <v>36922</v>
      </c>
      <c r="AH188" s="41">
        <v>52350</v>
      </c>
      <c r="AI188" s="41">
        <v>2080105</v>
      </c>
      <c r="AJ188" s="41">
        <v>808</v>
      </c>
      <c r="AK188" s="41">
        <v>0</v>
      </c>
      <c r="AL188" s="41">
        <v>237186</v>
      </c>
      <c r="AM188" s="41">
        <v>126597</v>
      </c>
      <c r="AN188" s="41">
        <v>1547687</v>
      </c>
      <c r="AO188" s="41">
        <v>2525</v>
      </c>
      <c r="AP188" s="41">
        <v>0</v>
      </c>
      <c r="AQ188" s="41">
        <v>1914053</v>
      </c>
      <c r="AR188" s="41">
        <v>112894</v>
      </c>
      <c r="AS188" s="41">
        <v>2026947</v>
      </c>
      <c r="AT188" s="41">
        <v>0</v>
      </c>
      <c r="AU188" s="41">
        <v>338</v>
      </c>
      <c r="AV188" s="41">
        <v>0</v>
      </c>
      <c r="AW188" s="41">
        <v>41480595</v>
      </c>
      <c r="AX188" s="41">
        <v>368059</v>
      </c>
      <c r="AY188" s="41">
        <v>48743572</v>
      </c>
      <c r="AZ188" s="41">
        <v>4612975</v>
      </c>
      <c r="BA188" s="41">
        <v>1119319</v>
      </c>
      <c r="BB188" s="41">
        <v>212460583</v>
      </c>
      <c r="BC188" s="41">
        <v>475834709</v>
      </c>
      <c r="BD188" s="41">
        <v>845056</v>
      </c>
      <c r="BE188" s="41">
        <v>80524975</v>
      </c>
      <c r="BF188" s="41">
        <v>5224130</v>
      </c>
      <c r="BG188" s="41">
        <v>0</v>
      </c>
      <c r="BH188" s="41">
        <v>1093402</v>
      </c>
      <c r="BI188" s="41">
        <v>187993</v>
      </c>
      <c r="BJ188" s="41">
        <v>275795</v>
      </c>
      <c r="BK188" s="41">
        <v>0</v>
      </c>
      <c r="BL188" s="41">
        <v>0</v>
      </c>
      <c r="BM188" s="41">
        <v>947937</v>
      </c>
      <c r="BN188" s="41">
        <v>3723193</v>
      </c>
      <c r="BO188" s="41">
        <v>41471</v>
      </c>
      <c r="BP188" s="41">
        <v>6835144</v>
      </c>
      <c r="BQ188" s="41">
        <v>41235</v>
      </c>
      <c r="BR188" s="41">
        <v>58</v>
      </c>
      <c r="BS188" s="42">
        <f>IFERROR(VLOOKUP(A188,'Trans 21-23'!$A$2:$J$229,5,0),0)</f>
        <v>0</v>
      </c>
      <c r="BT188" s="43"/>
      <c r="BU188" s="6">
        <f t="shared" si="0"/>
        <v>212460583</v>
      </c>
      <c r="BV188" s="6">
        <f t="shared" si="1"/>
        <v>338</v>
      </c>
      <c r="BW188" s="6">
        <f t="shared" si="2"/>
        <v>36922</v>
      </c>
      <c r="BX188" s="6">
        <f t="shared" si="3"/>
        <v>3358410</v>
      </c>
      <c r="BY188" s="6">
        <f t="shared" si="4"/>
        <v>5695584</v>
      </c>
      <c r="BZ188" s="6">
        <f t="shared" si="5"/>
        <v>4612975</v>
      </c>
      <c r="CA188" s="6">
        <f t="shared" si="6"/>
        <v>3506964</v>
      </c>
      <c r="CB188" s="6">
        <f t="shared" si="7"/>
        <v>52350</v>
      </c>
      <c r="CC188" s="6">
        <f t="shared" si="8"/>
        <v>1914053</v>
      </c>
      <c r="CD188" s="6">
        <f t="shared" si="88"/>
        <v>1</v>
      </c>
      <c r="CE188" s="44">
        <f t="shared" si="10"/>
        <v>17</v>
      </c>
      <c r="CF188" s="27"/>
      <c r="CG188" s="28">
        <f t="shared" si="11"/>
        <v>628.58160650887578</v>
      </c>
      <c r="CH188" s="28">
        <f t="shared" si="12"/>
        <v>9.1544336709820708</v>
      </c>
      <c r="CI188" s="28">
        <f t="shared" si="13"/>
        <v>90.959590488055895</v>
      </c>
      <c r="CJ188" s="28">
        <f t="shared" si="14"/>
        <v>124.93838361952224</v>
      </c>
      <c r="CK188" s="23">
        <f t="shared" si="15"/>
        <v>2.7350339828625433E-2</v>
      </c>
      <c r="CL188" s="29" t="str">
        <f t="shared" si="16"/>
        <v/>
      </c>
      <c r="CM188" s="29" t="str">
        <f t="shared" si="66"/>
        <v/>
      </c>
      <c r="CN188" s="29" t="str">
        <f t="shared" si="18"/>
        <v/>
      </c>
      <c r="CO188" s="29" t="str">
        <f t="shared" si="19"/>
        <v/>
      </c>
      <c r="CP188" s="29" t="str">
        <f t="shared" si="20"/>
        <v/>
      </c>
      <c r="CQ188" s="29">
        <f t="shared" si="21"/>
        <v>0</v>
      </c>
      <c r="CR188" s="13"/>
      <c r="CS188" s="7">
        <f>VLOOKUP(A188,'Empresas 21-23'!$A$2:$M$228,13,0)</f>
        <v>1</v>
      </c>
      <c r="CT188" s="30"/>
      <c r="CU188" s="6">
        <f t="shared" si="22"/>
        <v>177261310.40000001</v>
      </c>
      <c r="CV188" s="6">
        <f t="shared" si="23"/>
        <v>4612975</v>
      </c>
      <c r="CW188" s="6">
        <f t="shared" si="24"/>
        <v>845056</v>
      </c>
      <c r="CX188" s="23">
        <f t="shared" si="92"/>
        <v>0.37318983535837147</v>
      </c>
      <c r="CY188" s="23">
        <f t="shared" si="93"/>
        <v>9.7117378681088867E-3</v>
      </c>
      <c r="CZ188" s="6">
        <f t="shared" si="25"/>
        <v>177576676.7095086</v>
      </c>
      <c r="DA188" s="6">
        <f t="shared" si="26"/>
        <v>4621181.9623558726</v>
      </c>
      <c r="DB188" s="6">
        <f t="shared" si="27"/>
        <v>3358410</v>
      </c>
      <c r="DC188" s="6">
        <f t="shared" si="28"/>
        <v>3358410</v>
      </c>
      <c r="DD188" s="6">
        <f t="shared" si="29"/>
        <v>5695584</v>
      </c>
      <c r="DE188" s="6">
        <f t="shared" si="30"/>
        <v>3506964</v>
      </c>
      <c r="DF188" s="6">
        <f t="shared" si="91"/>
        <v>824991.13260675012</v>
      </c>
      <c r="DG188" s="30"/>
      <c r="DH188" s="32">
        <f>VLOOKUP(A188,'T_med_comp-USA'!$A$7:$Q$233,17,0)</f>
        <v>15.019622077527901</v>
      </c>
      <c r="DI188" s="6" t="str">
        <f t="shared" si="32"/>
        <v>12_2006</v>
      </c>
      <c r="DJ188" s="32">
        <f>IF(DI188="","",VLOOKUP(DI188,'CPI USA'!$T:$U,2,FALSE))</f>
        <v>201.6</v>
      </c>
      <c r="DK188" s="32">
        <f>IF(DI188="","",VLOOKUP(DI188,'PPI USA'!$S:$T,2,FALSE))</f>
        <v>145.30000000000001</v>
      </c>
      <c r="DL188" s="32">
        <f>IF(DI188="","",VLOOKUP(DI188,'CPI USA'!$T:$V,3,FALSE))</f>
        <v>0.67263024008352756</v>
      </c>
      <c r="DM188" s="32">
        <f>IF(DI188="","",VLOOKUP(DI188,'CPI USA'!$T:$X,5,FALSE))</f>
        <v>0.50115228263529643</v>
      </c>
      <c r="DN188" s="32">
        <f t="shared" si="33"/>
        <v>1.595396421204319</v>
      </c>
      <c r="DO188" s="32">
        <f t="shared" si="34"/>
        <v>1.6147712829199015</v>
      </c>
      <c r="DP188" s="32">
        <f t="shared" si="35"/>
        <v>0.32919772191276414</v>
      </c>
      <c r="DQ188" s="32">
        <f>IF(DP188="","",DP188*$DO$1/'CPI USA'!$U$508+(1-DP188)*AVERAGE($DO$1,$DQ$1)/AVERAGE('CPI USA'!$U$508,'PPI USA'!$T$514))</f>
        <v>1.1665232495061169</v>
      </c>
      <c r="DR188" s="6">
        <f t="shared" si="36"/>
        <v>463788</v>
      </c>
      <c r="DS188" s="32">
        <f t="shared" si="37"/>
        <v>0.2</v>
      </c>
      <c r="DT188" s="28">
        <f>IF(DS188="","",DS188*$DO$1/'CPI USA'!$U$508+(1-DS188)*AVERAGE($DO$1,$DQ$1)/AVERAGE('CPI USA'!$U$508,'PPI USA'!$T$514))</f>
        <v>1.1741595760647974</v>
      </c>
      <c r="DU188" s="6">
        <f t="shared" si="38"/>
        <v>958495.65095551044</v>
      </c>
      <c r="DV188" s="6">
        <f t="shared" si="39"/>
        <v>-953690.41562493704</v>
      </c>
      <c r="DW188" s="6">
        <f t="shared" si="40"/>
        <v>2009.743895740992</v>
      </c>
      <c r="DX188" s="16">
        <f t="shared" si="41"/>
        <v>0.2</v>
      </c>
      <c r="DY188" s="28">
        <f>IF(DX188="","",DX188*$DO$1/'CPI USA'!$U$508+(1-DX188)*AVERAGE($DO$1,$DQ$1)/AVERAGE('CPI USA'!$U$508,'PPI USA'!$T$514))</f>
        <v>1.1741595760647974</v>
      </c>
      <c r="DZ188" s="30"/>
      <c r="EA188" s="45" t="str">
        <f t="shared" si="42"/>
        <v>C005443</v>
      </c>
      <c r="EB188" s="29">
        <f t="shared" si="43"/>
        <v>283305194.51170635</v>
      </c>
      <c r="EC188" s="29">
        <f t="shared" si="44"/>
        <v>7462151.9259596998</v>
      </c>
      <c r="ED188" s="29">
        <f t="shared" si="45"/>
        <v>3917663.3463738379</v>
      </c>
      <c r="EE188" s="29">
        <f t="shared" si="46"/>
        <v>6687524.4948814427</v>
      </c>
      <c r="EF188" s="29">
        <f t="shared" si="47"/>
        <v>968671.23851875879</v>
      </c>
      <c r="EG188" s="29">
        <f t="shared" si="48"/>
        <v>338</v>
      </c>
      <c r="EH188" s="29">
        <f t="shared" si="49"/>
        <v>36922</v>
      </c>
      <c r="EI188" s="29">
        <f t="shared" si="50"/>
        <v>52350</v>
      </c>
      <c r="EJ188" s="29">
        <f t="shared" si="51"/>
        <v>1914053</v>
      </c>
      <c r="EK188" s="29">
        <f t="shared" si="52"/>
        <v>1964683.802030457</v>
      </c>
      <c r="EL188" s="29">
        <f>IF(CD188=1,VLOOKUP(EA188,'EIA 2021'!$A$2:$J$213,4,0)*EH188,"")</f>
        <v>8824358</v>
      </c>
      <c r="EM188" s="29">
        <f>IF(CD188=1,VLOOKUP(EA188,'EIA 2021'!$A$2:$J$213,7,0)*EH188,"")</f>
        <v>79382.3</v>
      </c>
      <c r="EN188" s="29">
        <f>IF(CD188=1,VLOOKUP(EA188,'EIA 2021'!$A$2:$J$213,10,0),"")</f>
        <v>37664</v>
      </c>
      <c r="EO188" s="28">
        <f>IF(CD188=1,VLOOKUP(EA188,'EIA 2021'!$A$2:$Z$213,26,0),"")</f>
        <v>0</v>
      </c>
      <c r="EP188" s="23">
        <f t="shared" si="53"/>
        <v>2.57704583191102E-2</v>
      </c>
      <c r="EQ188" s="32">
        <f t="shared" si="54"/>
        <v>1719.197969543151</v>
      </c>
      <c r="ER188" s="32">
        <f t="shared" si="55"/>
        <v>50630.802030456849</v>
      </c>
      <c r="ES188" s="6"/>
      <c r="ET188" s="32"/>
    </row>
    <row r="189" spans="1:150" ht="15.75" customHeight="1">
      <c r="A189" s="7" t="s">
        <v>769</v>
      </c>
      <c r="B189" s="7" t="s">
        <v>770</v>
      </c>
      <c r="C189" s="32" t="s">
        <v>771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f>IFERROR(VLOOKUP(A189,'Trans 21-23'!$A$2:$J$229,6,0),0)</f>
        <v>0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41">
        <v>1116129</v>
      </c>
      <c r="AE189" s="41">
        <v>0</v>
      </c>
      <c r="AF189" s="41">
        <v>2395695</v>
      </c>
      <c r="AG189" s="41">
        <v>0</v>
      </c>
      <c r="AH189" s="41">
        <v>0</v>
      </c>
      <c r="AI189" s="41">
        <v>0</v>
      </c>
      <c r="AJ189" s="41">
        <v>0</v>
      </c>
      <c r="AK189" s="41">
        <v>0</v>
      </c>
      <c r="AL189" s="41">
        <v>0</v>
      </c>
      <c r="AM189" s="41">
        <v>0</v>
      </c>
      <c r="AN189" s="41">
        <v>0</v>
      </c>
      <c r="AO189" s="41">
        <v>0</v>
      </c>
      <c r="AP189" s="41">
        <v>0</v>
      </c>
      <c r="AQ189" s="41">
        <v>0</v>
      </c>
      <c r="AR189" s="41">
        <v>0</v>
      </c>
      <c r="AS189" s="41">
        <v>0</v>
      </c>
      <c r="AT189" s="41">
        <v>0</v>
      </c>
      <c r="AU189" s="41">
        <v>0</v>
      </c>
      <c r="AV189" s="41">
        <v>0</v>
      </c>
      <c r="AW189" s="41">
        <v>0</v>
      </c>
      <c r="AX189" s="41">
        <v>0</v>
      </c>
      <c r="AY189" s="41">
        <v>0</v>
      </c>
      <c r="AZ189" s="41">
        <v>0</v>
      </c>
      <c r="BA189" s="41">
        <v>0</v>
      </c>
      <c r="BB189" s="41">
        <v>0</v>
      </c>
      <c r="BC189" s="41">
        <v>203513779</v>
      </c>
      <c r="BD189" s="41">
        <v>38815</v>
      </c>
      <c r="BE189" s="41">
        <v>0</v>
      </c>
      <c r="BF189" s="41">
        <v>0</v>
      </c>
      <c r="BG189" s="41">
        <v>0</v>
      </c>
      <c r="BH189" s="41">
        <v>0</v>
      </c>
      <c r="BI189" s="41">
        <v>0</v>
      </c>
      <c r="BJ189" s="41">
        <v>0</v>
      </c>
      <c r="BK189" s="41">
        <v>0</v>
      </c>
      <c r="BL189" s="41">
        <v>0</v>
      </c>
      <c r="BM189" s="41">
        <v>0</v>
      </c>
      <c r="BN189" s="41">
        <v>0</v>
      </c>
      <c r="BO189" s="41">
        <v>0</v>
      </c>
      <c r="BP189" s="41">
        <v>0</v>
      </c>
      <c r="BQ189" s="41">
        <v>0</v>
      </c>
      <c r="BR189" s="41">
        <v>0</v>
      </c>
      <c r="BS189" s="42">
        <f>IFERROR(VLOOKUP(A189,'Trans 21-23'!$A$2:$J$229,5,0),0)</f>
        <v>0</v>
      </c>
      <c r="BT189" s="43"/>
      <c r="BU189" s="6">
        <f t="shared" si="0"/>
        <v>0</v>
      </c>
      <c r="BV189" s="6">
        <f t="shared" si="1"/>
        <v>0</v>
      </c>
      <c r="BW189" s="6">
        <f t="shared" si="2"/>
        <v>0</v>
      </c>
      <c r="BX189" s="6">
        <f t="shared" si="3"/>
        <v>0</v>
      </c>
      <c r="BY189" s="6">
        <f t="shared" si="4"/>
        <v>0</v>
      </c>
      <c r="BZ189" s="6">
        <f t="shared" si="5"/>
        <v>0</v>
      </c>
      <c r="CA189" s="6">
        <f t="shared" si="6"/>
        <v>1116129</v>
      </c>
      <c r="CB189" s="6">
        <f t="shared" si="7"/>
        <v>0</v>
      </c>
      <c r="CC189" s="6">
        <f t="shared" si="8"/>
        <v>0</v>
      </c>
      <c r="CD189" s="6">
        <f t="shared" si="88"/>
        <v>0</v>
      </c>
      <c r="CE189" s="44">
        <f t="shared" si="10"/>
        <v>64</v>
      </c>
      <c r="CF189" s="27"/>
      <c r="CG189" s="28" t="str">
        <f t="shared" si="11"/>
        <v/>
      </c>
      <c r="CH189" s="28" t="str">
        <f t="shared" si="12"/>
        <v/>
      </c>
      <c r="CI189" s="28" t="str">
        <f t="shared" si="13"/>
        <v/>
      </c>
      <c r="CJ189" s="28" t="str">
        <f t="shared" si="14"/>
        <v/>
      </c>
      <c r="CK189" s="23" t="str">
        <f t="shared" si="15"/>
        <v/>
      </c>
      <c r="CL189" s="29" t="str">
        <f t="shared" si="16"/>
        <v/>
      </c>
      <c r="CM189" s="29" t="str">
        <f t="shared" si="66"/>
        <v/>
      </c>
      <c r="CN189" s="29" t="str">
        <f t="shared" si="18"/>
        <v/>
      </c>
      <c r="CO189" s="29" t="str">
        <f t="shared" si="19"/>
        <v/>
      </c>
      <c r="CP189" s="29" t="str">
        <f t="shared" si="20"/>
        <v/>
      </c>
      <c r="CQ189" s="29">
        <f t="shared" si="21"/>
        <v>0</v>
      </c>
      <c r="CR189" s="13"/>
      <c r="CS189" s="7" t="str">
        <f>VLOOKUP(A189,'Empresas 21-23'!$A$2:$M$228,13,0)</f>
        <v/>
      </c>
      <c r="CT189" s="30"/>
      <c r="CU189" s="6">
        <f t="shared" si="22"/>
        <v>0</v>
      </c>
      <c r="CV189" s="6">
        <f t="shared" si="23"/>
        <v>0</v>
      </c>
      <c r="CW189" s="6">
        <f t="shared" si="24"/>
        <v>38815</v>
      </c>
      <c r="CX189" s="23">
        <f t="shared" si="92"/>
        <v>0</v>
      </c>
      <c r="CY189" s="23">
        <f t="shared" si="93"/>
        <v>0</v>
      </c>
      <c r="CZ189" s="6">
        <f t="shared" si="25"/>
        <v>0</v>
      </c>
      <c r="DA189" s="6">
        <f t="shared" si="26"/>
        <v>0</v>
      </c>
      <c r="DB189" s="6">
        <f t="shared" si="27"/>
        <v>0</v>
      </c>
      <c r="DC189" s="6">
        <f t="shared" si="28"/>
        <v>0</v>
      </c>
      <c r="DD189" s="6">
        <f t="shared" si="29"/>
        <v>0</v>
      </c>
      <c r="DE189" s="6">
        <f t="shared" si="30"/>
        <v>1116129</v>
      </c>
      <c r="DF189" s="6">
        <f t="shared" si="91"/>
        <v>0</v>
      </c>
      <c r="DG189" s="30"/>
      <c r="DH189" s="32" t="str">
        <f>VLOOKUP(A189,'T_med_comp-USA'!$A$7:$Q$233,17,0)</f>
        <v>-</v>
      </c>
      <c r="DI189" s="6" t="str">
        <f t="shared" si="32"/>
        <v/>
      </c>
      <c r="DJ189" s="32" t="str">
        <f>IF(DI189="","",VLOOKUP(DI189,'CPI USA'!$T:$U,2,FALSE))</f>
        <v/>
      </c>
      <c r="DK189" s="32" t="str">
        <f>IF(DI189="","",VLOOKUP(DI189,'PPI USA'!$S:$T,2,FALSE))</f>
        <v/>
      </c>
      <c r="DL189" s="32" t="str">
        <f>IF(DI189="","",VLOOKUP(DI189,'CPI USA'!$T:$V,3,FALSE))</f>
        <v/>
      </c>
      <c r="DM189" s="32" t="str">
        <f>IF(DI189="","",VLOOKUP(DI189,'CPI USA'!$T:$X,5,FALSE))</f>
        <v/>
      </c>
      <c r="DN189" s="32" t="str">
        <f t="shared" si="33"/>
        <v/>
      </c>
      <c r="DO189" s="32" t="str">
        <f t="shared" si="34"/>
        <v/>
      </c>
      <c r="DP189" s="32" t="str">
        <f t="shared" si="35"/>
        <v/>
      </c>
      <c r="DQ189" s="32" t="str">
        <f>IF(DP189="","",DP189*$DO$1/'CPI USA'!$U$508+(1-DP189)*AVERAGE($DO$1,$DQ$1)/AVERAGE('CPI USA'!$U$508,'PPI USA'!$T$514))</f>
        <v/>
      </c>
      <c r="DR189" s="6">
        <f t="shared" si="36"/>
        <v>0</v>
      </c>
      <c r="DS189" s="32" t="str">
        <f t="shared" si="37"/>
        <v/>
      </c>
      <c r="DT189" s="28" t="str">
        <f>IF(DS189="","",DS189*$DO$1/'CPI USA'!$U$508+(1-DS189)*AVERAGE($DO$1,$DQ$1)/AVERAGE('CPI USA'!$U$508,'PPI USA'!$T$514))</f>
        <v/>
      </c>
      <c r="DU189" s="6" t="str">
        <f t="shared" si="38"/>
        <v/>
      </c>
      <c r="DV189" s="6" t="str">
        <f t="shared" si="39"/>
        <v/>
      </c>
      <c r="DW189" s="6">
        <f t="shared" si="40"/>
        <v>0</v>
      </c>
      <c r="DX189" s="16" t="str">
        <f t="shared" si="41"/>
        <v/>
      </c>
      <c r="DY189" s="28" t="str">
        <f>IF(DX189="","",DX189*$DO$1/'CPI USA'!$U$508+(1-DX189)*AVERAGE($DO$1,$DQ$1)/AVERAGE('CPI USA'!$U$508,'PPI USA'!$T$514))</f>
        <v/>
      </c>
      <c r="DZ189" s="30"/>
      <c r="EA189" s="45" t="str">
        <f t="shared" si="42"/>
        <v>C005444</v>
      </c>
      <c r="EB189" s="29" t="str">
        <f t="shared" si="43"/>
        <v/>
      </c>
      <c r="EC189" s="29" t="str">
        <f t="shared" si="44"/>
        <v/>
      </c>
      <c r="ED189" s="29" t="str">
        <f t="shared" si="45"/>
        <v/>
      </c>
      <c r="EE189" s="29" t="str">
        <f t="shared" si="46"/>
        <v/>
      </c>
      <c r="EF189" s="29" t="str">
        <f t="shared" si="47"/>
        <v/>
      </c>
      <c r="EG189" s="29" t="str">
        <f t="shared" si="48"/>
        <v/>
      </c>
      <c r="EH189" s="29" t="str">
        <f t="shared" si="49"/>
        <v/>
      </c>
      <c r="EI189" s="29" t="str">
        <f t="shared" si="50"/>
        <v/>
      </c>
      <c r="EJ189" s="29" t="str">
        <f t="shared" si="51"/>
        <v/>
      </c>
      <c r="EK189" s="29" t="str">
        <f t="shared" si="52"/>
        <v/>
      </c>
      <c r="EL189" s="29" t="str">
        <f>IF(CD189=1,VLOOKUP(EA189,'EIA 2021'!$A$2:$J$213,4,0)*EH189,"")</f>
        <v/>
      </c>
      <c r="EM189" s="29" t="str">
        <f>IF(CD189=1,VLOOKUP(EA189,'EIA 2021'!$A$2:$J$213,7,0)*EH189,"")</f>
        <v/>
      </c>
      <c r="EN189" s="29" t="str">
        <f>IF(CD189=1,VLOOKUP(EA189,'EIA 2021'!$A$2:$J$213,10,0),"")</f>
        <v/>
      </c>
      <c r="EO189" s="28" t="str">
        <f>IF(CD189=1,VLOOKUP(EA189,'EIA 2021'!$A$2:$Z$213,26,0),"")</f>
        <v/>
      </c>
      <c r="EP189" s="23" t="str">
        <f t="shared" si="53"/>
        <v/>
      </c>
      <c r="EQ189" s="32" t="str">
        <f t="shared" si="54"/>
        <v/>
      </c>
      <c r="ER189" s="32" t="str">
        <f t="shared" si="55"/>
        <v/>
      </c>
      <c r="ES189" s="6"/>
      <c r="ET189" s="32"/>
    </row>
    <row r="190" spans="1:150" ht="15.75" customHeight="1">
      <c r="A190" s="7" t="s">
        <v>772</v>
      </c>
      <c r="B190" s="7" t="s">
        <v>773</v>
      </c>
      <c r="C190" s="32" t="s">
        <v>774</v>
      </c>
      <c r="D190" s="40">
        <v>0</v>
      </c>
      <c r="E190" s="40">
        <v>0</v>
      </c>
      <c r="F190" s="40">
        <v>0</v>
      </c>
      <c r="G190" s="40">
        <v>0</v>
      </c>
      <c r="H190" s="40">
        <v>0</v>
      </c>
      <c r="I190" s="40">
        <v>0</v>
      </c>
      <c r="J190" s="40">
        <v>0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f>IFERROR(VLOOKUP(A190,'Trans 21-23'!$A$2:$J$229,6,0),0)</f>
        <v>11360374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41">
        <v>3728671</v>
      </c>
      <c r="AE190" s="41">
        <v>0</v>
      </c>
      <c r="AF190" s="41">
        <v>67730905</v>
      </c>
      <c r="AG190" s="41">
        <v>0</v>
      </c>
      <c r="AH190" s="41">
        <v>0</v>
      </c>
      <c r="AI190" s="41">
        <v>0</v>
      </c>
      <c r="AJ190" s="41">
        <v>0</v>
      </c>
      <c r="AK190" s="41">
        <v>0</v>
      </c>
      <c r="AL190" s="41">
        <v>0</v>
      </c>
      <c r="AM190" s="41">
        <v>0</v>
      </c>
      <c r="AN190" s="41">
        <v>0</v>
      </c>
      <c r="AO190" s="41">
        <v>0</v>
      </c>
      <c r="AP190" s="41">
        <v>0</v>
      </c>
      <c r="AQ190" s="41">
        <v>0</v>
      </c>
      <c r="AR190" s="41">
        <v>0</v>
      </c>
      <c r="AS190" s="41">
        <v>0</v>
      </c>
      <c r="AT190" s="41">
        <v>0</v>
      </c>
      <c r="AU190" s="41">
        <v>0</v>
      </c>
      <c r="AV190" s="41">
        <v>0</v>
      </c>
      <c r="AW190" s="41">
        <v>0</v>
      </c>
      <c r="AX190" s="41">
        <v>0</v>
      </c>
      <c r="AY190" s="41">
        <v>0</v>
      </c>
      <c r="AZ190" s="41">
        <v>0</v>
      </c>
      <c r="BA190" s="41">
        <v>0</v>
      </c>
      <c r="BB190" s="41">
        <v>0</v>
      </c>
      <c r="BC190" s="41">
        <v>2457521368</v>
      </c>
      <c r="BD190" s="41">
        <v>102645844</v>
      </c>
      <c r="BE190" s="41">
        <v>0</v>
      </c>
      <c r="BF190" s="41">
        <v>0</v>
      </c>
      <c r="BG190" s="41">
        <v>0</v>
      </c>
      <c r="BH190" s="41">
        <v>0</v>
      </c>
      <c r="BI190" s="41">
        <v>0</v>
      </c>
      <c r="BJ190" s="41">
        <v>0</v>
      </c>
      <c r="BK190" s="41">
        <v>0</v>
      </c>
      <c r="BL190" s="41">
        <v>0</v>
      </c>
      <c r="BM190" s="41">
        <v>0</v>
      </c>
      <c r="BN190" s="41">
        <v>0</v>
      </c>
      <c r="BO190" s="41">
        <v>0</v>
      </c>
      <c r="BP190" s="41">
        <v>0</v>
      </c>
      <c r="BQ190" s="41">
        <v>0</v>
      </c>
      <c r="BR190" s="41">
        <v>0</v>
      </c>
      <c r="BS190" s="42">
        <f>IFERROR(VLOOKUP(A190,'Trans 21-23'!$A$2:$J$229,5,0),0)</f>
        <v>723833326</v>
      </c>
      <c r="BT190" s="43"/>
      <c r="BU190" s="6">
        <f t="shared" si="0"/>
        <v>0</v>
      </c>
      <c r="BV190" s="6">
        <f t="shared" si="1"/>
        <v>0</v>
      </c>
      <c r="BW190" s="6">
        <f t="shared" si="2"/>
        <v>0</v>
      </c>
      <c r="BX190" s="6">
        <f t="shared" si="3"/>
        <v>0</v>
      </c>
      <c r="BY190" s="6">
        <f t="shared" si="4"/>
        <v>0</v>
      </c>
      <c r="BZ190" s="6">
        <f t="shared" si="5"/>
        <v>0</v>
      </c>
      <c r="CA190" s="6">
        <f t="shared" si="6"/>
        <v>3728671</v>
      </c>
      <c r="CB190" s="6">
        <f t="shared" si="7"/>
        <v>0</v>
      </c>
      <c r="CC190" s="6">
        <f t="shared" si="8"/>
        <v>0</v>
      </c>
      <c r="CD190" s="6">
        <f t="shared" si="88"/>
        <v>0</v>
      </c>
      <c r="CE190" s="44">
        <f t="shared" si="10"/>
        <v>62</v>
      </c>
      <c r="CF190" s="27"/>
      <c r="CG190" s="28" t="str">
        <f t="shared" si="11"/>
        <v/>
      </c>
      <c r="CH190" s="28" t="str">
        <f t="shared" si="12"/>
        <v/>
      </c>
      <c r="CI190" s="28" t="str">
        <f t="shared" si="13"/>
        <v/>
      </c>
      <c r="CJ190" s="28" t="str">
        <f t="shared" si="14"/>
        <v/>
      </c>
      <c r="CK190" s="23" t="str">
        <f t="shared" si="15"/>
        <v/>
      </c>
      <c r="CL190" s="29" t="str">
        <f t="shared" si="16"/>
        <v/>
      </c>
      <c r="CM190" s="29" t="str">
        <f t="shared" si="66"/>
        <v/>
      </c>
      <c r="CN190" s="29" t="str">
        <f t="shared" si="18"/>
        <v/>
      </c>
      <c r="CO190" s="29" t="str">
        <f t="shared" si="19"/>
        <v/>
      </c>
      <c r="CP190" s="29" t="str">
        <f t="shared" si="20"/>
        <v/>
      </c>
      <c r="CQ190" s="29">
        <f t="shared" si="21"/>
        <v>0</v>
      </c>
      <c r="CR190" s="13"/>
      <c r="CS190" s="7" t="str">
        <f>VLOOKUP(A190,'Empresas 21-23'!$A$2:$M$228,13,0)</f>
        <v/>
      </c>
      <c r="CT190" s="30"/>
      <c r="CU190" s="6">
        <f t="shared" si="22"/>
        <v>723833326</v>
      </c>
      <c r="CV190" s="6">
        <f t="shared" si="23"/>
        <v>0</v>
      </c>
      <c r="CW190" s="6">
        <f t="shared" si="24"/>
        <v>102645844</v>
      </c>
      <c r="CX190" s="23">
        <f t="shared" si="92"/>
        <v>0.30737647006092877</v>
      </c>
      <c r="CY190" s="23">
        <f t="shared" si="93"/>
        <v>0</v>
      </c>
      <c r="CZ190" s="6">
        <f t="shared" si="25"/>
        <v>755384243.19514477</v>
      </c>
      <c r="DA190" s="6">
        <f t="shared" si="26"/>
        <v>0</v>
      </c>
      <c r="DB190" s="6">
        <f t="shared" si="27"/>
        <v>0</v>
      </c>
      <c r="DC190" s="6">
        <f t="shared" si="28"/>
        <v>11360374</v>
      </c>
      <c r="DD190" s="6">
        <f t="shared" si="29"/>
        <v>0</v>
      </c>
      <c r="DE190" s="6">
        <f t="shared" si="30"/>
        <v>3728671</v>
      </c>
      <c r="DF190" s="6">
        <f t="shared" si="91"/>
        <v>661837.78964581143</v>
      </c>
      <c r="DG190" s="30"/>
      <c r="DH190" s="32" t="str">
        <f>VLOOKUP(A190,'T_med_comp-USA'!$A$7:$Q$233,17,0)</f>
        <v>-</v>
      </c>
      <c r="DI190" s="6" t="str">
        <f t="shared" si="32"/>
        <v/>
      </c>
      <c r="DJ190" s="32" t="str">
        <f>IF(DI190="","",VLOOKUP(DI190,'CPI USA'!$T:$U,2,FALSE))</f>
        <v/>
      </c>
      <c r="DK190" s="32" t="str">
        <f>IF(DI190="","",VLOOKUP(DI190,'PPI USA'!$S:$T,2,FALSE))</f>
        <v/>
      </c>
      <c r="DL190" s="32" t="str">
        <f>IF(DI190="","",VLOOKUP(DI190,'CPI USA'!$T:$V,3,FALSE))</f>
        <v/>
      </c>
      <c r="DM190" s="32" t="str">
        <f>IF(DI190="","",VLOOKUP(DI190,'CPI USA'!$T:$X,5,FALSE))</f>
        <v/>
      </c>
      <c r="DN190" s="32" t="str">
        <f t="shared" si="33"/>
        <v/>
      </c>
      <c r="DO190" s="32" t="str">
        <f t="shared" si="34"/>
        <v/>
      </c>
      <c r="DP190" s="32" t="str">
        <f t="shared" si="35"/>
        <v/>
      </c>
      <c r="DQ190" s="32" t="str">
        <f>IF(DP190="","",DP190*$DO$1/'CPI USA'!$U$508+(1-DP190)*AVERAGE($DO$1,$DQ$1)/AVERAGE('CPI USA'!$U$508,'PPI USA'!$T$514))</f>
        <v/>
      </c>
      <c r="DR190" s="6">
        <f t="shared" si="36"/>
        <v>0</v>
      </c>
      <c r="DS190" s="32" t="str">
        <f t="shared" si="37"/>
        <v/>
      </c>
      <c r="DT190" s="28" t="str">
        <f>IF(DS190="","",DS190*$DO$1/'CPI USA'!$U$508+(1-DS190)*AVERAGE($DO$1,$DQ$1)/AVERAGE('CPI USA'!$U$508,'PPI USA'!$T$514))</f>
        <v/>
      </c>
      <c r="DU190" s="6" t="str">
        <f t="shared" si="38"/>
        <v/>
      </c>
      <c r="DV190" s="6" t="str">
        <f t="shared" si="39"/>
        <v/>
      </c>
      <c r="DW190" s="6">
        <f t="shared" si="40"/>
        <v>0</v>
      </c>
      <c r="DX190" s="16" t="str">
        <f t="shared" si="41"/>
        <v/>
      </c>
      <c r="DY190" s="28" t="str">
        <f>IF(DX190="","",DX190*$DO$1/'CPI USA'!$U$508+(1-DX190)*AVERAGE($DO$1,$DQ$1)/AVERAGE('CPI USA'!$U$508,'PPI USA'!$T$514))</f>
        <v/>
      </c>
      <c r="DZ190" s="30"/>
      <c r="EA190" s="45" t="str">
        <f t="shared" si="42"/>
        <v>C005475</v>
      </c>
      <c r="EB190" s="29" t="str">
        <f t="shared" si="43"/>
        <v/>
      </c>
      <c r="EC190" s="29" t="str">
        <f t="shared" si="44"/>
        <v/>
      </c>
      <c r="ED190" s="29" t="str">
        <f t="shared" si="45"/>
        <v/>
      </c>
      <c r="EE190" s="29" t="str">
        <f t="shared" si="46"/>
        <v/>
      </c>
      <c r="EF190" s="29" t="str">
        <f t="shared" si="47"/>
        <v/>
      </c>
      <c r="EG190" s="29" t="str">
        <f t="shared" si="48"/>
        <v/>
      </c>
      <c r="EH190" s="29" t="str">
        <f t="shared" si="49"/>
        <v/>
      </c>
      <c r="EI190" s="29" t="str">
        <f t="shared" si="50"/>
        <v/>
      </c>
      <c r="EJ190" s="29" t="str">
        <f t="shared" si="51"/>
        <v/>
      </c>
      <c r="EK190" s="29" t="str">
        <f t="shared" si="52"/>
        <v/>
      </c>
      <c r="EL190" s="29" t="str">
        <f>IF(CD190=1,VLOOKUP(EA190,'EIA 2021'!$A$2:$J$213,4,0)*EH190,"")</f>
        <v/>
      </c>
      <c r="EM190" s="29" t="str">
        <f>IF(CD190=1,VLOOKUP(EA190,'EIA 2021'!$A$2:$J$213,7,0)*EH190,"")</f>
        <v/>
      </c>
      <c r="EN190" s="29" t="str">
        <f>IF(CD190=1,VLOOKUP(EA190,'EIA 2021'!$A$2:$J$213,10,0),"")</f>
        <v/>
      </c>
      <c r="EO190" s="28" t="str">
        <f>IF(CD190=1,VLOOKUP(EA190,'EIA 2021'!$A$2:$Z$213,26,0),"")</f>
        <v/>
      </c>
      <c r="EP190" s="23" t="str">
        <f t="shared" si="53"/>
        <v/>
      </c>
      <c r="EQ190" s="32" t="str">
        <f t="shared" si="54"/>
        <v/>
      </c>
      <c r="ER190" s="32" t="str">
        <f t="shared" si="55"/>
        <v/>
      </c>
      <c r="ES190" s="6"/>
      <c r="ET190" s="32"/>
    </row>
    <row r="191" spans="1:150" ht="15.75" customHeight="1">
      <c r="A191" s="7" t="s">
        <v>775</v>
      </c>
      <c r="B191" s="7" t="s">
        <v>776</v>
      </c>
      <c r="C191" s="32" t="s">
        <v>777</v>
      </c>
      <c r="D191" s="40">
        <v>0</v>
      </c>
      <c r="E191" s="40">
        <v>0</v>
      </c>
      <c r="F191" s="40">
        <v>0</v>
      </c>
      <c r="G191" s="40">
        <v>0</v>
      </c>
      <c r="H191" s="40">
        <v>0</v>
      </c>
      <c r="I191" s="40">
        <v>0</v>
      </c>
      <c r="J191" s="40">
        <v>0</v>
      </c>
      <c r="K191" s="40">
        <v>0</v>
      </c>
      <c r="L191" s="40">
        <v>0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40">
        <f>IFERROR(VLOOKUP(A191,'Trans 21-23'!$A$2:$J$229,6,0),0)</f>
        <v>0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41">
        <v>11056369</v>
      </c>
      <c r="AE191" s="41">
        <v>0</v>
      </c>
      <c r="AF191" s="41">
        <v>20514541</v>
      </c>
      <c r="AG191" s="41">
        <v>0</v>
      </c>
      <c r="AH191" s="41">
        <v>0</v>
      </c>
      <c r="AI191" s="41">
        <v>0</v>
      </c>
      <c r="AJ191" s="41">
        <v>0</v>
      </c>
      <c r="AK191" s="41">
        <v>0</v>
      </c>
      <c r="AL191" s="41">
        <v>0</v>
      </c>
      <c r="AM191" s="41">
        <v>0</v>
      </c>
      <c r="AN191" s="41">
        <v>0</v>
      </c>
      <c r="AO191" s="41">
        <v>0</v>
      </c>
      <c r="AP191" s="41">
        <v>0</v>
      </c>
      <c r="AQ191" s="41">
        <v>0</v>
      </c>
      <c r="AR191" s="41">
        <v>0</v>
      </c>
      <c r="AS191" s="41">
        <v>0</v>
      </c>
      <c r="AT191" s="41">
        <v>0</v>
      </c>
      <c r="AU191" s="41">
        <v>0</v>
      </c>
      <c r="AV191" s="41">
        <v>0</v>
      </c>
      <c r="AW191" s="41">
        <v>0</v>
      </c>
      <c r="AX191" s="41">
        <v>0</v>
      </c>
      <c r="AY191" s="41">
        <v>0</v>
      </c>
      <c r="AZ191" s="41">
        <v>0</v>
      </c>
      <c r="BA191" s="41">
        <v>0</v>
      </c>
      <c r="BB191" s="41">
        <v>0</v>
      </c>
      <c r="BC191" s="41">
        <v>182890129</v>
      </c>
      <c r="BD191" s="41">
        <v>2226311</v>
      </c>
      <c r="BE191" s="41">
        <v>0</v>
      </c>
      <c r="BF191" s="41">
        <v>0</v>
      </c>
      <c r="BG191" s="41">
        <v>0</v>
      </c>
      <c r="BH191" s="41">
        <v>0</v>
      </c>
      <c r="BI191" s="41">
        <v>0</v>
      </c>
      <c r="BJ191" s="41">
        <v>0</v>
      </c>
      <c r="BK191" s="41">
        <v>0</v>
      </c>
      <c r="BL191" s="41">
        <v>0</v>
      </c>
      <c r="BM191" s="41">
        <v>0</v>
      </c>
      <c r="BN191" s="41">
        <v>0</v>
      </c>
      <c r="BO191" s="41">
        <v>0</v>
      </c>
      <c r="BP191" s="41">
        <v>0</v>
      </c>
      <c r="BQ191" s="41">
        <v>0</v>
      </c>
      <c r="BR191" s="41">
        <v>0</v>
      </c>
      <c r="BS191" s="42">
        <f>IFERROR(VLOOKUP(A191,'Trans 21-23'!$A$2:$J$229,5,0),0)</f>
        <v>0</v>
      </c>
      <c r="BT191" s="43"/>
      <c r="BU191" s="6">
        <f t="shared" si="0"/>
        <v>0</v>
      </c>
      <c r="BV191" s="6">
        <f t="shared" si="1"/>
        <v>0</v>
      </c>
      <c r="BW191" s="6">
        <f t="shared" si="2"/>
        <v>0</v>
      </c>
      <c r="BX191" s="6">
        <f t="shared" si="3"/>
        <v>0</v>
      </c>
      <c r="BY191" s="6">
        <f t="shared" si="4"/>
        <v>0</v>
      </c>
      <c r="BZ191" s="6">
        <f t="shared" si="5"/>
        <v>0</v>
      </c>
      <c r="CA191" s="6">
        <f t="shared" si="6"/>
        <v>11056369</v>
      </c>
      <c r="CB191" s="6">
        <f t="shared" si="7"/>
        <v>0</v>
      </c>
      <c r="CC191" s="6">
        <f t="shared" si="8"/>
        <v>0</v>
      </c>
      <c r="CD191" s="6">
        <f t="shared" si="88"/>
        <v>0</v>
      </c>
      <c r="CE191" s="44">
        <f t="shared" si="10"/>
        <v>64</v>
      </c>
      <c r="CF191" s="27"/>
      <c r="CG191" s="28" t="str">
        <f t="shared" si="11"/>
        <v/>
      </c>
      <c r="CH191" s="28" t="str">
        <f t="shared" si="12"/>
        <v/>
      </c>
      <c r="CI191" s="28" t="str">
        <f t="shared" si="13"/>
        <v/>
      </c>
      <c r="CJ191" s="28" t="str">
        <f t="shared" si="14"/>
        <v/>
      </c>
      <c r="CK191" s="23" t="str">
        <f t="shared" si="15"/>
        <v/>
      </c>
      <c r="CL191" s="29" t="str">
        <f t="shared" si="16"/>
        <v/>
      </c>
      <c r="CM191" s="29" t="str">
        <f t="shared" si="66"/>
        <v/>
      </c>
      <c r="CN191" s="29" t="str">
        <f t="shared" si="18"/>
        <v/>
      </c>
      <c r="CO191" s="29" t="str">
        <f t="shared" si="19"/>
        <v/>
      </c>
      <c r="CP191" s="29" t="str">
        <f t="shared" si="20"/>
        <v/>
      </c>
      <c r="CQ191" s="29">
        <f t="shared" si="21"/>
        <v>0</v>
      </c>
      <c r="CR191" s="13"/>
      <c r="CS191" s="7" t="str">
        <f>VLOOKUP(A191,'Empresas 21-23'!$A$2:$M$228,13,0)</f>
        <v/>
      </c>
      <c r="CT191" s="30"/>
      <c r="CU191" s="6">
        <f t="shared" si="22"/>
        <v>0</v>
      </c>
      <c r="CV191" s="6">
        <f t="shared" si="23"/>
        <v>0</v>
      </c>
      <c r="CW191" s="6">
        <f t="shared" si="24"/>
        <v>2226311</v>
      </c>
      <c r="CX191" s="23">
        <f t="shared" si="92"/>
        <v>0</v>
      </c>
      <c r="CY191" s="23">
        <f t="shared" si="93"/>
        <v>0</v>
      </c>
      <c r="CZ191" s="6">
        <f t="shared" si="25"/>
        <v>0</v>
      </c>
      <c r="DA191" s="6">
        <f t="shared" si="26"/>
        <v>0</v>
      </c>
      <c r="DB191" s="6">
        <f t="shared" si="27"/>
        <v>0</v>
      </c>
      <c r="DC191" s="6">
        <f t="shared" si="28"/>
        <v>0</v>
      </c>
      <c r="DD191" s="6">
        <f t="shared" si="29"/>
        <v>0</v>
      </c>
      <c r="DE191" s="6">
        <f t="shared" si="30"/>
        <v>11056369</v>
      </c>
      <c r="DF191" s="6">
        <f t="shared" si="91"/>
        <v>0</v>
      </c>
      <c r="DG191" s="30"/>
      <c r="DH191" s="32" t="str">
        <f>VLOOKUP(A191,'T_med_comp-USA'!$A$7:$Q$233,17,0)</f>
        <v>-</v>
      </c>
      <c r="DI191" s="6" t="str">
        <f t="shared" si="32"/>
        <v/>
      </c>
      <c r="DJ191" s="32" t="str">
        <f>IF(DI191="","",VLOOKUP(DI191,'CPI USA'!$T:$U,2,FALSE))</f>
        <v/>
      </c>
      <c r="DK191" s="32" t="str">
        <f>IF(DI191="","",VLOOKUP(DI191,'PPI USA'!$S:$T,2,FALSE))</f>
        <v/>
      </c>
      <c r="DL191" s="32" t="str">
        <f>IF(DI191="","",VLOOKUP(DI191,'CPI USA'!$T:$V,3,FALSE))</f>
        <v/>
      </c>
      <c r="DM191" s="32" t="str">
        <f>IF(DI191="","",VLOOKUP(DI191,'CPI USA'!$T:$X,5,FALSE))</f>
        <v/>
      </c>
      <c r="DN191" s="32" t="str">
        <f t="shared" si="33"/>
        <v/>
      </c>
      <c r="DO191" s="32" t="str">
        <f t="shared" si="34"/>
        <v/>
      </c>
      <c r="DP191" s="32" t="str">
        <f t="shared" si="35"/>
        <v/>
      </c>
      <c r="DQ191" s="32" t="str">
        <f>IF(DP191="","",DP191*$DO$1/'CPI USA'!$U$508+(1-DP191)*AVERAGE($DO$1,$DQ$1)/AVERAGE('CPI USA'!$U$508,'PPI USA'!$T$514))</f>
        <v/>
      </c>
      <c r="DR191" s="6">
        <f t="shared" si="36"/>
        <v>0</v>
      </c>
      <c r="DS191" s="32" t="str">
        <f t="shared" si="37"/>
        <v/>
      </c>
      <c r="DT191" s="28" t="str">
        <f>IF(DS191="","",DS191*$DO$1/'CPI USA'!$U$508+(1-DS191)*AVERAGE($DO$1,$DQ$1)/AVERAGE('CPI USA'!$U$508,'PPI USA'!$T$514))</f>
        <v/>
      </c>
      <c r="DU191" s="6" t="str">
        <f t="shared" si="38"/>
        <v/>
      </c>
      <c r="DV191" s="6" t="str">
        <f t="shared" si="39"/>
        <v/>
      </c>
      <c r="DW191" s="6">
        <f t="shared" si="40"/>
        <v>0</v>
      </c>
      <c r="DX191" s="16" t="str">
        <f t="shared" si="41"/>
        <v/>
      </c>
      <c r="DY191" s="28" t="str">
        <f>IF(DX191="","",DX191*$DO$1/'CPI USA'!$U$508+(1-DX191)*AVERAGE($DO$1,$DQ$1)/AVERAGE('CPI USA'!$U$508,'PPI USA'!$T$514))</f>
        <v/>
      </c>
      <c r="DZ191" s="30"/>
      <c r="EA191" s="45" t="str">
        <f t="shared" si="42"/>
        <v>C005519</v>
      </c>
      <c r="EB191" s="29" t="str">
        <f t="shared" si="43"/>
        <v/>
      </c>
      <c r="EC191" s="29" t="str">
        <f t="shared" si="44"/>
        <v/>
      </c>
      <c r="ED191" s="29" t="str">
        <f t="shared" si="45"/>
        <v/>
      </c>
      <c r="EE191" s="29" t="str">
        <f t="shared" si="46"/>
        <v/>
      </c>
      <c r="EF191" s="29" t="str">
        <f t="shared" si="47"/>
        <v/>
      </c>
      <c r="EG191" s="29" t="str">
        <f t="shared" si="48"/>
        <v/>
      </c>
      <c r="EH191" s="29" t="str">
        <f t="shared" si="49"/>
        <v/>
      </c>
      <c r="EI191" s="29" t="str">
        <f t="shared" si="50"/>
        <v/>
      </c>
      <c r="EJ191" s="29" t="str">
        <f t="shared" si="51"/>
        <v/>
      </c>
      <c r="EK191" s="29" t="str">
        <f t="shared" si="52"/>
        <v/>
      </c>
      <c r="EL191" s="29" t="str">
        <f>IF(CD191=1,VLOOKUP(EA191,'EIA 2021'!$A$2:$J$213,4,0)*EH191,"")</f>
        <v/>
      </c>
      <c r="EM191" s="29" t="str">
        <f>IF(CD191=1,VLOOKUP(EA191,'EIA 2021'!$A$2:$J$213,7,0)*EH191,"")</f>
        <v/>
      </c>
      <c r="EN191" s="29" t="str">
        <f>IF(CD191=1,VLOOKUP(EA191,'EIA 2021'!$A$2:$J$213,10,0),"")</f>
        <v/>
      </c>
      <c r="EO191" s="28" t="str">
        <f>IF(CD191=1,VLOOKUP(EA191,'EIA 2021'!$A$2:$Z$213,26,0),"")</f>
        <v/>
      </c>
      <c r="EP191" s="23" t="str">
        <f t="shared" si="53"/>
        <v/>
      </c>
      <c r="EQ191" s="32" t="str">
        <f t="shared" si="54"/>
        <v/>
      </c>
      <c r="ER191" s="32" t="str">
        <f t="shared" si="55"/>
        <v/>
      </c>
      <c r="ES191" s="6"/>
      <c r="ET191" s="32"/>
    </row>
    <row r="192" spans="1:150" ht="15.75" customHeight="1">
      <c r="A192" s="7" t="s">
        <v>778</v>
      </c>
      <c r="B192" s="7" t="s">
        <v>779</v>
      </c>
      <c r="C192" s="32" t="s">
        <v>780</v>
      </c>
      <c r="D192" s="40">
        <v>0</v>
      </c>
      <c r="E192" s="40">
        <v>0</v>
      </c>
      <c r="F192" s="40">
        <v>0</v>
      </c>
      <c r="G192" s="40">
        <v>0</v>
      </c>
      <c r="H192" s="40">
        <v>33140</v>
      </c>
      <c r="I192" s="40">
        <v>6403119</v>
      </c>
      <c r="J192" s="40">
        <v>1455196</v>
      </c>
      <c r="K192" s="40">
        <v>3159234</v>
      </c>
      <c r="L192" s="40">
        <v>3765342</v>
      </c>
      <c r="M192" s="40">
        <v>2303491</v>
      </c>
      <c r="N192" s="40">
        <v>909959</v>
      </c>
      <c r="O192" s="40">
        <v>18521016</v>
      </c>
      <c r="P192" s="40">
        <v>1903971</v>
      </c>
      <c r="Q192" s="40">
        <v>110765</v>
      </c>
      <c r="R192" s="40">
        <v>10634</v>
      </c>
      <c r="S192" s="40">
        <v>2645016</v>
      </c>
      <c r="T192" s="40">
        <v>43616832</v>
      </c>
      <c r="U192" s="40">
        <v>1016014</v>
      </c>
      <c r="V192" s="40">
        <v>824867</v>
      </c>
      <c r="W192" s="40">
        <v>209618</v>
      </c>
      <c r="X192" s="40">
        <f>IFERROR(VLOOKUP(A192,'Trans 21-23'!$A$2:$J$229,6,0),0)</f>
        <v>0</v>
      </c>
      <c r="Y192" s="41">
        <v>8255309</v>
      </c>
      <c r="Z192" s="41">
        <v>240897</v>
      </c>
      <c r="AA192" s="41">
        <v>12464395</v>
      </c>
      <c r="AB192" s="41">
        <v>18490551</v>
      </c>
      <c r="AC192" s="41">
        <v>246751</v>
      </c>
      <c r="AD192" s="41">
        <v>68866297</v>
      </c>
      <c r="AE192" s="41">
        <v>0</v>
      </c>
      <c r="AF192" s="41">
        <v>552695636</v>
      </c>
      <c r="AG192" s="41">
        <v>0</v>
      </c>
      <c r="AH192" s="41">
        <v>0</v>
      </c>
      <c r="AI192" s="41">
        <v>0</v>
      </c>
      <c r="AJ192" s="41">
        <v>0</v>
      </c>
      <c r="AK192" s="41">
        <v>0</v>
      </c>
      <c r="AL192" s="41">
        <v>0</v>
      </c>
      <c r="AM192" s="41">
        <v>0</v>
      </c>
      <c r="AN192" s="41">
        <v>0</v>
      </c>
      <c r="AO192" s="41">
        <v>0</v>
      </c>
      <c r="AP192" s="41">
        <v>0</v>
      </c>
      <c r="AQ192" s="41">
        <v>0</v>
      </c>
      <c r="AR192" s="41">
        <v>0</v>
      </c>
      <c r="AS192" s="41">
        <v>0</v>
      </c>
      <c r="AT192" s="41">
        <v>0</v>
      </c>
      <c r="AU192" s="41">
        <v>0</v>
      </c>
      <c r="AV192" s="41">
        <v>0</v>
      </c>
      <c r="AW192" s="41">
        <v>907039701</v>
      </c>
      <c r="AX192" s="41">
        <v>105711320</v>
      </c>
      <c r="AY192" s="41">
        <v>436772577</v>
      </c>
      <c r="AZ192" s="41">
        <v>199245251</v>
      </c>
      <c r="BA192" s="41">
        <v>120225191</v>
      </c>
      <c r="BB192" s="41">
        <v>4965822347</v>
      </c>
      <c r="BC192" s="41">
        <v>11748108790</v>
      </c>
      <c r="BD192" s="41">
        <v>704381855</v>
      </c>
      <c r="BE192" s="41">
        <v>1403007505</v>
      </c>
      <c r="BF192" s="41">
        <v>149162926</v>
      </c>
      <c r="BG192" s="41">
        <v>0</v>
      </c>
      <c r="BH192" s="41">
        <v>40879780</v>
      </c>
      <c r="BI192" s="41">
        <v>4674483</v>
      </c>
      <c r="BJ192" s="41">
        <v>2480143</v>
      </c>
      <c r="BK192" s="41">
        <v>0</v>
      </c>
      <c r="BL192" s="41">
        <v>0</v>
      </c>
      <c r="BM192" s="41">
        <v>5367561</v>
      </c>
      <c r="BN192" s="41">
        <v>60322228</v>
      </c>
      <c r="BO192" s="41">
        <v>3952932</v>
      </c>
      <c r="BP192" s="41">
        <v>10800551</v>
      </c>
      <c r="BQ192" s="41">
        <v>163165982</v>
      </c>
      <c r="BR192" s="41">
        <v>0</v>
      </c>
      <c r="BS192" s="42">
        <f>IFERROR(VLOOKUP(A192,'Trans 21-23'!$A$2:$J$229,5,0),0)</f>
        <v>0</v>
      </c>
      <c r="BT192" s="43"/>
      <c r="BU192" s="6">
        <f t="shared" si="0"/>
        <v>4965822347</v>
      </c>
      <c r="BV192" s="6">
        <f t="shared" si="1"/>
        <v>0</v>
      </c>
      <c r="BW192" s="6">
        <f t="shared" si="2"/>
        <v>0</v>
      </c>
      <c r="BX192" s="6">
        <f t="shared" si="3"/>
        <v>86855074</v>
      </c>
      <c r="BY192" s="6">
        <f t="shared" si="4"/>
        <v>39697903</v>
      </c>
      <c r="BZ192" s="6">
        <f t="shared" si="5"/>
        <v>199245251</v>
      </c>
      <c r="CA192" s="6">
        <f t="shared" si="6"/>
        <v>68866297</v>
      </c>
      <c r="CB192" s="6">
        <f t="shared" si="7"/>
        <v>0</v>
      </c>
      <c r="CC192" s="6">
        <f t="shared" si="8"/>
        <v>0</v>
      </c>
      <c r="CD192" s="6">
        <f t="shared" si="88"/>
        <v>0</v>
      </c>
      <c r="CE192" s="44">
        <f t="shared" si="10"/>
        <v>27</v>
      </c>
      <c r="CF192" s="27"/>
      <c r="CG192" s="28" t="str">
        <f t="shared" si="11"/>
        <v/>
      </c>
      <c r="CH192" s="28" t="str">
        <f t="shared" si="12"/>
        <v/>
      </c>
      <c r="CI192" s="28" t="str">
        <f t="shared" si="13"/>
        <v/>
      </c>
      <c r="CJ192" s="28" t="str">
        <f t="shared" si="14"/>
        <v/>
      </c>
      <c r="CK192" s="23" t="str">
        <f t="shared" si="15"/>
        <v/>
      </c>
      <c r="CL192" s="29" t="str">
        <f t="shared" si="16"/>
        <v/>
      </c>
      <c r="CM192" s="29" t="str">
        <f t="shared" si="66"/>
        <v/>
      </c>
      <c r="CN192" s="29" t="str">
        <f t="shared" si="18"/>
        <v/>
      </c>
      <c r="CO192" s="29" t="str">
        <f t="shared" si="19"/>
        <v/>
      </c>
      <c r="CP192" s="29" t="str">
        <f t="shared" si="20"/>
        <v/>
      </c>
      <c r="CQ192" s="29">
        <f t="shared" si="21"/>
        <v>0</v>
      </c>
      <c r="CR192" s="13"/>
      <c r="CS192" s="7" t="str">
        <f>VLOOKUP(A192,'Empresas 21-23'!$A$2:$M$228,13,0)</f>
        <v/>
      </c>
      <c r="CT192" s="30"/>
      <c r="CU192" s="6">
        <f t="shared" si="22"/>
        <v>4320861566.8000002</v>
      </c>
      <c r="CV192" s="6">
        <f t="shared" si="23"/>
        <v>199245251</v>
      </c>
      <c r="CW192" s="6">
        <f t="shared" si="24"/>
        <v>704381855</v>
      </c>
      <c r="CX192" s="23">
        <f t="shared" si="92"/>
        <v>0.39125030818230749</v>
      </c>
      <c r="CY192" s="23">
        <f t="shared" si="93"/>
        <v>1.8041486553651374E-2</v>
      </c>
      <c r="CZ192" s="6">
        <f t="shared" si="25"/>
        <v>4596451184.6467752</v>
      </c>
      <c r="DA192" s="6">
        <f t="shared" si="26"/>
        <v>211953346.7656185</v>
      </c>
      <c r="DB192" s="6">
        <f t="shared" si="27"/>
        <v>86855074</v>
      </c>
      <c r="DC192" s="6">
        <f t="shared" si="28"/>
        <v>86855074</v>
      </c>
      <c r="DD192" s="6">
        <f t="shared" si="29"/>
        <v>39697903</v>
      </c>
      <c r="DE192" s="6">
        <f t="shared" si="30"/>
        <v>68866297</v>
      </c>
      <c r="DF192" s="6">
        <f t="shared" si="91"/>
        <v>18014269.062738478</v>
      </c>
      <c r="DG192" s="30"/>
      <c r="DH192" s="32">
        <f>VLOOKUP(A192,'T_med_comp-USA'!$A$7:$Q$233,17,0)</f>
        <v>8.9173649575421035</v>
      </c>
      <c r="DI192" s="6" t="str">
        <f t="shared" si="32"/>
        <v>2_2013</v>
      </c>
      <c r="DJ192" s="32">
        <f>IF(DI192="","",VLOOKUP(DI192,'CPI USA'!$T:$U,2,FALSE))</f>
        <v>232.166</v>
      </c>
      <c r="DK192" s="32">
        <f>IF(DI192="","",VLOOKUP(DI192,'PPI USA'!$S:$T,2,FALSE))</f>
        <v>166.3</v>
      </c>
      <c r="DL192" s="32">
        <f>IF(DI192="","",VLOOKUP(DI192,'CPI USA'!$T:$V,3,FALSE))</f>
        <v>0.67305131835944076</v>
      </c>
      <c r="DM192" s="32">
        <f>IF(DI192="","",VLOOKUP(DI192,'CPI USA'!$T:$X,5,FALSE))</f>
        <v>0.50163050295255052</v>
      </c>
      <c r="DN192" s="32">
        <f t="shared" si="33"/>
        <v>1.3865384530154934</v>
      </c>
      <c r="DO192" s="32">
        <f t="shared" si="34"/>
        <v>1.4039999731910067</v>
      </c>
      <c r="DP192" s="32">
        <f t="shared" si="35"/>
        <v>0.50150948114959026</v>
      </c>
      <c r="DQ192" s="32">
        <f>IF(DP192="","",DP192*$DO$1/'CPI USA'!$U$508+(1-DP192)*AVERAGE($DO$1,$DQ$1)/AVERAGE('CPI USA'!$U$508,'PPI USA'!$T$514))</f>
        <v>1.156338636000922</v>
      </c>
      <c r="DR192" s="6">
        <f t="shared" si="36"/>
        <v>7154626</v>
      </c>
      <c r="DS192" s="32">
        <f t="shared" si="37"/>
        <v>0.2</v>
      </c>
      <c r="DT192" s="28">
        <f>IF(DS192="","",DS192*$DO$1/'CPI USA'!$U$508+(1-DS192)*AVERAGE($DO$1,$DQ$1)/AVERAGE('CPI USA'!$U$508,'PPI USA'!$T$514))</f>
        <v>1.1741595760647974</v>
      </c>
      <c r="DU192" s="6">
        <f t="shared" si="38"/>
        <v>5719298.7315514935</v>
      </c>
      <c r="DV192" s="6">
        <f t="shared" si="39"/>
        <v>380484.05038877222</v>
      </c>
      <c r="DW192" s="6">
        <f t="shared" si="40"/>
        <v>4857238.4073666539</v>
      </c>
      <c r="DX192" s="16">
        <f t="shared" si="41"/>
        <v>0.26963283330843457</v>
      </c>
      <c r="DY192" s="28">
        <f>IF(DX192="","",DX192*$DO$1/'CPI USA'!$U$508+(1-DX192)*AVERAGE($DO$1,$DQ$1)/AVERAGE('CPI USA'!$U$508,'PPI USA'!$T$514))</f>
        <v>1.1700438761400851</v>
      </c>
      <c r="DZ192" s="30"/>
      <c r="EA192" s="45" t="str">
        <f t="shared" si="42"/>
        <v>C007565</v>
      </c>
      <c r="EB192" s="29" t="str">
        <f t="shared" si="43"/>
        <v/>
      </c>
      <c r="EC192" s="29" t="str">
        <f t="shared" si="44"/>
        <v/>
      </c>
      <c r="ED192" s="29" t="str">
        <f t="shared" si="45"/>
        <v/>
      </c>
      <c r="EE192" s="29" t="str">
        <f t="shared" si="46"/>
        <v/>
      </c>
      <c r="EF192" s="29" t="str">
        <f t="shared" si="47"/>
        <v/>
      </c>
      <c r="EG192" s="29" t="str">
        <f t="shared" si="48"/>
        <v/>
      </c>
      <c r="EH192" s="29" t="str">
        <f t="shared" si="49"/>
        <v/>
      </c>
      <c r="EI192" s="29" t="str">
        <f t="shared" si="50"/>
        <v/>
      </c>
      <c r="EJ192" s="29" t="str">
        <f t="shared" si="51"/>
        <v/>
      </c>
      <c r="EK192" s="29" t="str">
        <f t="shared" si="52"/>
        <v/>
      </c>
      <c r="EL192" s="29" t="str">
        <f>IF(CD192=1,VLOOKUP(EA192,'EIA 2021'!$A$2:$J$213,4,0)*EH192,"")</f>
        <v/>
      </c>
      <c r="EM192" s="29" t="str">
        <f>IF(CD192=1,VLOOKUP(EA192,'EIA 2021'!$A$2:$J$213,7,0)*EH192,"")</f>
        <v/>
      </c>
      <c r="EN192" s="29" t="str">
        <f>IF(CD192=1,VLOOKUP(EA192,'EIA 2021'!$A$2:$J$213,10,0),"")</f>
        <v/>
      </c>
      <c r="EO192" s="28" t="str">
        <f>IF(CD192=1,VLOOKUP(EA192,'EIA 2021'!$A$2:$Z$213,26,0),"")</f>
        <v/>
      </c>
      <c r="EP192" s="23" t="str">
        <f t="shared" si="53"/>
        <v/>
      </c>
      <c r="EQ192" s="32" t="str">
        <f t="shared" si="54"/>
        <v/>
      </c>
      <c r="ER192" s="32" t="str">
        <f t="shared" si="55"/>
        <v/>
      </c>
      <c r="ES192" s="6"/>
      <c r="ET192" s="32"/>
    </row>
    <row r="193" spans="1:150" ht="15.75" customHeight="1">
      <c r="A193" s="7" t="s">
        <v>781</v>
      </c>
      <c r="B193" s="7" t="s">
        <v>782</v>
      </c>
      <c r="C193" s="32" t="s">
        <v>783</v>
      </c>
      <c r="D193" s="40">
        <v>0</v>
      </c>
      <c r="E193" s="40">
        <v>0</v>
      </c>
      <c r="F193" s="40">
        <v>0</v>
      </c>
      <c r="G193" s="40">
        <v>0</v>
      </c>
      <c r="H193" s="40">
        <v>0</v>
      </c>
      <c r="I193" s="40">
        <v>0</v>
      </c>
      <c r="J193" s="40">
        <v>0</v>
      </c>
      <c r="K193" s="40">
        <v>0</v>
      </c>
      <c r="L193" s="40">
        <v>0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f>IFERROR(VLOOKUP(A193,'Trans 21-23'!$A$2:$J$229,6,0),0)</f>
        <v>0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41">
        <v>217206</v>
      </c>
      <c r="AE193" s="41">
        <v>0</v>
      </c>
      <c r="AF193" s="41">
        <v>522225</v>
      </c>
      <c r="AG193" s="41">
        <v>0</v>
      </c>
      <c r="AH193" s="41">
        <v>0</v>
      </c>
      <c r="AI193" s="41">
        <v>0</v>
      </c>
      <c r="AJ193" s="41">
        <v>0</v>
      </c>
      <c r="AK193" s="41">
        <v>0</v>
      </c>
      <c r="AL193" s="41">
        <v>0</v>
      </c>
      <c r="AM193" s="41">
        <v>0</v>
      </c>
      <c r="AN193" s="41">
        <v>0</v>
      </c>
      <c r="AO193" s="41">
        <v>0</v>
      </c>
      <c r="AP193" s="41">
        <v>0</v>
      </c>
      <c r="AQ193" s="41">
        <v>0</v>
      </c>
      <c r="AR193" s="41">
        <v>0</v>
      </c>
      <c r="AS193" s="41">
        <v>0</v>
      </c>
      <c r="AT193" s="41">
        <v>0</v>
      </c>
      <c r="AU193" s="41">
        <v>0</v>
      </c>
      <c r="AV193" s="41">
        <v>0</v>
      </c>
      <c r="AW193" s="41">
        <v>0</v>
      </c>
      <c r="AX193" s="41">
        <v>0</v>
      </c>
      <c r="AY193" s="41">
        <v>0</v>
      </c>
      <c r="AZ193" s="41">
        <v>0</v>
      </c>
      <c r="BA193" s="41">
        <v>0</v>
      </c>
      <c r="BB193" s="41">
        <v>0</v>
      </c>
      <c r="BC193" s="41">
        <v>488503</v>
      </c>
      <c r="BD193" s="41">
        <v>0</v>
      </c>
      <c r="BE193" s="41">
        <v>0</v>
      </c>
      <c r="BF193" s="41">
        <v>0</v>
      </c>
      <c r="BG193" s="41">
        <v>0</v>
      </c>
      <c r="BH193" s="41">
        <v>0</v>
      </c>
      <c r="BI193" s="41">
        <v>0</v>
      </c>
      <c r="BJ193" s="41">
        <v>0</v>
      </c>
      <c r="BK193" s="41">
        <v>0</v>
      </c>
      <c r="BL193" s="41">
        <v>0</v>
      </c>
      <c r="BM193" s="41">
        <v>0</v>
      </c>
      <c r="BN193" s="41">
        <v>0</v>
      </c>
      <c r="BO193" s="41">
        <v>0</v>
      </c>
      <c r="BP193" s="41">
        <v>0</v>
      </c>
      <c r="BQ193" s="41">
        <v>0</v>
      </c>
      <c r="BR193" s="41">
        <v>0</v>
      </c>
      <c r="BS193" s="42">
        <f>IFERROR(VLOOKUP(A193,'Trans 21-23'!$A$2:$J$229,5,0),0)</f>
        <v>0</v>
      </c>
      <c r="BT193" s="43"/>
      <c r="BU193" s="6">
        <f t="shared" si="0"/>
        <v>0</v>
      </c>
      <c r="BV193" s="6">
        <f t="shared" si="1"/>
        <v>0</v>
      </c>
      <c r="BW193" s="6">
        <f t="shared" si="2"/>
        <v>0</v>
      </c>
      <c r="BX193" s="6">
        <f t="shared" si="3"/>
        <v>0</v>
      </c>
      <c r="BY193" s="6">
        <f t="shared" si="4"/>
        <v>0</v>
      </c>
      <c r="BZ193" s="6">
        <f t="shared" si="5"/>
        <v>0</v>
      </c>
      <c r="CA193" s="6">
        <f t="shared" si="6"/>
        <v>217206</v>
      </c>
      <c r="CB193" s="6">
        <f t="shared" si="7"/>
        <v>0</v>
      </c>
      <c r="CC193" s="6">
        <f t="shared" si="8"/>
        <v>0</v>
      </c>
      <c r="CD193" s="6">
        <f t="shared" si="88"/>
        <v>0</v>
      </c>
      <c r="CE193" s="44">
        <f t="shared" si="10"/>
        <v>65</v>
      </c>
      <c r="CF193" s="27"/>
      <c r="CG193" s="28" t="str">
        <f t="shared" si="11"/>
        <v/>
      </c>
      <c r="CH193" s="28" t="str">
        <f t="shared" si="12"/>
        <v/>
      </c>
      <c r="CI193" s="28" t="str">
        <f t="shared" si="13"/>
        <v/>
      </c>
      <c r="CJ193" s="28" t="str">
        <f t="shared" si="14"/>
        <v/>
      </c>
      <c r="CK193" s="23" t="str">
        <f t="shared" si="15"/>
        <v/>
      </c>
      <c r="CL193" s="29" t="str">
        <f t="shared" si="16"/>
        <v/>
      </c>
      <c r="CM193" s="29" t="str">
        <f t="shared" si="66"/>
        <v/>
      </c>
      <c r="CN193" s="29" t="str">
        <f t="shared" si="18"/>
        <v/>
      </c>
      <c r="CO193" s="29" t="str">
        <f t="shared" si="19"/>
        <v/>
      </c>
      <c r="CP193" s="29" t="str">
        <f t="shared" si="20"/>
        <v/>
      </c>
      <c r="CQ193" s="29">
        <f t="shared" si="21"/>
        <v>0</v>
      </c>
      <c r="CR193" s="13"/>
      <c r="CS193" s="7" t="str">
        <f>VLOOKUP(A193,'Empresas 21-23'!$A$2:$M$228,13,0)</f>
        <v/>
      </c>
      <c r="CT193" s="30"/>
      <c r="CU193" s="6">
        <f t="shared" si="22"/>
        <v>0</v>
      </c>
      <c r="CV193" s="6">
        <f t="shared" si="23"/>
        <v>0</v>
      </c>
      <c r="CW193" s="6">
        <f t="shared" si="24"/>
        <v>0</v>
      </c>
      <c r="CX193" s="23">
        <f t="shared" si="92"/>
        <v>0</v>
      </c>
      <c r="CY193" s="23">
        <f t="shared" si="93"/>
        <v>0</v>
      </c>
      <c r="CZ193" s="6">
        <f t="shared" si="25"/>
        <v>0</v>
      </c>
      <c r="DA193" s="6">
        <f t="shared" si="26"/>
        <v>0</v>
      </c>
      <c r="DB193" s="6">
        <f t="shared" si="27"/>
        <v>0</v>
      </c>
      <c r="DC193" s="6">
        <f t="shared" si="28"/>
        <v>0</v>
      </c>
      <c r="DD193" s="6">
        <f t="shared" si="29"/>
        <v>0</v>
      </c>
      <c r="DE193" s="6">
        <f t="shared" si="30"/>
        <v>217206</v>
      </c>
      <c r="DF193" s="6">
        <f t="shared" si="91"/>
        <v>0</v>
      </c>
      <c r="DG193" s="30"/>
      <c r="DH193" s="32" t="str">
        <f>VLOOKUP(A193,'T_med_comp-USA'!$A$7:$Q$233,17,0)</f>
        <v>-</v>
      </c>
      <c r="DI193" s="6" t="str">
        <f t="shared" si="32"/>
        <v/>
      </c>
      <c r="DJ193" s="32" t="str">
        <f>IF(DI193="","",VLOOKUP(DI193,'CPI USA'!$T:$U,2,FALSE))</f>
        <v/>
      </c>
      <c r="DK193" s="32" t="str">
        <f>IF(DI193="","",VLOOKUP(DI193,'PPI USA'!$S:$T,2,FALSE))</f>
        <v/>
      </c>
      <c r="DL193" s="32" t="str">
        <f>IF(DI193="","",VLOOKUP(DI193,'CPI USA'!$T:$V,3,FALSE))</f>
        <v/>
      </c>
      <c r="DM193" s="32" t="str">
        <f>IF(DI193="","",VLOOKUP(DI193,'CPI USA'!$T:$X,5,FALSE))</f>
        <v/>
      </c>
      <c r="DN193" s="32" t="str">
        <f t="shared" si="33"/>
        <v/>
      </c>
      <c r="DO193" s="32" t="str">
        <f t="shared" si="34"/>
        <v/>
      </c>
      <c r="DP193" s="32" t="str">
        <f t="shared" si="35"/>
        <v/>
      </c>
      <c r="DQ193" s="32" t="str">
        <f>IF(DP193="","",DP193*$DO$1/'CPI USA'!$U$508+(1-DP193)*AVERAGE($DO$1,$DQ$1)/AVERAGE('CPI USA'!$U$508,'PPI USA'!$T$514))</f>
        <v/>
      </c>
      <c r="DR193" s="6">
        <f t="shared" si="36"/>
        <v>0</v>
      </c>
      <c r="DS193" s="32" t="str">
        <f t="shared" si="37"/>
        <v/>
      </c>
      <c r="DT193" s="28" t="str">
        <f>IF(DS193="","",DS193*$DO$1/'CPI USA'!$U$508+(1-DS193)*AVERAGE($DO$1,$DQ$1)/AVERAGE('CPI USA'!$U$508,'PPI USA'!$T$514))</f>
        <v/>
      </c>
      <c r="DU193" s="6" t="str">
        <f t="shared" si="38"/>
        <v/>
      </c>
      <c r="DV193" s="6" t="str">
        <f t="shared" si="39"/>
        <v/>
      </c>
      <c r="DW193" s="6">
        <f t="shared" si="40"/>
        <v>0</v>
      </c>
      <c r="DX193" s="16" t="str">
        <f t="shared" si="41"/>
        <v/>
      </c>
      <c r="DY193" s="28" t="str">
        <f>IF(DX193="","",DX193*$DO$1/'CPI USA'!$U$508+(1-DX193)*AVERAGE($DO$1,$DQ$1)/AVERAGE('CPI USA'!$U$508,'PPI USA'!$T$514))</f>
        <v/>
      </c>
      <c r="DZ193" s="30"/>
      <c r="EA193" s="45" t="str">
        <f t="shared" si="42"/>
        <v>C007581</v>
      </c>
      <c r="EB193" s="29" t="str">
        <f t="shared" si="43"/>
        <v/>
      </c>
      <c r="EC193" s="29" t="str">
        <f t="shared" si="44"/>
        <v/>
      </c>
      <c r="ED193" s="29" t="str">
        <f t="shared" si="45"/>
        <v/>
      </c>
      <c r="EE193" s="29" t="str">
        <f t="shared" si="46"/>
        <v/>
      </c>
      <c r="EF193" s="29" t="str">
        <f t="shared" si="47"/>
        <v/>
      </c>
      <c r="EG193" s="29" t="str">
        <f t="shared" si="48"/>
        <v/>
      </c>
      <c r="EH193" s="29" t="str">
        <f t="shared" si="49"/>
        <v/>
      </c>
      <c r="EI193" s="29" t="str">
        <f t="shared" si="50"/>
        <v/>
      </c>
      <c r="EJ193" s="29" t="str">
        <f t="shared" si="51"/>
        <v/>
      </c>
      <c r="EK193" s="29" t="str">
        <f t="shared" si="52"/>
        <v/>
      </c>
      <c r="EL193" s="29" t="str">
        <f>IF(CD193=1,VLOOKUP(EA193,'EIA 2021'!$A$2:$J$213,4,0)*EH193,"")</f>
        <v/>
      </c>
      <c r="EM193" s="29" t="str">
        <f>IF(CD193=1,VLOOKUP(EA193,'EIA 2021'!$A$2:$J$213,7,0)*EH193,"")</f>
        <v/>
      </c>
      <c r="EN193" s="29" t="str">
        <f>IF(CD193=1,VLOOKUP(EA193,'EIA 2021'!$A$2:$J$213,10,0),"")</f>
        <v/>
      </c>
      <c r="EO193" s="28" t="str">
        <f>IF(CD193=1,VLOOKUP(EA193,'EIA 2021'!$A$2:$Z$213,26,0),"")</f>
        <v/>
      </c>
      <c r="EP193" s="23" t="str">
        <f t="shared" si="53"/>
        <v/>
      </c>
      <c r="EQ193" s="32" t="str">
        <f t="shared" si="54"/>
        <v/>
      </c>
      <c r="ER193" s="32" t="str">
        <f t="shared" si="55"/>
        <v/>
      </c>
      <c r="ES193" s="6"/>
      <c r="ET193" s="32"/>
    </row>
    <row r="194" spans="1:150" ht="15.75" customHeight="1">
      <c r="A194" s="7" t="s">
        <v>784</v>
      </c>
      <c r="B194" s="7" t="s">
        <v>785</v>
      </c>
      <c r="C194" s="32" t="s">
        <v>786</v>
      </c>
      <c r="D194" s="40">
        <v>0</v>
      </c>
      <c r="E194" s="40">
        <v>0</v>
      </c>
      <c r="F194" s="40">
        <v>0</v>
      </c>
      <c r="G194" s="40">
        <v>0</v>
      </c>
      <c r="H194" s="40">
        <v>0</v>
      </c>
      <c r="I194" s="40">
        <v>0</v>
      </c>
      <c r="J194" s="40">
        <v>0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f>IFERROR(VLOOKUP(A194,'Trans 21-23'!$A$2:$J$229,6,0),0)</f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0</v>
      </c>
      <c r="AD194" s="41">
        <v>83039</v>
      </c>
      <c r="AE194" s="41">
        <v>0</v>
      </c>
      <c r="AF194" s="41">
        <v>328837</v>
      </c>
      <c r="AG194" s="41">
        <v>0</v>
      </c>
      <c r="AH194" s="41">
        <v>0</v>
      </c>
      <c r="AI194" s="41">
        <v>0</v>
      </c>
      <c r="AJ194" s="41">
        <v>0</v>
      </c>
      <c r="AK194" s="41">
        <v>0</v>
      </c>
      <c r="AL194" s="41">
        <v>0</v>
      </c>
      <c r="AM194" s="41">
        <v>0</v>
      </c>
      <c r="AN194" s="41">
        <v>0</v>
      </c>
      <c r="AO194" s="41">
        <v>0</v>
      </c>
      <c r="AP194" s="41">
        <v>0</v>
      </c>
      <c r="AQ194" s="41">
        <v>0</v>
      </c>
      <c r="AR194" s="41">
        <v>0</v>
      </c>
      <c r="AS194" s="41">
        <v>0</v>
      </c>
      <c r="AT194" s="41">
        <v>0</v>
      </c>
      <c r="AU194" s="41">
        <v>0</v>
      </c>
      <c r="AV194" s="41">
        <v>0</v>
      </c>
      <c r="AW194" s="41">
        <v>0</v>
      </c>
      <c r="AX194" s="41">
        <v>0</v>
      </c>
      <c r="AY194" s="41">
        <v>0</v>
      </c>
      <c r="AZ194" s="41">
        <v>0</v>
      </c>
      <c r="BA194" s="41">
        <v>0</v>
      </c>
      <c r="BB194" s="41">
        <v>0</v>
      </c>
      <c r="BC194" s="41">
        <v>215976</v>
      </c>
      <c r="BD194" s="41">
        <v>0</v>
      </c>
      <c r="BE194" s="41">
        <v>0</v>
      </c>
      <c r="BF194" s="41">
        <v>0</v>
      </c>
      <c r="BG194" s="41">
        <v>0</v>
      </c>
      <c r="BH194" s="41">
        <v>0</v>
      </c>
      <c r="BI194" s="41">
        <v>0</v>
      </c>
      <c r="BJ194" s="41">
        <v>0</v>
      </c>
      <c r="BK194" s="41">
        <v>0</v>
      </c>
      <c r="BL194" s="41">
        <v>0</v>
      </c>
      <c r="BM194" s="41">
        <v>0</v>
      </c>
      <c r="BN194" s="41">
        <v>0</v>
      </c>
      <c r="BO194" s="41">
        <v>0</v>
      </c>
      <c r="BP194" s="41">
        <v>0</v>
      </c>
      <c r="BQ194" s="41">
        <v>0</v>
      </c>
      <c r="BR194" s="41">
        <v>0</v>
      </c>
      <c r="BS194" s="42">
        <f>IFERROR(VLOOKUP(A194,'Trans 21-23'!$A$2:$J$229,5,0),0)</f>
        <v>0</v>
      </c>
      <c r="BT194" s="43"/>
      <c r="BU194" s="6">
        <f t="shared" si="0"/>
        <v>0</v>
      </c>
      <c r="BV194" s="6">
        <f t="shared" si="1"/>
        <v>0</v>
      </c>
      <c r="BW194" s="6">
        <f t="shared" si="2"/>
        <v>0</v>
      </c>
      <c r="BX194" s="6">
        <f t="shared" si="3"/>
        <v>0</v>
      </c>
      <c r="BY194" s="6">
        <f t="shared" si="4"/>
        <v>0</v>
      </c>
      <c r="BZ194" s="6">
        <f t="shared" si="5"/>
        <v>0</v>
      </c>
      <c r="CA194" s="6">
        <f t="shared" si="6"/>
        <v>83039</v>
      </c>
      <c r="CB194" s="6">
        <f t="shared" si="7"/>
        <v>0</v>
      </c>
      <c r="CC194" s="6">
        <f t="shared" si="8"/>
        <v>0</v>
      </c>
      <c r="CD194" s="6">
        <f t="shared" si="88"/>
        <v>0</v>
      </c>
      <c r="CE194" s="44">
        <f t="shared" si="10"/>
        <v>65</v>
      </c>
      <c r="CF194" s="27"/>
      <c r="CG194" s="28" t="str">
        <f t="shared" si="11"/>
        <v/>
      </c>
      <c r="CH194" s="28" t="str">
        <f t="shared" si="12"/>
        <v/>
      </c>
      <c r="CI194" s="28" t="str">
        <f t="shared" si="13"/>
        <v/>
      </c>
      <c r="CJ194" s="28" t="str">
        <f t="shared" si="14"/>
        <v/>
      </c>
      <c r="CK194" s="23" t="str">
        <f t="shared" si="15"/>
        <v/>
      </c>
      <c r="CL194" s="29" t="str">
        <f t="shared" si="16"/>
        <v/>
      </c>
      <c r="CM194" s="29" t="str">
        <f t="shared" si="66"/>
        <v/>
      </c>
      <c r="CN194" s="29" t="str">
        <f t="shared" si="18"/>
        <v/>
      </c>
      <c r="CO194" s="29" t="str">
        <f t="shared" si="19"/>
        <v/>
      </c>
      <c r="CP194" s="29" t="str">
        <f t="shared" si="20"/>
        <v/>
      </c>
      <c r="CQ194" s="29">
        <f t="shared" si="21"/>
        <v>0</v>
      </c>
      <c r="CR194" s="13"/>
      <c r="CS194" s="7" t="str">
        <f>VLOOKUP(A194,'Empresas 21-23'!$A$2:$M$228,13,0)</f>
        <v/>
      </c>
      <c r="CT194" s="30"/>
      <c r="CU194" s="6">
        <f t="shared" si="22"/>
        <v>0</v>
      </c>
      <c r="CV194" s="6">
        <f t="shared" si="23"/>
        <v>0</v>
      </c>
      <c r="CW194" s="6">
        <f t="shared" si="24"/>
        <v>0</v>
      </c>
      <c r="CX194" s="23">
        <f t="shared" si="92"/>
        <v>0</v>
      </c>
      <c r="CY194" s="23">
        <f t="shared" si="93"/>
        <v>0</v>
      </c>
      <c r="CZ194" s="6">
        <f t="shared" si="25"/>
        <v>0</v>
      </c>
      <c r="DA194" s="6">
        <f t="shared" si="26"/>
        <v>0</v>
      </c>
      <c r="DB194" s="6">
        <f t="shared" si="27"/>
        <v>0</v>
      </c>
      <c r="DC194" s="6">
        <f t="shared" si="28"/>
        <v>0</v>
      </c>
      <c r="DD194" s="6">
        <f t="shared" si="29"/>
        <v>0</v>
      </c>
      <c r="DE194" s="6">
        <f t="shared" si="30"/>
        <v>83039</v>
      </c>
      <c r="DF194" s="6">
        <f t="shared" si="91"/>
        <v>0</v>
      </c>
      <c r="DG194" s="30"/>
      <c r="DH194" s="32" t="str">
        <f>VLOOKUP(A194,'T_med_comp-USA'!$A$7:$Q$233,17,0)</f>
        <v>-</v>
      </c>
      <c r="DI194" s="6" t="str">
        <f t="shared" si="32"/>
        <v/>
      </c>
      <c r="DJ194" s="32" t="str">
        <f>IF(DI194="","",VLOOKUP(DI194,'CPI USA'!$T:$U,2,FALSE))</f>
        <v/>
      </c>
      <c r="DK194" s="32" t="str">
        <f>IF(DI194="","",VLOOKUP(DI194,'PPI USA'!$S:$T,2,FALSE))</f>
        <v/>
      </c>
      <c r="DL194" s="32" t="str">
        <f>IF(DI194="","",VLOOKUP(DI194,'CPI USA'!$T:$V,3,FALSE))</f>
        <v/>
      </c>
      <c r="DM194" s="32" t="str">
        <f>IF(DI194="","",VLOOKUP(DI194,'CPI USA'!$T:$X,5,FALSE))</f>
        <v/>
      </c>
      <c r="DN194" s="32" t="str">
        <f t="shared" si="33"/>
        <v/>
      </c>
      <c r="DO194" s="32" t="str">
        <f t="shared" si="34"/>
        <v/>
      </c>
      <c r="DP194" s="32" t="str">
        <f t="shared" si="35"/>
        <v/>
      </c>
      <c r="DQ194" s="32" t="str">
        <f>IF(DP194="","",DP194*$DO$1/'CPI USA'!$U$508+(1-DP194)*AVERAGE($DO$1,$DQ$1)/AVERAGE('CPI USA'!$U$508,'PPI USA'!$T$514))</f>
        <v/>
      </c>
      <c r="DR194" s="6">
        <f t="shared" si="36"/>
        <v>0</v>
      </c>
      <c r="DS194" s="32" t="str">
        <f t="shared" si="37"/>
        <v/>
      </c>
      <c r="DT194" s="28" t="str">
        <f>IF(DS194="","",DS194*$DO$1/'CPI USA'!$U$508+(1-DS194)*AVERAGE($DO$1,$DQ$1)/AVERAGE('CPI USA'!$U$508,'PPI USA'!$T$514))</f>
        <v/>
      </c>
      <c r="DU194" s="6" t="str">
        <f t="shared" si="38"/>
        <v/>
      </c>
      <c r="DV194" s="6" t="str">
        <f t="shared" si="39"/>
        <v/>
      </c>
      <c r="DW194" s="6">
        <f t="shared" si="40"/>
        <v>0</v>
      </c>
      <c r="DX194" s="16" t="str">
        <f t="shared" si="41"/>
        <v/>
      </c>
      <c r="DY194" s="28" t="str">
        <f>IF(DX194="","",DX194*$DO$1/'CPI USA'!$U$508+(1-DX194)*AVERAGE($DO$1,$DQ$1)/AVERAGE('CPI USA'!$U$508,'PPI USA'!$T$514))</f>
        <v/>
      </c>
      <c r="DZ194" s="30"/>
      <c r="EA194" s="45" t="str">
        <f t="shared" si="42"/>
        <v>C007582</v>
      </c>
      <c r="EB194" s="29" t="str">
        <f t="shared" si="43"/>
        <v/>
      </c>
      <c r="EC194" s="29" t="str">
        <f t="shared" si="44"/>
        <v/>
      </c>
      <c r="ED194" s="29" t="str">
        <f t="shared" si="45"/>
        <v/>
      </c>
      <c r="EE194" s="29" t="str">
        <f t="shared" si="46"/>
        <v/>
      </c>
      <c r="EF194" s="29" t="str">
        <f t="shared" si="47"/>
        <v/>
      </c>
      <c r="EG194" s="29" t="str">
        <f t="shared" si="48"/>
        <v/>
      </c>
      <c r="EH194" s="29" t="str">
        <f t="shared" si="49"/>
        <v/>
      </c>
      <c r="EI194" s="29" t="str">
        <f t="shared" si="50"/>
        <v/>
      </c>
      <c r="EJ194" s="29" t="str">
        <f t="shared" si="51"/>
        <v/>
      </c>
      <c r="EK194" s="29" t="str">
        <f t="shared" si="52"/>
        <v/>
      </c>
      <c r="EL194" s="29" t="str">
        <f>IF(CD194=1,VLOOKUP(EA194,'EIA 2021'!$A$2:$J$213,4,0)*EH194,"")</f>
        <v/>
      </c>
      <c r="EM194" s="29" t="str">
        <f>IF(CD194=1,VLOOKUP(EA194,'EIA 2021'!$A$2:$J$213,7,0)*EH194,"")</f>
        <v/>
      </c>
      <c r="EN194" s="29" t="str">
        <f>IF(CD194=1,VLOOKUP(EA194,'EIA 2021'!$A$2:$J$213,10,0),"")</f>
        <v/>
      </c>
      <c r="EO194" s="28" t="str">
        <f>IF(CD194=1,VLOOKUP(EA194,'EIA 2021'!$A$2:$Z$213,26,0),"")</f>
        <v/>
      </c>
      <c r="EP194" s="23" t="str">
        <f t="shared" si="53"/>
        <v/>
      </c>
      <c r="EQ194" s="32" t="str">
        <f t="shared" si="54"/>
        <v/>
      </c>
      <c r="ER194" s="32" t="str">
        <f t="shared" si="55"/>
        <v/>
      </c>
      <c r="ES194" s="6"/>
      <c r="ET194" s="32"/>
    </row>
    <row r="195" spans="1:150" ht="15.75" customHeight="1">
      <c r="A195" s="7" t="s">
        <v>787</v>
      </c>
      <c r="B195" s="7" t="s">
        <v>788</v>
      </c>
      <c r="C195" s="32" t="s">
        <v>789</v>
      </c>
      <c r="D195" s="40">
        <v>0</v>
      </c>
      <c r="E195" s="40">
        <v>0</v>
      </c>
      <c r="F195" s="40">
        <v>0</v>
      </c>
      <c r="G195" s="40">
        <v>0</v>
      </c>
      <c r="H195" s="40">
        <v>0</v>
      </c>
      <c r="I195" s="40">
        <v>0</v>
      </c>
      <c r="J195" s="40">
        <v>0</v>
      </c>
      <c r="K195" s="40">
        <v>0</v>
      </c>
      <c r="L195" s="40">
        <v>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40">
        <f>IFERROR(VLOOKUP(A195,'Trans 21-23'!$A$2:$J$229,6,0),0)</f>
        <v>0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41">
        <v>251757.1</v>
      </c>
      <c r="AE195" s="41">
        <v>0</v>
      </c>
      <c r="AF195" s="41">
        <v>2155827.92</v>
      </c>
      <c r="AG195" s="41">
        <v>0</v>
      </c>
      <c r="AH195" s="41">
        <v>0</v>
      </c>
      <c r="AI195" s="41">
        <v>848919</v>
      </c>
      <c r="AJ195" s="41">
        <v>0</v>
      </c>
      <c r="AK195" s="41">
        <v>0</v>
      </c>
      <c r="AL195" s="41">
        <v>0</v>
      </c>
      <c r="AM195" s="41">
        <v>0</v>
      </c>
      <c r="AN195" s="41">
        <v>0</v>
      </c>
      <c r="AO195" s="41">
        <v>0</v>
      </c>
      <c r="AP195" s="41">
        <v>0</v>
      </c>
      <c r="AQ195" s="41">
        <v>848919</v>
      </c>
      <c r="AR195" s="41">
        <v>0</v>
      </c>
      <c r="AS195" s="41">
        <v>0</v>
      </c>
      <c r="AT195" s="41">
        <v>0</v>
      </c>
      <c r="AU195" s="41">
        <v>0</v>
      </c>
      <c r="AV195" s="41">
        <v>0</v>
      </c>
      <c r="AW195" s="41">
        <v>0</v>
      </c>
      <c r="AX195" s="41">
        <v>0</v>
      </c>
      <c r="AY195" s="41">
        <v>0</v>
      </c>
      <c r="AZ195" s="41">
        <v>0</v>
      </c>
      <c r="BA195" s="41">
        <v>0</v>
      </c>
      <c r="BB195" s="41">
        <v>0</v>
      </c>
      <c r="BC195" s="41">
        <v>6884902</v>
      </c>
      <c r="BD195" s="41">
        <v>832990</v>
      </c>
      <c r="BE195" s="41">
        <v>0</v>
      </c>
      <c r="BF195" s="41">
        <v>0</v>
      </c>
      <c r="BG195" s="41">
        <v>0</v>
      </c>
      <c r="BH195" s="41">
        <v>0</v>
      </c>
      <c r="BI195" s="41">
        <v>0</v>
      </c>
      <c r="BJ195" s="41">
        <v>0</v>
      </c>
      <c r="BK195" s="41">
        <v>0</v>
      </c>
      <c r="BL195" s="41">
        <v>0</v>
      </c>
      <c r="BM195" s="41">
        <v>0</v>
      </c>
      <c r="BN195" s="41">
        <v>0</v>
      </c>
      <c r="BO195" s="41">
        <v>0</v>
      </c>
      <c r="BP195" s="41">
        <v>0</v>
      </c>
      <c r="BQ195" s="41">
        <v>0</v>
      </c>
      <c r="BR195" s="41">
        <v>0</v>
      </c>
      <c r="BS195" s="42">
        <f>IFERROR(VLOOKUP(A195,'Trans 21-23'!$A$2:$J$229,5,0),0)</f>
        <v>0</v>
      </c>
      <c r="BT195" s="43"/>
      <c r="BU195" s="6">
        <f t="shared" si="0"/>
        <v>0</v>
      </c>
      <c r="BV195" s="6">
        <f t="shared" si="1"/>
        <v>0</v>
      </c>
      <c r="BW195" s="6">
        <f t="shared" si="2"/>
        <v>0</v>
      </c>
      <c r="BX195" s="6">
        <f t="shared" si="3"/>
        <v>0</v>
      </c>
      <c r="BY195" s="6">
        <f t="shared" si="4"/>
        <v>0</v>
      </c>
      <c r="BZ195" s="6">
        <f t="shared" si="5"/>
        <v>0</v>
      </c>
      <c r="CA195" s="6">
        <f t="shared" si="6"/>
        <v>251757.1</v>
      </c>
      <c r="CB195" s="6">
        <f t="shared" si="7"/>
        <v>0</v>
      </c>
      <c r="CC195" s="6">
        <f t="shared" si="8"/>
        <v>848919</v>
      </c>
      <c r="CD195" s="6">
        <f t="shared" si="88"/>
        <v>0</v>
      </c>
      <c r="CE195" s="44">
        <f t="shared" si="10"/>
        <v>62</v>
      </c>
      <c r="CF195" s="27"/>
      <c r="CG195" s="28" t="str">
        <f t="shared" si="11"/>
        <v/>
      </c>
      <c r="CH195" s="28" t="str">
        <f t="shared" si="12"/>
        <v/>
      </c>
      <c r="CI195" s="28" t="str">
        <f t="shared" si="13"/>
        <v/>
      </c>
      <c r="CJ195" s="28" t="str">
        <f t="shared" si="14"/>
        <v/>
      </c>
      <c r="CK195" s="23" t="str">
        <f t="shared" si="15"/>
        <v/>
      </c>
      <c r="CL195" s="29" t="str">
        <f t="shared" si="16"/>
        <v/>
      </c>
      <c r="CM195" s="29" t="str">
        <f t="shared" si="66"/>
        <v/>
      </c>
      <c r="CN195" s="29" t="str">
        <f t="shared" si="18"/>
        <v/>
      </c>
      <c r="CO195" s="29" t="str">
        <f t="shared" si="19"/>
        <v/>
      </c>
      <c r="CP195" s="29" t="str">
        <f t="shared" si="20"/>
        <v/>
      </c>
      <c r="CQ195" s="29">
        <f t="shared" si="21"/>
        <v>0</v>
      </c>
      <c r="CR195" s="13"/>
      <c r="CS195" s="7" t="str">
        <f>VLOOKUP(A195,'Empresas 21-23'!$A$2:$M$228,13,0)</f>
        <v/>
      </c>
      <c r="CT195" s="30"/>
      <c r="CU195" s="6">
        <f t="shared" si="22"/>
        <v>0</v>
      </c>
      <c r="CV195" s="6">
        <f t="shared" si="23"/>
        <v>0</v>
      </c>
      <c r="CW195" s="6">
        <f t="shared" si="24"/>
        <v>832990</v>
      </c>
      <c r="CX195" s="23">
        <f t="shared" si="92"/>
        <v>0</v>
      </c>
      <c r="CY195" s="23">
        <f t="shared" si="93"/>
        <v>0</v>
      </c>
      <c r="CZ195" s="6">
        <f t="shared" si="25"/>
        <v>0</v>
      </c>
      <c r="DA195" s="6">
        <f t="shared" si="26"/>
        <v>0</v>
      </c>
      <c r="DB195" s="6">
        <f t="shared" si="27"/>
        <v>0</v>
      </c>
      <c r="DC195" s="6">
        <f t="shared" si="28"/>
        <v>0</v>
      </c>
      <c r="DD195" s="6">
        <f t="shared" si="29"/>
        <v>0</v>
      </c>
      <c r="DE195" s="6">
        <f t="shared" si="30"/>
        <v>251757.1</v>
      </c>
      <c r="DF195" s="6">
        <f t="shared" si="91"/>
        <v>0</v>
      </c>
      <c r="DG195" s="30"/>
      <c r="DH195" s="32" t="str">
        <f>VLOOKUP(A195,'T_med_comp-USA'!$A$7:$Q$233,17,0)</f>
        <v>-</v>
      </c>
      <c r="DI195" s="6" t="str">
        <f t="shared" si="32"/>
        <v/>
      </c>
      <c r="DJ195" s="32" t="str">
        <f>IF(DI195="","",VLOOKUP(DI195,'CPI USA'!$T:$U,2,FALSE))</f>
        <v/>
      </c>
      <c r="DK195" s="32" t="str">
        <f>IF(DI195="","",VLOOKUP(DI195,'PPI USA'!$S:$T,2,FALSE))</f>
        <v/>
      </c>
      <c r="DL195" s="32" t="str">
        <f>IF(DI195="","",VLOOKUP(DI195,'CPI USA'!$T:$V,3,FALSE))</f>
        <v/>
      </c>
      <c r="DM195" s="32" t="str">
        <f>IF(DI195="","",VLOOKUP(DI195,'CPI USA'!$T:$X,5,FALSE))</f>
        <v/>
      </c>
      <c r="DN195" s="32" t="str">
        <f t="shared" si="33"/>
        <v/>
      </c>
      <c r="DO195" s="32" t="str">
        <f t="shared" si="34"/>
        <v/>
      </c>
      <c r="DP195" s="32" t="str">
        <f t="shared" si="35"/>
        <v/>
      </c>
      <c r="DQ195" s="32" t="str">
        <f>IF(DP195="","",DP195*$DO$1/'CPI USA'!$U$508+(1-DP195)*AVERAGE($DO$1,$DQ$1)/AVERAGE('CPI USA'!$U$508,'PPI USA'!$T$514))</f>
        <v/>
      </c>
      <c r="DR195" s="6">
        <f t="shared" si="36"/>
        <v>0</v>
      </c>
      <c r="DS195" s="32" t="str">
        <f t="shared" si="37"/>
        <v/>
      </c>
      <c r="DT195" s="28" t="str">
        <f>IF(DS195="","",DS195*$DO$1/'CPI USA'!$U$508+(1-DS195)*AVERAGE($DO$1,$DQ$1)/AVERAGE('CPI USA'!$U$508,'PPI USA'!$T$514))</f>
        <v/>
      </c>
      <c r="DU195" s="6" t="str">
        <f t="shared" si="38"/>
        <v/>
      </c>
      <c r="DV195" s="6" t="str">
        <f t="shared" si="39"/>
        <v/>
      </c>
      <c r="DW195" s="6">
        <f t="shared" si="40"/>
        <v>0</v>
      </c>
      <c r="DX195" s="16" t="str">
        <f t="shared" si="41"/>
        <v/>
      </c>
      <c r="DY195" s="28" t="str">
        <f>IF(DX195="","",DX195*$DO$1/'CPI USA'!$U$508+(1-DX195)*AVERAGE($DO$1,$DQ$1)/AVERAGE('CPI USA'!$U$508,'PPI USA'!$T$514))</f>
        <v/>
      </c>
      <c r="DZ195" s="30"/>
      <c r="EA195" s="45" t="str">
        <f t="shared" si="42"/>
        <v>C007584</v>
      </c>
      <c r="EB195" s="29" t="str">
        <f t="shared" si="43"/>
        <v/>
      </c>
      <c r="EC195" s="29" t="str">
        <f t="shared" si="44"/>
        <v/>
      </c>
      <c r="ED195" s="29" t="str">
        <f t="shared" si="45"/>
        <v/>
      </c>
      <c r="EE195" s="29" t="str">
        <f t="shared" si="46"/>
        <v/>
      </c>
      <c r="EF195" s="29" t="str">
        <f t="shared" si="47"/>
        <v/>
      </c>
      <c r="EG195" s="29" t="str">
        <f t="shared" si="48"/>
        <v/>
      </c>
      <c r="EH195" s="29" t="str">
        <f t="shared" si="49"/>
        <v/>
      </c>
      <c r="EI195" s="29" t="str">
        <f t="shared" si="50"/>
        <v/>
      </c>
      <c r="EJ195" s="29" t="str">
        <f t="shared" si="51"/>
        <v/>
      </c>
      <c r="EK195" s="29" t="str">
        <f t="shared" si="52"/>
        <v/>
      </c>
      <c r="EL195" s="29" t="str">
        <f>IF(CD195=1,VLOOKUP(EA195,'EIA 2021'!$A$2:$J$213,4,0)*EH195,"")</f>
        <v/>
      </c>
      <c r="EM195" s="29" t="str">
        <f>IF(CD195=1,VLOOKUP(EA195,'EIA 2021'!$A$2:$J$213,7,0)*EH195,"")</f>
        <v/>
      </c>
      <c r="EN195" s="29" t="str">
        <f>IF(CD195=1,VLOOKUP(EA195,'EIA 2021'!$A$2:$J$213,10,0),"")</f>
        <v/>
      </c>
      <c r="EO195" s="28" t="str">
        <f>IF(CD195=1,VLOOKUP(EA195,'EIA 2021'!$A$2:$Z$213,26,0),"")</f>
        <v/>
      </c>
      <c r="EP195" s="23" t="str">
        <f t="shared" si="53"/>
        <v/>
      </c>
      <c r="EQ195" s="32" t="str">
        <f t="shared" si="54"/>
        <v/>
      </c>
      <c r="ER195" s="32" t="str">
        <f t="shared" si="55"/>
        <v/>
      </c>
      <c r="ES195" s="6"/>
      <c r="ET195" s="32"/>
    </row>
    <row r="196" spans="1:150" ht="15.75" customHeight="1">
      <c r="A196" s="7" t="s">
        <v>790</v>
      </c>
      <c r="B196" s="7" t="s">
        <v>791</v>
      </c>
      <c r="C196" s="32" t="s">
        <v>792</v>
      </c>
      <c r="D196" s="40">
        <v>0</v>
      </c>
      <c r="E196" s="40">
        <v>0</v>
      </c>
      <c r="F196" s="40">
        <v>0</v>
      </c>
      <c r="G196" s="40">
        <v>0</v>
      </c>
      <c r="H196" s="40">
        <v>0</v>
      </c>
      <c r="I196" s="40">
        <v>0</v>
      </c>
      <c r="J196" s="40">
        <v>0</v>
      </c>
      <c r="K196" s="40">
        <v>0</v>
      </c>
      <c r="L196" s="40">
        <v>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f>IFERROR(VLOOKUP(A196,'Trans 21-23'!$A$2:$J$229,6,0),0)</f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5534295</v>
      </c>
      <c r="AE196" s="41">
        <v>0</v>
      </c>
      <c r="AF196" s="41">
        <v>6680410</v>
      </c>
      <c r="AG196" s="41">
        <v>0</v>
      </c>
      <c r="AH196" s="41">
        <v>0</v>
      </c>
      <c r="AI196" s="41">
        <v>0</v>
      </c>
      <c r="AJ196" s="41">
        <v>0</v>
      </c>
      <c r="AK196" s="41">
        <v>0</v>
      </c>
      <c r="AL196" s="41">
        <v>0</v>
      </c>
      <c r="AM196" s="41">
        <v>0</v>
      </c>
      <c r="AN196" s="41">
        <v>0</v>
      </c>
      <c r="AO196" s="41">
        <v>0</v>
      </c>
      <c r="AP196" s="41">
        <v>0</v>
      </c>
      <c r="AQ196" s="41">
        <v>0</v>
      </c>
      <c r="AR196" s="41">
        <v>0</v>
      </c>
      <c r="AS196" s="41">
        <v>0</v>
      </c>
      <c r="AT196" s="41">
        <v>0</v>
      </c>
      <c r="AU196" s="41">
        <v>0</v>
      </c>
      <c r="AV196" s="41">
        <v>0</v>
      </c>
      <c r="AW196" s="41">
        <v>0</v>
      </c>
      <c r="AX196" s="41">
        <v>0</v>
      </c>
      <c r="AY196" s="41">
        <v>0</v>
      </c>
      <c r="AZ196" s="41">
        <v>0</v>
      </c>
      <c r="BA196" s="41">
        <v>0</v>
      </c>
      <c r="BB196" s="41">
        <v>0</v>
      </c>
      <c r="BC196" s="41">
        <v>305080531</v>
      </c>
      <c r="BD196" s="41">
        <v>67689</v>
      </c>
      <c r="BE196" s="41">
        <v>0</v>
      </c>
      <c r="BF196" s="41">
        <v>0</v>
      </c>
      <c r="BG196" s="41">
        <v>0</v>
      </c>
      <c r="BH196" s="41">
        <v>0</v>
      </c>
      <c r="BI196" s="41">
        <v>0</v>
      </c>
      <c r="BJ196" s="41">
        <v>0</v>
      </c>
      <c r="BK196" s="41">
        <v>0</v>
      </c>
      <c r="BL196" s="41">
        <v>0</v>
      </c>
      <c r="BM196" s="41">
        <v>1399410</v>
      </c>
      <c r="BN196" s="41">
        <v>1733938</v>
      </c>
      <c r="BO196" s="41">
        <v>0</v>
      </c>
      <c r="BP196" s="41">
        <v>0</v>
      </c>
      <c r="BQ196" s="41">
        <v>1733938</v>
      </c>
      <c r="BR196" s="41">
        <v>0</v>
      </c>
      <c r="BS196" s="42">
        <f>IFERROR(VLOOKUP(A196,'Trans 21-23'!$A$2:$J$229,5,0),0)</f>
        <v>0</v>
      </c>
      <c r="BT196" s="43"/>
      <c r="BU196" s="6">
        <f t="shared" si="0"/>
        <v>0</v>
      </c>
      <c r="BV196" s="6">
        <f t="shared" si="1"/>
        <v>0</v>
      </c>
      <c r="BW196" s="6">
        <f t="shared" si="2"/>
        <v>0</v>
      </c>
      <c r="BX196" s="6">
        <f t="shared" si="3"/>
        <v>0</v>
      </c>
      <c r="BY196" s="6">
        <f t="shared" si="4"/>
        <v>0</v>
      </c>
      <c r="BZ196" s="6">
        <f t="shared" si="5"/>
        <v>0</v>
      </c>
      <c r="CA196" s="6">
        <f t="shared" si="6"/>
        <v>5534295</v>
      </c>
      <c r="CB196" s="6">
        <f t="shared" si="7"/>
        <v>0</v>
      </c>
      <c r="CC196" s="6">
        <f t="shared" si="8"/>
        <v>0</v>
      </c>
      <c r="CD196" s="6">
        <f t="shared" si="88"/>
        <v>0</v>
      </c>
      <c r="CE196" s="44">
        <f t="shared" si="10"/>
        <v>61</v>
      </c>
      <c r="CF196" s="27"/>
      <c r="CG196" s="28" t="str">
        <f t="shared" si="11"/>
        <v/>
      </c>
      <c r="CH196" s="28" t="str">
        <f t="shared" si="12"/>
        <v/>
      </c>
      <c r="CI196" s="28" t="str">
        <f t="shared" si="13"/>
        <v/>
      </c>
      <c r="CJ196" s="28" t="str">
        <f t="shared" si="14"/>
        <v/>
      </c>
      <c r="CK196" s="23" t="str">
        <f t="shared" si="15"/>
        <v/>
      </c>
      <c r="CL196" s="29" t="str">
        <f t="shared" si="16"/>
        <v/>
      </c>
      <c r="CM196" s="29" t="str">
        <f t="shared" si="66"/>
        <v/>
      </c>
      <c r="CN196" s="29" t="str">
        <f t="shared" si="18"/>
        <v/>
      </c>
      <c r="CO196" s="29" t="str">
        <f t="shared" si="19"/>
        <v/>
      </c>
      <c r="CP196" s="29" t="str">
        <f t="shared" si="20"/>
        <v/>
      </c>
      <c r="CQ196" s="29">
        <f t="shared" si="21"/>
        <v>0</v>
      </c>
      <c r="CR196" s="13"/>
      <c r="CS196" s="7" t="str">
        <f>VLOOKUP(A196,'Empresas 21-23'!$A$2:$M$228,13,0)</f>
        <v/>
      </c>
      <c r="CT196" s="30"/>
      <c r="CU196" s="6">
        <f t="shared" si="22"/>
        <v>0</v>
      </c>
      <c r="CV196" s="6">
        <f t="shared" si="23"/>
        <v>0</v>
      </c>
      <c r="CW196" s="6">
        <f t="shared" si="24"/>
        <v>67689</v>
      </c>
      <c r="CX196" s="23">
        <f t="shared" si="92"/>
        <v>0</v>
      </c>
      <c r="CY196" s="23">
        <f t="shared" si="93"/>
        <v>0</v>
      </c>
      <c r="CZ196" s="6">
        <f t="shared" si="25"/>
        <v>0</v>
      </c>
      <c r="DA196" s="6">
        <f t="shared" si="26"/>
        <v>0</v>
      </c>
      <c r="DB196" s="6">
        <f t="shared" si="27"/>
        <v>0</v>
      </c>
      <c r="DC196" s="6">
        <f t="shared" si="28"/>
        <v>0</v>
      </c>
      <c r="DD196" s="6">
        <f t="shared" si="29"/>
        <v>0</v>
      </c>
      <c r="DE196" s="6">
        <f t="shared" si="30"/>
        <v>5534295</v>
      </c>
      <c r="DF196" s="6">
        <f t="shared" si="91"/>
        <v>0</v>
      </c>
      <c r="DG196" s="30"/>
      <c r="DH196" s="32" t="str">
        <f>VLOOKUP(A196,'T_med_comp-USA'!$A$7:$Q$233,17,0)</f>
        <v>-</v>
      </c>
      <c r="DI196" s="6" t="str">
        <f t="shared" si="32"/>
        <v/>
      </c>
      <c r="DJ196" s="32" t="str">
        <f>IF(DI196="","",VLOOKUP(DI196,'CPI USA'!$T:$U,2,FALSE))</f>
        <v/>
      </c>
      <c r="DK196" s="32" t="str">
        <f>IF(DI196="","",VLOOKUP(DI196,'PPI USA'!$S:$T,2,FALSE))</f>
        <v/>
      </c>
      <c r="DL196" s="32" t="str">
        <f>IF(DI196="","",VLOOKUP(DI196,'CPI USA'!$T:$V,3,FALSE))</f>
        <v/>
      </c>
      <c r="DM196" s="32" t="str">
        <f>IF(DI196="","",VLOOKUP(DI196,'CPI USA'!$T:$X,5,FALSE))</f>
        <v/>
      </c>
      <c r="DN196" s="32" t="str">
        <f t="shared" si="33"/>
        <v/>
      </c>
      <c r="DO196" s="32" t="str">
        <f t="shared" si="34"/>
        <v/>
      </c>
      <c r="DP196" s="32" t="str">
        <f t="shared" si="35"/>
        <v/>
      </c>
      <c r="DQ196" s="32" t="str">
        <f>IF(DP196="","",DP196*$DO$1/'CPI USA'!$U$508+(1-DP196)*AVERAGE($DO$1,$DQ$1)/AVERAGE('CPI USA'!$U$508,'PPI USA'!$T$514))</f>
        <v/>
      </c>
      <c r="DR196" s="6">
        <f t="shared" si="36"/>
        <v>0</v>
      </c>
      <c r="DS196" s="32" t="str">
        <f t="shared" si="37"/>
        <v/>
      </c>
      <c r="DT196" s="28" t="str">
        <f>IF(DS196="","",DS196*$DO$1/'CPI USA'!$U$508+(1-DS196)*AVERAGE($DO$1,$DQ$1)/AVERAGE('CPI USA'!$U$508,'PPI USA'!$T$514))</f>
        <v/>
      </c>
      <c r="DU196" s="6" t="str">
        <f t="shared" si="38"/>
        <v/>
      </c>
      <c r="DV196" s="6">
        <f t="shared" si="39"/>
        <v>0</v>
      </c>
      <c r="DW196" s="6">
        <f t="shared" si="40"/>
        <v>0</v>
      </c>
      <c r="DX196" s="16" t="str">
        <f t="shared" si="41"/>
        <v/>
      </c>
      <c r="DY196" s="28" t="str">
        <f>IF(DX196="","",DX196*$DO$1/'CPI USA'!$U$508+(1-DX196)*AVERAGE($DO$1,$DQ$1)/AVERAGE('CPI USA'!$U$508,'PPI USA'!$T$514))</f>
        <v/>
      </c>
      <c r="DZ196" s="30"/>
      <c r="EA196" s="45" t="str">
        <f t="shared" si="42"/>
        <v>C007624</v>
      </c>
      <c r="EB196" s="29" t="str">
        <f t="shared" si="43"/>
        <v/>
      </c>
      <c r="EC196" s="29" t="str">
        <f t="shared" si="44"/>
        <v/>
      </c>
      <c r="ED196" s="29" t="str">
        <f t="shared" si="45"/>
        <v/>
      </c>
      <c r="EE196" s="29" t="str">
        <f t="shared" si="46"/>
        <v/>
      </c>
      <c r="EF196" s="29" t="str">
        <f t="shared" si="47"/>
        <v/>
      </c>
      <c r="EG196" s="29" t="str">
        <f t="shared" si="48"/>
        <v/>
      </c>
      <c r="EH196" s="29" t="str">
        <f t="shared" si="49"/>
        <v/>
      </c>
      <c r="EI196" s="29" t="str">
        <f t="shared" si="50"/>
        <v/>
      </c>
      <c r="EJ196" s="29" t="str">
        <f t="shared" si="51"/>
        <v/>
      </c>
      <c r="EK196" s="29" t="str">
        <f t="shared" si="52"/>
        <v/>
      </c>
      <c r="EL196" s="29" t="str">
        <f>IF(CD196=1,VLOOKUP(EA196,'EIA 2021'!$A$2:$J$213,4,0)*EH196,"")</f>
        <v/>
      </c>
      <c r="EM196" s="29" t="str">
        <f>IF(CD196=1,VLOOKUP(EA196,'EIA 2021'!$A$2:$J$213,7,0)*EH196,"")</f>
        <v/>
      </c>
      <c r="EN196" s="29" t="str">
        <f>IF(CD196=1,VLOOKUP(EA196,'EIA 2021'!$A$2:$J$213,10,0),"")</f>
        <v/>
      </c>
      <c r="EO196" s="28" t="str">
        <f>IF(CD196=1,VLOOKUP(EA196,'EIA 2021'!$A$2:$Z$213,26,0),"")</f>
        <v/>
      </c>
      <c r="EP196" s="23" t="str">
        <f t="shared" si="53"/>
        <v/>
      </c>
      <c r="EQ196" s="32" t="str">
        <f t="shared" si="54"/>
        <v/>
      </c>
      <c r="ER196" s="32" t="str">
        <f t="shared" si="55"/>
        <v/>
      </c>
      <c r="ES196" s="6"/>
      <c r="ET196" s="32"/>
    </row>
    <row r="197" spans="1:150" ht="15.75" customHeight="1">
      <c r="A197" s="7" t="s">
        <v>793</v>
      </c>
      <c r="B197" s="7" t="s">
        <v>794</v>
      </c>
      <c r="C197" s="32" t="s">
        <v>795</v>
      </c>
      <c r="D197" s="40">
        <v>87878637</v>
      </c>
      <c r="E197" s="40">
        <v>0</v>
      </c>
      <c r="F197" s="40">
        <v>0</v>
      </c>
      <c r="G197" s="40">
        <v>268549028</v>
      </c>
      <c r="H197" s="40">
        <v>280440126</v>
      </c>
      <c r="I197" s="40">
        <v>3318670</v>
      </c>
      <c r="J197" s="40">
        <v>35894</v>
      </c>
      <c r="K197" s="40">
        <v>726080</v>
      </c>
      <c r="L197" s="40">
        <v>419592</v>
      </c>
      <c r="M197" s="40">
        <v>424661</v>
      </c>
      <c r="N197" s="40">
        <v>319936</v>
      </c>
      <c r="O197" s="40">
        <v>1840651</v>
      </c>
      <c r="P197" s="40">
        <v>2171088</v>
      </c>
      <c r="Q197" s="40">
        <v>590854</v>
      </c>
      <c r="R197" s="40">
        <v>162964</v>
      </c>
      <c r="S197" s="40">
        <v>368568</v>
      </c>
      <c r="T197" s="40">
        <v>2636171</v>
      </c>
      <c r="U197" s="40">
        <v>747910</v>
      </c>
      <c r="V197" s="40">
        <v>13965</v>
      </c>
      <c r="W197" s="40">
        <v>176735</v>
      </c>
      <c r="X197" s="40">
        <f>IFERROR(VLOOKUP(A197,'Trans 21-23'!$A$2:$J$229,6,0),0)</f>
        <v>678502</v>
      </c>
      <c r="Y197" s="41">
        <v>797375</v>
      </c>
      <c r="Z197" s="41">
        <v>9965</v>
      </c>
      <c r="AA197" s="41">
        <v>9178170</v>
      </c>
      <c r="AB197" s="41">
        <v>24515904</v>
      </c>
      <c r="AC197" s="41">
        <v>355780</v>
      </c>
      <c r="AD197" s="41">
        <v>46292034</v>
      </c>
      <c r="AE197" s="41">
        <v>0</v>
      </c>
      <c r="AF197" s="41">
        <v>488675373</v>
      </c>
      <c r="AG197" s="41">
        <v>209159</v>
      </c>
      <c r="AH197" s="41">
        <v>61898</v>
      </c>
      <c r="AI197" s="41">
        <v>7845434</v>
      </c>
      <c r="AJ197" s="41">
        <v>0</v>
      </c>
      <c r="AK197" s="41">
        <v>6816</v>
      </c>
      <c r="AL197" s="41">
        <v>2258307</v>
      </c>
      <c r="AM197" s="41">
        <v>1977636</v>
      </c>
      <c r="AN197" s="41">
        <v>414658</v>
      </c>
      <c r="AO197" s="41">
        <v>30182</v>
      </c>
      <c r="AP197" s="41">
        <v>724325</v>
      </c>
      <c r="AQ197" s="41">
        <v>5407660</v>
      </c>
      <c r="AR197" s="41">
        <v>2369060</v>
      </c>
      <c r="AS197" s="41">
        <v>7776720</v>
      </c>
      <c r="AT197" s="41">
        <v>0</v>
      </c>
      <c r="AU197" s="41">
        <v>1155</v>
      </c>
      <c r="AV197" s="41">
        <v>0</v>
      </c>
      <c r="AW197" s="41">
        <v>165679885</v>
      </c>
      <c r="AX197" s="41">
        <v>92213276</v>
      </c>
      <c r="AY197" s="41">
        <v>119395779</v>
      </c>
      <c r="AZ197" s="41">
        <v>56506474</v>
      </c>
      <c r="BA197" s="41">
        <v>7329528</v>
      </c>
      <c r="BB197" s="41">
        <v>976076357</v>
      </c>
      <c r="BC197" s="41">
        <v>1947775041</v>
      </c>
      <c r="BD197" s="41">
        <v>58695177</v>
      </c>
      <c r="BE197" s="41">
        <v>196787790</v>
      </c>
      <c r="BF197" s="41">
        <v>27246897</v>
      </c>
      <c r="BG197" s="41">
        <v>0</v>
      </c>
      <c r="BH197" s="41">
        <v>3381672</v>
      </c>
      <c r="BI197" s="41">
        <v>969729</v>
      </c>
      <c r="BJ197" s="41">
        <v>1099114</v>
      </c>
      <c r="BK197" s="41">
        <v>158895</v>
      </c>
      <c r="BL197" s="41">
        <v>0</v>
      </c>
      <c r="BM197" s="41">
        <v>2152987</v>
      </c>
      <c r="BN197" s="41">
        <v>10101784</v>
      </c>
      <c r="BO197" s="41">
        <v>0</v>
      </c>
      <c r="BP197" s="41">
        <v>4085755</v>
      </c>
      <c r="BQ197" s="41">
        <v>33492246</v>
      </c>
      <c r="BR197" s="41">
        <v>2552</v>
      </c>
      <c r="BS197" s="42">
        <f>IFERROR(VLOOKUP(A197,'Trans 21-23'!$A$2:$J$229,5,0),0)</f>
        <v>43231189</v>
      </c>
      <c r="BT197" s="43"/>
      <c r="BU197" s="6">
        <f t="shared" si="0"/>
        <v>976076357</v>
      </c>
      <c r="BV197" s="6">
        <f t="shared" si="1"/>
        <v>1155</v>
      </c>
      <c r="BW197" s="6">
        <f t="shared" si="2"/>
        <v>209159</v>
      </c>
      <c r="BX197" s="6">
        <f t="shared" si="3"/>
        <v>13953739</v>
      </c>
      <c r="BY197" s="6">
        <f t="shared" si="4"/>
        <v>34857194</v>
      </c>
      <c r="BZ197" s="6">
        <f t="shared" si="5"/>
        <v>56506474</v>
      </c>
      <c r="CA197" s="6">
        <f t="shared" si="6"/>
        <v>46292034</v>
      </c>
      <c r="CB197" s="6">
        <f t="shared" si="7"/>
        <v>61898</v>
      </c>
      <c r="CC197" s="6">
        <f t="shared" si="8"/>
        <v>5407660</v>
      </c>
      <c r="CD197" s="6">
        <f t="shared" si="88"/>
        <v>1</v>
      </c>
      <c r="CE197" s="44">
        <f t="shared" si="10"/>
        <v>9</v>
      </c>
      <c r="CF197" s="27"/>
      <c r="CG197" s="28">
        <f t="shared" si="11"/>
        <v>845.08775497835506</v>
      </c>
      <c r="CH197" s="28">
        <f t="shared" si="12"/>
        <v>5.5221147548037619</v>
      </c>
      <c r="CI197" s="28">
        <f t="shared" si="13"/>
        <v>66.71354806630363</v>
      </c>
      <c r="CJ197" s="28">
        <f t="shared" si="14"/>
        <v>270.16037559942436</v>
      </c>
      <c r="CK197" s="23">
        <f t="shared" si="15"/>
        <v>1.1446355725027091E-2</v>
      </c>
      <c r="CL197" s="29" t="str">
        <f t="shared" si="16"/>
        <v/>
      </c>
      <c r="CM197" s="29" t="str">
        <f t="shared" si="66"/>
        <v/>
      </c>
      <c r="CN197" s="29" t="str">
        <f t="shared" si="18"/>
        <v/>
      </c>
      <c r="CO197" s="29" t="str">
        <f t="shared" si="19"/>
        <v/>
      </c>
      <c r="CP197" s="29" t="str">
        <f t="shared" si="20"/>
        <v/>
      </c>
      <c r="CQ197" s="29">
        <f t="shared" si="21"/>
        <v>0</v>
      </c>
      <c r="CR197" s="13"/>
      <c r="CS197" s="7">
        <f>VLOOKUP(A197,'Empresas 21-23'!$A$2:$M$228,13,0)</f>
        <v>1</v>
      </c>
      <c r="CT197" s="30"/>
      <c r="CU197" s="6">
        <f t="shared" si="22"/>
        <v>828506111</v>
      </c>
      <c r="CV197" s="6">
        <f t="shared" si="23"/>
        <v>56506474</v>
      </c>
      <c r="CW197" s="6">
        <f t="shared" si="24"/>
        <v>58695177</v>
      </c>
      <c r="CX197" s="23">
        <f t="shared" si="92"/>
        <v>0.43857654024520376</v>
      </c>
      <c r="CY197" s="23">
        <f t="shared" si="93"/>
        <v>2.9912167863751046E-2</v>
      </c>
      <c r="CZ197" s="6">
        <f t="shared" si="25"/>
        <v>854248438.65773988</v>
      </c>
      <c r="DA197" s="6">
        <f t="shared" si="26"/>
        <v>58262173.987216577</v>
      </c>
      <c r="DB197" s="6">
        <f t="shared" si="27"/>
        <v>13953739</v>
      </c>
      <c r="DC197" s="6">
        <f t="shared" si="28"/>
        <v>14632241</v>
      </c>
      <c r="DD197" s="6">
        <f t="shared" si="29"/>
        <v>34857194</v>
      </c>
      <c r="DE197" s="6">
        <f t="shared" si="30"/>
        <v>46292034</v>
      </c>
      <c r="DF197" s="6">
        <f t="shared" si="91"/>
        <v>30932015.430167183</v>
      </c>
      <c r="DG197" s="30"/>
      <c r="DH197" s="32">
        <f>VLOOKUP(A197,'T_med_comp-USA'!$A$7:$Q$233,17,0)</f>
        <v>7.9040326098460412</v>
      </c>
      <c r="DI197" s="6" t="str">
        <f t="shared" si="32"/>
        <v>2_2014</v>
      </c>
      <c r="DJ197" s="32">
        <f>IF(DI197="","",VLOOKUP(DI197,'CPI USA'!$T:$U,2,FALSE))</f>
        <v>234.78100000000001</v>
      </c>
      <c r="DK197" s="32">
        <f>IF(DI197="","",VLOOKUP(DI197,'PPI USA'!$S:$T,2,FALSE))</f>
        <v>178.9</v>
      </c>
      <c r="DL197" s="32">
        <f>IF(DI197="","",VLOOKUP(DI197,'CPI USA'!$T:$V,3,FALSE))</f>
        <v>0.66756601812039096</v>
      </c>
      <c r="DM197" s="32">
        <f>IF(DI197="","",VLOOKUP(DI197,'CPI USA'!$T:$X,5,FALSE))</f>
        <v>0.49542529667095003</v>
      </c>
      <c r="DN197" s="32">
        <f t="shared" si="33"/>
        <v>1.3592442498168091</v>
      </c>
      <c r="DO197" s="32">
        <f t="shared" si="34"/>
        <v>1.370161072621193</v>
      </c>
      <c r="DP197" s="32">
        <f t="shared" si="35"/>
        <v>0.2423488070115114</v>
      </c>
      <c r="DQ197" s="32">
        <f>IF(DP197="","",DP197*$DO$1/'CPI USA'!$U$508+(1-DP197)*AVERAGE($DO$1,$DQ$1)/AVERAGE('CPI USA'!$U$508,'PPI USA'!$T$514))</f>
        <v>1.1716565186198</v>
      </c>
      <c r="DR197" s="6">
        <f t="shared" si="36"/>
        <v>2227738</v>
      </c>
      <c r="DS197" s="32">
        <f t="shared" si="37"/>
        <v>0.2</v>
      </c>
      <c r="DT197" s="28">
        <f>IF(DS197="","",DS197*$DO$1/'CPI USA'!$U$508+(1-DS197)*AVERAGE($DO$1,$DQ$1)/AVERAGE('CPI USA'!$U$508,'PPI USA'!$T$514))</f>
        <v>1.1741595760647974</v>
      </c>
      <c r="DU197" s="6">
        <f t="shared" si="38"/>
        <v>2152987</v>
      </c>
      <c r="DV197" s="6">
        <f t="shared" si="39"/>
        <v>299137.26871339389</v>
      </c>
      <c r="DW197" s="6">
        <f t="shared" si="40"/>
        <v>1361637.7457846652</v>
      </c>
      <c r="DX197" s="16">
        <f t="shared" si="41"/>
        <v>0.2</v>
      </c>
      <c r="DY197" s="28">
        <f>IF(DX197="","",DX197*$DO$1/'CPI USA'!$U$508+(1-DX197)*AVERAGE($DO$1,$DQ$1)/AVERAGE('CPI USA'!$U$508,'PPI USA'!$T$514))</f>
        <v>1.1741595760647974</v>
      </c>
      <c r="DZ197" s="30"/>
      <c r="EA197" s="45" t="str">
        <f t="shared" si="42"/>
        <v>C007667</v>
      </c>
      <c r="EB197" s="29">
        <f t="shared" si="43"/>
        <v>1161132278.1605201</v>
      </c>
      <c r="EC197" s="29">
        <f t="shared" si="44"/>
        <v>79828562.803567231</v>
      </c>
      <c r="ED197" s="29">
        <f t="shared" si="45"/>
        <v>17143960.549665902</v>
      </c>
      <c r="EE197" s="29">
        <f t="shared" si="46"/>
        <v>40927908.129848398</v>
      </c>
      <c r="EF197" s="29">
        <f t="shared" si="47"/>
        <v>36319122.124314874</v>
      </c>
      <c r="EG197" s="29">
        <f t="shared" si="48"/>
        <v>1155</v>
      </c>
      <c r="EH197" s="29">
        <f t="shared" si="49"/>
        <v>209159</v>
      </c>
      <c r="EI197" s="29">
        <f t="shared" si="50"/>
        <v>61898</v>
      </c>
      <c r="EJ197" s="29">
        <f t="shared" si="51"/>
        <v>5407660</v>
      </c>
      <c r="EK197" s="29">
        <f t="shared" si="52"/>
        <v>5433480.9441624358</v>
      </c>
      <c r="EL197" s="29">
        <f>IF(CD197=1,VLOOKUP(EA197,'EIA 2021'!$A$2:$J$213,4,0)*EH197,"")</f>
        <v>29909737</v>
      </c>
      <c r="EM197" s="29">
        <f>IF(CD197=1,VLOOKUP(EA197,'EIA 2021'!$A$2:$J$213,7,0)*EH197,"")</f>
        <v>645882.99199999997</v>
      </c>
      <c r="EN197" s="29">
        <f>IF(CD197=1,VLOOKUP(EA197,'EIA 2021'!$A$2:$J$213,10,0),"")</f>
        <v>322248</v>
      </c>
      <c r="EO197" s="28">
        <f>IF(CD197=1,VLOOKUP(EA197,'EIA 2021'!$A$2:$Z$213,26,0),"")</f>
        <v>0</v>
      </c>
      <c r="EP197" s="23">
        <f t="shared" si="53"/>
        <v>4.7521919056654682E-3</v>
      </c>
      <c r="EQ197" s="32">
        <f t="shared" si="54"/>
        <v>36077.055837563705</v>
      </c>
      <c r="ER197" s="32">
        <f t="shared" si="55"/>
        <v>25820.944162436295</v>
      </c>
      <c r="ES197" s="6"/>
      <c r="ET197" s="32"/>
    </row>
    <row r="198" spans="1:150" ht="15.75" customHeight="1">
      <c r="A198" s="7" t="s">
        <v>796</v>
      </c>
      <c r="B198" s="7" t="s">
        <v>797</v>
      </c>
      <c r="C198" s="32" t="s">
        <v>798</v>
      </c>
      <c r="D198" s="40">
        <v>0</v>
      </c>
      <c r="E198" s="40">
        <v>0</v>
      </c>
      <c r="F198" s="40">
        <v>0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f>IFERROR(VLOOKUP(A198,'Trans 21-23'!$A$2:$J$229,6,0),0)</f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41">
        <v>2825369</v>
      </c>
      <c r="AE198" s="41">
        <v>0</v>
      </c>
      <c r="AF198" s="41">
        <v>6528543</v>
      </c>
      <c r="AG198" s="41">
        <v>0</v>
      </c>
      <c r="AH198" s="41">
        <v>0</v>
      </c>
      <c r="AI198" s="41">
        <v>0</v>
      </c>
      <c r="AJ198" s="41">
        <v>0</v>
      </c>
      <c r="AK198" s="41">
        <v>0</v>
      </c>
      <c r="AL198" s="41">
        <v>0</v>
      </c>
      <c r="AM198" s="41">
        <v>0</v>
      </c>
      <c r="AN198" s="41">
        <v>0</v>
      </c>
      <c r="AO198" s="41">
        <v>0</v>
      </c>
      <c r="AP198" s="41">
        <v>0</v>
      </c>
      <c r="AQ198" s="41">
        <v>0</v>
      </c>
      <c r="AR198" s="41">
        <v>0</v>
      </c>
      <c r="AS198" s="41">
        <v>0</v>
      </c>
      <c r="AT198" s="41">
        <v>0</v>
      </c>
      <c r="AU198" s="41">
        <v>0</v>
      </c>
      <c r="AV198" s="41">
        <v>0</v>
      </c>
      <c r="AW198" s="41">
        <v>0</v>
      </c>
      <c r="AX198" s="41">
        <v>0</v>
      </c>
      <c r="AY198" s="41">
        <v>0</v>
      </c>
      <c r="AZ198" s="41">
        <v>0</v>
      </c>
      <c r="BA198" s="41">
        <v>0</v>
      </c>
      <c r="BB198" s="41">
        <v>0</v>
      </c>
      <c r="BC198" s="41">
        <v>2361260529</v>
      </c>
      <c r="BD198" s="41">
        <v>80265575</v>
      </c>
      <c r="BE198" s="41">
        <v>0</v>
      </c>
      <c r="BF198" s="41">
        <v>0</v>
      </c>
      <c r="BG198" s="41">
        <v>0</v>
      </c>
      <c r="BH198" s="41">
        <v>0</v>
      </c>
      <c r="BI198" s="41">
        <v>0</v>
      </c>
      <c r="BJ198" s="41">
        <v>0</v>
      </c>
      <c r="BK198" s="41">
        <v>0</v>
      </c>
      <c r="BL198" s="41">
        <v>0</v>
      </c>
      <c r="BM198" s="41">
        <v>0</v>
      </c>
      <c r="BN198" s="41">
        <v>0</v>
      </c>
      <c r="BO198" s="41">
        <v>0</v>
      </c>
      <c r="BP198" s="41">
        <v>0</v>
      </c>
      <c r="BQ198" s="41">
        <v>0</v>
      </c>
      <c r="BR198" s="41">
        <v>0</v>
      </c>
      <c r="BS198" s="42">
        <f>IFERROR(VLOOKUP(A198,'Trans 21-23'!$A$2:$J$229,5,0),0)</f>
        <v>0</v>
      </c>
      <c r="BT198" s="43"/>
      <c r="BU198" s="6">
        <f t="shared" si="0"/>
        <v>0</v>
      </c>
      <c r="BV198" s="6">
        <f t="shared" si="1"/>
        <v>0</v>
      </c>
      <c r="BW198" s="6">
        <f t="shared" si="2"/>
        <v>0</v>
      </c>
      <c r="BX198" s="6">
        <f t="shared" si="3"/>
        <v>0</v>
      </c>
      <c r="BY198" s="6">
        <f t="shared" si="4"/>
        <v>0</v>
      </c>
      <c r="BZ198" s="6">
        <f t="shared" si="5"/>
        <v>0</v>
      </c>
      <c r="CA198" s="6">
        <f t="shared" si="6"/>
        <v>2825369</v>
      </c>
      <c r="CB198" s="6">
        <f t="shared" si="7"/>
        <v>0</v>
      </c>
      <c r="CC198" s="6">
        <f t="shared" si="8"/>
        <v>0</v>
      </c>
      <c r="CD198" s="6">
        <f t="shared" si="88"/>
        <v>0</v>
      </c>
      <c r="CE198" s="44">
        <f t="shared" si="10"/>
        <v>64</v>
      </c>
      <c r="CF198" s="27"/>
      <c r="CG198" s="28" t="str">
        <f t="shared" si="11"/>
        <v/>
      </c>
      <c r="CH198" s="28" t="str">
        <f t="shared" si="12"/>
        <v/>
      </c>
      <c r="CI198" s="28" t="str">
        <f t="shared" si="13"/>
        <v/>
      </c>
      <c r="CJ198" s="28" t="str">
        <f t="shared" si="14"/>
        <v/>
      </c>
      <c r="CK198" s="23" t="str">
        <f t="shared" si="15"/>
        <v/>
      </c>
      <c r="CL198" s="29" t="str">
        <f t="shared" si="16"/>
        <v/>
      </c>
      <c r="CM198" s="29" t="str">
        <f t="shared" si="66"/>
        <v/>
      </c>
      <c r="CN198" s="29" t="str">
        <f t="shared" si="18"/>
        <v/>
      </c>
      <c r="CO198" s="29" t="str">
        <f t="shared" si="19"/>
        <v/>
      </c>
      <c r="CP198" s="29" t="str">
        <f t="shared" si="20"/>
        <v/>
      </c>
      <c r="CQ198" s="29">
        <f t="shared" si="21"/>
        <v>0</v>
      </c>
      <c r="CR198" s="13"/>
      <c r="CS198" s="7" t="str">
        <f>VLOOKUP(A198,'Empresas 21-23'!$A$2:$M$228,13,0)</f>
        <v/>
      </c>
      <c r="CT198" s="30"/>
      <c r="CU198" s="6">
        <f t="shared" si="22"/>
        <v>0</v>
      </c>
      <c r="CV198" s="6">
        <f t="shared" si="23"/>
        <v>0</v>
      </c>
      <c r="CW198" s="6">
        <f t="shared" si="24"/>
        <v>80265575</v>
      </c>
      <c r="CX198" s="23">
        <f t="shared" si="92"/>
        <v>0</v>
      </c>
      <c r="CY198" s="23">
        <f t="shared" si="93"/>
        <v>0</v>
      </c>
      <c r="CZ198" s="6">
        <f t="shared" si="25"/>
        <v>0</v>
      </c>
      <c r="DA198" s="6">
        <f t="shared" si="26"/>
        <v>0</v>
      </c>
      <c r="DB198" s="6">
        <f t="shared" si="27"/>
        <v>0</v>
      </c>
      <c r="DC198" s="6">
        <f t="shared" si="28"/>
        <v>0</v>
      </c>
      <c r="DD198" s="6">
        <f t="shared" si="29"/>
        <v>0</v>
      </c>
      <c r="DE198" s="6">
        <f t="shared" si="30"/>
        <v>2825369</v>
      </c>
      <c r="DF198" s="6">
        <f t="shared" si="91"/>
        <v>0</v>
      </c>
      <c r="DG198" s="30"/>
      <c r="DH198" s="32" t="str">
        <f>VLOOKUP(A198,'T_med_comp-USA'!$A$7:$Q$233,17,0)</f>
        <v>-</v>
      </c>
      <c r="DI198" s="6" t="str">
        <f t="shared" si="32"/>
        <v/>
      </c>
      <c r="DJ198" s="32" t="str">
        <f>IF(DI198="","",VLOOKUP(DI198,'CPI USA'!$T:$U,2,FALSE))</f>
        <v/>
      </c>
      <c r="DK198" s="32" t="str">
        <f>IF(DI198="","",VLOOKUP(DI198,'PPI USA'!$S:$T,2,FALSE))</f>
        <v/>
      </c>
      <c r="DL198" s="32" t="str">
        <f>IF(DI198="","",VLOOKUP(DI198,'CPI USA'!$T:$V,3,FALSE))</f>
        <v/>
      </c>
      <c r="DM198" s="32" t="str">
        <f>IF(DI198="","",VLOOKUP(DI198,'CPI USA'!$T:$X,5,FALSE))</f>
        <v/>
      </c>
      <c r="DN198" s="32" t="str">
        <f t="shared" si="33"/>
        <v/>
      </c>
      <c r="DO198" s="32" t="str">
        <f t="shared" si="34"/>
        <v/>
      </c>
      <c r="DP198" s="32" t="str">
        <f t="shared" si="35"/>
        <v/>
      </c>
      <c r="DQ198" s="32" t="str">
        <f>IF(DP198="","",DP198*$DO$1/'CPI USA'!$U$508+(1-DP198)*AVERAGE($DO$1,$DQ$1)/AVERAGE('CPI USA'!$U$508,'PPI USA'!$T$514))</f>
        <v/>
      </c>
      <c r="DR198" s="6">
        <f t="shared" si="36"/>
        <v>0</v>
      </c>
      <c r="DS198" s="32" t="str">
        <f t="shared" si="37"/>
        <v/>
      </c>
      <c r="DT198" s="28" t="str">
        <f>IF(DS198="","",DS198*$DO$1/'CPI USA'!$U$508+(1-DS198)*AVERAGE($DO$1,$DQ$1)/AVERAGE('CPI USA'!$U$508,'PPI USA'!$T$514))</f>
        <v/>
      </c>
      <c r="DU198" s="6" t="str">
        <f t="shared" si="38"/>
        <v/>
      </c>
      <c r="DV198" s="6" t="str">
        <f t="shared" si="39"/>
        <v/>
      </c>
      <c r="DW198" s="6">
        <f t="shared" si="40"/>
        <v>0</v>
      </c>
      <c r="DX198" s="16" t="str">
        <f t="shared" si="41"/>
        <v/>
      </c>
      <c r="DY198" s="28" t="str">
        <f>IF(DX198="","",DX198*$DO$1/'CPI USA'!$U$508+(1-DX198)*AVERAGE($DO$1,$DQ$1)/AVERAGE('CPI USA'!$U$508,'PPI USA'!$T$514))</f>
        <v/>
      </c>
      <c r="DZ198" s="30"/>
      <c r="EA198" s="45" t="str">
        <f t="shared" si="42"/>
        <v>C007679</v>
      </c>
      <c r="EB198" s="29" t="str">
        <f t="shared" si="43"/>
        <v/>
      </c>
      <c r="EC198" s="29" t="str">
        <f t="shared" si="44"/>
        <v/>
      </c>
      <c r="ED198" s="29" t="str">
        <f t="shared" si="45"/>
        <v/>
      </c>
      <c r="EE198" s="29" t="str">
        <f t="shared" si="46"/>
        <v/>
      </c>
      <c r="EF198" s="29" t="str">
        <f t="shared" si="47"/>
        <v/>
      </c>
      <c r="EG198" s="29" t="str">
        <f t="shared" si="48"/>
        <v/>
      </c>
      <c r="EH198" s="29" t="str">
        <f t="shared" si="49"/>
        <v/>
      </c>
      <c r="EI198" s="29" t="str">
        <f t="shared" si="50"/>
        <v/>
      </c>
      <c r="EJ198" s="29" t="str">
        <f t="shared" si="51"/>
        <v/>
      </c>
      <c r="EK198" s="29" t="str">
        <f t="shared" si="52"/>
        <v/>
      </c>
      <c r="EL198" s="29" t="str">
        <f>IF(CD198=1,VLOOKUP(EA198,'EIA 2021'!$A$2:$J$213,4,0)*EH198,"")</f>
        <v/>
      </c>
      <c r="EM198" s="29" t="str">
        <f>IF(CD198=1,VLOOKUP(EA198,'EIA 2021'!$A$2:$J$213,7,0)*EH198,"")</f>
        <v/>
      </c>
      <c r="EN198" s="29" t="str">
        <f>IF(CD198=1,VLOOKUP(EA198,'EIA 2021'!$A$2:$J$213,10,0),"")</f>
        <v/>
      </c>
      <c r="EO198" s="28" t="str">
        <f>IF(CD198=1,VLOOKUP(EA198,'EIA 2021'!$A$2:$Z$213,26,0),"")</f>
        <v/>
      </c>
      <c r="EP198" s="23" t="str">
        <f t="shared" si="53"/>
        <v/>
      </c>
      <c r="EQ198" s="32" t="str">
        <f t="shared" si="54"/>
        <v/>
      </c>
      <c r="ER198" s="32" t="str">
        <f t="shared" si="55"/>
        <v/>
      </c>
      <c r="ES198" s="6"/>
      <c r="ET198" s="32"/>
    </row>
    <row r="199" spans="1:150" ht="15.75" customHeight="1">
      <c r="A199" s="7" t="s">
        <v>799</v>
      </c>
      <c r="B199" s="7" t="s">
        <v>800</v>
      </c>
      <c r="C199" s="32" t="s">
        <v>801</v>
      </c>
      <c r="D199" s="40">
        <v>0</v>
      </c>
      <c r="E199" s="40">
        <v>0</v>
      </c>
      <c r="F199" s="40">
        <v>0</v>
      </c>
      <c r="G199" s="40">
        <v>0</v>
      </c>
      <c r="H199" s="40">
        <v>0</v>
      </c>
      <c r="I199" s="40">
        <v>0</v>
      </c>
      <c r="J199" s="40">
        <v>0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f>IFERROR(VLOOKUP(A199,'Trans 21-23'!$A$2:$J$229,6,0),0)</f>
        <v>0</v>
      </c>
      <c r="Y199" s="41">
        <v>0</v>
      </c>
      <c r="Z199" s="41">
        <v>0</v>
      </c>
      <c r="AA199" s="41">
        <v>0</v>
      </c>
      <c r="AB199" s="41">
        <v>690727</v>
      </c>
      <c r="AC199" s="41">
        <v>0</v>
      </c>
      <c r="AD199" s="41">
        <v>436703</v>
      </c>
      <c r="AE199" s="41">
        <v>0</v>
      </c>
      <c r="AF199" s="41">
        <v>2855886</v>
      </c>
      <c r="AG199" s="41">
        <v>0</v>
      </c>
      <c r="AH199" s="41">
        <v>0</v>
      </c>
      <c r="AI199" s="41">
        <v>0</v>
      </c>
      <c r="AJ199" s="41">
        <v>0</v>
      </c>
      <c r="AK199" s="41">
        <v>0</v>
      </c>
      <c r="AL199" s="41">
        <v>0</v>
      </c>
      <c r="AM199" s="41">
        <v>0</v>
      </c>
      <c r="AN199" s="41">
        <v>0</v>
      </c>
      <c r="AO199" s="41">
        <v>0</v>
      </c>
      <c r="AP199" s="41">
        <v>0</v>
      </c>
      <c r="AQ199" s="41">
        <v>0</v>
      </c>
      <c r="AR199" s="41">
        <v>0</v>
      </c>
      <c r="AS199" s="41">
        <v>0</v>
      </c>
      <c r="AT199" s="41">
        <v>0</v>
      </c>
      <c r="AU199" s="41">
        <v>0</v>
      </c>
      <c r="AV199" s="41">
        <v>0</v>
      </c>
      <c r="AW199" s="41">
        <v>0</v>
      </c>
      <c r="AX199" s="41">
        <v>0</v>
      </c>
      <c r="AY199" s="41">
        <v>0</v>
      </c>
      <c r="AZ199" s="41">
        <v>0</v>
      </c>
      <c r="BA199" s="41">
        <v>0</v>
      </c>
      <c r="BB199" s="41">
        <v>0</v>
      </c>
      <c r="BC199" s="41">
        <v>2364790</v>
      </c>
      <c r="BD199" s="41">
        <v>0</v>
      </c>
      <c r="BE199" s="41">
        <v>0</v>
      </c>
      <c r="BF199" s="41">
        <v>0</v>
      </c>
      <c r="BG199" s="41">
        <v>0</v>
      </c>
      <c r="BH199" s="41">
        <v>0</v>
      </c>
      <c r="BI199" s="41">
        <v>0</v>
      </c>
      <c r="BJ199" s="41">
        <v>0</v>
      </c>
      <c r="BK199" s="41">
        <v>0</v>
      </c>
      <c r="BL199" s="41">
        <v>0</v>
      </c>
      <c r="BM199" s="41">
        <v>0</v>
      </c>
      <c r="BN199" s="41">
        <v>0</v>
      </c>
      <c r="BO199" s="41">
        <v>0</v>
      </c>
      <c r="BP199" s="41">
        <v>0</v>
      </c>
      <c r="BQ199" s="41">
        <v>0</v>
      </c>
      <c r="BR199" s="41">
        <v>0</v>
      </c>
      <c r="BS199" s="42">
        <f>IFERROR(VLOOKUP(A199,'Trans 21-23'!$A$2:$J$229,5,0),0)</f>
        <v>0</v>
      </c>
      <c r="BT199" s="43"/>
      <c r="BU199" s="6">
        <f t="shared" si="0"/>
        <v>0</v>
      </c>
      <c r="BV199" s="6">
        <f t="shared" si="1"/>
        <v>0</v>
      </c>
      <c r="BW199" s="6">
        <f t="shared" si="2"/>
        <v>0</v>
      </c>
      <c r="BX199" s="6">
        <f t="shared" si="3"/>
        <v>0</v>
      </c>
      <c r="BY199" s="6">
        <f t="shared" si="4"/>
        <v>690727</v>
      </c>
      <c r="BZ199" s="6">
        <f t="shared" si="5"/>
        <v>0</v>
      </c>
      <c r="CA199" s="6">
        <f t="shared" si="6"/>
        <v>436703</v>
      </c>
      <c r="CB199" s="6">
        <f t="shared" si="7"/>
        <v>0</v>
      </c>
      <c r="CC199" s="6">
        <f t="shared" si="8"/>
        <v>0</v>
      </c>
      <c r="CD199" s="6">
        <f t="shared" si="88"/>
        <v>0</v>
      </c>
      <c r="CE199" s="44">
        <f t="shared" si="10"/>
        <v>64</v>
      </c>
      <c r="CF199" s="27"/>
      <c r="CG199" s="28" t="str">
        <f t="shared" si="11"/>
        <v/>
      </c>
      <c r="CH199" s="28" t="str">
        <f t="shared" si="12"/>
        <v/>
      </c>
      <c r="CI199" s="28" t="str">
        <f t="shared" si="13"/>
        <v/>
      </c>
      <c r="CJ199" s="28" t="str">
        <f t="shared" si="14"/>
        <v/>
      </c>
      <c r="CK199" s="23" t="str">
        <f t="shared" si="15"/>
        <v/>
      </c>
      <c r="CL199" s="29" t="str">
        <f t="shared" si="16"/>
        <v/>
      </c>
      <c r="CM199" s="29" t="str">
        <f t="shared" si="66"/>
        <v/>
      </c>
      <c r="CN199" s="29" t="str">
        <f t="shared" si="18"/>
        <v/>
      </c>
      <c r="CO199" s="29" t="str">
        <f t="shared" si="19"/>
        <v/>
      </c>
      <c r="CP199" s="29" t="str">
        <f t="shared" si="20"/>
        <v/>
      </c>
      <c r="CQ199" s="29">
        <f t="shared" si="21"/>
        <v>0</v>
      </c>
      <c r="CR199" s="13"/>
      <c r="CS199" s="7" t="str">
        <f>VLOOKUP(A199,'Empresas 21-23'!$A$2:$M$228,13,0)</f>
        <v/>
      </c>
      <c r="CT199" s="30"/>
      <c r="CU199" s="6">
        <f t="shared" si="22"/>
        <v>0</v>
      </c>
      <c r="CV199" s="6">
        <f t="shared" si="23"/>
        <v>0</v>
      </c>
      <c r="CW199" s="6">
        <f t="shared" si="24"/>
        <v>0</v>
      </c>
      <c r="CX199" s="23">
        <f t="shared" si="92"/>
        <v>0</v>
      </c>
      <c r="CY199" s="23">
        <f t="shared" si="93"/>
        <v>0</v>
      </c>
      <c r="CZ199" s="6">
        <f t="shared" si="25"/>
        <v>0</v>
      </c>
      <c r="DA199" s="6">
        <f t="shared" si="26"/>
        <v>0</v>
      </c>
      <c r="DB199" s="6">
        <f t="shared" si="27"/>
        <v>0</v>
      </c>
      <c r="DC199" s="6">
        <f t="shared" si="28"/>
        <v>0</v>
      </c>
      <c r="DD199" s="6">
        <f t="shared" si="29"/>
        <v>690727</v>
      </c>
      <c r="DE199" s="6">
        <f t="shared" si="30"/>
        <v>436703</v>
      </c>
      <c r="DF199" s="6">
        <f t="shared" si="91"/>
        <v>124687.778097399</v>
      </c>
      <c r="DG199" s="30"/>
      <c r="DH199" s="32" t="str">
        <f>VLOOKUP(A199,'T_med_comp-USA'!$A$7:$Q$233,17,0)</f>
        <v>-</v>
      </c>
      <c r="DI199" s="6" t="str">
        <f t="shared" si="32"/>
        <v/>
      </c>
      <c r="DJ199" s="32" t="str">
        <f>IF(DI199="","",VLOOKUP(DI199,'CPI USA'!$T:$U,2,FALSE))</f>
        <v/>
      </c>
      <c r="DK199" s="32" t="str">
        <f>IF(DI199="","",VLOOKUP(DI199,'PPI USA'!$S:$T,2,FALSE))</f>
        <v/>
      </c>
      <c r="DL199" s="32" t="str">
        <f>IF(DI199="","",VLOOKUP(DI199,'CPI USA'!$T:$V,3,FALSE))</f>
        <v/>
      </c>
      <c r="DM199" s="32" t="str">
        <f>IF(DI199="","",VLOOKUP(DI199,'CPI USA'!$T:$X,5,FALSE))</f>
        <v/>
      </c>
      <c r="DN199" s="32" t="str">
        <f t="shared" si="33"/>
        <v/>
      </c>
      <c r="DO199" s="32" t="str">
        <f t="shared" si="34"/>
        <v/>
      </c>
      <c r="DP199" s="32" t="str">
        <f t="shared" si="35"/>
        <v/>
      </c>
      <c r="DQ199" s="32" t="str">
        <f>IF(DP199="","",DP199*$DO$1/'CPI USA'!$U$508+(1-DP199)*AVERAGE($DO$1,$DQ$1)/AVERAGE('CPI USA'!$U$508,'PPI USA'!$T$514))</f>
        <v/>
      </c>
      <c r="DR199" s="6">
        <f t="shared" si="36"/>
        <v>0</v>
      </c>
      <c r="DS199" s="32">
        <f t="shared" si="37"/>
        <v>0.2</v>
      </c>
      <c r="DT199" s="28">
        <f>IF(DS199="","",DS199*$DO$1/'CPI USA'!$U$508+(1-DS199)*AVERAGE($DO$1,$DQ$1)/AVERAGE('CPI USA'!$U$508,'PPI USA'!$T$514))</f>
        <v>1.1741595760647974</v>
      </c>
      <c r="DU199" s="6" t="str">
        <f t="shared" si="38"/>
        <v/>
      </c>
      <c r="DV199" s="6" t="str">
        <f t="shared" si="39"/>
        <v/>
      </c>
      <c r="DW199" s="6">
        <f t="shared" si="40"/>
        <v>0</v>
      </c>
      <c r="DX199" s="16" t="str">
        <f t="shared" si="41"/>
        <v/>
      </c>
      <c r="DY199" s="28" t="str">
        <f>IF(DX199="","",DX199*$DO$1/'CPI USA'!$U$508+(1-DX199)*AVERAGE($DO$1,$DQ$1)/AVERAGE('CPI USA'!$U$508,'PPI USA'!$T$514))</f>
        <v/>
      </c>
      <c r="DZ199" s="30"/>
      <c r="EA199" s="45" t="str">
        <f t="shared" si="42"/>
        <v>C008947</v>
      </c>
      <c r="EB199" s="29" t="str">
        <f t="shared" si="43"/>
        <v/>
      </c>
      <c r="EC199" s="29" t="str">
        <f t="shared" si="44"/>
        <v/>
      </c>
      <c r="ED199" s="29" t="str">
        <f t="shared" si="45"/>
        <v/>
      </c>
      <c r="EE199" s="29" t="str">
        <f t="shared" si="46"/>
        <v/>
      </c>
      <c r="EF199" s="29" t="str">
        <f t="shared" si="47"/>
        <v/>
      </c>
      <c r="EG199" s="29" t="str">
        <f t="shared" si="48"/>
        <v/>
      </c>
      <c r="EH199" s="29" t="str">
        <f t="shared" si="49"/>
        <v/>
      </c>
      <c r="EI199" s="29" t="str">
        <f t="shared" si="50"/>
        <v/>
      </c>
      <c r="EJ199" s="29" t="str">
        <f t="shared" si="51"/>
        <v/>
      </c>
      <c r="EK199" s="29" t="str">
        <f t="shared" si="52"/>
        <v/>
      </c>
      <c r="EL199" s="29" t="str">
        <f>IF(CD199=1,VLOOKUP(EA199,'EIA 2021'!$A$2:$J$213,4,0)*EH199,"")</f>
        <v/>
      </c>
      <c r="EM199" s="29" t="str">
        <f>IF(CD199=1,VLOOKUP(EA199,'EIA 2021'!$A$2:$J$213,7,0)*EH199,"")</f>
        <v/>
      </c>
      <c r="EN199" s="29" t="str">
        <f>IF(CD199=1,VLOOKUP(EA199,'EIA 2021'!$A$2:$J$213,10,0),"")</f>
        <v/>
      </c>
      <c r="EO199" s="28" t="str">
        <f>IF(CD199=1,VLOOKUP(EA199,'EIA 2021'!$A$2:$Z$213,26,0),"")</f>
        <v/>
      </c>
      <c r="EP199" s="23" t="str">
        <f t="shared" si="53"/>
        <v/>
      </c>
      <c r="EQ199" s="32" t="str">
        <f t="shared" si="54"/>
        <v/>
      </c>
      <c r="ER199" s="32" t="str">
        <f t="shared" si="55"/>
        <v/>
      </c>
      <c r="ES199" s="6"/>
      <c r="ET199" s="32"/>
    </row>
    <row r="200" spans="1:150" ht="15.75" customHeight="1">
      <c r="A200" s="7" t="s">
        <v>802</v>
      </c>
      <c r="B200" s="7" t="s">
        <v>803</v>
      </c>
      <c r="C200" s="32" t="s">
        <v>804</v>
      </c>
      <c r="D200" s="40">
        <v>432885640</v>
      </c>
      <c r="E200" s="40">
        <v>75228638</v>
      </c>
      <c r="F200" s="40">
        <v>0</v>
      </c>
      <c r="G200" s="40">
        <v>280469514</v>
      </c>
      <c r="H200" s="40">
        <v>120720127</v>
      </c>
      <c r="I200" s="40">
        <v>14003398</v>
      </c>
      <c r="J200" s="40">
        <v>543386</v>
      </c>
      <c r="K200" s="40">
        <v>1397767</v>
      </c>
      <c r="L200" s="40">
        <v>679872</v>
      </c>
      <c r="M200" s="40">
        <v>2299084</v>
      </c>
      <c r="N200" s="40">
        <v>1783099</v>
      </c>
      <c r="O200" s="40">
        <v>6059284</v>
      </c>
      <c r="P200" s="40">
        <v>1519271</v>
      </c>
      <c r="Q200" s="40">
        <v>2670922</v>
      </c>
      <c r="R200" s="40">
        <v>1615203</v>
      </c>
      <c r="S200" s="40">
        <v>2828602</v>
      </c>
      <c r="T200" s="40">
        <v>41899609</v>
      </c>
      <c r="U200" s="40">
        <v>2307243</v>
      </c>
      <c r="V200" s="40">
        <v>360136</v>
      </c>
      <c r="W200" s="40">
        <v>2793190</v>
      </c>
      <c r="X200" s="40">
        <f>IFERROR(VLOOKUP(A200,'Trans 21-23'!$A$2:$J$229,6,0),0)</f>
        <v>7858256</v>
      </c>
      <c r="Y200" s="41">
        <v>3321200</v>
      </c>
      <c r="Z200" s="41">
        <v>136289</v>
      </c>
      <c r="AA200" s="41">
        <v>38005638</v>
      </c>
      <c r="AB200" s="41">
        <v>60652797</v>
      </c>
      <c r="AC200" s="41">
        <v>741431</v>
      </c>
      <c r="AD200" s="41">
        <v>211903942</v>
      </c>
      <c r="AE200" s="41">
        <v>0</v>
      </c>
      <c r="AF200" s="41">
        <v>1373528345</v>
      </c>
      <c r="AG200" s="41">
        <v>727744</v>
      </c>
      <c r="AH200" s="41">
        <v>1112407</v>
      </c>
      <c r="AI200" s="41">
        <v>31840173</v>
      </c>
      <c r="AJ200" s="41">
        <v>42094</v>
      </c>
      <c r="AK200" s="41">
        <v>0</v>
      </c>
      <c r="AL200" s="41">
        <v>8054150</v>
      </c>
      <c r="AM200" s="41">
        <v>5492459</v>
      </c>
      <c r="AN200" s="41">
        <v>8509173</v>
      </c>
      <c r="AO200" s="41">
        <v>79611</v>
      </c>
      <c r="AP200" s="41">
        <v>146578</v>
      </c>
      <c r="AQ200" s="41">
        <v>22281971</v>
      </c>
      <c r="AR200" s="41">
        <v>8403701</v>
      </c>
      <c r="AS200" s="41">
        <v>30685672</v>
      </c>
      <c r="AT200" s="41">
        <v>0</v>
      </c>
      <c r="AU200" s="41">
        <v>4664</v>
      </c>
      <c r="AV200" s="41">
        <v>0</v>
      </c>
      <c r="AW200" s="41">
        <v>736215987</v>
      </c>
      <c r="AX200" s="41">
        <v>132091623</v>
      </c>
      <c r="AY200" s="41">
        <v>197778420</v>
      </c>
      <c r="AZ200" s="41">
        <v>183561809</v>
      </c>
      <c r="BA200" s="41">
        <v>108799204</v>
      </c>
      <c r="BB200" s="41">
        <v>4103137573</v>
      </c>
      <c r="BC200" s="41">
        <v>13423083532</v>
      </c>
      <c r="BD200" s="41">
        <v>320472575</v>
      </c>
      <c r="BE200" s="41">
        <v>1226085689</v>
      </c>
      <c r="BF200" s="41">
        <v>106271153</v>
      </c>
      <c r="BG200" s="41">
        <v>0</v>
      </c>
      <c r="BH200" s="41">
        <v>20525830</v>
      </c>
      <c r="BI200" s="41">
        <v>1734954</v>
      </c>
      <c r="BJ200" s="41">
        <v>4064473</v>
      </c>
      <c r="BK200" s="41">
        <v>0</v>
      </c>
      <c r="BL200" s="41">
        <v>0</v>
      </c>
      <c r="BM200" s="41">
        <v>5632686</v>
      </c>
      <c r="BN200" s="41">
        <v>51579888</v>
      </c>
      <c r="BO200" s="41">
        <v>0</v>
      </c>
      <c r="BP200" s="41">
        <v>21024533</v>
      </c>
      <c r="BQ200" s="41">
        <v>122777608</v>
      </c>
      <c r="BR200" s="41">
        <v>0</v>
      </c>
      <c r="BS200" s="42">
        <f>IFERROR(VLOOKUP(A200,'Trans 21-23'!$A$2:$J$229,5,0),0)</f>
        <v>500693666</v>
      </c>
      <c r="BT200" s="43"/>
      <c r="BU200" s="6">
        <f t="shared" si="0"/>
        <v>4103137573</v>
      </c>
      <c r="BV200" s="6">
        <f t="shared" si="1"/>
        <v>4664</v>
      </c>
      <c r="BW200" s="6">
        <f t="shared" si="2"/>
        <v>727744</v>
      </c>
      <c r="BX200" s="6">
        <f t="shared" si="3"/>
        <v>82760066</v>
      </c>
      <c r="BY200" s="6">
        <f t="shared" si="4"/>
        <v>102857355</v>
      </c>
      <c r="BZ200" s="6">
        <f t="shared" si="5"/>
        <v>183561809</v>
      </c>
      <c r="CA200" s="6">
        <f t="shared" si="6"/>
        <v>211903942</v>
      </c>
      <c r="CB200" s="6">
        <f t="shared" si="7"/>
        <v>1112407</v>
      </c>
      <c r="CC200" s="6">
        <f t="shared" si="8"/>
        <v>22281971</v>
      </c>
      <c r="CD200" s="6">
        <f t="shared" si="88"/>
        <v>1</v>
      </c>
      <c r="CE200" s="44">
        <f t="shared" si="10"/>
        <v>10</v>
      </c>
      <c r="CF200" s="27"/>
      <c r="CG200" s="28">
        <f t="shared" si="11"/>
        <v>879.74647791595203</v>
      </c>
      <c r="CH200" s="28">
        <f t="shared" si="12"/>
        <v>6.4088470671005187</v>
      </c>
      <c r="CI200" s="28">
        <f t="shared" si="13"/>
        <v>113.72139928326445</v>
      </c>
      <c r="CJ200" s="28">
        <f t="shared" si="14"/>
        <v>252.23403971726322</v>
      </c>
      <c r="CK200" s="23">
        <f t="shared" si="15"/>
        <v>4.9924084363990956E-2</v>
      </c>
      <c r="CL200" s="29" t="str">
        <f t="shared" si="16"/>
        <v/>
      </c>
      <c r="CM200" s="29" t="str">
        <f t="shared" si="66"/>
        <v/>
      </c>
      <c r="CN200" s="29" t="str">
        <f t="shared" si="18"/>
        <v/>
      </c>
      <c r="CO200" s="29" t="str">
        <f t="shared" si="19"/>
        <v/>
      </c>
      <c r="CP200" s="29" t="str">
        <f t="shared" si="20"/>
        <v/>
      </c>
      <c r="CQ200" s="29">
        <f t="shared" si="21"/>
        <v>0</v>
      </c>
      <c r="CR200" s="13"/>
      <c r="CS200" s="7">
        <f>VLOOKUP(A200,'Empresas 21-23'!$A$2:$M$228,13,0)</f>
        <v>1</v>
      </c>
      <c r="CT200" s="30"/>
      <c r="CU200" s="6">
        <f t="shared" si="22"/>
        <v>4113548200.1999998</v>
      </c>
      <c r="CV200" s="6">
        <f t="shared" si="23"/>
        <v>183561809</v>
      </c>
      <c r="CW200" s="6">
        <f t="shared" si="24"/>
        <v>320472575</v>
      </c>
      <c r="CX200" s="23">
        <f t="shared" si="92"/>
        <v>0.31394873996486622</v>
      </c>
      <c r="CY200" s="23">
        <f t="shared" si="93"/>
        <v>1.4009559591016711E-2</v>
      </c>
      <c r="CZ200" s="6">
        <f t="shared" si="25"/>
        <v>4214160161.3145461</v>
      </c>
      <c r="DA200" s="6">
        <f t="shared" si="26"/>
        <v>188051488.63674906</v>
      </c>
      <c r="DB200" s="6">
        <f t="shared" si="27"/>
        <v>82760066</v>
      </c>
      <c r="DC200" s="6">
        <f t="shared" si="28"/>
        <v>90618322</v>
      </c>
      <c r="DD200" s="6">
        <f t="shared" si="29"/>
        <v>102857355</v>
      </c>
      <c r="DE200" s="6">
        <f t="shared" si="30"/>
        <v>211903942</v>
      </c>
      <c r="DF200" s="6">
        <f t="shared" si="91"/>
        <v>76950128.176803231</v>
      </c>
      <c r="DG200" s="30"/>
      <c r="DH200" s="32">
        <f>VLOOKUP(A200,'T_med_comp-USA'!$A$7:$Q$233,17,0)</f>
        <v>10.9618343296903</v>
      </c>
      <c r="DI200" s="6" t="str">
        <f t="shared" si="32"/>
        <v>1_2011</v>
      </c>
      <c r="DJ200" s="32">
        <f>IF(DI200="","",VLOOKUP(DI200,'CPI USA'!$T:$U,2,FALSE))</f>
        <v>224.93899999999999</v>
      </c>
      <c r="DK200" s="32">
        <f>IF(DI200="","",VLOOKUP(DI200,'PPI USA'!$S:$T,2,FALSE))</f>
        <v>169.6</v>
      </c>
      <c r="DL200" s="32">
        <f>IF(DI200="","",VLOOKUP(DI200,'CPI USA'!$T:$V,3,FALSE))</f>
        <v>0.6684022975047168</v>
      </c>
      <c r="DM200" s="32">
        <f>IF(DI200="","",VLOOKUP(DI200,'CPI USA'!$T:$X,5,FALSE))</f>
        <v>0.49636791791307899</v>
      </c>
      <c r="DN200" s="32">
        <f t="shared" si="33"/>
        <v>1.4208751760332547</v>
      </c>
      <c r="DO200" s="32">
        <f t="shared" si="34"/>
        <v>1.4334111417560953</v>
      </c>
      <c r="DP200" s="32">
        <f t="shared" si="35"/>
        <v>0.24801611443857477</v>
      </c>
      <c r="DQ200" s="32">
        <f>IF(DP200="","",DP200*$DO$1/'CPI USA'!$U$508+(1-DP200)*AVERAGE($DO$1,$DQ$1)/AVERAGE('CPI USA'!$U$508,'PPI USA'!$T$514))</f>
        <v>1.1713215482381185</v>
      </c>
      <c r="DR200" s="6">
        <f t="shared" si="36"/>
        <v>5799427</v>
      </c>
      <c r="DS200" s="32">
        <f t="shared" si="37"/>
        <v>0.2</v>
      </c>
      <c r="DT200" s="28">
        <f>IF(DS200="","",DS200*$DO$1/'CPI USA'!$U$508+(1-DS200)*AVERAGE($DO$1,$DQ$1)/AVERAGE('CPI USA'!$U$508,'PPI USA'!$T$514))</f>
        <v>1.1741595760647974</v>
      </c>
      <c r="DU200" s="6">
        <f t="shared" si="38"/>
        <v>5632686</v>
      </c>
      <c r="DV200" s="6">
        <f t="shared" si="39"/>
        <v>1163842.8881450314</v>
      </c>
      <c r="DW200" s="6">
        <f t="shared" si="40"/>
        <v>3468801.0506797186</v>
      </c>
      <c r="DX200" s="16">
        <f t="shared" si="41"/>
        <v>0.2</v>
      </c>
      <c r="DY200" s="28">
        <f>IF(DX200="","",DX200*$DO$1/'CPI USA'!$U$508+(1-DX200)*AVERAGE($DO$1,$DQ$1)/AVERAGE('CPI USA'!$U$508,'PPI USA'!$T$514))</f>
        <v>1.1741595760647974</v>
      </c>
      <c r="DZ200" s="30"/>
      <c r="EA200" s="45" t="str">
        <f t="shared" si="42"/>
        <v>C008998</v>
      </c>
      <c r="EB200" s="29">
        <f t="shared" si="43"/>
        <v>5987795561.0401354</v>
      </c>
      <c r="EC200" s="29">
        <f t="shared" si="44"/>
        <v>269555099.03573585</v>
      </c>
      <c r="ED200" s="29">
        <f t="shared" si="45"/>
        <v>106143193.22378035</v>
      </c>
      <c r="EE200" s="29">
        <f t="shared" si="46"/>
        <v>120770948.34194636</v>
      </c>
      <c r="EF200" s="29">
        <f t="shared" si="47"/>
        <v>90351729.878207102</v>
      </c>
      <c r="EG200" s="29">
        <f t="shared" si="48"/>
        <v>4664</v>
      </c>
      <c r="EH200" s="29">
        <f t="shared" si="49"/>
        <v>727744</v>
      </c>
      <c r="EI200" s="29">
        <f t="shared" si="50"/>
        <v>1112407</v>
      </c>
      <c r="EJ200" s="29">
        <f t="shared" si="51"/>
        <v>22281971</v>
      </c>
      <c r="EK200" s="29">
        <f t="shared" si="52"/>
        <v>23266402.857868019</v>
      </c>
      <c r="EL200" s="29">
        <f>IF(CD200=1,VLOOKUP(EA200,'EIA 2021'!$A$2:$J$213,4,0)*EH200,"")</f>
        <v>191614995.20000002</v>
      </c>
      <c r="EM200" s="29">
        <f>IF(CD200=1,VLOOKUP(EA200,'EIA 2021'!$A$2:$J$213,7,0)*EH200,"")</f>
        <v>1282284.9280000001</v>
      </c>
      <c r="EN200" s="29">
        <f>IF(CD200=1,VLOOKUP(EA200,'EIA 2021'!$A$2:$J$213,10,0),"")</f>
        <v>873512</v>
      </c>
      <c r="EO200" s="28">
        <f>IF(CD200=1,VLOOKUP(EA200,'EIA 2021'!$A$2:$Z$213,26,0),"")</f>
        <v>0</v>
      </c>
      <c r="EP200" s="23">
        <f t="shared" si="53"/>
        <v>4.2311304582913357E-2</v>
      </c>
      <c r="EQ200" s="32">
        <f t="shared" si="54"/>
        <v>127975.14213198051</v>
      </c>
      <c r="ER200" s="32">
        <f t="shared" si="55"/>
        <v>984431.85786801949</v>
      </c>
      <c r="ES200" s="6"/>
      <c r="ET200" s="32"/>
    </row>
    <row r="201" spans="1:150" ht="15.75" customHeight="1">
      <c r="A201" s="7" t="s">
        <v>805</v>
      </c>
      <c r="B201" s="7" t="s">
        <v>806</v>
      </c>
      <c r="C201" s="32" t="s">
        <v>807</v>
      </c>
      <c r="D201" s="40">
        <v>318054549</v>
      </c>
      <c r="E201" s="40">
        <v>0</v>
      </c>
      <c r="F201" s="40">
        <v>0</v>
      </c>
      <c r="G201" s="40">
        <v>297967897</v>
      </c>
      <c r="H201" s="40">
        <v>162281939</v>
      </c>
      <c r="I201" s="40">
        <v>11477640</v>
      </c>
      <c r="J201" s="40">
        <v>185661</v>
      </c>
      <c r="K201" s="40">
        <v>148665</v>
      </c>
      <c r="L201" s="40">
        <v>1037680</v>
      </c>
      <c r="M201" s="40">
        <v>1720063</v>
      </c>
      <c r="N201" s="40">
        <v>779122</v>
      </c>
      <c r="O201" s="40">
        <v>3716345</v>
      </c>
      <c r="P201" s="40">
        <v>2454909</v>
      </c>
      <c r="Q201" s="40">
        <v>974260</v>
      </c>
      <c r="R201" s="40">
        <v>714007</v>
      </c>
      <c r="S201" s="40">
        <v>1052921</v>
      </c>
      <c r="T201" s="40">
        <v>29873238</v>
      </c>
      <c r="U201" s="40">
        <v>1143003</v>
      </c>
      <c r="V201" s="40">
        <v>391239</v>
      </c>
      <c r="W201" s="40">
        <v>1480506</v>
      </c>
      <c r="X201" s="40">
        <f>IFERROR(VLOOKUP(A201,'Trans 21-23'!$A$2:$J$229,6,0),0)</f>
        <v>10233464</v>
      </c>
      <c r="Y201" s="41">
        <v>2075232</v>
      </c>
      <c r="Z201" s="41">
        <v>42883</v>
      </c>
      <c r="AA201" s="41">
        <v>26495791</v>
      </c>
      <c r="AB201" s="41">
        <v>6500880</v>
      </c>
      <c r="AC201" s="41">
        <v>1184848</v>
      </c>
      <c r="AD201" s="41">
        <v>111159942</v>
      </c>
      <c r="AE201" s="41">
        <v>0</v>
      </c>
      <c r="AF201" s="41">
        <v>782280505</v>
      </c>
      <c r="AG201" s="41">
        <v>458987</v>
      </c>
      <c r="AH201" s="41">
        <v>629099</v>
      </c>
      <c r="AI201" s="41">
        <v>17748623</v>
      </c>
      <c r="AJ201" s="41">
        <v>11020</v>
      </c>
      <c r="AK201" s="41">
        <v>0</v>
      </c>
      <c r="AL201" s="41">
        <v>5568055</v>
      </c>
      <c r="AM201" s="41">
        <v>4468879</v>
      </c>
      <c r="AN201" s="41">
        <v>2297663</v>
      </c>
      <c r="AO201" s="41">
        <v>77286</v>
      </c>
      <c r="AP201" s="41">
        <v>333052</v>
      </c>
      <c r="AQ201" s="41">
        <v>12744935</v>
      </c>
      <c r="AR201" s="41">
        <v>4363569</v>
      </c>
      <c r="AS201" s="41">
        <v>17108504</v>
      </c>
      <c r="AT201" s="41">
        <v>0</v>
      </c>
      <c r="AU201" s="41">
        <v>2884</v>
      </c>
      <c r="AV201" s="41">
        <v>0</v>
      </c>
      <c r="AW201" s="41">
        <v>506159799</v>
      </c>
      <c r="AX201" s="41">
        <v>51739173</v>
      </c>
      <c r="AY201" s="41">
        <v>104213533</v>
      </c>
      <c r="AZ201" s="41">
        <v>120479115</v>
      </c>
      <c r="BA201" s="41">
        <v>86325860</v>
      </c>
      <c r="BB201" s="41">
        <v>2575032996</v>
      </c>
      <c r="BC201" s="41">
        <v>6506610185</v>
      </c>
      <c r="BD201" s="41">
        <v>201850514</v>
      </c>
      <c r="BE201" s="41">
        <v>533623234</v>
      </c>
      <c r="BF201" s="41">
        <v>83524388</v>
      </c>
      <c r="BG201" s="41">
        <v>0</v>
      </c>
      <c r="BH201" s="41">
        <v>8588172</v>
      </c>
      <c r="BI201" s="41">
        <v>1885502</v>
      </c>
      <c r="BJ201" s="41">
        <v>0</v>
      </c>
      <c r="BK201" s="41">
        <v>0</v>
      </c>
      <c r="BL201" s="41">
        <v>0</v>
      </c>
      <c r="BM201" s="41">
        <v>6277830</v>
      </c>
      <c r="BN201" s="41">
        <v>46109219</v>
      </c>
      <c r="BO201" s="41">
        <v>0</v>
      </c>
      <c r="BP201" s="41">
        <v>11981092</v>
      </c>
      <c r="BQ201" s="41">
        <v>95087512</v>
      </c>
      <c r="BR201" s="41">
        <v>0</v>
      </c>
      <c r="BS201" s="42">
        <f>IFERROR(VLOOKUP(A201,'Trans 21-23'!$A$2:$J$229,5,0),0)</f>
        <v>652031551</v>
      </c>
      <c r="BT201" s="43"/>
      <c r="BU201" s="6">
        <f t="shared" si="0"/>
        <v>2575032996</v>
      </c>
      <c r="BV201" s="6">
        <f t="shared" si="1"/>
        <v>2884</v>
      </c>
      <c r="BW201" s="6">
        <f t="shared" si="2"/>
        <v>458987</v>
      </c>
      <c r="BX201" s="6">
        <f t="shared" si="3"/>
        <v>57149259</v>
      </c>
      <c r="BY201" s="6">
        <f t="shared" si="4"/>
        <v>36299634</v>
      </c>
      <c r="BZ201" s="6">
        <f t="shared" si="5"/>
        <v>120479115</v>
      </c>
      <c r="CA201" s="6">
        <f t="shared" si="6"/>
        <v>111159942</v>
      </c>
      <c r="CB201" s="6">
        <f t="shared" si="7"/>
        <v>629099</v>
      </c>
      <c r="CC201" s="6">
        <f t="shared" si="8"/>
        <v>12744935</v>
      </c>
      <c r="CD201" s="6">
        <f t="shared" si="88"/>
        <v>1</v>
      </c>
      <c r="CE201" s="44">
        <f t="shared" si="10"/>
        <v>12</v>
      </c>
      <c r="CF201" s="27"/>
      <c r="CG201" s="28">
        <f t="shared" si="11"/>
        <v>892.8685839112344</v>
      </c>
      <c r="CH201" s="28">
        <f t="shared" si="12"/>
        <v>6.2834023621584052</v>
      </c>
      <c r="CI201" s="28">
        <f t="shared" si="13"/>
        <v>124.51171601810073</v>
      </c>
      <c r="CJ201" s="28">
        <f t="shared" si="14"/>
        <v>262.48916635983153</v>
      </c>
      <c r="CK201" s="23">
        <f t="shared" si="15"/>
        <v>4.9360706821964959E-2</v>
      </c>
      <c r="CL201" s="29" t="str">
        <f t="shared" si="16"/>
        <v/>
      </c>
      <c r="CM201" s="29" t="str">
        <f t="shared" si="66"/>
        <v/>
      </c>
      <c r="CN201" s="29" t="str">
        <f t="shared" si="18"/>
        <v/>
      </c>
      <c r="CO201" s="29" t="str">
        <f t="shared" si="19"/>
        <v/>
      </c>
      <c r="CP201" s="29" t="str">
        <f t="shared" si="20"/>
        <v/>
      </c>
      <c r="CQ201" s="29">
        <f t="shared" si="21"/>
        <v>0</v>
      </c>
      <c r="CR201" s="13"/>
      <c r="CS201" s="7">
        <f>VLOOKUP(A201,'Empresas 21-23'!$A$2:$M$228,13,0)</f>
        <v>1</v>
      </c>
      <c r="CT201" s="30"/>
      <c r="CU201" s="6">
        <f t="shared" si="22"/>
        <v>2926687948.4000001</v>
      </c>
      <c r="CV201" s="6">
        <f t="shared" si="23"/>
        <v>120479115</v>
      </c>
      <c r="CW201" s="6">
        <f t="shared" si="24"/>
        <v>201850514</v>
      </c>
      <c r="CX201" s="23">
        <f t="shared" si="92"/>
        <v>0.46420293573788152</v>
      </c>
      <c r="CY201" s="23">
        <f t="shared" si="93"/>
        <v>1.9109231959176451E-2</v>
      </c>
      <c r="CZ201" s="6">
        <f t="shared" si="25"/>
        <v>3020387549.5790005</v>
      </c>
      <c r="DA201" s="6">
        <f t="shared" si="26"/>
        <v>124336323.29310499</v>
      </c>
      <c r="DB201" s="6">
        <f t="shared" si="27"/>
        <v>57149259</v>
      </c>
      <c r="DC201" s="6">
        <f t="shared" si="28"/>
        <v>67382723</v>
      </c>
      <c r="DD201" s="6">
        <f t="shared" si="29"/>
        <v>36299634</v>
      </c>
      <c r="DE201" s="6">
        <f t="shared" si="30"/>
        <v>111159942</v>
      </c>
      <c r="DF201" s="6">
        <f t="shared" si="91"/>
        <v>60410308.305571593</v>
      </c>
      <c r="DG201" s="30"/>
      <c r="DH201" s="32">
        <f>VLOOKUP(A201,'T_med_comp-USA'!$A$7:$Q$233,17,0)</f>
        <v>6.1142899847478338</v>
      </c>
      <c r="DI201" s="6" t="str">
        <f t="shared" si="32"/>
        <v>11_2015</v>
      </c>
      <c r="DJ201" s="32">
        <f>IF(DI201="","",VLOOKUP(DI201,'CPI USA'!$T:$U,2,FALSE))</f>
        <v>237.33600000000001</v>
      </c>
      <c r="DK201" s="32">
        <f>IF(DI201="","",VLOOKUP(DI201,'PPI USA'!$S:$T,2,FALSE))</f>
        <v>178.1</v>
      </c>
      <c r="DL201" s="32">
        <f>IF(DI201="","",VLOOKUP(DI201,'CPI USA'!$T:$V,3,FALSE))</f>
        <v>0.6679408278919865</v>
      </c>
      <c r="DM201" s="32">
        <f>IF(DI201="","",VLOOKUP(DI201,'CPI USA'!$T:$X,5,FALSE))</f>
        <v>0.49584761624008583</v>
      </c>
      <c r="DN201" s="32">
        <f t="shared" si="33"/>
        <v>1.3476321862014886</v>
      </c>
      <c r="DO201" s="32">
        <f t="shared" si="34"/>
        <v>1.3600061742354885</v>
      </c>
      <c r="DP201" s="32">
        <f t="shared" si="35"/>
        <v>0.2</v>
      </c>
      <c r="DQ201" s="32">
        <f>IF(DP201="","",DP201*$DO$1/'CPI USA'!$U$508+(1-DP201)*AVERAGE($DO$1,$DQ$1)/AVERAGE('CPI USA'!$U$508,'PPI USA'!$T$514))</f>
        <v>1.1741595760647974</v>
      </c>
      <c r="DR201" s="6">
        <f t="shared" si="36"/>
        <v>1885502</v>
      </c>
      <c r="DS201" s="32">
        <f t="shared" si="37"/>
        <v>0.2</v>
      </c>
      <c r="DT201" s="28">
        <f>IF(DS201="","",DS201*$DO$1/'CPI USA'!$U$508+(1-DS201)*AVERAGE($DO$1,$DQ$1)/AVERAGE('CPI USA'!$U$508,'PPI USA'!$T$514))</f>
        <v>1.1741595760647974</v>
      </c>
      <c r="DU201" s="6">
        <f t="shared" si="38"/>
        <v>6277830</v>
      </c>
      <c r="DV201" s="6">
        <f t="shared" si="39"/>
        <v>905047.51366212138</v>
      </c>
      <c r="DW201" s="6">
        <f t="shared" si="40"/>
        <v>1631585.1600094896</v>
      </c>
      <c r="DX201" s="16">
        <f t="shared" si="41"/>
        <v>0.2</v>
      </c>
      <c r="DY201" s="28">
        <f>IF(DX201="","",DX201*$DO$1/'CPI USA'!$U$508+(1-DX201)*AVERAGE($DO$1,$DQ$1)/AVERAGE('CPI USA'!$U$508,'PPI USA'!$T$514))</f>
        <v>1.1741595760647974</v>
      </c>
      <c r="DZ201" s="30"/>
      <c r="EA201" s="45" t="str">
        <f t="shared" si="42"/>
        <v>C008999</v>
      </c>
      <c r="EB201" s="29">
        <f t="shared" si="43"/>
        <v>4070371476.6149054</v>
      </c>
      <c r="EC201" s="29">
        <f t="shared" si="44"/>
        <v>169098167.36036259</v>
      </c>
      <c r="ED201" s="29">
        <f t="shared" si="45"/>
        <v>79118069.471771672</v>
      </c>
      <c r="EE201" s="29">
        <f t="shared" si="46"/>
        <v>42621562.868747301</v>
      </c>
      <c r="EF201" s="29">
        <f t="shared" si="47"/>
        <v>70931341.990013644</v>
      </c>
      <c r="EG201" s="29">
        <f t="shared" si="48"/>
        <v>2884</v>
      </c>
      <c r="EH201" s="29">
        <f t="shared" si="49"/>
        <v>458987</v>
      </c>
      <c r="EI201" s="29">
        <f t="shared" si="50"/>
        <v>629099</v>
      </c>
      <c r="EJ201" s="29">
        <f t="shared" si="51"/>
        <v>12744935</v>
      </c>
      <c r="EK201" s="29">
        <f t="shared" si="52"/>
        <v>13307583.710659899</v>
      </c>
      <c r="EL201" s="29">
        <f>IF(CD201=1,VLOOKUP(EA201,'EIA 2021'!$A$2:$J$213,4,0)*EH201,"")</f>
        <v>129388435.29999998</v>
      </c>
      <c r="EM201" s="29">
        <f>IF(CD201=1,VLOOKUP(EA201,'EIA 2021'!$A$2:$J$213,7,0)*EH201,"")</f>
        <v>1119010.3060000001</v>
      </c>
      <c r="EN201" s="29">
        <f>IF(CD201=1,VLOOKUP(EA201,'EIA 2021'!$A$2:$J$213,10,0),"")</f>
        <v>548633</v>
      </c>
      <c r="EO201" s="28">
        <f>IF(CD201=1,VLOOKUP(EA201,'EIA 2021'!$A$2:$Z$213,26,0),"")</f>
        <v>0</v>
      </c>
      <c r="EP201" s="23">
        <f t="shared" si="53"/>
        <v>4.2280305943835243E-2</v>
      </c>
      <c r="EQ201" s="32">
        <f t="shared" si="54"/>
        <v>66450.289340101182</v>
      </c>
      <c r="ER201" s="32">
        <f t="shared" si="55"/>
        <v>562648.71065989882</v>
      </c>
      <c r="ES201" s="6"/>
      <c r="ET201" s="32"/>
    </row>
    <row r="202" spans="1:150" ht="15.75" customHeight="1">
      <c r="A202" s="7" t="s">
        <v>808</v>
      </c>
      <c r="B202" s="7" t="s">
        <v>809</v>
      </c>
      <c r="C202" s="32" t="s">
        <v>810</v>
      </c>
      <c r="D202" s="40">
        <v>0</v>
      </c>
      <c r="E202" s="40">
        <v>0</v>
      </c>
      <c r="F202" s="40">
        <v>0</v>
      </c>
      <c r="G202" s="40">
        <v>0</v>
      </c>
      <c r="H202" s="40">
        <v>0</v>
      </c>
      <c r="I202" s="40">
        <v>0</v>
      </c>
      <c r="J202" s="40">
        <v>0</v>
      </c>
      <c r="K202" s="40">
        <v>0</v>
      </c>
      <c r="L202" s="40">
        <v>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f>IFERROR(VLOOKUP(A202,'Trans 21-23'!$A$2:$J$229,6,0),0)</f>
        <v>0</v>
      </c>
      <c r="Y202" s="41">
        <v>0</v>
      </c>
      <c r="Z202" s="41">
        <v>0</v>
      </c>
      <c r="AA202" s="41">
        <v>0</v>
      </c>
      <c r="AB202" s="41">
        <v>0</v>
      </c>
      <c r="AC202" s="41">
        <v>0</v>
      </c>
      <c r="AD202" s="41">
        <v>5807724</v>
      </c>
      <c r="AE202" s="41">
        <v>0</v>
      </c>
      <c r="AF202" s="41">
        <v>10579175</v>
      </c>
      <c r="AG202" s="41">
        <v>0</v>
      </c>
      <c r="AH202" s="41">
        <v>0</v>
      </c>
      <c r="AI202" s="41">
        <v>0</v>
      </c>
      <c r="AJ202" s="41">
        <v>0</v>
      </c>
      <c r="AK202" s="41">
        <v>0</v>
      </c>
      <c r="AL202" s="41">
        <v>0</v>
      </c>
      <c r="AM202" s="41">
        <v>0</v>
      </c>
      <c r="AN202" s="41">
        <v>0</v>
      </c>
      <c r="AO202" s="41">
        <v>0</v>
      </c>
      <c r="AP202" s="41">
        <v>0</v>
      </c>
      <c r="AQ202" s="41">
        <v>0</v>
      </c>
      <c r="AR202" s="41">
        <v>0</v>
      </c>
      <c r="AS202" s="41">
        <v>0</v>
      </c>
      <c r="AT202" s="41">
        <v>0</v>
      </c>
      <c r="AU202" s="41">
        <v>0</v>
      </c>
      <c r="AV202" s="41">
        <v>0</v>
      </c>
      <c r="AW202" s="41">
        <v>0</v>
      </c>
      <c r="AX202" s="41">
        <v>0</v>
      </c>
      <c r="AY202" s="41">
        <v>0</v>
      </c>
      <c r="AZ202" s="41">
        <v>0</v>
      </c>
      <c r="BA202" s="41">
        <v>0</v>
      </c>
      <c r="BB202" s="41">
        <v>0</v>
      </c>
      <c r="BC202" s="41">
        <v>36191068</v>
      </c>
      <c r="BD202" s="41">
        <v>59884</v>
      </c>
      <c r="BE202" s="41">
        <v>0</v>
      </c>
      <c r="BF202" s="41">
        <v>0</v>
      </c>
      <c r="BG202" s="41">
        <v>0</v>
      </c>
      <c r="BH202" s="41">
        <v>0</v>
      </c>
      <c r="BI202" s="41">
        <v>0</v>
      </c>
      <c r="BJ202" s="41">
        <v>0</v>
      </c>
      <c r="BK202" s="41">
        <v>0</v>
      </c>
      <c r="BL202" s="41">
        <v>0</v>
      </c>
      <c r="BM202" s="41">
        <v>0</v>
      </c>
      <c r="BN202" s="41">
        <v>0</v>
      </c>
      <c r="BO202" s="41">
        <v>0</v>
      </c>
      <c r="BP202" s="41">
        <v>0</v>
      </c>
      <c r="BQ202" s="41">
        <v>0</v>
      </c>
      <c r="BR202" s="41">
        <v>0</v>
      </c>
      <c r="BS202" s="42">
        <f>IFERROR(VLOOKUP(A202,'Trans 21-23'!$A$2:$J$229,5,0),0)</f>
        <v>0</v>
      </c>
      <c r="BT202" s="43"/>
      <c r="BU202" s="6">
        <f t="shared" si="0"/>
        <v>0</v>
      </c>
      <c r="BV202" s="6">
        <f t="shared" si="1"/>
        <v>0</v>
      </c>
      <c r="BW202" s="6">
        <f t="shared" si="2"/>
        <v>0</v>
      </c>
      <c r="BX202" s="6">
        <f t="shared" si="3"/>
        <v>0</v>
      </c>
      <c r="BY202" s="6">
        <f t="shared" si="4"/>
        <v>0</v>
      </c>
      <c r="BZ202" s="6">
        <f t="shared" si="5"/>
        <v>0</v>
      </c>
      <c r="CA202" s="6">
        <f t="shared" si="6"/>
        <v>5807724</v>
      </c>
      <c r="CB202" s="6">
        <f t="shared" si="7"/>
        <v>0</v>
      </c>
      <c r="CC202" s="6">
        <f t="shared" si="8"/>
        <v>0</v>
      </c>
      <c r="CD202" s="6">
        <f t="shared" si="88"/>
        <v>0</v>
      </c>
      <c r="CE202" s="44">
        <f t="shared" si="10"/>
        <v>64</v>
      </c>
      <c r="CF202" s="27"/>
      <c r="CG202" s="28" t="str">
        <f t="shared" si="11"/>
        <v/>
      </c>
      <c r="CH202" s="28" t="str">
        <f t="shared" si="12"/>
        <v/>
      </c>
      <c r="CI202" s="28" t="str">
        <f t="shared" si="13"/>
        <v/>
      </c>
      <c r="CJ202" s="28" t="str">
        <f t="shared" si="14"/>
        <v/>
      </c>
      <c r="CK202" s="23" t="str">
        <f t="shared" si="15"/>
        <v/>
      </c>
      <c r="CL202" s="29" t="str">
        <f t="shared" si="16"/>
        <v/>
      </c>
      <c r="CM202" s="29" t="str">
        <f t="shared" si="66"/>
        <v/>
      </c>
      <c r="CN202" s="29" t="str">
        <f t="shared" si="18"/>
        <v/>
      </c>
      <c r="CO202" s="29" t="str">
        <f t="shared" si="19"/>
        <v/>
      </c>
      <c r="CP202" s="29" t="str">
        <f t="shared" si="20"/>
        <v/>
      </c>
      <c r="CQ202" s="29">
        <f t="shared" si="21"/>
        <v>0</v>
      </c>
      <c r="CR202" s="13"/>
      <c r="CS202" s="7" t="str">
        <f>VLOOKUP(A202,'Empresas 21-23'!$A$2:$M$228,13,0)</f>
        <v/>
      </c>
      <c r="CT202" s="30"/>
      <c r="CU202" s="6">
        <f t="shared" si="22"/>
        <v>0</v>
      </c>
      <c r="CV202" s="6">
        <f t="shared" si="23"/>
        <v>0</v>
      </c>
      <c r="CW202" s="6">
        <f t="shared" si="24"/>
        <v>59884</v>
      </c>
      <c r="CX202" s="23">
        <f t="shared" si="92"/>
        <v>0</v>
      </c>
      <c r="CY202" s="23">
        <f t="shared" si="93"/>
        <v>0</v>
      </c>
      <c r="CZ202" s="6">
        <f t="shared" si="25"/>
        <v>0</v>
      </c>
      <c r="DA202" s="6">
        <f t="shared" si="26"/>
        <v>0</v>
      </c>
      <c r="DB202" s="6">
        <f t="shared" si="27"/>
        <v>0</v>
      </c>
      <c r="DC202" s="6">
        <f t="shared" si="28"/>
        <v>0</v>
      </c>
      <c r="DD202" s="6">
        <f t="shared" si="29"/>
        <v>0</v>
      </c>
      <c r="DE202" s="6">
        <f t="shared" si="30"/>
        <v>5807724</v>
      </c>
      <c r="DF202" s="6">
        <f t="shared" si="91"/>
        <v>0</v>
      </c>
      <c r="DG202" s="30"/>
      <c r="DH202" s="32" t="str">
        <f>VLOOKUP(A202,'T_med_comp-USA'!$A$7:$Q$233,17,0)</f>
        <v>-</v>
      </c>
      <c r="DI202" s="6" t="str">
        <f t="shared" si="32"/>
        <v/>
      </c>
      <c r="DJ202" s="32" t="str">
        <f>IF(DI202="","",VLOOKUP(DI202,'CPI USA'!$T:$U,2,FALSE))</f>
        <v/>
      </c>
      <c r="DK202" s="32" t="str">
        <f>IF(DI202="","",VLOOKUP(DI202,'PPI USA'!$S:$T,2,FALSE))</f>
        <v/>
      </c>
      <c r="DL202" s="32" t="str">
        <f>IF(DI202="","",VLOOKUP(DI202,'CPI USA'!$T:$V,3,FALSE))</f>
        <v/>
      </c>
      <c r="DM202" s="32" t="str">
        <f>IF(DI202="","",VLOOKUP(DI202,'CPI USA'!$T:$X,5,FALSE))</f>
        <v/>
      </c>
      <c r="DN202" s="32" t="str">
        <f t="shared" si="33"/>
        <v/>
      </c>
      <c r="DO202" s="32" t="str">
        <f t="shared" si="34"/>
        <v/>
      </c>
      <c r="DP202" s="32" t="str">
        <f t="shared" si="35"/>
        <v/>
      </c>
      <c r="DQ202" s="32" t="str">
        <f>IF(DP202="","",DP202*$DO$1/'CPI USA'!$U$508+(1-DP202)*AVERAGE($DO$1,$DQ$1)/AVERAGE('CPI USA'!$U$508,'PPI USA'!$T$514))</f>
        <v/>
      </c>
      <c r="DR202" s="6">
        <f t="shared" si="36"/>
        <v>0</v>
      </c>
      <c r="DS202" s="32" t="str">
        <f t="shared" si="37"/>
        <v/>
      </c>
      <c r="DT202" s="28" t="str">
        <f>IF(DS202="","",DS202*$DO$1/'CPI USA'!$U$508+(1-DS202)*AVERAGE($DO$1,$DQ$1)/AVERAGE('CPI USA'!$U$508,'PPI USA'!$T$514))</f>
        <v/>
      </c>
      <c r="DU202" s="6" t="str">
        <f t="shared" si="38"/>
        <v/>
      </c>
      <c r="DV202" s="6" t="str">
        <f t="shared" si="39"/>
        <v/>
      </c>
      <c r="DW202" s="6">
        <f t="shared" si="40"/>
        <v>0</v>
      </c>
      <c r="DX202" s="16" t="str">
        <f t="shared" si="41"/>
        <v/>
      </c>
      <c r="DY202" s="28" t="str">
        <f>IF(DX202="","",DX202*$DO$1/'CPI USA'!$U$508+(1-DX202)*AVERAGE($DO$1,$DQ$1)/AVERAGE('CPI USA'!$U$508,'PPI USA'!$T$514))</f>
        <v/>
      </c>
      <c r="DZ202" s="30"/>
      <c r="EA202" s="45" t="str">
        <f t="shared" si="42"/>
        <v>C009068</v>
      </c>
      <c r="EB202" s="29" t="str">
        <f t="shared" si="43"/>
        <v/>
      </c>
      <c r="EC202" s="29" t="str">
        <f t="shared" si="44"/>
        <v/>
      </c>
      <c r="ED202" s="29" t="str">
        <f t="shared" si="45"/>
        <v/>
      </c>
      <c r="EE202" s="29" t="str">
        <f t="shared" si="46"/>
        <v/>
      </c>
      <c r="EF202" s="29" t="str">
        <f t="shared" si="47"/>
        <v/>
      </c>
      <c r="EG202" s="29" t="str">
        <f t="shared" si="48"/>
        <v/>
      </c>
      <c r="EH202" s="29" t="str">
        <f t="shared" si="49"/>
        <v/>
      </c>
      <c r="EI202" s="29" t="str">
        <f t="shared" si="50"/>
        <v/>
      </c>
      <c r="EJ202" s="29" t="str">
        <f t="shared" si="51"/>
        <v/>
      </c>
      <c r="EK202" s="29" t="str">
        <f t="shared" si="52"/>
        <v/>
      </c>
      <c r="EL202" s="29" t="str">
        <f>IF(CD202=1,VLOOKUP(EA202,'EIA 2021'!$A$2:$J$213,4,0)*EH202,"")</f>
        <v/>
      </c>
      <c r="EM202" s="29" t="str">
        <f>IF(CD202=1,VLOOKUP(EA202,'EIA 2021'!$A$2:$J$213,7,0)*EH202,"")</f>
        <v/>
      </c>
      <c r="EN202" s="29" t="str">
        <f>IF(CD202=1,VLOOKUP(EA202,'EIA 2021'!$A$2:$J$213,10,0),"")</f>
        <v/>
      </c>
      <c r="EO202" s="28" t="str">
        <f>IF(CD202=1,VLOOKUP(EA202,'EIA 2021'!$A$2:$Z$213,26,0),"")</f>
        <v/>
      </c>
      <c r="EP202" s="23" t="str">
        <f t="shared" si="53"/>
        <v/>
      </c>
      <c r="EQ202" s="32" t="str">
        <f t="shared" si="54"/>
        <v/>
      </c>
      <c r="ER202" s="32" t="str">
        <f t="shared" si="55"/>
        <v/>
      </c>
      <c r="ES202" s="6"/>
      <c r="ET202" s="32"/>
    </row>
    <row r="203" spans="1:150" ht="15.75" customHeight="1">
      <c r="A203" s="7" t="s">
        <v>811</v>
      </c>
      <c r="B203" s="7" t="s">
        <v>812</v>
      </c>
      <c r="C203" s="32" t="s">
        <v>813</v>
      </c>
      <c r="D203" s="40">
        <v>0</v>
      </c>
      <c r="E203" s="40">
        <v>0</v>
      </c>
      <c r="F203" s="40">
        <v>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f>IFERROR(VLOOKUP(A203,'Trans 21-23'!$A$2:$J$229,6,0),0)</f>
        <v>0</v>
      </c>
      <c r="Y203" s="41">
        <v>0</v>
      </c>
      <c r="Z203" s="41">
        <v>0</v>
      </c>
      <c r="AA203" s="41">
        <v>0</v>
      </c>
      <c r="AB203" s="41">
        <v>0</v>
      </c>
      <c r="AC203" s="41">
        <v>0</v>
      </c>
      <c r="AD203" s="41">
        <v>849404</v>
      </c>
      <c r="AE203" s="41">
        <v>0</v>
      </c>
      <c r="AF203" s="41">
        <v>1223733</v>
      </c>
      <c r="AG203" s="41">
        <v>0</v>
      </c>
      <c r="AH203" s="41">
        <v>0</v>
      </c>
      <c r="AI203" s="41">
        <v>0</v>
      </c>
      <c r="AJ203" s="41">
        <v>0</v>
      </c>
      <c r="AK203" s="41">
        <v>0</v>
      </c>
      <c r="AL203" s="41">
        <v>0</v>
      </c>
      <c r="AM203" s="41">
        <v>0</v>
      </c>
      <c r="AN203" s="41">
        <v>0</v>
      </c>
      <c r="AO203" s="41">
        <v>0</v>
      </c>
      <c r="AP203" s="41">
        <v>0</v>
      </c>
      <c r="AQ203" s="41">
        <v>0</v>
      </c>
      <c r="AR203" s="41">
        <v>0</v>
      </c>
      <c r="AS203" s="41">
        <v>0</v>
      </c>
      <c r="AT203" s="41">
        <v>0</v>
      </c>
      <c r="AU203" s="41">
        <v>0</v>
      </c>
      <c r="AV203" s="41">
        <v>0</v>
      </c>
      <c r="AW203" s="41">
        <v>0</v>
      </c>
      <c r="AX203" s="41">
        <v>0</v>
      </c>
      <c r="AY203" s="41">
        <v>0</v>
      </c>
      <c r="AZ203" s="41">
        <v>0</v>
      </c>
      <c r="BA203" s="41">
        <v>0</v>
      </c>
      <c r="BB203" s="41">
        <v>0</v>
      </c>
      <c r="BC203" s="41">
        <v>50704601</v>
      </c>
      <c r="BD203" s="41">
        <v>0</v>
      </c>
      <c r="BE203" s="41">
        <v>0</v>
      </c>
      <c r="BF203" s="41">
        <v>0</v>
      </c>
      <c r="BG203" s="41">
        <v>0</v>
      </c>
      <c r="BH203" s="41">
        <v>0</v>
      </c>
      <c r="BI203" s="41">
        <v>0</v>
      </c>
      <c r="BJ203" s="41">
        <v>0</v>
      </c>
      <c r="BK203" s="41">
        <v>0</v>
      </c>
      <c r="BL203" s="41">
        <v>0</v>
      </c>
      <c r="BM203" s="41">
        <v>0</v>
      </c>
      <c r="BN203" s="41">
        <v>0</v>
      </c>
      <c r="BO203" s="41">
        <v>0</v>
      </c>
      <c r="BP203" s="41">
        <v>0</v>
      </c>
      <c r="BQ203" s="41">
        <v>0</v>
      </c>
      <c r="BR203" s="41">
        <v>0</v>
      </c>
      <c r="BS203" s="42">
        <f>IFERROR(VLOOKUP(A203,'Trans 21-23'!$A$2:$J$229,5,0),0)</f>
        <v>0</v>
      </c>
      <c r="BT203" s="43"/>
      <c r="BU203" s="6">
        <f t="shared" si="0"/>
        <v>0</v>
      </c>
      <c r="BV203" s="6">
        <f t="shared" si="1"/>
        <v>0</v>
      </c>
      <c r="BW203" s="6">
        <f t="shared" si="2"/>
        <v>0</v>
      </c>
      <c r="BX203" s="6">
        <f t="shared" si="3"/>
        <v>0</v>
      </c>
      <c r="BY203" s="6">
        <f t="shared" si="4"/>
        <v>0</v>
      </c>
      <c r="BZ203" s="6">
        <f t="shared" si="5"/>
        <v>0</v>
      </c>
      <c r="CA203" s="6">
        <f t="shared" si="6"/>
        <v>849404</v>
      </c>
      <c r="CB203" s="6">
        <f t="shared" si="7"/>
        <v>0</v>
      </c>
      <c r="CC203" s="6">
        <f t="shared" si="8"/>
        <v>0</v>
      </c>
      <c r="CD203" s="6">
        <f t="shared" si="88"/>
        <v>0</v>
      </c>
      <c r="CE203" s="44">
        <f t="shared" si="10"/>
        <v>65</v>
      </c>
      <c r="CF203" s="27"/>
      <c r="CG203" s="28" t="str">
        <f t="shared" si="11"/>
        <v/>
      </c>
      <c r="CH203" s="28" t="str">
        <f t="shared" si="12"/>
        <v/>
      </c>
      <c r="CI203" s="28" t="str">
        <f t="shared" si="13"/>
        <v/>
      </c>
      <c r="CJ203" s="28" t="str">
        <f t="shared" si="14"/>
        <v/>
      </c>
      <c r="CK203" s="23" t="str">
        <f t="shared" si="15"/>
        <v/>
      </c>
      <c r="CL203" s="29" t="str">
        <f t="shared" si="16"/>
        <v/>
      </c>
      <c r="CM203" s="29" t="str">
        <f t="shared" si="66"/>
        <v/>
      </c>
      <c r="CN203" s="29" t="str">
        <f t="shared" si="18"/>
        <v/>
      </c>
      <c r="CO203" s="29" t="str">
        <f t="shared" si="19"/>
        <v/>
      </c>
      <c r="CP203" s="29" t="str">
        <f t="shared" si="20"/>
        <v/>
      </c>
      <c r="CQ203" s="29">
        <f t="shared" si="21"/>
        <v>0</v>
      </c>
      <c r="CR203" s="13"/>
      <c r="CS203" s="7" t="str">
        <f>VLOOKUP(A203,'Empresas 21-23'!$A$2:$M$228,13,0)</f>
        <v/>
      </c>
      <c r="CT203" s="30"/>
      <c r="CU203" s="6">
        <f t="shared" si="22"/>
        <v>0</v>
      </c>
      <c r="CV203" s="6">
        <f t="shared" si="23"/>
        <v>0</v>
      </c>
      <c r="CW203" s="6">
        <f t="shared" si="24"/>
        <v>0</v>
      </c>
      <c r="CX203" s="23">
        <f t="shared" si="92"/>
        <v>0</v>
      </c>
      <c r="CY203" s="23">
        <f t="shared" si="93"/>
        <v>0</v>
      </c>
      <c r="CZ203" s="6">
        <f t="shared" si="25"/>
        <v>0</v>
      </c>
      <c r="DA203" s="6">
        <f t="shared" si="26"/>
        <v>0</v>
      </c>
      <c r="DB203" s="6">
        <f t="shared" si="27"/>
        <v>0</v>
      </c>
      <c r="DC203" s="6">
        <f t="shared" si="28"/>
        <v>0</v>
      </c>
      <c r="DD203" s="6">
        <f t="shared" si="29"/>
        <v>0</v>
      </c>
      <c r="DE203" s="6">
        <f t="shared" si="30"/>
        <v>849404</v>
      </c>
      <c r="DF203" s="6">
        <f t="shared" si="91"/>
        <v>0</v>
      </c>
      <c r="DG203" s="30"/>
      <c r="DH203" s="32" t="str">
        <f>VLOOKUP(A203,'T_med_comp-USA'!$A$7:$Q$233,17,0)</f>
        <v>-</v>
      </c>
      <c r="DI203" s="6" t="str">
        <f t="shared" si="32"/>
        <v/>
      </c>
      <c r="DJ203" s="32" t="str">
        <f>IF(DI203="","",VLOOKUP(DI203,'CPI USA'!$T:$U,2,FALSE))</f>
        <v/>
      </c>
      <c r="DK203" s="32" t="str">
        <f>IF(DI203="","",VLOOKUP(DI203,'PPI USA'!$S:$T,2,FALSE))</f>
        <v/>
      </c>
      <c r="DL203" s="32" t="str">
        <f>IF(DI203="","",VLOOKUP(DI203,'CPI USA'!$T:$V,3,FALSE))</f>
        <v/>
      </c>
      <c r="DM203" s="32" t="str">
        <f>IF(DI203="","",VLOOKUP(DI203,'CPI USA'!$T:$X,5,FALSE))</f>
        <v/>
      </c>
      <c r="DN203" s="32" t="str">
        <f t="shared" si="33"/>
        <v/>
      </c>
      <c r="DO203" s="32" t="str">
        <f t="shared" si="34"/>
        <v/>
      </c>
      <c r="DP203" s="32" t="str">
        <f t="shared" si="35"/>
        <v/>
      </c>
      <c r="DQ203" s="32" t="str">
        <f>IF(DP203="","",DP203*$DO$1/'CPI USA'!$U$508+(1-DP203)*AVERAGE($DO$1,$DQ$1)/AVERAGE('CPI USA'!$U$508,'PPI USA'!$T$514))</f>
        <v/>
      </c>
      <c r="DR203" s="6">
        <f t="shared" si="36"/>
        <v>0</v>
      </c>
      <c r="DS203" s="32" t="str">
        <f t="shared" si="37"/>
        <v/>
      </c>
      <c r="DT203" s="28" t="str">
        <f>IF(DS203="","",DS203*$DO$1/'CPI USA'!$U$508+(1-DS203)*AVERAGE($DO$1,$DQ$1)/AVERAGE('CPI USA'!$U$508,'PPI USA'!$T$514))</f>
        <v/>
      </c>
      <c r="DU203" s="6" t="str">
        <f t="shared" si="38"/>
        <v/>
      </c>
      <c r="DV203" s="6" t="str">
        <f t="shared" si="39"/>
        <v/>
      </c>
      <c r="DW203" s="6">
        <f t="shared" si="40"/>
        <v>0</v>
      </c>
      <c r="DX203" s="16" t="str">
        <f t="shared" si="41"/>
        <v/>
      </c>
      <c r="DY203" s="28" t="str">
        <f>IF(DX203="","",DX203*$DO$1/'CPI USA'!$U$508+(1-DX203)*AVERAGE($DO$1,$DQ$1)/AVERAGE('CPI USA'!$U$508,'PPI USA'!$T$514))</f>
        <v/>
      </c>
      <c r="DZ203" s="30"/>
      <c r="EA203" s="45" t="str">
        <f t="shared" si="42"/>
        <v>C010151</v>
      </c>
      <c r="EB203" s="29" t="str">
        <f t="shared" si="43"/>
        <v/>
      </c>
      <c r="EC203" s="29" t="str">
        <f t="shared" si="44"/>
        <v/>
      </c>
      <c r="ED203" s="29" t="str">
        <f t="shared" si="45"/>
        <v/>
      </c>
      <c r="EE203" s="29" t="str">
        <f t="shared" si="46"/>
        <v/>
      </c>
      <c r="EF203" s="29" t="str">
        <f t="shared" si="47"/>
        <v/>
      </c>
      <c r="EG203" s="29" t="str">
        <f t="shared" si="48"/>
        <v/>
      </c>
      <c r="EH203" s="29" t="str">
        <f t="shared" si="49"/>
        <v/>
      </c>
      <c r="EI203" s="29" t="str">
        <f t="shared" si="50"/>
        <v/>
      </c>
      <c r="EJ203" s="29" t="str">
        <f t="shared" si="51"/>
        <v/>
      </c>
      <c r="EK203" s="29" t="str">
        <f t="shared" si="52"/>
        <v/>
      </c>
      <c r="EL203" s="29" t="str">
        <f>IF(CD203=1,VLOOKUP(EA203,'EIA 2021'!$A$2:$J$213,4,0)*EH203,"")</f>
        <v/>
      </c>
      <c r="EM203" s="29" t="str">
        <f>IF(CD203=1,VLOOKUP(EA203,'EIA 2021'!$A$2:$J$213,7,0)*EH203,"")</f>
        <v/>
      </c>
      <c r="EN203" s="29" t="str">
        <f>IF(CD203=1,VLOOKUP(EA203,'EIA 2021'!$A$2:$J$213,10,0),"")</f>
        <v/>
      </c>
      <c r="EO203" s="28" t="str">
        <f>IF(CD203=1,VLOOKUP(EA203,'EIA 2021'!$A$2:$Z$213,26,0),"")</f>
        <v/>
      </c>
      <c r="EP203" s="23" t="str">
        <f t="shared" si="53"/>
        <v/>
      </c>
      <c r="EQ203" s="32" t="str">
        <f t="shared" si="54"/>
        <v/>
      </c>
      <c r="ER203" s="32" t="str">
        <f t="shared" si="55"/>
        <v/>
      </c>
      <c r="ES203" s="6"/>
      <c r="ET203" s="32"/>
    </row>
    <row r="204" spans="1:150" ht="15.75" customHeight="1">
      <c r="A204" s="7" t="s">
        <v>814</v>
      </c>
      <c r="B204" s="7" t="s">
        <v>815</v>
      </c>
      <c r="C204" s="32" t="s">
        <v>816</v>
      </c>
      <c r="D204" s="40">
        <v>0</v>
      </c>
      <c r="E204" s="40">
        <v>0</v>
      </c>
      <c r="F204" s="40">
        <v>0</v>
      </c>
      <c r="G204" s="40">
        <v>622137968</v>
      </c>
      <c r="H204" s="40">
        <v>622137968</v>
      </c>
      <c r="I204" s="40">
        <v>0</v>
      </c>
      <c r="J204" s="40">
        <v>0</v>
      </c>
      <c r="K204" s="40">
        <v>0</v>
      </c>
      <c r="L204" s="40">
        <v>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f>IFERROR(VLOOKUP(A204,'Trans 21-23'!$A$2:$J$229,6,0),0)</f>
        <v>2718</v>
      </c>
      <c r="Y204" s="41">
        <v>0</v>
      </c>
      <c r="Z204" s="41">
        <v>0</v>
      </c>
      <c r="AA204" s="41">
        <v>0</v>
      </c>
      <c r="AB204" s="41">
        <v>34300</v>
      </c>
      <c r="AC204" s="41">
        <v>0</v>
      </c>
      <c r="AD204" s="41">
        <v>3305876</v>
      </c>
      <c r="AE204" s="41">
        <v>0</v>
      </c>
      <c r="AF204" s="41">
        <v>626468425</v>
      </c>
      <c r="AG204" s="41">
        <v>0</v>
      </c>
      <c r="AH204" s="41">
        <v>0</v>
      </c>
      <c r="AI204" s="41">
        <v>11001486</v>
      </c>
      <c r="AJ204" s="41">
        <v>0</v>
      </c>
      <c r="AK204" s="41">
        <v>0</v>
      </c>
      <c r="AL204" s="41">
        <v>0</v>
      </c>
      <c r="AM204" s="41">
        <v>0</v>
      </c>
      <c r="AN204" s="41">
        <v>0</v>
      </c>
      <c r="AO204" s="41">
        <v>0</v>
      </c>
      <c r="AP204" s="41">
        <v>0</v>
      </c>
      <c r="AQ204" s="41">
        <v>0</v>
      </c>
      <c r="AR204" s="41">
        <v>11001486</v>
      </c>
      <c r="AS204" s="41">
        <v>11001486</v>
      </c>
      <c r="AT204" s="41">
        <v>0</v>
      </c>
      <c r="AU204" s="41">
        <v>0</v>
      </c>
      <c r="AV204" s="41">
        <v>0</v>
      </c>
      <c r="AW204" s="41">
        <v>0</v>
      </c>
      <c r="AX204" s="41">
        <v>0</v>
      </c>
      <c r="AY204" s="41">
        <v>0</v>
      </c>
      <c r="AZ204" s="41">
        <v>0</v>
      </c>
      <c r="BA204" s="41">
        <v>0</v>
      </c>
      <c r="BB204" s="41">
        <v>0</v>
      </c>
      <c r="BC204" s="41">
        <v>19642073</v>
      </c>
      <c r="BD204" s="41">
        <v>1178061</v>
      </c>
      <c r="BE204" s="41">
        <v>0</v>
      </c>
      <c r="BF204" s="41">
        <v>0</v>
      </c>
      <c r="BG204" s="41">
        <v>0</v>
      </c>
      <c r="BH204" s="41">
        <v>0</v>
      </c>
      <c r="BI204" s="41">
        <v>0</v>
      </c>
      <c r="BJ204" s="41">
        <v>0</v>
      </c>
      <c r="BK204" s="41">
        <v>0</v>
      </c>
      <c r="BL204" s="41">
        <v>0</v>
      </c>
      <c r="BM204" s="41">
        <v>607343</v>
      </c>
      <c r="BN204" s="41">
        <v>607343</v>
      </c>
      <c r="BO204" s="41">
        <v>0</v>
      </c>
      <c r="BP204" s="41">
        <v>0</v>
      </c>
      <c r="BQ204" s="41">
        <v>607343</v>
      </c>
      <c r="BR204" s="41">
        <v>0</v>
      </c>
      <c r="BS204" s="42">
        <f>IFERROR(VLOOKUP(A204,'Trans 21-23'!$A$2:$J$229,5,0),0)</f>
        <v>173180</v>
      </c>
      <c r="BT204" s="43"/>
      <c r="BU204" s="6">
        <f t="shared" si="0"/>
        <v>0</v>
      </c>
      <c r="BV204" s="6">
        <f t="shared" si="1"/>
        <v>0</v>
      </c>
      <c r="BW204" s="6">
        <f t="shared" si="2"/>
        <v>0</v>
      </c>
      <c r="BX204" s="6">
        <f t="shared" si="3"/>
        <v>0</v>
      </c>
      <c r="BY204" s="6">
        <f t="shared" si="4"/>
        <v>34300</v>
      </c>
      <c r="BZ204" s="6">
        <f t="shared" si="5"/>
        <v>0</v>
      </c>
      <c r="CA204" s="6">
        <f t="shared" si="6"/>
        <v>3305876</v>
      </c>
      <c r="CB204" s="6">
        <f t="shared" si="7"/>
        <v>0</v>
      </c>
      <c r="CC204" s="6">
        <f t="shared" si="8"/>
        <v>0</v>
      </c>
      <c r="CD204" s="6">
        <f t="shared" si="88"/>
        <v>0</v>
      </c>
      <c r="CE204" s="44">
        <f t="shared" si="10"/>
        <v>53</v>
      </c>
      <c r="CF204" s="27"/>
      <c r="CG204" s="28" t="str">
        <f t="shared" si="11"/>
        <v/>
      </c>
      <c r="CH204" s="28" t="str">
        <f t="shared" si="12"/>
        <v/>
      </c>
      <c r="CI204" s="28" t="str">
        <f t="shared" si="13"/>
        <v/>
      </c>
      <c r="CJ204" s="28" t="str">
        <f t="shared" si="14"/>
        <v/>
      </c>
      <c r="CK204" s="23" t="str">
        <f t="shared" si="15"/>
        <v/>
      </c>
      <c r="CL204" s="29" t="str">
        <f t="shared" si="16"/>
        <v/>
      </c>
      <c r="CM204" s="29" t="str">
        <f t="shared" si="66"/>
        <v/>
      </c>
      <c r="CN204" s="29" t="str">
        <f t="shared" si="18"/>
        <v/>
      </c>
      <c r="CO204" s="29" t="str">
        <f t="shared" si="19"/>
        <v/>
      </c>
      <c r="CP204" s="29" t="str">
        <f t="shared" si="20"/>
        <v/>
      </c>
      <c r="CQ204" s="29">
        <f t="shared" si="21"/>
        <v>0</v>
      </c>
      <c r="CR204" s="13"/>
      <c r="CS204" s="7" t="str">
        <f>VLOOKUP(A204,'Empresas 21-23'!$A$2:$M$228,13,0)</f>
        <v/>
      </c>
      <c r="CT204" s="30"/>
      <c r="CU204" s="6">
        <f t="shared" si="22"/>
        <v>173180</v>
      </c>
      <c r="CV204" s="6">
        <f t="shared" si="23"/>
        <v>0</v>
      </c>
      <c r="CW204" s="6">
        <f t="shared" si="24"/>
        <v>1178061</v>
      </c>
      <c r="CX204" s="23">
        <f t="shared" si="92"/>
        <v>9.3793266598830201E-3</v>
      </c>
      <c r="CY204" s="23">
        <f t="shared" si="93"/>
        <v>0</v>
      </c>
      <c r="CZ204" s="6">
        <f t="shared" si="25"/>
        <v>184229.41894426846</v>
      </c>
      <c r="DA204" s="6">
        <f t="shared" si="26"/>
        <v>0</v>
      </c>
      <c r="DB204" s="6">
        <f t="shared" si="27"/>
        <v>0</v>
      </c>
      <c r="DC204" s="6">
        <f t="shared" si="28"/>
        <v>2718</v>
      </c>
      <c r="DD204" s="6">
        <f t="shared" si="29"/>
        <v>34300</v>
      </c>
      <c r="DE204" s="6">
        <f t="shared" si="30"/>
        <v>3305876</v>
      </c>
      <c r="DF204" s="6">
        <f t="shared" si="91"/>
        <v>119440.94002133555</v>
      </c>
      <c r="DG204" s="30"/>
      <c r="DH204" s="32" t="str">
        <f>VLOOKUP(A204,'T_med_comp-USA'!$A$7:$Q$233,17,0)</f>
        <v>-</v>
      </c>
      <c r="DI204" s="6" t="str">
        <f t="shared" si="32"/>
        <v/>
      </c>
      <c r="DJ204" s="32" t="str">
        <f>IF(DI204="","",VLOOKUP(DI204,'CPI USA'!$T:$U,2,FALSE))</f>
        <v/>
      </c>
      <c r="DK204" s="32" t="str">
        <f>IF(DI204="","",VLOOKUP(DI204,'PPI USA'!$S:$T,2,FALSE))</f>
        <v/>
      </c>
      <c r="DL204" s="32" t="str">
        <f>IF(DI204="","",VLOOKUP(DI204,'CPI USA'!$T:$V,3,FALSE))</f>
        <v/>
      </c>
      <c r="DM204" s="32" t="str">
        <f>IF(DI204="","",VLOOKUP(DI204,'CPI USA'!$T:$X,5,FALSE))</f>
        <v/>
      </c>
      <c r="DN204" s="32" t="str">
        <f t="shared" si="33"/>
        <v/>
      </c>
      <c r="DO204" s="32" t="str">
        <f t="shared" si="34"/>
        <v/>
      </c>
      <c r="DP204" s="32" t="str">
        <f t="shared" si="35"/>
        <v/>
      </c>
      <c r="DQ204" s="32" t="str">
        <f>IF(DP204="","",DP204*$DO$1/'CPI USA'!$U$508+(1-DP204)*AVERAGE($DO$1,$DQ$1)/AVERAGE('CPI USA'!$U$508,'PPI USA'!$T$514))</f>
        <v/>
      </c>
      <c r="DR204" s="6">
        <f t="shared" si="36"/>
        <v>0</v>
      </c>
      <c r="DS204" s="32">
        <f t="shared" si="37"/>
        <v>0.2</v>
      </c>
      <c r="DT204" s="28">
        <f>IF(DS204="","",DS204*$DO$1/'CPI USA'!$U$508+(1-DS204)*AVERAGE($DO$1,$DQ$1)/AVERAGE('CPI USA'!$U$508,'PPI USA'!$T$514))</f>
        <v>1.1741595760647974</v>
      </c>
      <c r="DU204" s="6" t="str">
        <f t="shared" si="38"/>
        <v/>
      </c>
      <c r="DV204" s="6">
        <f t="shared" si="39"/>
        <v>0</v>
      </c>
      <c r="DW204" s="6">
        <f t="shared" si="40"/>
        <v>0</v>
      </c>
      <c r="DX204" s="16" t="str">
        <f t="shared" si="41"/>
        <v/>
      </c>
      <c r="DY204" s="28" t="str">
        <f>IF(DX204="","",DX204*$DO$1/'CPI USA'!$U$508+(1-DX204)*AVERAGE($DO$1,$DQ$1)/AVERAGE('CPI USA'!$U$508,'PPI USA'!$T$514))</f>
        <v/>
      </c>
      <c r="DZ204" s="30"/>
      <c r="EA204" s="45" t="str">
        <f t="shared" si="42"/>
        <v>C010388</v>
      </c>
      <c r="EB204" s="29" t="str">
        <f t="shared" si="43"/>
        <v/>
      </c>
      <c r="EC204" s="29" t="str">
        <f t="shared" si="44"/>
        <v/>
      </c>
      <c r="ED204" s="29" t="str">
        <f t="shared" si="45"/>
        <v/>
      </c>
      <c r="EE204" s="29" t="str">
        <f t="shared" si="46"/>
        <v/>
      </c>
      <c r="EF204" s="29" t="str">
        <f t="shared" si="47"/>
        <v/>
      </c>
      <c r="EG204" s="29" t="str">
        <f t="shared" si="48"/>
        <v/>
      </c>
      <c r="EH204" s="29" t="str">
        <f t="shared" si="49"/>
        <v/>
      </c>
      <c r="EI204" s="29" t="str">
        <f t="shared" si="50"/>
        <v/>
      </c>
      <c r="EJ204" s="29" t="str">
        <f t="shared" si="51"/>
        <v/>
      </c>
      <c r="EK204" s="29" t="str">
        <f t="shared" si="52"/>
        <v/>
      </c>
      <c r="EL204" s="29" t="str">
        <f>IF(CD204=1,VLOOKUP(EA204,'EIA 2021'!$A$2:$J$213,4,0)*EH204,"")</f>
        <v/>
      </c>
      <c r="EM204" s="29" t="str">
        <f>IF(CD204=1,VLOOKUP(EA204,'EIA 2021'!$A$2:$J$213,7,0)*EH204,"")</f>
        <v/>
      </c>
      <c r="EN204" s="29" t="str">
        <f>IF(CD204=1,VLOOKUP(EA204,'EIA 2021'!$A$2:$J$213,10,0),"")</f>
        <v/>
      </c>
      <c r="EO204" s="28" t="str">
        <f>IF(CD204=1,VLOOKUP(EA204,'EIA 2021'!$A$2:$Z$213,26,0),"")</f>
        <v/>
      </c>
      <c r="EP204" s="23" t="str">
        <f t="shared" si="53"/>
        <v/>
      </c>
      <c r="EQ204" s="32" t="str">
        <f t="shared" si="54"/>
        <v/>
      </c>
      <c r="ER204" s="32" t="str">
        <f t="shared" si="55"/>
        <v/>
      </c>
      <c r="ES204" s="6"/>
      <c r="ET204" s="32"/>
    </row>
    <row r="205" spans="1:150" ht="15.75" customHeight="1">
      <c r="A205" s="7" t="s">
        <v>817</v>
      </c>
      <c r="B205" s="7" t="s">
        <v>818</v>
      </c>
      <c r="C205" s="32" t="s">
        <v>819</v>
      </c>
      <c r="D205" s="40">
        <v>0</v>
      </c>
      <c r="E205" s="40">
        <v>0</v>
      </c>
      <c r="F205" s="40">
        <v>0</v>
      </c>
      <c r="G205" s="40">
        <v>303417901</v>
      </c>
      <c r="H205" s="40">
        <v>303417901</v>
      </c>
      <c r="I205" s="40">
        <v>2043589</v>
      </c>
      <c r="J205" s="40">
        <v>627757</v>
      </c>
      <c r="K205" s="40">
        <v>0</v>
      </c>
      <c r="L205" s="40">
        <v>410000</v>
      </c>
      <c r="M205" s="40">
        <v>0</v>
      </c>
      <c r="N205" s="40">
        <v>0</v>
      </c>
      <c r="O205" s="40">
        <v>402889</v>
      </c>
      <c r="P205" s="40">
        <v>0</v>
      </c>
      <c r="Q205" s="40">
        <v>0</v>
      </c>
      <c r="R205" s="40">
        <v>0</v>
      </c>
      <c r="S205" s="40">
        <v>747163</v>
      </c>
      <c r="T205" s="40">
        <v>2003140</v>
      </c>
      <c r="U205" s="40">
        <v>992498</v>
      </c>
      <c r="V205" s="40">
        <v>18423</v>
      </c>
      <c r="W205" s="40">
        <v>0</v>
      </c>
      <c r="X205" s="40">
        <f>IFERROR(VLOOKUP(A205,'Trans 21-23'!$A$2:$J$229,6,0),0)</f>
        <v>0</v>
      </c>
      <c r="Y205" s="41">
        <v>0</v>
      </c>
      <c r="Z205" s="41">
        <v>0</v>
      </c>
      <c r="AA205" s="41">
        <v>338757</v>
      </c>
      <c r="AB205" s="41">
        <v>146094</v>
      </c>
      <c r="AC205" s="41">
        <v>0</v>
      </c>
      <c r="AD205" s="41">
        <v>6626889</v>
      </c>
      <c r="AE205" s="41">
        <v>0</v>
      </c>
      <c r="AF205" s="41">
        <v>318956936</v>
      </c>
      <c r="AG205" s="41">
        <v>13320</v>
      </c>
      <c r="AH205" s="41">
        <v>103625</v>
      </c>
      <c r="AI205" s="41">
        <v>5270906</v>
      </c>
      <c r="AJ205" s="41">
        <v>3154</v>
      </c>
      <c r="AK205" s="41">
        <v>0</v>
      </c>
      <c r="AL205" s="41">
        <v>162759</v>
      </c>
      <c r="AM205" s="41">
        <v>1557484</v>
      </c>
      <c r="AN205" s="41">
        <v>3443884</v>
      </c>
      <c r="AO205" s="41">
        <v>0</v>
      </c>
      <c r="AP205" s="41">
        <v>0</v>
      </c>
      <c r="AQ205" s="41">
        <v>5164127</v>
      </c>
      <c r="AR205" s="41">
        <v>0</v>
      </c>
      <c r="AS205" s="41">
        <v>5164127</v>
      </c>
      <c r="AT205" s="41">
        <v>0</v>
      </c>
      <c r="AU205" s="41">
        <v>708</v>
      </c>
      <c r="AV205" s="41">
        <v>0</v>
      </c>
      <c r="AW205" s="41">
        <v>24890620</v>
      </c>
      <c r="AX205" s="41">
        <v>0</v>
      </c>
      <c r="AY205" s="41">
        <v>40225945</v>
      </c>
      <c r="AZ205" s="41">
        <v>11053470</v>
      </c>
      <c r="BA205" s="41">
        <v>0</v>
      </c>
      <c r="BB205" s="41">
        <v>161396885</v>
      </c>
      <c r="BC205" s="41">
        <v>230567284</v>
      </c>
      <c r="BD205" s="41">
        <v>40830748</v>
      </c>
      <c r="BE205" s="41">
        <v>75926930</v>
      </c>
      <c r="BF205" s="41">
        <v>8569431</v>
      </c>
      <c r="BG205" s="41">
        <v>0</v>
      </c>
      <c r="BH205" s="41">
        <v>2558611</v>
      </c>
      <c r="BI205" s="41">
        <v>141399</v>
      </c>
      <c r="BJ205" s="41">
        <v>68639</v>
      </c>
      <c r="BK205" s="41">
        <v>0</v>
      </c>
      <c r="BL205" s="41">
        <v>0</v>
      </c>
      <c r="BM205" s="41">
        <v>1986395</v>
      </c>
      <c r="BN205" s="41">
        <v>4853250</v>
      </c>
      <c r="BO205" s="41">
        <v>0</v>
      </c>
      <c r="BP205" s="41">
        <v>21057</v>
      </c>
      <c r="BQ205" s="41">
        <v>5608138</v>
      </c>
      <c r="BR205" s="41">
        <v>0</v>
      </c>
      <c r="BS205" s="42">
        <f>IFERROR(VLOOKUP(A205,'Trans 21-23'!$A$2:$J$229,5,0),0)</f>
        <v>0</v>
      </c>
      <c r="BT205" s="43"/>
      <c r="BU205" s="6">
        <f t="shared" si="0"/>
        <v>161396885</v>
      </c>
      <c r="BV205" s="6">
        <f t="shared" si="1"/>
        <v>708</v>
      </c>
      <c r="BW205" s="6">
        <f t="shared" si="2"/>
        <v>13320</v>
      </c>
      <c r="BX205" s="6">
        <f t="shared" si="3"/>
        <v>7245459</v>
      </c>
      <c r="BY205" s="6">
        <f t="shared" si="4"/>
        <v>484851</v>
      </c>
      <c r="BZ205" s="6">
        <f t="shared" si="5"/>
        <v>11053470</v>
      </c>
      <c r="CA205" s="6">
        <f t="shared" si="6"/>
        <v>6626889</v>
      </c>
      <c r="CB205" s="6">
        <f t="shared" si="7"/>
        <v>103625</v>
      </c>
      <c r="CC205" s="6">
        <f t="shared" si="8"/>
        <v>5164127</v>
      </c>
      <c r="CD205" s="6">
        <f t="shared" si="88"/>
        <v>1</v>
      </c>
      <c r="CE205" s="44">
        <f t="shared" si="10"/>
        <v>29</v>
      </c>
      <c r="CF205" s="27"/>
      <c r="CG205" s="28">
        <f t="shared" si="11"/>
        <v>227.96170197740113</v>
      </c>
      <c r="CH205" s="28">
        <f t="shared" si="12"/>
        <v>53.153153153153156</v>
      </c>
      <c r="CI205" s="28">
        <f t="shared" si="13"/>
        <v>543.95337837837837</v>
      </c>
      <c r="CJ205" s="28">
        <f t="shared" si="14"/>
        <v>829.84009009009014</v>
      </c>
      <c r="CK205" s="23">
        <f t="shared" si="15"/>
        <v>2.0066315177763833E-2</v>
      </c>
      <c r="CL205" s="29" t="str">
        <f t="shared" si="16"/>
        <v/>
      </c>
      <c r="CM205" s="29">
        <f t="shared" si="66"/>
        <v>1</v>
      </c>
      <c r="CN205" s="29" t="str">
        <f t="shared" si="18"/>
        <v/>
      </c>
      <c r="CO205" s="29">
        <f t="shared" si="19"/>
        <v>1</v>
      </c>
      <c r="CP205" s="29" t="str">
        <f t="shared" si="20"/>
        <v/>
      </c>
      <c r="CQ205" s="29">
        <f t="shared" si="21"/>
        <v>2</v>
      </c>
      <c r="CR205" s="13"/>
      <c r="CS205" s="7" t="str">
        <f>VLOOKUP(A205,'Empresas 21-23'!$A$2:$M$228,13,0)</f>
        <v/>
      </c>
      <c r="CT205" s="30"/>
      <c r="CU205" s="6">
        <f t="shared" si="22"/>
        <v>126207848</v>
      </c>
      <c r="CV205" s="6">
        <f t="shared" si="23"/>
        <v>11053470</v>
      </c>
      <c r="CW205" s="6">
        <f t="shared" si="24"/>
        <v>40830748</v>
      </c>
      <c r="CX205" s="23">
        <f t="shared" si="92"/>
        <v>0.66517419712985593</v>
      </c>
      <c r="CY205" s="23">
        <f t="shared" si="93"/>
        <v>5.8256940033942647E-2</v>
      </c>
      <c r="CZ205" s="6">
        <f t="shared" si="25"/>
        <v>153367408.01911145</v>
      </c>
      <c r="DA205" s="6">
        <f t="shared" si="26"/>
        <v>13432144.437777024</v>
      </c>
      <c r="DB205" s="6">
        <f t="shared" si="27"/>
        <v>7245459</v>
      </c>
      <c r="DC205" s="6">
        <f t="shared" si="28"/>
        <v>7245459</v>
      </c>
      <c r="DD205" s="6">
        <f t="shared" si="29"/>
        <v>484851</v>
      </c>
      <c r="DE205" s="6">
        <f t="shared" si="30"/>
        <v>6626889</v>
      </c>
      <c r="DF205" s="6">
        <f t="shared" si="91"/>
        <v>5748099.9868707266</v>
      </c>
      <c r="DG205" s="30"/>
      <c r="DH205" s="32">
        <f>VLOOKUP(A205,'T_med_comp-USA'!$A$7:$Q$233,17,0)</f>
        <v>9.3101134575488942</v>
      </c>
      <c r="DI205" s="6" t="str">
        <f t="shared" si="32"/>
        <v>9_2012</v>
      </c>
      <c r="DJ205" s="32">
        <f>IF(DI205="","",VLOOKUP(DI205,'CPI USA'!$T:$U,2,FALSE))</f>
        <v>229.59399999999999</v>
      </c>
      <c r="DK205" s="32">
        <f>IF(DI205="","",VLOOKUP(DI205,'PPI USA'!$S:$T,2,FALSE))</f>
        <v>175.1</v>
      </c>
      <c r="DL205" s="32">
        <f>IF(DI205="","",VLOOKUP(DI205,'CPI USA'!$T:$V,3,FALSE))</f>
        <v>0.66730871354337351</v>
      </c>
      <c r="DM205" s="32">
        <f>IF(DI205="","",VLOOKUP(DI205,'CPI USA'!$T:$X,5,FALSE))</f>
        <v>0.49513551903851311</v>
      </c>
      <c r="DN205" s="32">
        <f t="shared" si="33"/>
        <v>1.3897894616766442</v>
      </c>
      <c r="DO205" s="32">
        <f t="shared" si="34"/>
        <v>1.4008620811189902</v>
      </c>
      <c r="DP205" s="32">
        <f t="shared" si="35"/>
        <v>0.35313304512522947</v>
      </c>
      <c r="DQ205" s="32">
        <f>IF(DP205="","",DP205*$DO$1/'CPI USA'!$U$508+(1-DP205)*AVERAGE($DO$1,$DQ$1)/AVERAGE('CPI USA'!$U$508,'PPI USA'!$T$514))</f>
        <v>1.165108534589848</v>
      </c>
      <c r="DR205" s="6">
        <f t="shared" si="36"/>
        <v>210038</v>
      </c>
      <c r="DS205" s="32">
        <f t="shared" si="37"/>
        <v>0.43320112776914971</v>
      </c>
      <c r="DT205" s="28">
        <f>IF(DS205="","",DS205*$DO$1/'CPI USA'!$U$508+(1-DS205)*AVERAGE($DO$1,$DQ$1)/AVERAGE('CPI USA'!$U$508,'PPI USA'!$T$514))</f>
        <v>1.1603760515634891</v>
      </c>
      <c r="DU205" s="6">
        <f t="shared" si="38"/>
        <v>1986395</v>
      </c>
      <c r="DV205" s="6">
        <f t="shared" si="39"/>
        <v>7486.4709344647054</v>
      </c>
      <c r="DW205" s="6">
        <f t="shared" si="40"/>
        <v>1137455.9193573862</v>
      </c>
      <c r="DX205" s="16">
        <f t="shared" si="41"/>
        <v>0.2</v>
      </c>
      <c r="DY205" s="28">
        <f>IF(DX205="","",DX205*$DO$1/'CPI USA'!$U$508+(1-DX205)*AVERAGE($DO$1,$DQ$1)/AVERAGE('CPI USA'!$U$508,'PPI USA'!$T$514))</f>
        <v>1.1741595760647974</v>
      </c>
      <c r="DZ205" s="30"/>
      <c r="EA205" s="45" t="str">
        <f t="shared" si="42"/>
        <v>C010432</v>
      </c>
      <c r="EB205" s="29">
        <v>0</v>
      </c>
      <c r="EC205" s="29">
        <f t="shared" si="44"/>
        <v>18816581.810995191</v>
      </c>
      <c r="ED205" s="29">
        <f t="shared" si="45"/>
        <v>8441746.1179208253</v>
      </c>
      <c r="EE205" s="29">
        <f t="shared" si="46"/>
        <v>562609.48897660931</v>
      </c>
      <c r="EF205" s="29">
        <f t="shared" si="47"/>
        <v>6749186.6437621992</v>
      </c>
      <c r="EG205" s="29">
        <f t="shared" si="48"/>
        <v>708</v>
      </c>
      <c r="EH205" s="29">
        <f t="shared" si="49"/>
        <v>13320</v>
      </c>
      <c r="EI205" s="29">
        <f t="shared" si="50"/>
        <v>103625</v>
      </c>
      <c r="EJ205" s="29">
        <f t="shared" si="51"/>
        <v>5164127</v>
      </c>
      <c r="EK205" s="29">
        <f t="shared" si="52"/>
        <v>5267752</v>
      </c>
      <c r="EL205" s="29">
        <f>IF(CD205=1,VLOOKUP(EA205,'EIA 2021'!$A$2:$J$213,4,0)*EH205,"")</f>
        <v>2161303.1999999997</v>
      </c>
      <c r="EM205" s="29">
        <f>IF(CD205=1,VLOOKUP(EA205,'EIA 2021'!$A$2:$J$213,7,0)*EH205,"")</f>
        <v>18914.399999999998</v>
      </c>
      <c r="EN205" s="29">
        <f>IF(CD205=1,VLOOKUP(EA205,'EIA 2021'!$A$2:$J$213,10,0),"")</f>
        <v>115</v>
      </c>
      <c r="EO205" s="28">
        <f>IF(CD205=1,VLOOKUP(EA205,'EIA 2021'!$A$2:$Z$213,26,0),"")</f>
        <v>0</v>
      </c>
      <c r="EP205" s="23">
        <f t="shared" si="53"/>
        <v>1.9671579072059582E-2</v>
      </c>
      <c r="EQ205" s="32">
        <f t="shared" si="54"/>
        <v>0</v>
      </c>
      <c r="ER205" s="32">
        <f t="shared" si="55"/>
        <v>103625</v>
      </c>
      <c r="ES205" s="6"/>
      <c r="ET205" s="32"/>
    </row>
    <row r="206" spans="1:150" ht="15.75" customHeight="1">
      <c r="A206" s="7" t="s">
        <v>820</v>
      </c>
      <c r="B206" s="7" t="s">
        <v>821</v>
      </c>
      <c r="C206" s="32" t="s">
        <v>822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40">
        <f>IFERROR(VLOOKUP(A206,'Trans 21-23'!$A$2:$J$229,6,0),0)</f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95448</v>
      </c>
      <c r="AE206" s="41">
        <v>0</v>
      </c>
      <c r="AF206" s="41">
        <v>318620</v>
      </c>
      <c r="AG206" s="41">
        <v>0</v>
      </c>
      <c r="AH206" s="41">
        <v>0</v>
      </c>
      <c r="AI206" s="41">
        <v>0</v>
      </c>
      <c r="AJ206" s="41">
        <v>0</v>
      </c>
      <c r="AK206" s="41">
        <v>0</v>
      </c>
      <c r="AL206" s="41">
        <v>0</v>
      </c>
      <c r="AM206" s="41">
        <v>0</v>
      </c>
      <c r="AN206" s="41">
        <v>0</v>
      </c>
      <c r="AO206" s="41">
        <v>0</v>
      </c>
      <c r="AP206" s="41">
        <v>0</v>
      </c>
      <c r="AQ206" s="41">
        <v>0</v>
      </c>
      <c r="AR206" s="41">
        <v>0</v>
      </c>
      <c r="AS206" s="41">
        <v>0</v>
      </c>
      <c r="AT206" s="41">
        <v>0</v>
      </c>
      <c r="AU206" s="41">
        <v>68</v>
      </c>
      <c r="AV206" s="41">
        <v>0</v>
      </c>
      <c r="AW206" s="41">
        <v>0</v>
      </c>
      <c r="AX206" s="41">
        <v>0</v>
      </c>
      <c r="AY206" s="41">
        <v>0</v>
      </c>
      <c r="AZ206" s="41">
        <v>0</v>
      </c>
      <c r="BA206" s="41">
        <v>0</v>
      </c>
      <c r="BB206" s="41">
        <v>0</v>
      </c>
      <c r="BC206" s="41">
        <v>0</v>
      </c>
      <c r="BD206" s="41">
        <v>0</v>
      </c>
      <c r="BE206" s="41">
        <v>0</v>
      </c>
      <c r="BF206" s="41">
        <v>0</v>
      </c>
      <c r="BG206" s="41">
        <v>0</v>
      </c>
      <c r="BH206" s="41">
        <v>0</v>
      </c>
      <c r="BI206" s="41">
        <v>0</v>
      </c>
      <c r="BJ206" s="41">
        <v>0</v>
      </c>
      <c r="BK206" s="41">
        <v>0</v>
      </c>
      <c r="BL206" s="41">
        <v>0</v>
      </c>
      <c r="BM206" s="41">
        <v>0</v>
      </c>
      <c r="BN206" s="41">
        <v>0</v>
      </c>
      <c r="BO206" s="41">
        <v>0</v>
      </c>
      <c r="BP206" s="41">
        <v>0</v>
      </c>
      <c r="BQ206" s="41">
        <v>0</v>
      </c>
      <c r="BR206" s="41">
        <v>0</v>
      </c>
      <c r="BS206" s="42">
        <f>IFERROR(VLOOKUP(A206,'Trans 21-23'!$A$2:$J$229,5,0),0)</f>
        <v>0</v>
      </c>
      <c r="BT206" s="43"/>
      <c r="BU206" s="6">
        <f t="shared" si="0"/>
        <v>0</v>
      </c>
      <c r="BV206" s="6">
        <f t="shared" si="1"/>
        <v>68</v>
      </c>
      <c r="BW206" s="6">
        <f t="shared" si="2"/>
        <v>0</v>
      </c>
      <c r="BX206" s="6">
        <f t="shared" si="3"/>
        <v>0</v>
      </c>
      <c r="BY206" s="6">
        <f t="shared" si="4"/>
        <v>0</v>
      </c>
      <c r="BZ206" s="6">
        <f t="shared" si="5"/>
        <v>0</v>
      </c>
      <c r="CA206" s="6">
        <f t="shared" si="6"/>
        <v>95448</v>
      </c>
      <c r="CB206" s="6">
        <f t="shared" si="7"/>
        <v>0</v>
      </c>
      <c r="CC206" s="6">
        <f t="shared" si="8"/>
        <v>0</v>
      </c>
      <c r="CD206" s="6">
        <f t="shared" si="88"/>
        <v>0</v>
      </c>
      <c r="CE206" s="44">
        <f t="shared" si="10"/>
        <v>65</v>
      </c>
      <c r="CF206" s="27"/>
      <c r="CG206" s="28" t="str">
        <f t="shared" si="11"/>
        <v/>
      </c>
      <c r="CH206" s="28" t="str">
        <f t="shared" si="12"/>
        <v/>
      </c>
      <c r="CI206" s="28" t="str">
        <f t="shared" si="13"/>
        <v/>
      </c>
      <c r="CJ206" s="28" t="str">
        <f t="shared" si="14"/>
        <v/>
      </c>
      <c r="CK206" s="23" t="str">
        <f t="shared" si="15"/>
        <v/>
      </c>
      <c r="CL206" s="29" t="str">
        <f t="shared" si="16"/>
        <v/>
      </c>
      <c r="CM206" s="29" t="str">
        <f t="shared" si="66"/>
        <v/>
      </c>
      <c r="CN206" s="29" t="str">
        <f t="shared" si="18"/>
        <v/>
      </c>
      <c r="CO206" s="29" t="str">
        <f t="shared" si="19"/>
        <v/>
      </c>
      <c r="CP206" s="29" t="str">
        <f t="shared" si="20"/>
        <v/>
      </c>
      <c r="CQ206" s="29">
        <f t="shared" si="21"/>
        <v>0</v>
      </c>
      <c r="CR206" s="13"/>
      <c r="CS206" s="7" t="str">
        <f>VLOOKUP(A206,'Empresas 21-23'!$A$2:$M$228,13,0)</f>
        <v/>
      </c>
      <c r="CT206" s="30"/>
      <c r="CU206" s="6">
        <f t="shared" si="22"/>
        <v>0</v>
      </c>
      <c r="CV206" s="6">
        <f t="shared" si="23"/>
        <v>0</v>
      </c>
      <c r="CW206" s="6">
        <f t="shared" si="24"/>
        <v>0</v>
      </c>
      <c r="CX206" s="23" t="str">
        <f>IFERROR(CU206/(BC206-BD206),"")</f>
        <v/>
      </c>
      <c r="CY206" s="23" t="str">
        <f>IFERROR(CV206/(BC206-BD206),"")</f>
        <v/>
      </c>
      <c r="CZ206" s="6" t="e">
        <f t="shared" si="25"/>
        <v>#VALUE!</v>
      </c>
      <c r="DA206" s="6" t="e">
        <f t="shared" si="26"/>
        <v>#VALUE!</v>
      </c>
      <c r="DB206" s="6">
        <f t="shared" si="27"/>
        <v>0</v>
      </c>
      <c r="DC206" s="6">
        <f t="shared" si="28"/>
        <v>0</v>
      </c>
      <c r="DD206" s="6">
        <f t="shared" si="29"/>
        <v>0</v>
      </c>
      <c r="DE206" s="6">
        <f t="shared" si="30"/>
        <v>95448</v>
      </c>
      <c r="DF206" s="6">
        <f t="shared" si="91"/>
        <v>0</v>
      </c>
      <c r="DG206" s="30"/>
      <c r="DH206" s="32" t="str">
        <f>VLOOKUP(A206,'T_med_comp-USA'!$A$7:$Q$233,17,0)</f>
        <v>-</v>
      </c>
      <c r="DI206" s="6" t="str">
        <f t="shared" si="32"/>
        <v/>
      </c>
      <c r="DJ206" s="32" t="str">
        <f>IF(DI206="","",VLOOKUP(DI206,'CPI USA'!$T:$U,2,FALSE))</f>
        <v/>
      </c>
      <c r="DK206" s="32" t="str">
        <f>IF(DI206="","",VLOOKUP(DI206,'PPI USA'!$S:$T,2,FALSE))</f>
        <v/>
      </c>
      <c r="DL206" s="32" t="str">
        <f>IF(DI206="","",VLOOKUP(DI206,'CPI USA'!$T:$V,3,FALSE))</f>
        <v/>
      </c>
      <c r="DM206" s="32" t="str">
        <f>IF(DI206="","",VLOOKUP(DI206,'CPI USA'!$T:$X,5,FALSE))</f>
        <v/>
      </c>
      <c r="DN206" s="32" t="str">
        <f t="shared" si="33"/>
        <v/>
      </c>
      <c r="DO206" s="32" t="str">
        <f t="shared" si="34"/>
        <v/>
      </c>
      <c r="DP206" s="32" t="str">
        <f t="shared" si="35"/>
        <v/>
      </c>
      <c r="DQ206" s="32" t="str">
        <f>IF(DP206="","",DP206*$DO$1/'CPI USA'!$U$508+(1-DP206)*AVERAGE($DO$1,$DQ$1)/AVERAGE('CPI USA'!$U$508,'PPI USA'!$T$514))</f>
        <v/>
      </c>
      <c r="DR206" s="6">
        <f t="shared" si="36"/>
        <v>0</v>
      </c>
      <c r="DS206" s="32" t="str">
        <f t="shared" si="37"/>
        <v/>
      </c>
      <c r="DT206" s="28" t="str">
        <f>IF(DS206="","",DS206*$DO$1/'CPI USA'!$U$508+(1-DS206)*AVERAGE($DO$1,$DQ$1)/AVERAGE('CPI USA'!$U$508,'PPI USA'!$T$514))</f>
        <v/>
      </c>
      <c r="DU206" s="6" t="str">
        <f t="shared" si="38"/>
        <v/>
      </c>
      <c r="DV206" s="6" t="str">
        <f t="shared" si="39"/>
        <v/>
      </c>
      <c r="DW206" s="6">
        <f t="shared" si="40"/>
        <v>0</v>
      </c>
      <c r="DX206" s="16" t="e">
        <f t="shared" si="41"/>
        <v>#VALUE!</v>
      </c>
      <c r="DY206" s="28" t="e">
        <f>IF(DX206="","",DX206*$DO$1/'CPI USA'!$U$508+(1-DX206)*AVERAGE($DO$1,$DQ$1)/AVERAGE('CPI USA'!$U$508,'PPI USA'!$T$514))</f>
        <v>#VALUE!</v>
      </c>
      <c r="DZ206" s="30"/>
      <c r="EA206" s="45" t="str">
        <f t="shared" si="42"/>
        <v>C010446</v>
      </c>
      <c r="EB206" s="29" t="str">
        <f t="shared" ref="EB206:EB221" si="94">IF(CD206=1,CZ206*DN206,"")</f>
        <v/>
      </c>
      <c r="EC206" s="29" t="str">
        <f t="shared" si="44"/>
        <v/>
      </c>
      <c r="ED206" s="29" t="str">
        <f t="shared" si="45"/>
        <v/>
      </c>
      <c r="EE206" s="29" t="str">
        <f t="shared" si="46"/>
        <v/>
      </c>
      <c r="EF206" s="29" t="str">
        <f t="shared" si="47"/>
        <v/>
      </c>
      <c r="EG206" s="29" t="str">
        <f t="shared" si="48"/>
        <v/>
      </c>
      <c r="EH206" s="29" t="str">
        <f t="shared" si="49"/>
        <v/>
      </c>
      <c r="EI206" s="29" t="str">
        <f t="shared" si="50"/>
        <v/>
      </c>
      <c r="EJ206" s="29" t="str">
        <f t="shared" si="51"/>
        <v/>
      </c>
      <c r="EK206" s="29" t="str">
        <f t="shared" si="52"/>
        <v/>
      </c>
      <c r="EL206" s="29" t="str">
        <f>IF(CD206=1,VLOOKUP(EA206,'EIA 2021'!$A$2:$J$213,4,0)*EH206,"")</f>
        <v/>
      </c>
      <c r="EM206" s="29" t="str">
        <f>IF(CD206=1,VLOOKUP(EA206,'EIA 2021'!$A$2:$J$213,7,0)*EH206,"")</f>
        <v/>
      </c>
      <c r="EN206" s="29" t="str">
        <f>IF(CD206=1,VLOOKUP(EA206,'EIA 2021'!$A$2:$J$213,10,0),"")</f>
        <v/>
      </c>
      <c r="EO206" s="28" t="str">
        <f>IF(CD206=1,VLOOKUP(EA206,'EIA 2021'!$A$2:$Z$213,26,0),"")</f>
        <v/>
      </c>
      <c r="EP206" s="23" t="str">
        <f t="shared" si="53"/>
        <v/>
      </c>
      <c r="EQ206" s="32" t="str">
        <f t="shared" si="54"/>
        <v/>
      </c>
      <c r="ER206" s="32" t="str">
        <f t="shared" si="55"/>
        <v/>
      </c>
      <c r="ES206" s="6"/>
      <c r="ET206" s="32"/>
    </row>
    <row r="207" spans="1:150" ht="15.75" customHeight="1">
      <c r="A207" s="7" t="s">
        <v>823</v>
      </c>
      <c r="B207" s="7" t="s">
        <v>824</v>
      </c>
      <c r="C207" s="32" t="s">
        <v>825</v>
      </c>
      <c r="D207" s="40">
        <v>0</v>
      </c>
      <c r="E207" s="40">
        <v>0</v>
      </c>
      <c r="F207" s="40">
        <v>0</v>
      </c>
      <c r="G207" s="40">
        <v>11240000</v>
      </c>
      <c r="H207" s="40">
        <v>11240000</v>
      </c>
      <c r="I207" s="40">
        <v>441600</v>
      </c>
      <c r="J207" s="40">
        <v>92000</v>
      </c>
      <c r="K207" s="40">
        <v>0</v>
      </c>
      <c r="L207" s="40">
        <v>734900</v>
      </c>
      <c r="M207" s="40">
        <v>158000</v>
      </c>
      <c r="N207" s="40">
        <v>46000</v>
      </c>
      <c r="O207" s="40">
        <v>588100</v>
      </c>
      <c r="P207" s="40">
        <v>0</v>
      </c>
      <c r="Q207" s="40">
        <v>0</v>
      </c>
      <c r="R207" s="40">
        <v>0</v>
      </c>
      <c r="S207" s="40">
        <v>6700</v>
      </c>
      <c r="T207" s="40">
        <v>0</v>
      </c>
      <c r="U207" s="40">
        <v>4800</v>
      </c>
      <c r="V207" s="40">
        <v>3100</v>
      </c>
      <c r="W207" s="40">
        <v>669600</v>
      </c>
      <c r="X207" s="40">
        <f>IFERROR(VLOOKUP(A207,'Trans 21-23'!$A$2:$J$229,6,0),0)</f>
        <v>0</v>
      </c>
      <c r="Y207" s="41">
        <v>101200</v>
      </c>
      <c r="Z207" s="41">
        <v>1000</v>
      </c>
      <c r="AA207" s="41">
        <v>646800</v>
      </c>
      <c r="AB207" s="41">
        <v>0</v>
      </c>
      <c r="AC207" s="41">
        <v>49100</v>
      </c>
      <c r="AD207" s="41">
        <v>8664700</v>
      </c>
      <c r="AE207" s="41">
        <v>0</v>
      </c>
      <c r="AF207" s="41">
        <v>23540000</v>
      </c>
      <c r="AG207" s="41">
        <v>24598</v>
      </c>
      <c r="AH207" s="41">
        <v>21672</v>
      </c>
      <c r="AI207" s="41">
        <v>155900</v>
      </c>
      <c r="AJ207" s="41">
        <v>522</v>
      </c>
      <c r="AK207" s="41">
        <v>0</v>
      </c>
      <c r="AL207" s="41">
        <v>87207</v>
      </c>
      <c r="AM207" s="41">
        <v>33196</v>
      </c>
      <c r="AN207" s="41">
        <v>13344</v>
      </c>
      <c r="AO207" s="41">
        <v>41</v>
      </c>
      <c r="AP207" s="41">
        <v>0</v>
      </c>
      <c r="AQ207" s="41">
        <v>133706</v>
      </c>
      <c r="AR207" s="41">
        <v>0</v>
      </c>
      <c r="AS207" s="41">
        <v>133706</v>
      </c>
      <c r="AT207" s="41">
        <v>0</v>
      </c>
      <c r="AU207" s="41">
        <v>34</v>
      </c>
      <c r="AV207" s="41">
        <v>0</v>
      </c>
      <c r="AW207" s="41">
        <v>10760500</v>
      </c>
      <c r="AX207" s="41">
        <v>8824600</v>
      </c>
      <c r="AY207" s="41">
        <v>11671700</v>
      </c>
      <c r="AZ207" s="41">
        <v>5777300</v>
      </c>
      <c r="BA207" s="41">
        <v>529400</v>
      </c>
      <c r="BB207" s="41">
        <v>75904900</v>
      </c>
      <c r="BC207" s="41">
        <v>114838000</v>
      </c>
      <c r="BD207" s="41">
        <v>12157500</v>
      </c>
      <c r="BE207" s="41">
        <v>32169000</v>
      </c>
      <c r="BF207" s="41">
        <v>1638000</v>
      </c>
      <c r="BG207" s="41">
        <v>0</v>
      </c>
      <c r="BH207" s="41">
        <v>1529000</v>
      </c>
      <c r="BI207" s="41">
        <v>120000</v>
      </c>
      <c r="BJ207" s="41">
        <v>184000</v>
      </c>
      <c r="BK207" s="41">
        <v>189000</v>
      </c>
      <c r="BL207" s="41">
        <v>0</v>
      </c>
      <c r="BM207" s="41">
        <v>1412000</v>
      </c>
      <c r="BN207" s="41">
        <v>3462000</v>
      </c>
      <c r="BO207" s="41">
        <v>0</v>
      </c>
      <c r="BP207" s="41">
        <v>0</v>
      </c>
      <c r="BQ207" s="41">
        <v>5495000</v>
      </c>
      <c r="BR207" s="41">
        <v>0</v>
      </c>
      <c r="BS207" s="42">
        <f>IFERROR(VLOOKUP(A207,'Trans 21-23'!$A$2:$J$229,5,0),0)</f>
        <v>0</v>
      </c>
      <c r="BT207" s="43"/>
      <c r="BU207" s="6">
        <f t="shared" si="0"/>
        <v>75904900</v>
      </c>
      <c r="BV207" s="6">
        <f t="shared" si="1"/>
        <v>34</v>
      </c>
      <c r="BW207" s="6">
        <f t="shared" si="2"/>
        <v>24598</v>
      </c>
      <c r="BX207" s="6">
        <f t="shared" si="3"/>
        <v>2744800</v>
      </c>
      <c r="BY207" s="6">
        <f t="shared" si="4"/>
        <v>798100</v>
      </c>
      <c r="BZ207" s="6">
        <f t="shared" si="5"/>
        <v>5777300</v>
      </c>
      <c r="CA207" s="6">
        <f t="shared" si="6"/>
        <v>8664700</v>
      </c>
      <c r="CB207" s="6">
        <f t="shared" si="7"/>
        <v>21672</v>
      </c>
      <c r="CC207" s="6">
        <f t="shared" si="8"/>
        <v>133706</v>
      </c>
      <c r="CD207" s="6">
        <f t="shared" si="88"/>
        <v>1</v>
      </c>
      <c r="CE207" s="44">
        <f t="shared" si="10"/>
        <v>22</v>
      </c>
      <c r="CF207" s="27"/>
      <c r="CG207" s="28">
        <f t="shared" si="11"/>
        <v>2232.4970588235296</v>
      </c>
      <c r="CH207" s="28">
        <f t="shared" si="12"/>
        <v>1.3822261972518091</v>
      </c>
      <c r="CI207" s="28">
        <f t="shared" si="13"/>
        <v>111.58630782990487</v>
      </c>
      <c r="CJ207" s="28">
        <f t="shared" si="14"/>
        <v>234.86868851126107</v>
      </c>
      <c r="CK207" s="23">
        <f t="shared" si="15"/>
        <v>0.16208696692743782</v>
      </c>
      <c r="CL207" s="29" t="str">
        <f t="shared" si="16"/>
        <v/>
      </c>
      <c r="CM207" s="29" t="str">
        <f t="shared" si="66"/>
        <v/>
      </c>
      <c r="CN207" s="29" t="str">
        <f t="shared" si="18"/>
        <v/>
      </c>
      <c r="CO207" s="29" t="str">
        <f t="shared" si="19"/>
        <v/>
      </c>
      <c r="CP207" s="29" t="str">
        <f t="shared" si="20"/>
        <v/>
      </c>
      <c r="CQ207" s="29">
        <f t="shared" si="21"/>
        <v>0</v>
      </c>
      <c r="CR207" s="13"/>
      <c r="CS207" s="7" t="str">
        <f>VLOOKUP(A207,'Empresas 21-23'!$A$2:$M$228,13,0)</f>
        <v/>
      </c>
      <c r="CT207" s="30"/>
      <c r="CU207" s="6">
        <f t="shared" si="22"/>
        <v>57300420</v>
      </c>
      <c r="CV207" s="6">
        <f t="shared" si="23"/>
        <v>5777300</v>
      </c>
      <c r="CW207" s="6">
        <f t="shared" si="24"/>
        <v>12157500</v>
      </c>
      <c r="CX207" s="23">
        <f t="shared" ref="CX207:CX216" si="95">CU207/(BC207-BD207)</f>
        <v>0.55804578279225359</v>
      </c>
      <c r="CY207" s="23">
        <f t="shared" ref="CY207:CY216" si="96">CV207/(BC207-BD207)</f>
        <v>5.6264821460744741E-2</v>
      </c>
      <c r="CZ207" s="6">
        <f t="shared" si="25"/>
        <v>64084861.604296826</v>
      </c>
      <c r="DA207" s="6">
        <f t="shared" si="26"/>
        <v>6461339.566909004</v>
      </c>
      <c r="DB207" s="6">
        <f t="shared" si="27"/>
        <v>2744800</v>
      </c>
      <c r="DC207" s="6">
        <f t="shared" si="28"/>
        <v>2744800</v>
      </c>
      <c r="DD207" s="6">
        <f t="shared" si="29"/>
        <v>798100</v>
      </c>
      <c r="DE207" s="6">
        <f t="shared" si="30"/>
        <v>8664700</v>
      </c>
      <c r="DF207" s="6">
        <f t="shared" si="91"/>
        <v>8444465.5544246696</v>
      </c>
      <c r="DG207" s="30"/>
      <c r="DH207" s="32">
        <f>VLOOKUP(A207,'T_med_comp-USA'!$A$7:$Q$233,17,0)</f>
        <v>17.21004292946968</v>
      </c>
      <c r="DI207" s="6" t="str">
        <f t="shared" si="32"/>
        <v>10_2004</v>
      </c>
      <c r="DJ207" s="32">
        <f>IF(DI207="","",VLOOKUP(DI207,'CPI USA'!$T:$U,2,FALSE))</f>
        <v>188.9</v>
      </c>
      <c r="DK207" s="32">
        <f>IF(DI207="","",VLOOKUP(DI207,'PPI USA'!$S:$T,2,FALSE))</f>
        <v>123.7</v>
      </c>
      <c r="DL207" s="32">
        <f>IF(DI207="","",VLOOKUP(DI207,'CPI USA'!$T:$V,3,FALSE))</f>
        <v>0.68116912558338294</v>
      </c>
      <c r="DM207" s="32">
        <f>IF(DI207="","",VLOOKUP(DI207,'CPI USA'!$T:$X,5,FALSE))</f>
        <v>0.51091164550905577</v>
      </c>
      <c r="DN207" s="32">
        <f t="shared" si="33"/>
        <v>1.7242718973721483</v>
      </c>
      <c r="DO207" s="32">
        <f t="shared" si="34"/>
        <v>1.7568944717328012</v>
      </c>
      <c r="DP207" s="32">
        <f t="shared" si="35"/>
        <v>0.55705333721946959</v>
      </c>
      <c r="DQ207" s="32">
        <f>IF(DP207="","",DP207*$DO$1/'CPI USA'!$U$508+(1-DP207)*AVERAGE($DO$1,$DQ$1)/AVERAGE('CPI USA'!$U$508,'PPI USA'!$T$514))</f>
        <v>1.1530556754579773</v>
      </c>
      <c r="DR207" s="6">
        <f t="shared" si="36"/>
        <v>493000</v>
      </c>
      <c r="DS207" s="32">
        <f t="shared" si="37"/>
        <v>0.61771707806039344</v>
      </c>
      <c r="DT207" s="28">
        <f>IF(DS207="","",DS207*$DO$1/'CPI USA'!$U$508+(1-DS207)*AVERAGE($DO$1,$DQ$1)/AVERAGE('CPI USA'!$U$508,'PPI USA'!$T$514))</f>
        <v>1.1494701003528276</v>
      </c>
      <c r="DU207" s="6">
        <f t="shared" si="38"/>
        <v>1412000</v>
      </c>
      <c r="DV207" s="6">
        <f t="shared" si="39"/>
        <v>0</v>
      </c>
      <c r="DW207" s="6">
        <f t="shared" si="40"/>
        <v>824686.30849220103</v>
      </c>
      <c r="DX207" s="16">
        <f t="shared" si="41"/>
        <v>0.2</v>
      </c>
      <c r="DY207" s="28">
        <f>IF(DX207="","",DX207*$DO$1/'CPI USA'!$U$508+(1-DX207)*AVERAGE($DO$1,$DQ$1)/AVERAGE('CPI USA'!$U$508,'PPI USA'!$T$514))</f>
        <v>1.1741595760647974</v>
      </c>
      <c r="DZ207" s="30"/>
      <c r="EA207" s="45" t="str">
        <f t="shared" si="42"/>
        <v>C010464</v>
      </c>
      <c r="EB207" s="29">
        <f t="shared" si="94"/>
        <v>110499725.91127242</v>
      </c>
      <c r="EC207" s="29">
        <f t="shared" si="44"/>
        <v>11351891.765090842</v>
      </c>
      <c r="ED207" s="29">
        <f t="shared" si="45"/>
        <v>3164907.217997056</v>
      </c>
      <c r="EE207" s="29">
        <f t="shared" si="46"/>
        <v>917392.08709159167</v>
      </c>
      <c r="EF207" s="29">
        <f t="shared" si="47"/>
        <v>9915150.0954770539</v>
      </c>
      <c r="EG207" s="29">
        <f t="shared" si="48"/>
        <v>34</v>
      </c>
      <c r="EH207" s="29">
        <f t="shared" si="49"/>
        <v>24598</v>
      </c>
      <c r="EI207" s="29">
        <f t="shared" si="50"/>
        <v>21672</v>
      </c>
      <c r="EJ207" s="29">
        <f t="shared" si="51"/>
        <v>133706</v>
      </c>
      <c r="EK207" s="29">
        <f t="shared" si="52"/>
        <v>155378</v>
      </c>
      <c r="EL207" s="29">
        <f>IF(CD207=1,VLOOKUP(EA207,'EIA 2021'!$A$2:$J$213,4,0)*EH207,"")</f>
        <v>2289089.88</v>
      </c>
      <c r="EM207" s="29">
        <f>IF(CD207=1,VLOOKUP(EA207,'EIA 2021'!$A$2:$J$213,7,0)*EH207,"")</f>
        <v>139224.68</v>
      </c>
      <c r="EN207" s="29">
        <f>IF(CD207=1,VLOOKUP(EA207,'EIA 2021'!$A$2:$J$213,10,0),"")</f>
        <v>24920</v>
      </c>
      <c r="EO207" s="28">
        <f>IF(CD207=1,VLOOKUP(EA207,'EIA 2021'!$A$2:$Z$213,26,0),"")</f>
        <v>0</v>
      </c>
      <c r="EP207" s="23">
        <f t="shared" si="53"/>
        <v>0.1394792055503353</v>
      </c>
      <c r="EQ207" s="32">
        <f t="shared" si="54"/>
        <v>0</v>
      </c>
      <c r="ER207" s="32">
        <f t="shared" si="55"/>
        <v>21672</v>
      </c>
      <c r="ES207" s="6"/>
      <c r="ET207" s="32"/>
    </row>
    <row r="208" spans="1:150" ht="15.75" customHeight="1">
      <c r="A208" s="7" t="s">
        <v>826</v>
      </c>
      <c r="B208" s="7" t="s">
        <v>827</v>
      </c>
      <c r="C208" s="32" t="s">
        <v>828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f>IFERROR(VLOOKUP(A208,'Trans 21-23'!$A$2:$J$229,6,0),0)</f>
        <v>0</v>
      </c>
      <c r="Y208" s="41">
        <v>0</v>
      </c>
      <c r="Z208" s="41">
        <v>0</v>
      </c>
      <c r="AA208" s="41">
        <v>0</v>
      </c>
      <c r="AB208" s="41">
        <v>0</v>
      </c>
      <c r="AC208" s="41">
        <v>0</v>
      </c>
      <c r="AD208" s="41">
        <v>605829</v>
      </c>
      <c r="AE208" s="41">
        <v>0</v>
      </c>
      <c r="AF208" s="41">
        <v>778084</v>
      </c>
      <c r="AG208" s="41">
        <v>0</v>
      </c>
      <c r="AH208" s="41">
        <v>0</v>
      </c>
      <c r="AI208" s="41">
        <v>0</v>
      </c>
      <c r="AJ208" s="41">
        <v>0</v>
      </c>
      <c r="AK208" s="41">
        <v>0</v>
      </c>
      <c r="AL208" s="41">
        <v>0</v>
      </c>
      <c r="AM208" s="41">
        <v>0</v>
      </c>
      <c r="AN208" s="41">
        <v>0</v>
      </c>
      <c r="AO208" s="41">
        <v>0</v>
      </c>
      <c r="AP208" s="41">
        <v>0</v>
      </c>
      <c r="AQ208" s="41">
        <v>0</v>
      </c>
      <c r="AR208" s="41">
        <v>0</v>
      </c>
      <c r="AS208" s="41">
        <v>0</v>
      </c>
      <c r="AT208" s="41">
        <v>0</v>
      </c>
      <c r="AU208" s="41">
        <v>0</v>
      </c>
      <c r="AV208" s="41">
        <v>0</v>
      </c>
      <c r="AW208" s="41">
        <v>0</v>
      </c>
      <c r="AX208" s="41">
        <v>0</v>
      </c>
      <c r="AY208" s="41">
        <v>0</v>
      </c>
      <c r="AZ208" s="41">
        <v>0</v>
      </c>
      <c r="BA208" s="41">
        <v>0</v>
      </c>
      <c r="BB208" s="41">
        <v>0</v>
      </c>
      <c r="BC208" s="41">
        <v>59000793</v>
      </c>
      <c r="BD208" s="41">
        <v>0</v>
      </c>
      <c r="BE208" s="41">
        <v>0</v>
      </c>
      <c r="BF208" s="41">
        <v>0</v>
      </c>
      <c r="BG208" s="41">
        <v>0</v>
      </c>
      <c r="BH208" s="41">
        <v>0</v>
      </c>
      <c r="BI208" s="41">
        <v>0</v>
      </c>
      <c r="BJ208" s="41">
        <v>0</v>
      </c>
      <c r="BK208" s="41">
        <v>0</v>
      </c>
      <c r="BL208" s="41">
        <v>0</v>
      </c>
      <c r="BM208" s="41">
        <v>0</v>
      </c>
      <c r="BN208" s="41">
        <v>0</v>
      </c>
      <c r="BO208" s="41">
        <v>0</v>
      </c>
      <c r="BP208" s="41">
        <v>0</v>
      </c>
      <c r="BQ208" s="41">
        <v>0</v>
      </c>
      <c r="BR208" s="41">
        <v>0</v>
      </c>
      <c r="BS208" s="42">
        <f>IFERROR(VLOOKUP(A208,'Trans 21-23'!$A$2:$J$229,5,0),0)</f>
        <v>0</v>
      </c>
      <c r="BT208" s="43"/>
      <c r="BU208" s="6">
        <f t="shared" si="0"/>
        <v>0</v>
      </c>
      <c r="BV208" s="6">
        <f t="shared" si="1"/>
        <v>0</v>
      </c>
      <c r="BW208" s="6">
        <f t="shared" si="2"/>
        <v>0</v>
      </c>
      <c r="BX208" s="6">
        <f t="shared" si="3"/>
        <v>0</v>
      </c>
      <c r="BY208" s="6">
        <f t="shared" si="4"/>
        <v>0</v>
      </c>
      <c r="BZ208" s="6">
        <f t="shared" si="5"/>
        <v>0</v>
      </c>
      <c r="CA208" s="6">
        <f t="shared" si="6"/>
        <v>605829</v>
      </c>
      <c r="CB208" s="6">
        <f t="shared" si="7"/>
        <v>0</v>
      </c>
      <c r="CC208" s="6">
        <f t="shared" si="8"/>
        <v>0</v>
      </c>
      <c r="CD208" s="6">
        <f t="shared" si="88"/>
        <v>0</v>
      </c>
      <c r="CE208" s="44">
        <f t="shared" si="10"/>
        <v>65</v>
      </c>
      <c r="CF208" s="27"/>
      <c r="CG208" s="28" t="str">
        <f t="shared" si="11"/>
        <v/>
      </c>
      <c r="CH208" s="28" t="str">
        <f t="shared" si="12"/>
        <v/>
      </c>
      <c r="CI208" s="28" t="str">
        <f t="shared" si="13"/>
        <v/>
      </c>
      <c r="CJ208" s="28" t="str">
        <f t="shared" si="14"/>
        <v/>
      </c>
      <c r="CK208" s="23" t="str">
        <f t="shared" si="15"/>
        <v/>
      </c>
      <c r="CL208" s="29" t="str">
        <f t="shared" si="16"/>
        <v/>
      </c>
      <c r="CM208" s="29" t="str">
        <f t="shared" si="66"/>
        <v/>
      </c>
      <c r="CN208" s="29" t="str">
        <f t="shared" si="18"/>
        <v/>
      </c>
      <c r="CO208" s="29" t="str">
        <f t="shared" si="19"/>
        <v/>
      </c>
      <c r="CP208" s="29" t="str">
        <f t="shared" si="20"/>
        <v/>
      </c>
      <c r="CQ208" s="29">
        <f t="shared" si="21"/>
        <v>0</v>
      </c>
      <c r="CR208" s="13"/>
      <c r="CS208" s="7" t="str">
        <f>VLOOKUP(A208,'Empresas 21-23'!$A$2:$M$228,13,0)</f>
        <v/>
      </c>
      <c r="CT208" s="30"/>
      <c r="CU208" s="6">
        <f t="shared" si="22"/>
        <v>0</v>
      </c>
      <c r="CV208" s="6">
        <f t="shared" si="23"/>
        <v>0</v>
      </c>
      <c r="CW208" s="6">
        <f t="shared" si="24"/>
        <v>0</v>
      </c>
      <c r="CX208" s="23">
        <f t="shared" si="95"/>
        <v>0</v>
      </c>
      <c r="CY208" s="23">
        <f t="shared" si="96"/>
        <v>0</v>
      </c>
      <c r="CZ208" s="6">
        <f t="shared" si="25"/>
        <v>0</v>
      </c>
      <c r="DA208" s="6">
        <f t="shared" si="26"/>
        <v>0</v>
      </c>
      <c r="DB208" s="6">
        <f t="shared" si="27"/>
        <v>0</v>
      </c>
      <c r="DC208" s="6">
        <f t="shared" si="28"/>
        <v>0</v>
      </c>
      <c r="DD208" s="6">
        <f t="shared" si="29"/>
        <v>0</v>
      </c>
      <c r="DE208" s="6">
        <f t="shared" si="30"/>
        <v>605829</v>
      </c>
      <c r="DF208" s="6">
        <f t="shared" si="91"/>
        <v>0</v>
      </c>
      <c r="DG208" s="30"/>
      <c r="DH208" s="32" t="str">
        <f>VLOOKUP(A208,'T_med_comp-USA'!$A$7:$Q$233,17,0)</f>
        <v>-</v>
      </c>
      <c r="DI208" s="6" t="str">
        <f t="shared" si="32"/>
        <v/>
      </c>
      <c r="DJ208" s="32" t="str">
        <f>IF(DI208="","",VLOOKUP(DI208,'CPI USA'!$T:$U,2,FALSE))</f>
        <v/>
      </c>
      <c r="DK208" s="32" t="str">
        <f>IF(DI208="","",VLOOKUP(DI208,'PPI USA'!$S:$T,2,FALSE))</f>
        <v/>
      </c>
      <c r="DL208" s="32" t="str">
        <f>IF(DI208="","",VLOOKUP(DI208,'CPI USA'!$T:$V,3,FALSE))</f>
        <v/>
      </c>
      <c r="DM208" s="32" t="str">
        <f>IF(DI208="","",VLOOKUP(DI208,'CPI USA'!$T:$X,5,FALSE))</f>
        <v/>
      </c>
      <c r="DN208" s="32" t="str">
        <f t="shared" si="33"/>
        <v/>
      </c>
      <c r="DO208" s="32" t="str">
        <f t="shared" si="34"/>
        <v/>
      </c>
      <c r="DP208" s="32" t="str">
        <f t="shared" si="35"/>
        <v/>
      </c>
      <c r="DQ208" s="32" t="str">
        <f>IF(DP208="","",DP208*$DO$1/'CPI USA'!$U$508+(1-DP208)*AVERAGE($DO$1,$DQ$1)/AVERAGE('CPI USA'!$U$508,'PPI USA'!$T$514))</f>
        <v/>
      </c>
      <c r="DR208" s="6">
        <f t="shared" si="36"/>
        <v>0</v>
      </c>
      <c r="DS208" s="32" t="str">
        <f t="shared" si="37"/>
        <v/>
      </c>
      <c r="DT208" s="28" t="str">
        <f>IF(DS208="","",DS208*$DO$1/'CPI USA'!$U$508+(1-DS208)*AVERAGE($DO$1,$DQ$1)/AVERAGE('CPI USA'!$U$508,'PPI USA'!$T$514))</f>
        <v/>
      </c>
      <c r="DU208" s="6" t="str">
        <f t="shared" si="38"/>
        <v/>
      </c>
      <c r="DV208" s="6" t="str">
        <f t="shared" si="39"/>
        <v/>
      </c>
      <c r="DW208" s="6">
        <f t="shared" si="40"/>
        <v>0</v>
      </c>
      <c r="DX208" s="16" t="str">
        <f t="shared" si="41"/>
        <v/>
      </c>
      <c r="DY208" s="28" t="str">
        <f>IF(DX208="","",DX208*$DO$1/'CPI USA'!$U$508+(1-DX208)*AVERAGE($DO$1,$DQ$1)/AVERAGE('CPI USA'!$U$508,'PPI USA'!$T$514))</f>
        <v/>
      </c>
      <c r="DZ208" s="30"/>
      <c r="EA208" s="45" t="str">
        <f t="shared" si="42"/>
        <v>C010473</v>
      </c>
      <c r="EB208" s="29" t="str">
        <f t="shared" si="94"/>
        <v/>
      </c>
      <c r="EC208" s="29" t="str">
        <f t="shared" si="44"/>
        <v/>
      </c>
      <c r="ED208" s="29" t="str">
        <f t="shared" si="45"/>
        <v/>
      </c>
      <c r="EE208" s="29" t="str">
        <f t="shared" si="46"/>
        <v/>
      </c>
      <c r="EF208" s="29" t="str">
        <f t="shared" si="47"/>
        <v/>
      </c>
      <c r="EG208" s="29" t="str">
        <f t="shared" si="48"/>
        <v/>
      </c>
      <c r="EH208" s="29" t="str">
        <f t="shared" si="49"/>
        <v/>
      </c>
      <c r="EI208" s="29" t="str">
        <f t="shared" si="50"/>
        <v/>
      </c>
      <c r="EJ208" s="29" t="str">
        <f t="shared" si="51"/>
        <v/>
      </c>
      <c r="EK208" s="29" t="str">
        <f t="shared" si="52"/>
        <v/>
      </c>
      <c r="EL208" s="29" t="str">
        <f>IF(CD208=1,VLOOKUP(EA208,'EIA 2021'!$A$2:$J$213,4,0)*EH208,"")</f>
        <v/>
      </c>
      <c r="EM208" s="29" t="str">
        <f>IF(CD208=1,VLOOKUP(EA208,'EIA 2021'!$A$2:$J$213,7,0)*EH208,"")</f>
        <v/>
      </c>
      <c r="EN208" s="29" t="str">
        <f>IF(CD208=1,VLOOKUP(EA208,'EIA 2021'!$A$2:$J$213,10,0),"")</f>
        <v/>
      </c>
      <c r="EO208" s="28" t="str">
        <f>IF(CD208=1,VLOOKUP(EA208,'EIA 2021'!$A$2:$Z$213,26,0),"")</f>
        <v/>
      </c>
      <c r="EP208" s="23" t="str">
        <f t="shared" si="53"/>
        <v/>
      </c>
      <c r="EQ208" s="32" t="str">
        <f t="shared" si="54"/>
        <v/>
      </c>
      <c r="ER208" s="32" t="str">
        <f t="shared" si="55"/>
        <v/>
      </c>
      <c r="ES208" s="6"/>
      <c r="ET208" s="32"/>
    </row>
    <row r="209" spans="1:150" ht="15.75" customHeight="1">
      <c r="A209" s="7" t="s">
        <v>829</v>
      </c>
      <c r="B209" s="7" t="s">
        <v>830</v>
      </c>
      <c r="C209" s="32" t="s">
        <v>831</v>
      </c>
      <c r="D209" s="40">
        <v>0</v>
      </c>
      <c r="E209" s="40">
        <v>0</v>
      </c>
      <c r="F209" s="40">
        <v>0</v>
      </c>
      <c r="G209" s="40">
        <v>0</v>
      </c>
      <c r="H209" s="40">
        <v>0</v>
      </c>
      <c r="I209" s="40">
        <v>0</v>
      </c>
      <c r="J209" s="40">
        <v>0</v>
      </c>
      <c r="K209" s="40">
        <v>0</v>
      </c>
      <c r="L209" s="40">
        <v>0</v>
      </c>
      <c r="M209" s="40">
        <v>0</v>
      </c>
      <c r="N209" s="40">
        <v>0</v>
      </c>
      <c r="O209" s="40">
        <v>0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f>IFERROR(VLOOKUP(A209,'Trans 21-23'!$A$2:$J$229,6,0),0)</f>
        <v>0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41">
        <v>37237612</v>
      </c>
      <c r="AE209" s="41">
        <v>0</v>
      </c>
      <c r="AF209" s="41">
        <v>148040486</v>
      </c>
      <c r="AG209" s="41">
        <v>0</v>
      </c>
      <c r="AH209" s="41">
        <v>0</v>
      </c>
      <c r="AI209" s="41">
        <v>0</v>
      </c>
      <c r="AJ209" s="41">
        <v>0</v>
      </c>
      <c r="AK209" s="41">
        <v>0</v>
      </c>
      <c r="AL209" s="41">
        <v>0</v>
      </c>
      <c r="AM209" s="41">
        <v>0</v>
      </c>
      <c r="AN209" s="41">
        <v>0</v>
      </c>
      <c r="AO209" s="41">
        <v>0</v>
      </c>
      <c r="AP209" s="41">
        <v>0</v>
      </c>
      <c r="AQ209" s="41">
        <v>0</v>
      </c>
      <c r="AR209" s="41">
        <v>0</v>
      </c>
      <c r="AS209" s="41">
        <v>0</v>
      </c>
      <c r="AT209" s="41">
        <v>0</v>
      </c>
      <c r="AU209" s="41">
        <v>0</v>
      </c>
      <c r="AV209" s="41">
        <v>0</v>
      </c>
      <c r="AW209" s="41">
        <v>0</v>
      </c>
      <c r="AX209" s="41">
        <v>0</v>
      </c>
      <c r="AY209" s="41">
        <v>0</v>
      </c>
      <c r="AZ209" s="41">
        <v>0</v>
      </c>
      <c r="BA209" s="41">
        <v>0</v>
      </c>
      <c r="BB209" s="41">
        <v>0</v>
      </c>
      <c r="BC209" s="41">
        <v>7036257364</v>
      </c>
      <c r="BD209" s="41">
        <v>262668410</v>
      </c>
      <c r="BE209" s="41">
        <v>0</v>
      </c>
      <c r="BF209" s="41">
        <v>0</v>
      </c>
      <c r="BG209" s="41">
        <v>0</v>
      </c>
      <c r="BH209" s="41">
        <v>0</v>
      </c>
      <c r="BI209" s="41">
        <v>0</v>
      </c>
      <c r="BJ209" s="41">
        <v>0</v>
      </c>
      <c r="BK209" s="41">
        <v>0</v>
      </c>
      <c r="BL209" s="41">
        <v>0</v>
      </c>
      <c r="BM209" s="41">
        <v>36853182</v>
      </c>
      <c r="BN209" s="41">
        <v>99786670</v>
      </c>
      <c r="BO209" s="41">
        <v>35883060</v>
      </c>
      <c r="BP209" s="41">
        <v>0</v>
      </c>
      <c r="BQ209" s="41">
        <v>99786670</v>
      </c>
      <c r="BR209" s="41">
        <v>0</v>
      </c>
      <c r="BS209" s="42">
        <f>IFERROR(VLOOKUP(A209,'Trans 21-23'!$A$2:$J$229,5,0),0)</f>
        <v>0</v>
      </c>
      <c r="BT209" s="43"/>
      <c r="BU209" s="6">
        <f t="shared" si="0"/>
        <v>0</v>
      </c>
      <c r="BV209" s="6">
        <f t="shared" si="1"/>
        <v>0</v>
      </c>
      <c r="BW209" s="6">
        <f t="shared" si="2"/>
        <v>0</v>
      </c>
      <c r="BX209" s="6">
        <f t="shared" si="3"/>
        <v>0</v>
      </c>
      <c r="BY209" s="6">
        <f t="shared" si="4"/>
        <v>0</v>
      </c>
      <c r="BZ209" s="6">
        <f t="shared" si="5"/>
        <v>0</v>
      </c>
      <c r="CA209" s="6">
        <f t="shared" si="6"/>
        <v>37237612</v>
      </c>
      <c r="CB209" s="6">
        <f t="shared" si="7"/>
        <v>0</v>
      </c>
      <c r="CC209" s="6">
        <f t="shared" si="8"/>
        <v>0</v>
      </c>
      <c r="CD209" s="6">
        <f t="shared" si="88"/>
        <v>0</v>
      </c>
      <c r="CE209" s="44">
        <f t="shared" si="10"/>
        <v>60</v>
      </c>
      <c r="CF209" s="27"/>
      <c r="CG209" s="28" t="str">
        <f t="shared" si="11"/>
        <v/>
      </c>
      <c r="CH209" s="28" t="str">
        <f t="shared" si="12"/>
        <v/>
      </c>
      <c r="CI209" s="28" t="str">
        <f t="shared" si="13"/>
        <v/>
      </c>
      <c r="CJ209" s="28" t="str">
        <f t="shared" si="14"/>
        <v/>
      </c>
      <c r="CK209" s="23" t="str">
        <f t="shared" si="15"/>
        <v/>
      </c>
      <c r="CL209" s="29" t="str">
        <f t="shared" si="16"/>
        <v/>
      </c>
      <c r="CM209" s="29" t="str">
        <f t="shared" si="66"/>
        <v/>
      </c>
      <c r="CN209" s="29" t="str">
        <f t="shared" si="18"/>
        <v/>
      </c>
      <c r="CO209" s="29" t="str">
        <f t="shared" si="19"/>
        <v/>
      </c>
      <c r="CP209" s="29" t="str">
        <f t="shared" si="20"/>
        <v/>
      </c>
      <c r="CQ209" s="29">
        <f t="shared" si="21"/>
        <v>0</v>
      </c>
      <c r="CR209" s="13"/>
      <c r="CS209" s="7" t="str">
        <f>VLOOKUP(A209,'Empresas 21-23'!$A$2:$M$228,13,0)</f>
        <v/>
      </c>
      <c r="CT209" s="30"/>
      <c r="CU209" s="6">
        <f t="shared" si="22"/>
        <v>0</v>
      </c>
      <c r="CV209" s="6">
        <f t="shared" si="23"/>
        <v>0</v>
      </c>
      <c r="CW209" s="6">
        <f t="shared" si="24"/>
        <v>262668410</v>
      </c>
      <c r="CX209" s="23">
        <f t="shared" si="95"/>
        <v>0</v>
      </c>
      <c r="CY209" s="23">
        <f t="shared" si="96"/>
        <v>0</v>
      </c>
      <c r="CZ209" s="6">
        <f t="shared" si="25"/>
        <v>0</v>
      </c>
      <c r="DA209" s="6">
        <f t="shared" si="26"/>
        <v>0</v>
      </c>
      <c r="DB209" s="6">
        <f t="shared" si="27"/>
        <v>0</v>
      </c>
      <c r="DC209" s="6">
        <f t="shared" si="28"/>
        <v>0</v>
      </c>
      <c r="DD209" s="6">
        <f t="shared" si="29"/>
        <v>0</v>
      </c>
      <c r="DE209" s="6">
        <f t="shared" si="30"/>
        <v>37237612</v>
      </c>
      <c r="DF209" s="6">
        <f t="shared" si="91"/>
        <v>0</v>
      </c>
      <c r="DG209" s="30"/>
      <c r="DH209" s="32" t="str">
        <f>VLOOKUP(A209,'T_med_comp-USA'!$A$7:$Q$233,17,0)</f>
        <v>-</v>
      </c>
      <c r="DI209" s="6" t="str">
        <f t="shared" si="32"/>
        <v/>
      </c>
      <c r="DJ209" s="32" t="str">
        <f>IF(DI209="","",VLOOKUP(DI209,'CPI USA'!$T:$U,2,FALSE))</f>
        <v/>
      </c>
      <c r="DK209" s="32" t="str">
        <f>IF(DI209="","",VLOOKUP(DI209,'PPI USA'!$S:$T,2,FALSE))</f>
        <v/>
      </c>
      <c r="DL209" s="32" t="str">
        <f>IF(DI209="","",VLOOKUP(DI209,'CPI USA'!$T:$V,3,FALSE))</f>
        <v/>
      </c>
      <c r="DM209" s="32" t="str">
        <f>IF(DI209="","",VLOOKUP(DI209,'CPI USA'!$T:$X,5,FALSE))</f>
        <v/>
      </c>
      <c r="DN209" s="32" t="str">
        <f t="shared" si="33"/>
        <v/>
      </c>
      <c r="DO209" s="32" t="str">
        <f t="shared" si="34"/>
        <v/>
      </c>
      <c r="DP209" s="32" t="str">
        <f t="shared" si="35"/>
        <v/>
      </c>
      <c r="DQ209" s="32" t="str">
        <f>IF(DP209="","",DP209*$DO$1/'CPI USA'!$U$508+(1-DP209)*AVERAGE($DO$1,$DQ$1)/AVERAGE('CPI USA'!$U$508,'PPI USA'!$T$514))</f>
        <v/>
      </c>
      <c r="DR209" s="6">
        <f t="shared" si="36"/>
        <v>0</v>
      </c>
      <c r="DS209" s="32" t="str">
        <f t="shared" si="37"/>
        <v/>
      </c>
      <c r="DT209" s="28" t="str">
        <f>IF(DS209="","",DS209*$DO$1/'CPI USA'!$U$508+(1-DS209)*AVERAGE($DO$1,$DQ$1)/AVERAGE('CPI USA'!$U$508,'PPI USA'!$T$514))</f>
        <v/>
      </c>
      <c r="DU209" s="6" t="str">
        <f t="shared" si="38"/>
        <v/>
      </c>
      <c r="DV209" s="6">
        <f t="shared" si="39"/>
        <v>0</v>
      </c>
      <c r="DW209" s="6">
        <f t="shared" si="40"/>
        <v>0</v>
      </c>
      <c r="DX209" s="16" t="str">
        <f t="shared" si="41"/>
        <v/>
      </c>
      <c r="DY209" s="28" t="str">
        <f>IF(DX209="","",DX209*$DO$1/'CPI USA'!$U$508+(1-DX209)*AVERAGE($DO$1,$DQ$1)/AVERAGE('CPI USA'!$U$508,'PPI USA'!$T$514))</f>
        <v/>
      </c>
      <c r="DZ209" s="30"/>
      <c r="EA209" s="45" t="str">
        <f t="shared" si="42"/>
        <v>C010474</v>
      </c>
      <c r="EB209" s="29" t="str">
        <f t="shared" si="94"/>
        <v/>
      </c>
      <c r="EC209" s="29" t="str">
        <f t="shared" si="44"/>
        <v/>
      </c>
      <c r="ED209" s="29" t="str">
        <f t="shared" si="45"/>
        <v/>
      </c>
      <c r="EE209" s="29" t="str">
        <f t="shared" si="46"/>
        <v/>
      </c>
      <c r="EF209" s="29" t="str">
        <f t="shared" si="47"/>
        <v/>
      </c>
      <c r="EG209" s="29" t="str">
        <f t="shared" si="48"/>
        <v/>
      </c>
      <c r="EH209" s="29" t="str">
        <f t="shared" si="49"/>
        <v/>
      </c>
      <c r="EI209" s="29" t="str">
        <f t="shared" si="50"/>
        <v/>
      </c>
      <c r="EJ209" s="29" t="str">
        <f t="shared" si="51"/>
        <v/>
      </c>
      <c r="EK209" s="29" t="str">
        <f t="shared" si="52"/>
        <v/>
      </c>
      <c r="EL209" s="29" t="str">
        <f>IF(CD209=1,VLOOKUP(EA209,'EIA 2021'!$A$2:$J$213,4,0)*EH209,"")</f>
        <v/>
      </c>
      <c r="EM209" s="29" t="str">
        <f>IF(CD209=1,VLOOKUP(EA209,'EIA 2021'!$A$2:$J$213,7,0)*EH209,"")</f>
        <v/>
      </c>
      <c r="EN209" s="29" t="str">
        <f>IF(CD209=1,VLOOKUP(EA209,'EIA 2021'!$A$2:$J$213,10,0),"")</f>
        <v/>
      </c>
      <c r="EO209" s="28" t="str">
        <f>IF(CD209=1,VLOOKUP(EA209,'EIA 2021'!$A$2:$Z$213,26,0),"")</f>
        <v/>
      </c>
      <c r="EP209" s="23" t="str">
        <f t="shared" si="53"/>
        <v/>
      </c>
      <c r="EQ209" s="32" t="str">
        <f t="shared" si="54"/>
        <v/>
      </c>
      <c r="ER209" s="32" t="str">
        <f t="shared" si="55"/>
        <v/>
      </c>
      <c r="ES209" s="6"/>
      <c r="ET209" s="32"/>
    </row>
    <row r="210" spans="1:150" ht="15.75" customHeight="1">
      <c r="A210" s="7" t="s">
        <v>832</v>
      </c>
      <c r="B210" s="7" t="s">
        <v>833</v>
      </c>
      <c r="C210" s="32" t="s">
        <v>834</v>
      </c>
      <c r="D210" s="40">
        <v>0</v>
      </c>
      <c r="E210" s="40">
        <v>0</v>
      </c>
      <c r="F210" s="40">
        <v>0</v>
      </c>
      <c r="G210" s="40">
        <v>0</v>
      </c>
      <c r="H210" s="40">
        <v>0</v>
      </c>
      <c r="I210" s="40">
        <v>0</v>
      </c>
      <c r="J210" s="40">
        <v>0</v>
      </c>
      <c r="K210" s="40">
        <v>0</v>
      </c>
      <c r="L210" s="40">
        <v>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40">
        <f>IFERROR(VLOOKUP(A210,'Trans 21-23'!$A$2:$J$229,6,0),0)</f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41">
        <v>150527</v>
      </c>
      <c r="AE210" s="41">
        <v>0</v>
      </c>
      <c r="AF210" s="41">
        <v>369339</v>
      </c>
      <c r="AG210" s="41">
        <v>0</v>
      </c>
      <c r="AH210" s="41">
        <v>0</v>
      </c>
      <c r="AI210" s="41">
        <v>0</v>
      </c>
      <c r="AJ210" s="41">
        <v>0</v>
      </c>
      <c r="AK210" s="41">
        <v>0</v>
      </c>
      <c r="AL210" s="41">
        <v>0</v>
      </c>
      <c r="AM210" s="41">
        <v>0</v>
      </c>
      <c r="AN210" s="41">
        <v>0</v>
      </c>
      <c r="AO210" s="41">
        <v>0</v>
      </c>
      <c r="AP210" s="41">
        <v>0</v>
      </c>
      <c r="AQ210" s="41">
        <v>0</v>
      </c>
      <c r="AR210" s="41">
        <v>0</v>
      </c>
      <c r="AS210" s="41">
        <v>0</v>
      </c>
      <c r="AT210" s="41">
        <v>0</v>
      </c>
      <c r="AU210" s="41">
        <v>0</v>
      </c>
      <c r="AV210" s="41">
        <v>0</v>
      </c>
      <c r="AW210" s="41">
        <v>0</v>
      </c>
      <c r="AX210" s="41">
        <v>0</v>
      </c>
      <c r="AY210" s="41">
        <v>0</v>
      </c>
      <c r="AZ210" s="41">
        <v>0</v>
      </c>
      <c r="BA210" s="41">
        <v>0</v>
      </c>
      <c r="BB210" s="41">
        <v>0</v>
      </c>
      <c r="BC210" s="41">
        <v>47343900</v>
      </c>
      <c r="BD210" s="41">
        <v>282022</v>
      </c>
      <c r="BE210" s="41">
        <v>0</v>
      </c>
      <c r="BF210" s="41">
        <v>0</v>
      </c>
      <c r="BG210" s="41">
        <v>0</v>
      </c>
      <c r="BH210" s="41">
        <v>0</v>
      </c>
      <c r="BI210" s="41">
        <v>0</v>
      </c>
      <c r="BJ210" s="41">
        <v>0</v>
      </c>
      <c r="BK210" s="41">
        <v>0</v>
      </c>
      <c r="BL210" s="41">
        <v>0</v>
      </c>
      <c r="BM210" s="41">
        <v>0</v>
      </c>
      <c r="BN210" s="41">
        <v>0</v>
      </c>
      <c r="BO210" s="41">
        <v>0</v>
      </c>
      <c r="BP210" s="41">
        <v>0</v>
      </c>
      <c r="BQ210" s="41">
        <v>0</v>
      </c>
      <c r="BR210" s="41">
        <v>0</v>
      </c>
      <c r="BS210" s="42">
        <f>IFERROR(VLOOKUP(A210,'Trans 21-23'!$A$2:$J$229,5,0),0)</f>
        <v>0</v>
      </c>
      <c r="BT210" s="43"/>
      <c r="BU210" s="6">
        <f t="shared" si="0"/>
        <v>0</v>
      </c>
      <c r="BV210" s="6">
        <f t="shared" si="1"/>
        <v>0</v>
      </c>
      <c r="BW210" s="6">
        <f t="shared" si="2"/>
        <v>0</v>
      </c>
      <c r="BX210" s="6">
        <f t="shared" si="3"/>
        <v>0</v>
      </c>
      <c r="BY210" s="6">
        <f t="shared" si="4"/>
        <v>0</v>
      </c>
      <c r="BZ210" s="6">
        <f t="shared" si="5"/>
        <v>0</v>
      </c>
      <c r="CA210" s="6">
        <f t="shared" si="6"/>
        <v>150527</v>
      </c>
      <c r="CB210" s="6">
        <f t="shared" si="7"/>
        <v>0</v>
      </c>
      <c r="CC210" s="6">
        <f t="shared" si="8"/>
        <v>0</v>
      </c>
      <c r="CD210" s="6">
        <f t="shared" si="88"/>
        <v>0</v>
      </c>
      <c r="CE210" s="44">
        <f t="shared" si="10"/>
        <v>64</v>
      </c>
      <c r="CF210" s="27"/>
      <c r="CG210" s="28" t="str">
        <f t="shared" si="11"/>
        <v/>
      </c>
      <c r="CH210" s="28" t="str">
        <f t="shared" si="12"/>
        <v/>
      </c>
      <c r="CI210" s="28" t="str">
        <f t="shared" si="13"/>
        <v/>
      </c>
      <c r="CJ210" s="28" t="str">
        <f t="shared" si="14"/>
        <v/>
      </c>
      <c r="CK210" s="23" t="str">
        <f t="shared" si="15"/>
        <v/>
      </c>
      <c r="CL210" s="29" t="str">
        <f t="shared" si="16"/>
        <v/>
      </c>
      <c r="CM210" s="29" t="str">
        <f t="shared" si="66"/>
        <v/>
      </c>
      <c r="CN210" s="29" t="str">
        <f t="shared" si="18"/>
        <v/>
      </c>
      <c r="CO210" s="29" t="str">
        <f t="shared" si="19"/>
        <v/>
      </c>
      <c r="CP210" s="29" t="str">
        <f t="shared" si="20"/>
        <v/>
      </c>
      <c r="CQ210" s="29">
        <f t="shared" si="21"/>
        <v>0</v>
      </c>
      <c r="CR210" s="13"/>
      <c r="CS210" s="7" t="str">
        <f>VLOOKUP(A210,'Empresas 21-23'!$A$2:$M$228,13,0)</f>
        <v/>
      </c>
      <c r="CT210" s="30"/>
      <c r="CU210" s="6">
        <f t="shared" si="22"/>
        <v>0</v>
      </c>
      <c r="CV210" s="6">
        <f t="shared" si="23"/>
        <v>0</v>
      </c>
      <c r="CW210" s="6">
        <f t="shared" si="24"/>
        <v>282022</v>
      </c>
      <c r="CX210" s="23">
        <f t="shared" si="95"/>
        <v>0</v>
      </c>
      <c r="CY210" s="23">
        <f t="shared" si="96"/>
        <v>0</v>
      </c>
      <c r="CZ210" s="6">
        <f t="shared" si="25"/>
        <v>0</v>
      </c>
      <c r="DA210" s="6">
        <f t="shared" si="26"/>
        <v>0</v>
      </c>
      <c r="DB210" s="6">
        <f t="shared" si="27"/>
        <v>0</v>
      </c>
      <c r="DC210" s="6">
        <f t="shared" si="28"/>
        <v>0</v>
      </c>
      <c r="DD210" s="6">
        <f t="shared" si="29"/>
        <v>0</v>
      </c>
      <c r="DE210" s="6">
        <f t="shared" si="30"/>
        <v>150527</v>
      </c>
      <c r="DF210" s="6">
        <f t="shared" si="91"/>
        <v>0</v>
      </c>
      <c r="DG210" s="30"/>
      <c r="DH210" s="32" t="str">
        <f>VLOOKUP(A210,'T_med_comp-USA'!$A$7:$Q$233,17,0)</f>
        <v>-</v>
      </c>
      <c r="DI210" s="6" t="str">
        <f t="shared" si="32"/>
        <v/>
      </c>
      <c r="DJ210" s="32" t="str">
        <f>IF(DI210="","",VLOOKUP(DI210,'CPI USA'!$T:$U,2,FALSE))</f>
        <v/>
      </c>
      <c r="DK210" s="32" t="str">
        <f>IF(DI210="","",VLOOKUP(DI210,'PPI USA'!$S:$T,2,FALSE))</f>
        <v/>
      </c>
      <c r="DL210" s="32" t="str">
        <f>IF(DI210="","",VLOOKUP(DI210,'CPI USA'!$T:$V,3,FALSE))</f>
        <v/>
      </c>
      <c r="DM210" s="32" t="str">
        <f>IF(DI210="","",VLOOKUP(DI210,'CPI USA'!$T:$X,5,FALSE))</f>
        <v/>
      </c>
      <c r="DN210" s="32" t="str">
        <f t="shared" si="33"/>
        <v/>
      </c>
      <c r="DO210" s="32" t="str">
        <f t="shared" si="34"/>
        <v/>
      </c>
      <c r="DP210" s="32" t="str">
        <f t="shared" si="35"/>
        <v/>
      </c>
      <c r="DQ210" s="32" t="str">
        <f>IF(DP210="","",DP210*$DO$1/'CPI USA'!$U$508+(1-DP210)*AVERAGE($DO$1,$DQ$1)/AVERAGE('CPI USA'!$U$508,'PPI USA'!$T$514))</f>
        <v/>
      </c>
      <c r="DR210" s="6">
        <f t="shared" si="36"/>
        <v>0</v>
      </c>
      <c r="DS210" s="32" t="str">
        <f t="shared" si="37"/>
        <v/>
      </c>
      <c r="DT210" s="28" t="str">
        <f>IF(DS210="","",DS210*$DO$1/'CPI USA'!$U$508+(1-DS210)*AVERAGE($DO$1,$DQ$1)/AVERAGE('CPI USA'!$U$508,'PPI USA'!$T$514))</f>
        <v/>
      </c>
      <c r="DU210" s="6" t="str">
        <f t="shared" si="38"/>
        <v/>
      </c>
      <c r="DV210" s="6" t="str">
        <f t="shared" si="39"/>
        <v/>
      </c>
      <c r="DW210" s="6">
        <f t="shared" si="40"/>
        <v>0</v>
      </c>
      <c r="DX210" s="16" t="str">
        <f t="shared" si="41"/>
        <v/>
      </c>
      <c r="DY210" s="28" t="str">
        <f>IF(DX210="","",DX210*$DO$1/'CPI USA'!$U$508+(1-DX210)*AVERAGE($DO$1,$DQ$1)/AVERAGE('CPI USA'!$U$508,'PPI USA'!$T$514))</f>
        <v/>
      </c>
      <c r="DZ210" s="30"/>
      <c r="EA210" s="45" t="str">
        <f t="shared" si="42"/>
        <v>C010523</v>
      </c>
      <c r="EB210" s="29" t="str">
        <f t="shared" si="94"/>
        <v/>
      </c>
      <c r="EC210" s="29" t="str">
        <f t="shared" si="44"/>
        <v/>
      </c>
      <c r="ED210" s="29" t="str">
        <f t="shared" si="45"/>
        <v/>
      </c>
      <c r="EE210" s="29" t="str">
        <f t="shared" si="46"/>
        <v/>
      </c>
      <c r="EF210" s="29" t="str">
        <f t="shared" si="47"/>
        <v/>
      </c>
      <c r="EG210" s="29" t="str">
        <f t="shared" si="48"/>
        <v/>
      </c>
      <c r="EH210" s="29" t="str">
        <f t="shared" si="49"/>
        <v/>
      </c>
      <c r="EI210" s="29" t="str">
        <f t="shared" si="50"/>
        <v/>
      </c>
      <c r="EJ210" s="29" t="str">
        <f t="shared" si="51"/>
        <v/>
      </c>
      <c r="EK210" s="29" t="str">
        <f t="shared" si="52"/>
        <v/>
      </c>
      <c r="EL210" s="29" t="str">
        <f>IF(CD210=1,VLOOKUP(EA210,'EIA 2021'!$A$2:$J$213,4,0)*EH210,"")</f>
        <v/>
      </c>
      <c r="EM210" s="29" t="str">
        <f>IF(CD210=1,VLOOKUP(EA210,'EIA 2021'!$A$2:$J$213,7,0)*EH210,"")</f>
        <v/>
      </c>
      <c r="EN210" s="29" t="str">
        <f>IF(CD210=1,VLOOKUP(EA210,'EIA 2021'!$A$2:$J$213,10,0),"")</f>
        <v/>
      </c>
      <c r="EO210" s="28" t="str">
        <f>IF(CD210=1,VLOOKUP(EA210,'EIA 2021'!$A$2:$Z$213,26,0),"")</f>
        <v/>
      </c>
      <c r="EP210" s="23" t="str">
        <f t="shared" si="53"/>
        <v/>
      </c>
      <c r="EQ210" s="32" t="str">
        <f t="shared" si="54"/>
        <v/>
      </c>
      <c r="ER210" s="32" t="str">
        <f t="shared" si="55"/>
        <v/>
      </c>
      <c r="ES210" s="6"/>
      <c r="ET210" s="32"/>
    </row>
    <row r="211" spans="1:150" ht="15.75" customHeight="1">
      <c r="A211" s="7" t="s">
        <v>835</v>
      </c>
      <c r="B211" s="7" t="s">
        <v>836</v>
      </c>
      <c r="C211" s="32" t="s">
        <v>837</v>
      </c>
      <c r="D211" s="40">
        <v>0</v>
      </c>
      <c r="E211" s="40">
        <v>0</v>
      </c>
      <c r="F211" s="40">
        <v>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f>IFERROR(VLOOKUP(A211,'Trans 21-23'!$A$2:$J$229,6,0),0)</f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1804985</v>
      </c>
      <c r="AE211" s="41">
        <v>0</v>
      </c>
      <c r="AF211" s="41">
        <v>10203725</v>
      </c>
      <c r="AG211" s="41">
        <v>0</v>
      </c>
      <c r="AH211" s="41">
        <v>0</v>
      </c>
      <c r="AI211" s="41">
        <v>0</v>
      </c>
      <c r="AJ211" s="41">
        <v>0</v>
      </c>
      <c r="AK211" s="41">
        <v>0</v>
      </c>
      <c r="AL211" s="41">
        <v>0</v>
      </c>
      <c r="AM211" s="41">
        <v>0</v>
      </c>
      <c r="AN211" s="41">
        <v>0</v>
      </c>
      <c r="AO211" s="41">
        <v>0</v>
      </c>
      <c r="AP211" s="41">
        <v>0</v>
      </c>
      <c r="AQ211" s="41">
        <v>0</v>
      </c>
      <c r="AR211" s="41">
        <v>0</v>
      </c>
      <c r="AS211" s="41">
        <v>0</v>
      </c>
      <c r="AT211" s="41">
        <v>0</v>
      </c>
      <c r="AU211" s="41">
        <v>0</v>
      </c>
      <c r="AV211" s="41">
        <v>0</v>
      </c>
      <c r="AW211" s="41">
        <v>0</v>
      </c>
      <c r="AX211" s="41">
        <v>0</v>
      </c>
      <c r="AY211" s="41">
        <v>0</v>
      </c>
      <c r="AZ211" s="41">
        <v>0</v>
      </c>
      <c r="BA211" s="41">
        <v>0</v>
      </c>
      <c r="BB211" s="41">
        <v>0</v>
      </c>
      <c r="BC211" s="41">
        <v>6033582</v>
      </c>
      <c r="BD211" s="41">
        <v>0</v>
      </c>
      <c r="BE211" s="41">
        <v>0</v>
      </c>
      <c r="BF211" s="41">
        <v>0</v>
      </c>
      <c r="BG211" s="41">
        <v>0</v>
      </c>
      <c r="BH211" s="41">
        <v>0</v>
      </c>
      <c r="BI211" s="41">
        <v>0</v>
      </c>
      <c r="BJ211" s="41">
        <v>0</v>
      </c>
      <c r="BK211" s="41">
        <v>0</v>
      </c>
      <c r="BL211" s="41">
        <v>0</v>
      </c>
      <c r="BM211" s="41">
        <v>0</v>
      </c>
      <c r="BN211" s="41">
        <v>0</v>
      </c>
      <c r="BO211" s="41">
        <v>0</v>
      </c>
      <c r="BP211" s="41">
        <v>0</v>
      </c>
      <c r="BQ211" s="41">
        <v>0</v>
      </c>
      <c r="BR211" s="41">
        <v>0</v>
      </c>
      <c r="BS211" s="42">
        <f>IFERROR(VLOOKUP(A211,'Trans 21-23'!$A$2:$J$229,5,0),0)</f>
        <v>0</v>
      </c>
      <c r="BT211" s="43"/>
      <c r="BU211" s="6">
        <f t="shared" si="0"/>
        <v>0</v>
      </c>
      <c r="BV211" s="6">
        <f t="shared" si="1"/>
        <v>0</v>
      </c>
      <c r="BW211" s="6">
        <f t="shared" si="2"/>
        <v>0</v>
      </c>
      <c r="BX211" s="6">
        <f t="shared" si="3"/>
        <v>0</v>
      </c>
      <c r="BY211" s="6">
        <f t="shared" si="4"/>
        <v>0</v>
      </c>
      <c r="BZ211" s="6">
        <f t="shared" si="5"/>
        <v>0</v>
      </c>
      <c r="CA211" s="6">
        <f t="shared" si="6"/>
        <v>1804985</v>
      </c>
      <c r="CB211" s="6">
        <f t="shared" si="7"/>
        <v>0</v>
      </c>
      <c r="CC211" s="6">
        <f t="shared" si="8"/>
        <v>0</v>
      </c>
      <c r="CD211" s="6">
        <f t="shared" si="88"/>
        <v>0</v>
      </c>
      <c r="CE211" s="44">
        <f t="shared" si="10"/>
        <v>65</v>
      </c>
      <c r="CF211" s="27"/>
      <c r="CG211" s="28" t="str">
        <f t="shared" si="11"/>
        <v/>
      </c>
      <c r="CH211" s="28" t="str">
        <f t="shared" si="12"/>
        <v/>
      </c>
      <c r="CI211" s="28" t="str">
        <f t="shared" si="13"/>
        <v/>
      </c>
      <c r="CJ211" s="28" t="str">
        <f t="shared" si="14"/>
        <v/>
      </c>
      <c r="CK211" s="23" t="str">
        <f t="shared" si="15"/>
        <v/>
      </c>
      <c r="CL211" s="29" t="str">
        <f t="shared" si="16"/>
        <v/>
      </c>
      <c r="CM211" s="29" t="str">
        <f t="shared" si="66"/>
        <v/>
      </c>
      <c r="CN211" s="29" t="str">
        <f t="shared" si="18"/>
        <v/>
      </c>
      <c r="CO211" s="29" t="str">
        <f t="shared" si="19"/>
        <v/>
      </c>
      <c r="CP211" s="29" t="str">
        <f t="shared" si="20"/>
        <v/>
      </c>
      <c r="CQ211" s="29">
        <f t="shared" si="21"/>
        <v>0</v>
      </c>
      <c r="CR211" s="13"/>
      <c r="CS211" s="7" t="str">
        <f>VLOOKUP(A211,'Empresas 21-23'!$A$2:$M$228,13,0)</f>
        <v/>
      </c>
      <c r="CT211" s="30"/>
      <c r="CU211" s="6">
        <f t="shared" si="22"/>
        <v>0</v>
      </c>
      <c r="CV211" s="6">
        <f t="shared" si="23"/>
        <v>0</v>
      </c>
      <c r="CW211" s="6">
        <f t="shared" si="24"/>
        <v>0</v>
      </c>
      <c r="CX211" s="23">
        <f t="shared" si="95"/>
        <v>0</v>
      </c>
      <c r="CY211" s="23">
        <f t="shared" si="96"/>
        <v>0</v>
      </c>
      <c r="CZ211" s="6">
        <f t="shared" si="25"/>
        <v>0</v>
      </c>
      <c r="DA211" s="6">
        <f t="shared" si="26"/>
        <v>0</v>
      </c>
      <c r="DB211" s="6">
        <f t="shared" si="27"/>
        <v>0</v>
      </c>
      <c r="DC211" s="6">
        <f t="shared" si="28"/>
        <v>0</v>
      </c>
      <c r="DD211" s="6">
        <f t="shared" si="29"/>
        <v>0</v>
      </c>
      <c r="DE211" s="6">
        <f t="shared" si="30"/>
        <v>1804985</v>
      </c>
      <c r="DF211" s="6">
        <f t="shared" si="91"/>
        <v>0</v>
      </c>
      <c r="DG211" s="30"/>
      <c r="DH211" s="32" t="str">
        <f>VLOOKUP(A211,'T_med_comp-USA'!$A$7:$Q$233,17,0)</f>
        <v>-</v>
      </c>
      <c r="DI211" s="6" t="str">
        <f t="shared" si="32"/>
        <v/>
      </c>
      <c r="DJ211" s="32" t="str">
        <f>IF(DI211="","",VLOOKUP(DI211,'CPI USA'!$T:$U,2,FALSE))</f>
        <v/>
      </c>
      <c r="DK211" s="32" t="str">
        <f>IF(DI211="","",VLOOKUP(DI211,'PPI USA'!$S:$T,2,FALSE))</f>
        <v/>
      </c>
      <c r="DL211" s="32" t="str">
        <f>IF(DI211="","",VLOOKUP(DI211,'CPI USA'!$T:$V,3,FALSE))</f>
        <v/>
      </c>
      <c r="DM211" s="32" t="str">
        <f>IF(DI211="","",VLOOKUP(DI211,'CPI USA'!$T:$X,5,FALSE))</f>
        <v/>
      </c>
      <c r="DN211" s="32" t="str">
        <f t="shared" si="33"/>
        <v/>
      </c>
      <c r="DO211" s="32" t="str">
        <f t="shared" si="34"/>
        <v/>
      </c>
      <c r="DP211" s="32" t="str">
        <f t="shared" si="35"/>
        <v/>
      </c>
      <c r="DQ211" s="32" t="str">
        <f>IF(DP211="","",DP211*$DO$1/'CPI USA'!$U$508+(1-DP211)*AVERAGE($DO$1,$DQ$1)/AVERAGE('CPI USA'!$U$508,'PPI USA'!$T$514))</f>
        <v/>
      </c>
      <c r="DR211" s="6">
        <f t="shared" si="36"/>
        <v>0</v>
      </c>
      <c r="DS211" s="32" t="str">
        <f t="shared" si="37"/>
        <v/>
      </c>
      <c r="DT211" s="28" t="str">
        <f>IF(DS211="","",DS211*$DO$1/'CPI USA'!$U$508+(1-DS211)*AVERAGE($DO$1,$DQ$1)/AVERAGE('CPI USA'!$U$508,'PPI USA'!$T$514))</f>
        <v/>
      </c>
      <c r="DU211" s="6" t="str">
        <f t="shared" si="38"/>
        <v/>
      </c>
      <c r="DV211" s="6" t="str">
        <f t="shared" si="39"/>
        <v/>
      </c>
      <c r="DW211" s="6">
        <f t="shared" si="40"/>
        <v>0</v>
      </c>
      <c r="DX211" s="16" t="str">
        <f t="shared" si="41"/>
        <v/>
      </c>
      <c r="DY211" s="28" t="str">
        <f>IF(DX211="","",DX211*$DO$1/'CPI USA'!$U$508+(1-DX211)*AVERAGE($DO$1,$DQ$1)/AVERAGE('CPI USA'!$U$508,'PPI USA'!$T$514))</f>
        <v/>
      </c>
      <c r="DZ211" s="30"/>
      <c r="EA211" s="45" t="str">
        <f t="shared" si="42"/>
        <v>C010845</v>
      </c>
      <c r="EB211" s="29" t="str">
        <f t="shared" si="94"/>
        <v/>
      </c>
      <c r="EC211" s="29" t="str">
        <f t="shared" si="44"/>
        <v/>
      </c>
      <c r="ED211" s="29" t="str">
        <f t="shared" si="45"/>
        <v/>
      </c>
      <c r="EE211" s="29" t="str">
        <f t="shared" si="46"/>
        <v/>
      </c>
      <c r="EF211" s="29" t="str">
        <f t="shared" si="47"/>
        <v/>
      </c>
      <c r="EG211" s="29" t="str">
        <f t="shared" si="48"/>
        <v/>
      </c>
      <c r="EH211" s="29" t="str">
        <f t="shared" si="49"/>
        <v/>
      </c>
      <c r="EI211" s="29" t="str">
        <f t="shared" si="50"/>
        <v/>
      </c>
      <c r="EJ211" s="29" t="str">
        <f t="shared" si="51"/>
        <v/>
      </c>
      <c r="EK211" s="29" t="str">
        <f t="shared" si="52"/>
        <v/>
      </c>
      <c r="EL211" s="29" t="str">
        <f>IF(CD211=1,VLOOKUP(EA211,'EIA 2021'!$A$2:$J$213,4,0)*EH211,"")</f>
        <v/>
      </c>
      <c r="EM211" s="29" t="str">
        <f>IF(CD211=1,VLOOKUP(EA211,'EIA 2021'!$A$2:$J$213,7,0)*EH211,"")</f>
        <v/>
      </c>
      <c r="EN211" s="29" t="str">
        <f>IF(CD211=1,VLOOKUP(EA211,'EIA 2021'!$A$2:$J$213,10,0),"")</f>
        <v/>
      </c>
      <c r="EO211" s="28" t="str">
        <f>IF(CD211=1,VLOOKUP(EA211,'EIA 2021'!$A$2:$Z$213,26,0),"")</f>
        <v/>
      </c>
      <c r="EP211" s="23" t="str">
        <f t="shared" si="53"/>
        <v/>
      </c>
      <c r="EQ211" s="32" t="str">
        <f t="shared" si="54"/>
        <v/>
      </c>
      <c r="ER211" s="32" t="str">
        <f t="shared" si="55"/>
        <v/>
      </c>
      <c r="ES211" s="6"/>
      <c r="ET211" s="32"/>
    </row>
    <row r="212" spans="1:150" ht="15.75" customHeight="1">
      <c r="A212" s="7" t="s">
        <v>838</v>
      </c>
      <c r="B212" s="7" t="s">
        <v>839</v>
      </c>
      <c r="C212" s="32" t="s">
        <v>840</v>
      </c>
      <c r="D212" s="40">
        <v>0</v>
      </c>
      <c r="E212" s="40">
        <v>0</v>
      </c>
      <c r="F212" s="40">
        <v>86674152</v>
      </c>
      <c r="G212" s="40">
        <v>17644798</v>
      </c>
      <c r="H212" s="40">
        <v>23129060</v>
      </c>
      <c r="I212" s="40">
        <v>2499675</v>
      </c>
      <c r="J212" s="40">
        <v>193058</v>
      </c>
      <c r="K212" s="40">
        <v>2131112</v>
      </c>
      <c r="L212" s="40">
        <v>851601</v>
      </c>
      <c r="M212" s="40">
        <v>1739807</v>
      </c>
      <c r="N212" s="40">
        <v>253403</v>
      </c>
      <c r="O212" s="40">
        <v>4101021</v>
      </c>
      <c r="P212" s="40">
        <v>71245</v>
      </c>
      <c r="Q212" s="40">
        <v>1980091</v>
      </c>
      <c r="R212" s="40">
        <v>0</v>
      </c>
      <c r="S212" s="40">
        <v>1699399</v>
      </c>
      <c r="T212" s="40">
        <v>4580042</v>
      </c>
      <c r="U212" s="40">
        <v>2775236</v>
      </c>
      <c r="V212" s="40">
        <v>87164</v>
      </c>
      <c r="W212" s="40">
        <v>2740831</v>
      </c>
      <c r="X212" s="40">
        <f>IFERROR(VLOOKUP(A212,'Trans 21-23'!$A$2:$J$229,6,0),0)</f>
        <v>0</v>
      </c>
      <c r="Y212" s="41">
        <v>885489</v>
      </c>
      <c r="Z212" s="41">
        <v>0</v>
      </c>
      <c r="AA212" s="41">
        <v>9616079</v>
      </c>
      <c r="AB212" s="41">
        <v>938390</v>
      </c>
      <c r="AC212" s="41">
        <v>0</v>
      </c>
      <c r="AD212" s="41">
        <v>40756353</v>
      </c>
      <c r="AE212" s="41">
        <v>0</v>
      </c>
      <c r="AF212" s="41">
        <v>233785473</v>
      </c>
      <c r="AG212" s="41">
        <v>112802</v>
      </c>
      <c r="AH212" s="41">
        <v>102669</v>
      </c>
      <c r="AI212" s="41">
        <v>2231668</v>
      </c>
      <c r="AJ212" s="41">
        <v>6956</v>
      </c>
      <c r="AK212" s="41">
        <v>0</v>
      </c>
      <c r="AL212" s="41">
        <v>613666</v>
      </c>
      <c r="AM212" s="41">
        <v>191715</v>
      </c>
      <c r="AN212" s="41">
        <v>1111201</v>
      </c>
      <c r="AO212" s="41">
        <v>6352</v>
      </c>
      <c r="AP212" s="41">
        <v>0</v>
      </c>
      <c r="AQ212" s="41">
        <v>1922934</v>
      </c>
      <c r="AR212" s="41">
        <v>199109</v>
      </c>
      <c r="AS212" s="41">
        <v>2122043</v>
      </c>
      <c r="AT212" s="41">
        <v>0</v>
      </c>
      <c r="AU212" s="41">
        <v>350</v>
      </c>
      <c r="AV212" s="41">
        <v>0</v>
      </c>
      <c r="AW212" s="41">
        <v>25794913</v>
      </c>
      <c r="AX212" s="41">
        <v>115441614</v>
      </c>
      <c r="AY212" s="41">
        <v>187675352</v>
      </c>
      <c r="AZ212" s="41">
        <v>29271842</v>
      </c>
      <c r="BA212" s="41">
        <v>18832744</v>
      </c>
      <c r="BB212" s="41">
        <v>676153296</v>
      </c>
      <c r="BC212" s="41">
        <v>2472764715</v>
      </c>
      <c r="BD212" s="41">
        <v>107374621</v>
      </c>
      <c r="BE212" s="41">
        <v>257664171</v>
      </c>
      <c r="BF212" s="41">
        <v>16857486</v>
      </c>
      <c r="BG212" s="41">
        <v>0</v>
      </c>
      <c r="BH212" s="41">
        <v>11414699</v>
      </c>
      <c r="BI212" s="41">
        <v>3350367</v>
      </c>
      <c r="BJ212" s="41">
        <v>458484</v>
      </c>
      <c r="BK212" s="41">
        <v>0</v>
      </c>
      <c r="BL212" s="41">
        <v>0</v>
      </c>
      <c r="BM212" s="41">
        <v>10111606</v>
      </c>
      <c r="BN212" s="41">
        <v>43360870</v>
      </c>
      <c r="BO212" s="41">
        <v>4138830</v>
      </c>
      <c r="BP212" s="41">
        <v>9197531</v>
      </c>
      <c r="BQ212" s="41">
        <v>60438472</v>
      </c>
      <c r="BR212" s="41">
        <v>0</v>
      </c>
      <c r="BS212" s="42">
        <f>IFERROR(VLOOKUP(A212,'Trans 21-23'!$A$2:$J$229,5,0),0)</f>
        <v>0</v>
      </c>
      <c r="BT212" s="43"/>
      <c r="BU212" s="6">
        <f t="shared" si="0"/>
        <v>676153296</v>
      </c>
      <c r="BV212" s="6">
        <f t="shared" si="1"/>
        <v>350</v>
      </c>
      <c r="BW212" s="6">
        <f t="shared" si="2"/>
        <v>112802</v>
      </c>
      <c r="BX212" s="6">
        <f t="shared" si="3"/>
        <v>25703685</v>
      </c>
      <c r="BY212" s="6">
        <f t="shared" si="4"/>
        <v>11439958</v>
      </c>
      <c r="BZ212" s="6">
        <f t="shared" si="5"/>
        <v>29271842</v>
      </c>
      <c r="CA212" s="6">
        <f t="shared" si="6"/>
        <v>40756353</v>
      </c>
      <c r="CB212" s="6">
        <f t="shared" si="7"/>
        <v>102669</v>
      </c>
      <c r="CC212" s="6">
        <f t="shared" si="8"/>
        <v>1922934</v>
      </c>
      <c r="CD212" s="6">
        <f t="shared" si="88"/>
        <v>1</v>
      </c>
      <c r="CE212" s="44">
        <f t="shared" si="10"/>
        <v>16</v>
      </c>
      <c r="CF212" s="27"/>
      <c r="CG212" s="28">
        <f t="shared" si="11"/>
        <v>1931.8665600000002</v>
      </c>
      <c r="CH212" s="28">
        <f t="shared" si="12"/>
        <v>3.1027818655697592</v>
      </c>
      <c r="CI212" s="28">
        <f t="shared" si="13"/>
        <v>227.86550770376411</v>
      </c>
      <c r="CJ212" s="28">
        <f t="shared" si="14"/>
        <v>259.49754436978066</v>
      </c>
      <c r="CK212" s="23">
        <f t="shared" si="15"/>
        <v>5.3391848082149466E-2</v>
      </c>
      <c r="CL212" s="29" t="str">
        <f t="shared" si="16"/>
        <v/>
      </c>
      <c r="CM212" s="29" t="str">
        <f t="shared" si="66"/>
        <v/>
      </c>
      <c r="CN212" s="29" t="str">
        <f t="shared" si="18"/>
        <v/>
      </c>
      <c r="CO212" s="29" t="str">
        <f t="shared" si="19"/>
        <v/>
      </c>
      <c r="CP212" s="29" t="str">
        <f t="shared" si="20"/>
        <v/>
      </c>
      <c r="CQ212" s="29">
        <f t="shared" si="21"/>
        <v>0</v>
      </c>
      <c r="CR212" s="13"/>
      <c r="CS212" s="7" t="str">
        <f>VLOOKUP(A212,'Empresas 21-23'!$A$2:$M$228,13,0)</f>
        <v/>
      </c>
      <c r="CT212" s="30"/>
      <c r="CU212" s="6">
        <f t="shared" si="22"/>
        <v>446178530.39999998</v>
      </c>
      <c r="CV212" s="6">
        <f t="shared" si="23"/>
        <v>29271842</v>
      </c>
      <c r="CW212" s="6">
        <f t="shared" si="24"/>
        <v>107374621</v>
      </c>
      <c r="CX212" s="23">
        <f t="shared" si="95"/>
        <v>0.18862788490226931</v>
      </c>
      <c r="CY212" s="23">
        <f t="shared" si="96"/>
        <v>1.237505901214787E-2</v>
      </c>
      <c r="CZ212" s="6">
        <f t="shared" si="25"/>
        <v>466432378.05141276</v>
      </c>
      <c r="DA212" s="6">
        <f t="shared" si="26"/>
        <v>30600609.271282014</v>
      </c>
      <c r="DB212" s="6">
        <f t="shared" si="27"/>
        <v>25703685</v>
      </c>
      <c r="DC212" s="6">
        <f t="shared" si="28"/>
        <v>25703685</v>
      </c>
      <c r="DD212" s="6">
        <f t="shared" si="29"/>
        <v>11439958</v>
      </c>
      <c r="DE212" s="6">
        <f t="shared" si="30"/>
        <v>40756353</v>
      </c>
      <c r="DF212" s="6">
        <f t="shared" si="91"/>
        <v>18189521.294426478</v>
      </c>
      <c r="DG212" s="30"/>
      <c r="DH212" s="32">
        <f>VLOOKUP(A212,'T_med_comp-USA'!$A$7:$Q$233,17,0)</f>
        <v>16.254313668397732</v>
      </c>
      <c r="DI212" s="6" t="str">
        <f t="shared" si="32"/>
        <v>10_2005</v>
      </c>
      <c r="DJ212" s="32">
        <f>IF(DI212="","",VLOOKUP(DI212,'CPI USA'!$T:$U,2,FALSE))</f>
        <v>195.3</v>
      </c>
      <c r="DK212" s="32">
        <f>IF(DI212="","",VLOOKUP(DI212,'PPI USA'!$S:$T,2,FALSE))</f>
        <v>131.30000000000001</v>
      </c>
      <c r="DL212" s="32">
        <f>IF(DI212="","",VLOOKUP(DI212,'CPI USA'!$T:$V,3,FALSE))</f>
        <v>0.67888602568792966</v>
      </c>
      <c r="DM212" s="32">
        <f>IF(DI212="","",VLOOKUP(DI212,'CPI USA'!$T:$X,5,FALSE))</f>
        <v>0.50828944385363772</v>
      </c>
      <c r="DN212" s="32">
        <f t="shared" si="33"/>
        <v>1.6621774217199745</v>
      </c>
      <c r="DO212" s="32">
        <f t="shared" si="34"/>
        <v>1.6905992787819408</v>
      </c>
      <c r="DP212" s="32">
        <f t="shared" si="35"/>
        <v>0.48647659751256644</v>
      </c>
      <c r="DQ212" s="32">
        <f>IF(DP212="","",DP212*$DO$1/'CPI USA'!$U$508+(1-DP212)*AVERAGE($DO$1,$DQ$1)/AVERAGE('CPI USA'!$U$508,'PPI USA'!$T$514))</f>
        <v>1.1572271656659301</v>
      </c>
      <c r="DR212" s="6">
        <f t="shared" si="36"/>
        <v>3808851</v>
      </c>
      <c r="DS212" s="32">
        <f t="shared" si="37"/>
        <v>0.3647223965971364</v>
      </c>
      <c r="DT212" s="28">
        <f>IF(DS212="","",DS212*$DO$1/'CPI USA'!$U$508+(1-DS212)*AVERAGE($DO$1,$DQ$1)/AVERAGE('CPI USA'!$U$508,'PPI USA'!$T$514))</f>
        <v>1.1644235374309773</v>
      </c>
      <c r="DU212" s="6">
        <f t="shared" si="38"/>
        <v>11076766.944902167</v>
      </c>
      <c r="DV212" s="6">
        <f t="shared" si="39"/>
        <v>1814990.2759355258</v>
      </c>
      <c r="DW212" s="6">
        <f t="shared" si="40"/>
        <v>4526161.7361294562</v>
      </c>
      <c r="DX212" s="16">
        <f t="shared" si="41"/>
        <v>0.24883347191310279</v>
      </c>
      <c r="DY212" s="28">
        <f>IF(DX212="","",DX212*$DO$1/'CPI USA'!$U$508+(1-DX212)*AVERAGE($DO$1,$DQ$1)/AVERAGE('CPI USA'!$U$508,'PPI USA'!$T$514))</f>
        <v>1.1712732377222808</v>
      </c>
      <c r="DZ212" s="30"/>
      <c r="EA212" s="45" t="str">
        <f t="shared" si="42"/>
        <v>C011100</v>
      </c>
      <c r="EB212" s="29">
        <f t="shared" si="94"/>
        <v>775293367.55621374</v>
      </c>
      <c r="EC212" s="29">
        <f t="shared" si="44"/>
        <v>51733367.964317344</v>
      </c>
      <c r="ED212" s="29">
        <f t="shared" si="45"/>
        <v>29745002.539719883</v>
      </c>
      <c r="EE212" s="29">
        <f t="shared" si="46"/>
        <v>13320956.362421807</v>
      </c>
      <c r="EF212" s="29">
        <f t="shared" si="47"/>
        <v>21304899.499141272</v>
      </c>
      <c r="EG212" s="29">
        <f t="shared" si="48"/>
        <v>350</v>
      </c>
      <c r="EH212" s="29">
        <f t="shared" si="49"/>
        <v>112802</v>
      </c>
      <c r="EI212" s="29">
        <f t="shared" si="50"/>
        <v>102669</v>
      </c>
      <c r="EJ212" s="29">
        <f t="shared" si="51"/>
        <v>1922934</v>
      </c>
      <c r="EK212" s="29">
        <f t="shared" si="52"/>
        <v>2022570.883248731</v>
      </c>
      <c r="EL212" s="29" t="e">
        <f>IF(CD212=1,VLOOKUP(EA212,'EIA 2021'!$A$2:$J$213,4,0)*EH212,"")</f>
        <v>#VALUE!</v>
      </c>
      <c r="EM212" s="29">
        <f>IF(CD212=1,VLOOKUP(EA212,'EIA 2021'!$A$2:$J$213,7,0)*EH212,"")</f>
        <v>119570.12000000001</v>
      </c>
      <c r="EN212" s="29">
        <f>IF(CD212=1,VLOOKUP(EA212,'EIA 2021'!$A$2:$J$213,10,0),"")</f>
        <v>115381</v>
      </c>
      <c r="EO212" s="28">
        <f>IF(CD212=1,VLOOKUP(EA212,'EIA 2021'!$A$2:$Z$213,26,0),"")</f>
        <v>0</v>
      </c>
      <c r="EP212" s="23">
        <f t="shared" si="53"/>
        <v>4.926249263941266E-2</v>
      </c>
      <c r="EQ212" s="32">
        <f t="shared" si="54"/>
        <v>3032.1167512690299</v>
      </c>
      <c r="ER212" s="32">
        <f t="shared" si="55"/>
        <v>99636.88324873097</v>
      </c>
      <c r="ES212" s="6"/>
      <c r="ET212" s="32"/>
    </row>
    <row r="213" spans="1:150" ht="15.75" customHeight="1">
      <c r="A213" s="7" t="s">
        <v>841</v>
      </c>
      <c r="B213" s="7" t="s">
        <v>842</v>
      </c>
      <c r="C213" s="32" t="s">
        <v>843</v>
      </c>
      <c r="D213" s="40">
        <v>0</v>
      </c>
      <c r="E213" s="40">
        <v>0</v>
      </c>
      <c r="F213" s="40">
        <v>144636</v>
      </c>
      <c r="G213" s="40">
        <v>10093800</v>
      </c>
      <c r="H213" s="40">
        <v>10093800</v>
      </c>
      <c r="I213" s="40">
        <v>632984</v>
      </c>
      <c r="J213" s="40">
        <v>21263</v>
      </c>
      <c r="K213" s="40">
        <v>0</v>
      </c>
      <c r="L213" s="40">
        <v>0</v>
      </c>
      <c r="M213" s="40">
        <v>0</v>
      </c>
      <c r="N213" s="40">
        <v>0</v>
      </c>
      <c r="O213" s="40">
        <v>380658</v>
      </c>
      <c r="P213" s="40">
        <v>0</v>
      </c>
      <c r="Q213" s="40">
        <v>0</v>
      </c>
      <c r="R213" s="40">
        <v>102095</v>
      </c>
      <c r="S213" s="40">
        <v>99851</v>
      </c>
      <c r="T213" s="40">
        <v>1157944</v>
      </c>
      <c r="U213" s="40">
        <v>391343</v>
      </c>
      <c r="V213" s="40">
        <v>49196</v>
      </c>
      <c r="W213" s="40">
        <v>52298</v>
      </c>
      <c r="X213" s="40">
        <f>IFERROR(VLOOKUP(A213,'Trans 21-23'!$A$2:$J$229,6,0),0)</f>
        <v>510336</v>
      </c>
      <c r="Y213" s="41">
        <v>397936</v>
      </c>
      <c r="Z213" s="41">
        <v>135901</v>
      </c>
      <c r="AA213" s="41">
        <v>1337657</v>
      </c>
      <c r="AB213" s="41">
        <v>7779</v>
      </c>
      <c r="AC213" s="41">
        <v>0</v>
      </c>
      <c r="AD213" s="41">
        <v>5235076</v>
      </c>
      <c r="AE213" s="41">
        <v>0</v>
      </c>
      <c r="AF213" s="41">
        <v>24300413</v>
      </c>
      <c r="AG213" s="41">
        <v>17533</v>
      </c>
      <c r="AH213" s="41">
        <v>23123</v>
      </c>
      <c r="AI213" s="41">
        <v>432268</v>
      </c>
      <c r="AJ213" s="41">
        <v>4811</v>
      </c>
      <c r="AK213" s="41">
        <v>0</v>
      </c>
      <c r="AL213" s="41">
        <v>160027</v>
      </c>
      <c r="AM213" s="41">
        <v>42390</v>
      </c>
      <c r="AN213" s="41">
        <v>126839</v>
      </c>
      <c r="AO213" s="41">
        <v>1112</v>
      </c>
      <c r="AP213" s="41">
        <v>73966</v>
      </c>
      <c r="AQ213" s="41">
        <v>404334</v>
      </c>
      <c r="AR213" s="41">
        <v>0</v>
      </c>
      <c r="AS213" s="41">
        <v>404334</v>
      </c>
      <c r="AT213" s="41">
        <v>0</v>
      </c>
      <c r="AU213" s="41">
        <v>87</v>
      </c>
      <c r="AV213" s="41">
        <v>0</v>
      </c>
      <c r="AW213" s="41">
        <v>10145290</v>
      </c>
      <c r="AX213" s="41">
        <v>2743285</v>
      </c>
      <c r="AY213" s="41">
        <v>7701115</v>
      </c>
      <c r="AZ213" s="41">
        <v>8196054</v>
      </c>
      <c r="BA213" s="41">
        <v>338744</v>
      </c>
      <c r="BB213" s="41">
        <v>57077678</v>
      </c>
      <c r="BC213" s="41">
        <v>260607333</v>
      </c>
      <c r="BD213" s="41">
        <v>18881746</v>
      </c>
      <c r="BE213" s="41">
        <v>38171273</v>
      </c>
      <c r="BF213" s="41">
        <v>1564949</v>
      </c>
      <c r="BG213" s="41">
        <v>0</v>
      </c>
      <c r="BH213" s="41">
        <v>902865</v>
      </c>
      <c r="BI213" s="41">
        <v>657029</v>
      </c>
      <c r="BJ213" s="41">
        <v>0</v>
      </c>
      <c r="BK213" s="41">
        <v>0</v>
      </c>
      <c r="BL213" s="41">
        <v>0</v>
      </c>
      <c r="BM213" s="41">
        <v>1817660</v>
      </c>
      <c r="BN213" s="41">
        <v>6002610</v>
      </c>
      <c r="BO213" s="41">
        <v>0</v>
      </c>
      <c r="BP213" s="41">
        <v>1073101</v>
      </c>
      <c r="BQ213" s="41">
        <v>7786095</v>
      </c>
      <c r="BR213" s="41">
        <v>0</v>
      </c>
      <c r="BS213" s="42">
        <f>IFERROR(VLOOKUP(A213,'Trans 21-23'!$A$2:$J$229,5,0),0)</f>
        <v>32516371</v>
      </c>
      <c r="BT213" s="43"/>
      <c r="BU213" s="6">
        <f t="shared" si="0"/>
        <v>57077678</v>
      </c>
      <c r="BV213" s="6">
        <f t="shared" si="1"/>
        <v>87</v>
      </c>
      <c r="BW213" s="6">
        <f t="shared" si="2"/>
        <v>17533</v>
      </c>
      <c r="BX213" s="6">
        <f t="shared" si="3"/>
        <v>2887632</v>
      </c>
      <c r="BY213" s="6">
        <f t="shared" si="4"/>
        <v>1879273</v>
      </c>
      <c r="BZ213" s="6">
        <f t="shared" si="5"/>
        <v>8196054</v>
      </c>
      <c r="CA213" s="6">
        <f t="shared" si="6"/>
        <v>5235076</v>
      </c>
      <c r="CB213" s="6">
        <f t="shared" si="7"/>
        <v>23123</v>
      </c>
      <c r="CC213" s="6">
        <f t="shared" si="8"/>
        <v>404334</v>
      </c>
      <c r="CD213" s="6">
        <f t="shared" si="88"/>
        <v>1</v>
      </c>
      <c r="CE213" s="44">
        <f t="shared" si="10"/>
        <v>20</v>
      </c>
      <c r="CF213" s="27"/>
      <c r="CG213" s="28">
        <f t="shared" si="11"/>
        <v>656.06526436781598</v>
      </c>
      <c r="CH213" s="28">
        <f t="shared" si="12"/>
        <v>4.9620715222722866</v>
      </c>
      <c r="CI213" s="28">
        <f t="shared" si="13"/>
        <v>164.69697142531226</v>
      </c>
      <c r="CJ213" s="28">
        <f t="shared" si="14"/>
        <v>467.46443848742371</v>
      </c>
      <c r="CK213" s="23">
        <f t="shared" si="15"/>
        <v>5.7187869434675291E-2</v>
      </c>
      <c r="CL213" s="29" t="str">
        <f t="shared" si="16"/>
        <v/>
      </c>
      <c r="CM213" s="29" t="str">
        <f t="shared" si="66"/>
        <v/>
      </c>
      <c r="CN213" s="29" t="str">
        <f t="shared" si="18"/>
        <v/>
      </c>
      <c r="CO213" s="29" t="str">
        <f t="shared" si="19"/>
        <v/>
      </c>
      <c r="CP213" s="29" t="str">
        <f t="shared" si="20"/>
        <v/>
      </c>
      <c r="CQ213" s="29">
        <f t="shared" si="21"/>
        <v>0</v>
      </c>
      <c r="CR213" s="13"/>
      <c r="CS213" s="7">
        <f>VLOOKUP(A213,'Empresas 21-23'!$A$2:$M$228,13,0)</f>
        <v>1</v>
      </c>
      <c r="CT213" s="30"/>
      <c r="CU213" s="6">
        <f t="shared" si="22"/>
        <v>74792611</v>
      </c>
      <c r="CV213" s="6">
        <f t="shared" si="23"/>
        <v>8196054</v>
      </c>
      <c r="CW213" s="6">
        <f t="shared" si="24"/>
        <v>18881746</v>
      </c>
      <c r="CX213" s="23">
        <f t="shared" si="95"/>
        <v>0.30941122918857572</v>
      </c>
      <c r="CY213" s="23">
        <f t="shared" si="96"/>
        <v>3.3906439536332579E-2</v>
      </c>
      <c r="CZ213" s="6">
        <f t="shared" si="25"/>
        <v>80634835.239086479</v>
      </c>
      <c r="DA213" s="6">
        <f t="shared" si="26"/>
        <v>8836266.7790893894</v>
      </c>
      <c r="DB213" s="6">
        <f t="shared" si="27"/>
        <v>2887632</v>
      </c>
      <c r="DC213" s="6">
        <f t="shared" si="28"/>
        <v>3397968</v>
      </c>
      <c r="DD213" s="6">
        <f t="shared" si="29"/>
        <v>1879273</v>
      </c>
      <c r="DE213" s="6">
        <f t="shared" si="30"/>
        <v>5235076</v>
      </c>
      <c r="DF213" s="6">
        <f t="shared" si="91"/>
        <v>3129836.5876445198</v>
      </c>
      <c r="DG213" s="30"/>
      <c r="DH213" s="32">
        <f>VLOOKUP(A213,'T_med_comp-USA'!$A$7:$Q$233,17,0)</f>
        <v>24.540016693502423</v>
      </c>
      <c r="DI213" s="6" t="str">
        <f t="shared" si="32"/>
        <v>6_1997</v>
      </c>
      <c r="DJ213" s="32">
        <f>IF(DI213="","",VLOOKUP(DI213,'CPI USA'!$T:$U,2,FALSE))</f>
        <v>160.5</v>
      </c>
      <c r="DK213" s="32">
        <f>IF(DI213="","",VLOOKUP(DI213,'PPI USA'!$S:$T,2,FALSE))</f>
        <v>110</v>
      </c>
      <c r="DL213" s="32">
        <f>IF(DI213="","",VLOOKUP(DI213,'CPI USA'!$T:$V,3,FALSE))</f>
        <v>0.67718789164898041</v>
      </c>
      <c r="DM213" s="32">
        <f>IF(DI213="","",VLOOKUP(DI213,'CPI USA'!$T:$X,5,FALSE))</f>
        <v>0.50634515954078119</v>
      </c>
      <c r="DN213" s="32">
        <f t="shared" si="33"/>
        <v>2.0175155944497032</v>
      </c>
      <c r="DO213" s="32">
        <f t="shared" si="34"/>
        <v>2.0492901763571165</v>
      </c>
      <c r="DP213" s="32">
        <f t="shared" si="35"/>
        <v>0.31266622616732326</v>
      </c>
      <c r="DQ213" s="32">
        <f>IF(DP213="","",DP213*$DO$1/'CPI USA'!$U$508+(1-DP213)*AVERAGE($DO$1,$DQ$1)/AVERAGE('CPI USA'!$U$508,'PPI USA'!$T$514))</f>
        <v>1.167500355744111</v>
      </c>
      <c r="DR213" s="6">
        <f t="shared" si="36"/>
        <v>657029</v>
      </c>
      <c r="DS213" s="32">
        <f t="shared" si="37"/>
        <v>0.34961870893691338</v>
      </c>
      <c r="DT213" s="28">
        <f>IF(DS213="","",DS213*$DO$1/'CPI USA'!$U$508+(1-DS213)*AVERAGE($DO$1,$DQ$1)/AVERAGE('CPI USA'!$U$508,'PPI USA'!$T$514))</f>
        <v>1.1653162520199516</v>
      </c>
      <c r="DU213" s="6">
        <f t="shared" si="38"/>
        <v>1817660</v>
      </c>
      <c r="DV213" s="6">
        <f t="shared" si="39"/>
        <v>290560.77864213788</v>
      </c>
      <c r="DW213" s="6">
        <f t="shared" si="40"/>
        <v>547861.83731396834</v>
      </c>
      <c r="DX213" s="16">
        <f t="shared" si="41"/>
        <v>0.2</v>
      </c>
      <c r="DY213" s="28">
        <f>IF(DX213="","",DX213*$DO$1/'CPI USA'!$U$508+(1-DX213)*AVERAGE($DO$1,$DQ$1)/AVERAGE('CPI USA'!$U$508,'PPI USA'!$T$514))</f>
        <v>1.1741595760647974</v>
      </c>
      <c r="DZ213" s="30"/>
      <c r="EA213" s="45" t="str">
        <f t="shared" si="42"/>
        <v>C011150</v>
      </c>
      <c r="EB213" s="29">
        <f t="shared" si="94"/>
        <v>162682037.55073944</v>
      </c>
      <c r="EC213" s="29">
        <f t="shared" si="44"/>
        <v>18108074.706058625</v>
      </c>
      <c r="ED213" s="29">
        <f t="shared" si="45"/>
        <v>3967128.8488071053</v>
      </c>
      <c r="EE213" s="29">
        <f t="shared" si="46"/>
        <v>2189947.3688822906</v>
      </c>
      <c r="EF213" s="29">
        <f t="shared" si="47"/>
        <v>3674927.6009007813</v>
      </c>
      <c r="EG213" s="29">
        <f t="shared" si="48"/>
        <v>87</v>
      </c>
      <c r="EH213" s="29">
        <f t="shared" si="49"/>
        <v>17533</v>
      </c>
      <c r="EI213" s="29">
        <f t="shared" si="50"/>
        <v>23123</v>
      </c>
      <c r="EJ213" s="29">
        <f t="shared" si="51"/>
        <v>404334</v>
      </c>
      <c r="EK213" s="29">
        <f t="shared" si="52"/>
        <v>427457</v>
      </c>
      <c r="EL213" s="29">
        <f>IF(CD213=1,VLOOKUP(EA213,'EIA 2021'!$A$2:$J$213,4,0)*EH213,"")</f>
        <v>1525371</v>
      </c>
      <c r="EM213" s="29">
        <f>IF(CD213=1,VLOOKUP(EA213,'EIA 2021'!$A$2:$J$213,7,0)*EH213,"")</f>
        <v>47689.760000000002</v>
      </c>
      <c r="EN213" s="29">
        <f>IF(CD213=1,VLOOKUP(EA213,'EIA 2021'!$A$2:$J$213,10,0),"")</f>
        <v>17366</v>
      </c>
      <c r="EO213" s="28">
        <f>IF(CD213=1,VLOOKUP(EA213,'EIA 2021'!$A$2:$Z$213,26,0),"")</f>
        <v>0</v>
      </c>
      <c r="EP213" s="23">
        <f t="shared" si="53"/>
        <v>5.4094329955995571E-2</v>
      </c>
      <c r="EQ213" s="32">
        <f t="shared" si="54"/>
        <v>0</v>
      </c>
      <c r="ER213" s="32">
        <f t="shared" si="55"/>
        <v>23123</v>
      </c>
      <c r="ES213" s="6"/>
      <c r="ET213" s="32"/>
    </row>
    <row r="214" spans="1:150" ht="15.75" customHeight="1">
      <c r="A214" s="7" t="s">
        <v>844</v>
      </c>
      <c r="B214" s="7" t="s">
        <v>845</v>
      </c>
      <c r="C214" s="32" t="s">
        <v>846</v>
      </c>
      <c r="D214" s="40">
        <v>0</v>
      </c>
      <c r="E214" s="40">
        <v>0</v>
      </c>
      <c r="F214" s="40">
        <v>0</v>
      </c>
      <c r="G214" s="40">
        <v>60436646</v>
      </c>
      <c r="H214" s="40">
        <v>60439769</v>
      </c>
      <c r="I214" s="40">
        <v>67480</v>
      </c>
      <c r="J214" s="40">
        <v>13317</v>
      </c>
      <c r="K214" s="40">
        <v>39529</v>
      </c>
      <c r="L214" s="40">
        <v>3994</v>
      </c>
      <c r="M214" s="40">
        <v>45628</v>
      </c>
      <c r="N214" s="40">
        <v>2772</v>
      </c>
      <c r="O214" s="40">
        <v>261766</v>
      </c>
      <c r="P214" s="40">
        <v>3513</v>
      </c>
      <c r="Q214" s="40">
        <v>149872</v>
      </c>
      <c r="R214" s="40">
        <v>0</v>
      </c>
      <c r="S214" s="40">
        <v>49</v>
      </c>
      <c r="T214" s="40">
        <v>604824</v>
      </c>
      <c r="U214" s="40">
        <v>6233</v>
      </c>
      <c r="V214" s="40">
        <v>743</v>
      </c>
      <c r="W214" s="40">
        <v>0</v>
      </c>
      <c r="X214" s="40">
        <f>IFERROR(VLOOKUP(A214,'Trans 21-23'!$A$2:$J$229,6,0),0)</f>
        <v>62015</v>
      </c>
      <c r="Y214" s="41">
        <v>268930</v>
      </c>
      <c r="Z214" s="41">
        <v>36826</v>
      </c>
      <c r="AA214" s="41">
        <v>769460</v>
      </c>
      <c r="AB214" s="41">
        <v>1115370</v>
      </c>
      <c r="AC214" s="41">
        <v>0</v>
      </c>
      <c r="AD214" s="41">
        <v>3298775</v>
      </c>
      <c r="AE214" s="41">
        <v>0</v>
      </c>
      <c r="AF214" s="41">
        <v>67284636</v>
      </c>
      <c r="AG214" s="41">
        <v>15198</v>
      </c>
      <c r="AH214" s="41">
        <v>8557</v>
      </c>
      <c r="AI214" s="41">
        <v>803693</v>
      </c>
      <c r="AJ214" s="41">
        <v>0</v>
      </c>
      <c r="AK214" s="41">
        <v>0</v>
      </c>
      <c r="AL214" s="41">
        <v>88409</v>
      </c>
      <c r="AM214" s="41">
        <v>117388</v>
      </c>
      <c r="AN214" s="41">
        <v>584980</v>
      </c>
      <c r="AO214" s="41">
        <v>2318</v>
      </c>
      <c r="AP214" s="41">
        <v>0</v>
      </c>
      <c r="AQ214" s="41">
        <v>795136</v>
      </c>
      <c r="AR214" s="41">
        <v>0</v>
      </c>
      <c r="AS214" s="41">
        <v>795136</v>
      </c>
      <c r="AT214" s="41">
        <v>0</v>
      </c>
      <c r="AU214" s="41">
        <v>130</v>
      </c>
      <c r="AV214" s="41">
        <v>0</v>
      </c>
      <c r="AW214" s="41">
        <v>7105990</v>
      </c>
      <c r="AX214" s="41">
        <v>34822</v>
      </c>
      <c r="AY214" s="41">
        <v>6199167</v>
      </c>
      <c r="AZ214" s="41">
        <v>3845917</v>
      </c>
      <c r="BA214" s="41">
        <v>463033</v>
      </c>
      <c r="BB214" s="41">
        <v>45260467</v>
      </c>
      <c r="BC214" s="41">
        <v>72597060</v>
      </c>
      <c r="BD214" s="41">
        <v>3505110</v>
      </c>
      <c r="BE214" s="41">
        <v>25025575</v>
      </c>
      <c r="BF214" s="41">
        <v>1701269</v>
      </c>
      <c r="BG214" s="41">
        <v>0</v>
      </c>
      <c r="BH214" s="41">
        <v>879487</v>
      </c>
      <c r="BI214" s="41">
        <v>283745</v>
      </c>
      <c r="BJ214" s="41">
        <v>120166</v>
      </c>
      <c r="BK214" s="41">
        <v>0</v>
      </c>
      <c r="BL214" s="41">
        <v>0</v>
      </c>
      <c r="BM214" s="41">
        <v>510385</v>
      </c>
      <c r="BN214" s="41">
        <v>1797503</v>
      </c>
      <c r="BO214" s="41">
        <v>71984</v>
      </c>
      <c r="BP214" s="41">
        <v>588359</v>
      </c>
      <c r="BQ214" s="41">
        <v>7454117</v>
      </c>
      <c r="BR214" s="41">
        <v>2041</v>
      </c>
      <c r="BS214" s="42">
        <f>IFERROR(VLOOKUP(A214,'Trans 21-23'!$A$2:$J$229,5,0),0)</f>
        <v>3951355</v>
      </c>
      <c r="BT214" s="43"/>
      <c r="BU214" s="6">
        <f t="shared" si="0"/>
        <v>45260467</v>
      </c>
      <c r="BV214" s="6">
        <f t="shared" si="1"/>
        <v>130</v>
      </c>
      <c r="BW214" s="6">
        <f t="shared" si="2"/>
        <v>15198</v>
      </c>
      <c r="BX214" s="6">
        <f t="shared" si="3"/>
        <v>1199720</v>
      </c>
      <c r="BY214" s="6">
        <f t="shared" si="4"/>
        <v>2190586</v>
      </c>
      <c r="BZ214" s="6">
        <f t="shared" si="5"/>
        <v>3845917</v>
      </c>
      <c r="CA214" s="6">
        <f t="shared" si="6"/>
        <v>3298775</v>
      </c>
      <c r="CB214" s="6">
        <f t="shared" si="7"/>
        <v>8557</v>
      </c>
      <c r="CC214" s="6">
        <f t="shared" si="8"/>
        <v>795136</v>
      </c>
      <c r="CD214" s="6">
        <f t="shared" si="88"/>
        <v>1</v>
      </c>
      <c r="CE214" s="44">
        <f t="shared" si="10"/>
        <v>16</v>
      </c>
      <c r="CF214" s="27"/>
      <c r="CG214" s="28">
        <f t="shared" si="11"/>
        <v>348.15743846153845</v>
      </c>
      <c r="CH214" s="28">
        <f t="shared" si="12"/>
        <v>8.5537570732991188</v>
      </c>
      <c r="CI214" s="28">
        <f t="shared" si="13"/>
        <v>78.939334122910907</v>
      </c>
      <c r="CJ214" s="28">
        <f t="shared" si="14"/>
        <v>253.05415186208711</v>
      </c>
      <c r="CK214" s="23">
        <f t="shared" si="15"/>
        <v>1.076168102060528E-2</v>
      </c>
      <c r="CL214" s="29" t="str">
        <f t="shared" si="16"/>
        <v/>
      </c>
      <c r="CM214" s="29" t="str">
        <f t="shared" si="66"/>
        <v/>
      </c>
      <c r="CN214" s="29" t="str">
        <f t="shared" si="18"/>
        <v/>
      </c>
      <c r="CO214" s="29" t="str">
        <f t="shared" si="19"/>
        <v/>
      </c>
      <c r="CP214" s="29" t="str">
        <f t="shared" si="20"/>
        <v/>
      </c>
      <c r="CQ214" s="29">
        <f t="shared" si="21"/>
        <v>0</v>
      </c>
      <c r="CR214" s="13"/>
      <c r="CS214" s="7">
        <f>VLOOKUP(A214,'Empresas 21-23'!$A$2:$M$228,13,0)</f>
        <v>1</v>
      </c>
      <c r="CT214" s="30"/>
      <c r="CU214" s="6">
        <f t="shared" si="22"/>
        <v>41162478.600000001</v>
      </c>
      <c r="CV214" s="6">
        <f t="shared" si="23"/>
        <v>3845917</v>
      </c>
      <c r="CW214" s="6">
        <f t="shared" si="24"/>
        <v>3505110</v>
      </c>
      <c r="CX214" s="23">
        <f t="shared" si="95"/>
        <v>0.59576374092785056</v>
      </c>
      <c r="CY214" s="23">
        <f t="shared" si="96"/>
        <v>5.5663749539562858E-2</v>
      </c>
      <c r="CZ214" s="6">
        <f t="shared" si="25"/>
        <v>43250696.045963623</v>
      </c>
      <c r="DA214" s="6">
        <f t="shared" si="26"/>
        <v>4041024.5651486171</v>
      </c>
      <c r="DB214" s="6">
        <f t="shared" si="27"/>
        <v>1199720</v>
      </c>
      <c r="DC214" s="6">
        <f t="shared" si="28"/>
        <v>1261735</v>
      </c>
      <c r="DD214" s="6">
        <f t="shared" si="29"/>
        <v>2190586</v>
      </c>
      <c r="DE214" s="6">
        <f t="shared" si="30"/>
        <v>3298775</v>
      </c>
      <c r="DF214" s="6">
        <f t="shared" si="91"/>
        <v>3211543.9212448522</v>
      </c>
      <c r="DG214" s="30"/>
      <c r="DH214" s="32">
        <f>VLOOKUP(A214,'T_med_comp-USA'!$A$7:$Q$233,17,0)</f>
        <v>15.229845418198073</v>
      </c>
      <c r="DI214" s="6" t="str">
        <f t="shared" si="32"/>
        <v>10_2006</v>
      </c>
      <c r="DJ214" s="32">
        <f>IF(DI214="","",VLOOKUP(DI214,'CPI USA'!$T:$U,2,FALSE))</f>
        <v>201.6</v>
      </c>
      <c r="DK214" s="32">
        <f>IF(DI214="","",VLOOKUP(DI214,'PPI USA'!$S:$T,2,FALSE))</f>
        <v>145.30000000000001</v>
      </c>
      <c r="DL214" s="32">
        <f>IF(DI214="","",VLOOKUP(DI214,'CPI USA'!$T:$V,3,FALSE))</f>
        <v>0.67263024008352756</v>
      </c>
      <c r="DM214" s="32">
        <f>IF(DI214="","",VLOOKUP(DI214,'CPI USA'!$T:$X,5,FALSE))</f>
        <v>0.50115228263529643</v>
      </c>
      <c r="DN214" s="32">
        <f t="shared" si="33"/>
        <v>1.595396421204319</v>
      </c>
      <c r="DO214" s="32">
        <f t="shared" si="34"/>
        <v>1.6147712829199015</v>
      </c>
      <c r="DP214" s="32">
        <f t="shared" si="35"/>
        <v>0.76243416882874748</v>
      </c>
      <c r="DQ214" s="32">
        <f>IF(DP214="","",DP214*$DO$1/'CPI USA'!$U$508+(1-DP214)*AVERAGE($DO$1,$DQ$1)/AVERAGE('CPI USA'!$U$508,'PPI USA'!$T$514))</f>
        <v>1.1409164900618076</v>
      </c>
      <c r="DR214" s="6">
        <f t="shared" si="36"/>
        <v>403911</v>
      </c>
      <c r="DS214" s="32">
        <f t="shared" si="37"/>
        <v>0.2</v>
      </c>
      <c r="DT214" s="28">
        <f>IF(DS214="","",DS214*$DO$1/'CPI USA'!$U$508+(1-DS214)*AVERAGE($DO$1,$DQ$1)/AVERAGE('CPI USA'!$U$508,'PPI USA'!$T$514))</f>
        <v>1.1741595760647974</v>
      </c>
      <c r="DU214" s="6">
        <f t="shared" si="38"/>
        <v>530824.2169804445</v>
      </c>
      <c r="DV214" s="6">
        <f t="shared" si="39"/>
        <v>43737.284101041725</v>
      </c>
      <c r="DW214" s="6">
        <f t="shared" si="40"/>
        <v>410230.79314191814</v>
      </c>
      <c r="DX214" s="16">
        <f t="shared" si="41"/>
        <v>0.2</v>
      </c>
      <c r="DY214" s="28">
        <f>IF(DX214="","",DX214*$DO$1/'CPI USA'!$U$508+(1-DX214)*AVERAGE($DO$1,$DQ$1)/AVERAGE('CPI USA'!$U$508,'PPI USA'!$T$514))</f>
        <v>1.1741595760647974</v>
      </c>
      <c r="DZ214" s="30"/>
      <c r="EA214" s="45" t="str">
        <f t="shared" si="42"/>
        <v>C011163</v>
      </c>
      <c r="EB214" s="29">
        <f t="shared" si="94"/>
        <v>69002005.686326161</v>
      </c>
      <c r="EC214" s="29">
        <f t="shared" si="44"/>
        <v>6525330.4213758698</v>
      </c>
      <c r="ED214" s="29">
        <f t="shared" si="45"/>
        <v>1439534.2675881349</v>
      </c>
      <c r="EE214" s="29">
        <f t="shared" si="46"/>
        <v>2572097.5290934802</v>
      </c>
      <c r="EF214" s="29">
        <f t="shared" si="47"/>
        <v>3770865.0490823328</v>
      </c>
      <c r="EG214" s="29">
        <f t="shared" si="48"/>
        <v>130</v>
      </c>
      <c r="EH214" s="29">
        <f t="shared" si="49"/>
        <v>15198</v>
      </c>
      <c r="EI214" s="29">
        <f t="shared" si="50"/>
        <v>8557</v>
      </c>
      <c r="EJ214" s="29">
        <f t="shared" si="51"/>
        <v>795136</v>
      </c>
      <c r="EK214" s="29">
        <f t="shared" si="52"/>
        <v>803693</v>
      </c>
      <c r="EL214" s="29">
        <f>IF(CD214=1,VLOOKUP(EA214,'EIA 2021'!$A$2:$J$213,4,0)*EH214,"")</f>
        <v>324629.27999999997</v>
      </c>
      <c r="EM214" s="29">
        <f>IF(CD214=1,VLOOKUP(EA214,'EIA 2021'!$A$2:$J$213,7,0)*EH214,"")</f>
        <v>6687.12</v>
      </c>
      <c r="EN214" s="29">
        <f>IF(CD214=1,VLOOKUP(EA214,'EIA 2021'!$A$2:$J$213,10,0),"")</f>
        <v>14761</v>
      </c>
      <c r="EO214" s="28">
        <f>IF(CD214=1,VLOOKUP(EA214,'EIA 2021'!$A$2:$Z$213,26,0),"")</f>
        <v>0</v>
      </c>
      <c r="EP214" s="23">
        <f t="shared" si="53"/>
        <v>1.0647100323133336E-2</v>
      </c>
      <c r="EQ214" s="32">
        <f t="shared" si="54"/>
        <v>0</v>
      </c>
      <c r="ER214" s="32">
        <f t="shared" si="55"/>
        <v>8557</v>
      </c>
      <c r="ES214" s="6"/>
      <c r="ET214" s="32"/>
    </row>
    <row r="215" spans="1:150" ht="15.75" customHeight="1">
      <c r="A215" s="7" t="s">
        <v>847</v>
      </c>
      <c r="B215" s="7" t="s">
        <v>848</v>
      </c>
      <c r="C215" s="32" t="s">
        <v>849</v>
      </c>
      <c r="D215" s="40">
        <v>0</v>
      </c>
      <c r="E215" s="40">
        <v>0</v>
      </c>
      <c r="F215" s="40">
        <v>178582</v>
      </c>
      <c r="G215" s="40">
        <v>176425221</v>
      </c>
      <c r="H215" s="40">
        <v>179906954</v>
      </c>
      <c r="I215" s="40">
        <v>2893940</v>
      </c>
      <c r="J215" s="40">
        <v>321029</v>
      </c>
      <c r="K215" s="40">
        <v>0</v>
      </c>
      <c r="L215" s="40">
        <v>21976062</v>
      </c>
      <c r="M215" s="40">
        <v>1275290</v>
      </c>
      <c r="N215" s="40">
        <v>1467490</v>
      </c>
      <c r="O215" s="40">
        <v>9347357</v>
      </c>
      <c r="P215" s="40">
        <v>553707</v>
      </c>
      <c r="Q215" s="40">
        <v>1881</v>
      </c>
      <c r="R215" s="40">
        <v>0</v>
      </c>
      <c r="S215" s="40">
        <v>607414</v>
      </c>
      <c r="T215" s="40">
        <v>39709443</v>
      </c>
      <c r="U215" s="40">
        <v>1177150</v>
      </c>
      <c r="V215" s="40">
        <v>0</v>
      </c>
      <c r="W215" s="40">
        <v>2104</v>
      </c>
      <c r="X215" s="40">
        <f>IFERROR(VLOOKUP(A215,'Trans 21-23'!$A$2:$J$229,6,0),0)</f>
        <v>3855514</v>
      </c>
      <c r="Y215" s="41">
        <v>1778422</v>
      </c>
      <c r="Z215" s="41">
        <v>0</v>
      </c>
      <c r="AA215" s="41">
        <v>23165058</v>
      </c>
      <c r="AB215" s="41">
        <v>60005308</v>
      </c>
      <c r="AC215" s="41">
        <v>0</v>
      </c>
      <c r="AD215" s="41">
        <v>67069953</v>
      </c>
      <c r="AE215" s="41">
        <v>0</v>
      </c>
      <c r="AF215" s="41">
        <v>426928749</v>
      </c>
      <c r="AG215" s="41">
        <v>249492</v>
      </c>
      <c r="AH215" s="41">
        <v>260977</v>
      </c>
      <c r="AI215" s="41">
        <v>2992561</v>
      </c>
      <c r="AJ215" s="41">
        <v>9876</v>
      </c>
      <c r="AK215" s="41">
        <v>0</v>
      </c>
      <c r="AL215" s="41">
        <v>1829227</v>
      </c>
      <c r="AM215" s="41">
        <v>616069</v>
      </c>
      <c r="AN215" s="41">
        <v>66720</v>
      </c>
      <c r="AO215" s="41">
        <v>11369</v>
      </c>
      <c r="AP215" s="41">
        <v>141345</v>
      </c>
      <c r="AQ215" s="41">
        <v>2665685</v>
      </c>
      <c r="AR215" s="41">
        <v>56023</v>
      </c>
      <c r="AS215" s="41">
        <v>2721708</v>
      </c>
      <c r="AT215" s="41">
        <v>0</v>
      </c>
      <c r="AU215" s="41">
        <v>1148</v>
      </c>
      <c r="AV215" s="41">
        <v>0</v>
      </c>
      <c r="AW215" s="41">
        <v>258540251</v>
      </c>
      <c r="AX215" s="41">
        <v>45191384</v>
      </c>
      <c r="AY215" s="41">
        <v>74148341</v>
      </c>
      <c r="AZ215" s="41">
        <v>50149912</v>
      </c>
      <c r="BA215" s="41">
        <v>16294932</v>
      </c>
      <c r="BB215" s="41">
        <v>1184840053</v>
      </c>
      <c r="BC215" s="41">
        <v>1687081953</v>
      </c>
      <c r="BD215" s="41">
        <v>4238811</v>
      </c>
      <c r="BE215" s="41">
        <v>270264631</v>
      </c>
      <c r="BF215" s="41">
        <v>26464717</v>
      </c>
      <c r="BG215" s="41">
        <v>0</v>
      </c>
      <c r="BH215" s="41">
        <v>28036761</v>
      </c>
      <c r="BI215" s="41">
        <v>6453700</v>
      </c>
      <c r="BJ215" s="41">
        <v>764836</v>
      </c>
      <c r="BK215" s="41">
        <v>0</v>
      </c>
      <c r="BL215" s="41">
        <v>0</v>
      </c>
      <c r="BM215" s="41">
        <v>30113707</v>
      </c>
      <c r="BN215" s="41">
        <v>73486310</v>
      </c>
      <c r="BO215" s="41">
        <v>3082418</v>
      </c>
      <c r="BP215" s="41">
        <v>9265008</v>
      </c>
      <c r="BQ215" s="41">
        <v>144221622</v>
      </c>
      <c r="BR215" s="41">
        <v>955</v>
      </c>
      <c r="BS215" s="42">
        <f>IFERROR(VLOOKUP(A215,'Trans 21-23'!$A$2:$J$229,5,0),0)</f>
        <v>245656453</v>
      </c>
      <c r="BT215" s="43"/>
      <c r="BU215" s="6">
        <f t="shared" si="0"/>
        <v>1184840053</v>
      </c>
      <c r="BV215" s="6">
        <f t="shared" si="1"/>
        <v>1148</v>
      </c>
      <c r="BW215" s="6">
        <f t="shared" si="2"/>
        <v>249492</v>
      </c>
      <c r="BX215" s="6">
        <f t="shared" si="3"/>
        <v>79332867</v>
      </c>
      <c r="BY215" s="6">
        <f t="shared" si="4"/>
        <v>84948788</v>
      </c>
      <c r="BZ215" s="6">
        <f t="shared" si="5"/>
        <v>50149912</v>
      </c>
      <c r="CA215" s="6">
        <f t="shared" si="6"/>
        <v>67069953</v>
      </c>
      <c r="CB215" s="6">
        <f t="shared" si="7"/>
        <v>260977</v>
      </c>
      <c r="CC215" s="6">
        <f t="shared" si="8"/>
        <v>2665685</v>
      </c>
      <c r="CD215" s="6">
        <f t="shared" si="88"/>
        <v>1</v>
      </c>
      <c r="CE215" s="44">
        <f t="shared" si="10"/>
        <v>14</v>
      </c>
      <c r="CF215" s="27"/>
      <c r="CG215" s="28">
        <f t="shared" si="11"/>
        <v>1032.0906385017422</v>
      </c>
      <c r="CH215" s="28">
        <f t="shared" si="12"/>
        <v>4.6013499430843474</v>
      </c>
      <c r="CI215" s="28">
        <f t="shared" si="13"/>
        <v>317.97759848011157</v>
      </c>
      <c r="CJ215" s="28">
        <f t="shared" si="14"/>
        <v>201.00809645199044</v>
      </c>
      <c r="CK215" s="23">
        <f t="shared" si="15"/>
        <v>9.7902415326642123E-2</v>
      </c>
      <c r="CL215" s="29" t="str">
        <f t="shared" si="16"/>
        <v/>
      </c>
      <c r="CM215" s="29" t="str">
        <f t="shared" si="66"/>
        <v/>
      </c>
      <c r="CN215" s="29" t="str">
        <f t="shared" si="18"/>
        <v/>
      </c>
      <c r="CO215" s="29" t="str">
        <f t="shared" si="19"/>
        <v/>
      </c>
      <c r="CP215" s="29" t="str">
        <f t="shared" si="20"/>
        <v/>
      </c>
      <c r="CQ215" s="29">
        <f t="shared" si="21"/>
        <v>0</v>
      </c>
      <c r="CR215" s="13"/>
      <c r="CS215" s="7" t="str">
        <f>VLOOKUP(A215,'Empresas 21-23'!$A$2:$M$228,13,0)</f>
        <v/>
      </c>
      <c r="CT215" s="30"/>
      <c r="CU215" s="6">
        <f t="shared" si="22"/>
        <v>1292447827</v>
      </c>
      <c r="CV215" s="6">
        <f t="shared" si="23"/>
        <v>50149912</v>
      </c>
      <c r="CW215" s="6">
        <f t="shared" si="24"/>
        <v>4238811</v>
      </c>
      <c r="CX215" s="23">
        <f t="shared" si="95"/>
        <v>0.76801443624981658</v>
      </c>
      <c r="CY215" s="23">
        <f t="shared" si="96"/>
        <v>2.9800704978598654E-2</v>
      </c>
      <c r="CZ215" s="6">
        <f t="shared" si="25"/>
        <v>1295703295.0405345</v>
      </c>
      <c r="DA215" s="6">
        <f t="shared" si="26"/>
        <v>50276231.556071036</v>
      </c>
      <c r="DB215" s="6">
        <f t="shared" si="27"/>
        <v>79332867</v>
      </c>
      <c r="DC215" s="6">
        <f t="shared" si="28"/>
        <v>83188381</v>
      </c>
      <c r="DD215" s="6">
        <f t="shared" si="29"/>
        <v>84948788</v>
      </c>
      <c r="DE215" s="6">
        <f t="shared" si="30"/>
        <v>67069953</v>
      </c>
      <c r="DF215" s="6">
        <f t="shared" si="91"/>
        <v>62728750.774075389</v>
      </c>
      <c r="DG215" s="30"/>
      <c r="DH215" s="32">
        <f>VLOOKUP(A215,'T_med_comp-USA'!$A$7:$Q$233,17,0)</f>
        <v>10.212262273577307</v>
      </c>
      <c r="DI215" s="6" t="str">
        <f t="shared" si="32"/>
        <v>10_2011</v>
      </c>
      <c r="DJ215" s="32">
        <f>IF(DI215="","",VLOOKUP(DI215,'CPI USA'!$T:$U,2,FALSE))</f>
        <v>224.93899999999999</v>
      </c>
      <c r="DK215" s="32">
        <f>IF(DI215="","",VLOOKUP(DI215,'PPI USA'!$S:$T,2,FALSE))</f>
        <v>169.6</v>
      </c>
      <c r="DL215" s="32">
        <f>IF(DI215="","",VLOOKUP(DI215,'CPI USA'!$T:$V,3,FALSE))</f>
        <v>0.6684022975047168</v>
      </c>
      <c r="DM215" s="32">
        <f>IF(DI215="","",VLOOKUP(DI215,'CPI USA'!$T:$X,5,FALSE))</f>
        <v>0.49636791791307899</v>
      </c>
      <c r="DN215" s="32">
        <f t="shared" si="33"/>
        <v>1.4208751760332547</v>
      </c>
      <c r="DO215" s="32">
        <f t="shared" si="34"/>
        <v>1.4334111417560953</v>
      </c>
      <c r="DP215" s="32">
        <f t="shared" si="35"/>
        <v>0.36823043580832493</v>
      </c>
      <c r="DQ215" s="32">
        <f>IF(DP215="","",DP215*$DO$1/'CPI USA'!$U$508+(1-DP215)*AVERAGE($DO$1,$DQ$1)/AVERAGE('CPI USA'!$U$508,'PPI USA'!$T$514))</f>
        <v>1.1642161921883469</v>
      </c>
      <c r="DR215" s="6">
        <f t="shared" si="36"/>
        <v>7218536</v>
      </c>
      <c r="DS215" s="32">
        <f t="shared" si="37"/>
        <v>0.2</v>
      </c>
      <c r="DT215" s="28">
        <f>IF(DS215="","",DS215*$DO$1/'CPI USA'!$U$508+(1-DS215)*AVERAGE($DO$1,$DQ$1)/AVERAGE('CPI USA'!$U$508,'PPI USA'!$T$514))</f>
        <v>1.1741595760647974</v>
      </c>
      <c r="DU215" s="6">
        <f t="shared" si="38"/>
        <v>31376840.670795634</v>
      </c>
      <c r="DV215" s="6">
        <f t="shared" si="39"/>
        <v>2067358.7458607696</v>
      </c>
      <c r="DW215" s="6">
        <f t="shared" si="40"/>
        <v>16044963.794772772</v>
      </c>
      <c r="DX215" s="16">
        <f t="shared" si="41"/>
        <v>0.25578325085032388</v>
      </c>
      <c r="DY215" s="28">
        <f>IF(DX215="","",DX215*$DO$1/'CPI USA'!$U$508+(1-DX215)*AVERAGE($DO$1,$DQ$1)/AVERAGE('CPI USA'!$U$508,'PPI USA'!$T$514))</f>
        <v>1.1708624659169458</v>
      </c>
      <c r="DZ215" s="30"/>
      <c r="EA215" s="45" t="str">
        <f t="shared" si="42"/>
        <v>C011285</v>
      </c>
      <c r="EB215" s="29">
        <f t="shared" si="94"/>
        <v>1841032647.4275877</v>
      </c>
      <c r="EC215" s="29">
        <f t="shared" si="44"/>
        <v>72066510.477981612</v>
      </c>
      <c r="ED215" s="29">
        <f t="shared" si="45"/>
        <v>96849260.162133425</v>
      </c>
      <c r="EE215" s="29">
        <f t="shared" si="46"/>
        <v>99743432.905298352</v>
      </c>
      <c r="EF215" s="29">
        <f t="shared" si="47"/>
        <v>73446739.815223426</v>
      </c>
      <c r="EG215" s="29">
        <f t="shared" si="48"/>
        <v>1148</v>
      </c>
      <c r="EH215" s="29">
        <f t="shared" si="49"/>
        <v>249492</v>
      </c>
      <c r="EI215" s="29">
        <f t="shared" si="50"/>
        <v>260977</v>
      </c>
      <c r="EJ215" s="29">
        <f t="shared" si="51"/>
        <v>2665685</v>
      </c>
      <c r="EK215" s="29">
        <f t="shared" si="52"/>
        <v>2925808.8578680204</v>
      </c>
      <c r="EL215" s="29" t="e">
        <f>IF(CD215=1,VLOOKUP(EA215,'EIA 2021'!$A$2:$J$220,4,0)*EH215,"")</f>
        <v>#VALUE!</v>
      </c>
      <c r="EM215" s="29" t="e">
        <f>IF(CD215=1,VLOOKUP(EA215,'EIA 2021'!$A$2:$J$221,7,0)*EH215,"")</f>
        <v>#VALUE!</v>
      </c>
      <c r="EN215" s="29">
        <f>IF(CD215=1,VLOOKUP(EA215,'EIA 2021'!$A$2:$J$221,10,0),"")</f>
        <v>0</v>
      </c>
      <c r="EO215" s="28">
        <f>IF(CD215=1,VLOOKUP(EA215,'EIA 2021'!$A$2:$Z$221,26,0),"")</f>
        <v>0</v>
      </c>
      <c r="EP215" s="23">
        <f t="shared" si="53"/>
        <v>8.8906647872263073E-2</v>
      </c>
      <c r="EQ215" s="32">
        <f t="shared" si="54"/>
        <v>853.14213197969366</v>
      </c>
      <c r="ER215" s="32">
        <f t="shared" si="55"/>
        <v>260123.85786802031</v>
      </c>
      <c r="ES215" s="6"/>
      <c r="ET215" s="32"/>
    </row>
    <row r="216" spans="1:150" ht="15.75" customHeight="1">
      <c r="A216" s="7" t="s">
        <v>850</v>
      </c>
      <c r="B216" s="7" t="s">
        <v>851</v>
      </c>
      <c r="C216" s="32" t="s">
        <v>852</v>
      </c>
      <c r="D216" s="40">
        <v>0</v>
      </c>
      <c r="E216" s="40">
        <v>0</v>
      </c>
      <c r="F216" s="40">
        <v>0</v>
      </c>
      <c r="G216" s="40">
        <v>4094977</v>
      </c>
      <c r="H216" s="40">
        <v>4094977</v>
      </c>
      <c r="I216" s="40">
        <v>0</v>
      </c>
      <c r="J216" s="40">
        <v>101507</v>
      </c>
      <c r="K216" s="40">
        <v>1850</v>
      </c>
      <c r="L216" s="40">
        <v>74528</v>
      </c>
      <c r="M216" s="40">
        <v>34971</v>
      </c>
      <c r="N216" s="40">
        <v>30215</v>
      </c>
      <c r="O216" s="40">
        <v>205090</v>
      </c>
      <c r="P216" s="40">
        <v>0</v>
      </c>
      <c r="Q216" s="40">
        <v>7105</v>
      </c>
      <c r="R216" s="40">
        <v>0</v>
      </c>
      <c r="S216" s="40">
        <v>8032</v>
      </c>
      <c r="T216" s="40">
        <v>1075881</v>
      </c>
      <c r="U216" s="40">
        <v>595</v>
      </c>
      <c r="V216" s="40">
        <v>0</v>
      </c>
      <c r="W216" s="40">
        <v>0</v>
      </c>
      <c r="X216" s="40">
        <f>IFERROR(VLOOKUP(A216,'Trans 21-23'!$A$2:$J$229,6,0),0)</f>
        <v>0</v>
      </c>
      <c r="Y216" s="41">
        <v>124228</v>
      </c>
      <c r="Z216" s="41">
        <v>133225</v>
      </c>
      <c r="AA216" s="41">
        <v>681968</v>
      </c>
      <c r="AB216" s="41">
        <v>5852</v>
      </c>
      <c r="AC216" s="41">
        <v>1126</v>
      </c>
      <c r="AD216" s="41">
        <v>2770345</v>
      </c>
      <c r="AE216" s="41">
        <v>0</v>
      </c>
      <c r="AF216" s="41">
        <v>10485475</v>
      </c>
      <c r="AG216" s="41">
        <v>5262</v>
      </c>
      <c r="AH216" s="41">
        <v>5773</v>
      </c>
      <c r="AI216" s="41">
        <v>95245</v>
      </c>
      <c r="AJ216" s="41">
        <v>360</v>
      </c>
      <c r="AK216" s="41">
        <v>297</v>
      </c>
      <c r="AL216" s="41">
        <v>48395</v>
      </c>
      <c r="AM216" s="41">
        <v>14426</v>
      </c>
      <c r="AN216" s="41">
        <v>22048</v>
      </c>
      <c r="AO216" s="41">
        <v>0</v>
      </c>
      <c r="AP216" s="41">
        <v>475</v>
      </c>
      <c r="AQ216" s="41">
        <v>85344</v>
      </c>
      <c r="AR216" s="41">
        <v>3470</v>
      </c>
      <c r="AS216" s="41">
        <v>88814</v>
      </c>
      <c r="AT216" s="41">
        <v>0</v>
      </c>
      <c r="AU216" s="41">
        <v>23</v>
      </c>
      <c r="AV216" s="41">
        <v>0</v>
      </c>
      <c r="AW216" s="41">
        <v>7920464</v>
      </c>
      <c r="AX216" s="41">
        <v>153762</v>
      </c>
      <c r="AY216" s="41">
        <v>900391</v>
      </c>
      <c r="AZ216" s="41">
        <v>1455854</v>
      </c>
      <c r="BA216" s="41">
        <v>199208</v>
      </c>
      <c r="BB216" s="41">
        <v>26356170</v>
      </c>
      <c r="BC216" s="41">
        <v>41165728</v>
      </c>
      <c r="BD216" s="41">
        <v>6250683</v>
      </c>
      <c r="BE216" s="41">
        <v>12403884</v>
      </c>
      <c r="BF216" s="41">
        <v>711238</v>
      </c>
      <c r="BG216" s="41">
        <v>0</v>
      </c>
      <c r="BH216" s="41">
        <v>663362</v>
      </c>
      <c r="BI216" s="41">
        <v>205758</v>
      </c>
      <c r="BJ216" s="41">
        <v>0</v>
      </c>
      <c r="BK216" s="41">
        <v>0</v>
      </c>
      <c r="BL216" s="41">
        <v>0</v>
      </c>
      <c r="BM216" s="41">
        <v>975363</v>
      </c>
      <c r="BN216" s="41">
        <v>1863377</v>
      </c>
      <c r="BO216" s="41">
        <v>45999</v>
      </c>
      <c r="BP216" s="41">
        <v>0</v>
      </c>
      <c r="BQ216" s="41">
        <v>3069096</v>
      </c>
      <c r="BR216" s="41">
        <v>0</v>
      </c>
      <c r="BS216" s="42">
        <f>IFERROR(VLOOKUP(A216,'Trans 21-23'!$A$2:$J$229,5,0),0)</f>
        <v>0</v>
      </c>
      <c r="BT216" s="43"/>
      <c r="BU216" s="6">
        <f t="shared" si="0"/>
        <v>26356170</v>
      </c>
      <c r="BV216" s="6">
        <f t="shared" si="1"/>
        <v>23</v>
      </c>
      <c r="BW216" s="6">
        <f t="shared" si="2"/>
        <v>5262</v>
      </c>
      <c r="BX216" s="6">
        <f t="shared" si="3"/>
        <v>1539774</v>
      </c>
      <c r="BY216" s="6">
        <f t="shared" si="4"/>
        <v>946399</v>
      </c>
      <c r="BZ216" s="6">
        <f t="shared" si="5"/>
        <v>1455854</v>
      </c>
      <c r="CA216" s="6">
        <f t="shared" si="6"/>
        <v>2770345</v>
      </c>
      <c r="CB216" s="6">
        <f t="shared" si="7"/>
        <v>5773</v>
      </c>
      <c r="CC216" s="6">
        <f t="shared" si="8"/>
        <v>85344</v>
      </c>
      <c r="CD216" s="6">
        <f t="shared" si="88"/>
        <v>1</v>
      </c>
      <c r="CE216" s="44">
        <f t="shared" si="10"/>
        <v>20</v>
      </c>
      <c r="CF216" s="27"/>
      <c r="CG216" s="28">
        <f t="shared" si="11"/>
        <v>1145.9204347826087</v>
      </c>
      <c r="CH216" s="28">
        <f t="shared" si="12"/>
        <v>4.3709616115545424</v>
      </c>
      <c r="CI216" s="28">
        <f t="shared" si="13"/>
        <v>292.62143671607754</v>
      </c>
      <c r="CJ216" s="28">
        <f t="shared" si="14"/>
        <v>276.6731280881794</v>
      </c>
      <c r="CK216" s="23">
        <f t="shared" si="15"/>
        <v>6.7643888263967E-2</v>
      </c>
      <c r="CL216" s="29" t="str">
        <f t="shared" si="16"/>
        <v/>
      </c>
      <c r="CM216" s="29" t="str">
        <f t="shared" si="66"/>
        <v/>
      </c>
      <c r="CN216" s="29" t="str">
        <f t="shared" si="18"/>
        <v/>
      </c>
      <c r="CO216" s="29" t="str">
        <f t="shared" si="19"/>
        <v/>
      </c>
      <c r="CP216" s="29" t="str">
        <f t="shared" si="20"/>
        <v/>
      </c>
      <c r="CQ216" s="29">
        <f t="shared" si="21"/>
        <v>0</v>
      </c>
      <c r="CR216" s="13"/>
      <c r="CS216" s="7" t="str">
        <f>VLOOKUP(A216,'Empresas 21-23'!$A$2:$M$228,13,0)</f>
        <v/>
      </c>
      <c r="CT216" s="30"/>
      <c r="CU216" s="6">
        <f t="shared" si="22"/>
        <v>24068616.199999999</v>
      </c>
      <c r="CV216" s="6">
        <f t="shared" si="23"/>
        <v>1455854</v>
      </c>
      <c r="CW216" s="6">
        <f t="shared" si="24"/>
        <v>6250683</v>
      </c>
      <c r="CX216" s="23">
        <f t="shared" si="95"/>
        <v>0.68934799310726935</v>
      </c>
      <c r="CY216" s="23">
        <f t="shared" si="96"/>
        <v>4.1697039199004325E-2</v>
      </c>
      <c r="CZ216" s="6">
        <f t="shared" si="25"/>
        <v>28377511.981599726</v>
      </c>
      <c r="DA216" s="6">
        <f t="shared" si="26"/>
        <v>1716488.97407155</v>
      </c>
      <c r="DB216" s="6">
        <f t="shared" si="27"/>
        <v>1539774</v>
      </c>
      <c r="DC216" s="6">
        <f t="shared" si="28"/>
        <v>1539774</v>
      </c>
      <c r="DD216" s="6">
        <f t="shared" si="29"/>
        <v>946399</v>
      </c>
      <c r="DE216" s="6">
        <f t="shared" si="30"/>
        <v>2770345</v>
      </c>
      <c r="DF216" s="6">
        <f t="shared" si="91"/>
        <v>1902559.6265365027</v>
      </c>
      <c r="DG216" s="30"/>
      <c r="DH216" s="32">
        <f>VLOOKUP(A216,'T_med_comp-USA'!$A$7:$Q$233,17,0)</f>
        <v>15.923258841579615</v>
      </c>
      <c r="DI216" s="6" t="str">
        <f t="shared" si="32"/>
        <v>2_2006</v>
      </c>
      <c r="DJ216" s="32">
        <f>IF(DI216="","",VLOOKUP(DI216,'CPI USA'!$T:$U,2,FALSE))</f>
        <v>201.6</v>
      </c>
      <c r="DK216" s="32">
        <f>IF(DI216="","",VLOOKUP(DI216,'PPI USA'!$S:$T,2,FALSE))</f>
        <v>145.30000000000001</v>
      </c>
      <c r="DL216" s="32">
        <f>IF(DI216="","",VLOOKUP(DI216,'CPI USA'!$T:$V,3,FALSE))</f>
        <v>0.67263024008352756</v>
      </c>
      <c r="DM216" s="32">
        <f>IF(DI216="","",VLOOKUP(DI216,'CPI USA'!$T:$X,5,FALSE))</f>
        <v>0.50115228263529643</v>
      </c>
      <c r="DN216" s="32">
        <f t="shared" si="33"/>
        <v>1.595396421204319</v>
      </c>
      <c r="DO216" s="32">
        <f t="shared" si="34"/>
        <v>1.6147712829199015</v>
      </c>
      <c r="DP216" s="32">
        <f t="shared" si="35"/>
        <v>0.44145286176192411</v>
      </c>
      <c r="DQ216" s="32">
        <f>IF(DP216="","",DP216*$DO$1/'CPI USA'!$U$508+(1-DP216)*AVERAGE($DO$1,$DQ$1)/AVERAGE('CPI USA'!$U$508,'PPI USA'!$T$514))</f>
        <v>1.1598883267451927</v>
      </c>
      <c r="DR216" s="6">
        <f t="shared" si="36"/>
        <v>205758</v>
      </c>
      <c r="DS216" s="32">
        <f t="shared" si="37"/>
        <v>0.22277845405854962</v>
      </c>
      <c r="DT216" s="28">
        <f>IF(DS216="","",DS216*$DO$1/'CPI USA'!$U$508+(1-DS216)*AVERAGE($DO$1,$DQ$1)/AVERAGE('CPI USA'!$U$508,'PPI USA'!$T$514))</f>
        <v>1.1728132387523604</v>
      </c>
      <c r="DU216" s="6">
        <f t="shared" si="38"/>
        <v>999440.64109839289</v>
      </c>
      <c r="DV216" s="6">
        <f t="shared" si="39"/>
        <v>0</v>
      </c>
      <c r="DW216" s="6">
        <f t="shared" si="40"/>
        <v>466161.08817026037</v>
      </c>
      <c r="DX216" s="16">
        <f t="shared" si="41"/>
        <v>0.24501785997576278</v>
      </c>
      <c r="DY216" s="28">
        <f>IF(DX216="","",DX216*$DO$1/'CPI USA'!$U$508+(1-DX216)*AVERAGE($DO$1,$DQ$1)/AVERAGE('CPI USA'!$U$508,'PPI USA'!$T$514))</f>
        <v>1.1714987622775388</v>
      </c>
      <c r="DZ216" s="30"/>
      <c r="EA216" s="45" t="str">
        <f t="shared" si="42"/>
        <v>C011301</v>
      </c>
      <c r="EB216" s="29">
        <f t="shared" si="94"/>
        <v>45273381.058126889</v>
      </c>
      <c r="EC216" s="29">
        <f t="shared" si="44"/>
        <v>2771737.1027793824</v>
      </c>
      <c r="ED216" s="29">
        <f t="shared" si="45"/>
        <v>1785965.8884257523</v>
      </c>
      <c r="EE216" s="29">
        <f t="shared" si="46"/>
        <v>1109949.2763419952</v>
      </c>
      <c r="EF216" s="29">
        <f t="shared" si="47"/>
        <v>2228846.2476467295</v>
      </c>
      <c r="EG216" s="29">
        <f t="shared" si="48"/>
        <v>23</v>
      </c>
      <c r="EH216" s="29">
        <f t="shared" si="49"/>
        <v>5262</v>
      </c>
      <c r="EI216" s="29">
        <f t="shared" si="50"/>
        <v>5773</v>
      </c>
      <c r="EJ216" s="29">
        <f t="shared" si="51"/>
        <v>85344</v>
      </c>
      <c r="EK216" s="29">
        <f t="shared" si="52"/>
        <v>91064.157360406098</v>
      </c>
      <c r="EL216" s="29">
        <f>IF(CD216=1,VLOOKUP(EA216,'EIA 2021'!$A$2:$J$220,4,0)*EH216,"")</f>
        <v>245109.22200000001</v>
      </c>
      <c r="EM216" s="29">
        <f>IF(CD216=1,VLOOKUP(EA216,'EIA 2021'!$A$2:$J$221,7,0)*EH216,"")</f>
        <v>7051.0800000000008</v>
      </c>
      <c r="EN216" s="29">
        <f>IF(CD216=1,VLOOKUP(EA216,'EIA 2021'!$A$2:$J$221,10,0),"")</f>
        <v>0</v>
      </c>
      <c r="EO216" s="28">
        <f>IF(CD216=1,VLOOKUP(EA216,'EIA 2021'!$A$2:$Z$221,26,0),"")</f>
        <v>0</v>
      </c>
      <c r="EP216" s="23">
        <f t="shared" si="53"/>
        <v>6.2814586179799931E-2</v>
      </c>
      <c r="EQ216" s="32">
        <f t="shared" si="54"/>
        <v>52.842639593908643</v>
      </c>
      <c r="ER216" s="32">
        <f t="shared" si="55"/>
        <v>5720.1573604060914</v>
      </c>
      <c r="ES216" s="6"/>
      <c r="ET216" s="32"/>
    </row>
    <row r="217" spans="1:150" ht="15.75" customHeight="1">
      <c r="A217" s="7" t="s">
        <v>853</v>
      </c>
      <c r="B217" s="7" t="s">
        <v>854</v>
      </c>
      <c r="C217" s="32" t="s">
        <v>855</v>
      </c>
      <c r="D217" s="40">
        <v>0</v>
      </c>
      <c r="E217" s="40">
        <v>0</v>
      </c>
      <c r="F217" s="40">
        <v>0</v>
      </c>
      <c r="G217" s="40">
        <v>0</v>
      </c>
      <c r="H217" s="40">
        <v>0</v>
      </c>
      <c r="I217" s="40">
        <v>0</v>
      </c>
      <c r="J217" s="40">
        <v>0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f>IFERROR(VLOOKUP(A217,'Trans 21-23'!$A$2:$J$229,6,0),0)</f>
        <v>0</v>
      </c>
      <c r="Y217" s="41">
        <v>0</v>
      </c>
      <c r="Z217" s="41">
        <v>0</v>
      </c>
      <c r="AA217" s="41">
        <v>0</v>
      </c>
      <c r="AB217" s="41">
        <v>0</v>
      </c>
      <c r="AC217" s="41">
        <v>0</v>
      </c>
      <c r="AD217" s="41">
        <v>167412</v>
      </c>
      <c r="AE217" s="41">
        <v>0</v>
      </c>
      <c r="AF217" s="41">
        <v>167536</v>
      </c>
      <c r="AG217" s="41">
        <v>0</v>
      </c>
      <c r="AH217" s="41">
        <v>0</v>
      </c>
      <c r="AI217" s="41">
        <v>0</v>
      </c>
      <c r="AJ217" s="41">
        <v>0</v>
      </c>
      <c r="AK217" s="41">
        <v>0</v>
      </c>
      <c r="AL217" s="41">
        <v>0</v>
      </c>
      <c r="AM217" s="41">
        <v>0</v>
      </c>
      <c r="AN217" s="41">
        <v>0</v>
      </c>
      <c r="AO217" s="41">
        <v>0</v>
      </c>
      <c r="AP217" s="41">
        <v>0</v>
      </c>
      <c r="AQ217" s="41">
        <v>0</v>
      </c>
      <c r="AR217" s="41">
        <v>0</v>
      </c>
      <c r="AS217" s="41">
        <v>0</v>
      </c>
      <c r="AT217" s="41">
        <v>0</v>
      </c>
      <c r="AU217" s="41">
        <v>0</v>
      </c>
      <c r="AV217" s="41">
        <v>0</v>
      </c>
      <c r="AW217" s="41">
        <v>0</v>
      </c>
      <c r="AX217" s="41">
        <v>0</v>
      </c>
      <c r="AY217" s="41">
        <v>0</v>
      </c>
      <c r="AZ217" s="41">
        <v>0</v>
      </c>
      <c r="BA217" s="41">
        <v>0</v>
      </c>
      <c r="BB217" s="41">
        <v>0</v>
      </c>
      <c r="BC217" s="41">
        <v>0</v>
      </c>
      <c r="BD217" s="41">
        <v>0</v>
      </c>
      <c r="BE217" s="41">
        <v>0</v>
      </c>
      <c r="BF217" s="41">
        <v>0</v>
      </c>
      <c r="BG217" s="41">
        <v>0</v>
      </c>
      <c r="BH217" s="41">
        <v>0</v>
      </c>
      <c r="BI217" s="41">
        <v>0</v>
      </c>
      <c r="BJ217" s="41">
        <v>0</v>
      </c>
      <c r="BK217" s="41">
        <v>0</v>
      </c>
      <c r="BL217" s="41">
        <v>0</v>
      </c>
      <c r="BM217" s="41">
        <v>0</v>
      </c>
      <c r="BN217" s="41">
        <v>0</v>
      </c>
      <c r="BO217" s="41">
        <v>0</v>
      </c>
      <c r="BP217" s="41">
        <v>0</v>
      </c>
      <c r="BQ217" s="41">
        <v>0</v>
      </c>
      <c r="BR217" s="41">
        <v>0</v>
      </c>
      <c r="BS217" s="42">
        <f>IFERROR(VLOOKUP(A217,'Trans 21-23'!$A$2:$J$229,5,0),0)</f>
        <v>0</v>
      </c>
      <c r="BT217" s="43"/>
      <c r="BU217" s="6">
        <f t="shared" si="0"/>
        <v>0</v>
      </c>
      <c r="BV217" s="6">
        <f t="shared" si="1"/>
        <v>0</v>
      </c>
      <c r="BW217" s="6">
        <f t="shared" si="2"/>
        <v>0</v>
      </c>
      <c r="BX217" s="6">
        <f t="shared" si="3"/>
        <v>0</v>
      </c>
      <c r="BY217" s="6">
        <f t="shared" si="4"/>
        <v>0</v>
      </c>
      <c r="BZ217" s="6">
        <f t="shared" si="5"/>
        <v>0</v>
      </c>
      <c r="CA217" s="6">
        <f t="shared" si="6"/>
        <v>167412</v>
      </c>
      <c r="CB217" s="6">
        <f t="shared" si="7"/>
        <v>0</v>
      </c>
      <c r="CC217" s="6">
        <f t="shared" si="8"/>
        <v>0</v>
      </c>
      <c r="CD217" s="6">
        <f t="shared" si="88"/>
        <v>0</v>
      </c>
      <c r="CE217" s="44">
        <f t="shared" si="10"/>
        <v>66</v>
      </c>
      <c r="CF217" s="27"/>
      <c r="CG217" s="28" t="str">
        <f t="shared" si="11"/>
        <v/>
      </c>
      <c r="CH217" s="28" t="str">
        <f t="shared" si="12"/>
        <v/>
      </c>
      <c r="CI217" s="28" t="str">
        <f t="shared" si="13"/>
        <v/>
      </c>
      <c r="CJ217" s="28" t="str">
        <f t="shared" si="14"/>
        <v/>
      </c>
      <c r="CK217" s="23" t="str">
        <f t="shared" si="15"/>
        <v/>
      </c>
      <c r="CL217" s="29" t="str">
        <f t="shared" si="16"/>
        <v/>
      </c>
      <c r="CM217" s="29" t="str">
        <f t="shared" si="66"/>
        <v/>
      </c>
      <c r="CN217" s="29" t="str">
        <f t="shared" si="18"/>
        <v/>
      </c>
      <c r="CO217" s="29" t="str">
        <f t="shared" si="19"/>
        <v/>
      </c>
      <c r="CP217" s="29" t="str">
        <f t="shared" si="20"/>
        <v/>
      </c>
      <c r="CQ217" s="29">
        <f t="shared" si="21"/>
        <v>0</v>
      </c>
      <c r="CR217" s="13"/>
      <c r="CS217" s="7" t="str">
        <f>VLOOKUP(A217,'Empresas 21-23'!$A$2:$M$228,13,0)</f>
        <v/>
      </c>
      <c r="CT217" s="30"/>
      <c r="CU217" s="6">
        <f t="shared" si="22"/>
        <v>0</v>
      </c>
      <c r="CV217" s="6">
        <f t="shared" si="23"/>
        <v>0</v>
      </c>
      <c r="CW217" s="6">
        <f t="shared" si="24"/>
        <v>0</v>
      </c>
      <c r="CX217" s="23" t="str">
        <f>IFERROR(CU217/(BC217-BD217),"")</f>
        <v/>
      </c>
      <c r="CY217" s="23" t="str">
        <f>IFERROR(CV217/(BC217-BD217),"")</f>
        <v/>
      </c>
      <c r="CZ217" s="6" t="e">
        <f t="shared" si="25"/>
        <v>#VALUE!</v>
      </c>
      <c r="DA217" s="6" t="e">
        <f t="shared" si="26"/>
        <v>#VALUE!</v>
      </c>
      <c r="DB217" s="6">
        <f t="shared" si="27"/>
        <v>0</v>
      </c>
      <c r="DC217" s="6">
        <f t="shared" si="28"/>
        <v>0</v>
      </c>
      <c r="DD217" s="6">
        <f t="shared" si="29"/>
        <v>0</v>
      </c>
      <c r="DE217" s="6">
        <f t="shared" si="30"/>
        <v>167412</v>
      </c>
      <c r="DF217" s="6">
        <f t="shared" si="91"/>
        <v>0</v>
      </c>
      <c r="DG217" s="30"/>
      <c r="DH217" s="32" t="str">
        <f>VLOOKUP(A217,'T_med_comp-USA'!$A$7:$Q$233,17,0)</f>
        <v>-</v>
      </c>
      <c r="DI217" s="6" t="str">
        <f t="shared" si="32"/>
        <v/>
      </c>
      <c r="DJ217" s="32" t="str">
        <f>IF(DI217="","",VLOOKUP(DI217,'CPI USA'!$T:$U,2,FALSE))</f>
        <v/>
      </c>
      <c r="DK217" s="32" t="str">
        <f>IF(DI217="","",VLOOKUP(DI217,'PPI USA'!$S:$T,2,FALSE))</f>
        <v/>
      </c>
      <c r="DL217" s="32" t="str">
        <f>IF(DI217="","",VLOOKUP(DI217,'CPI USA'!$T:$V,3,FALSE))</f>
        <v/>
      </c>
      <c r="DM217" s="32" t="str">
        <f>IF(DI217="","",VLOOKUP(DI217,'CPI USA'!$T:$X,5,FALSE))</f>
        <v/>
      </c>
      <c r="DN217" s="32" t="str">
        <f t="shared" si="33"/>
        <v/>
      </c>
      <c r="DO217" s="32" t="str">
        <f t="shared" si="34"/>
        <v/>
      </c>
      <c r="DP217" s="32" t="str">
        <f t="shared" si="35"/>
        <v/>
      </c>
      <c r="DQ217" s="32" t="str">
        <f>IF(DP217="","",DP217*$DO$1/'CPI USA'!$U$508+(1-DP217)*AVERAGE($DO$1,$DQ$1)/AVERAGE('CPI USA'!$U$508,'PPI USA'!$T$514))</f>
        <v/>
      </c>
      <c r="DR217" s="6">
        <f t="shared" si="36"/>
        <v>0</v>
      </c>
      <c r="DS217" s="32" t="str">
        <f t="shared" si="37"/>
        <v/>
      </c>
      <c r="DT217" s="28" t="str">
        <f>IF(DS217="","",DS217*$DO$1/'CPI USA'!$U$508+(1-DS217)*AVERAGE($DO$1,$DQ$1)/AVERAGE('CPI USA'!$U$508,'PPI USA'!$T$514))</f>
        <v/>
      </c>
      <c r="DU217" s="6" t="str">
        <f t="shared" si="38"/>
        <v/>
      </c>
      <c r="DV217" s="6" t="str">
        <f t="shared" si="39"/>
        <v/>
      </c>
      <c r="DW217" s="6">
        <f t="shared" si="40"/>
        <v>0</v>
      </c>
      <c r="DX217" s="16" t="e">
        <f t="shared" si="41"/>
        <v>#VALUE!</v>
      </c>
      <c r="DY217" s="28" t="e">
        <f>IF(DX217="","",DX217*$DO$1/'CPI USA'!$U$508+(1-DX217)*AVERAGE($DO$1,$DQ$1)/AVERAGE('CPI USA'!$U$508,'PPI USA'!$T$514))</f>
        <v>#VALUE!</v>
      </c>
      <c r="DZ217" s="30"/>
      <c r="EA217" s="45" t="str">
        <f t="shared" si="42"/>
        <v>C011302</v>
      </c>
      <c r="EB217" s="29" t="str">
        <f t="shared" si="94"/>
        <v/>
      </c>
      <c r="EC217" s="29" t="str">
        <f t="shared" si="44"/>
        <v/>
      </c>
      <c r="ED217" s="29" t="str">
        <f t="shared" si="45"/>
        <v/>
      </c>
      <c r="EE217" s="29" t="str">
        <f t="shared" si="46"/>
        <v/>
      </c>
      <c r="EF217" s="29" t="str">
        <f t="shared" si="47"/>
        <v/>
      </c>
      <c r="EG217" s="29" t="str">
        <f t="shared" si="48"/>
        <v/>
      </c>
      <c r="EH217" s="29" t="str">
        <f t="shared" si="49"/>
        <v/>
      </c>
      <c r="EI217" s="29" t="str">
        <f t="shared" si="50"/>
        <v/>
      </c>
      <c r="EJ217" s="29" t="str">
        <f t="shared" si="51"/>
        <v/>
      </c>
      <c r="EK217" s="29" t="str">
        <f t="shared" si="52"/>
        <v/>
      </c>
      <c r="EL217" s="29" t="str">
        <f>IF(CD217=1,VLOOKUP(EA217,'EIA 2021'!$A$2:$J$220,4,0)*EH217,"")</f>
        <v/>
      </c>
      <c r="EM217" s="29" t="str">
        <f>IF(CD217=1,VLOOKUP(EA217,'EIA 2021'!$A$2:$J$221,7,0)*EH217,"")</f>
        <v/>
      </c>
      <c r="EN217" s="29" t="str">
        <f>IF(CD217=1,VLOOKUP(EA217,'EIA 2021'!$A$2:$J$221,10,0),"")</f>
        <v/>
      </c>
      <c r="EO217" s="28" t="str">
        <f>IF(CD217=1,VLOOKUP(EA217,'EIA 2021'!$A$2:$Z$221,26,0),"")</f>
        <v/>
      </c>
      <c r="EP217" s="23" t="str">
        <f t="shared" si="53"/>
        <v/>
      </c>
      <c r="EQ217" s="32" t="str">
        <f t="shared" si="54"/>
        <v/>
      </c>
      <c r="ER217" s="32" t="str">
        <f t="shared" si="55"/>
        <v/>
      </c>
      <c r="ES217" s="6"/>
      <c r="ET217" s="32"/>
    </row>
    <row r="218" spans="1:150" ht="15.75" customHeight="1">
      <c r="A218" s="7" t="s">
        <v>856</v>
      </c>
      <c r="B218" s="7" t="s">
        <v>857</v>
      </c>
      <c r="C218" s="32" t="s">
        <v>858</v>
      </c>
      <c r="D218" s="40">
        <v>137416574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f>IFERROR(VLOOKUP(A218,'Trans 21-23'!$A$2:$J$229,6,0),0)</f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0</v>
      </c>
      <c r="AD218" s="41">
        <v>10515347</v>
      </c>
      <c r="AE218" s="41">
        <v>0</v>
      </c>
      <c r="AF218" s="41">
        <v>211535623</v>
      </c>
      <c r="AG218" s="41">
        <v>1</v>
      </c>
      <c r="AH218" s="41">
        <v>0</v>
      </c>
      <c r="AI218" s="41">
        <v>5039253</v>
      </c>
      <c r="AJ218" s="41">
        <v>0</v>
      </c>
      <c r="AK218" s="41">
        <v>0</v>
      </c>
      <c r="AL218" s="41">
        <v>0</v>
      </c>
      <c r="AM218" s="41">
        <v>0</v>
      </c>
      <c r="AN218" s="41">
        <v>0</v>
      </c>
      <c r="AO218" s="41">
        <v>0</v>
      </c>
      <c r="AP218" s="41">
        <v>0</v>
      </c>
      <c r="AQ218" s="41">
        <v>0</v>
      </c>
      <c r="AR218" s="41">
        <v>5039253</v>
      </c>
      <c r="AS218" s="41">
        <v>5039253</v>
      </c>
      <c r="AT218" s="41">
        <v>0</v>
      </c>
      <c r="AU218" s="41">
        <v>1218</v>
      </c>
      <c r="AV218" s="41">
        <v>0</v>
      </c>
      <c r="AW218" s="41">
        <v>0</v>
      </c>
      <c r="AX218" s="41">
        <v>0</v>
      </c>
      <c r="AY218" s="41">
        <v>0</v>
      </c>
      <c r="AZ218" s="41">
        <v>0</v>
      </c>
      <c r="BA218" s="41">
        <v>0</v>
      </c>
      <c r="BB218" s="41">
        <v>0</v>
      </c>
      <c r="BC218" s="41">
        <v>1450867604</v>
      </c>
      <c r="BD218" s="41">
        <v>1011382</v>
      </c>
      <c r="BE218" s="41">
        <v>0</v>
      </c>
      <c r="BF218" s="41">
        <v>0</v>
      </c>
      <c r="BG218" s="41">
        <v>0</v>
      </c>
      <c r="BH218" s="41">
        <v>0</v>
      </c>
      <c r="BI218" s="41">
        <v>0</v>
      </c>
      <c r="BJ218" s="41">
        <v>0</v>
      </c>
      <c r="BK218" s="41">
        <v>0</v>
      </c>
      <c r="BL218" s="41">
        <v>0</v>
      </c>
      <c r="BM218" s="41">
        <v>437919</v>
      </c>
      <c r="BN218" s="41">
        <v>26231054</v>
      </c>
      <c r="BO218" s="41">
        <v>0</v>
      </c>
      <c r="BP218" s="41">
        <v>0</v>
      </c>
      <c r="BQ218" s="41">
        <v>26249446</v>
      </c>
      <c r="BR218" s="41">
        <v>0</v>
      </c>
      <c r="BS218" s="42">
        <f>IFERROR(VLOOKUP(A218,'Trans 21-23'!$A$2:$J$229,5,0),0)</f>
        <v>0</v>
      </c>
      <c r="BT218" s="43"/>
      <c r="BU218" s="6">
        <f t="shared" si="0"/>
        <v>0</v>
      </c>
      <c r="BV218" s="6">
        <f t="shared" si="1"/>
        <v>1218</v>
      </c>
      <c r="BW218" s="6">
        <f t="shared" si="2"/>
        <v>1</v>
      </c>
      <c r="BX218" s="6">
        <f t="shared" si="3"/>
        <v>0</v>
      </c>
      <c r="BY218" s="6">
        <f t="shared" si="4"/>
        <v>0</v>
      </c>
      <c r="BZ218" s="6">
        <f t="shared" si="5"/>
        <v>0</v>
      </c>
      <c r="CA218" s="6">
        <f t="shared" si="6"/>
        <v>10515347</v>
      </c>
      <c r="CB218" s="6">
        <f t="shared" si="7"/>
        <v>0</v>
      </c>
      <c r="CC218" s="6">
        <f t="shared" si="8"/>
        <v>0</v>
      </c>
      <c r="CD218" s="6">
        <f t="shared" si="88"/>
        <v>0</v>
      </c>
      <c r="CE218" s="44">
        <f t="shared" si="10"/>
        <v>55</v>
      </c>
      <c r="CF218" s="27"/>
      <c r="CG218" s="28" t="str">
        <f t="shared" si="11"/>
        <v/>
      </c>
      <c r="CH218" s="28" t="str">
        <f t="shared" si="12"/>
        <v/>
      </c>
      <c r="CI218" s="28" t="str">
        <f t="shared" si="13"/>
        <v/>
      </c>
      <c r="CJ218" s="28" t="str">
        <f t="shared" si="14"/>
        <v/>
      </c>
      <c r="CK218" s="23" t="str">
        <f t="shared" si="15"/>
        <v/>
      </c>
      <c r="CL218" s="29" t="str">
        <f t="shared" si="16"/>
        <v/>
      </c>
      <c r="CM218" s="29" t="str">
        <f t="shared" si="66"/>
        <v/>
      </c>
      <c r="CN218" s="29" t="str">
        <f t="shared" si="18"/>
        <v/>
      </c>
      <c r="CO218" s="29" t="str">
        <f t="shared" si="19"/>
        <v/>
      </c>
      <c r="CP218" s="29" t="str">
        <f t="shared" si="20"/>
        <v/>
      </c>
      <c r="CQ218" s="29">
        <f t="shared" si="21"/>
        <v>0</v>
      </c>
      <c r="CR218" s="13"/>
      <c r="CS218" s="7" t="str">
        <f>VLOOKUP(A218,'Empresas 21-23'!$A$2:$M$228,13,0)</f>
        <v/>
      </c>
      <c r="CT218" s="30"/>
      <c r="CU218" s="6">
        <f t="shared" si="22"/>
        <v>0</v>
      </c>
      <c r="CV218" s="6">
        <f t="shared" si="23"/>
        <v>0</v>
      </c>
      <c r="CW218" s="6">
        <f t="shared" si="24"/>
        <v>1011382</v>
      </c>
      <c r="CX218" s="23">
        <f t="shared" ref="CX218:CX221" si="97">CU218/(BC218-BD218)</f>
        <v>0</v>
      </c>
      <c r="CY218" s="23">
        <f t="shared" ref="CY218:CY221" si="98">CV218/(BC218-BD218)</f>
        <v>0</v>
      </c>
      <c r="CZ218" s="6">
        <f t="shared" si="25"/>
        <v>0</v>
      </c>
      <c r="DA218" s="6">
        <f t="shared" si="26"/>
        <v>0</v>
      </c>
      <c r="DB218" s="6">
        <f t="shared" si="27"/>
        <v>0</v>
      </c>
      <c r="DC218" s="6">
        <f t="shared" si="28"/>
        <v>0</v>
      </c>
      <c r="DD218" s="6">
        <f t="shared" si="29"/>
        <v>0</v>
      </c>
      <c r="DE218" s="6">
        <f t="shared" si="30"/>
        <v>10515347</v>
      </c>
      <c r="DF218" s="6">
        <f t="shared" si="91"/>
        <v>0</v>
      </c>
      <c r="DG218" s="30"/>
      <c r="DH218" s="32" t="str">
        <f>VLOOKUP(A218,'T_med_comp-USA'!$A$7:$Q$233,17,0)</f>
        <v>-</v>
      </c>
      <c r="DI218" s="6" t="str">
        <f t="shared" si="32"/>
        <v/>
      </c>
      <c r="DJ218" s="32" t="str">
        <f>IF(DI218="","",VLOOKUP(DI218,'CPI USA'!$T:$U,2,FALSE))</f>
        <v/>
      </c>
      <c r="DK218" s="32" t="str">
        <f>IF(DI218="","",VLOOKUP(DI218,'PPI USA'!$S:$T,2,FALSE))</f>
        <v/>
      </c>
      <c r="DL218" s="32" t="str">
        <f>IF(DI218="","",VLOOKUP(DI218,'CPI USA'!$T:$V,3,FALSE))</f>
        <v/>
      </c>
      <c r="DM218" s="32" t="str">
        <f>IF(DI218="","",VLOOKUP(DI218,'CPI USA'!$T:$X,5,FALSE))</f>
        <v/>
      </c>
      <c r="DN218" s="32" t="str">
        <f t="shared" si="33"/>
        <v/>
      </c>
      <c r="DO218" s="32" t="str">
        <f t="shared" si="34"/>
        <v/>
      </c>
      <c r="DP218" s="32" t="str">
        <f t="shared" si="35"/>
        <v/>
      </c>
      <c r="DQ218" s="32" t="str">
        <f>IF(DP218="","",DP218*$DO$1/'CPI USA'!$U$508+(1-DP218)*AVERAGE($DO$1,$DQ$1)/AVERAGE('CPI USA'!$U$508,'PPI USA'!$T$514))</f>
        <v/>
      </c>
      <c r="DR218" s="6">
        <f t="shared" si="36"/>
        <v>0</v>
      </c>
      <c r="DS218" s="32" t="str">
        <f t="shared" si="37"/>
        <v/>
      </c>
      <c r="DT218" s="28" t="str">
        <f>IF(DS218="","",DS218*$DO$1/'CPI USA'!$U$508+(1-DS218)*AVERAGE($DO$1,$DQ$1)/AVERAGE('CPI USA'!$U$508,'PPI USA'!$T$514))</f>
        <v/>
      </c>
      <c r="DU218" s="6" t="str">
        <f t="shared" si="38"/>
        <v/>
      </c>
      <c r="DV218" s="6">
        <f t="shared" si="39"/>
        <v>0</v>
      </c>
      <c r="DW218" s="6">
        <f t="shared" si="40"/>
        <v>0</v>
      </c>
      <c r="DX218" s="16" t="str">
        <f t="shared" si="41"/>
        <v/>
      </c>
      <c r="DY218" s="28" t="str">
        <f>IF(DX218="","",DX218*$DO$1/'CPI USA'!$U$508+(1-DX218)*AVERAGE($DO$1,$DQ$1)/AVERAGE('CPI USA'!$U$508,'PPI USA'!$T$514))</f>
        <v/>
      </c>
      <c r="DZ218" s="30"/>
      <c r="EA218" s="45" t="str">
        <f t="shared" si="42"/>
        <v>C011304</v>
      </c>
      <c r="EB218" s="29" t="str">
        <f t="shared" si="94"/>
        <v/>
      </c>
      <c r="EC218" s="29" t="str">
        <f t="shared" si="44"/>
        <v/>
      </c>
      <c r="ED218" s="29" t="str">
        <f t="shared" si="45"/>
        <v/>
      </c>
      <c r="EE218" s="29" t="str">
        <f t="shared" si="46"/>
        <v/>
      </c>
      <c r="EF218" s="29" t="str">
        <f t="shared" si="47"/>
        <v/>
      </c>
      <c r="EG218" s="29" t="str">
        <f t="shared" si="48"/>
        <v/>
      </c>
      <c r="EH218" s="29" t="str">
        <f t="shared" si="49"/>
        <v/>
      </c>
      <c r="EI218" s="29" t="str">
        <f t="shared" si="50"/>
        <v/>
      </c>
      <c r="EJ218" s="29" t="str">
        <f t="shared" si="51"/>
        <v/>
      </c>
      <c r="EK218" s="29" t="str">
        <f t="shared" si="52"/>
        <v/>
      </c>
      <c r="EL218" s="29" t="str">
        <f>IF(CD218=1,VLOOKUP(EA218,'EIA 2021'!$A$2:$J$220,4,0)*EH218,"")</f>
        <v/>
      </c>
      <c r="EM218" s="29" t="str">
        <f>IF(CD218=1,VLOOKUP(EA218,'EIA 2021'!$A$2:$J$221,7,0)*EH218,"")</f>
        <v/>
      </c>
      <c r="EN218" s="29" t="str">
        <f>IF(CD218=1,VLOOKUP(EA218,'EIA 2021'!$A$2:$J$221,10,0),"")</f>
        <v/>
      </c>
      <c r="EO218" s="28" t="str">
        <f>IF(CD218=1,VLOOKUP(EA218,'EIA 2021'!$A$2:$Z$221,26,0),"")</f>
        <v/>
      </c>
      <c r="EP218" s="23" t="str">
        <f t="shared" si="53"/>
        <v/>
      </c>
      <c r="EQ218" s="32" t="str">
        <f t="shared" si="54"/>
        <v/>
      </c>
      <c r="ER218" s="32" t="str">
        <f t="shared" si="55"/>
        <v/>
      </c>
      <c r="ES218" s="6"/>
      <c r="ET218" s="32"/>
    </row>
    <row r="219" spans="1:150" ht="15.75" customHeight="1">
      <c r="A219" s="7" t="s">
        <v>859</v>
      </c>
      <c r="B219" s="7" t="s">
        <v>860</v>
      </c>
      <c r="C219" s="32" t="s">
        <v>861</v>
      </c>
      <c r="D219" s="40">
        <v>0</v>
      </c>
      <c r="E219" s="40">
        <v>0</v>
      </c>
      <c r="F219" s="40">
        <v>12931</v>
      </c>
      <c r="G219" s="40">
        <v>12614989</v>
      </c>
      <c r="H219" s="40">
        <v>12642675</v>
      </c>
      <c r="I219" s="40">
        <v>26947</v>
      </c>
      <c r="J219" s="40">
        <v>5815</v>
      </c>
      <c r="K219" s="40">
        <v>0</v>
      </c>
      <c r="L219" s="40">
        <v>320268</v>
      </c>
      <c r="M219" s="40">
        <v>79984</v>
      </c>
      <c r="N219" s="40">
        <v>9389</v>
      </c>
      <c r="O219" s="40">
        <v>348862</v>
      </c>
      <c r="P219" s="40">
        <v>0</v>
      </c>
      <c r="Q219" s="40">
        <v>12200</v>
      </c>
      <c r="R219" s="40">
        <v>596</v>
      </c>
      <c r="S219" s="40">
        <v>2801</v>
      </c>
      <c r="T219" s="40">
        <v>740796</v>
      </c>
      <c r="U219" s="40">
        <v>142155</v>
      </c>
      <c r="V219" s="40">
        <v>7349</v>
      </c>
      <c r="W219" s="40">
        <v>146</v>
      </c>
      <c r="X219" s="40">
        <f>IFERROR(VLOOKUP(A219,'Trans 21-23'!$A$2:$J$229,6,0),0)</f>
        <v>64441</v>
      </c>
      <c r="Y219" s="41">
        <v>62253</v>
      </c>
      <c r="Z219" s="41">
        <v>684</v>
      </c>
      <c r="AA219" s="41">
        <v>476420</v>
      </c>
      <c r="AB219" s="41">
        <v>235124</v>
      </c>
      <c r="AC219" s="41">
        <v>562</v>
      </c>
      <c r="AD219" s="41">
        <v>1659702</v>
      </c>
      <c r="AE219" s="41">
        <v>0</v>
      </c>
      <c r="AF219" s="41">
        <v>17051478</v>
      </c>
      <c r="AG219" s="41">
        <v>14863</v>
      </c>
      <c r="AH219" s="41">
        <v>14801.556</v>
      </c>
      <c r="AI219" s="41">
        <v>198536.45600000001</v>
      </c>
      <c r="AJ219" s="41">
        <v>1035.056</v>
      </c>
      <c r="AK219" s="41">
        <v>0</v>
      </c>
      <c r="AL219" s="41">
        <v>89074.285000000003</v>
      </c>
      <c r="AM219" s="41">
        <v>52276.457000000002</v>
      </c>
      <c r="AN219" s="41">
        <v>40268.703000000001</v>
      </c>
      <c r="AO219" s="41">
        <v>1080.3989999999999</v>
      </c>
      <c r="AP219" s="41">
        <v>0</v>
      </c>
      <c r="AQ219" s="41">
        <v>182699.84400000001</v>
      </c>
      <c r="AR219" s="41">
        <v>0</v>
      </c>
      <c r="AS219" s="41">
        <v>182699.84400000001</v>
      </c>
      <c r="AT219" s="41">
        <v>0</v>
      </c>
      <c r="AU219" s="41">
        <v>41.966000000000001</v>
      </c>
      <c r="AV219" s="41">
        <v>0</v>
      </c>
      <c r="AW219" s="41">
        <v>9569143</v>
      </c>
      <c r="AX219" s="41">
        <v>0</v>
      </c>
      <c r="AY219" s="41">
        <v>11707786</v>
      </c>
      <c r="AZ219" s="41">
        <v>2087383</v>
      </c>
      <c r="BA219" s="41">
        <v>1264614</v>
      </c>
      <c r="BB219" s="41">
        <v>49155880</v>
      </c>
      <c r="BC219" s="41">
        <v>81293323</v>
      </c>
      <c r="BD219" s="41">
        <v>6237669</v>
      </c>
      <c r="BE219" s="41">
        <v>22640062</v>
      </c>
      <c r="BF219" s="41">
        <v>1796144</v>
      </c>
      <c r="BG219" s="41">
        <v>0</v>
      </c>
      <c r="BH219" s="41">
        <v>963284</v>
      </c>
      <c r="BI219" s="41">
        <v>281128</v>
      </c>
      <c r="BJ219" s="41">
        <v>13033</v>
      </c>
      <c r="BK219" s="41">
        <v>0</v>
      </c>
      <c r="BL219" s="41">
        <v>0</v>
      </c>
      <c r="BM219" s="41">
        <v>630821</v>
      </c>
      <c r="BN219" s="41">
        <v>2031459</v>
      </c>
      <c r="BO219" s="41">
        <v>42533</v>
      </c>
      <c r="BP219" s="41">
        <v>0</v>
      </c>
      <c r="BQ219" s="41">
        <v>3201747</v>
      </c>
      <c r="BR219" s="41">
        <v>0</v>
      </c>
      <c r="BS219" s="42">
        <f>IFERROR(VLOOKUP(A219,'Trans 21-23'!$A$2:$J$229,5,0),0)</f>
        <v>12477584</v>
      </c>
      <c r="BT219" s="43"/>
      <c r="BU219" s="6">
        <f t="shared" si="0"/>
        <v>49155880</v>
      </c>
      <c r="BV219" s="6">
        <f t="shared" si="1"/>
        <v>41.966000000000001</v>
      </c>
      <c r="BW219" s="6">
        <f t="shared" si="2"/>
        <v>14863</v>
      </c>
      <c r="BX219" s="6">
        <f t="shared" si="3"/>
        <v>1697308</v>
      </c>
      <c r="BY219" s="6">
        <f t="shared" si="4"/>
        <v>775043</v>
      </c>
      <c r="BZ219" s="6">
        <f t="shared" si="5"/>
        <v>2087383</v>
      </c>
      <c r="CA219" s="6">
        <f t="shared" si="6"/>
        <v>1659702</v>
      </c>
      <c r="CB219" s="6">
        <f t="shared" si="7"/>
        <v>14801.556</v>
      </c>
      <c r="CC219" s="6">
        <f t="shared" si="8"/>
        <v>182699.84400000001</v>
      </c>
      <c r="CD219" s="6">
        <f t="shared" si="88"/>
        <v>1</v>
      </c>
      <c r="CE219" s="44">
        <f t="shared" si="10"/>
        <v>16</v>
      </c>
      <c r="CF219" s="27"/>
      <c r="CG219" s="28">
        <f t="shared" si="11"/>
        <v>1171.3263117761999</v>
      </c>
      <c r="CH219" s="28">
        <f t="shared" si="12"/>
        <v>2.8235214963331763</v>
      </c>
      <c r="CI219" s="28">
        <f t="shared" si="13"/>
        <v>114.19686469757114</v>
      </c>
      <c r="CJ219" s="28">
        <f t="shared" si="14"/>
        <v>140.44156630559107</v>
      </c>
      <c r="CK219" s="23">
        <f t="shared" si="15"/>
        <v>8.101570135987636E-2</v>
      </c>
      <c r="CL219" s="29" t="str">
        <f t="shared" si="16"/>
        <v/>
      </c>
      <c r="CM219" s="29" t="str">
        <f t="shared" si="66"/>
        <v/>
      </c>
      <c r="CN219" s="29" t="str">
        <f t="shared" si="18"/>
        <v/>
      </c>
      <c r="CO219" s="29" t="str">
        <f t="shared" si="19"/>
        <v/>
      </c>
      <c r="CP219" s="29" t="str">
        <f t="shared" si="20"/>
        <v/>
      </c>
      <c r="CQ219" s="29">
        <f t="shared" si="21"/>
        <v>0</v>
      </c>
      <c r="CR219" s="13"/>
      <c r="CS219" s="7" t="str">
        <f>VLOOKUP(A219,'Empresas 21-23'!$A$2:$M$228,13,0)</f>
        <v/>
      </c>
      <c r="CT219" s="30"/>
      <c r="CU219" s="6">
        <f t="shared" si="22"/>
        <v>51256795.399999999</v>
      </c>
      <c r="CV219" s="6">
        <f t="shared" si="23"/>
        <v>2087383</v>
      </c>
      <c r="CW219" s="6">
        <f t="shared" si="24"/>
        <v>6237669</v>
      </c>
      <c r="CX219" s="23">
        <f t="shared" si="97"/>
        <v>0.68291717769856486</v>
      </c>
      <c r="CY219" s="23">
        <f t="shared" si="98"/>
        <v>2.7811135987170266E-2</v>
      </c>
      <c r="CZ219" s="6">
        <f t="shared" si="25"/>
        <v>55516606.708897829</v>
      </c>
      <c r="DA219" s="6">
        <f t="shared" si="26"/>
        <v>2260859.6608019564</v>
      </c>
      <c r="DB219" s="6">
        <f t="shared" si="27"/>
        <v>1697308</v>
      </c>
      <c r="DC219" s="6">
        <f t="shared" si="28"/>
        <v>1761749</v>
      </c>
      <c r="DD219" s="6">
        <f t="shared" si="29"/>
        <v>775043</v>
      </c>
      <c r="DE219" s="6">
        <f t="shared" si="30"/>
        <v>1659702</v>
      </c>
      <c r="DF219" s="6">
        <f t="shared" si="91"/>
        <v>1538763.5841281791</v>
      </c>
      <c r="DG219" s="30"/>
      <c r="DH219" s="32">
        <f>VLOOKUP(A219,'T_med_comp-USA'!$A$7:$Q$233,17,0)</f>
        <v>12.81397272746903</v>
      </c>
      <c r="DI219" s="6" t="str">
        <f t="shared" si="32"/>
        <v>3_2009</v>
      </c>
      <c r="DJ219" s="32">
        <f>IF(DI219="","",VLOOKUP(DI219,'CPI USA'!$T:$U,2,FALSE))</f>
        <v>214.53700000000001</v>
      </c>
      <c r="DK219" s="32">
        <f>IF(DI219="","",VLOOKUP(DI219,'PPI USA'!$S:$T,2,FALSE))</f>
        <v>159.1</v>
      </c>
      <c r="DL219" s="32">
        <f>IF(DI219="","",VLOOKUP(DI219,'CPI USA'!$T:$V,3,FALSE))</f>
        <v>0.66997101349938215</v>
      </c>
      <c r="DM219" s="32">
        <f>IF(DI219="","",VLOOKUP(DI219,'CPI USA'!$T:$X,5,FALSE))</f>
        <v>0.49813941766071862</v>
      </c>
      <c r="DN219" s="32">
        <f t="shared" si="33"/>
        <v>1.4932638886873792</v>
      </c>
      <c r="DO219" s="32">
        <f t="shared" si="34"/>
        <v>1.5082750176818205</v>
      </c>
      <c r="DP219" s="32">
        <f t="shared" si="35"/>
        <v>0.57941896209381327</v>
      </c>
      <c r="DQ219" s="32">
        <f>IF(DP219="","",DP219*$DO$1/'CPI USA'!$U$508+(1-DP219)*AVERAGE($DO$1,$DQ$1)/AVERAGE('CPI USA'!$U$508,'PPI USA'!$T$514))</f>
        <v>1.1517337387186843</v>
      </c>
      <c r="DR219" s="6">
        <f t="shared" si="36"/>
        <v>294161</v>
      </c>
      <c r="DS219" s="32">
        <f t="shared" si="37"/>
        <v>0.38748804713073981</v>
      </c>
      <c r="DT219" s="28">
        <f>IF(DS219="","",DS219*$DO$1/'CPI USA'!$U$508+(1-DS219)*AVERAGE($DO$1,$DQ$1)/AVERAGE('CPI USA'!$U$508,'PPI USA'!$T$514))</f>
        <v>1.1630779568803171</v>
      </c>
      <c r="DU219" s="6">
        <f t="shared" si="38"/>
        <v>644028.60576167179</v>
      </c>
      <c r="DV219" s="6">
        <f t="shared" si="39"/>
        <v>0</v>
      </c>
      <c r="DW219" s="6">
        <f t="shared" si="40"/>
        <v>398644.79183285771</v>
      </c>
      <c r="DX219" s="16">
        <f t="shared" si="41"/>
        <v>0.25906825190350397</v>
      </c>
      <c r="DY219" s="28">
        <f>IF(DX219="","",DX219*$DO$1/'CPI USA'!$U$508+(1-DX219)*AVERAGE($DO$1,$DQ$1)/AVERAGE('CPI USA'!$U$508,'PPI USA'!$T$514))</f>
        <v>1.1706683035090002</v>
      </c>
      <c r="DZ219" s="30"/>
      <c r="EA219" s="45" t="str">
        <f t="shared" si="42"/>
        <v>C011318</v>
      </c>
      <c r="EB219" s="29">
        <f t="shared" si="94"/>
        <v>82900944.020856619</v>
      </c>
      <c r="EC219" s="29">
        <f t="shared" si="44"/>
        <v>3409998.1448721853</v>
      </c>
      <c r="ED219" s="29">
        <f t="shared" si="45"/>
        <v>2029065.7624539034</v>
      </c>
      <c r="EE219" s="29">
        <f t="shared" si="46"/>
        <v>901435.42893439159</v>
      </c>
      <c r="EF219" s="29">
        <f t="shared" si="47"/>
        <v>1801381.7545327642</v>
      </c>
      <c r="EG219" s="29">
        <f t="shared" si="48"/>
        <v>41.966000000000001</v>
      </c>
      <c r="EH219" s="29">
        <f t="shared" si="49"/>
        <v>14863</v>
      </c>
      <c r="EI219" s="29">
        <f t="shared" si="50"/>
        <v>14801.556</v>
      </c>
      <c r="EJ219" s="29">
        <f t="shared" si="51"/>
        <v>182699.84400000001</v>
      </c>
      <c r="EK219" s="29">
        <f t="shared" si="52"/>
        <v>197501.40000000002</v>
      </c>
      <c r="EL219" s="29" t="e">
        <f>IF(CD219=1,VLOOKUP(EA219,'EIA 2021'!$A$2:$J$220,4,0)*EH219,"")</f>
        <v>#VALUE!</v>
      </c>
      <c r="EM219" s="29" t="e">
        <f>IF(CD219=1,VLOOKUP(EA219,'EIA 2021'!$A$2:$J$221,7,0)*EH219,"")</f>
        <v>#VALUE!</v>
      </c>
      <c r="EN219" s="29">
        <f>IF(CD219=1,VLOOKUP(EA219,'EIA 2021'!$A$2:$J$221,10,0),"")</f>
        <v>95</v>
      </c>
      <c r="EO219" s="28">
        <f>IF(CD219=1,VLOOKUP(EA219,'EIA 2021'!$A$2:$Z$221,26,0),"")</f>
        <v>0</v>
      </c>
      <c r="EP219" s="23">
        <f t="shared" si="53"/>
        <v>7.4944056092766928E-2</v>
      </c>
      <c r="EQ219" s="32">
        <f t="shared" si="54"/>
        <v>0</v>
      </c>
      <c r="ER219" s="32">
        <f t="shared" si="55"/>
        <v>14801.556</v>
      </c>
      <c r="ES219" s="6"/>
      <c r="ET219" s="32"/>
    </row>
    <row r="220" spans="1:150" ht="15.75" customHeight="1">
      <c r="A220" s="7" t="s">
        <v>862</v>
      </c>
      <c r="B220" s="7" t="s">
        <v>863</v>
      </c>
      <c r="C220" s="32" t="s">
        <v>864</v>
      </c>
      <c r="D220" s="40">
        <v>0</v>
      </c>
      <c r="E220" s="40">
        <v>0</v>
      </c>
      <c r="F220" s="40">
        <v>20317493</v>
      </c>
      <c r="G220" s="40">
        <v>85989933</v>
      </c>
      <c r="H220" s="40">
        <v>91535626</v>
      </c>
      <c r="I220" s="40">
        <v>421166</v>
      </c>
      <c r="J220" s="40">
        <v>110193</v>
      </c>
      <c r="K220" s="40">
        <v>141150</v>
      </c>
      <c r="L220" s="40">
        <v>244324</v>
      </c>
      <c r="M220" s="40">
        <v>407686</v>
      </c>
      <c r="N220" s="40">
        <v>98192</v>
      </c>
      <c r="O220" s="40">
        <v>1707532</v>
      </c>
      <c r="P220" s="40">
        <v>23900</v>
      </c>
      <c r="Q220" s="40">
        <v>230395</v>
      </c>
      <c r="R220" s="40">
        <v>0</v>
      </c>
      <c r="S220" s="40">
        <v>489232</v>
      </c>
      <c r="T220" s="40">
        <v>3683732</v>
      </c>
      <c r="U220" s="40">
        <v>111642</v>
      </c>
      <c r="V220" s="40">
        <v>18745</v>
      </c>
      <c r="W220" s="40">
        <v>43</v>
      </c>
      <c r="X220" s="40">
        <f>IFERROR(VLOOKUP(A220,'Trans 21-23'!$A$2:$J$229,6,0),0)</f>
        <v>0</v>
      </c>
      <c r="Y220" s="41">
        <v>285197</v>
      </c>
      <c r="Z220" s="41">
        <v>401557</v>
      </c>
      <c r="AA220" s="41">
        <v>1583350</v>
      </c>
      <c r="AB220" s="41">
        <v>421924</v>
      </c>
      <c r="AC220" s="41">
        <v>135272</v>
      </c>
      <c r="AD220" s="41">
        <v>8446214</v>
      </c>
      <c r="AE220" s="41">
        <v>0</v>
      </c>
      <c r="AF220" s="41">
        <v>137902495</v>
      </c>
      <c r="AG220" s="41">
        <v>49941</v>
      </c>
      <c r="AH220" s="41">
        <v>187519</v>
      </c>
      <c r="AI220" s="41">
        <v>1748381</v>
      </c>
      <c r="AJ220" s="41">
        <v>4495</v>
      </c>
      <c r="AK220" s="41">
        <v>0</v>
      </c>
      <c r="AL220" s="41">
        <v>315788</v>
      </c>
      <c r="AM220" s="41">
        <v>735638</v>
      </c>
      <c r="AN220" s="41">
        <v>351754</v>
      </c>
      <c r="AO220" s="41">
        <v>10266</v>
      </c>
      <c r="AP220" s="41">
        <v>0</v>
      </c>
      <c r="AQ220" s="41">
        <v>1413552</v>
      </c>
      <c r="AR220" s="41">
        <v>142815</v>
      </c>
      <c r="AS220" s="41">
        <v>1556367</v>
      </c>
      <c r="AT220" s="41">
        <v>0</v>
      </c>
      <c r="AU220" s="41">
        <v>363.31</v>
      </c>
      <c r="AV220" s="41">
        <v>0</v>
      </c>
      <c r="AW220" s="41">
        <v>69861902</v>
      </c>
      <c r="AX220" s="41">
        <v>3717716</v>
      </c>
      <c r="AY220" s="41">
        <v>23492789</v>
      </c>
      <c r="AZ220" s="41">
        <v>19850381</v>
      </c>
      <c r="BA220" s="41">
        <v>3439866</v>
      </c>
      <c r="BB220" s="41">
        <v>341027750</v>
      </c>
      <c r="BC220" s="41">
        <v>653494524</v>
      </c>
      <c r="BD220" s="41">
        <v>27274870</v>
      </c>
      <c r="BE220" s="41">
        <v>138279273</v>
      </c>
      <c r="BF220" s="41">
        <v>8875201</v>
      </c>
      <c r="BG220" s="41">
        <v>0</v>
      </c>
      <c r="BH220" s="41">
        <v>3148712</v>
      </c>
      <c r="BI220" s="41">
        <v>557585</v>
      </c>
      <c r="BJ220" s="41">
        <v>190954</v>
      </c>
      <c r="BK220" s="41">
        <v>9960</v>
      </c>
      <c r="BL220" s="41">
        <v>0</v>
      </c>
      <c r="BM220" s="41">
        <v>2724835</v>
      </c>
      <c r="BN220" s="41">
        <v>8490667</v>
      </c>
      <c r="BO220" s="41">
        <v>2050474</v>
      </c>
      <c r="BP220" s="41">
        <v>28368</v>
      </c>
      <c r="BQ220" s="41">
        <v>19234967</v>
      </c>
      <c r="BR220" s="41">
        <v>106</v>
      </c>
      <c r="BS220" s="42">
        <f>IFERROR(VLOOKUP(A220,'Trans 21-23'!$A$2:$J$229,5,0),0)</f>
        <v>0</v>
      </c>
      <c r="BT220" s="43"/>
      <c r="BU220" s="6">
        <f t="shared" si="0"/>
        <v>341027750</v>
      </c>
      <c r="BV220" s="6">
        <f t="shared" si="1"/>
        <v>363.31</v>
      </c>
      <c r="BW220" s="6">
        <f t="shared" si="2"/>
        <v>49941</v>
      </c>
      <c r="BX220" s="6">
        <f t="shared" si="3"/>
        <v>7687932</v>
      </c>
      <c r="BY220" s="6">
        <f t="shared" si="4"/>
        <v>2827300</v>
      </c>
      <c r="BZ220" s="6">
        <f t="shared" si="5"/>
        <v>19850381</v>
      </c>
      <c r="CA220" s="6">
        <f t="shared" si="6"/>
        <v>8446214</v>
      </c>
      <c r="CB220" s="6">
        <f t="shared" si="7"/>
        <v>187519</v>
      </c>
      <c r="CC220" s="6">
        <f t="shared" si="8"/>
        <v>1413552</v>
      </c>
      <c r="CD220" s="6">
        <f t="shared" si="88"/>
        <v>1</v>
      </c>
      <c r="CE220" s="44">
        <f t="shared" si="10"/>
        <v>12</v>
      </c>
      <c r="CF220" s="27"/>
      <c r="CG220" s="28">
        <f t="shared" si="11"/>
        <v>938.66876771902787</v>
      </c>
      <c r="CH220" s="28">
        <f t="shared" si="12"/>
        <v>7.2747842454095837</v>
      </c>
      <c r="CI220" s="28">
        <f t="shared" si="13"/>
        <v>153.94028954165915</v>
      </c>
      <c r="CJ220" s="28">
        <f t="shared" si="14"/>
        <v>397.47664243807691</v>
      </c>
      <c r="CK220" s="23">
        <f t="shared" si="15"/>
        <v>0.13265801328851007</v>
      </c>
      <c r="CL220" s="29" t="str">
        <f t="shared" si="16"/>
        <v/>
      </c>
      <c r="CM220" s="29" t="str">
        <f t="shared" si="66"/>
        <v/>
      </c>
      <c r="CN220" s="29" t="str">
        <f t="shared" si="18"/>
        <v/>
      </c>
      <c r="CO220" s="29" t="str">
        <f t="shared" si="19"/>
        <v/>
      </c>
      <c r="CP220" s="29" t="str">
        <f t="shared" si="20"/>
        <v/>
      </c>
      <c r="CQ220" s="29">
        <f t="shared" si="21"/>
        <v>0</v>
      </c>
      <c r="CR220" s="13"/>
      <c r="CS220" s="7">
        <f>VLOOKUP(A220,'Empresas 21-23'!$A$2:$M$228,13,0)</f>
        <v>1</v>
      </c>
      <c r="CT220" s="30"/>
      <c r="CU220" s="6">
        <f t="shared" si="22"/>
        <v>301411200</v>
      </c>
      <c r="CV220" s="6">
        <f t="shared" si="23"/>
        <v>19850381</v>
      </c>
      <c r="CW220" s="6">
        <f t="shared" si="24"/>
        <v>27274870</v>
      </c>
      <c r="CX220" s="23">
        <f t="shared" si="97"/>
        <v>0.48131865244842664</v>
      </c>
      <c r="CY220" s="23">
        <f t="shared" si="98"/>
        <v>3.1698751186113365E-2</v>
      </c>
      <c r="CZ220" s="6">
        <f t="shared" si="25"/>
        <v>314539103.674106</v>
      </c>
      <c r="DA220" s="6">
        <f t="shared" si="26"/>
        <v>20714960.317763589</v>
      </c>
      <c r="DB220" s="6">
        <f t="shared" si="27"/>
        <v>7687932</v>
      </c>
      <c r="DC220" s="6">
        <f t="shared" si="28"/>
        <v>7687932</v>
      </c>
      <c r="DD220" s="6">
        <f t="shared" si="29"/>
        <v>2827300</v>
      </c>
      <c r="DE220" s="6">
        <f t="shared" si="30"/>
        <v>8446214</v>
      </c>
      <c r="DF220" s="6">
        <f t="shared" si="91"/>
        <v>5045337.8621209078</v>
      </c>
      <c r="DG220" s="30"/>
      <c r="DH220" s="32">
        <f>VLOOKUP(A220,'T_med_comp-USA'!$A$7:$Q$233,17,0)</f>
        <v>15.922062365091072</v>
      </c>
      <c r="DI220" s="6" t="str">
        <f t="shared" si="32"/>
        <v>2_2006</v>
      </c>
      <c r="DJ220" s="32">
        <f>IF(DI220="","",VLOOKUP(DI220,'CPI USA'!$T:$U,2,FALSE))</f>
        <v>201.6</v>
      </c>
      <c r="DK220" s="32">
        <f>IF(DI220="","",VLOOKUP(DI220,'PPI USA'!$S:$T,2,FALSE))</f>
        <v>145.30000000000001</v>
      </c>
      <c r="DL220" s="32">
        <f>IF(DI220="","",VLOOKUP(DI220,'CPI USA'!$T:$V,3,FALSE))</f>
        <v>0.67263024008352756</v>
      </c>
      <c r="DM220" s="32">
        <f>IF(DI220="","",VLOOKUP(DI220,'CPI USA'!$T:$X,5,FALSE))</f>
        <v>0.50115228263529643</v>
      </c>
      <c r="DN220" s="32">
        <f t="shared" si="33"/>
        <v>1.595396421204319</v>
      </c>
      <c r="DO220" s="32">
        <f t="shared" si="34"/>
        <v>1.6147712829199015</v>
      </c>
      <c r="DP220" s="32">
        <f t="shared" si="35"/>
        <v>0.50847454940827164</v>
      </c>
      <c r="DQ220" s="32">
        <f>IF(DP220="","",DP220*$DO$1/'CPI USA'!$U$508+(1-DP220)*AVERAGE($DO$1,$DQ$1)/AVERAGE('CPI USA'!$U$508,'PPI USA'!$T$514))</f>
        <v>1.1559269605089757</v>
      </c>
      <c r="DR220" s="6">
        <f t="shared" si="36"/>
        <v>758499</v>
      </c>
      <c r="DS220" s="32">
        <f t="shared" si="37"/>
        <v>0.33306495100514821</v>
      </c>
      <c r="DT220" s="28">
        <f>IF(DS220="","",DS220*$DO$1/'CPI USA'!$U$508+(1-DS220)*AVERAGE($DO$1,$DQ$1)/AVERAGE('CPI USA'!$U$508,'PPI USA'!$T$514))</f>
        <v>1.1662946740808735</v>
      </c>
      <c r="DU220" s="6">
        <f t="shared" si="38"/>
        <v>3382875.5663995538</v>
      </c>
      <c r="DV220" s="6">
        <f t="shared" si="39"/>
        <v>4024.5604794477149</v>
      </c>
      <c r="DW220" s="6">
        <f t="shared" si="40"/>
        <v>1558574.0709938372</v>
      </c>
      <c r="DX220" s="16">
        <f t="shared" si="41"/>
        <v>0.30891371669976919</v>
      </c>
      <c r="DY220" s="28">
        <f>IF(DX220="","",DX220*$DO$1/'CPI USA'!$U$508+(1-DX220)*AVERAGE($DO$1,$DQ$1)/AVERAGE('CPI USA'!$U$508,'PPI USA'!$T$514))</f>
        <v>1.1677221505813926</v>
      </c>
      <c r="DZ220" s="30"/>
      <c r="EA220" s="45" t="str">
        <f t="shared" si="42"/>
        <v>C011423</v>
      </c>
      <c r="EB220" s="29">
        <f t="shared" si="94"/>
        <v>501814560.33048296</v>
      </c>
      <c r="EC220" s="29">
        <f t="shared" si="44"/>
        <v>33449923.047949962</v>
      </c>
      <c r="ED220" s="29">
        <f t="shared" si="45"/>
        <v>8886687.8693596907</v>
      </c>
      <c r="EE220" s="29">
        <f t="shared" si="46"/>
        <v>3297464.9320288538</v>
      </c>
      <c r="EF220" s="29">
        <f t="shared" si="47"/>
        <v>5891552.7787655517</v>
      </c>
      <c r="EG220" s="29">
        <f t="shared" si="48"/>
        <v>363.31</v>
      </c>
      <c r="EH220" s="29">
        <f t="shared" si="49"/>
        <v>49941</v>
      </c>
      <c r="EI220" s="29">
        <f t="shared" si="50"/>
        <v>187519</v>
      </c>
      <c r="EJ220" s="29">
        <f t="shared" si="51"/>
        <v>1413552</v>
      </c>
      <c r="EK220" s="29">
        <f t="shared" si="52"/>
        <v>1598896.1522842639</v>
      </c>
      <c r="EL220" s="29">
        <f>IF(CD220=1,VLOOKUP(EA220,'EIA 2021'!$A$2:$J$220,4,0)*EH220,"")</f>
        <v>8120406.5999999996</v>
      </c>
      <c r="EM220" s="29">
        <f>IF(CD220=1,VLOOKUP(EA220,'EIA 2021'!$A$2:$J$221,7,0)*EH220,"")</f>
        <v>119858.4</v>
      </c>
      <c r="EN220" s="29">
        <f>IF(CD220=1,VLOOKUP(EA220,'EIA 2021'!$A$2:$J$221,10,0),"")</f>
        <v>50051</v>
      </c>
      <c r="EO220" s="28">
        <f>IF(CD220=1,VLOOKUP(EA220,'EIA 2021'!$A$2:$Z$221,26,0),"")</f>
        <v>0</v>
      </c>
      <c r="EP220" s="23">
        <f t="shared" si="53"/>
        <v>0.11592006899226816</v>
      </c>
      <c r="EQ220" s="32">
        <f t="shared" si="54"/>
        <v>2174.8477157360467</v>
      </c>
      <c r="ER220" s="32">
        <f t="shared" si="55"/>
        <v>185344.15228426395</v>
      </c>
      <c r="ES220" s="6"/>
      <c r="ET220" s="32"/>
    </row>
    <row r="221" spans="1:150" ht="15.75" customHeight="1">
      <c r="A221" s="7" t="s">
        <v>865</v>
      </c>
      <c r="B221" s="7" t="s">
        <v>866</v>
      </c>
      <c r="C221" s="32" t="s">
        <v>867</v>
      </c>
      <c r="D221" s="40">
        <v>0</v>
      </c>
      <c r="E221" s="40">
        <v>0</v>
      </c>
      <c r="F221" s="40">
        <v>0</v>
      </c>
      <c r="G221" s="40">
        <v>2431765</v>
      </c>
      <c r="H221" s="40">
        <v>2431765</v>
      </c>
      <c r="I221" s="40">
        <v>46900</v>
      </c>
      <c r="J221" s="40">
        <v>31116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9650</v>
      </c>
      <c r="T221" s="40">
        <v>194709</v>
      </c>
      <c r="U221" s="40">
        <v>0</v>
      </c>
      <c r="V221" s="40">
        <v>0</v>
      </c>
      <c r="W221" s="40">
        <v>0</v>
      </c>
      <c r="X221" s="40">
        <f>IFERROR(VLOOKUP(A221,'Trans 21-23'!$A$2:$J$229,6,0),0)</f>
        <v>0</v>
      </c>
      <c r="Y221" s="41">
        <v>1008</v>
      </c>
      <c r="Z221" s="41">
        <v>0</v>
      </c>
      <c r="AA221" s="41">
        <v>69482</v>
      </c>
      <c r="AB221" s="41">
        <v>29012</v>
      </c>
      <c r="AC221" s="41">
        <v>0</v>
      </c>
      <c r="AD221" s="41">
        <v>604917</v>
      </c>
      <c r="AE221" s="41">
        <v>0</v>
      </c>
      <c r="AF221" s="41">
        <v>3421701</v>
      </c>
      <c r="AG221" s="41">
        <v>2535</v>
      </c>
      <c r="AH221" s="41">
        <v>2168</v>
      </c>
      <c r="AI221" s="41">
        <v>33242</v>
      </c>
      <c r="AJ221" s="41">
        <v>0</v>
      </c>
      <c r="AK221" s="41">
        <v>0</v>
      </c>
      <c r="AL221" s="41">
        <v>12150</v>
      </c>
      <c r="AM221" s="41">
        <v>3023</v>
      </c>
      <c r="AN221" s="41">
        <v>2825</v>
      </c>
      <c r="AO221" s="41">
        <v>191</v>
      </c>
      <c r="AP221" s="41">
        <v>0</v>
      </c>
      <c r="AQ221" s="41">
        <v>18188</v>
      </c>
      <c r="AR221" s="41">
        <v>12886</v>
      </c>
      <c r="AS221" s="41">
        <v>31074</v>
      </c>
      <c r="AT221" s="41">
        <v>0</v>
      </c>
      <c r="AU221" s="41">
        <v>7.875</v>
      </c>
      <c r="AV221" s="41">
        <v>0</v>
      </c>
      <c r="AW221" s="41">
        <v>216087</v>
      </c>
      <c r="AX221" s="41">
        <v>17205</v>
      </c>
      <c r="AY221" s="41">
        <v>1758660</v>
      </c>
      <c r="AZ221" s="41">
        <v>311158</v>
      </c>
      <c r="BA221" s="41">
        <v>30963</v>
      </c>
      <c r="BB221" s="41">
        <v>6341610</v>
      </c>
      <c r="BC221" s="41">
        <v>7597137</v>
      </c>
      <c r="BD221" s="41">
        <v>1255460</v>
      </c>
      <c r="BE221" s="41">
        <v>5878715</v>
      </c>
      <c r="BF221" s="41">
        <v>194639</v>
      </c>
      <c r="BG221" s="41">
        <v>0</v>
      </c>
      <c r="BH221" s="41">
        <v>302109</v>
      </c>
      <c r="BI221" s="41">
        <v>15495</v>
      </c>
      <c r="BJ221" s="41">
        <v>7278</v>
      </c>
      <c r="BK221" s="41">
        <v>0</v>
      </c>
      <c r="BL221" s="41">
        <v>0</v>
      </c>
      <c r="BM221" s="41">
        <v>31700</v>
      </c>
      <c r="BN221" s="41">
        <v>356582</v>
      </c>
      <c r="BO221" s="41">
        <v>0</v>
      </c>
      <c r="BP221" s="41">
        <v>0</v>
      </c>
      <c r="BQ221" s="41">
        <v>356582</v>
      </c>
      <c r="BR221" s="41">
        <v>0</v>
      </c>
      <c r="BS221" s="42">
        <f>IFERROR(VLOOKUP(A221,'Trans 21-23'!$A$2:$J$229,5,0),0)</f>
        <v>0</v>
      </c>
      <c r="BT221" s="43"/>
      <c r="BU221" s="6">
        <f t="shared" si="0"/>
        <v>6341610</v>
      </c>
      <c r="BV221" s="6">
        <f t="shared" si="1"/>
        <v>7.875</v>
      </c>
      <c r="BW221" s="6">
        <f t="shared" si="2"/>
        <v>2535</v>
      </c>
      <c r="BX221" s="6">
        <f t="shared" si="3"/>
        <v>282375</v>
      </c>
      <c r="BY221" s="6">
        <f t="shared" si="4"/>
        <v>99502</v>
      </c>
      <c r="BZ221" s="6">
        <f t="shared" si="5"/>
        <v>311158</v>
      </c>
      <c r="CA221" s="6">
        <f t="shared" si="6"/>
        <v>604917</v>
      </c>
      <c r="CB221" s="6">
        <f t="shared" si="7"/>
        <v>2168</v>
      </c>
      <c r="CC221" s="6">
        <f t="shared" si="8"/>
        <v>18188</v>
      </c>
      <c r="CD221" s="6">
        <f t="shared" si="88"/>
        <v>1</v>
      </c>
      <c r="CE221" s="44">
        <f t="shared" si="10"/>
        <v>30</v>
      </c>
      <c r="CF221" s="27"/>
      <c r="CG221" s="28">
        <f t="shared" si="11"/>
        <v>805.28380952380951</v>
      </c>
      <c r="CH221" s="28">
        <f t="shared" si="12"/>
        <v>3.1065088757396451</v>
      </c>
      <c r="CI221" s="28">
        <f t="shared" si="13"/>
        <v>111.3905325443787</v>
      </c>
      <c r="CJ221" s="28">
        <f t="shared" si="14"/>
        <v>122.74477317554241</v>
      </c>
      <c r="CK221" s="23">
        <f t="shared" si="15"/>
        <v>0.11919947217945899</v>
      </c>
      <c r="CL221" s="29" t="str">
        <f t="shared" si="16"/>
        <v/>
      </c>
      <c r="CM221" s="29" t="str">
        <f t="shared" si="66"/>
        <v/>
      </c>
      <c r="CN221" s="29" t="str">
        <f t="shared" si="18"/>
        <v/>
      </c>
      <c r="CO221" s="29" t="str">
        <f t="shared" si="19"/>
        <v/>
      </c>
      <c r="CP221" s="29" t="str">
        <f t="shared" si="20"/>
        <v/>
      </c>
      <c r="CQ221" s="29">
        <f t="shared" si="21"/>
        <v>0</v>
      </c>
      <c r="CR221" s="13"/>
      <c r="CS221" s="7" t="str">
        <f>VLOOKUP(A221,'Empresas 21-23'!$A$2:$M$228,13,0)</f>
        <v/>
      </c>
      <c r="CT221" s="30"/>
      <c r="CU221" s="6">
        <f t="shared" si="22"/>
        <v>4933970</v>
      </c>
      <c r="CV221" s="6">
        <f t="shared" si="23"/>
        <v>311158</v>
      </c>
      <c r="CW221" s="6">
        <f t="shared" si="24"/>
        <v>1255460</v>
      </c>
      <c r="CX221" s="23">
        <f t="shared" si="97"/>
        <v>0.77802291097449461</v>
      </c>
      <c r="CY221" s="23">
        <f t="shared" si="98"/>
        <v>4.906557051076553E-2</v>
      </c>
      <c r="CZ221" s="6">
        <f t="shared" si="25"/>
        <v>5910746.6438120389</v>
      </c>
      <c r="DA221" s="6">
        <f t="shared" si="26"/>
        <v>372757.86115344567</v>
      </c>
      <c r="DB221" s="6">
        <f t="shared" si="27"/>
        <v>282375</v>
      </c>
      <c r="DC221" s="6">
        <f t="shared" si="28"/>
        <v>282375</v>
      </c>
      <c r="DD221" s="6">
        <f t="shared" si="29"/>
        <v>99502</v>
      </c>
      <c r="DE221" s="6">
        <f t="shared" si="30"/>
        <v>604917</v>
      </c>
      <c r="DF221" s="6">
        <f t="shared" si="91"/>
        <v>599980.49241466005</v>
      </c>
      <c r="DG221" s="30"/>
      <c r="DH221" s="32">
        <f>VLOOKUP(A221,'T_med_comp-USA'!$A$7:$Q$233,17,0)</f>
        <v>29.557805268552546</v>
      </c>
      <c r="DI221" s="6" t="str">
        <f t="shared" si="32"/>
        <v>6_1992</v>
      </c>
      <c r="DJ221" s="32">
        <f>IF(DI221="","",VLOOKUP(DI221,'CPI USA'!$T:$U,2,FALSE))</f>
        <v>140.30000000000001</v>
      </c>
      <c r="DK221" s="32">
        <f>IF(DI221="","",VLOOKUP(DI221,'PPI USA'!$S:$T,2,FALSE))</f>
        <v>109</v>
      </c>
      <c r="DL221" s="32">
        <f>IF(DI221="","",VLOOKUP(DI221,'CPI USA'!$T:$V,3,FALSE))</f>
        <v>0.66551796838088617</v>
      </c>
      <c r="DM221" s="32">
        <f>IF(DI221="","",VLOOKUP(DI221,'CPI USA'!$T:$X,5,FALSE))</f>
        <v>0.49312197215478087</v>
      </c>
      <c r="DN221" s="32">
        <f t="shared" si="33"/>
        <v>2.268218390640901</v>
      </c>
      <c r="DO221" s="32">
        <f t="shared" si="34"/>
        <v>2.2831188261940998</v>
      </c>
      <c r="DP221" s="32">
        <f t="shared" si="35"/>
        <v>0.8</v>
      </c>
      <c r="DQ221" s="32">
        <f>IF(DP221="","",DP221*$DO$1/'CPI USA'!$U$508+(1-DP221)*AVERAGE($DO$1,$DQ$1)/AVERAGE('CPI USA'!$U$508,'PPI USA'!$T$514))</f>
        <v>1.1386961339283952</v>
      </c>
      <c r="DR221" s="6">
        <f t="shared" si="36"/>
        <v>22773</v>
      </c>
      <c r="DS221" s="32">
        <f t="shared" si="37"/>
        <v>0.22886977146188017</v>
      </c>
      <c r="DT221" s="28">
        <f>IF(DS221="","",DS221*$DO$1/'CPI USA'!$U$508+(1-DS221)*AVERAGE($DO$1,$DQ$1)/AVERAGE('CPI USA'!$U$508,'PPI USA'!$T$514))</f>
        <v>1.1724532069485816</v>
      </c>
      <c r="DU221" s="6">
        <f t="shared" si="38"/>
        <v>31700</v>
      </c>
      <c r="DV221" s="6">
        <f t="shared" si="39"/>
        <v>0</v>
      </c>
      <c r="DW221" s="6">
        <f t="shared" si="40"/>
        <v>28881.882428165191</v>
      </c>
      <c r="DX221" s="16">
        <f t="shared" si="41"/>
        <v>0.2</v>
      </c>
      <c r="DY221" s="28">
        <f>IF(DX221="","",DX221*$DO$1/'CPI USA'!$U$508+(1-DX221)*AVERAGE($DO$1,$DQ$1)/AVERAGE('CPI USA'!$U$508,'PPI USA'!$T$514))</f>
        <v>1.1741595760647974</v>
      </c>
      <c r="DZ221" s="30"/>
      <c r="EA221" s="45" t="str">
        <f t="shared" si="42"/>
        <v>C011644</v>
      </c>
      <c r="EB221" s="29">
        <f t="shared" si="94"/>
        <v>13406864.239913451</v>
      </c>
      <c r="EC221" s="29">
        <f t="shared" si="44"/>
        <v>851050.49041127809</v>
      </c>
      <c r="ED221" s="29">
        <f t="shared" si="45"/>
        <v>321539.32081803057</v>
      </c>
      <c r="EE221" s="29">
        <f t="shared" si="46"/>
        <v>116661.43899779777</v>
      </c>
      <c r="EF221" s="29">
        <f t="shared" si="47"/>
        <v>704472.84062074567</v>
      </c>
      <c r="EG221" s="29">
        <f t="shared" si="48"/>
        <v>7.875</v>
      </c>
      <c r="EH221" s="29">
        <f t="shared" si="49"/>
        <v>2535</v>
      </c>
      <c r="EI221" s="29">
        <f t="shared" si="50"/>
        <v>2168</v>
      </c>
      <c r="EJ221" s="29">
        <f t="shared" si="51"/>
        <v>18188</v>
      </c>
      <c r="EK221" s="29">
        <f t="shared" si="52"/>
        <v>20159.766497461929</v>
      </c>
      <c r="EL221" s="29" t="e">
        <f>IF(CD221=1,VLOOKUP(EA221,'EIA 2021'!$A$2:$J$220,4,0)*EH221,"")</f>
        <v>#VALUE!</v>
      </c>
      <c r="EM221" s="29" t="e">
        <f>IF(CD221=1,VLOOKUP(EA221,'EIA 2021'!$A$2:$J$221,7,0)*EH221,"")</f>
        <v>#VALUE!</v>
      </c>
      <c r="EN221" s="29">
        <f>IF(CD221=1,VLOOKUP(EA221,'EIA 2021'!$A$2:$J$221,10,0),"")</f>
        <v>2270</v>
      </c>
      <c r="EO221" s="28">
        <f>IF(CD221=1,VLOOKUP(EA221,'EIA 2021'!$A$2:$Z$221,26,0),"")</f>
        <v>0</v>
      </c>
      <c r="EP221" s="23">
        <f t="shared" si="53"/>
        <v>9.780701069678413E-2</v>
      </c>
      <c r="EQ221" s="32">
        <f t="shared" si="54"/>
        <v>196.23350253807075</v>
      </c>
      <c r="ER221" s="32">
        <f t="shared" si="55"/>
        <v>1971.7664974619292</v>
      </c>
      <c r="ES221" s="6"/>
      <c r="ET221" s="32"/>
    </row>
    <row r="222" spans="1:150" ht="15.75" customHeight="1">
      <c r="A222" s="50"/>
      <c r="B222" s="50"/>
      <c r="C222" s="32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32"/>
      <c r="BT222" s="51"/>
      <c r="BU222" s="47"/>
      <c r="BV222" s="47"/>
      <c r="BW222" s="47"/>
      <c r="BX222" s="47"/>
      <c r="BY222" s="47"/>
      <c r="BZ222" s="47"/>
      <c r="CA222" s="47"/>
      <c r="CB222" s="47"/>
      <c r="CC222" s="47"/>
      <c r="CD222" s="49"/>
      <c r="CE222" s="49"/>
      <c r="CF222" s="51"/>
      <c r="CG222" s="52"/>
      <c r="CH222" s="52"/>
      <c r="CI222" s="52"/>
      <c r="CJ222" s="52"/>
      <c r="CK222" s="53"/>
      <c r="CL222" s="54"/>
      <c r="CM222" s="54"/>
      <c r="CN222" s="54"/>
      <c r="CO222" s="54"/>
      <c r="CP222" s="54"/>
      <c r="CQ222" s="54"/>
      <c r="CR222" s="55"/>
      <c r="CS222" s="50"/>
      <c r="CT222" s="50"/>
      <c r="CU222" s="6"/>
      <c r="CV222" s="6"/>
      <c r="CW222" s="6"/>
      <c r="CX222" s="23"/>
      <c r="CY222" s="23"/>
      <c r="CZ222" s="6"/>
      <c r="DA222" s="6"/>
      <c r="DB222" s="6"/>
      <c r="DC222" s="6"/>
      <c r="DD222" s="6"/>
      <c r="DE222" s="6"/>
      <c r="DF222" s="6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6"/>
      <c r="EQ222" s="56"/>
      <c r="ER222" s="56"/>
      <c r="ES222" s="18"/>
      <c r="ET222" s="18"/>
    </row>
    <row r="223" spans="1:150" ht="15.75" customHeight="1">
      <c r="A223" s="7"/>
      <c r="B223" s="7"/>
      <c r="C223" s="32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32"/>
      <c r="BT223" s="57"/>
      <c r="BU223" s="6"/>
      <c r="BV223" s="6"/>
      <c r="BW223" s="6"/>
      <c r="BX223" s="6"/>
      <c r="BY223" s="6"/>
      <c r="BZ223" s="6"/>
      <c r="CA223" s="6"/>
      <c r="CB223" s="6"/>
      <c r="CC223" s="6"/>
      <c r="CD223" s="32"/>
      <c r="CE223" s="32"/>
      <c r="CF223" s="57"/>
      <c r="CG223" s="28"/>
      <c r="CH223" s="28"/>
      <c r="CI223" s="28"/>
      <c r="CJ223" s="28"/>
      <c r="CL223" s="29"/>
      <c r="CM223" s="29"/>
      <c r="CN223" s="29"/>
      <c r="CO223" s="29"/>
      <c r="CP223" s="29"/>
      <c r="CQ223" s="29"/>
      <c r="CR223" s="13"/>
      <c r="CS223" s="7"/>
      <c r="CT223" s="7"/>
      <c r="CU223" s="7"/>
      <c r="CV223" s="7"/>
      <c r="CW223" s="7"/>
      <c r="EP223" s="17"/>
      <c r="EQ223" s="17"/>
      <c r="ER223" s="17"/>
      <c r="ES223" s="15"/>
      <c r="ET223" s="15"/>
    </row>
    <row r="224" spans="1:150" ht="15.75" customHeight="1">
      <c r="A224" s="7"/>
      <c r="B224" s="7"/>
      <c r="C224" s="32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32"/>
      <c r="BT224" s="57"/>
      <c r="BU224" s="6"/>
      <c r="BV224" s="6"/>
      <c r="BW224" s="6"/>
      <c r="BX224" s="6"/>
      <c r="BY224" s="6"/>
      <c r="BZ224" s="6"/>
      <c r="CA224" s="6"/>
      <c r="CB224" s="6"/>
      <c r="CC224" s="6"/>
      <c r="CD224" s="32"/>
      <c r="CE224" s="32"/>
      <c r="CF224" s="57"/>
      <c r="CG224" s="28"/>
      <c r="CH224" s="28"/>
      <c r="CI224" s="28"/>
      <c r="CJ224" s="28"/>
      <c r="CL224" s="29"/>
      <c r="CM224" s="29"/>
      <c r="CN224" s="29"/>
      <c r="CO224" s="29"/>
      <c r="CP224" s="29"/>
      <c r="CQ224" s="29"/>
      <c r="CR224" s="13"/>
      <c r="CS224" s="7"/>
      <c r="CT224" s="7"/>
      <c r="CU224" s="7"/>
      <c r="CV224" s="7"/>
      <c r="CW224" s="7"/>
      <c r="EP224" s="17"/>
      <c r="EQ224" s="17"/>
      <c r="ER224" s="17"/>
      <c r="ES224" s="15"/>
      <c r="ET224" s="15"/>
    </row>
    <row r="225" spans="1:150" ht="15.75" customHeight="1">
      <c r="A225" s="7"/>
      <c r="B225" s="7"/>
      <c r="C225" s="32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32"/>
      <c r="BT225" s="57"/>
      <c r="BU225" s="6"/>
      <c r="BV225" s="6"/>
      <c r="BW225" s="6"/>
      <c r="BX225" s="6"/>
      <c r="BY225" s="6"/>
      <c r="BZ225" s="6"/>
      <c r="CA225" s="6"/>
      <c r="CB225" s="6"/>
      <c r="CC225" s="6"/>
      <c r="CD225" s="32"/>
      <c r="CE225" s="32"/>
      <c r="CF225" s="57"/>
      <c r="CG225" s="28"/>
      <c r="CH225" s="28"/>
      <c r="CI225" s="28"/>
      <c r="CJ225" s="28"/>
      <c r="CL225" s="29"/>
      <c r="CM225" s="29"/>
      <c r="CN225" s="29"/>
      <c r="CO225" s="29"/>
      <c r="CP225" s="29"/>
      <c r="CQ225" s="29"/>
      <c r="CR225" s="13"/>
      <c r="CS225" s="7"/>
      <c r="CT225" s="7"/>
      <c r="CU225" s="7"/>
      <c r="CV225" s="7"/>
      <c r="CW225" s="7"/>
      <c r="EP225" s="17"/>
      <c r="EQ225" s="17"/>
      <c r="ER225" s="17"/>
      <c r="ES225" s="15"/>
      <c r="ET225" s="15"/>
    </row>
    <row r="226" spans="1:150" ht="15.75" customHeight="1">
      <c r="A226" s="7"/>
      <c r="B226" s="7"/>
      <c r="C226" s="32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32"/>
      <c r="BT226" s="57"/>
      <c r="BU226" s="6"/>
      <c r="BV226" s="6"/>
      <c r="BW226" s="6"/>
      <c r="BX226" s="6"/>
      <c r="BY226" s="6"/>
      <c r="BZ226" s="6"/>
      <c r="CA226" s="6"/>
      <c r="CB226" s="6"/>
      <c r="CC226" s="6"/>
      <c r="CD226" s="32"/>
      <c r="CE226" s="32"/>
      <c r="CF226" s="57"/>
      <c r="CG226" s="28"/>
      <c r="CH226" s="28"/>
      <c r="CI226" s="28"/>
      <c r="CJ226" s="28"/>
      <c r="CL226" s="29"/>
      <c r="CM226" s="29"/>
      <c r="CN226" s="29"/>
      <c r="CO226" s="29"/>
      <c r="CP226" s="29"/>
      <c r="CQ226" s="29"/>
      <c r="CR226" s="13"/>
      <c r="CS226" s="7"/>
      <c r="CT226" s="7"/>
      <c r="CU226" s="7"/>
      <c r="CV226" s="7"/>
      <c r="CW226" s="7"/>
      <c r="EP226" s="17"/>
      <c r="EQ226" s="17"/>
      <c r="ER226" s="17"/>
      <c r="ES226" s="15"/>
      <c r="ET226" s="15"/>
    </row>
    <row r="227" spans="1:150" ht="15.75" customHeight="1">
      <c r="A227" s="7"/>
      <c r="B227" s="7"/>
      <c r="C227" s="32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32"/>
      <c r="BT227" s="57"/>
      <c r="BU227" s="6"/>
      <c r="BV227" s="6"/>
      <c r="BW227" s="6"/>
      <c r="BX227" s="6"/>
      <c r="BY227" s="6"/>
      <c r="BZ227" s="6"/>
      <c r="CA227" s="6"/>
      <c r="CB227" s="6"/>
      <c r="CC227" s="6"/>
      <c r="CD227" s="32"/>
      <c r="CE227" s="32"/>
      <c r="CF227" s="57"/>
      <c r="CG227" s="28"/>
      <c r="CH227" s="28"/>
      <c r="CI227" s="28"/>
      <c r="CJ227" s="28"/>
      <c r="CL227" s="29"/>
      <c r="CM227" s="29"/>
      <c r="CN227" s="29"/>
      <c r="CO227" s="29"/>
      <c r="CP227" s="29"/>
      <c r="CQ227" s="29"/>
      <c r="CR227" s="13"/>
      <c r="CS227" s="7"/>
      <c r="CT227" s="7"/>
      <c r="CU227" s="7"/>
      <c r="CV227" s="7"/>
      <c r="CW227" s="7"/>
      <c r="EP227" s="17"/>
      <c r="EQ227" s="17"/>
      <c r="ER227" s="17"/>
      <c r="ES227" s="15"/>
      <c r="ET227" s="15"/>
    </row>
    <row r="228" spans="1:150" ht="15.75" customHeight="1">
      <c r="A228" s="7"/>
      <c r="B228" s="7"/>
      <c r="C228" s="32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32"/>
      <c r="BT228" s="57"/>
      <c r="BU228" s="6"/>
      <c r="BV228" s="6"/>
      <c r="BW228" s="6"/>
      <c r="BX228" s="6"/>
      <c r="BY228" s="6"/>
      <c r="BZ228" s="6"/>
      <c r="CA228" s="6"/>
      <c r="CB228" s="6"/>
      <c r="CC228" s="6"/>
      <c r="CD228" s="32"/>
      <c r="CE228" s="32"/>
      <c r="CF228" s="57"/>
      <c r="CG228" s="28"/>
      <c r="CH228" s="28"/>
      <c r="CI228" s="28"/>
      <c r="CJ228" s="28"/>
      <c r="CL228" s="29"/>
      <c r="CM228" s="29"/>
      <c r="CN228" s="29"/>
      <c r="CO228" s="29"/>
      <c r="CP228" s="29"/>
      <c r="CQ228" s="29"/>
      <c r="CR228" s="13"/>
      <c r="CS228" s="7"/>
      <c r="CT228" s="7"/>
      <c r="CU228" s="7"/>
      <c r="CV228" s="7"/>
      <c r="CW228" s="7"/>
      <c r="EP228" s="17"/>
      <c r="EQ228" s="17"/>
      <c r="ER228" s="17"/>
      <c r="ES228" s="15"/>
      <c r="ET228" s="15"/>
    </row>
    <row r="229" spans="1:150" ht="15.75" customHeight="1">
      <c r="A229" s="7"/>
      <c r="B229" s="7"/>
      <c r="C229" s="32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32"/>
      <c r="BT229" s="57"/>
      <c r="BU229" s="6"/>
      <c r="BV229" s="6"/>
      <c r="BW229" s="6"/>
      <c r="BX229" s="6"/>
      <c r="BY229" s="6"/>
      <c r="BZ229" s="6"/>
      <c r="CA229" s="6"/>
      <c r="CB229" s="6"/>
      <c r="CC229" s="6"/>
      <c r="CD229" s="32"/>
      <c r="CE229" s="32"/>
      <c r="CF229" s="57"/>
      <c r="CG229" s="28"/>
      <c r="CH229" s="28"/>
      <c r="CI229" s="28"/>
      <c r="CJ229" s="28"/>
      <c r="CL229" s="29"/>
      <c r="CM229" s="29"/>
      <c r="CN229" s="29"/>
      <c r="CO229" s="29"/>
      <c r="CP229" s="29"/>
      <c r="CQ229" s="29"/>
      <c r="CR229" s="13"/>
      <c r="CS229" s="7"/>
      <c r="CT229" s="7"/>
      <c r="CU229" s="7"/>
      <c r="CV229" s="7"/>
      <c r="CW229" s="7"/>
      <c r="EP229" s="17"/>
      <c r="EQ229" s="17"/>
      <c r="ER229" s="17"/>
      <c r="ES229" s="15"/>
      <c r="ET229" s="15"/>
    </row>
    <row r="230" spans="1:150" ht="15.75" customHeight="1">
      <c r="A230" s="7"/>
      <c r="B230" s="7"/>
      <c r="C230" s="32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32"/>
      <c r="BT230" s="57"/>
      <c r="BU230" s="6"/>
      <c r="BV230" s="6"/>
      <c r="BW230" s="6"/>
      <c r="BX230" s="6"/>
      <c r="BY230" s="6"/>
      <c r="BZ230" s="6"/>
      <c r="CA230" s="6"/>
      <c r="CB230" s="6"/>
      <c r="CC230" s="6"/>
      <c r="CD230" s="32"/>
      <c r="CE230" s="32"/>
      <c r="CF230" s="57"/>
      <c r="CG230" s="28"/>
      <c r="CH230" s="28"/>
      <c r="CI230" s="28"/>
      <c r="CJ230" s="28"/>
      <c r="CL230" s="29"/>
      <c r="CM230" s="29"/>
      <c r="CN230" s="29"/>
      <c r="CO230" s="29"/>
      <c r="CP230" s="29"/>
      <c r="CQ230" s="29"/>
      <c r="CR230" s="13"/>
      <c r="CS230" s="7"/>
      <c r="CT230" s="7"/>
      <c r="CU230" s="7"/>
      <c r="CV230" s="7"/>
      <c r="CW230" s="7"/>
      <c r="EP230" s="17"/>
      <c r="EQ230" s="17"/>
      <c r="ER230" s="17"/>
      <c r="ES230" s="15"/>
      <c r="ET230" s="15"/>
    </row>
    <row r="231" spans="1:150" ht="15.75" customHeight="1">
      <c r="A231" s="7"/>
      <c r="B231" s="7"/>
      <c r="C231" s="32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32"/>
      <c r="BT231" s="57"/>
      <c r="BU231" s="6"/>
      <c r="BV231" s="6"/>
      <c r="BW231" s="6"/>
      <c r="BX231" s="6"/>
      <c r="BY231" s="6"/>
      <c r="BZ231" s="6"/>
      <c r="CA231" s="6"/>
      <c r="CB231" s="6"/>
      <c r="CC231" s="6"/>
      <c r="CD231" s="32"/>
      <c r="CE231" s="32"/>
      <c r="CF231" s="57"/>
      <c r="CG231" s="28"/>
      <c r="CH231" s="28"/>
      <c r="CI231" s="28"/>
      <c r="CJ231" s="28"/>
      <c r="CL231" s="29"/>
      <c r="CM231" s="29"/>
      <c r="CN231" s="29"/>
      <c r="CO231" s="29"/>
      <c r="CP231" s="29"/>
      <c r="CQ231" s="29"/>
      <c r="CR231" s="13"/>
      <c r="CS231" s="7"/>
      <c r="CT231" s="7"/>
      <c r="CU231" s="7"/>
      <c r="CV231" s="7"/>
      <c r="CW231" s="7"/>
      <c r="EP231" s="17"/>
      <c r="EQ231" s="17"/>
      <c r="ER231" s="17"/>
      <c r="ES231" s="15"/>
      <c r="ET231" s="15"/>
    </row>
    <row r="232" spans="1:150" ht="15.75" customHeight="1">
      <c r="A232" s="7"/>
      <c r="B232" s="7"/>
      <c r="C232" s="32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32"/>
      <c r="BT232" s="57"/>
      <c r="BU232" s="6"/>
      <c r="BV232" s="6"/>
      <c r="BW232" s="6"/>
      <c r="BX232" s="6"/>
      <c r="BY232" s="6"/>
      <c r="BZ232" s="6"/>
      <c r="CA232" s="6"/>
      <c r="CB232" s="6"/>
      <c r="CC232" s="6"/>
      <c r="CD232" s="32"/>
      <c r="CE232" s="32"/>
      <c r="CF232" s="57"/>
      <c r="CG232" s="28"/>
      <c r="CH232" s="28"/>
      <c r="CI232" s="28"/>
      <c r="CJ232" s="28"/>
      <c r="CL232" s="29"/>
      <c r="CM232" s="29"/>
      <c r="CN232" s="29"/>
      <c r="CO232" s="29"/>
      <c r="CP232" s="29"/>
      <c r="CQ232" s="29"/>
      <c r="CR232" s="13"/>
      <c r="CS232" s="7"/>
      <c r="CT232" s="7"/>
      <c r="CU232" s="7"/>
      <c r="CV232" s="7"/>
      <c r="CW232" s="7"/>
      <c r="EP232" s="17"/>
      <c r="EQ232" s="17"/>
      <c r="ER232" s="17"/>
      <c r="ES232" s="15"/>
      <c r="ET232" s="15"/>
    </row>
    <row r="233" spans="1:150" ht="15.75" customHeight="1">
      <c r="A233" s="7"/>
      <c r="B233" s="7"/>
      <c r="C233" s="32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32"/>
      <c r="BT233" s="57"/>
      <c r="BU233" s="6"/>
      <c r="BV233" s="6"/>
      <c r="BW233" s="6"/>
      <c r="BX233" s="6"/>
      <c r="BY233" s="6"/>
      <c r="BZ233" s="6"/>
      <c r="CA233" s="6"/>
      <c r="CB233" s="6"/>
      <c r="CC233" s="6"/>
      <c r="CD233" s="32"/>
      <c r="CE233" s="32"/>
      <c r="CF233" s="57"/>
      <c r="CG233" s="28"/>
      <c r="CH233" s="28"/>
      <c r="CI233" s="28"/>
      <c r="CJ233" s="28"/>
      <c r="CL233" s="29"/>
      <c r="CM233" s="29"/>
      <c r="CN233" s="29"/>
      <c r="CO233" s="29"/>
      <c r="CP233" s="29"/>
      <c r="CQ233" s="29"/>
      <c r="CR233" s="13"/>
      <c r="CS233" s="7"/>
      <c r="CT233" s="7"/>
      <c r="CU233" s="7"/>
      <c r="CV233" s="7"/>
      <c r="CW233" s="7"/>
      <c r="EP233" s="17"/>
      <c r="EQ233" s="17"/>
      <c r="ER233" s="17"/>
      <c r="ES233" s="15"/>
      <c r="ET233" s="15"/>
    </row>
    <row r="234" spans="1:150" ht="15.75" customHeight="1">
      <c r="A234" s="7"/>
      <c r="B234" s="7"/>
      <c r="C234" s="32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32"/>
      <c r="BT234" s="57"/>
      <c r="BU234" s="6"/>
      <c r="BV234" s="6"/>
      <c r="BW234" s="6"/>
      <c r="BX234" s="6"/>
      <c r="BY234" s="6"/>
      <c r="BZ234" s="6"/>
      <c r="CA234" s="6"/>
      <c r="CB234" s="6"/>
      <c r="CC234" s="6"/>
      <c r="CD234" s="32"/>
      <c r="CE234" s="32"/>
      <c r="CF234" s="57"/>
      <c r="CG234" s="28"/>
      <c r="CH234" s="28"/>
      <c r="CI234" s="28"/>
      <c r="CJ234" s="28"/>
      <c r="CL234" s="29"/>
      <c r="CM234" s="29"/>
      <c r="CN234" s="29"/>
      <c r="CO234" s="29"/>
      <c r="CP234" s="29"/>
      <c r="CQ234" s="29"/>
      <c r="CR234" s="13"/>
      <c r="CS234" s="7"/>
      <c r="CT234" s="7"/>
      <c r="CU234" s="7"/>
      <c r="CV234" s="7"/>
      <c r="CW234" s="7"/>
      <c r="EP234" s="17"/>
      <c r="EQ234" s="17"/>
      <c r="ER234" s="17"/>
      <c r="ES234" s="15"/>
      <c r="ET234" s="15"/>
    </row>
    <row r="235" spans="1:150" ht="15.75" customHeight="1">
      <c r="A235" s="7"/>
      <c r="B235" s="7"/>
      <c r="C235" s="32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32"/>
      <c r="BT235" s="57"/>
      <c r="BU235" s="6"/>
      <c r="BV235" s="6"/>
      <c r="BW235" s="6"/>
      <c r="BX235" s="6"/>
      <c r="BY235" s="6"/>
      <c r="BZ235" s="6"/>
      <c r="CA235" s="6"/>
      <c r="CB235" s="6"/>
      <c r="CC235" s="6"/>
      <c r="CD235" s="32"/>
      <c r="CE235" s="32"/>
      <c r="CF235" s="57"/>
      <c r="CG235" s="28"/>
      <c r="CH235" s="28"/>
      <c r="CI235" s="28"/>
      <c r="CJ235" s="28"/>
      <c r="CL235" s="29"/>
      <c r="CM235" s="29"/>
      <c r="CN235" s="29"/>
      <c r="CO235" s="29"/>
      <c r="CP235" s="29"/>
      <c r="CQ235" s="29"/>
      <c r="CR235" s="13"/>
      <c r="CS235" s="7"/>
      <c r="CT235" s="7"/>
      <c r="CU235" s="7"/>
      <c r="CV235" s="7"/>
      <c r="CW235" s="7"/>
      <c r="EP235" s="17"/>
      <c r="EQ235" s="17"/>
      <c r="ER235" s="17"/>
      <c r="ES235" s="15"/>
      <c r="ET235" s="15"/>
    </row>
    <row r="236" spans="1:150" ht="15.75" customHeight="1">
      <c r="A236" s="7"/>
      <c r="B236" s="7"/>
      <c r="C236" s="32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32"/>
      <c r="BT236" s="57"/>
      <c r="BU236" s="6"/>
      <c r="BV236" s="6"/>
      <c r="BW236" s="6"/>
      <c r="BX236" s="6"/>
      <c r="BY236" s="6"/>
      <c r="BZ236" s="6"/>
      <c r="CA236" s="6"/>
      <c r="CB236" s="6"/>
      <c r="CC236" s="6"/>
      <c r="CD236" s="32"/>
      <c r="CE236" s="32"/>
      <c r="CF236" s="57"/>
      <c r="CG236" s="28"/>
      <c r="CH236" s="28"/>
      <c r="CI236" s="28"/>
      <c r="CJ236" s="28"/>
      <c r="CL236" s="29"/>
      <c r="CM236" s="29"/>
      <c r="CN236" s="29"/>
      <c r="CO236" s="29"/>
      <c r="CP236" s="29"/>
      <c r="CQ236" s="29"/>
      <c r="CR236" s="13"/>
      <c r="CS236" s="7"/>
      <c r="CT236" s="7"/>
      <c r="CU236" s="7"/>
      <c r="CV236" s="7"/>
      <c r="CW236" s="7"/>
      <c r="EP236" s="17"/>
      <c r="EQ236" s="17"/>
      <c r="ER236" s="17"/>
      <c r="ES236" s="15"/>
      <c r="ET236" s="15"/>
    </row>
    <row r="237" spans="1:150" ht="15.75" customHeight="1">
      <c r="A237" s="7"/>
      <c r="B237" s="7"/>
      <c r="C237" s="32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32"/>
      <c r="BT237" s="57"/>
      <c r="BU237" s="6"/>
      <c r="BV237" s="6"/>
      <c r="BW237" s="6"/>
      <c r="BX237" s="6"/>
      <c r="BY237" s="6"/>
      <c r="BZ237" s="6"/>
      <c r="CA237" s="6"/>
      <c r="CB237" s="6"/>
      <c r="CC237" s="6"/>
      <c r="CD237" s="32"/>
      <c r="CE237" s="32"/>
      <c r="CF237" s="57"/>
      <c r="CG237" s="28"/>
      <c r="CH237" s="28"/>
      <c r="CI237" s="28"/>
      <c r="CJ237" s="28"/>
      <c r="CL237" s="29"/>
      <c r="CM237" s="29"/>
      <c r="CN237" s="29"/>
      <c r="CO237" s="29"/>
      <c r="CP237" s="29"/>
      <c r="CQ237" s="29"/>
      <c r="CR237" s="13"/>
      <c r="CS237" s="7"/>
      <c r="CT237" s="7"/>
      <c r="CU237" s="7"/>
      <c r="CV237" s="7"/>
      <c r="CW237" s="7"/>
      <c r="EP237" s="17"/>
      <c r="EQ237" s="17"/>
      <c r="ER237" s="17"/>
      <c r="ES237" s="15"/>
      <c r="ET237" s="15"/>
    </row>
    <row r="238" spans="1:150" ht="15.75" customHeight="1">
      <c r="A238" s="7"/>
      <c r="B238" s="7"/>
      <c r="C238" s="32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32"/>
      <c r="BT238" s="57"/>
      <c r="BU238" s="6"/>
      <c r="BV238" s="6"/>
      <c r="BW238" s="6"/>
      <c r="BX238" s="6"/>
      <c r="BY238" s="6"/>
      <c r="BZ238" s="6"/>
      <c r="CA238" s="6"/>
      <c r="CB238" s="6"/>
      <c r="CC238" s="6"/>
      <c r="CD238" s="32"/>
      <c r="CE238" s="32"/>
      <c r="CF238" s="57"/>
      <c r="CG238" s="28"/>
      <c r="CH238" s="28"/>
      <c r="CI238" s="28"/>
      <c r="CJ238" s="28"/>
      <c r="CL238" s="29"/>
      <c r="CM238" s="29"/>
      <c r="CN238" s="29"/>
      <c r="CO238" s="29"/>
      <c r="CP238" s="29"/>
      <c r="CQ238" s="29"/>
      <c r="CR238" s="13"/>
      <c r="CS238" s="7"/>
      <c r="CT238" s="7"/>
      <c r="CU238" s="7"/>
      <c r="CV238" s="7"/>
      <c r="CW238" s="7"/>
      <c r="EP238" s="17"/>
      <c r="EQ238" s="17"/>
      <c r="ER238" s="17"/>
      <c r="ES238" s="15"/>
      <c r="ET238" s="15"/>
    </row>
    <row r="239" spans="1:150" ht="15.75" customHeight="1">
      <c r="A239" s="7"/>
      <c r="B239" s="7"/>
      <c r="C239" s="32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32"/>
      <c r="BT239" s="57"/>
      <c r="BU239" s="6"/>
      <c r="BV239" s="6"/>
      <c r="BW239" s="6"/>
      <c r="BX239" s="6"/>
      <c r="BY239" s="6"/>
      <c r="BZ239" s="6"/>
      <c r="CA239" s="6"/>
      <c r="CB239" s="6"/>
      <c r="CC239" s="6"/>
      <c r="CD239" s="32"/>
      <c r="CE239" s="32"/>
      <c r="CF239" s="57"/>
      <c r="CG239" s="28"/>
      <c r="CH239" s="28"/>
      <c r="CI239" s="28"/>
      <c r="CJ239" s="28"/>
      <c r="CL239" s="29"/>
      <c r="CM239" s="29"/>
      <c r="CN239" s="29"/>
      <c r="CO239" s="29"/>
      <c r="CP239" s="29"/>
      <c r="CQ239" s="29"/>
      <c r="CR239" s="13"/>
      <c r="CS239" s="7"/>
      <c r="CT239" s="7"/>
      <c r="CU239" s="7"/>
      <c r="CV239" s="7"/>
      <c r="CW239" s="7"/>
      <c r="EP239" s="17"/>
      <c r="EQ239" s="17"/>
      <c r="ER239" s="17"/>
      <c r="ES239" s="15"/>
      <c r="ET239" s="15"/>
    </row>
    <row r="240" spans="1:150" ht="15.75" customHeight="1">
      <c r="A240" s="7"/>
      <c r="B240" s="7"/>
      <c r="C240" s="32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32"/>
      <c r="BT240" s="57"/>
      <c r="BU240" s="6"/>
      <c r="BV240" s="6"/>
      <c r="BW240" s="6"/>
      <c r="BX240" s="6"/>
      <c r="BY240" s="6"/>
      <c r="BZ240" s="6"/>
      <c r="CA240" s="6"/>
      <c r="CB240" s="6"/>
      <c r="CC240" s="6"/>
      <c r="CD240" s="32"/>
      <c r="CE240" s="32"/>
      <c r="CF240" s="57"/>
      <c r="CG240" s="28"/>
      <c r="CH240" s="28"/>
      <c r="CI240" s="28"/>
      <c r="CJ240" s="28"/>
      <c r="CL240" s="29"/>
      <c r="CM240" s="29"/>
      <c r="CN240" s="29"/>
      <c r="CO240" s="29"/>
      <c r="CP240" s="29"/>
      <c r="CQ240" s="29"/>
      <c r="CR240" s="13"/>
      <c r="CS240" s="7"/>
      <c r="CT240" s="7"/>
      <c r="CU240" s="7"/>
      <c r="CV240" s="7"/>
      <c r="CW240" s="7"/>
      <c r="EP240" s="17"/>
      <c r="EQ240" s="17"/>
      <c r="ER240" s="17"/>
      <c r="ES240" s="15"/>
      <c r="ET240" s="15"/>
    </row>
    <row r="241" spans="1:150" ht="15.75" customHeight="1">
      <c r="A241" s="7"/>
      <c r="B241" s="7"/>
      <c r="C241" s="32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32"/>
      <c r="BT241" s="57"/>
      <c r="BU241" s="6"/>
      <c r="BV241" s="6"/>
      <c r="BW241" s="6"/>
      <c r="BX241" s="6"/>
      <c r="BY241" s="6"/>
      <c r="BZ241" s="6"/>
      <c r="CA241" s="6"/>
      <c r="CB241" s="6"/>
      <c r="CC241" s="6"/>
      <c r="CD241" s="32"/>
      <c r="CE241" s="32"/>
      <c r="CF241" s="57"/>
      <c r="CG241" s="28"/>
      <c r="CH241" s="28"/>
      <c r="CI241" s="28"/>
      <c r="CJ241" s="28"/>
      <c r="CL241" s="29"/>
      <c r="CM241" s="29"/>
      <c r="CN241" s="29"/>
      <c r="CO241" s="29"/>
      <c r="CP241" s="29"/>
      <c r="CQ241" s="29"/>
      <c r="CR241" s="13"/>
      <c r="CS241" s="7"/>
      <c r="CT241" s="7"/>
      <c r="CU241" s="7"/>
      <c r="CV241" s="7"/>
      <c r="CW241" s="7"/>
      <c r="EP241" s="17"/>
      <c r="EQ241" s="17"/>
      <c r="ER241" s="17"/>
      <c r="ES241" s="15"/>
      <c r="ET241" s="15"/>
    </row>
    <row r="242" spans="1:150" ht="15.75" customHeight="1">
      <c r="A242" s="7"/>
      <c r="B242" s="7"/>
      <c r="C242" s="32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32"/>
      <c r="BT242" s="57"/>
      <c r="BU242" s="6"/>
      <c r="BV242" s="6"/>
      <c r="BW242" s="6"/>
      <c r="BX242" s="6"/>
      <c r="BY242" s="6"/>
      <c r="BZ242" s="6"/>
      <c r="CA242" s="6"/>
      <c r="CB242" s="6"/>
      <c r="CC242" s="6"/>
      <c r="CD242" s="32"/>
      <c r="CE242" s="32"/>
      <c r="CF242" s="57"/>
      <c r="CG242" s="28"/>
      <c r="CH242" s="28"/>
      <c r="CI242" s="28"/>
      <c r="CJ242" s="28"/>
      <c r="CL242" s="29"/>
      <c r="CM242" s="29"/>
      <c r="CN242" s="29"/>
      <c r="CO242" s="29"/>
      <c r="CP242" s="29"/>
      <c r="CQ242" s="29"/>
      <c r="CR242" s="13"/>
      <c r="CS242" s="7"/>
      <c r="CT242" s="7"/>
      <c r="CU242" s="7"/>
      <c r="CV242" s="7"/>
      <c r="CW242" s="7"/>
      <c r="EP242" s="17"/>
      <c r="EQ242" s="17"/>
      <c r="ER242" s="17"/>
      <c r="ES242" s="15"/>
      <c r="ET242" s="15"/>
    </row>
    <row r="243" spans="1:150" ht="15.75" customHeight="1">
      <c r="A243" s="7"/>
      <c r="B243" s="7"/>
      <c r="C243" s="32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32"/>
      <c r="BT243" s="57"/>
      <c r="BU243" s="6"/>
      <c r="BV243" s="6"/>
      <c r="BW243" s="6"/>
      <c r="BX243" s="6"/>
      <c r="BY243" s="6"/>
      <c r="BZ243" s="6"/>
      <c r="CA243" s="6"/>
      <c r="CB243" s="6"/>
      <c r="CC243" s="6"/>
      <c r="CD243" s="32"/>
      <c r="CE243" s="32"/>
      <c r="CF243" s="57"/>
      <c r="CG243" s="28"/>
      <c r="CH243" s="28"/>
      <c r="CI243" s="28"/>
      <c r="CJ243" s="28"/>
      <c r="CL243" s="29"/>
      <c r="CM243" s="29"/>
      <c r="CN243" s="29"/>
      <c r="CO243" s="29"/>
      <c r="CP243" s="29"/>
      <c r="CQ243" s="29"/>
      <c r="CR243" s="13"/>
      <c r="CS243" s="7"/>
      <c r="CT243" s="7"/>
      <c r="CU243" s="7"/>
      <c r="CV243" s="7"/>
      <c r="CW243" s="7"/>
      <c r="EP243" s="17"/>
      <c r="EQ243" s="17"/>
      <c r="ER243" s="17"/>
      <c r="ES243" s="15"/>
      <c r="ET243" s="15"/>
    </row>
    <row r="244" spans="1:150" ht="15.75" customHeight="1">
      <c r="A244" s="7"/>
      <c r="B244" s="7"/>
      <c r="C244" s="32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32"/>
      <c r="BT244" s="57"/>
      <c r="BU244" s="6"/>
      <c r="BV244" s="6"/>
      <c r="BW244" s="6"/>
      <c r="BX244" s="6"/>
      <c r="BY244" s="6"/>
      <c r="BZ244" s="6"/>
      <c r="CA244" s="6"/>
      <c r="CB244" s="6"/>
      <c r="CC244" s="6"/>
      <c r="CD244" s="32"/>
      <c r="CE244" s="32"/>
      <c r="CF244" s="57"/>
      <c r="CG244" s="28"/>
      <c r="CH244" s="28"/>
      <c r="CI244" s="28"/>
      <c r="CJ244" s="28"/>
      <c r="CL244" s="29"/>
      <c r="CM244" s="29"/>
      <c r="CN244" s="29"/>
      <c r="CO244" s="29"/>
      <c r="CP244" s="29"/>
      <c r="CQ244" s="29"/>
      <c r="CR244" s="13"/>
      <c r="CS244" s="7"/>
      <c r="CT244" s="7"/>
      <c r="CU244" s="7"/>
      <c r="CV244" s="7"/>
      <c r="CW244" s="7"/>
      <c r="EP244" s="17"/>
      <c r="EQ244" s="17"/>
      <c r="ER244" s="17"/>
      <c r="ES244" s="15"/>
      <c r="ET244" s="15"/>
    </row>
    <row r="245" spans="1:150" ht="15.75" customHeight="1">
      <c r="A245" s="7"/>
      <c r="B245" s="7"/>
      <c r="C245" s="32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32"/>
      <c r="BT245" s="57"/>
      <c r="BU245" s="6"/>
      <c r="BV245" s="6"/>
      <c r="BW245" s="6"/>
      <c r="BX245" s="6"/>
      <c r="BY245" s="6"/>
      <c r="BZ245" s="6"/>
      <c r="CA245" s="6"/>
      <c r="CB245" s="6"/>
      <c r="CC245" s="6"/>
      <c r="CD245" s="32"/>
      <c r="CE245" s="32"/>
      <c r="CF245" s="57"/>
      <c r="CG245" s="28"/>
      <c r="CH245" s="28"/>
      <c r="CI245" s="28"/>
      <c r="CJ245" s="28"/>
      <c r="CL245" s="29"/>
      <c r="CM245" s="29"/>
      <c r="CN245" s="29"/>
      <c r="CO245" s="29"/>
      <c r="CP245" s="29"/>
      <c r="CQ245" s="29"/>
      <c r="CR245" s="13"/>
      <c r="CS245" s="7"/>
      <c r="CT245" s="7"/>
      <c r="CU245" s="7"/>
      <c r="CV245" s="7"/>
      <c r="CW245" s="7"/>
      <c r="EP245" s="17"/>
      <c r="EQ245" s="17"/>
      <c r="ER245" s="17"/>
      <c r="ES245" s="15"/>
      <c r="ET245" s="15"/>
    </row>
    <row r="246" spans="1:150" ht="15.75" customHeight="1">
      <c r="A246" s="7"/>
      <c r="B246" s="7"/>
      <c r="C246" s="32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32"/>
      <c r="BT246" s="57"/>
      <c r="BU246" s="6"/>
      <c r="BV246" s="6"/>
      <c r="BW246" s="6"/>
      <c r="BX246" s="6"/>
      <c r="BY246" s="6"/>
      <c r="BZ246" s="6"/>
      <c r="CA246" s="6"/>
      <c r="CB246" s="6"/>
      <c r="CC246" s="6"/>
      <c r="CD246" s="32"/>
      <c r="CE246" s="32"/>
      <c r="CF246" s="57"/>
      <c r="CG246" s="28"/>
      <c r="CH246" s="28"/>
      <c r="CI246" s="28"/>
      <c r="CJ246" s="28"/>
      <c r="CL246" s="29"/>
      <c r="CM246" s="29"/>
      <c r="CN246" s="29"/>
      <c r="CO246" s="29"/>
      <c r="CP246" s="29"/>
      <c r="CQ246" s="29"/>
      <c r="CR246" s="13"/>
      <c r="CS246" s="7"/>
      <c r="CT246" s="7"/>
      <c r="CU246" s="7"/>
      <c r="CV246" s="7"/>
      <c r="CW246" s="7"/>
      <c r="EP246" s="17"/>
      <c r="EQ246" s="17"/>
      <c r="ER246" s="17"/>
      <c r="ES246" s="15"/>
      <c r="ET246" s="15"/>
    </row>
    <row r="247" spans="1:150" ht="15.75" customHeight="1">
      <c r="A247" s="7"/>
      <c r="B247" s="7"/>
      <c r="C247" s="32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32"/>
      <c r="BT247" s="57"/>
      <c r="BU247" s="6"/>
      <c r="BV247" s="6"/>
      <c r="BW247" s="6"/>
      <c r="BX247" s="6"/>
      <c r="BY247" s="6"/>
      <c r="BZ247" s="6"/>
      <c r="CA247" s="6"/>
      <c r="CB247" s="6"/>
      <c r="CC247" s="6"/>
      <c r="CD247" s="32"/>
      <c r="CE247" s="32"/>
      <c r="CF247" s="57"/>
      <c r="CG247" s="28"/>
      <c r="CH247" s="28"/>
      <c r="CI247" s="28"/>
      <c r="CJ247" s="28"/>
      <c r="CL247" s="29"/>
      <c r="CM247" s="29"/>
      <c r="CN247" s="29"/>
      <c r="CO247" s="29"/>
      <c r="CP247" s="29"/>
      <c r="CQ247" s="29"/>
      <c r="CR247" s="13"/>
      <c r="CS247" s="7"/>
      <c r="CT247" s="7"/>
      <c r="CU247" s="7"/>
      <c r="CV247" s="7"/>
      <c r="CW247" s="7"/>
      <c r="EP247" s="17"/>
      <c r="EQ247" s="17"/>
      <c r="ER247" s="17"/>
      <c r="ES247" s="15"/>
      <c r="ET247" s="15"/>
    </row>
    <row r="248" spans="1:150" ht="15.75" customHeight="1">
      <c r="A248" s="7"/>
      <c r="B248" s="7"/>
      <c r="C248" s="32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32"/>
      <c r="BT248" s="57"/>
      <c r="BU248" s="6"/>
      <c r="BV248" s="6"/>
      <c r="BW248" s="6"/>
      <c r="BX248" s="6"/>
      <c r="BY248" s="6"/>
      <c r="BZ248" s="6"/>
      <c r="CA248" s="6"/>
      <c r="CB248" s="6"/>
      <c r="CC248" s="6"/>
      <c r="CD248" s="32"/>
      <c r="CE248" s="32"/>
      <c r="CF248" s="57"/>
      <c r="CG248" s="28"/>
      <c r="CH248" s="28"/>
      <c r="CI248" s="28"/>
      <c r="CJ248" s="28"/>
      <c r="CL248" s="29"/>
      <c r="CM248" s="29"/>
      <c r="CN248" s="29"/>
      <c r="CO248" s="29"/>
      <c r="CP248" s="29"/>
      <c r="CQ248" s="29"/>
      <c r="CR248" s="13"/>
      <c r="CS248" s="7"/>
      <c r="CT248" s="7"/>
      <c r="CU248" s="7"/>
      <c r="CV248" s="7"/>
      <c r="CW248" s="7"/>
      <c r="EP248" s="17"/>
      <c r="EQ248" s="17"/>
      <c r="ER248" s="17"/>
      <c r="ES248" s="15"/>
      <c r="ET248" s="15"/>
    </row>
    <row r="249" spans="1:150" ht="15.75" customHeight="1">
      <c r="A249" s="7"/>
      <c r="B249" s="7"/>
      <c r="C249" s="32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32"/>
      <c r="BT249" s="57"/>
      <c r="BU249" s="6"/>
      <c r="BV249" s="6"/>
      <c r="BW249" s="6"/>
      <c r="BX249" s="6"/>
      <c r="BY249" s="6"/>
      <c r="BZ249" s="6"/>
      <c r="CA249" s="6"/>
      <c r="CB249" s="6"/>
      <c r="CC249" s="6"/>
      <c r="CD249" s="32"/>
      <c r="CE249" s="32"/>
      <c r="CF249" s="57"/>
      <c r="CG249" s="28"/>
      <c r="CH249" s="28"/>
      <c r="CI249" s="28"/>
      <c r="CJ249" s="28"/>
      <c r="CL249" s="29"/>
      <c r="CM249" s="29"/>
      <c r="CN249" s="29"/>
      <c r="CO249" s="29"/>
      <c r="CP249" s="29"/>
      <c r="CQ249" s="29"/>
      <c r="CR249" s="13"/>
      <c r="CS249" s="7"/>
      <c r="CT249" s="7"/>
      <c r="CU249" s="7"/>
      <c r="CV249" s="7"/>
      <c r="CW249" s="7"/>
      <c r="EP249" s="17"/>
      <c r="EQ249" s="17"/>
      <c r="ER249" s="17"/>
      <c r="ES249" s="15"/>
      <c r="ET249" s="15"/>
    </row>
    <row r="250" spans="1:150" ht="15.75" customHeight="1">
      <c r="A250" s="7"/>
      <c r="B250" s="7"/>
      <c r="C250" s="32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32"/>
      <c r="BT250" s="57"/>
      <c r="BU250" s="6"/>
      <c r="BV250" s="6"/>
      <c r="BW250" s="6"/>
      <c r="BX250" s="6"/>
      <c r="BY250" s="6"/>
      <c r="BZ250" s="6"/>
      <c r="CA250" s="6"/>
      <c r="CB250" s="6"/>
      <c r="CC250" s="6"/>
      <c r="CD250" s="32"/>
      <c r="CE250" s="32"/>
      <c r="CF250" s="57"/>
      <c r="CG250" s="28"/>
      <c r="CH250" s="28"/>
      <c r="CI250" s="28"/>
      <c r="CJ250" s="28"/>
      <c r="CL250" s="29"/>
      <c r="CM250" s="29"/>
      <c r="CN250" s="29"/>
      <c r="CO250" s="29"/>
      <c r="CP250" s="29"/>
      <c r="CQ250" s="29"/>
      <c r="CR250" s="13"/>
      <c r="CS250" s="7"/>
      <c r="CT250" s="7"/>
      <c r="CU250" s="7"/>
      <c r="CV250" s="7"/>
      <c r="CW250" s="7"/>
      <c r="EP250" s="17"/>
      <c r="EQ250" s="17"/>
      <c r="ER250" s="17"/>
      <c r="ES250" s="15"/>
      <c r="ET250" s="15"/>
    </row>
    <row r="251" spans="1:150" ht="15.75" customHeight="1">
      <c r="A251" s="7"/>
      <c r="B251" s="7"/>
      <c r="C251" s="32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32"/>
      <c r="BT251" s="57"/>
      <c r="BU251" s="6"/>
      <c r="BV251" s="6"/>
      <c r="BW251" s="6"/>
      <c r="BX251" s="6"/>
      <c r="BY251" s="6"/>
      <c r="BZ251" s="6"/>
      <c r="CA251" s="6"/>
      <c r="CB251" s="6"/>
      <c r="CC251" s="6"/>
      <c r="CD251" s="32"/>
      <c r="CE251" s="32"/>
      <c r="CF251" s="57"/>
      <c r="CG251" s="28"/>
      <c r="CH251" s="28"/>
      <c r="CI251" s="28"/>
      <c r="CJ251" s="28"/>
      <c r="CL251" s="29"/>
      <c r="CM251" s="29"/>
      <c r="CN251" s="29"/>
      <c r="CO251" s="29"/>
      <c r="CP251" s="29"/>
      <c r="CQ251" s="29"/>
      <c r="CR251" s="13"/>
      <c r="CS251" s="7"/>
      <c r="CT251" s="7"/>
      <c r="CU251" s="7"/>
      <c r="CV251" s="7"/>
      <c r="CW251" s="7"/>
      <c r="EP251" s="17"/>
      <c r="EQ251" s="17"/>
      <c r="ER251" s="17"/>
      <c r="ES251" s="15"/>
      <c r="ET251" s="15"/>
    </row>
    <row r="252" spans="1:150" ht="15.75" customHeight="1">
      <c r="A252" s="7"/>
      <c r="B252" s="7"/>
      <c r="C252" s="32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32"/>
      <c r="BT252" s="57"/>
      <c r="BU252" s="6"/>
      <c r="BV252" s="6"/>
      <c r="BW252" s="6"/>
      <c r="BX252" s="6"/>
      <c r="BY252" s="6"/>
      <c r="BZ252" s="6"/>
      <c r="CA252" s="6"/>
      <c r="CB252" s="6"/>
      <c r="CC252" s="6"/>
      <c r="CD252" s="32"/>
      <c r="CE252" s="32"/>
      <c r="CF252" s="57"/>
      <c r="CG252" s="28"/>
      <c r="CH252" s="28"/>
      <c r="CI252" s="28"/>
      <c r="CJ252" s="28"/>
      <c r="CL252" s="29"/>
      <c r="CM252" s="29"/>
      <c r="CN252" s="29"/>
      <c r="CO252" s="29"/>
      <c r="CP252" s="29"/>
      <c r="CQ252" s="29"/>
      <c r="CR252" s="13"/>
      <c r="CS252" s="7"/>
      <c r="CT252" s="7"/>
      <c r="CU252" s="7"/>
      <c r="CV252" s="7"/>
      <c r="CW252" s="7"/>
      <c r="EP252" s="17"/>
      <c r="EQ252" s="17"/>
      <c r="ER252" s="17"/>
      <c r="ES252" s="15"/>
      <c r="ET252" s="15"/>
    </row>
    <row r="253" spans="1:150" ht="15.75" customHeight="1">
      <c r="A253" s="7"/>
      <c r="B253" s="7"/>
      <c r="C253" s="32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32"/>
      <c r="BT253" s="57"/>
      <c r="BU253" s="6"/>
      <c r="BV253" s="6"/>
      <c r="BW253" s="6"/>
      <c r="BX253" s="6"/>
      <c r="BY253" s="6"/>
      <c r="BZ253" s="6"/>
      <c r="CA253" s="6"/>
      <c r="CB253" s="6"/>
      <c r="CC253" s="6"/>
      <c r="CD253" s="32"/>
      <c r="CE253" s="32"/>
      <c r="CF253" s="57"/>
      <c r="CG253" s="28"/>
      <c r="CH253" s="28"/>
      <c r="CI253" s="28"/>
      <c r="CJ253" s="28"/>
      <c r="CL253" s="29"/>
      <c r="CM253" s="29"/>
      <c r="CN253" s="29"/>
      <c r="CO253" s="29"/>
      <c r="CP253" s="29"/>
      <c r="CQ253" s="29"/>
      <c r="CR253" s="13"/>
      <c r="CS253" s="7"/>
      <c r="CT253" s="7"/>
      <c r="CU253" s="7"/>
      <c r="CV253" s="7"/>
      <c r="CW253" s="7"/>
      <c r="EP253" s="17"/>
      <c r="EQ253" s="17"/>
      <c r="ER253" s="17"/>
      <c r="ES253" s="15"/>
      <c r="ET253" s="15"/>
    </row>
    <row r="254" spans="1:150" ht="15.75" customHeight="1">
      <c r="A254" s="7"/>
      <c r="B254" s="7"/>
      <c r="C254" s="32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32"/>
      <c r="BT254" s="57"/>
      <c r="BU254" s="6"/>
      <c r="BV254" s="6"/>
      <c r="BW254" s="6"/>
      <c r="BX254" s="6"/>
      <c r="BY254" s="6"/>
      <c r="BZ254" s="6"/>
      <c r="CA254" s="6"/>
      <c r="CB254" s="6"/>
      <c r="CC254" s="6"/>
      <c r="CD254" s="32"/>
      <c r="CE254" s="32"/>
      <c r="CF254" s="57"/>
      <c r="CG254" s="28"/>
      <c r="CH254" s="28"/>
      <c r="CI254" s="28"/>
      <c r="CJ254" s="28"/>
      <c r="CL254" s="29"/>
      <c r="CM254" s="29"/>
      <c r="CN254" s="29"/>
      <c r="CO254" s="29"/>
      <c r="CP254" s="29"/>
      <c r="CQ254" s="29"/>
      <c r="CR254" s="13"/>
      <c r="CS254" s="7"/>
      <c r="CT254" s="7"/>
      <c r="CU254" s="7"/>
      <c r="CV254" s="7"/>
      <c r="CW254" s="7"/>
      <c r="EP254" s="17"/>
      <c r="EQ254" s="17"/>
      <c r="ER254" s="17"/>
      <c r="ES254" s="15"/>
      <c r="ET254" s="15"/>
    </row>
    <row r="255" spans="1:150" ht="15.75" customHeight="1">
      <c r="A255" s="7"/>
      <c r="B255" s="7"/>
      <c r="C255" s="32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32"/>
      <c r="BT255" s="57"/>
      <c r="BU255" s="6"/>
      <c r="BV255" s="6"/>
      <c r="BW255" s="6"/>
      <c r="BX255" s="6"/>
      <c r="BY255" s="6"/>
      <c r="BZ255" s="6"/>
      <c r="CA255" s="6"/>
      <c r="CB255" s="6"/>
      <c r="CC255" s="6"/>
      <c r="CD255" s="32"/>
      <c r="CE255" s="32"/>
      <c r="CF255" s="57"/>
      <c r="CG255" s="28"/>
      <c r="CH255" s="28"/>
      <c r="CI255" s="28"/>
      <c r="CJ255" s="28"/>
      <c r="CL255" s="29"/>
      <c r="CM255" s="29"/>
      <c r="CN255" s="29"/>
      <c r="CO255" s="29"/>
      <c r="CP255" s="29"/>
      <c r="CQ255" s="29"/>
      <c r="CR255" s="13"/>
      <c r="CS255" s="7"/>
      <c r="CT255" s="7"/>
      <c r="CU255" s="7"/>
      <c r="CV255" s="7"/>
      <c r="CW255" s="7"/>
      <c r="EP255" s="17"/>
      <c r="EQ255" s="17"/>
      <c r="ER255" s="17"/>
      <c r="ES255" s="15"/>
      <c r="ET255" s="15"/>
    </row>
    <row r="256" spans="1:150" ht="15.75" customHeight="1">
      <c r="A256" s="7"/>
      <c r="B256" s="7"/>
      <c r="C256" s="32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32"/>
      <c r="BT256" s="57"/>
      <c r="BU256" s="6"/>
      <c r="BV256" s="6"/>
      <c r="BW256" s="6"/>
      <c r="BX256" s="6"/>
      <c r="BY256" s="6"/>
      <c r="BZ256" s="6"/>
      <c r="CA256" s="6"/>
      <c r="CB256" s="6"/>
      <c r="CC256" s="6"/>
      <c r="CD256" s="32"/>
      <c r="CE256" s="32"/>
      <c r="CF256" s="57"/>
      <c r="CG256" s="28"/>
      <c r="CH256" s="28"/>
      <c r="CI256" s="28"/>
      <c r="CJ256" s="28"/>
      <c r="CL256" s="29"/>
      <c r="CM256" s="29"/>
      <c r="CN256" s="29"/>
      <c r="CO256" s="29"/>
      <c r="CP256" s="29"/>
      <c r="CQ256" s="29"/>
      <c r="CR256" s="13"/>
      <c r="CS256" s="7"/>
      <c r="CT256" s="7"/>
      <c r="CU256" s="7"/>
      <c r="CV256" s="7"/>
      <c r="CW256" s="7"/>
      <c r="EP256" s="17"/>
      <c r="EQ256" s="17"/>
      <c r="ER256" s="17"/>
      <c r="ES256" s="15"/>
      <c r="ET256" s="15"/>
    </row>
    <row r="257" spans="1:150" ht="15.75" customHeight="1">
      <c r="A257" s="7"/>
      <c r="B257" s="7"/>
      <c r="C257" s="32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32"/>
      <c r="BT257" s="57"/>
      <c r="BU257" s="6"/>
      <c r="BV257" s="6"/>
      <c r="BW257" s="6"/>
      <c r="BX257" s="6"/>
      <c r="BY257" s="6"/>
      <c r="BZ257" s="6"/>
      <c r="CA257" s="6"/>
      <c r="CB257" s="6"/>
      <c r="CC257" s="6"/>
      <c r="CD257" s="32"/>
      <c r="CE257" s="32"/>
      <c r="CF257" s="57"/>
      <c r="CG257" s="28"/>
      <c r="CH257" s="28"/>
      <c r="CI257" s="28"/>
      <c r="CJ257" s="28"/>
      <c r="CL257" s="29"/>
      <c r="CM257" s="29"/>
      <c r="CN257" s="29"/>
      <c r="CO257" s="29"/>
      <c r="CP257" s="29"/>
      <c r="CQ257" s="29"/>
      <c r="CR257" s="13"/>
      <c r="CS257" s="7"/>
      <c r="CT257" s="7"/>
      <c r="CU257" s="7"/>
      <c r="CV257" s="7"/>
      <c r="CW257" s="7"/>
      <c r="EP257" s="17"/>
      <c r="EQ257" s="17"/>
      <c r="ER257" s="17"/>
      <c r="ES257" s="15"/>
      <c r="ET257" s="15"/>
    </row>
    <row r="258" spans="1:150" ht="15.75" customHeight="1">
      <c r="A258" s="7"/>
      <c r="B258" s="7"/>
      <c r="C258" s="32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32"/>
      <c r="BT258" s="57"/>
      <c r="BU258" s="6"/>
      <c r="BV258" s="6"/>
      <c r="BW258" s="6"/>
      <c r="BX258" s="6"/>
      <c r="BY258" s="6"/>
      <c r="BZ258" s="6"/>
      <c r="CA258" s="6"/>
      <c r="CB258" s="6"/>
      <c r="CC258" s="6"/>
      <c r="CD258" s="32"/>
      <c r="CE258" s="32"/>
      <c r="CF258" s="57"/>
      <c r="CG258" s="28"/>
      <c r="CH258" s="28"/>
      <c r="CI258" s="28"/>
      <c r="CJ258" s="28"/>
      <c r="CL258" s="29"/>
      <c r="CM258" s="29"/>
      <c r="CN258" s="29"/>
      <c r="CO258" s="29"/>
      <c r="CP258" s="29"/>
      <c r="CQ258" s="29"/>
      <c r="CR258" s="13"/>
      <c r="CS258" s="7"/>
      <c r="CT258" s="7"/>
      <c r="CU258" s="7"/>
      <c r="CV258" s="7"/>
      <c r="CW258" s="7"/>
      <c r="EP258" s="17"/>
      <c r="EQ258" s="17"/>
      <c r="ER258" s="17"/>
      <c r="ES258" s="15"/>
      <c r="ET258" s="15"/>
    </row>
    <row r="259" spans="1:150" ht="15.75" customHeight="1">
      <c r="A259" s="7"/>
      <c r="B259" s="7"/>
      <c r="C259" s="32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32"/>
      <c r="BT259" s="57"/>
      <c r="BU259" s="6"/>
      <c r="BV259" s="6"/>
      <c r="BW259" s="6"/>
      <c r="BX259" s="6"/>
      <c r="BY259" s="6"/>
      <c r="BZ259" s="6"/>
      <c r="CA259" s="6"/>
      <c r="CB259" s="6"/>
      <c r="CC259" s="6"/>
      <c r="CD259" s="32"/>
      <c r="CE259" s="32"/>
      <c r="CF259" s="57"/>
      <c r="CG259" s="28"/>
      <c r="CH259" s="28"/>
      <c r="CI259" s="28"/>
      <c r="CJ259" s="28"/>
      <c r="CL259" s="29"/>
      <c r="CM259" s="29"/>
      <c r="CN259" s="29"/>
      <c r="CO259" s="29"/>
      <c r="CP259" s="29"/>
      <c r="CQ259" s="29"/>
      <c r="CR259" s="13"/>
      <c r="CS259" s="7"/>
      <c r="CT259" s="7"/>
      <c r="CU259" s="7"/>
      <c r="CV259" s="7"/>
      <c r="CW259" s="7"/>
      <c r="EP259" s="17"/>
      <c r="EQ259" s="17"/>
      <c r="ER259" s="17"/>
      <c r="ES259" s="15"/>
      <c r="ET259" s="15"/>
    </row>
    <row r="260" spans="1:150" ht="15.75" customHeight="1">
      <c r="A260" s="7"/>
      <c r="B260" s="7"/>
      <c r="C260" s="32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32"/>
      <c r="BT260" s="57"/>
      <c r="BU260" s="6"/>
      <c r="BV260" s="6"/>
      <c r="BW260" s="6"/>
      <c r="BX260" s="6"/>
      <c r="BY260" s="6"/>
      <c r="BZ260" s="6"/>
      <c r="CA260" s="6"/>
      <c r="CB260" s="6"/>
      <c r="CC260" s="6"/>
      <c r="CD260" s="32"/>
      <c r="CE260" s="32"/>
      <c r="CF260" s="57"/>
      <c r="CG260" s="28"/>
      <c r="CH260" s="28"/>
      <c r="CI260" s="28"/>
      <c r="CJ260" s="28"/>
      <c r="CL260" s="29"/>
      <c r="CM260" s="29"/>
      <c r="CN260" s="29"/>
      <c r="CO260" s="29"/>
      <c r="CP260" s="29"/>
      <c r="CQ260" s="29"/>
      <c r="CR260" s="13"/>
      <c r="CS260" s="7"/>
      <c r="CT260" s="7"/>
      <c r="CU260" s="7"/>
      <c r="CV260" s="7"/>
      <c r="CW260" s="7"/>
      <c r="EP260" s="17"/>
      <c r="EQ260" s="17"/>
      <c r="ER260" s="17"/>
      <c r="ES260" s="15"/>
      <c r="ET260" s="15"/>
    </row>
    <row r="261" spans="1:150" ht="15.75" customHeight="1">
      <c r="A261" s="7"/>
      <c r="B261" s="7"/>
      <c r="C261" s="32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32"/>
      <c r="BT261" s="57"/>
      <c r="BU261" s="6"/>
      <c r="BV261" s="6"/>
      <c r="BW261" s="6"/>
      <c r="BX261" s="6"/>
      <c r="BY261" s="6"/>
      <c r="BZ261" s="6"/>
      <c r="CA261" s="6"/>
      <c r="CB261" s="6"/>
      <c r="CC261" s="6"/>
      <c r="CD261" s="32"/>
      <c r="CE261" s="32"/>
      <c r="CF261" s="57"/>
      <c r="CG261" s="28"/>
      <c r="CH261" s="28"/>
      <c r="CI261" s="28"/>
      <c r="CJ261" s="28"/>
      <c r="CL261" s="29"/>
      <c r="CM261" s="29"/>
      <c r="CN261" s="29"/>
      <c r="CO261" s="29"/>
      <c r="CP261" s="29"/>
      <c r="CQ261" s="29"/>
      <c r="CR261" s="13"/>
      <c r="CS261" s="7"/>
      <c r="CT261" s="7"/>
      <c r="CU261" s="7"/>
      <c r="CV261" s="7"/>
      <c r="CW261" s="7"/>
      <c r="EP261" s="17"/>
      <c r="EQ261" s="17"/>
      <c r="ER261" s="17"/>
      <c r="ES261" s="15"/>
      <c r="ET261" s="15"/>
    </row>
    <row r="262" spans="1:150" ht="15.75" customHeight="1">
      <c r="A262" s="7"/>
      <c r="B262" s="7"/>
      <c r="C262" s="32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32"/>
      <c r="BT262" s="57"/>
      <c r="BU262" s="6"/>
      <c r="BV262" s="6"/>
      <c r="BW262" s="6"/>
      <c r="BX262" s="6"/>
      <c r="BY262" s="6"/>
      <c r="BZ262" s="6"/>
      <c r="CA262" s="6"/>
      <c r="CB262" s="6"/>
      <c r="CC262" s="6"/>
      <c r="CD262" s="32"/>
      <c r="CE262" s="32"/>
      <c r="CF262" s="57"/>
      <c r="CG262" s="28"/>
      <c r="CH262" s="28"/>
      <c r="CI262" s="28"/>
      <c r="CJ262" s="28"/>
      <c r="CL262" s="29"/>
      <c r="CM262" s="29"/>
      <c r="CN262" s="29"/>
      <c r="CO262" s="29"/>
      <c r="CP262" s="29"/>
      <c r="CQ262" s="29"/>
      <c r="CR262" s="13"/>
      <c r="CS262" s="7"/>
      <c r="CT262" s="7"/>
      <c r="CU262" s="7"/>
      <c r="CV262" s="7"/>
      <c r="CW262" s="7"/>
      <c r="EP262" s="17"/>
      <c r="EQ262" s="17"/>
      <c r="ER262" s="17"/>
      <c r="ES262" s="15"/>
      <c r="ET262" s="15"/>
    </row>
    <row r="263" spans="1:150" ht="15.75" customHeight="1">
      <c r="A263" s="7"/>
      <c r="B263" s="7"/>
      <c r="C263" s="32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32"/>
      <c r="BT263" s="57"/>
      <c r="BU263" s="6"/>
      <c r="BV263" s="6"/>
      <c r="BW263" s="6"/>
      <c r="BX263" s="6"/>
      <c r="BY263" s="6"/>
      <c r="BZ263" s="6"/>
      <c r="CA263" s="6"/>
      <c r="CB263" s="6"/>
      <c r="CC263" s="6"/>
      <c r="CD263" s="32"/>
      <c r="CE263" s="32"/>
      <c r="CF263" s="57"/>
      <c r="CG263" s="28"/>
      <c r="CH263" s="28"/>
      <c r="CI263" s="28"/>
      <c r="CJ263" s="28"/>
      <c r="CL263" s="29"/>
      <c r="CM263" s="29"/>
      <c r="CN263" s="29"/>
      <c r="CO263" s="29"/>
      <c r="CP263" s="29"/>
      <c r="CQ263" s="29"/>
      <c r="CR263" s="13"/>
      <c r="CS263" s="7"/>
      <c r="CT263" s="7"/>
      <c r="CU263" s="7"/>
      <c r="CV263" s="7"/>
      <c r="CW263" s="7"/>
      <c r="EP263" s="17"/>
      <c r="EQ263" s="17"/>
      <c r="ER263" s="17"/>
      <c r="ES263" s="15"/>
      <c r="ET263" s="15"/>
    </row>
    <row r="264" spans="1:150" ht="15.75" customHeight="1">
      <c r="A264" s="7"/>
      <c r="B264" s="7"/>
      <c r="C264" s="32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32"/>
      <c r="BT264" s="57"/>
      <c r="BU264" s="6"/>
      <c r="BV264" s="6"/>
      <c r="BW264" s="6"/>
      <c r="BX264" s="6"/>
      <c r="BY264" s="6"/>
      <c r="BZ264" s="6"/>
      <c r="CA264" s="6"/>
      <c r="CB264" s="6"/>
      <c r="CC264" s="6"/>
      <c r="CD264" s="32"/>
      <c r="CE264" s="32"/>
      <c r="CF264" s="57"/>
      <c r="CG264" s="28"/>
      <c r="CH264" s="28"/>
      <c r="CI264" s="28"/>
      <c r="CJ264" s="28"/>
      <c r="CL264" s="29"/>
      <c r="CM264" s="29"/>
      <c r="CN264" s="29"/>
      <c r="CO264" s="29"/>
      <c r="CP264" s="29"/>
      <c r="CQ264" s="29"/>
      <c r="CR264" s="13"/>
      <c r="CS264" s="7"/>
      <c r="CT264" s="7"/>
      <c r="CU264" s="7"/>
      <c r="CV264" s="7"/>
      <c r="CW264" s="7"/>
      <c r="EP264" s="17"/>
      <c r="EQ264" s="17"/>
      <c r="ER264" s="17"/>
      <c r="ES264" s="15"/>
      <c r="ET264" s="15"/>
    </row>
    <row r="265" spans="1:150" ht="15.75" customHeight="1">
      <c r="A265" s="7"/>
      <c r="B265" s="7"/>
      <c r="C265" s="32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32"/>
      <c r="BT265" s="57"/>
      <c r="BU265" s="6"/>
      <c r="BV265" s="6"/>
      <c r="BW265" s="6"/>
      <c r="BX265" s="6"/>
      <c r="BY265" s="6"/>
      <c r="BZ265" s="6"/>
      <c r="CA265" s="6"/>
      <c r="CB265" s="6"/>
      <c r="CC265" s="6"/>
      <c r="CD265" s="32"/>
      <c r="CE265" s="32"/>
      <c r="CF265" s="57"/>
      <c r="CG265" s="28"/>
      <c r="CH265" s="28"/>
      <c r="CI265" s="28"/>
      <c r="CJ265" s="28"/>
      <c r="CL265" s="29"/>
      <c r="CM265" s="29"/>
      <c r="CN265" s="29"/>
      <c r="CO265" s="29"/>
      <c r="CP265" s="29"/>
      <c r="CQ265" s="29"/>
      <c r="CR265" s="13"/>
      <c r="CS265" s="7"/>
      <c r="CT265" s="7"/>
      <c r="CU265" s="7"/>
      <c r="CV265" s="7"/>
      <c r="CW265" s="7"/>
      <c r="EP265" s="17"/>
      <c r="EQ265" s="17"/>
      <c r="ER265" s="17"/>
      <c r="ES265" s="15"/>
      <c r="ET265" s="15"/>
    </row>
    <row r="266" spans="1:150" ht="15.75" customHeight="1">
      <c r="A266" s="7"/>
      <c r="B266" s="7"/>
      <c r="C266" s="32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32"/>
      <c r="BT266" s="57"/>
      <c r="BU266" s="6"/>
      <c r="BV266" s="6"/>
      <c r="BW266" s="6"/>
      <c r="BX266" s="6"/>
      <c r="BY266" s="6"/>
      <c r="BZ266" s="6"/>
      <c r="CA266" s="6"/>
      <c r="CB266" s="6"/>
      <c r="CC266" s="6"/>
      <c r="CD266" s="32"/>
      <c r="CE266" s="32"/>
      <c r="CF266" s="57"/>
      <c r="CG266" s="28"/>
      <c r="CH266" s="28"/>
      <c r="CI266" s="28"/>
      <c r="CJ266" s="28"/>
      <c r="CL266" s="29"/>
      <c r="CM266" s="29"/>
      <c r="CN266" s="29"/>
      <c r="CO266" s="29"/>
      <c r="CP266" s="29"/>
      <c r="CQ266" s="29"/>
      <c r="CR266" s="13"/>
      <c r="CS266" s="7"/>
      <c r="CT266" s="7"/>
      <c r="CU266" s="7"/>
      <c r="CV266" s="7"/>
      <c r="CW266" s="7"/>
      <c r="EP266" s="17"/>
      <c r="EQ266" s="17"/>
      <c r="ER266" s="17"/>
      <c r="ES266" s="15"/>
      <c r="ET266" s="15"/>
    </row>
    <row r="267" spans="1:150" ht="15.75" customHeight="1">
      <c r="A267" s="7"/>
      <c r="B267" s="7"/>
      <c r="C267" s="32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32"/>
      <c r="BT267" s="57"/>
      <c r="BU267" s="6"/>
      <c r="BV267" s="6"/>
      <c r="BW267" s="6"/>
      <c r="BX267" s="6"/>
      <c r="BY267" s="6"/>
      <c r="BZ267" s="6"/>
      <c r="CA267" s="6"/>
      <c r="CB267" s="6"/>
      <c r="CC267" s="6"/>
      <c r="CD267" s="32"/>
      <c r="CE267" s="32"/>
      <c r="CF267" s="57"/>
      <c r="CG267" s="28"/>
      <c r="CH267" s="28"/>
      <c r="CI267" s="28"/>
      <c r="CJ267" s="28"/>
      <c r="CL267" s="29"/>
      <c r="CM267" s="29"/>
      <c r="CN267" s="29"/>
      <c r="CO267" s="29"/>
      <c r="CP267" s="29"/>
      <c r="CQ267" s="29"/>
      <c r="CR267" s="13"/>
      <c r="CS267" s="7"/>
      <c r="CT267" s="7"/>
      <c r="CU267" s="7"/>
      <c r="CV267" s="7"/>
      <c r="CW267" s="7"/>
      <c r="EP267" s="17"/>
      <c r="EQ267" s="17"/>
      <c r="ER267" s="17"/>
      <c r="ES267" s="15"/>
      <c r="ET267" s="15"/>
    </row>
    <row r="268" spans="1:150" ht="15.75" customHeight="1">
      <c r="A268" s="7"/>
      <c r="B268" s="7"/>
      <c r="C268" s="32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32"/>
      <c r="BT268" s="57"/>
      <c r="BU268" s="6"/>
      <c r="BV268" s="6"/>
      <c r="BW268" s="6"/>
      <c r="BX268" s="6"/>
      <c r="BY268" s="6"/>
      <c r="BZ268" s="6"/>
      <c r="CA268" s="6"/>
      <c r="CB268" s="6"/>
      <c r="CC268" s="6"/>
      <c r="CD268" s="32"/>
      <c r="CE268" s="32"/>
      <c r="CF268" s="57"/>
      <c r="CG268" s="28"/>
      <c r="CH268" s="28"/>
      <c r="CI268" s="28"/>
      <c r="CJ268" s="28"/>
      <c r="CL268" s="29"/>
      <c r="CM268" s="29"/>
      <c r="CN268" s="29"/>
      <c r="CO268" s="29"/>
      <c r="CP268" s="29"/>
      <c r="CQ268" s="29"/>
      <c r="CR268" s="13"/>
      <c r="CS268" s="7"/>
      <c r="CT268" s="7"/>
      <c r="CU268" s="7"/>
      <c r="CV268" s="7"/>
      <c r="CW268" s="7"/>
      <c r="EP268" s="17"/>
      <c r="EQ268" s="17"/>
      <c r="ER268" s="17"/>
      <c r="ES268" s="15"/>
      <c r="ET268" s="15"/>
    </row>
    <row r="269" spans="1:150" ht="15.75" customHeight="1">
      <c r="A269" s="7"/>
      <c r="B269" s="7"/>
      <c r="C269" s="32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32"/>
      <c r="BT269" s="57"/>
      <c r="BU269" s="6"/>
      <c r="BV269" s="6"/>
      <c r="BW269" s="6"/>
      <c r="BX269" s="6"/>
      <c r="BY269" s="6"/>
      <c r="BZ269" s="6"/>
      <c r="CA269" s="6"/>
      <c r="CB269" s="6"/>
      <c r="CC269" s="6"/>
      <c r="CD269" s="32"/>
      <c r="CE269" s="32"/>
      <c r="CF269" s="57"/>
      <c r="CG269" s="28"/>
      <c r="CH269" s="28"/>
      <c r="CI269" s="28"/>
      <c r="CJ269" s="28"/>
      <c r="CL269" s="29"/>
      <c r="CM269" s="29"/>
      <c r="CN269" s="29"/>
      <c r="CO269" s="29"/>
      <c r="CP269" s="29"/>
      <c r="CQ269" s="29"/>
      <c r="CR269" s="13"/>
      <c r="CS269" s="7"/>
      <c r="CT269" s="7"/>
      <c r="CU269" s="7"/>
      <c r="CV269" s="7"/>
      <c r="CW269" s="7"/>
      <c r="EP269" s="17"/>
      <c r="EQ269" s="17"/>
      <c r="ER269" s="17"/>
      <c r="ES269" s="15"/>
      <c r="ET269" s="15"/>
    </row>
    <row r="270" spans="1:150" ht="15.75" customHeight="1">
      <c r="A270" s="7"/>
      <c r="B270" s="7"/>
      <c r="C270" s="32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32"/>
      <c r="BT270" s="57"/>
      <c r="BU270" s="6"/>
      <c r="BV270" s="6"/>
      <c r="BW270" s="6"/>
      <c r="BX270" s="6"/>
      <c r="BY270" s="6"/>
      <c r="BZ270" s="6"/>
      <c r="CA270" s="6"/>
      <c r="CB270" s="6"/>
      <c r="CC270" s="6"/>
      <c r="CD270" s="32"/>
      <c r="CE270" s="32"/>
      <c r="CF270" s="57"/>
      <c r="CG270" s="28"/>
      <c r="CH270" s="28"/>
      <c r="CI270" s="28"/>
      <c r="CJ270" s="28"/>
      <c r="CL270" s="29"/>
      <c r="CM270" s="29"/>
      <c r="CN270" s="29"/>
      <c r="CO270" s="29"/>
      <c r="CP270" s="29"/>
      <c r="CQ270" s="29"/>
      <c r="CR270" s="13"/>
      <c r="CS270" s="7"/>
      <c r="CT270" s="7"/>
      <c r="CU270" s="7"/>
      <c r="CV270" s="7"/>
      <c r="CW270" s="7"/>
      <c r="EP270" s="17"/>
      <c r="EQ270" s="17"/>
      <c r="ER270" s="17"/>
      <c r="ES270" s="15"/>
      <c r="ET270" s="15"/>
    </row>
    <row r="271" spans="1:150" ht="15.75" customHeight="1">
      <c r="A271" s="7"/>
      <c r="B271" s="7"/>
      <c r="C271" s="32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32"/>
      <c r="BT271" s="57"/>
      <c r="BU271" s="6"/>
      <c r="BV271" s="6"/>
      <c r="BW271" s="6"/>
      <c r="BX271" s="6"/>
      <c r="BY271" s="6"/>
      <c r="BZ271" s="6"/>
      <c r="CA271" s="6"/>
      <c r="CB271" s="6"/>
      <c r="CC271" s="6"/>
      <c r="CD271" s="32"/>
      <c r="CE271" s="32"/>
      <c r="CF271" s="57"/>
      <c r="CG271" s="28"/>
      <c r="CH271" s="28"/>
      <c r="CI271" s="28"/>
      <c r="CJ271" s="28"/>
      <c r="CL271" s="29"/>
      <c r="CM271" s="29"/>
      <c r="CN271" s="29"/>
      <c r="CO271" s="29"/>
      <c r="CP271" s="29"/>
      <c r="CQ271" s="29"/>
      <c r="CR271" s="13"/>
      <c r="CS271" s="7"/>
      <c r="CT271" s="7"/>
      <c r="CU271" s="7"/>
      <c r="CV271" s="7"/>
      <c r="CW271" s="7"/>
      <c r="EP271" s="17"/>
      <c r="EQ271" s="17"/>
      <c r="ER271" s="17"/>
      <c r="ES271" s="15"/>
      <c r="ET271" s="15"/>
    </row>
    <row r="272" spans="1:150" ht="15.75" customHeight="1">
      <c r="A272" s="7"/>
      <c r="B272" s="7"/>
      <c r="C272" s="32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32"/>
      <c r="BT272" s="57"/>
      <c r="BU272" s="6"/>
      <c r="BV272" s="6"/>
      <c r="BW272" s="6"/>
      <c r="BX272" s="6"/>
      <c r="BY272" s="6"/>
      <c r="BZ272" s="6"/>
      <c r="CA272" s="6"/>
      <c r="CB272" s="6"/>
      <c r="CC272" s="6"/>
      <c r="CD272" s="32"/>
      <c r="CE272" s="32"/>
      <c r="CF272" s="57"/>
      <c r="CG272" s="28"/>
      <c r="CH272" s="28"/>
      <c r="CI272" s="28"/>
      <c r="CJ272" s="28"/>
      <c r="CL272" s="29"/>
      <c r="CM272" s="29"/>
      <c r="CN272" s="29"/>
      <c r="CO272" s="29"/>
      <c r="CP272" s="29"/>
      <c r="CQ272" s="29"/>
      <c r="CR272" s="13"/>
      <c r="CS272" s="7"/>
      <c r="CT272" s="7"/>
      <c r="CU272" s="7"/>
      <c r="CV272" s="7"/>
      <c r="CW272" s="7"/>
      <c r="EP272" s="17"/>
      <c r="EQ272" s="17"/>
      <c r="ER272" s="17"/>
      <c r="ES272" s="15"/>
      <c r="ET272" s="15"/>
    </row>
    <row r="273" spans="1:150" ht="15.75" customHeight="1">
      <c r="A273" s="7"/>
      <c r="B273" s="7"/>
      <c r="C273" s="32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32"/>
      <c r="BT273" s="57"/>
      <c r="BU273" s="6"/>
      <c r="BV273" s="6"/>
      <c r="BW273" s="6"/>
      <c r="BX273" s="6"/>
      <c r="BY273" s="6"/>
      <c r="BZ273" s="6"/>
      <c r="CA273" s="6"/>
      <c r="CB273" s="6"/>
      <c r="CC273" s="6"/>
      <c r="CD273" s="32"/>
      <c r="CE273" s="32"/>
      <c r="CF273" s="57"/>
      <c r="CG273" s="28"/>
      <c r="CH273" s="28"/>
      <c r="CI273" s="28"/>
      <c r="CJ273" s="28"/>
      <c r="CL273" s="29"/>
      <c r="CM273" s="29"/>
      <c r="CN273" s="29"/>
      <c r="CO273" s="29"/>
      <c r="CP273" s="29"/>
      <c r="CQ273" s="29"/>
      <c r="CR273" s="13"/>
      <c r="CS273" s="7"/>
      <c r="CT273" s="7"/>
      <c r="CU273" s="7"/>
      <c r="CV273" s="7"/>
      <c r="CW273" s="7"/>
      <c r="EP273" s="17"/>
      <c r="EQ273" s="17"/>
      <c r="ER273" s="17"/>
      <c r="ES273" s="15"/>
      <c r="ET273" s="15"/>
    </row>
    <row r="274" spans="1:150" ht="15.75" customHeight="1">
      <c r="A274" s="7"/>
      <c r="B274" s="7"/>
      <c r="C274" s="32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32"/>
      <c r="BT274" s="57"/>
      <c r="BU274" s="6"/>
      <c r="BV274" s="6"/>
      <c r="BW274" s="6"/>
      <c r="BX274" s="6"/>
      <c r="BY274" s="6"/>
      <c r="BZ274" s="6"/>
      <c r="CA274" s="6"/>
      <c r="CB274" s="6"/>
      <c r="CC274" s="6"/>
      <c r="CD274" s="32"/>
      <c r="CE274" s="32"/>
      <c r="CF274" s="57"/>
      <c r="CG274" s="28"/>
      <c r="CH274" s="28"/>
      <c r="CI274" s="28"/>
      <c r="CJ274" s="28"/>
      <c r="CL274" s="29"/>
      <c r="CM274" s="29"/>
      <c r="CN274" s="29"/>
      <c r="CO274" s="29"/>
      <c r="CP274" s="29"/>
      <c r="CQ274" s="29"/>
      <c r="CR274" s="13"/>
      <c r="CS274" s="7"/>
      <c r="CT274" s="7"/>
      <c r="CU274" s="7"/>
      <c r="CV274" s="7"/>
      <c r="CW274" s="7"/>
      <c r="EP274" s="17"/>
      <c r="EQ274" s="17"/>
      <c r="ER274" s="17"/>
      <c r="ES274" s="15"/>
      <c r="ET274" s="15"/>
    </row>
    <row r="275" spans="1:150" ht="15.75" customHeight="1">
      <c r="A275" s="7"/>
      <c r="B275" s="7"/>
      <c r="C275" s="32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32"/>
      <c r="BT275" s="57"/>
      <c r="BU275" s="6"/>
      <c r="BV275" s="6"/>
      <c r="BW275" s="6"/>
      <c r="BX275" s="6"/>
      <c r="BY275" s="6"/>
      <c r="BZ275" s="6"/>
      <c r="CA275" s="6"/>
      <c r="CB275" s="6"/>
      <c r="CC275" s="6"/>
      <c r="CD275" s="32"/>
      <c r="CE275" s="32"/>
      <c r="CF275" s="57"/>
      <c r="CG275" s="28"/>
      <c r="CH275" s="28"/>
      <c r="CI275" s="28"/>
      <c r="CJ275" s="28"/>
      <c r="CL275" s="29"/>
      <c r="CM275" s="29"/>
      <c r="CN275" s="29"/>
      <c r="CO275" s="29"/>
      <c r="CP275" s="29"/>
      <c r="CQ275" s="29"/>
      <c r="CR275" s="13"/>
      <c r="CS275" s="7"/>
      <c r="CT275" s="7"/>
      <c r="CU275" s="7"/>
      <c r="CV275" s="7"/>
      <c r="CW275" s="7"/>
      <c r="EP275" s="17"/>
      <c r="EQ275" s="17"/>
      <c r="ER275" s="17"/>
      <c r="ES275" s="15"/>
      <c r="ET275" s="15"/>
    </row>
    <row r="276" spans="1:150" ht="15.75" customHeight="1">
      <c r="A276" s="7"/>
      <c r="B276" s="7"/>
      <c r="C276" s="32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32"/>
      <c r="BT276" s="57"/>
      <c r="BU276" s="6"/>
      <c r="BV276" s="6"/>
      <c r="BW276" s="6"/>
      <c r="BX276" s="6"/>
      <c r="BY276" s="6"/>
      <c r="BZ276" s="6"/>
      <c r="CA276" s="6"/>
      <c r="CB276" s="6"/>
      <c r="CC276" s="6"/>
      <c r="CD276" s="32"/>
      <c r="CE276" s="32"/>
      <c r="CF276" s="57"/>
      <c r="CG276" s="28"/>
      <c r="CH276" s="28"/>
      <c r="CI276" s="28"/>
      <c r="CJ276" s="28"/>
      <c r="CL276" s="29"/>
      <c r="CM276" s="29"/>
      <c r="CN276" s="29"/>
      <c r="CO276" s="29"/>
      <c r="CP276" s="29"/>
      <c r="CQ276" s="29"/>
      <c r="CR276" s="13"/>
      <c r="CS276" s="7"/>
      <c r="CT276" s="7"/>
      <c r="CU276" s="7"/>
      <c r="CV276" s="7"/>
      <c r="CW276" s="7"/>
      <c r="EP276" s="17"/>
      <c r="EQ276" s="17"/>
      <c r="ER276" s="17"/>
      <c r="ES276" s="15"/>
      <c r="ET276" s="15"/>
    </row>
    <row r="277" spans="1:150" ht="15.75" customHeight="1">
      <c r="A277" s="7"/>
      <c r="B277" s="7"/>
      <c r="C277" s="32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32"/>
      <c r="BT277" s="57"/>
      <c r="BU277" s="6"/>
      <c r="BV277" s="6"/>
      <c r="BW277" s="6"/>
      <c r="BX277" s="6"/>
      <c r="BY277" s="6"/>
      <c r="BZ277" s="6"/>
      <c r="CA277" s="6"/>
      <c r="CB277" s="6"/>
      <c r="CC277" s="6"/>
      <c r="CD277" s="32"/>
      <c r="CE277" s="32"/>
      <c r="CF277" s="57"/>
      <c r="CG277" s="28"/>
      <c r="CH277" s="28"/>
      <c r="CI277" s="28"/>
      <c r="CJ277" s="28"/>
      <c r="CL277" s="29"/>
      <c r="CM277" s="29"/>
      <c r="CN277" s="29"/>
      <c r="CO277" s="29"/>
      <c r="CP277" s="29"/>
      <c r="CQ277" s="29"/>
      <c r="CR277" s="13"/>
      <c r="CS277" s="7"/>
      <c r="CT277" s="7"/>
      <c r="CU277" s="7"/>
      <c r="CV277" s="7"/>
      <c r="CW277" s="7"/>
      <c r="EP277" s="17"/>
      <c r="EQ277" s="17"/>
      <c r="ER277" s="17"/>
      <c r="ES277" s="15"/>
      <c r="ET277" s="15"/>
    </row>
    <row r="278" spans="1:150" ht="15.75" customHeight="1">
      <c r="A278" s="7"/>
      <c r="B278" s="7"/>
      <c r="C278" s="32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32"/>
      <c r="BT278" s="57"/>
      <c r="BU278" s="6"/>
      <c r="BV278" s="6"/>
      <c r="BW278" s="6"/>
      <c r="BX278" s="6"/>
      <c r="BY278" s="6"/>
      <c r="BZ278" s="6"/>
      <c r="CA278" s="6"/>
      <c r="CB278" s="6"/>
      <c r="CC278" s="6"/>
      <c r="CD278" s="32"/>
      <c r="CE278" s="32"/>
      <c r="CF278" s="57"/>
      <c r="CG278" s="28"/>
      <c r="CH278" s="28"/>
      <c r="CI278" s="28"/>
      <c r="CJ278" s="28"/>
      <c r="CL278" s="29"/>
      <c r="CM278" s="29"/>
      <c r="CN278" s="29"/>
      <c r="CO278" s="29"/>
      <c r="CP278" s="29"/>
      <c r="CQ278" s="29"/>
      <c r="CR278" s="13"/>
      <c r="CS278" s="7"/>
      <c r="CT278" s="7"/>
      <c r="CU278" s="7"/>
      <c r="CV278" s="7"/>
      <c r="CW278" s="7"/>
      <c r="EP278" s="17"/>
      <c r="EQ278" s="17"/>
      <c r="ER278" s="17"/>
      <c r="ES278" s="15"/>
      <c r="ET278" s="15"/>
    </row>
    <row r="279" spans="1:150" ht="15.75" customHeight="1">
      <c r="A279" s="7"/>
      <c r="B279" s="7"/>
      <c r="C279" s="32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32"/>
      <c r="BT279" s="57"/>
      <c r="BU279" s="6"/>
      <c r="BV279" s="6"/>
      <c r="BW279" s="6"/>
      <c r="BX279" s="6"/>
      <c r="BY279" s="6"/>
      <c r="BZ279" s="6"/>
      <c r="CA279" s="6"/>
      <c r="CB279" s="6"/>
      <c r="CC279" s="6"/>
      <c r="CD279" s="32"/>
      <c r="CE279" s="32"/>
      <c r="CF279" s="57"/>
      <c r="CG279" s="28"/>
      <c r="CH279" s="28"/>
      <c r="CI279" s="28"/>
      <c r="CJ279" s="28"/>
      <c r="CL279" s="29"/>
      <c r="CM279" s="29"/>
      <c r="CN279" s="29"/>
      <c r="CO279" s="29"/>
      <c r="CP279" s="29"/>
      <c r="CQ279" s="29"/>
      <c r="CR279" s="13"/>
      <c r="CS279" s="7"/>
      <c r="CT279" s="7"/>
      <c r="CU279" s="7"/>
      <c r="CV279" s="7"/>
      <c r="CW279" s="7"/>
      <c r="EP279" s="17"/>
      <c r="EQ279" s="17"/>
      <c r="ER279" s="17"/>
      <c r="ES279" s="15"/>
      <c r="ET279" s="15"/>
    </row>
    <row r="280" spans="1:150" ht="15.75" customHeight="1">
      <c r="A280" s="7"/>
      <c r="B280" s="7"/>
      <c r="C280" s="32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32"/>
      <c r="BT280" s="57"/>
      <c r="BU280" s="6"/>
      <c r="BV280" s="6"/>
      <c r="BW280" s="6"/>
      <c r="BX280" s="6"/>
      <c r="BY280" s="6"/>
      <c r="BZ280" s="6"/>
      <c r="CA280" s="6"/>
      <c r="CB280" s="6"/>
      <c r="CC280" s="6"/>
      <c r="CD280" s="32"/>
      <c r="CE280" s="32"/>
      <c r="CF280" s="57"/>
      <c r="CG280" s="28"/>
      <c r="CH280" s="28"/>
      <c r="CI280" s="28"/>
      <c r="CJ280" s="28"/>
      <c r="CL280" s="29"/>
      <c r="CM280" s="29"/>
      <c r="CN280" s="29"/>
      <c r="CO280" s="29"/>
      <c r="CP280" s="29"/>
      <c r="CQ280" s="29"/>
      <c r="CR280" s="13"/>
      <c r="CS280" s="7"/>
      <c r="CT280" s="7"/>
      <c r="CU280" s="7"/>
      <c r="CV280" s="7"/>
      <c r="CW280" s="7"/>
      <c r="EP280" s="17"/>
      <c r="EQ280" s="17"/>
      <c r="ER280" s="17"/>
      <c r="ES280" s="15"/>
      <c r="ET280" s="15"/>
    </row>
    <row r="281" spans="1:150" ht="15.75" customHeight="1">
      <c r="A281" s="7"/>
      <c r="B281" s="7"/>
      <c r="C281" s="32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32"/>
      <c r="BT281" s="57"/>
      <c r="BU281" s="6"/>
      <c r="BV281" s="6"/>
      <c r="BW281" s="6"/>
      <c r="BX281" s="6"/>
      <c r="BY281" s="6"/>
      <c r="BZ281" s="6"/>
      <c r="CA281" s="6"/>
      <c r="CB281" s="6"/>
      <c r="CC281" s="6"/>
      <c r="CD281" s="32"/>
      <c r="CE281" s="32"/>
      <c r="CF281" s="57"/>
      <c r="CG281" s="28"/>
      <c r="CH281" s="28"/>
      <c r="CI281" s="28"/>
      <c r="CJ281" s="28"/>
      <c r="CL281" s="29"/>
      <c r="CM281" s="29"/>
      <c r="CN281" s="29"/>
      <c r="CO281" s="29"/>
      <c r="CP281" s="29"/>
      <c r="CQ281" s="29"/>
      <c r="CR281" s="13"/>
      <c r="CS281" s="7"/>
      <c r="CT281" s="7"/>
      <c r="CU281" s="7"/>
      <c r="CV281" s="7"/>
      <c r="CW281" s="7"/>
      <c r="EP281" s="17"/>
      <c r="EQ281" s="17"/>
      <c r="ER281" s="17"/>
      <c r="ES281" s="15"/>
      <c r="ET281" s="15"/>
    </row>
    <row r="282" spans="1:150" ht="15.75" customHeight="1">
      <c r="A282" s="7"/>
      <c r="B282" s="7"/>
      <c r="C282" s="32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32"/>
      <c r="BT282" s="57"/>
      <c r="BU282" s="6"/>
      <c r="BV282" s="6"/>
      <c r="BW282" s="6"/>
      <c r="BX282" s="6"/>
      <c r="BY282" s="6"/>
      <c r="BZ282" s="6"/>
      <c r="CA282" s="6"/>
      <c r="CB282" s="6"/>
      <c r="CC282" s="6"/>
      <c r="CD282" s="32"/>
      <c r="CE282" s="32"/>
      <c r="CF282" s="57"/>
      <c r="CG282" s="28"/>
      <c r="CH282" s="28"/>
      <c r="CI282" s="28"/>
      <c r="CJ282" s="28"/>
      <c r="CL282" s="29"/>
      <c r="CM282" s="29"/>
      <c r="CN282" s="29"/>
      <c r="CO282" s="29"/>
      <c r="CP282" s="29"/>
      <c r="CQ282" s="29"/>
      <c r="CR282" s="13"/>
      <c r="CS282" s="7"/>
      <c r="CT282" s="7"/>
      <c r="CU282" s="7"/>
      <c r="CV282" s="7"/>
      <c r="CW282" s="7"/>
      <c r="EP282" s="17"/>
      <c r="EQ282" s="17"/>
      <c r="ER282" s="17"/>
      <c r="ES282" s="15"/>
      <c r="ET282" s="15"/>
    </row>
    <row r="283" spans="1:150" ht="15.75" customHeight="1">
      <c r="A283" s="7"/>
      <c r="B283" s="7"/>
      <c r="C283" s="32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32"/>
      <c r="BT283" s="57"/>
      <c r="BU283" s="6"/>
      <c r="BV283" s="6"/>
      <c r="BW283" s="6"/>
      <c r="BX283" s="6"/>
      <c r="BY283" s="6"/>
      <c r="BZ283" s="6"/>
      <c r="CA283" s="6"/>
      <c r="CB283" s="6"/>
      <c r="CC283" s="6"/>
      <c r="CD283" s="32"/>
      <c r="CE283" s="32"/>
      <c r="CF283" s="57"/>
      <c r="CG283" s="28"/>
      <c r="CH283" s="28"/>
      <c r="CI283" s="28"/>
      <c r="CJ283" s="28"/>
      <c r="CL283" s="29"/>
      <c r="CM283" s="29"/>
      <c r="CN283" s="29"/>
      <c r="CO283" s="29"/>
      <c r="CP283" s="29"/>
      <c r="CQ283" s="29"/>
      <c r="CR283" s="13"/>
      <c r="CS283" s="7"/>
      <c r="CT283" s="7"/>
      <c r="CU283" s="7"/>
      <c r="CV283" s="7"/>
      <c r="CW283" s="7"/>
      <c r="EP283" s="17"/>
      <c r="EQ283" s="17"/>
      <c r="ER283" s="17"/>
      <c r="ES283" s="15"/>
      <c r="ET283" s="15"/>
    </row>
    <row r="284" spans="1:150" ht="15.75" customHeight="1">
      <c r="A284" s="7"/>
      <c r="B284" s="7"/>
      <c r="C284" s="32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32"/>
      <c r="BT284" s="57"/>
      <c r="BU284" s="6"/>
      <c r="BV284" s="6"/>
      <c r="BW284" s="6"/>
      <c r="BX284" s="6"/>
      <c r="BY284" s="6"/>
      <c r="BZ284" s="6"/>
      <c r="CA284" s="6"/>
      <c r="CB284" s="6"/>
      <c r="CC284" s="6"/>
      <c r="CD284" s="32"/>
      <c r="CE284" s="32"/>
      <c r="CF284" s="57"/>
      <c r="CG284" s="28"/>
      <c r="CH284" s="28"/>
      <c r="CI284" s="28"/>
      <c r="CJ284" s="28"/>
      <c r="CL284" s="29"/>
      <c r="CM284" s="29"/>
      <c r="CN284" s="29"/>
      <c r="CO284" s="29"/>
      <c r="CP284" s="29"/>
      <c r="CQ284" s="29"/>
      <c r="CR284" s="13"/>
      <c r="CS284" s="7"/>
      <c r="CT284" s="7"/>
      <c r="CU284" s="7"/>
      <c r="CV284" s="7"/>
      <c r="CW284" s="7"/>
      <c r="EP284" s="17"/>
      <c r="EQ284" s="17"/>
      <c r="ER284" s="17"/>
      <c r="ES284" s="15"/>
      <c r="ET284" s="15"/>
    </row>
    <row r="285" spans="1:150" ht="15.75" customHeight="1">
      <c r="A285" s="7"/>
      <c r="B285" s="7"/>
      <c r="C285" s="32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32"/>
      <c r="BT285" s="57"/>
      <c r="BU285" s="6"/>
      <c r="BV285" s="6"/>
      <c r="BW285" s="6"/>
      <c r="BX285" s="6"/>
      <c r="BY285" s="6"/>
      <c r="BZ285" s="6"/>
      <c r="CA285" s="6"/>
      <c r="CB285" s="6"/>
      <c r="CC285" s="6"/>
      <c r="CD285" s="32"/>
      <c r="CE285" s="32"/>
      <c r="CF285" s="57"/>
      <c r="CG285" s="28"/>
      <c r="CH285" s="28"/>
      <c r="CI285" s="28"/>
      <c r="CJ285" s="28"/>
      <c r="CL285" s="29"/>
      <c r="CM285" s="29"/>
      <c r="CN285" s="29"/>
      <c r="CO285" s="29"/>
      <c r="CP285" s="29"/>
      <c r="CQ285" s="29"/>
      <c r="CR285" s="13"/>
      <c r="CS285" s="7"/>
      <c r="CT285" s="7"/>
      <c r="CU285" s="7"/>
      <c r="CV285" s="7"/>
      <c r="CW285" s="7"/>
      <c r="EP285" s="17"/>
      <c r="EQ285" s="17"/>
      <c r="ER285" s="17"/>
      <c r="ES285" s="15"/>
      <c r="ET285" s="15"/>
    </row>
    <row r="286" spans="1:150" ht="15.75" customHeight="1">
      <c r="A286" s="7"/>
      <c r="B286" s="7"/>
      <c r="C286" s="32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32"/>
      <c r="BT286" s="57"/>
      <c r="BU286" s="6"/>
      <c r="BV286" s="6"/>
      <c r="BW286" s="6"/>
      <c r="BX286" s="6"/>
      <c r="BY286" s="6"/>
      <c r="BZ286" s="6"/>
      <c r="CA286" s="6"/>
      <c r="CB286" s="6"/>
      <c r="CC286" s="6"/>
      <c r="CD286" s="32"/>
      <c r="CE286" s="32"/>
      <c r="CF286" s="57"/>
      <c r="CG286" s="28"/>
      <c r="CH286" s="28"/>
      <c r="CI286" s="28"/>
      <c r="CJ286" s="28"/>
      <c r="CL286" s="29"/>
      <c r="CM286" s="29"/>
      <c r="CN286" s="29"/>
      <c r="CO286" s="29"/>
      <c r="CP286" s="29"/>
      <c r="CQ286" s="29"/>
      <c r="CR286" s="13"/>
      <c r="CS286" s="7"/>
      <c r="CT286" s="7"/>
      <c r="CU286" s="7"/>
      <c r="CV286" s="7"/>
      <c r="CW286" s="7"/>
      <c r="EP286" s="17"/>
      <c r="EQ286" s="17"/>
      <c r="ER286" s="17"/>
      <c r="ES286" s="15"/>
      <c r="ET286" s="15"/>
    </row>
    <row r="287" spans="1:150" ht="15.75" customHeight="1">
      <c r="A287" s="7"/>
      <c r="B287" s="7"/>
      <c r="C287" s="32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32"/>
      <c r="BT287" s="57"/>
      <c r="BU287" s="6"/>
      <c r="BV287" s="6"/>
      <c r="BW287" s="6"/>
      <c r="BX287" s="6"/>
      <c r="BY287" s="6"/>
      <c r="BZ287" s="6"/>
      <c r="CA287" s="6"/>
      <c r="CB287" s="6"/>
      <c r="CC287" s="6"/>
      <c r="CD287" s="32"/>
      <c r="CE287" s="32"/>
      <c r="CF287" s="57"/>
      <c r="CG287" s="28"/>
      <c r="CH287" s="28"/>
      <c r="CI287" s="28"/>
      <c r="CJ287" s="28"/>
      <c r="CL287" s="29"/>
      <c r="CM287" s="29"/>
      <c r="CN287" s="29"/>
      <c r="CO287" s="29"/>
      <c r="CP287" s="29"/>
      <c r="CQ287" s="29"/>
      <c r="CR287" s="13"/>
      <c r="CS287" s="7"/>
      <c r="CT287" s="7"/>
      <c r="CU287" s="7"/>
      <c r="CV287" s="7"/>
      <c r="CW287" s="7"/>
      <c r="EP287" s="17"/>
      <c r="EQ287" s="17"/>
      <c r="ER287" s="17"/>
      <c r="ES287" s="15"/>
      <c r="ET287" s="15"/>
    </row>
    <row r="288" spans="1:150" ht="15.75" customHeight="1">
      <c r="A288" s="7"/>
      <c r="B288" s="7"/>
      <c r="C288" s="32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32"/>
      <c r="BT288" s="57"/>
      <c r="BU288" s="6"/>
      <c r="BV288" s="6"/>
      <c r="BW288" s="6"/>
      <c r="BX288" s="6"/>
      <c r="BY288" s="6"/>
      <c r="BZ288" s="6"/>
      <c r="CA288" s="6"/>
      <c r="CB288" s="6"/>
      <c r="CC288" s="6"/>
      <c r="CD288" s="32"/>
      <c r="CE288" s="32"/>
      <c r="CF288" s="57"/>
      <c r="CG288" s="28"/>
      <c r="CH288" s="28"/>
      <c r="CI288" s="28"/>
      <c r="CJ288" s="28"/>
      <c r="CL288" s="29"/>
      <c r="CM288" s="29"/>
      <c r="CN288" s="29"/>
      <c r="CO288" s="29"/>
      <c r="CP288" s="29"/>
      <c r="CQ288" s="29"/>
      <c r="CR288" s="13"/>
      <c r="CS288" s="7"/>
      <c r="CT288" s="7"/>
      <c r="CU288" s="7"/>
      <c r="CV288" s="7"/>
      <c r="CW288" s="7"/>
      <c r="EP288" s="17"/>
      <c r="EQ288" s="17"/>
      <c r="ER288" s="17"/>
      <c r="ES288" s="15"/>
      <c r="ET288" s="15"/>
    </row>
    <row r="289" spans="1:150" ht="15.75" customHeight="1">
      <c r="A289" s="7"/>
      <c r="B289" s="7"/>
      <c r="C289" s="32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32"/>
      <c r="BT289" s="57"/>
      <c r="BU289" s="6"/>
      <c r="BV289" s="6"/>
      <c r="BW289" s="6"/>
      <c r="BX289" s="6"/>
      <c r="BY289" s="6"/>
      <c r="BZ289" s="6"/>
      <c r="CA289" s="6"/>
      <c r="CB289" s="6"/>
      <c r="CC289" s="6"/>
      <c r="CD289" s="32"/>
      <c r="CE289" s="32"/>
      <c r="CF289" s="57"/>
      <c r="CG289" s="28"/>
      <c r="CH289" s="28"/>
      <c r="CI289" s="28"/>
      <c r="CJ289" s="28"/>
      <c r="CL289" s="29"/>
      <c r="CM289" s="29"/>
      <c r="CN289" s="29"/>
      <c r="CO289" s="29"/>
      <c r="CP289" s="29"/>
      <c r="CQ289" s="29"/>
      <c r="CR289" s="13"/>
      <c r="CS289" s="7"/>
      <c r="CT289" s="7"/>
      <c r="CU289" s="7"/>
      <c r="CV289" s="7"/>
      <c r="CW289" s="7"/>
      <c r="EP289" s="17"/>
      <c r="EQ289" s="17"/>
      <c r="ER289" s="17"/>
      <c r="ES289" s="15"/>
      <c r="ET289" s="15"/>
    </row>
    <row r="290" spans="1:150" ht="15.75" customHeight="1">
      <c r="A290" s="7"/>
      <c r="B290" s="7"/>
      <c r="C290" s="32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32"/>
      <c r="BT290" s="57"/>
      <c r="BU290" s="6"/>
      <c r="BV290" s="6"/>
      <c r="BW290" s="6"/>
      <c r="BX290" s="6"/>
      <c r="BY290" s="6"/>
      <c r="BZ290" s="6"/>
      <c r="CA290" s="6"/>
      <c r="CB290" s="6"/>
      <c r="CC290" s="6"/>
      <c r="CD290" s="32"/>
      <c r="CE290" s="32"/>
      <c r="CF290" s="57"/>
      <c r="CG290" s="28"/>
      <c r="CH290" s="28"/>
      <c r="CI290" s="28"/>
      <c r="CJ290" s="28"/>
      <c r="CL290" s="29"/>
      <c r="CM290" s="29"/>
      <c r="CN290" s="29"/>
      <c r="CO290" s="29"/>
      <c r="CP290" s="29"/>
      <c r="CQ290" s="29"/>
      <c r="CR290" s="13"/>
      <c r="CS290" s="7"/>
      <c r="CT290" s="7"/>
      <c r="CU290" s="7"/>
      <c r="CV290" s="7"/>
      <c r="CW290" s="7"/>
      <c r="EP290" s="17"/>
      <c r="EQ290" s="17"/>
      <c r="ER290" s="17"/>
      <c r="ES290" s="15"/>
      <c r="ET290" s="15"/>
    </row>
    <row r="291" spans="1:150" ht="15.75" customHeight="1">
      <c r="A291" s="7"/>
      <c r="B291" s="7"/>
      <c r="C291" s="32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32"/>
      <c r="BT291" s="57"/>
      <c r="BU291" s="6"/>
      <c r="BV291" s="6"/>
      <c r="BW291" s="6"/>
      <c r="BX291" s="6"/>
      <c r="BY291" s="6"/>
      <c r="BZ291" s="6"/>
      <c r="CA291" s="6"/>
      <c r="CB291" s="6"/>
      <c r="CC291" s="6"/>
      <c r="CD291" s="32"/>
      <c r="CE291" s="32"/>
      <c r="CF291" s="57"/>
      <c r="CG291" s="28"/>
      <c r="CH291" s="28"/>
      <c r="CI291" s="28"/>
      <c r="CJ291" s="28"/>
      <c r="CL291" s="29"/>
      <c r="CM291" s="29"/>
      <c r="CN291" s="29"/>
      <c r="CO291" s="29"/>
      <c r="CP291" s="29"/>
      <c r="CQ291" s="29"/>
      <c r="CR291" s="13"/>
      <c r="CS291" s="7"/>
      <c r="CT291" s="7"/>
      <c r="CU291" s="7"/>
      <c r="CV291" s="7"/>
      <c r="CW291" s="7"/>
      <c r="EP291" s="17"/>
      <c r="EQ291" s="17"/>
      <c r="ER291" s="17"/>
      <c r="ES291" s="15"/>
      <c r="ET291" s="15"/>
    </row>
    <row r="292" spans="1:150" ht="15.75" customHeight="1">
      <c r="A292" s="7"/>
      <c r="B292" s="7"/>
      <c r="C292" s="32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32"/>
      <c r="BT292" s="57"/>
      <c r="BU292" s="6"/>
      <c r="BV292" s="6"/>
      <c r="BW292" s="6"/>
      <c r="BX292" s="6"/>
      <c r="BY292" s="6"/>
      <c r="BZ292" s="6"/>
      <c r="CA292" s="6"/>
      <c r="CB292" s="6"/>
      <c r="CC292" s="6"/>
      <c r="CD292" s="32"/>
      <c r="CE292" s="32"/>
      <c r="CF292" s="57"/>
      <c r="CG292" s="28"/>
      <c r="CH292" s="28"/>
      <c r="CI292" s="28"/>
      <c r="CJ292" s="28"/>
      <c r="CL292" s="29"/>
      <c r="CM292" s="29"/>
      <c r="CN292" s="29"/>
      <c r="CO292" s="29"/>
      <c r="CP292" s="29"/>
      <c r="CQ292" s="29"/>
      <c r="CR292" s="13"/>
      <c r="CS292" s="7"/>
      <c r="CT292" s="7"/>
      <c r="CU292" s="7"/>
      <c r="CV292" s="7"/>
      <c r="CW292" s="7"/>
      <c r="EP292" s="17"/>
      <c r="EQ292" s="17"/>
      <c r="ER292" s="17"/>
      <c r="ES292" s="15"/>
      <c r="ET292" s="15"/>
    </row>
    <row r="293" spans="1:150" ht="15.75" customHeight="1">
      <c r="A293" s="7"/>
      <c r="B293" s="7"/>
      <c r="C293" s="32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32"/>
      <c r="BT293" s="57"/>
      <c r="BU293" s="6"/>
      <c r="BV293" s="6"/>
      <c r="BW293" s="6"/>
      <c r="BX293" s="6"/>
      <c r="BY293" s="6"/>
      <c r="BZ293" s="6"/>
      <c r="CA293" s="6"/>
      <c r="CB293" s="6"/>
      <c r="CC293" s="6"/>
      <c r="CD293" s="32"/>
      <c r="CE293" s="32"/>
      <c r="CF293" s="57"/>
      <c r="CG293" s="28"/>
      <c r="CH293" s="28"/>
      <c r="CI293" s="28"/>
      <c r="CJ293" s="28"/>
      <c r="CL293" s="29"/>
      <c r="CM293" s="29"/>
      <c r="CN293" s="29"/>
      <c r="CO293" s="29"/>
      <c r="CP293" s="29"/>
      <c r="CQ293" s="29"/>
      <c r="CR293" s="13"/>
      <c r="CS293" s="7"/>
      <c r="CT293" s="7"/>
      <c r="CU293" s="7"/>
      <c r="CV293" s="7"/>
      <c r="CW293" s="7"/>
      <c r="EP293" s="17"/>
      <c r="EQ293" s="17"/>
      <c r="ER293" s="17"/>
      <c r="ES293" s="15"/>
      <c r="ET293" s="15"/>
    </row>
    <row r="294" spans="1:150" ht="15.75" customHeight="1">
      <c r="A294" s="7"/>
      <c r="B294" s="7"/>
      <c r="C294" s="32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32"/>
      <c r="BT294" s="57"/>
      <c r="BU294" s="6"/>
      <c r="BV294" s="6"/>
      <c r="BW294" s="6"/>
      <c r="BX294" s="6"/>
      <c r="BY294" s="6"/>
      <c r="BZ294" s="6"/>
      <c r="CA294" s="6"/>
      <c r="CB294" s="6"/>
      <c r="CC294" s="6"/>
      <c r="CD294" s="32"/>
      <c r="CE294" s="32"/>
      <c r="CF294" s="57"/>
      <c r="CG294" s="28"/>
      <c r="CH294" s="28"/>
      <c r="CI294" s="28"/>
      <c r="CJ294" s="28"/>
      <c r="CL294" s="29"/>
      <c r="CM294" s="29"/>
      <c r="CN294" s="29"/>
      <c r="CO294" s="29"/>
      <c r="CP294" s="29"/>
      <c r="CQ294" s="29"/>
      <c r="CR294" s="13"/>
      <c r="CS294" s="7"/>
      <c r="CT294" s="7"/>
      <c r="CU294" s="7"/>
      <c r="CV294" s="7"/>
      <c r="CW294" s="7"/>
      <c r="EP294" s="17"/>
      <c r="EQ294" s="17"/>
      <c r="ER294" s="17"/>
      <c r="ES294" s="15"/>
      <c r="ET294" s="15"/>
    </row>
    <row r="295" spans="1:150" ht="15.75" customHeight="1">
      <c r="A295" s="7"/>
      <c r="B295" s="7"/>
      <c r="C295" s="32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32"/>
      <c r="BT295" s="57"/>
      <c r="BU295" s="6"/>
      <c r="BV295" s="6"/>
      <c r="BW295" s="6"/>
      <c r="BX295" s="6"/>
      <c r="BY295" s="6"/>
      <c r="BZ295" s="6"/>
      <c r="CA295" s="6"/>
      <c r="CB295" s="6"/>
      <c r="CC295" s="6"/>
      <c r="CD295" s="32"/>
      <c r="CE295" s="32"/>
      <c r="CF295" s="57"/>
      <c r="CG295" s="28"/>
      <c r="CH295" s="28"/>
      <c r="CI295" s="28"/>
      <c r="CJ295" s="28"/>
      <c r="CL295" s="29"/>
      <c r="CM295" s="29"/>
      <c r="CN295" s="29"/>
      <c r="CO295" s="29"/>
      <c r="CP295" s="29"/>
      <c r="CQ295" s="29"/>
      <c r="CR295" s="13"/>
      <c r="CS295" s="7"/>
      <c r="CT295" s="7"/>
      <c r="CU295" s="7"/>
      <c r="CV295" s="7"/>
      <c r="CW295" s="7"/>
      <c r="EP295" s="17"/>
      <c r="EQ295" s="17"/>
      <c r="ER295" s="17"/>
      <c r="ES295" s="15"/>
      <c r="ET295" s="15"/>
    </row>
    <row r="296" spans="1:150" ht="15.75" customHeight="1">
      <c r="A296" s="7"/>
      <c r="B296" s="7"/>
      <c r="C296" s="32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32"/>
      <c r="BT296" s="57"/>
      <c r="BU296" s="6"/>
      <c r="BV296" s="6"/>
      <c r="BW296" s="6"/>
      <c r="BX296" s="6"/>
      <c r="BY296" s="6"/>
      <c r="BZ296" s="6"/>
      <c r="CA296" s="6"/>
      <c r="CB296" s="6"/>
      <c r="CC296" s="6"/>
      <c r="CD296" s="32"/>
      <c r="CE296" s="32"/>
      <c r="CF296" s="57"/>
      <c r="CG296" s="28"/>
      <c r="CH296" s="28"/>
      <c r="CI296" s="28"/>
      <c r="CJ296" s="28"/>
      <c r="CL296" s="29"/>
      <c r="CM296" s="29"/>
      <c r="CN296" s="29"/>
      <c r="CO296" s="29"/>
      <c r="CP296" s="29"/>
      <c r="CQ296" s="29"/>
      <c r="CR296" s="13"/>
      <c r="CS296" s="7"/>
      <c r="CT296" s="7"/>
      <c r="CU296" s="7"/>
      <c r="CV296" s="7"/>
      <c r="CW296" s="7"/>
      <c r="EP296" s="17"/>
      <c r="EQ296" s="17"/>
      <c r="ER296" s="17"/>
      <c r="ES296" s="15"/>
      <c r="ET296" s="15"/>
    </row>
    <row r="297" spans="1:150" ht="15.75" customHeight="1">
      <c r="A297" s="7"/>
      <c r="B297" s="7"/>
      <c r="C297" s="32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32"/>
      <c r="BT297" s="57"/>
      <c r="BU297" s="6"/>
      <c r="BV297" s="6"/>
      <c r="BW297" s="6"/>
      <c r="BX297" s="6"/>
      <c r="BY297" s="6"/>
      <c r="BZ297" s="6"/>
      <c r="CA297" s="6"/>
      <c r="CB297" s="6"/>
      <c r="CC297" s="6"/>
      <c r="CD297" s="32"/>
      <c r="CE297" s="32"/>
      <c r="CF297" s="57"/>
      <c r="CG297" s="28"/>
      <c r="CH297" s="28"/>
      <c r="CI297" s="28"/>
      <c r="CJ297" s="28"/>
      <c r="CL297" s="29"/>
      <c r="CM297" s="29"/>
      <c r="CN297" s="29"/>
      <c r="CO297" s="29"/>
      <c r="CP297" s="29"/>
      <c r="CQ297" s="29"/>
      <c r="CR297" s="13"/>
      <c r="CS297" s="7"/>
      <c r="CT297" s="7"/>
      <c r="CU297" s="7"/>
      <c r="CV297" s="7"/>
      <c r="CW297" s="7"/>
      <c r="EP297" s="17"/>
      <c r="EQ297" s="17"/>
      <c r="ER297" s="17"/>
      <c r="ES297" s="15"/>
      <c r="ET297" s="15"/>
    </row>
    <row r="298" spans="1:150" ht="15.75" customHeight="1">
      <c r="A298" s="7"/>
      <c r="B298" s="7"/>
      <c r="C298" s="32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32"/>
      <c r="BT298" s="57"/>
      <c r="BU298" s="6"/>
      <c r="BV298" s="6"/>
      <c r="BW298" s="6"/>
      <c r="BX298" s="6"/>
      <c r="BY298" s="6"/>
      <c r="BZ298" s="6"/>
      <c r="CA298" s="6"/>
      <c r="CB298" s="6"/>
      <c r="CC298" s="6"/>
      <c r="CD298" s="32"/>
      <c r="CE298" s="32"/>
      <c r="CF298" s="57"/>
      <c r="CG298" s="28"/>
      <c r="CH298" s="28"/>
      <c r="CI298" s="28"/>
      <c r="CJ298" s="28"/>
      <c r="CL298" s="29"/>
      <c r="CM298" s="29"/>
      <c r="CN298" s="29"/>
      <c r="CO298" s="29"/>
      <c r="CP298" s="29"/>
      <c r="CQ298" s="29"/>
      <c r="CR298" s="13"/>
      <c r="CS298" s="7"/>
      <c r="CT298" s="7"/>
      <c r="CU298" s="7"/>
      <c r="CV298" s="7"/>
      <c r="CW298" s="7"/>
      <c r="EP298" s="17"/>
      <c r="EQ298" s="17"/>
      <c r="ER298" s="17"/>
      <c r="ES298" s="15"/>
      <c r="ET298" s="15"/>
    </row>
    <row r="299" spans="1:150" ht="15.75" customHeight="1">
      <c r="A299" s="7"/>
      <c r="B299" s="7"/>
      <c r="C299" s="32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32"/>
      <c r="BT299" s="57"/>
      <c r="BU299" s="6"/>
      <c r="BV299" s="6"/>
      <c r="BW299" s="6"/>
      <c r="BX299" s="6"/>
      <c r="BY299" s="6"/>
      <c r="BZ299" s="6"/>
      <c r="CA299" s="6"/>
      <c r="CB299" s="6"/>
      <c r="CC299" s="6"/>
      <c r="CD299" s="32"/>
      <c r="CE299" s="32"/>
      <c r="CF299" s="57"/>
      <c r="CG299" s="28"/>
      <c r="CH299" s="28"/>
      <c r="CI299" s="28"/>
      <c r="CJ299" s="28"/>
      <c r="CL299" s="29"/>
      <c r="CM299" s="29"/>
      <c r="CN299" s="29"/>
      <c r="CO299" s="29"/>
      <c r="CP299" s="29"/>
      <c r="CQ299" s="29"/>
      <c r="CR299" s="13"/>
      <c r="CS299" s="7"/>
      <c r="CT299" s="7"/>
      <c r="CU299" s="7"/>
      <c r="CV299" s="7"/>
      <c r="CW299" s="7"/>
      <c r="EP299" s="17"/>
      <c r="EQ299" s="17"/>
      <c r="ER299" s="17"/>
      <c r="ES299" s="15"/>
      <c r="ET299" s="15"/>
    </row>
    <row r="300" spans="1:150" ht="15.75" customHeight="1">
      <c r="A300" s="7"/>
      <c r="B300" s="7"/>
      <c r="C300" s="32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32"/>
      <c r="BT300" s="57"/>
      <c r="BU300" s="6"/>
      <c r="BV300" s="6"/>
      <c r="BW300" s="6"/>
      <c r="BX300" s="6"/>
      <c r="BY300" s="6"/>
      <c r="BZ300" s="6"/>
      <c r="CA300" s="6"/>
      <c r="CB300" s="6"/>
      <c r="CC300" s="6"/>
      <c r="CD300" s="32"/>
      <c r="CE300" s="32"/>
      <c r="CF300" s="57"/>
      <c r="CG300" s="28"/>
      <c r="CH300" s="28"/>
      <c r="CI300" s="28"/>
      <c r="CJ300" s="28"/>
      <c r="CL300" s="29"/>
      <c r="CM300" s="29"/>
      <c r="CN300" s="29"/>
      <c r="CO300" s="29"/>
      <c r="CP300" s="29"/>
      <c r="CQ300" s="29"/>
      <c r="CR300" s="13"/>
      <c r="CS300" s="7"/>
      <c r="CT300" s="7"/>
      <c r="CU300" s="7"/>
      <c r="CV300" s="7"/>
      <c r="CW300" s="7"/>
      <c r="EP300" s="17"/>
      <c r="EQ300" s="17"/>
      <c r="ER300" s="17"/>
      <c r="ES300" s="15"/>
      <c r="ET300" s="15"/>
    </row>
    <row r="301" spans="1:150" ht="15.75" customHeight="1">
      <c r="A301" s="7"/>
      <c r="B301" s="7"/>
      <c r="C301" s="32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32"/>
      <c r="BT301" s="57"/>
      <c r="BU301" s="6"/>
      <c r="BV301" s="6"/>
      <c r="BW301" s="6"/>
      <c r="BX301" s="6"/>
      <c r="BY301" s="6"/>
      <c r="BZ301" s="6"/>
      <c r="CA301" s="6"/>
      <c r="CB301" s="6"/>
      <c r="CC301" s="6"/>
      <c r="CD301" s="32"/>
      <c r="CE301" s="32"/>
      <c r="CF301" s="57"/>
      <c r="CG301" s="28"/>
      <c r="CH301" s="28"/>
      <c r="CI301" s="28"/>
      <c r="CJ301" s="28"/>
      <c r="CL301" s="29"/>
      <c r="CM301" s="29"/>
      <c r="CN301" s="29"/>
      <c r="CO301" s="29"/>
      <c r="CP301" s="29"/>
      <c r="CQ301" s="29"/>
      <c r="CR301" s="13"/>
      <c r="CS301" s="7"/>
      <c r="CT301" s="7"/>
      <c r="CU301" s="7"/>
      <c r="CV301" s="7"/>
      <c r="CW301" s="7"/>
      <c r="EP301" s="17"/>
      <c r="EQ301" s="17"/>
      <c r="ER301" s="17"/>
      <c r="ES301" s="15"/>
      <c r="ET301" s="15"/>
    </row>
    <row r="302" spans="1:150" ht="15.75" customHeight="1">
      <c r="A302" s="7"/>
      <c r="B302" s="7"/>
      <c r="C302" s="32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32"/>
      <c r="BT302" s="57"/>
      <c r="BU302" s="6"/>
      <c r="BV302" s="6"/>
      <c r="BW302" s="6"/>
      <c r="BX302" s="6"/>
      <c r="BY302" s="6"/>
      <c r="BZ302" s="6"/>
      <c r="CA302" s="6"/>
      <c r="CB302" s="6"/>
      <c r="CC302" s="6"/>
      <c r="CD302" s="32"/>
      <c r="CE302" s="32"/>
      <c r="CF302" s="57"/>
      <c r="CG302" s="28"/>
      <c r="CH302" s="28"/>
      <c r="CI302" s="28"/>
      <c r="CJ302" s="28"/>
      <c r="CL302" s="29"/>
      <c r="CM302" s="29"/>
      <c r="CN302" s="29"/>
      <c r="CO302" s="29"/>
      <c r="CP302" s="29"/>
      <c r="CQ302" s="29"/>
      <c r="CR302" s="13"/>
      <c r="CS302" s="7"/>
      <c r="CT302" s="7"/>
      <c r="CU302" s="7"/>
      <c r="CV302" s="7"/>
      <c r="CW302" s="7"/>
      <c r="EP302" s="17"/>
      <c r="EQ302" s="17"/>
      <c r="ER302" s="17"/>
      <c r="ES302" s="15"/>
      <c r="ET302" s="15"/>
    </row>
    <row r="303" spans="1:150" ht="15.75" customHeight="1">
      <c r="A303" s="7"/>
      <c r="B303" s="7"/>
      <c r="C303" s="32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32"/>
      <c r="BT303" s="57"/>
      <c r="BU303" s="6"/>
      <c r="BV303" s="6"/>
      <c r="BW303" s="6"/>
      <c r="BX303" s="6"/>
      <c r="BY303" s="6"/>
      <c r="BZ303" s="6"/>
      <c r="CA303" s="6"/>
      <c r="CB303" s="6"/>
      <c r="CC303" s="6"/>
      <c r="CD303" s="32"/>
      <c r="CE303" s="32"/>
      <c r="CF303" s="57"/>
      <c r="CG303" s="28"/>
      <c r="CH303" s="28"/>
      <c r="CI303" s="28"/>
      <c r="CJ303" s="28"/>
      <c r="CL303" s="29"/>
      <c r="CM303" s="29"/>
      <c r="CN303" s="29"/>
      <c r="CO303" s="29"/>
      <c r="CP303" s="29"/>
      <c r="CQ303" s="29"/>
      <c r="CR303" s="13"/>
      <c r="CS303" s="7"/>
      <c r="CT303" s="7"/>
      <c r="CU303" s="7"/>
      <c r="CV303" s="7"/>
      <c r="CW303" s="7"/>
      <c r="EP303" s="17"/>
      <c r="EQ303" s="17"/>
      <c r="ER303" s="17"/>
      <c r="ES303" s="15"/>
      <c r="ET303" s="15"/>
    </row>
    <row r="304" spans="1:150" ht="15.75" customHeight="1">
      <c r="A304" s="7"/>
      <c r="B304" s="7"/>
      <c r="C304" s="32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32"/>
      <c r="BT304" s="57"/>
      <c r="BU304" s="6"/>
      <c r="BV304" s="6"/>
      <c r="BW304" s="6"/>
      <c r="BX304" s="6"/>
      <c r="BY304" s="6"/>
      <c r="BZ304" s="6"/>
      <c r="CA304" s="6"/>
      <c r="CB304" s="6"/>
      <c r="CC304" s="6"/>
      <c r="CD304" s="32"/>
      <c r="CE304" s="32"/>
      <c r="CF304" s="57"/>
      <c r="CG304" s="28"/>
      <c r="CH304" s="28"/>
      <c r="CI304" s="28"/>
      <c r="CJ304" s="28"/>
      <c r="CL304" s="29"/>
      <c r="CM304" s="29"/>
      <c r="CN304" s="29"/>
      <c r="CO304" s="29"/>
      <c r="CP304" s="29"/>
      <c r="CQ304" s="29"/>
      <c r="CR304" s="13"/>
      <c r="CS304" s="7"/>
      <c r="CT304" s="7"/>
      <c r="CU304" s="7"/>
      <c r="CV304" s="7"/>
      <c r="CW304" s="7"/>
      <c r="EP304" s="17"/>
      <c r="EQ304" s="17"/>
      <c r="ER304" s="17"/>
      <c r="ES304" s="15"/>
      <c r="ET304" s="15"/>
    </row>
    <row r="305" spans="1:150" ht="15.75" customHeight="1">
      <c r="A305" s="7"/>
      <c r="B305" s="7"/>
      <c r="C305" s="32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32"/>
      <c r="BT305" s="57"/>
      <c r="BU305" s="6"/>
      <c r="BV305" s="6"/>
      <c r="BW305" s="6"/>
      <c r="BX305" s="6"/>
      <c r="BY305" s="6"/>
      <c r="BZ305" s="6"/>
      <c r="CA305" s="6"/>
      <c r="CB305" s="6"/>
      <c r="CC305" s="6"/>
      <c r="CD305" s="32"/>
      <c r="CE305" s="32"/>
      <c r="CF305" s="57"/>
      <c r="CG305" s="28"/>
      <c r="CH305" s="28"/>
      <c r="CI305" s="28"/>
      <c r="CJ305" s="28"/>
      <c r="CL305" s="29"/>
      <c r="CM305" s="29"/>
      <c r="CN305" s="29"/>
      <c r="CO305" s="29"/>
      <c r="CP305" s="29"/>
      <c r="CQ305" s="29"/>
      <c r="CR305" s="13"/>
      <c r="CS305" s="7"/>
      <c r="CT305" s="7"/>
      <c r="CU305" s="7"/>
      <c r="CV305" s="7"/>
      <c r="CW305" s="7"/>
      <c r="EP305" s="17"/>
      <c r="EQ305" s="17"/>
      <c r="ER305" s="17"/>
      <c r="ES305" s="15"/>
      <c r="ET305" s="15"/>
    </row>
    <row r="306" spans="1:150" ht="15.75" customHeight="1">
      <c r="A306" s="7"/>
      <c r="B306" s="7"/>
      <c r="C306" s="32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32"/>
      <c r="BT306" s="57"/>
      <c r="BU306" s="6"/>
      <c r="BV306" s="6"/>
      <c r="BW306" s="6"/>
      <c r="BX306" s="6"/>
      <c r="BY306" s="6"/>
      <c r="BZ306" s="6"/>
      <c r="CA306" s="6"/>
      <c r="CB306" s="6"/>
      <c r="CC306" s="6"/>
      <c r="CD306" s="32"/>
      <c r="CE306" s="32"/>
      <c r="CF306" s="57"/>
      <c r="CG306" s="28"/>
      <c r="CH306" s="28"/>
      <c r="CI306" s="28"/>
      <c r="CJ306" s="28"/>
      <c r="CL306" s="29"/>
      <c r="CM306" s="29"/>
      <c r="CN306" s="29"/>
      <c r="CO306" s="29"/>
      <c r="CP306" s="29"/>
      <c r="CQ306" s="29"/>
      <c r="CR306" s="13"/>
      <c r="CS306" s="7"/>
      <c r="CT306" s="7"/>
      <c r="CU306" s="7"/>
      <c r="CV306" s="7"/>
      <c r="CW306" s="7"/>
      <c r="EP306" s="17"/>
      <c r="EQ306" s="17"/>
      <c r="ER306" s="17"/>
      <c r="ES306" s="15"/>
      <c r="ET306" s="15"/>
    </row>
    <row r="307" spans="1:150" ht="15.75" customHeight="1">
      <c r="A307" s="7"/>
      <c r="B307" s="7"/>
      <c r="C307" s="32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32"/>
      <c r="BT307" s="57"/>
      <c r="BU307" s="6"/>
      <c r="BV307" s="6"/>
      <c r="BW307" s="6"/>
      <c r="BX307" s="6"/>
      <c r="BY307" s="6"/>
      <c r="BZ307" s="6"/>
      <c r="CA307" s="6"/>
      <c r="CB307" s="6"/>
      <c r="CC307" s="6"/>
      <c r="CD307" s="32"/>
      <c r="CE307" s="32"/>
      <c r="CF307" s="57"/>
      <c r="CG307" s="28"/>
      <c r="CH307" s="28"/>
      <c r="CI307" s="28"/>
      <c r="CJ307" s="28"/>
      <c r="CL307" s="29"/>
      <c r="CM307" s="29"/>
      <c r="CN307" s="29"/>
      <c r="CO307" s="29"/>
      <c r="CP307" s="29"/>
      <c r="CQ307" s="29"/>
      <c r="CR307" s="13"/>
      <c r="CS307" s="7"/>
      <c r="CT307" s="7"/>
      <c r="CU307" s="7"/>
      <c r="CV307" s="7"/>
      <c r="CW307" s="7"/>
      <c r="EP307" s="17"/>
      <c r="EQ307" s="17"/>
      <c r="ER307" s="17"/>
      <c r="ES307" s="15"/>
      <c r="ET307" s="15"/>
    </row>
    <row r="308" spans="1:150" ht="15.75" customHeight="1">
      <c r="A308" s="7"/>
      <c r="B308" s="7"/>
      <c r="C308" s="32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32"/>
      <c r="BT308" s="57"/>
      <c r="BU308" s="6"/>
      <c r="BV308" s="6"/>
      <c r="BW308" s="6"/>
      <c r="BX308" s="6"/>
      <c r="BY308" s="6"/>
      <c r="BZ308" s="6"/>
      <c r="CA308" s="6"/>
      <c r="CB308" s="6"/>
      <c r="CC308" s="6"/>
      <c r="CD308" s="32"/>
      <c r="CE308" s="32"/>
      <c r="CF308" s="57"/>
      <c r="CG308" s="28"/>
      <c r="CH308" s="28"/>
      <c r="CI308" s="28"/>
      <c r="CJ308" s="28"/>
      <c r="CL308" s="29"/>
      <c r="CM308" s="29"/>
      <c r="CN308" s="29"/>
      <c r="CO308" s="29"/>
      <c r="CP308" s="29"/>
      <c r="CQ308" s="29"/>
      <c r="CR308" s="13"/>
      <c r="CS308" s="7"/>
      <c r="CT308" s="7"/>
      <c r="CU308" s="7"/>
      <c r="CV308" s="7"/>
      <c r="CW308" s="7"/>
      <c r="EP308" s="17"/>
      <c r="EQ308" s="17"/>
      <c r="ER308" s="17"/>
      <c r="ES308" s="15"/>
      <c r="ET308" s="15"/>
    </row>
    <row r="309" spans="1:150" ht="15.75" customHeight="1">
      <c r="A309" s="7"/>
      <c r="B309" s="7"/>
      <c r="C309" s="32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32"/>
      <c r="BT309" s="57"/>
      <c r="BU309" s="6"/>
      <c r="BV309" s="6"/>
      <c r="BW309" s="6"/>
      <c r="BX309" s="6"/>
      <c r="BY309" s="6"/>
      <c r="BZ309" s="6"/>
      <c r="CA309" s="6"/>
      <c r="CB309" s="6"/>
      <c r="CC309" s="6"/>
      <c r="CD309" s="32"/>
      <c r="CE309" s="32"/>
      <c r="CF309" s="57"/>
      <c r="CG309" s="28"/>
      <c r="CH309" s="28"/>
      <c r="CI309" s="28"/>
      <c r="CJ309" s="28"/>
      <c r="CL309" s="29"/>
      <c r="CM309" s="29"/>
      <c r="CN309" s="29"/>
      <c r="CO309" s="29"/>
      <c r="CP309" s="29"/>
      <c r="CQ309" s="29"/>
      <c r="CR309" s="13"/>
      <c r="CS309" s="7"/>
      <c r="CT309" s="7"/>
      <c r="CU309" s="7"/>
      <c r="CV309" s="7"/>
      <c r="CW309" s="7"/>
      <c r="EP309" s="17"/>
      <c r="EQ309" s="17"/>
      <c r="ER309" s="17"/>
      <c r="ES309" s="15"/>
      <c r="ET309" s="15"/>
    </row>
    <row r="310" spans="1:150" ht="15.75" customHeight="1">
      <c r="A310" s="7"/>
      <c r="B310" s="7"/>
      <c r="C310" s="32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32"/>
      <c r="BT310" s="57"/>
      <c r="BU310" s="6"/>
      <c r="BV310" s="6"/>
      <c r="BW310" s="6"/>
      <c r="BX310" s="6"/>
      <c r="BY310" s="6"/>
      <c r="BZ310" s="6"/>
      <c r="CA310" s="6"/>
      <c r="CB310" s="6"/>
      <c r="CC310" s="6"/>
      <c r="CD310" s="32"/>
      <c r="CE310" s="32"/>
      <c r="CF310" s="57"/>
      <c r="CG310" s="28"/>
      <c r="CH310" s="28"/>
      <c r="CI310" s="28"/>
      <c r="CJ310" s="28"/>
      <c r="CL310" s="29"/>
      <c r="CM310" s="29"/>
      <c r="CN310" s="29"/>
      <c r="CO310" s="29"/>
      <c r="CP310" s="29"/>
      <c r="CQ310" s="29"/>
      <c r="CR310" s="13"/>
      <c r="CS310" s="7"/>
      <c r="CT310" s="7"/>
      <c r="CU310" s="7"/>
      <c r="CV310" s="7"/>
      <c r="CW310" s="7"/>
      <c r="EP310" s="17"/>
      <c r="EQ310" s="17"/>
      <c r="ER310" s="17"/>
      <c r="ES310" s="15"/>
      <c r="ET310" s="15"/>
    </row>
    <row r="311" spans="1:150" ht="15.75" customHeight="1">
      <c r="A311" s="7"/>
      <c r="B311" s="7"/>
      <c r="C311" s="32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32"/>
      <c r="BT311" s="57"/>
      <c r="BU311" s="6"/>
      <c r="BV311" s="6"/>
      <c r="BW311" s="6"/>
      <c r="BX311" s="6"/>
      <c r="BY311" s="6"/>
      <c r="BZ311" s="6"/>
      <c r="CA311" s="6"/>
      <c r="CB311" s="6"/>
      <c r="CC311" s="6"/>
      <c r="CD311" s="32"/>
      <c r="CE311" s="32"/>
      <c r="CF311" s="57"/>
      <c r="CG311" s="28"/>
      <c r="CH311" s="28"/>
      <c r="CI311" s="28"/>
      <c r="CJ311" s="28"/>
      <c r="CL311" s="29"/>
      <c r="CM311" s="29"/>
      <c r="CN311" s="29"/>
      <c r="CO311" s="29"/>
      <c r="CP311" s="29"/>
      <c r="CQ311" s="29"/>
      <c r="CR311" s="13"/>
      <c r="CS311" s="7"/>
      <c r="CT311" s="7"/>
      <c r="CU311" s="7"/>
      <c r="CV311" s="7"/>
      <c r="CW311" s="7"/>
      <c r="EP311" s="17"/>
      <c r="EQ311" s="17"/>
      <c r="ER311" s="17"/>
      <c r="ES311" s="15"/>
      <c r="ET311" s="15"/>
    </row>
    <row r="312" spans="1:150" ht="15.75" customHeight="1">
      <c r="A312" s="7"/>
      <c r="B312" s="7"/>
      <c r="C312" s="32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32"/>
      <c r="BT312" s="57"/>
      <c r="BU312" s="6"/>
      <c r="BV312" s="6"/>
      <c r="BW312" s="6"/>
      <c r="BX312" s="6"/>
      <c r="BY312" s="6"/>
      <c r="BZ312" s="6"/>
      <c r="CA312" s="6"/>
      <c r="CB312" s="6"/>
      <c r="CC312" s="6"/>
      <c r="CD312" s="32"/>
      <c r="CE312" s="32"/>
      <c r="CF312" s="57"/>
      <c r="CG312" s="28"/>
      <c r="CH312" s="28"/>
      <c r="CI312" s="28"/>
      <c r="CJ312" s="28"/>
      <c r="CL312" s="29"/>
      <c r="CM312" s="29"/>
      <c r="CN312" s="29"/>
      <c r="CO312" s="29"/>
      <c r="CP312" s="29"/>
      <c r="CQ312" s="29"/>
      <c r="CR312" s="13"/>
      <c r="CS312" s="7"/>
      <c r="CT312" s="7"/>
      <c r="CU312" s="7"/>
      <c r="CV312" s="7"/>
      <c r="CW312" s="7"/>
      <c r="EP312" s="17"/>
      <c r="EQ312" s="17"/>
      <c r="ER312" s="17"/>
      <c r="ES312" s="15"/>
      <c r="ET312" s="15"/>
    </row>
    <row r="313" spans="1:150" ht="15.75" customHeight="1">
      <c r="A313" s="7"/>
      <c r="B313" s="7"/>
      <c r="C313" s="32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32"/>
      <c r="BT313" s="57"/>
      <c r="BU313" s="6"/>
      <c r="BV313" s="6"/>
      <c r="BW313" s="6"/>
      <c r="BX313" s="6"/>
      <c r="BY313" s="6"/>
      <c r="BZ313" s="6"/>
      <c r="CA313" s="6"/>
      <c r="CB313" s="6"/>
      <c r="CC313" s="6"/>
      <c r="CD313" s="32"/>
      <c r="CE313" s="32"/>
      <c r="CF313" s="57"/>
      <c r="CG313" s="28"/>
      <c r="CH313" s="28"/>
      <c r="CI313" s="28"/>
      <c r="CJ313" s="28"/>
      <c r="CL313" s="29"/>
      <c r="CM313" s="29"/>
      <c r="CN313" s="29"/>
      <c r="CO313" s="29"/>
      <c r="CP313" s="29"/>
      <c r="CQ313" s="29"/>
      <c r="CR313" s="13"/>
      <c r="CS313" s="7"/>
      <c r="CT313" s="7"/>
      <c r="CU313" s="7"/>
      <c r="CV313" s="7"/>
      <c r="CW313" s="7"/>
      <c r="EP313" s="17"/>
      <c r="EQ313" s="17"/>
      <c r="ER313" s="17"/>
      <c r="ES313" s="15"/>
      <c r="ET313" s="15"/>
    </row>
    <row r="314" spans="1:150" ht="15.75" customHeight="1">
      <c r="A314" s="7"/>
      <c r="B314" s="7"/>
      <c r="C314" s="32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32"/>
      <c r="BT314" s="57"/>
      <c r="BU314" s="6"/>
      <c r="BV314" s="6"/>
      <c r="BW314" s="6"/>
      <c r="BX314" s="6"/>
      <c r="BY314" s="6"/>
      <c r="BZ314" s="6"/>
      <c r="CA314" s="6"/>
      <c r="CB314" s="6"/>
      <c r="CC314" s="6"/>
      <c r="CD314" s="32"/>
      <c r="CE314" s="32"/>
      <c r="CF314" s="57"/>
      <c r="CG314" s="28"/>
      <c r="CH314" s="28"/>
      <c r="CI314" s="28"/>
      <c r="CJ314" s="28"/>
      <c r="CL314" s="29"/>
      <c r="CM314" s="29"/>
      <c r="CN314" s="29"/>
      <c r="CO314" s="29"/>
      <c r="CP314" s="29"/>
      <c r="CQ314" s="29"/>
      <c r="CR314" s="13"/>
      <c r="CS314" s="7"/>
      <c r="CT314" s="7"/>
      <c r="CU314" s="7"/>
      <c r="CV314" s="7"/>
      <c r="CW314" s="7"/>
      <c r="EP314" s="17"/>
      <c r="EQ314" s="17"/>
      <c r="ER314" s="17"/>
      <c r="ES314" s="15"/>
      <c r="ET314" s="15"/>
    </row>
    <row r="315" spans="1:150" ht="15.75" customHeight="1">
      <c r="A315" s="7"/>
      <c r="B315" s="7"/>
      <c r="C315" s="32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32"/>
      <c r="BT315" s="57"/>
      <c r="BU315" s="6"/>
      <c r="BV315" s="6"/>
      <c r="BW315" s="6"/>
      <c r="BX315" s="6"/>
      <c r="BY315" s="6"/>
      <c r="BZ315" s="6"/>
      <c r="CA315" s="6"/>
      <c r="CB315" s="6"/>
      <c r="CC315" s="6"/>
      <c r="CD315" s="32"/>
      <c r="CE315" s="32"/>
      <c r="CF315" s="57"/>
      <c r="CG315" s="28"/>
      <c r="CH315" s="28"/>
      <c r="CI315" s="28"/>
      <c r="CJ315" s="28"/>
      <c r="CL315" s="29"/>
      <c r="CM315" s="29"/>
      <c r="CN315" s="29"/>
      <c r="CO315" s="29"/>
      <c r="CP315" s="29"/>
      <c r="CQ315" s="29"/>
      <c r="CR315" s="13"/>
      <c r="CS315" s="7"/>
      <c r="CT315" s="7"/>
      <c r="CU315" s="7"/>
      <c r="CV315" s="7"/>
      <c r="CW315" s="7"/>
      <c r="EP315" s="17"/>
      <c r="EQ315" s="17"/>
      <c r="ER315" s="17"/>
      <c r="ES315" s="15"/>
      <c r="ET315" s="15"/>
    </row>
    <row r="316" spans="1:150" ht="15.75" customHeight="1">
      <c r="A316" s="7"/>
      <c r="B316" s="7"/>
      <c r="C316" s="32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32"/>
      <c r="BT316" s="57"/>
      <c r="BU316" s="6"/>
      <c r="BV316" s="6"/>
      <c r="BW316" s="6"/>
      <c r="BX316" s="6"/>
      <c r="BY316" s="6"/>
      <c r="BZ316" s="6"/>
      <c r="CA316" s="6"/>
      <c r="CB316" s="6"/>
      <c r="CC316" s="6"/>
      <c r="CD316" s="32"/>
      <c r="CE316" s="32"/>
      <c r="CF316" s="57"/>
      <c r="CG316" s="28"/>
      <c r="CH316" s="28"/>
      <c r="CI316" s="28"/>
      <c r="CJ316" s="28"/>
      <c r="CL316" s="29"/>
      <c r="CM316" s="29"/>
      <c r="CN316" s="29"/>
      <c r="CO316" s="29"/>
      <c r="CP316" s="29"/>
      <c r="CQ316" s="29"/>
      <c r="CR316" s="13"/>
      <c r="CS316" s="7"/>
      <c r="CT316" s="7"/>
      <c r="CU316" s="7"/>
      <c r="CV316" s="7"/>
      <c r="CW316" s="7"/>
      <c r="EP316" s="17"/>
      <c r="EQ316" s="17"/>
      <c r="ER316" s="17"/>
      <c r="ES316" s="15"/>
      <c r="ET316" s="15"/>
    </row>
    <row r="317" spans="1:150" ht="15.75" customHeight="1">
      <c r="A317" s="7"/>
      <c r="B317" s="7"/>
      <c r="C317" s="32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32"/>
      <c r="BT317" s="57"/>
      <c r="BU317" s="6"/>
      <c r="BV317" s="6"/>
      <c r="BW317" s="6"/>
      <c r="BX317" s="6"/>
      <c r="BY317" s="6"/>
      <c r="BZ317" s="6"/>
      <c r="CA317" s="6"/>
      <c r="CB317" s="6"/>
      <c r="CC317" s="6"/>
      <c r="CD317" s="32"/>
      <c r="CE317" s="32"/>
      <c r="CF317" s="57"/>
      <c r="CG317" s="28"/>
      <c r="CH317" s="28"/>
      <c r="CI317" s="28"/>
      <c r="CJ317" s="28"/>
      <c r="CL317" s="29"/>
      <c r="CM317" s="29"/>
      <c r="CN317" s="29"/>
      <c r="CO317" s="29"/>
      <c r="CP317" s="29"/>
      <c r="CQ317" s="29"/>
      <c r="CR317" s="13"/>
      <c r="CS317" s="7"/>
      <c r="CT317" s="7"/>
      <c r="CU317" s="7"/>
      <c r="CV317" s="7"/>
      <c r="CW317" s="7"/>
      <c r="EP317" s="17"/>
      <c r="EQ317" s="17"/>
      <c r="ER317" s="17"/>
      <c r="ES317" s="15"/>
      <c r="ET317" s="15"/>
    </row>
    <row r="318" spans="1:150" ht="15.75" customHeight="1">
      <c r="A318" s="7"/>
      <c r="B318" s="7"/>
      <c r="C318" s="32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32"/>
      <c r="BT318" s="57"/>
      <c r="BU318" s="6"/>
      <c r="BV318" s="6"/>
      <c r="BW318" s="6"/>
      <c r="BX318" s="6"/>
      <c r="BY318" s="6"/>
      <c r="BZ318" s="6"/>
      <c r="CA318" s="6"/>
      <c r="CB318" s="6"/>
      <c r="CC318" s="6"/>
      <c r="CD318" s="32"/>
      <c r="CE318" s="32"/>
      <c r="CF318" s="57"/>
      <c r="CG318" s="28"/>
      <c r="CH318" s="28"/>
      <c r="CI318" s="28"/>
      <c r="CJ318" s="28"/>
      <c r="CL318" s="29"/>
      <c r="CM318" s="29"/>
      <c r="CN318" s="29"/>
      <c r="CO318" s="29"/>
      <c r="CP318" s="29"/>
      <c r="CQ318" s="29"/>
      <c r="CR318" s="13"/>
      <c r="CS318" s="7"/>
      <c r="CT318" s="7"/>
      <c r="CU318" s="7"/>
      <c r="CV318" s="7"/>
      <c r="CW318" s="7"/>
      <c r="EP318" s="17"/>
      <c r="EQ318" s="17"/>
      <c r="ER318" s="17"/>
      <c r="ES318" s="15"/>
      <c r="ET318" s="15"/>
    </row>
    <row r="319" spans="1:150" ht="15.75" customHeight="1">
      <c r="A319" s="7"/>
      <c r="B319" s="7"/>
      <c r="C319" s="32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32"/>
      <c r="BT319" s="57"/>
      <c r="BU319" s="6"/>
      <c r="BV319" s="6"/>
      <c r="BW319" s="6"/>
      <c r="BX319" s="6"/>
      <c r="BY319" s="6"/>
      <c r="BZ319" s="6"/>
      <c r="CA319" s="6"/>
      <c r="CB319" s="6"/>
      <c r="CC319" s="6"/>
      <c r="CD319" s="32"/>
      <c r="CE319" s="32"/>
      <c r="CF319" s="57"/>
      <c r="CG319" s="28"/>
      <c r="CH319" s="28"/>
      <c r="CI319" s="28"/>
      <c r="CJ319" s="28"/>
      <c r="CL319" s="29"/>
      <c r="CM319" s="29"/>
      <c r="CN319" s="29"/>
      <c r="CO319" s="29"/>
      <c r="CP319" s="29"/>
      <c r="CQ319" s="29"/>
      <c r="CR319" s="13"/>
      <c r="CS319" s="7"/>
      <c r="CT319" s="7"/>
      <c r="CU319" s="7"/>
      <c r="CV319" s="7"/>
      <c r="CW319" s="7"/>
      <c r="EP319" s="17"/>
      <c r="EQ319" s="17"/>
      <c r="ER319" s="17"/>
      <c r="ES319" s="15"/>
      <c r="ET319" s="15"/>
    </row>
    <row r="320" spans="1:150" ht="15.75" customHeight="1">
      <c r="A320" s="7"/>
      <c r="B320" s="7"/>
      <c r="C320" s="32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32"/>
      <c r="BT320" s="57"/>
      <c r="BU320" s="6"/>
      <c r="BV320" s="6"/>
      <c r="BW320" s="6"/>
      <c r="BX320" s="6"/>
      <c r="BY320" s="6"/>
      <c r="BZ320" s="6"/>
      <c r="CA320" s="6"/>
      <c r="CB320" s="6"/>
      <c r="CC320" s="6"/>
      <c r="CD320" s="32"/>
      <c r="CE320" s="32"/>
      <c r="CF320" s="57"/>
      <c r="CG320" s="28"/>
      <c r="CH320" s="28"/>
      <c r="CI320" s="28"/>
      <c r="CJ320" s="28"/>
      <c r="CL320" s="29"/>
      <c r="CM320" s="29"/>
      <c r="CN320" s="29"/>
      <c r="CO320" s="29"/>
      <c r="CP320" s="29"/>
      <c r="CQ320" s="29"/>
      <c r="CR320" s="13"/>
      <c r="CS320" s="7"/>
      <c r="CT320" s="7"/>
      <c r="CU320" s="7"/>
      <c r="CV320" s="7"/>
      <c r="CW320" s="7"/>
      <c r="EP320" s="17"/>
      <c r="EQ320" s="17"/>
      <c r="ER320" s="17"/>
      <c r="ES320" s="15"/>
      <c r="ET320" s="15"/>
    </row>
    <row r="321" spans="1:150" ht="15.75" customHeight="1">
      <c r="A321" s="7"/>
      <c r="B321" s="7"/>
      <c r="C321" s="32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32"/>
      <c r="BT321" s="57"/>
      <c r="BU321" s="6"/>
      <c r="BV321" s="6"/>
      <c r="BW321" s="6"/>
      <c r="BX321" s="6"/>
      <c r="BY321" s="6"/>
      <c r="BZ321" s="6"/>
      <c r="CA321" s="6"/>
      <c r="CB321" s="6"/>
      <c r="CC321" s="6"/>
      <c r="CD321" s="32"/>
      <c r="CE321" s="32"/>
      <c r="CF321" s="57"/>
      <c r="CG321" s="28"/>
      <c r="CH321" s="28"/>
      <c r="CI321" s="28"/>
      <c r="CJ321" s="28"/>
      <c r="CL321" s="29"/>
      <c r="CM321" s="29"/>
      <c r="CN321" s="29"/>
      <c r="CO321" s="29"/>
      <c r="CP321" s="29"/>
      <c r="CQ321" s="29"/>
      <c r="CR321" s="13"/>
      <c r="CS321" s="7"/>
      <c r="CT321" s="7"/>
      <c r="CU321" s="7"/>
      <c r="CV321" s="7"/>
      <c r="CW321" s="7"/>
      <c r="EP321" s="17"/>
      <c r="EQ321" s="17"/>
      <c r="ER321" s="17"/>
      <c r="ES321" s="15"/>
      <c r="ET321" s="15"/>
    </row>
    <row r="322" spans="1:150" ht="15.75" customHeight="1">
      <c r="A322" s="7"/>
      <c r="B322" s="7"/>
      <c r="C322" s="32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32"/>
      <c r="BT322" s="57"/>
      <c r="BU322" s="6"/>
      <c r="BV322" s="6"/>
      <c r="BW322" s="6"/>
      <c r="BX322" s="6"/>
      <c r="BY322" s="6"/>
      <c r="BZ322" s="6"/>
      <c r="CA322" s="6"/>
      <c r="CB322" s="6"/>
      <c r="CC322" s="6"/>
      <c r="CD322" s="32"/>
      <c r="CE322" s="32"/>
      <c r="CF322" s="57"/>
      <c r="CG322" s="28"/>
      <c r="CH322" s="28"/>
      <c r="CI322" s="28"/>
      <c r="CJ322" s="28"/>
      <c r="CL322" s="29"/>
      <c r="CM322" s="29"/>
      <c r="CN322" s="29"/>
      <c r="CO322" s="29"/>
      <c r="CP322" s="29"/>
      <c r="CQ322" s="29"/>
      <c r="CR322" s="13"/>
      <c r="CS322" s="7"/>
      <c r="CT322" s="7"/>
      <c r="CU322" s="7"/>
      <c r="CV322" s="7"/>
      <c r="CW322" s="7"/>
      <c r="EP322" s="17"/>
      <c r="EQ322" s="17"/>
      <c r="ER322" s="17"/>
      <c r="ES322" s="15"/>
      <c r="ET322" s="15"/>
    </row>
    <row r="323" spans="1:150" ht="15.75" customHeight="1">
      <c r="A323" s="7"/>
      <c r="B323" s="7"/>
      <c r="C323" s="32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32"/>
      <c r="BT323" s="57"/>
      <c r="BU323" s="6"/>
      <c r="BV323" s="6"/>
      <c r="BW323" s="6"/>
      <c r="BX323" s="6"/>
      <c r="BY323" s="6"/>
      <c r="BZ323" s="6"/>
      <c r="CA323" s="6"/>
      <c r="CB323" s="6"/>
      <c r="CC323" s="6"/>
      <c r="CD323" s="32"/>
      <c r="CE323" s="32"/>
      <c r="CF323" s="57"/>
      <c r="CG323" s="28"/>
      <c r="CH323" s="28"/>
      <c r="CI323" s="28"/>
      <c r="CJ323" s="28"/>
      <c r="CL323" s="29"/>
      <c r="CM323" s="29"/>
      <c r="CN323" s="29"/>
      <c r="CO323" s="29"/>
      <c r="CP323" s="29"/>
      <c r="CQ323" s="29"/>
      <c r="CR323" s="13"/>
      <c r="CS323" s="7"/>
      <c r="CT323" s="7"/>
      <c r="CU323" s="7"/>
      <c r="CV323" s="7"/>
      <c r="CW323" s="7"/>
      <c r="EP323" s="17"/>
      <c r="EQ323" s="17"/>
      <c r="ER323" s="17"/>
      <c r="ES323" s="15"/>
      <c r="ET323" s="15"/>
    </row>
    <row r="324" spans="1:150" ht="15.75" customHeight="1">
      <c r="A324" s="7"/>
      <c r="B324" s="7"/>
      <c r="C324" s="32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32"/>
      <c r="BT324" s="57"/>
      <c r="BU324" s="6"/>
      <c r="BV324" s="6"/>
      <c r="BW324" s="6"/>
      <c r="BX324" s="6"/>
      <c r="BY324" s="6"/>
      <c r="BZ324" s="6"/>
      <c r="CA324" s="6"/>
      <c r="CB324" s="6"/>
      <c r="CC324" s="6"/>
      <c r="CD324" s="32"/>
      <c r="CE324" s="32"/>
      <c r="CF324" s="57"/>
      <c r="CG324" s="28"/>
      <c r="CH324" s="28"/>
      <c r="CI324" s="28"/>
      <c r="CJ324" s="28"/>
      <c r="CL324" s="29"/>
      <c r="CM324" s="29"/>
      <c r="CN324" s="29"/>
      <c r="CO324" s="29"/>
      <c r="CP324" s="29"/>
      <c r="CQ324" s="29"/>
      <c r="CR324" s="13"/>
      <c r="CS324" s="7"/>
      <c r="CT324" s="7"/>
      <c r="CU324" s="7"/>
      <c r="CV324" s="7"/>
      <c r="CW324" s="7"/>
      <c r="EP324" s="17"/>
      <c r="EQ324" s="17"/>
      <c r="ER324" s="17"/>
      <c r="ES324" s="15"/>
      <c r="ET324" s="15"/>
    </row>
    <row r="325" spans="1:150" ht="15.75" customHeight="1">
      <c r="A325" s="7"/>
      <c r="B325" s="7"/>
      <c r="C325" s="32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32"/>
      <c r="BT325" s="57"/>
      <c r="BU325" s="6"/>
      <c r="BV325" s="6"/>
      <c r="BW325" s="6"/>
      <c r="BX325" s="6"/>
      <c r="BY325" s="6"/>
      <c r="BZ325" s="6"/>
      <c r="CA325" s="6"/>
      <c r="CB325" s="6"/>
      <c r="CC325" s="6"/>
      <c r="CD325" s="32"/>
      <c r="CE325" s="32"/>
      <c r="CF325" s="57"/>
      <c r="CG325" s="28"/>
      <c r="CH325" s="28"/>
      <c r="CI325" s="28"/>
      <c r="CJ325" s="28"/>
      <c r="CL325" s="29"/>
      <c r="CM325" s="29"/>
      <c r="CN325" s="29"/>
      <c r="CO325" s="29"/>
      <c r="CP325" s="29"/>
      <c r="CQ325" s="29"/>
      <c r="CR325" s="13"/>
      <c r="CS325" s="7"/>
      <c r="CT325" s="7"/>
      <c r="CU325" s="7"/>
      <c r="CV325" s="7"/>
      <c r="CW325" s="7"/>
      <c r="EP325" s="17"/>
      <c r="EQ325" s="17"/>
      <c r="ER325" s="17"/>
      <c r="ES325" s="15"/>
      <c r="ET325" s="15"/>
    </row>
    <row r="326" spans="1:150" ht="15.75" customHeight="1">
      <c r="A326" s="7"/>
      <c r="B326" s="7"/>
      <c r="C326" s="32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32"/>
      <c r="BT326" s="57"/>
      <c r="BU326" s="6"/>
      <c r="BV326" s="6"/>
      <c r="BW326" s="6"/>
      <c r="BX326" s="6"/>
      <c r="BY326" s="6"/>
      <c r="BZ326" s="6"/>
      <c r="CA326" s="6"/>
      <c r="CB326" s="6"/>
      <c r="CC326" s="6"/>
      <c r="CD326" s="32"/>
      <c r="CE326" s="32"/>
      <c r="CF326" s="57"/>
      <c r="CG326" s="28"/>
      <c r="CH326" s="28"/>
      <c r="CI326" s="28"/>
      <c r="CJ326" s="28"/>
      <c r="CL326" s="29"/>
      <c r="CM326" s="29"/>
      <c r="CN326" s="29"/>
      <c r="CO326" s="29"/>
      <c r="CP326" s="29"/>
      <c r="CQ326" s="29"/>
      <c r="CR326" s="13"/>
      <c r="CS326" s="7"/>
      <c r="CT326" s="7"/>
      <c r="CU326" s="7"/>
      <c r="CV326" s="7"/>
      <c r="CW326" s="7"/>
      <c r="EP326" s="17"/>
      <c r="EQ326" s="17"/>
      <c r="ER326" s="17"/>
      <c r="ES326" s="15"/>
      <c r="ET326" s="15"/>
    </row>
    <row r="327" spans="1:150" ht="15.75" customHeight="1">
      <c r="A327" s="7"/>
      <c r="B327" s="7"/>
      <c r="C327" s="32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32"/>
      <c r="BT327" s="57"/>
      <c r="BU327" s="6"/>
      <c r="BV327" s="6"/>
      <c r="BW327" s="6"/>
      <c r="BX327" s="6"/>
      <c r="BY327" s="6"/>
      <c r="BZ327" s="6"/>
      <c r="CA327" s="6"/>
      <c r="CB327" s="6"/>
      <c r="CC327" s="6"/>
      <c r="CD327" s="32"/>
      <c r="CE327" s="32"/>
      <c r="CF327" s="57"/>
      <c r="CG327" s="28"/>
      <c r="CH327" s="28"/>
      <c r="CI327" s="28"/>
      <c r="CJ327" s="28"/>
      <c r="CL327" s="29"/>
      <c r="CM327" s="29"/>
      <c r="CN327" s="29"/>
      <c r="CO327" s="29"/>
      <c r="CP327" s="29"/>
      <c r="CQ327" s="29"/>
      <c r="CR327" s="13"/>
      <c r="CS327" s="7"/>
      <c r="CT327" s="7"/>
      <c r="CU327" s="7"/>
      <c r="CV327" s="7"/>
      <c r="CW327" s="7"/>
      <c r="EP327" s="17"/>
      <c r="EQ327" s="17"/>
      <c r="ER327" s="17"/>
      <c r="ES327" s="15"/>
      <c r="ET327" s="15"/>
    </row>
    <row r="328" spans="1:150" ht="15.75" customHeight="1">
      <c r="A328" s="7"/>
      <c r="B328" s="7"/>
      <c r="C328" s="32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32"/>
      <c r="BT328" s="57"/>
      <c r="BU328" s="6"/>
      <c r="BV328" s="6"/>
      <c r="BW328" s="6"/>
      <c r="BX328" s="6"/>
      <c r="BY328" s="6"/>
      <c r="BZ328" s="6"/>
      <c r="CA328" s="6"/>
      <c r="CB328" s="6"/>
      <c r="CC328" s="6"/>
      <c r="CD328" s="32"/>
      <c r="CE328" s="32"/>
      <c r="CF328" s="57"/>
      <c r="CG328" s="28"/>
      <c r="CH328" s="28"/>
      <c r="CI328" s="28"/>
      <c r="CJ328" s="28"/>
      <c r="CL328" s="29"/>
      <c r="CM328" s="29"/>
      <c r="CN328" s="29"/>
      <c r="CO328" s="29"/>
      <c r="CP328" s="29"/>
      <c r="CQ328" s="29"/>
      <c r="CR328" s="13"/>
      <c r="CS328" s="7"/>
      <c r="CT328" s="7"/>
      <c r="CU328" s="7"/>
      <c r="CV328" s="7"/>
      <c r="CW328" s="7"/>
      <c r="EP328" s="17"/>
      <c r="EQ328" s="17"/>
      <c r="ER328" s="17"/>
      <c r="ES328" s="15"/>
      <c r="ET328" s="15"/>
    </row>
    <row r="329" spans="1:150" ht="15.75" customHeight="1">
      <c r="A329" s="7"/>
      <c r="B329" s="7"/>
      <c r="C329" s="32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32"/>
      <c r="BT329" s="57"/>
      <c r="BU329" s="6"/>
      <c r="BV329" s="6"/>
      <c r="BW329" s="6"/>
      <c r="BX329" s="6"/>
      <c r="BY329" s="6"/>
      <c r="BZ329" s="6"/>
      <c r="CA329" s="6"/>
      <c r="CB329" s="6"/>
      <c r="CC329" s="6"/>
      <c r="CD329" s="32"/>
      <c r="CE329" s="32"/>
      <c r="CF329" s="57"/>
      <c r="CG329" s="28"/>
      <c r="CH329" s="28"/>
      <c r="CI329" s="28"/>
      <c r="CJ329" s="28"/>
      <c r="CL329" s="29"/>
      <c r="CM329" s="29"/>
      <c r="CN329" s="29"/>
      <c r="CO329" s="29"/>
      <c r="CP329" s="29"/>
      <c r="CQ329" s="29"/>
      <c r="CR329" s="13"/>
      <c r="CS329" s="7"/>
      <c r="CT329" s="7"/>
      <c r="CU329" s="7"/>
      <c r="CV329" s="7"/>
      <c r="CW329" s="7"/>
      <c r="EP329" s="17"/>
      <c r="EQ329" s="17"/>
      <c r="ER329" s="17"/>
      <c r="ES329" s="15"/>
      <c r="ET329" s="15"/>
    </row>
    <row r="330" spans="1:150" ht="15.75" customHeight="1">
      <c r="A330" s="7"/>
      <c r="B330" s="7"/>
      <c r="C330" s="32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32"/>
      <c r="BT330" s="57"/>
      <c r="BU330" s="6"/>
      <c r="BV330" s="6"/>
      <c r="BW330" s="6"/>
      <c r="BX330" s="6"/>
      <c r="BY330" s="6"/>
      <c r="BZ330" s="6"/>
      <c r="CA330" s="6"/>
      <c r="CB330" s="6"/>
      <c r="CC330" s="6"/>
      <c r="CD330" s="32"/>
      <c r="CE330" s="32"/>
      <c r="CF330" s="57"/>
      <c r="CG330" s="28"/>
      <c r="CH330" s="28"/>
      <c r="CI330" s="28"/>
      <c r="CJ330" s="28"/>
      <c r="CL330" s="29"/>
      <c r="CM330" s="29"/>
      <c r="CN330" s="29"/>
      <c r="CO330" s="29"/>
      <c r="CP330" s="29"/>
      <c r="CQ330" s="29"/>
      <c r="CR330" s="13"/>
      <c r="CS330" s="7"/>
      <c r="CT330" s="7"/>
      <c r="CU330" s="7"/>
      <c r="CV330" s="7"/>
      <c r="CW330" s="7"/>
      <c r="EP330" s="17"/>
      <c r="EQ330" s="17"/>
      <c r="ER330" s="17"/>
      <c r="ES330" s="15"/>
      <c r="ET330" s="15"/>
    </row>
    <row r="331" spans="1:150" ht="15.75" customHeight="1">
      <c r="A331" s="7"/>
      <c r="B331" s="7"/>
      <c r="C331" s="32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32"/>
      <c r="BT331" s="57"/>
      <c r="BU331" s="6"/>
      <c r="BV331" s="6"/>
      <c r="BW331" s="6"/>
      <c r="BX331" s="6"/>
      <c r="BY331" s="6"/>
      <c r="BZ331" s="6"/>
      <c r="CA331" s="6"/>
      <c r="CB331" s="6"/>
      <c r="CC331" s="6"/>
      <c r="CD331" s="32"/>
      <c r="CE331" s="32"/>
      <c r="CF331" s="57"/>
      <c r="CG331" s="28"/>
      <c r="CH331" s="28"/>
      <c r="CI331" s="28"/>
      <c r="CJ331" s="28"/>
      <c r="CL331" s="29"/>
      <c r="CM331" s="29"/>
      <c r="CN331" s="29"/>
      <c r="CO331" s="29"/>
      <c r="CP331" s="29"/>
      <c r="CQ331" s="29"/>
      <c r="CR331" s="13"/>
      <c r="CS331" s="7"/>
      <c r="CT331" s="7"/>
      <c r="CU331" s="7"/>
      <c r="CV331" s="7"/>
      <c r="CW331" s="7"/>
      <c r="EP331" s="17"/>
      <c r="EQ331" s="17"/>
      <c r="ER331" s="17"/>
      <c r="ES331" s="15"/>
      <c r="ET331" s="15"/>
    </row>
    <row r="332" spans="1:150" ht="15.75" customHeight="1">
      <c r="A332" s="7"/>
      <c r="B332" s="7"/>
      <c r="C332" s="32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32"/>
      <c r="BT332" s="57"/>
      <c r="BU332" s="6"/>
      <c r="BV332" s="6"/>
      <c r="BW332" s="6"/>
      <c r="BX332" s="6"/>
      <c r="BY332" s="6"/>
      <c r="BZ332" s="6"/>
      <c r="CA332" s="6"/>
      <c r="CB332" s="6"/>
      <c r="CC332" s="6"/>
      <c r="CD332" s="32"/>
      <c r="CE332" s="32"/>
      <c r="CF332" s="57"/>
      <c r="CG332" s="28"/>
      <c r="CH332" s="28"/>
      <c r="CI332" s="28"/>
      <c r="CJ332" s="28"/>
      <c r="CL332" s="29"/>
      <c r="CM332" s="29"/>
      <c r="CN332" s="29"/>
      <c r="CO332" s="29"/>
      <c r="CP332" s="29"/>
      <c r="CQ332" s="29"/>
      <c r="CR332" s="13"/>
      <c r="CS332" s="7"/>
      <c r="CT332" s="7"/>
      <c r="CU332" s="7"/>
      <c r="CV332" s="7"/>
      <c r="CW332" s="7"/>
      <c r="EP332" s="17"/>
      <c r="EQ332" s="17"/>
      <c r="ER332" s="17"/>
      <c r="ES332" s="15"/>
      <c r="ET332" s="15"/>
    </row>
    <row r="333" spans="1:150" ht="15.75" customHeight="1">
      <c r="A333" s="7"/>
      <c r="B333" s="7"/>
      <c r="C333" s="32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32"/>
      <c r="BT333" s="57"/>
      <c r="BU333" s="6"/>
      <c r="BV333" s="6"/>
      <c r="BW333" s="6"/>
      <c r="BX333" s="6"/>
      <c r="BY333" s="6"/>
      <c r="BZ333" s="6"/>
      <c r="CA333" s="6"/>
      <c r="CB333" s="6"/>
      <c r="CC333" s="6"/>
      <c r="CD333" s="32"/>
      <c r="CE333" s="32"/>
      <c r="CF333" s="57"/>
      <c r="CG333" s="28"/>
      <c r="CH333" s="28"/>
      <c r="CI333" s="28"/>
      <c r="CJ333" s="28"/>
      <c r="CL333" s="29"/>
      <c r="CM333" s="29"/>
      <c r="CN333" s="29"/>
      <c r="CO333" s="29"/>
      <c r="CP333" s="29"/>
      <c r="CQ333" s="29"/>
      <c r="CR333" s="13"/>
      <c r="CS333" s="7"/>
      <c r="CT333" s="7"/>
      <c r="CU333" s="7"/>
      <c r="CV333" s="7"/>
      <c r="CW333" s="7"/>
      <c r="EP333" s="17"/>
      <c r="EQ333" s="17"/>
      <c r="ER333" s="17"/>
      <c r="ES333" s="15"/>
      <c r="ET333" s="15"/>
    </row>
    <row r="334" spans="1:150" ht="15.75" customHeight="1">
      <c r="A334" s="7"/>
      <c r="B334" s="7"/>
      <c r="C334" s="32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32"/>
      <c r="BT334" s="57"/>
      <c r="BU334" s="6"/>
      <c r="BV334" s="6"/>
      <c r="BW334" s="6"/>
      <c r="BX334" s="6"/>
      <c r="BY334" s="6"/>
      <c r="BZ334" s="6"/>
      <c r="CA334" s="6"/>
      <c r="CB334" s="6"/>
      <c r="CC334" s="6"/>
      <c r="CD334" s="32"/>
      <c r="CE334" s="32"/>
      <c r="CF334" s="57"/>
      <c r="CG334" s="28"/>
      <c r="CH334" s="28"/>
      <c r="CI334" s="28"/>
      <c r="CJ334" s="28"/>
      <c r="CL334" s="29"/>
      <c r="CM334" s="29"/>
      <c r="CN334" s="29"/>
      <c r="CO334" s="29"/>
      <c r="CP334" s="29"/>
      <c r="CQ334" s="29"/>
      <c r="CR334" s="13"/>
      <c r="CS334" s="7"/>
      <c r="CT334" s="7"/>
      <c r="CU334" s="7"/>
      <c r="CV334" s="7"/>
      <c r="CW334" s="7"/>
      <c r="EP334" s="17"/>
      <c r="EQ334" s="17"/>
      <c r="ER334" s="17"/>
      <c r="ES334" s="15"/>
      <c r="ET334" s="15"/>
    </row>
    <row r="335" spans="1:150" ht="15.75" customHeight="1">
      <c r="A335" s="7"/>
      <c r="B335" s="7"/>
      <c r="C335" s="32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32"/>
      <c r="BT335" s="57"/>
      <c r="BU335" s="6"/>
      <c r="BV335" s="6"/>
      <c r="BW335" s="6"/>
      <c r="BX335" s="6"/>
      <c r="BY335" s="6"/>
      <c r="BZ335" s="6"/>
      <c r="CA335" s="6"/>
      <c r="CB335" s="6"/>
      <c r="CC335" s="6"/>
      <c r="CD335" s="32"/>
      <c r="CE335" s="32"/>
      <c r="CF335" s="57"/>
      <c r="CG335" s="28"/>
      <c r="CH335" s="28"/>
      <c r="CI335" s="28"/>
      <c r="CJ335" s="28"/>
      <c r="CL335" s="29"/>
      <c r="CM335" s="29"/>
      <c r="CN335" s="29"/>
      <c r="CO335" s="29"/>
      <c r="CP335" s="29"/>
      <c r="CQ335" s="29"/>
      <c r="CR335" s="13"/>
      <c r="CS335" s="7"/>
      <c r="CT335" s="7"/>
      <c r="CU335" s="7"/>
      <c r="CV335" s="7"/>
      <c r="CW335" s="7"/>
      <c r="EP335" s="17"/>
      <c r="EQ335" s="17"/>
      <c r="ER335" s="17"/>
      <c r="ES335" s="15"/>
      <c r="ET335" s="15"/>
    </row>
    <row r="336" spans="1:150" ht="15.75" customHeight="1">
      <c r="A336" s="7"/>
      <c r="B336" s="7"/>
      <c r="C336" s="32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32"/>
      <c r="BT336" s="57"/>
      <c r="BU336" s="6"/>
      <c r="BV336" s="6"/>
      <c r="BW336" s="6"/>
      <c r="BX336" s="6"/>
      <c r="BY336" s="6"/>
      <c r="BZ336" s="6"/>
      <c r="CA336" s="6"/>
      <c r="CB336" s="6"/>
      <c r="CC336" s="6"/>
      <c r="CD336" s="32"/>
      <c r="CE336" s="32"/>
      <c r="CF336" s="57"/>
      <c r="CG336" s="28"/>
      <c r="CH336" s="28"/>
      <c r="CI336" s="28"/>
      <c r="CJ336" s="28"/>
      <c r="CL336" s="29"/>
      <c r="CM336" s="29"/>
      <c r="CN336" s="29"/>
      <c r="CO336" s="29"/>
      <c r="CP336" s="29"/>
      <c r="CQ336" s="29"/>
      <c r="CR336" s="13"/>
      <c r="CS336" s="7"/>
      <c r="CT336" s="7"/>
      <c r="CU336" s="7"/>
      <c r="CV336" s="7"/>
      <c r="CW336" s="7"/>
      <c r="EP336" s="17"/>
      <c r="EQ336" s="17"/>
      <c r="ER336" s="17"/>
      <c r="ES336" s="15"/>
      <c r="ET336" s="15"/>
    </row>
    <row r="337" spans="1:150" ht="15.75" customHeight="1">
      <c r="A337" s="7"/>
      <c r="B337" s="7"/>
      <c r="C337" s="32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32"/>
      <c r="BT337" s="57"/>
      <c r="BU337" s="6"/>
      <c r="BV337" s="6"/>
      <c r="BW337" s="6"/>
      <c r="BX337" s="6"/>
      <c r="BY337" s="6"/>
      <c r="BZ337" s="6"/>
      <c r="CA337" s="6"/>
      <c r="CB337" s="6"/>
      <c r="CC337" s="6"/>
      <c r="CD337" s="32"/>
      <c r="CE337" s="32"/>
      <c r="CF337" s="57"/>
      <c r="CG337" s="28"/>
      <c r="CH337" s="28"/>
      <c r="CI337" s="28"/>
      <c r="CJ337" s="28"/>
      <c r="CL337" s="29"/>
      <c r="CM337" s="29"/>
      <c r="CN337" s="29"/>
      <c r="CO337" s="29"/>
      <c r="CP337" s="29"/>
      <c r="CQ337" s="29"/>
      <c r="CR337" s="13"/>
      <c r="CS337" s="7"/>
      <c r="CT337" s="7"/>
      <c r="CU337" s="7"/>
      <c r="CV337" s="7"/>
      <c r="CW337" s="7"/>
      <c r="EP337" s="17"/>
      <c r="EQ337" s="17"/>
      <c r="ER337" s="17"/>
      <c r="ES337" s="15"/>
      <c r="ET337" s="15"/>
    </row>
    <row r="338" spans="1:150" ht="15.75" customHeight="1">
      <c r="A338" s="7"/>
      <c r="B338" s="7"/>
      <c r="C338" s="32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32"/>
      <c r="BT338" s="57"/>
      <c r="BU338" s="6"/>
      <c r="BV338" s="6"/>
      <c r="BW338" s="6"/>
      <c r="BX338" s="6"/>
      <c r="BY338" s="6"/>
      <c r="BZ338" s="6"/>
      <c r="CA338" s="6"/>
      <c r="CB338" s="6"/>
      <c r="CC338" s="6"/>
      <c r="CD338" s="32"/>
      <c r="CE338" s="32"/>
      <c r="CF338" s="57"/>
      <c r="CG338" s="28"/>
      <c r="CH338" s="28"/>
      <c r="CI338" s="28"/>
      <c r="CJ338" s="28"/>
      <c r="CL338" s="29"/>
      <c r="CM338" s="29"/>
      <c r="CN338" s="29"/>
      <c r="CO338" s="29"/>
      <c r="CP338" s="29"/>
      <c r="CQ338" s="29"/>
      <c r="CR338" s="13"/>
      <c r="CS338" s="7"/>
      <c r="CT338" s="7"/>
      <c r="CU338" s="7"/>
      <c r="CV338" s="7"/>
      <c r="CW338" s="7"/>
      <c r="EP338" s="17"/>
      <c r="EQ338" s="17"/>
      <c r="ER338" s="17"/>
      <c r="ES338" s="15"/>
      <c r="ET338" s="15"/>
    </row>
    <row r="339" spans="1:150" ht="15.75" customHeight="1">
      <c r="A339" s="7"/>
      <c r="B339" s="7"/>
      <c r="C339" s="32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32"/>
      <c r="BT339" s="57"/>
      <c r="BU339" s="6"/>
      <c r="BV339" s="6"/>
      <c r="BW339" s="6"/>
      <c r="BX339" s="6"/>
      <c r="BY339" s="6"/>
      <c r="BZ339" s="6"/>
      <c r="CA339" s="6"/>
      <c r="CB339" s="6"/>
      <c r="CC339" s="6"/>
      <c r="CD339" s="32"/>
      <c r="CE339" s="32"/>
      <c r="CF339" s="57"/>
      <c r="CG339" s="28"/>
      <c r="CH339" s="28"/>
      <c r="CI339" s="28"/>
      <c r="CJ339" s="28"/>
      <c r="CL339" s="29"/>
      <c r="CM339" s="29"/>
      <c r="CN339" s="29"/>
      <c r="CO339" s="29"/>
      <c r="CP339" s="29"/>
      <c r="CQ339" s="29"/>
      <c r="CR339" s="13"/>
      <c r="CS339" s="7"/>
      <c r="CT339" s="7"/>
      <c r="CU339" s="7"/>
      <c r="CV339" s="7"/>
      <c r="CW339" s="7"/>
      <c r="EP339" s="17"/>
      <c r="EQ339" s="17"/>
      <c r="ER339" s="17"/>
      <c r="ES339" s="15"/>
      <c r="ET339" s="15"/>
    </row>
    <row r="340" spans="1:150" ht="15.75" customHeight="1">
      <c r="A340" s="7"/>
      <c r="B340" s="7"/>
      <c r="C340" s="32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32"/>
      <c r="BT340" s="57"/>
      <c r="BU340" s="6"/>
      <c r="BV340" s="6"/>
      <c r="BW340" s="6"/>
      <c r="BX340" s="6"/>
      <c r="BY340" s="6"/>
      <c r="BZ340" s="6"/>
      <c r="CA340" s="6"/>
      <c r="CB340" s="6"/>
      <c r="CC340" s="6"/>
      <c r="CD340" s="32"/>
      <c r="CE340" s="32"/>
      <c r="CF340" s="57"/>
      <c r="CG340" s="28"/>
      <c r="CH340" s="28"/>
      <c r="CI340" s="28"/>
      <c r="CJ340" s="28"/>
      <c r="CL340" s="29"/>
      <c r="CM340" s="29"/>
      <c r="CN340" s="29"/>
      <c r="CO340" s="29"/>
      <c r="CP340" s="29"/>
      <c r="CQ340" s="29"/>
      <c r="CR340" s="13"/>
      <c r="CS340" s="7"/>
      <c r="CT340" s="7"/>
      <c r="CU340" s="7"/>
      <c r="CV340" s="7"/>
      <c r="CW340" s="7"/>
      <c r="EP340" s="17"/>
      <c r="EQ340" s="17"/>
      <c r="ER340" s="17"/>
      <c r="ES340" s="15"/>
      <c r="ET340" s="15"/>
    </row>
    <row r="341" spans="1:150" ht="15.75" customHeight="1">
      <c r="A341" s="7"/>
      <c r="B341" s="7"/>
      <c r="C341" s="32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32"/>
      <c r="BT341" s="57"/>
      <c r="BU341" s="6"/>
      <c r="BV341" s="6"/>
      <c r="BW341" s="6"/>
      <c r="BX341" s="6"/>
      <c r="BY341" s="6"/>
      <c r="BZ341" s="6"/>
      <c r="CA341" s="6"/>
      <c r="CB341" s="6"/>
      <c r="CC341" s="6"/>
      <c r="CD341" s="32"/>
      <c r="CE341" s="32"/>
      <c r="CF341" s="57"/>
      <c r="CG341" s="28"/>
      <c r="CH341" s="28"/>
      <c r="CI341" s="28"/>
      <c r="CJ341" s="28"/>
      <c r="CL341" s="29"/>
      <c r="CM341" s="29"/>
      <c r="CN341" s="29"/>
      <c r="CO341" s="29"/>
      <c r="CP341" s="29"/>
      <c r="CQ341" s="29"/>
      <c r="CR341" s="13"/>
      <c r="CS341" s="7"/>
      <c r="CT341" s="7"/>
      <c r="CU341" s="7"/>
      <c r="CV341" s="7"/>
      <c r="CW341" s="7"/>
      <c r="EP341" s="17"/>
      <c r="EQ341" s="17"/>
      <c r="ER341" s="17"/>
      <c r="ES341" s="15"/>
      <c r="ET341" s="15"/>
    </row>
    <row r="342" spans="1:150" ht="15.75" customHeight="1">
      <c r="A342" s="7"/>
      <c r="B342" s="7"/>
      <c r="C342" s="32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32"/>
      <c r="BT342" s="57"/>
      <c r="BU342" s="6"/>
      <c r="BV342" s="6"/>
      <c r="BW342" s="6"/>
      <c r="BX342" s="6"/>
      <c r="BY342" s="6"/>
      <c r="BZ342" s="6"/>
      <c r="CA342" s="6"/>
      <c r="CB342" s="6"/>
      <c r="CC342" s="6"/>
      <c r="CD342" s="32"/>
      <c r="CE342" s="32"/>
      <c r="CF342" s="57"/>
      <c r="CG342" s="28"/>
      <c r="CH342" s="28"/>
      <c r="CI342" s="28"/>
      <c r="CJ342" s="28"/>
      <c r="CL342" s="29"/>
      <c r="CM342" s="29"/>
      <c r="CN342" s="29"/>
      <c r="CO342" s="29"/>
      <c r="CP342" s="29"/>
      <c r="CQ342" s="29"/>
      <c r="CR342" s="13"/>
      <c r="CS342" s="7"/>
      <c r="CT342" s="7"/>
      <c r="CU342" s="7"/>
      <c r="CV342" s="7"/>
      <c r="CW342" s="7"/>
      <c r="EP342" s="17"/>
      <c r="EQ342" s="17"/>
      <c r="ER342" s="17"/>
      <c r="ES342" s="15"/>
      <c r="ET342" s="15"/>
    </row>
    <row r="343" spans="1:150" ht="15.75" customHeight="1">
      <c r="A343" s="7"/>
      <c r="B343" s="7"/>
      <c r="C343" s="32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32"/>
      <c r="BT343" s="57"/>
      <c r="BU343" s="6"/>
      <c r="BV343" s="6"/>
      <c r="BW343" s="6"/>
      <c r="BX343" s="6"/>
      <c r="BY343" s="6"/>
      <c r="BZ343" s="6"/>
      <c r="CA343" s="6"/>
      <c r="CB343" s="6"/>
      <c r="CC343" s="6"/>
      <c r="CD343" s="32"/>
      <c r="CE343" s="32"/>
      <c r="CF343" s="57"/>
      <c r="CG343" s="28"/>
      <c r="CH343" s="28"/>
      <c r="CI343" s="28"/>
      <c r="CJ343" s="28"/>
      <c r="CL343" s="29"/>
      <c r="CM343" s="29"/>
      <c r="CN343" s="29"/>
      <c r="CO343" s="29"/>
      <c r="CP343" s="29"/>
      <c r="CQ343" s="29"/>
      <c r="CR343" s="13"/>
      <c r="CS343" s="7"/>
      <c r="CT343" s="7"/>
      <c r="CU343" s="7"/>
      <c r="CV343" s="7"/>
      <c r="CW343" s="7"/>
      <c r="EP343" s="17"/>
      <c r="EQ343" s="17"/>
      <c r="ER343" s="17"/>
      <c r="ES343" s="15"/>
      <c r="ET343" s="15"/>
    </row>
    <row r="344" spans="1:150" ht="15.75" customHeight="1">
      <c r="A344" s="7"/>
      <c r="B344" s="7"/>
      <c r="C344" s="32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32"/>
      <c r="BT344" s="57"/>
      <c r="BU344" s="6"/>
      <c r="BV344" s="6"/>
      <c r="BW344" s="6"/>
      <c r="BX344" s="6"/>
      <c r="BY344" s="6"/>
      <c r="BZ344" s="6"/>
      <c r="CA344" s="6"/>
      <c r="CB344" s="6"/>
      <c r="CC344" s="6"/>
      <c r="CD344" s="32"/>
      <c r="CE344" s="32"/>
      <c r="CF344" s="57"/>
      <c r="CG344" s="28"/>
      <c r="CH344" s="28"/>
      <c r="CI344" s="28"/>
      <c r="CJ344" s="28"/>
      <c r="CL344" s="29"/>
      <c r="CM344" s="29"/>
      <c r="CN344" s="29"/>
      <c r="CO344" s="29"/>
      <c r="CP344" s="29"/>
      <c r="CQ344" s="29"/>
      <c r="CR344" s="13"/>
      <c r="CS344" s="7"/>
      <c r="CT344" s="7"/>
      <c r="CU344" s="7"/>
      <c r="CV344" s="7"/>
      <c r="CW344" s="7"/>
      <c r="EP344" s="17"/>
      <c r="EQ344" s="17"/>
      <c r="ER344" s="17"/>
      <c r="ES344" s="15"/>
      <c r="ET344" s="15"/>
    </row>
    <row r="345" spans="1:150" ht="15.75" customHeight="1">
      <c r="A345" s="7"/>
      <c r="B345" s="7"/>
      <c r="C345" s="32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32"/>
      <c r="BT345" s="57"/>
      <c r="BU345" s="6"/>
      <c r="BV345" s="6"/>
      <c r="BW345" s="6"/>
      <c r="BX345" s="6"/>
      <c r="BY345" s="6"/>
      <c r="BZ345" s="6"/>
      <c r="CA345" s="6"/>
      <c r="CB345" s="6"/>
      <c r="CC345" s="6"/>
      <c r="CD345" s="32"/>
      <c r="CE345" s="32"/>
      <c r="CF345" s="57"/>
      <c r="CG345" s="28"/>
      <c r="CH345" s="28"/>
      <c r="CI345" s="28"/>
      <c r="CJ345" s="28"/>
      <c r="CL345" s="29"/>
      <c r="CM345" s="29"/>
      <c r="CN345" s="29"/>
      <c r="CO345" s="29"/>
      <c r="CP345" s="29"/>
      <c r="CQ345" s="29"/>
      <c r="CR345" s="13"/>
      <c r="CS345" s="7"/>
      <c r="CT345" s="7"/>
      <c r="CU345" s="7"/>
      <c r="CV345" s="7"/>
      <c r="CW345" s="7"/>
      <c r="EP345" s="17"/>
      <c r="EQ345" s="17"/>
      <c r="ER345" s="17"/>
      <c r="ES345" s="15"/>
      <c r="ET345" s="15"/>
    </row>
    <row r="346" spans="1:150" ht="15.75" customHeight="1">
      <c r="A346" s="7"/>
      <c r="B346" s="7"/>
      <c r="C346" s="32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32"/>
      <c r="BT346" s="57"/>
      <c r="BU346" s="6"/>
      <c r="BV346" s="6"/>
      <c r="BW346" s="6"/>
      <c r="BX346" s="6"/>
      <c r="BY346" s="6"/>
      <c r="BZ346" s="6"/>
      <c r="CA346" s="6"/>
      <c r="CB346" s="6"/>
      <c r="CC346" s="6"/>
      <c r="CD346" s="32"/>
      <c r="CE346" s="32"/>
      <c r="CF346" s="57"/>
      <c r="CG346" s="28"/>
      <c r="CH346" s="28"/>
      <c r="CI346" s="28"/>
      <c r="CJ346" s="28"/>
      <c r="CL346" s="29"/>
      <c r="CM346" s="29"/>
      <c r="CN346" s="29"/>
      <c r="CO346" s="29"/>
      <c r="CP346" s="29"/>
      <c r="CQ346" s="29"/>
      <c r="CR346" s="13"/>
      <c r="CS346" s="7"/>
      <c r="CT346" s="7"/>
      <c r="CU346" s="7"/>
      <c r="CV346" s="7"/>
      <c r="CW346" s="7"/>
      <c r="EP346" s="17"/>
      <c r="EQ346" s="17"/>
      <c r="ER346" s="17"/>
      <c r="ES346" s="15"/>
      <c r="ET346" s="15"/>
    </row>
    <row r="347" spans="1:150" ht="15.75" customHeight="1">
      <c r="A347" s="7"/>
      <c r="B347" s="7"/>
      <c r="C347" s="32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32"/>
      <c r="BT347" s="57"/>
      <c r="BU347" s="6"/>
      <c r="BV347" s="6"/>
      <c r="BW347" s="6"/>
      <c r="BX347" s="6"/>
      <c r="BY347" s="6"/>
      <c r="BZ347" s="6"/>
      <c r="CA347" s="6"/>
      <c r="CB347" s="6"/>
      <c r="CC347" s="6"/>
      <c r="CD347" s="32"/>
      <c r="CE347" s="32"/>
      <c r="CF347" s="57"/>
      <c r="CG347" s="28"/>
      <c r="CH347" s="28"/>
      <c r="CI347" s="28"/>
      <c r="CJ347" s="28"/>
      <c r="CL347" s="29"/>
      <c r="CM347" s="29"/>
      <c r="CN347" s="29"/>
      <c r="CO347" s="29"/>
      <c r="CP347" s="29"/>
      <c r="CQ347" s="29"/>
      <c r="CR347" s="13"/>
      <c r="CS347" s="7"/>
      <c r="CT347" s="7"/>
      <c r="CU347" s="7"/>
      <c r="CV347" s="7"/>
      <c r="CW347" s="7"/>
      <c r="EP347" s="17"/>
      <c r="EQ347" s="17"/>
      <c r="ER347" s="17"/>
      <c r="ES347" s="15"/>
      <c r="ET347" s="15"/>
    </row>
    <row r="348" spans="1:150" ht="15.75" customHeight="1">
      <c r="A348" s="7"/>
      <c r="B348" s="7"/>
      <c r="C348" s="32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32"/>
      <c r="BT348" s="57"/>
      <c r="BU348" s="6"/>
      <c r="BV348" s="6"/>
      <c r="BW348" s="6"/>
      <c r="BX348" s="6"/>
      <c r="BY348" s="6"/>
      <c r="BZ348" s="6"/>
      <c r="CA348" s="6"/>
      <c r="CB348" s="6"/>
      <c r="CC348" s="6"/>
      <c r="CD348" s="32"/>
      <c r="CE348" s="32"/>
      <c r="CF348" s="57"/>
      <c r="CG348" s="28"/>
      <c r="CH348" s="28"/>
      <c r="CI348" s="28"/>
      <c r="CJ348" s="28"/>
      <c r="CL348" s="29"/>
      <c r="CM348" s="29"/>
      <c r="CN348" s="29"/>
      <c r="CO348" s="29"/>
      <c r="CP348" s="29"/>
      <c r="CQ348" s="29"/>
      <c r="CR348" s="13"/>
      <c r="CS348" s="7"/>
      <c r="CT348" s="7"/>
      <c r="CU348" s="7"/>
      <c r="CV348" s="7"/>
      <c r="CW348" s="7"/>
      <c r="EP348" s="17"/>
      <c r="EQ348" s="17"/>
      <c r="ER348" s="17"/>
      <c r="ES348" s="15"/>
      <c r="ET348" s="15"/>
    </row>
    <row r="349" spans="1:150" ht="15.75" customHeight="1">
      <c r="A349" s="7"/>
      <c r="B349" s="7"/>
      <c r="C349" s="32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32"/>
      <c r="BT349" s="57"/>
      <c r="BU349" s="6"/>
      <c r="BV349" s="6"/>
      <c r="BW349" s="6"/>
      <c r="BX349" s="6"/>
      <c r="BY349" s="6"/>
      <c r="BZ349" s="6"/>
      <c r="CA349" s="6"/>
      <c r="CB349" s="6"/>
      <c r="CC349" s="6"/>
      <c r="CD349" s="32"/>
      <c r="CE349" s="32"/>
      <c r="CF349" s="57"/>
      <c r="CG349" s="28"/>
      <c r="CH349" s="28"/>
      <c r="CI349" s="28"/>
      <c r="CJ349" s="28"/>
      <c r="CL349" s="29"/>
      <c r="CM349" s="29"/>
      <c r="CN349" s="29"/>
      <c r="CO349" s="29"/>
      <c r="CP349" s="29"/>
      <c r="CQ349" s="29"/>
      <c r="CR349" s="13"/>
      <c r="CS349" s="7"/>
      <c r="CT349" s="7"/>
      <c r="CU349" s="7"/>
      <c r="CV349" s="7"/>
      <c r="CW349" s="7"/>
      <c r="EP349" s="17"/>
      <c r="EQ349" s="17"/>
      <c r="ER349" s="17"/>
      <c r="ES349" s="15"/>
      <c r="ET349" s="15"/>
    </row>
    <row r="350" spans="1:150" ht="15.75" customHeight="1">
      <c r="A350" s="7"/>
      <c r="B350" s="7"/>
      <c r="C350" s="32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32"/>
      <c r="BT350" s="57"/>
      <c r="BU350" s="6"/>
      <c r="BV350" s="6"/>
      <c r="BW350" s="6"/>
      <c r="BX350" s="6"/>
      <c r="BY350" s="6"/>
      <c r="BZ350" s="6"/>
      <c r="CA350" s="6"/>
      <c r="CB350" s="6"/>
      <c r="CC350" s="6"/>
      <c r="CD350" s="32"/>
      <c r="CE350" s="32"/>
      <c r="CF350" s="57"/>
      <c r="CG350" s="28"/>
      <c r="CH350" s="28"/>
      <c r="CI350" s="28"/>
      <c r="CJ350" s="28"/>
      <c r="CL350" s="29"/>
      <c r="CM350" s="29"/>
      <c r="CN350" s="29"/>
      <c r="CO350" s="29"/>
      <c r="CP350" s="29"/>
      <c r="CQ350" s="29"/>
      <c r="CR350" s="13"/>
      <c r="CS350" s="7"/>
      <c r="CT350" s="7"/>
      <c r="CU350" s="7"/>
      <c r="CV350" s="7"/>
      <c r="CW350" s="7"/>
      <c r="EP350" s="17"/>
      <c r="EQ350" s="17"/>
      <c r="ER350" s="17"/>
      <c r="ES350" s="15"/>
      <c r="ET350" s="15"/>
    </row>
    <row r="351" spans="1:150" ht="15.75" customHeight="1">
      <c r="A351" s="7"/>
      <c r="B351" s="7"/>
      <c r="C351" s="32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32"/>
      <c r="BT351" s="57"/>
      <c r="BU351" s="6"/>
      <c r="BV351" s="6"/>
      <c r="BW351" s="6"/>
      <c r="BX351" s="6"/>
      <c r="BY351" s="6"/>
      <c r="BZ351" s="6"/>
      <c r="CA351" s="6"/>
      <c r="CB351" s="6"/>
      <c r="CC351" s="6"/>
      <c r="CD351" s="32"/>
      <c r="CE351" s="32"/>
      <c r="CF351" s="57"/>
      <c r="CG351" s="28"/>
      <c r="CH351" s="28"/>
      <c r="CI351" s="28"/>
      <c r="CJ351" s="28"/>
      <c r="CL351" s="29"/>
      <c r="CM351" s="29"/>
      <c r="CN351" s="29"/>
      <c r="CO351" s="29"/>
      <c r="CP351" s="29"/>
      <c r="CQ351" s="29"/>
      <c r="CR351" s="13"/>
      <c r="CS351" s="7"/>
      <c r="CT351" s="7"/>
      <c r="CU351" s="7"/>
      <c r="CV351" s="7"/>
      <c r="CW351" s="7"/>
      <c r="EP351" s="17"/>
      <c r="EQ351" s="17"/>
      <c r="ER351" s="17"/>
      <c r="ES351" s="15"/>
      <c r="ET351" s="15"/>
    </row>
    <row r="352" spans="1:150" ht="15.75" customHeight="1">
      <c r="A352" s="7"/>
      <c r="B352" s="7"/>
      <c r="C352" s="32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32"/>
      <c r="BT352" s="57"/>
      <c r="BU352" s="6"/>
      <c r="BV352" s="6"/>
      <c r="BW352" s="6"/>
      <c r="BX352" s="6"/>
      <c r="BY352" s="6"/>
      <c r="BZ352" s="6"/>
      <c r="CA352" s="6"/>
      <c r="CB352" s="6"/>
      <c r="CC352" s="6"/>
      <c r="CD352" s="32"/>
      <c r="CE352" s="32"/>
      <c r="CF352" s="57"/>
      <c r="CG352" s="28"/>
      <c r="CH352" s="28"/>
      <c r="CI352" s="28"/>
      <c r="CJ352" s="28"/>
      <c r="CL352" s="29"/>
      <c r="CM352" s="29"/>
      <c r="CN352" s="29"/>
      <c r="CO352" s="29"/>
      <c r="CP352" s="29"/>
      <c r="CQ352" s="29"/>
      <c r="CR352" s="13"/>
      <c r="CS352" s="7"/>
      <c r="CT352" s="7"/>
      <c r="CU352" s="7"/>
      <c r="CV352" s="7"/>
      <c r="CW352" s="7"/>
      <c r="EP352" s="17"/>
      <c r="EQ352" s="17"/>
      <c r="ER352" s="17"/>
      <c r="ES352" s="15"/>
      <c r="ET352" s="15"/>
    </row>
    <row r="353" spans="1:150" ht="15.75" customHeight="1">
      <c r="A353" s="7"/>
      <c r="B353" s="7"/>
      <c r="C353" s="32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32"/>
      <c r="BT353" s="57"/>
      <c r="BU353" s="6"/>
      <c r="BV353" s="6"/>
      <c r="BW353" s="6"/>
      <c r="BX353" s="6"/>
      <c r="BY353" s="6"/>
      <c r="BZ353" s="6"/>
      <c r="CA353" s="6"/>
      <c r="CB353" s="6"/>
      <c r="CC353" s="6"/>
      <c r="CD353" s="32"/>
      <c r="CE353" s="32"/>
      <c r="CF353" s="57"/>
      <c r="CG353" s="28"/>
      <c r="CH353" s="28"/>
      <c r="CI353" s="28"/>
      <c r="CJ353" s="28"/>
      <c r="CL353" s="29"/>
      <c r="CM353" s="29"/>
      <c r="CN353" s="29"/>
      <c r="CO353" s="29"/>
      <c r="CP353" s="29"/>
      <c r="CQ353" s="29"/>
      <c r="CR353" s="13"/>
      <c r="CS353" s="7"/>
      <c r="CT353" s="7"/>
      <c r="CU353" s="7"/>
      <c r="CV353" s="7"/>
      <c r="CW353" s="7"/>
      <c r="EP353" s="17"/>
      <c r="EQ353" s="17"/>
      <c r="ER353" s="17"/>
      <c r="ES353" s="15"/>
      <c r="ET353" s="15"/>
    </row>
    <row r="354" spans="1:150" ht="15.75" customHeight="1">
      <c r="A354" s="7"/>
      <c r="B354" s="7"/>
      <c r="C354" s="32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32"/>
      <c r="BT354" s="57"/>
      <c r="BU354" s="6"/>
      <c r="BV354" s="6"/>
      <c r="BW354" s="6"/>
      <c r="BX354" s="6"/>
      <c r="BY354" s="6"/>
      <c r="BZ354" s="6"/>
      <c r="CA354" s="6"/>
      <c r="CB354" s="6"/>
      <c r="CC354" s="6"/>
      <c r="CD354" s="32"/>
      <c r="CE354" s="32"/>
      <c r="CF354" s="57"/>
      <c r="CG354" s="28"/>
      <c r="CH354" s="28"/>
      <c r="CI354" s="28"/>
      <c r="CJ354" s="28"/>
      <c r="CL354" s="29"/>
      <c r="CM354" s="29"/>
      <c r="CN354" s="29"/>
      <c r="CO354" s="29"/>
      <c r="CP354" s="29"/>
      <c r="CQ354" s="29"/>
      <c r="CR354" s="13"/>
      <c r="CS354" s="7"/>
      <c r="CT354" s="7"/>
      <c r="CU354" s="7"/>
      <c r="CV354" s="7"/>
      <c r="CW354" s="7"/>
      <c r="EP354" s="17"/>
      <c r="EQ354" s="17"/>
      <c r="ER354" s="17"/>
      <c r="ES354" s="15"/>
      <c r="ET354" s="15"/>
    </row>
    <row r="355" spans="1:150" ht="15.75" customHeight="1">
      <c r="A355" s="7"/>
      <c r="B355" s="7"/>
      <c r="C355" s="32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32"/>
      <c r="BT355" s="57"/>
      <c r="BU355" s="6"/>
      <c r="BV355" s="6"/>
      <c r="BW355" s="6"/>
      <c r="BX355" s="6"/>
      <c r="BY355" s="6"/>
      <c r="BZ355" s="6"/>
      <c r="CA355" s="6"/>
      <c r="CB355" s="6"/>
      <c r="CC355" s="6"/>
      <c r="CD355" s="32"/>
      <c r="CE355" s="32"/>
      <c r="CF355" s="57"/>
      <c r="CG355" s="28"/>
      <c r="CH355" s="28"/>
      <c r="CI355" s="28"/>
      <c r="CJ355" s="28"/>
      <c r="CL355" s="29"/>
      <c r="CM355" s="29"/>
      <c r="CN355" s="29"/>
      <c r="CO355" s="29"/>
      <c r="CP355" s="29"/>
      <c r="CQ355" s="29"/>
      <c r="CR355" s="13"/>
      <c r="CS355" s="7"/>
      <c r="CT355" s="7"/>
      <c r="CU355" s="7"/>
      <c r="CV355" s="7"/>
      <c r="CW355" s="7"/>
      <c r="EP355" s="17"/>
      <c r="EQ355" s="17"/>
      <c r="ER355" s="17"/>
      <c r="ES355" s="15"/>
      <c r="ET355" s="15"/>
    </row>
    <row r="356" spans="1:150" ht="15.75" customHeight="1">
      <c r="A356" s="7"/>
      <c r="B356" s="7"/>
      <c r="C356" s="32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32"/>
      <c r="BT356" s="57"/>
      <c r="BU356" s="6"/>
      <c r="BV356" s="6"/>
      <c r="BW356" s="6"/>
      <c r="BX356" s="6"/>
      <c r="BY356" s="6"/>
      <c r="BZ356" s="6"/>
      <c r="CA356" s="6"/>
      <c r="CB356" s="6"/>
      <c r="CC356" s="6"/>
      <c r="CD356" s="32"/>
      <c r="CE356" s="32"/>
      <c r="CF356" s="57"/>
      <c r="CG356" s="28"/>
      <c r="CH356" s="28"/>
      <c r="CI356" s="28"/>
      <c r="CJ356" s="28"/>
      <c r="CL356" s="29"/>
      <c r="CM356" s="29"/>
      <c r="CN356" s="29"/>
      <c r="CO356" s="29"/>
      <c r="CP356" s="29"/>
      <c r="CQ356" s="29"/>
      <c r="CR356" s="13"/>
      <c r="CS356" s="7"/>
      <c r="CT356" s="7"/>
      <c r="CU356" s="7"/>
      <c r="CV356" s="7"/>
      <c r="CW356" s="7"/>
      <c r="EP356" s="17"/>
      <c r="EQ356" s="17"/>
      <c r="ER356" s="17"/>
      <c r="ES356" s="15"/>
      <c r="ET356" s="15"/>
    </row>
    <row r="357" spans="1:150" ht="15.75" customHeight="1">
      <c r="A357" s="7"/>
      <c r="B357" s="7"/>
      <c r="C357" s="32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32"/>
      <c r="BT357" s="57"/>
      <c r="BU357" s="6"/>
      <c r="BV357" s="6"/>
      <c r="BW357" s="6"/>
      <c r="BX357" s="6"/>
      <c r="BY357" s="6"/>
      <c r="BZ357" s="6"/>
      <c r="CA357" s="6"/>
      <c r="CB357" s="6"/>
      <c r="CC357" s="6"/>
      <c r="CD357" s="32"/>
      <c r="CE357" s="32"/>
      <c r="CF357" s="57"/>
      <c r="CG357" s="28"/>
      <c r="CH357" s="28"/>
      <c r="CI357" s="28"/>
      <c r="CJ357" s="28"/>
      <c r="CL357" s="29"/>
      <c r="CM357" s="29"/>
      <c r="CN357" s="29"/>
      <c r="CO357" s="29"/>
      <c r="CP357" s="29"/>
      <c r="CQ357" s="29"/>
      <c r="CR357" s="13"/>
      <c r="CS357" s="7"/>
      <c r="CT357" s="7"/>
      <c r="CU357" s="7"/>
      <c r="CV357" s="7"/>
      <c r="CW357" s="7"/>
      <c r="EP357" s="17"/>
      <c r="EQ357" s="17"/>
      <c r="ER357" s="17"/>
      <c r="ES357" s="15"/>
      <c r="ET357" s="15"/>
    </row>
    <row r="358" spans="1:150" ht="15.75" customHeight="1">
      <c r="A358" s="7"/>
      <c r="B358" s="7"/>
      <c r="C358" s="32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32"/>
      <c r="BT358" s="57"/>
      <c r="BU358" s="6"/>
      <c r="BV358" s="6"/>
      <c r="BW358" s="6"/>
      <c r="BX358" s="6"/>
      <c r="BY358" s="6"/>
      <c r="BZ358" s="6"/>
      <c r="CA358" s="6"/>
      <c r="CB358" s="6"/>
      <c r="CC358" s="6"/>
      <c r="CD358" s="32"/>
      <c r="CE358" s="32"/>
      <c r="CF358" s="57"/>
      <c r="CG358" s="28"/>
      <c r="CH358" s="28"/>
      <c r="CI358" s="28"/>
      <c r="CJ358" s="28"/>
      <c r="CL358" s="29"/>
      <c r="CM358" s="29"/>
      <c r="CN358" s="29"/>
      <c r="CO358" s="29"/>
      <c r="CP358" s="29"/>
      <c r="CQ358" s="29"/>
      <c r="CR358" s="13"/>
      <c r="CS358" s="7"/>
      <c r="CT358" s="7"/>
      <c r="CU358" s="7"/>
      <c r="CV358" s="7"/>
      <c r="CW358" s="7"/>
      <c r="EP358" s="17"/>
      <c r="EQ358" s="17"/>
      <c r="ER358" s="17"/>
      <c r="ES358" s="15"/>
      <c r="ET358" s="15"/>
    </row>
    <row r="359" spans="1:150" ht="15.75" customHeight="1">
      <c r="A359" s="7"/>
      <c r="B359" s="7"/>
      <c r="C359" s="32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32"/>
      <c r="BT359" s="57"/>
      <c r="BU359" s="6"/>
      <c r="BV359" s="6"/>
      <c r="BW359" s="6"/>
      <c r="BX359" s="6"/>
      <c r="BY359" s="6"/>
      <c r="BZ359" s="6"/>
      <c r="CA359" s="6"/>
      <c r="CB359" s="6"/>
      <c r="CC359" s="6"/>
      <c r="CD359" s="32"/>
      <c r="CE359" s="32"/>
      <c r="CF359" s="57"/>
      <c r="CG359" s="28"/>
      <c r="CH359" s="28"/>
      <c r="CI359" s="28"/>
      <c r="CJ359" s="28"/>
      <c r="CL359" s="29"/>
      <c r="CM359" s="29"/>
      <c r="CN359" s="29"/>
      <c r="CO359" s="29"/>
      <c r="CP359" s="29"/>
      <c r="CQ359" s="29"/>
      <c r="CR359" s="13"/>
      <c r="CS359" s="7"/>
      <c r="CT359" s="7"/>
      <c r="CU359" s="7"/>
      <c r="CV359" s="7"/>
      <c r="CW359" s="7"/>
      <c r="EP359" s="17"/>
      <c r="EQ359" s="17"/>
      <c r="ER359" s="17"/>
      <c r="ES359" s="15"/>
      <c r="ET359" s="15"/>
    </row>
    <row r="360" spans="1:150" ht="15.75" customHeight="1">
      <c r="A360" s="7"/>
      <c r="B360" s="7"/>
      <c r="C360" s="32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32"/>
      <c r="BT360" s="57"/>
      <c r="BU360" s="6"/>
      <c r="BV360" s="6"/>
      <c r="BW360" s="6"/>
      <c r="BX360" s="6"/>
      <c r="BY360" s="6"/>
      <c r="BZ360" s="6"/>
      <c r="CA360" s="6"/>
      <c r="CB360" s="6"/>
      <c r="CC360" s="6"/>
      <c r="CD360" s="32"/>
      <c r="CE360" s="32"/>
      <c r="CF360" s="57"/>
      <c r="CG360" s="28"/>
      <c r="CH360" s="28"/>
      <c r="CI360" s="28"/>
      <c r="CJ360" s="28"/>
      <c r="CL360" s="29"/>
      <c r="CM360" s="29"/>
      <c r="CN360" s="29"/>
      <c r="CO360" s="29"/>
      <c r="CP360" s="29"/>
      <c r="CQ360" s="29"/>
      <c r="CR360" s="13"/>
      <c r="CS360" s="7"/>
      <c r="CT360" s="7"/>
      <c r="CU360" s="7"/>
      <c r="CV360" s="7"/>
      <c r="CW360" s="7"/>
      <c r="EP360" s="17"/>
      <c r="EQ360" s="17"/>
      <c r="ER360" s="17"/>
      <c r="ES360" s="15"/>
      <c r="ET360" s="15"/>
    </row>
    <row r="361" spans="1:150" ht="15.75" customHeight="1">
      <c r="A361" s="7"/>
      <c r="B361" s="7"/>
      <c r="C361" s="32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32"/>
      <c r="BT361" s="57"/>
      <c r="BU361" s="6"/>
      <c r="BV361" s="6"/>
      <c r="BW361" s="6"/>
      <c r="BX361" s="6"/>
      <c r="BY361" s="6"/>
      <c r="BZ361" s="6"/>
      <c r="CA361" s="6"/>
      <c r="CB361" s="6"/>
      <c r="CC361" s="6"/>
      <c r="CD361" s="32"/>
      <c r="CE361" s="32"/>
      <c r="CF361" s="57"/>
      <c r="CG361" s="28"/>
      <c r="CH361" s="28"/>
      <c r="CI361" s="28"/>
      <c r="CJ361" s="28"/>
      <c r="CL361" s="29"/>
      <c r="CM361" s="29"/>
      <c r="CN361" s="29"/>
      <c r="CO361" s="29"/>
      <c r="CP361" s="29"/>
      <c r="CQ361" s="29"/>
      <c r="CR361" s="13"/>
      <c r="CS361" s="7"/>
      <c r="CT361" s="7"/>
      <c r="CU361" s="7"/>
      <c r="CV361" s="7"/>
      <c r="CW361" s="7"/>
      <c r="EP361" s="17"/>
      <c r="EQ361" s="17"/>
      <c r="ER361" s="17"/>
      <c r="ES361" s="15"/>
      <c r="ET361" s="15"/>
    </row>
    <row r="362" spans="1:150" ht="15.75" customHeight="1">
      <c r="A362" s="7"/>
      <c r="B362" s="7"/>
      <c r="C362" s="32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32"/>
      <c r="BT362" s="57"/>
      <c r="BU362" s="6"/>
      <c r="BV362" s="6"/>
      <c r="BW362" s="6"/>
      <c r="BX362" s="6"/>
      <c r="BY362" s="6"/>
      <c r="BZ362" s="6"/>
      <c r="CA362" s="6"/>
      <c r="CB362" s="6"/>
      <c r="CC362" s="6"/>
      <c r="CD362" s="32"/>
      <c r="CE362" s="32"/>
      <c r="CF362" s="57"/>
      <c r="CG362" s="28"/>
      <c r="CH362" s="28"/>
      <c r="CI362" s="28"/>
      <c r="CJ362" s="28"/>
      <c r="CL362" s="29"/>
      <c r="CM362" s="29"/>
      <c r="CN362" s="29"/>
      <c r="CO362" s="29"/>
      <c r="CP362" s="29"/>
      <c r="CQ362" s="29"/>
      <c r="CR362" s="13"/>
      <c r="CS362" s="7"/>
      <c r="CT362" s="7"/>
      <c r="CU362" s="7"/>
      <c r="CV362" s="7"/>
      <c r="CW362" s="7"/>
      <c r="EP362" s="17"/>
      <c r="EQ362" s="17"/>
      <c r="ER362" s="17"/>
      <c r="ES362" s="15"/>
      <c r="ET362" s="15"/>
    </row>
    <row r="363" spans="1:150" ht="15.75" customHeight="1">
      <c r="A363" s="7"/>
      <c r="B363" s="7"/>
      <c r="C363" s="32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32"/>
      <c r="BT363" s="57"/>
      <c r="BU363" s="6"/>
      <c r="BV363" s="6"/>
      <c r="BW363" s="6"/>
      <c r="BX363" s="6"/>
      <c r="BY363" s="6"/>
      <c r="BZ363" s="6"/>
      <c r="CA363" s="6"/>
      <c r="CB363" s="6"/>
      <c r="CC363" s="6"/>
      <c r="CD363" s="32"/>
      <c r="CE363" s="32"/>
      <c r="CF363" s="57"/>
      <c r="CG363" s="28"/>
      <c r="CH363" s="28"/>
      <c r="CI363" s="28"/>
      <c r="CJ363" s="28"/>
      <c r="CL363" s="29"/>
      <c r="CM363" s="29"/>
      <c r="CN363" s="29"/>
      <c r="CO363" s="29"/>
      <c r="CP363" s="29"/>
      <c r="CQ363" s="29"/>
      <c r="CR363" s="13"/>
      <c r="CS363" s="7"/>
      <c r="CT363" s="7"/>
      <c r="CU363" s="7"/>
      <c r="CV363" s="7"/>
      <c r="CW363" s="7"/>
      <c r="EP363" s="17"/>
      <c r="EQ363" s="17"/>
      <c r="ER363" s="17"/>
      <c r="ES363" s="15"/>
      <c r="ET363" s="15"/>
    </row>
    <row r="364" spans="1:150" ht="15.75" customHeight="1">
      <c r="A364" s="7"/>
      <c r="B364" s="7"/>
      <c r="C364" s="32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32"/>
      <c r="BT364" s="57"/>
      <c r="BU364" s="6"/>
      <c r="BV364" s="6"/>
      <c r="BW364" s="6"/>
      <c r="BX364" s="6"/>
      <c r="BY364" s="6"/>
      <c r="BZ364" s="6"/>
      <c r="CA364" s="6"/>
      <c r="CB364" s="6"/>
      <c r="CC364" s="6"/>
      <c r="CD364" s="32"/>
      <c r="CE364" s="32"/>
      <c r="CF364" s="57"/>
      <c r="CG364" s="28"/>
      <c r="CH364" s="28"/>
      <c r="CI364" s="28"/>
      <c r="CJ364" s="28"/>
      <c r="CL364" s="29"/>
      <c r="CM364" s="29"/>
      <c r="CN364" s="29"/>
      <c r="CO364" s="29"/>
      <c r="CP364" s="29"/>
      <c r="CQ364" s="29"/>
      <c r="CR364" s="13"/>
      <c r="CS364" s="7"/>
      <c r="CT364" s="7"/>
      <c r="CU364" s="7"/>
      <c r="CV364" s="7"/>
      <c r="CW364" s="7"/>
      <c r="EP364" s="17"/>
      <c r="EQ364" s="17"/>
      <c r="ER364" s="17"/>
      <c r="ES364" s="15"/>
      <c r="ET364" s="15"/>
    </row>
    <row r="365" spans="1:150" ht="15.75" customHeight="1">
      <c r="A365" s="7"/>
      <c r="B365" s="7"/>
      <c r="C365" s="32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32"/>
      <c r="BT365" s="57"/>
      <c r="BU365" s="6"/>
      <c r="BV365" s="6"/>
      <c r="BW365" s="6"/>
      <c r="BX365" s="6"/>
      <c r="BY365" s="6"/>
      <c r="BZ365" s="6"/>
      <c r="CA365" s="6"/>
      <c r="CB365" s="6"/>
      <c r="CC365" s="6"/>
      <c r="CD365" s="32"/>
      <c r="CE365" s="32"/>
      <c r="CF365" s="57"/>
      <c r="CG365" s="28"/>
      <c r="CH365" s="28"/>
      <c r="CI365" s="28"/>
      <c r="CJ365" s="28"/>
      <c r="CL365" s="29"/>
      <c r="CM365" s="29"/>
      <c r="CN365" s="29"/>
      <c r="CO365" s="29"/>
      <c r="CP365" s="29"/>
      <c r="CQ365" s="29"/>
      <c r="CR365" s="13"/>
      <c r="CS365" s="7"/>
      <c r="CT365" s="7"/>
      <c r="CU365" s="7"/>
      <c r="CV365" s="7"/>
      <c r="CW365" s="7"/>
      <c r="EP365" s="17"/>
      <c r="EQ365" s="17"/>
      <c r="ER365" s="17"/>
      <c r="ES365" s="15"/>
      <c r="ET365" s="15"/>
    </row>
    <row r="366" spans="1:150" ht="15.75" customHeight="1">
      <c r="A366" s="7"/>
      <c r="B366" s="7"/>
      <c r="C366" s="32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32"/>
      <c r="BT366" s="57"/>
      <c r="BU366" s="6"/>
      <c r="BV366" s="6"/>
      <c r="BW366" s="6"/>
      <c r="BX366" s="6"/>
      <c r="BY366" s="6"/>
      <c r="BZ366" s="6"/>
      <c r="CA366" s="6"/>
      <c r="CB366" s="6"/>
      <c r="CC366" s="6"/>
      <c r="CD366" s="32"/>
      <c r="CE366" s="32"/>
      <c r="CF366" s="57"/>
      <c r="CG366" s="28"/>
      <c r="CH366" s="28"/>
      <c r="CI366" s="28"/>
      <c r="CJ366" s="28"/>
      <c r="CL366" s="29"/>
      <c r="CM366" s="29"/>
      <c r="CN366" s="29"/>
      <c r="CO366" s="29"/>
      <c r="CP366" s="29"/>
      <c r="CQ366" s="29"/>
      <c r="CR366" s="13"/>
      <c r="CS366" s="7"/>
      <c r="CT366" s="7"/>
      <c r="CU366" s="7"/>
      <c r="CV366" s="7"/>
      <c r="CW366" s="7"/>
      <c r="EP366" s="17"/>
      <c r="EQ366" s="17"/>
      <c r="ER366" s="17"/>
      <c r="ES366" s="15"/>
      <c r="ET366" s="15"/>
    </row>
    <row r="367" spans="1:150" ht="15.75" customHeight="1">
      <c r="A367" s="7"/>
      <c r="B367" s="7"/>
      <c r="C367" s="32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32"/>
      <c r="BT367" s="57"/>
      <c r="BU367" s="6"/>
      <c r="BV367" s="6"/>
      <c r="BW367" s="6"/>
      <c r="BX367" s="6"/>
      <c r="BY367" s="6"/>
      <c r="BZ367" s="6"/>
      <c r="CA367" s="6"/>
      <c r="CB367" s="6"/>
      <c r="CC367" s="6"/>
      <c r="CD367" s="32"/>
      <c r="CE367" s="32"/>
      <c r="CF367" s="57"/>
      <c r="CG367" s="28"/>
      <c r="CH367" s="28"/>
      <c r="CI367" s="28"/>
      <c r="CJ367" s="28"/>
      <c r="CL367" s="29"/>
      <c r="CM367" s="29"/>
      <c r="CN367" s="29"/>
      <c r="CO367" s="29"/>
      <c r="CP367" s="29"/>
      <c r="CQ367" s="29"/>
      <c r="CR367" s="13"/>
      <c r="CS367" s="7"/>
      <c r="CT367" s="7"/>
      <c r="CU367" s="7"/>
      <c r="CV367" s="7"/>
      <c r="CW367" s="7"/>
      <c r="EP367" s="17"/>
      <c r="EQ367" s="17"/>
      <c r="ER367" s="17"/>
      <c r="ES367" s="15"/>
      <c r="ET367" s="15"/>
    </row>
    <row r="368" spans="1:150" ht="15.75" customHeight="1">
      <c r="A368" s="7"/>
      <c r="B368" s="7"/>
      <c r="C368" s="32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32"/>
      <c r="BT368" s="57"/>
      <c r="BU368" s="6"/>
      <c r="BV368" s="6"/>
      <c r="BW368" s="6"/>
      <c r="BX368" s="6"/>
      <c r="BY368" s="6"/>
      <c r="BZ368" s="6"/>
      <c r="CA368" s="6"/>
      <c r="CB368" s="6"/>
      <c r="CC368" s="6"/>
      <c r="CD368" s="32"/>
      <c r="CE368" s="32"/>
      <c r="CF368" s="57"/>
      <c r="CG368" s="28"/>
      <c r="CH368" s="28"/>
      <c r="CI368" s="28"/>
      <c r="CJ368" s="28"/>
      <c r="CL368" s="29"/>
      <c r="CM368" s="29"/>
      <c r="CN368" s="29"/>
      <c r="CO368" s="29"/>
      <c r="CP368" s="29"/>
      <c r="CQ368" s="29"/>
      <c r="CR368" s="13"/>
      <c r="CS368" s="7"/>
      <c r="CT368" s="7"/>
      <c r="CU368" s="7"/>
      <c r="CV368" s="7"/>
      <c r="CW368" s="7"/>
      <c r="EP368" s="17"/>
      <c r="EQ368" s="17"/>
      <c r="ER368" s="17"/>
      <c r="ES368" s="15"/>
      <c r="ET368" s="15"/>
    </row>
    <row r="369" spans="1:150" ht="15.75" customHeight="1">
      <c r="A369" s="7"/>
      <c r="B369" s="7"/>
      <c r="C369" s="32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32"/>
      <c r="BT369" s="57"/>
      <c r="BU369" s="6"/>
      <c r="BV369" s="6"/>
      <c r="BW369" s="6"/>
      <c r="BX369" s="6"/>
      <c r="BY369" s="6"/>
      <c r="BZ369" s="6"/>
      <c r="CA369" s="6"/>
      <c r="CB369" s="6"/>
      <c r="CC369" s="6"/>
      <c r="CD369" s="32"/>
      <c r="CE369" s="32"/>
      <c r="CF369" s="57"/>
      <c r="CG369" s="28"/>
      <c r="CH369" s="28"/>
      <c r="CI369" s="28"/>
      <c r="CJ369" s="28"/>
      <c r="CL369" s="29"/>
      <c r="CM369" s="29"/>
      <c r="CN369" s="29"/>
      <c r="CO369" s="29"/>
      <c r="CP369" s="29"/>
      <c r="CQ369" s="29"/>
      <c r="CR369" s="13"/>
      <c r="CS369" s="7"/>
      <c r="CT369" s="7"/>
      <c r="CU369" s="7"/>
      <c r="CV369" s="7"/>
      <c r="CW369" s="7"/>
      <c r="EP369" s="17"/>
      <c r="EQ369" s="17"/>
      <c r="ER369" s="17"/>
      <c r="ES369" s="15"/>
      <c r="ET369" s="15"/>
    </row>
    <row r="370" spans="1:150" ht="15.75" customHeight="1">
      <c r="A370" s="7"/>
      <c r="B370" s="7"/>
      <c r="C370" s="32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32"/>
      <c r="BT370" s="57"/>
      <c r="BU370" s="6"/>
      <c r="BV370" s="6"/>
      <c r="BW370" s="6"/>
      <c r="BX370" s="6"/>
      <c r="BY370" s="6"/>
      <c r="BZ370" s="6"/>
      <c r="CA370" s="6"/>
      <c r="CB370" s="6"/>
      <c r="CC370" s="6"/>
      <c r="CD370" s="32"/>
      <c r="CE370" s="32"/>
      <c r="CF370" s="57"/>
      <c r="CG370" s="28"/>
      <c r="CH370" s="28"/>
      <c r="CI370" s="28"/>
      <c r="CJ370" s="28"/>
      <c r="CL370" s="29"/>
      <c r="CM370" s="29"/>
      <c r="CN370" s="29"/>
      <c r="CO370" s="29"/>
      <c r="CP370" s="29"/>
      <c r="CQ370" s="29"/>
      <c r="CR370" s="13"/>
      <c r="CS370" s="7"/>
      <c r="CT370" s="7"/>
      <c r="CU370" s="7"/>
      <c r="CV370" s="7"/>
      <c r="CW370" s="7"/>
      <c r="EP370" s="17"/>
      <c r="EQ370" s="17"/>
      <c r="ER370" s="17"/>
      <c r="ES370" s="15"/>
      <c r="ET370" s="15"/>
    </row>
    <row r="371" spans="1:150" ht="15.75" customHeight="1">
      <c r="A371" s="7"/>
      <c r="B371" s="7"/>
      <c r="C371" s="32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32"/>
      <c r="BT371" s="57"/>
      <c r="BU371" s="6"/>
      <c r="BV371" s="6"/>
      <c r="BW371" s="6"/>
      <c r="BX371" s="6"/>
      <c r="BY371" s="6"/>
      <c r="BZ371" s="6"/>
      <c r="CA371" s="6"/>
      <c r="CB371" s="6"/>
      <c r="CC371" s="6"/>
      <c r="CD371" s="32"/>
      <c r="CE371" s="32"/>
      <c r="CF371" s="57"/>
      <c r="CG371" s="28"/>
      <c r="CH371" s="28"/>
      <c r="CI371" s="28"/>
      <c r="CJ371" s="28"/>
      <c r="CL371" s="29"/>
      <c r="CM371" s="29"/>
      <c r="CN371" s="29"/>
      <c r="CO371" s="29"/>
      <c r="CP371" s="29"/>
      <c r="CQ371" s="29"/>
      <c r="CR371" s="13"/>
      <c r="CS371" s="7"/>
      <c r="CT371" s="7"/>
      <c r="CU371" s="7"/>
      <c r="CV371" s="7"/>
      <c r="CW371" s="7"/>
      <c r="EP371" s="17"/>
      <c r="EQ371" s="17"/>
      <c r="ER371" s="17"/>
      <c r="ES371" s="15"/>
      <c r="ET371" s="15"/>
    </row>
    <row r="372" spans="1:150" ht="15.75" customHeight="1">
      <c r="A372" s="7"/>
      <c r="B372" s="7"/>
      <c r="C372" s="32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32"/>
      <c r="BT372" s="57"/>
      <c r="BU372" s="6"/>
      <c r="BV372" s="6"/>
      <c r="BW372" s="6"/>
      <c r="BX372" s="6"/>
      <c r="BY372" s="6"/>
      <c r="BZ372" s="6"/>
      <c r="CA372" s="6"/>
      <c r="CB372" s="6"/>
      <c r="CC372" s="6"/>
      <c r="CD372" s="32"/>
      <c r="CE372" s="32"/>
      <c r="CF372" s="57"/>
      <c r="CG372" s="28"/>
      <c r="CH372" s="28"/>
      <c r="CI372" s="28"/>
      <c r="CJ372" s="28"/>
      <c r="CL372" s="29"/>
      <c r="CM372" s="29"/>
      <c r="CN372" s="29"/>
      <c r="CO372" s="29"/>
      <c r="CP372" s="29"/>
      <c r="CQ372" s="29"/>
      <c r="CR372" s="13"/>
      <c r="CS372" s="7"/>
      <c r="CT372" s="7"/>
      <c r="CU372" s="7"/>
      <c r="CV372" s="7"/>
      <c r="CW372" s="7"/>
      <c r="EP372" s="17"/>
      <c r="EQ372" s="17"/>
      <c r="ER372" s="17"/>
      <c r="ES372" s="15"/>
      <c r="ET372" s="15"/>
    </row>
    <row r="373" spans="1:150" ht="15.75" customHeight="1">
      <c r="A373" s="7"/>
      <c r="B373" s="7"/>
      <c r="C373" s="32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32"/>
      <c r="BT373" s="57"/>
      <c r="BU373" s="6"/>
      <c r="BV373" s="6"/>
      <c r="BW373" s="6"/>
      <c r="BX373" s="6"/>
      <c r="BY373" s="6"/>
      <c r="BZ373" s="6"/>
      <c r="CA373" s="6"/>
      <c r="CB373" s="6"/>
      <c r="CC373" s="6"/>
      <c r="CD373" s="32"/>
      <c r="CE373" s="32"/>
      <c r="CF373" s="57"/>
      <c r="CG373" s="28"/>
      <c r="CH373" s="28"/>
      <c r="CI373" s="28"/>
      <c r="CJ373" s="28"/>
      <c r="CL373" s="29"/>
      <c r="CM373" s="29"/>
      <c r="CN373" s="29"/>
      <c r="CO373" s="29"/>
      <c r="CP373" s="29"/>
      <c r="CQ373" s="29"/>
      <c r="CR373" s="13"/>
      <c r="CS373" s="7"/>
      <c r="CT373" s="7"/>
      <c r="CU373" s="7"/>
      <c r="CV373" s="7"/>
      <c r="CW373" s="7"/>
      <c r="EP373" s="17"/>
      <c r="EQ373" s="17"/>
      <c r="ER373" s="17"/>
      <c r="ES373" s="15"/>
      <c r="ET373" s="15"/>
    </row>
    <row r="374" spans="1:150" ht="15.75" customHeight="1">
      <c r="A374" s="7"/>
      <c r="B374" s="7"/>
      <c r="C374" s="32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32"/>
      <c r="BT374" s="57"/>
      <c r="BU374" s="6"/>
      <c r="BV374" s="6"/>
      <c r="BW374" s="6"/>
      <c r="BX374" s="6"/>
      <c r="BY374" s="6"/>
      <c r="BZ374" s="6"/>
      <c r="CA374" s="6"/>
      <c r="CB374" s="6"/>
      <c r="CC374" s="6"/>
      <c r="CD374" s="32"/>
      <c r="CE374" s="32"/>
      <c r="CF374" s="57"/>
      <c r="CG374" s="28"/>
      <c r="CH374" s="28"/>
      <c r="CI374" s="28"/>
      <c r="CJ374" s="28"/>
      <c r="CL374" s="29"/>
      <c r="CM374" s="29"/>
      <c r="CN374" s="29"/>
      <c r="CO374" s="29"/>
      <c r="CP374" s="29"/>
      <c r="CQ374" s="29"/>
      <c r="CR374" s="13"/>
      <c r="CS374" s="7"/>
      <c r="CT374" s="7"/>
      <c r="CU374" s="7"/>
      <c r="CV374" s="7"/>
      <c r="CW374" s="7"/>
      <c r="EP374" s="17"/>
      <c r="EQ374" s="17"/>
      <c r="ER374" s="17"/>
      <c r="ES374" s="15"/>
      <c r="ET374" s="15"/>
    </row>
    <row r="375" spans="1:150" ht="15.75" customHeight="1">
      <c r="A375" s="7"/>
      <c r="B375" s="7"/>
      <c r="C375" s="32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32"/>
      <c r="BT375" s="57"/>
      <c r="BU375" s="6"/>
      <c r="BV375" s="6"/>
      <c r="BW375" s="6"/>
      <c r="BX375" s="6"/>
      <c r="BY375" s="6"/>
      <c r="BZ375" s="6"/>
      <c r="CA375" s="6"/>
      <c r="CB375" s="6"/>
      <c r="CC375" s="6"/>
      <c r="CD375" s="32"/>
      <c r="CE375" s="32"/>
      <c r="CF375" s="57"/>
      <c r="CG375" s="28"/>
      <c r="CH375" s="28"/>
      <c r="CI375" s="28"/>
      <c r="CJ375" s="28"/>
      <c r="CL375" s="29"/>
      <c r="CM375" s="29"/>
      <c r="CN375" s="29"/>
      <c r="CO375" s="29"/>
      <c r="CP375" s="29"/>
      <c r="CQ375" s="29"/>
      <c r="CR375" s="13"/>
      <c r="CS375" s="7"/>
      <c r="CT375" s="7"/>
      <c r="CU375" s="7"/>
      <c r="CV375" s="7"/>
      <c r="CW375" s="7"/>
      <c r="EP375" s="17"/>
      <c r="EQ375" s="17"/>
      <c r="ER375" s="17"/>
      <c r="ES375" s="15"/>
      <c r="ET375" s="15"/>
    </row>
    <row r="376" spans="1:150" ht="15.75" customHeight="1">
      <c r="A376" s="7"/>
      <c r="B376" s="7"/>
      <c r="C376" s="32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32"/>
      <c r="BT376" s="57"/>
      <c r="BU376" s="6"/>
      <c r="BV376" s="6"/>
      <c r="BW376" s="6"/>
      <c r="BX376" s="6"/>
      <c r="BY376" s="6"/>
      <c r="BZ376" s="6"/>
      <c r="CA376" s="6"/>
      <c r="CB376" s="6"/>
      <c r="CC376" s="6"/>
      <c r="CD376" s="32"/>
      <c r="CE376" s="32"/>
      <c r="CF376" s="57"/>
      <c r="CG376" s="28"/>
      <c r="CH376" s="28"/>
      <c r="CI376" s="28"/>
      <c r="CJ376" s="28"/>
      <c r="CL376" s="29"/>
      <c r="CM376" s="29"/>
      <c r="CN376" s="29"/>
      <c r="CO376" s="29"/>
      <c r="CP376" s="29"/>
      <c r="CQ376" s="29"/>
      <c r="CR376" s="13"/>
      <c r="CS376" s="7"/>
      <c r="CT376" s="7"/>
      <c r="CU376" s="7"/>
      <c r="CV376" s="7"/>
      <c r="CW376" s="7"/>
      <c r="EP376" s="17"/>
      <c r="EQ376" s="17"/>
      <c r="ER376" s="17"/>
      <c r="ES376" s="15"/>
      <c r="ET376" s="15"/>
    </row>
    <row r="377" spans="1:150" ht="15.75" customHeight="1">
      <c r="A377" s="7"/>
      <c r="B377" s="7"/>
      <c r="C377" s="32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32"/>
      <c r="BT377" s="57"/>
      <c r="BU377" s="6"/>
      <c r="BV377" s="6"/>
      <c r="BW377" s="6"/>
      <c r="BX377" s="6"/>
      <c r="BY377" s="6"/>
      <c r="BZ377" s="6"/>
      <c r="CA377" s="6"/>
      <c r="CB377" s="6"/>
      <c r="CC377" s="6"/>
      <c r="CD377" s="32"/>
      <c r="CE377" s="32"/>
      <c r="CF377" s="57"/>
      <c r="CG377" s="28"/>
      <c r="CH377" s="28"/>
      <c r="CI377" s="28"/>
      <c r="CJ377" s="28"/>
      <c r="CL377" s="29"/>
      <c r="CM377" s="29"/>
      <c r="CN377" s="29"/>
      <c r="CO377" s="29"/>
      <c r="CP377" s="29"/>
      <c r="CQ377" s="29"/>
      <c r="CR377" s="13"/>
      <c r="CS377" s="7"/>
      <c r="CT377" s="7"/>
      <c r="CU377" s="7"/>
      <c r="CV377" s="7"/>
      <c r="CW377" s="7"/>
      <c r="EP377" s="17"/>
      <c r="EQ377" s="17"/>
      <c r="ER377" s="17"/>
      <c r="ES377" s="15"/>
      <c r="ET377" s="15"/>
    </row>
    <row r="378" spans="1:150" ht="15.75" customHeight="1">
      <c r="A378" s="7"/>
      <c r="B378" s="7"/>
      <c r="C378" s="32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32"/>
      <c r="BT378" s="57"/>
      <c r="BU378" s="6"/>
      <c r="BV378" s="6"/>
      <c r="BW378" s="6"/>
      <c r="BX378" s="6"/>
      <c r="BY378" s="6"/>
      <c r="BZ378" s="6"/>
      <c r="CA378" s="6"/>
      <c r="CB378" s="6"/>
      <c r="CC378" s="6"/>
      <c r="CD378" s="32"/>
      <c r="CE378" s="32"/>
      <c r="CF378" s="57"/>
      <c r="CG378" s="28"/>
      <c r="CH378" s="28"/>
      <c r="CI378" s="28"/>
      <c r="CJ378" s="28"/>
      <c r="CL378" s="29"/>
      <c r="CM378" s="29"/>
      <c r="CN378" s="29"/>
      <c r="CO378" s="29"/>
      <c r="CP378" s="29"/>
      <c r="CQ378" s="29"/>
      <c r="CR378" s="13"/>
      <c r="CS378" s="7"/>
      <c r="CT378" s="7"/>
      <c r="CU378" s="7"/>
      <c r="CV378" s="7"/>
      <c r="CW378" s="7"/>
      <c r="EP378" s="17"/>
      <c r="EQ378" s="17"/>
      <c r="ER378" s="17"/>
      <c r="ES378" s="15"/>
      <c r="ET378" s="15"/>
    </row>
    <row r="379" spans="1:150" ht="15.75" customHeight="1">
      <c r="A379" s="7"/>
      <c r="B379" s="7"/>
      <c r="C379" s="32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32"/>
      <c r="BT379" s="57"/>
      <c r="BU379" s="6"/>
      <c r="BV379" s="6"/>
      <c r="BW379" s="6"/>
      <c r="BX379" s="6"/>
      <c r="BY379" s="6"/>
      <c r="BZ379" s="6"/>
      <c r="CA379" s="6"/>
      <c r="CB379" s="6"/>
      <c r="CC379" s="6"/>
      <c r="CD379" s="32"/>
      <c r="CE379" s="32"/>
      <c r="CF379" s="57"/>
      <c r="CG379" s="28"/>
      <c r="CH379" s="28"/>
      <c r="CI379" s="28"/>
      <c r="CJ379" s="28"/>
      <c r="CL379" s="29"/>
      <c r="CM379" s="29"/>
      <c r="CN379" s="29"/>
      <c r="CO379" s="29"/>
      <c r="CP379" s="29"/>
      <c r="CQ379" s="29"/>
      <c r="CR379" s="13"/>
      <c r="CS379" s="7"/>
      <c r="CT379" s="7"/>
      <c r="CU379" s="7"/>
      <c r="CV379" s="7"/>
      <c r="CW379" s="7"/>
      <c r="EP379" s="17"/>
      <c r="EQ379" s="17"/>
      <c r="ER379" s="17"/>
      <c r="ES379" s="15"/>
      <c r="ET379" s="15"/>
    </row>
    <row r="380" spans="1:150" ht="15.75" customHeight="1">
      <c r="A380" s="7"/>
      <c r="B380" s="7"/>
      <c r="C380" s="32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32"/>
      <c r="BT380" s="57"/>
      <c r="BU380" s="6"/>
      <c r="BV380" s="6"/>
      <c r="BW380" s="6"/>
      <c r="BX380" s="6"/>
      <c r="BY380" s="6"/>
      <c r="BZ380" s="6"/>
      <c r="CA380" s="6"/>
      <c r="CB380" s="6"/>
      <c r="CC380" s="6"/>
      <c r="CD380" s="32"/>
      <c r="CE380" s="32"/>
      <c r="CF380" s="57"/>
      <c r="CG380" s="28"/>
      <c r="CH380" s="28"/>
      <c r="CI380" s="28"/>
      <c r="CJ380" s="28"/>
      <c r="CL380" s="29"/>
      <c r="CM380" s="29"/>
      <c r="CN380" s="29"/>
      <c r="CO380" s="29"/>
      <c r="CP380" s="29"/>
      <c r="CQ380" s="29"/>
      <c r="CR380" s="13"/>
      <c r="CS380" s="7"/>
      <c r="CT380" s="7"/>
      <c r="CU380" s="7"/>
      <c r="CV380" s="7"/>
      <c r="CW380" s="7"/>
      <c r="EP380" s="17"/>
      <c r="EQ380" s="17"/>
      <c r="ER380" s="17"/>
      <c r="ES380" s="15"/>
      <c r="ET380" s="15"/>
    </row>
    <row r="381" spans="1:150" ht="15.75" customHeight="1">
      <c r="A381" s="7"/>
      <c r="B381" s="7"/>
      <c r="C381" s="32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32"/>
      <c r="BT381" s="57"/>
      <c r="BU381" s="6"/>
      <c r="BV381" s="6"/>
      <c r="BW381" s="6"/>
      <c r="BX381" s="6"/>
      <c r="BY381" s="6"/>
      <c r="BZ381" s="6"/>
      <c r="CA381" s="6"/>
      <c r="CB381" s="6"/>
      <c r="CC381" s="6"/>
      <c r="CD381" s="32"/>
      <c r="CE381" s="32"/>
      <c r="CF381" s="57"/>
      <c r="CG381" s="28"/>
      <c r="CH381" s="28"/>
      <c r="CI381" s="28"/>
      <c r="CJ381" s="28"/>
      <c r="CL381" s="29"/>
      <c r="CM381" s="29"/>
      <c r="CN381" s="29"/>
      <c r="CO381" s="29"/>
      <c r="CP381" s="29"/>
      <c r="CQ381" s="29"/>
      <c r="CR381" s="13"/>
      <c r="CS381" s="7"/>
      <c r="CT381" s="7"/>
      <c r="CU381" s="7"/>
      <c r="CV381" s="7"/>
      <c r="CW381" s="7"/>
      <c r="EP381" s="17"/>
      <c r="EQ381" s="17"/>
      <c r="ER381" s="17"/>
      <c r="ES381" s="15"/>
      <c r="ET381" s="15"/>
    </row>
    <row r="382" spans="1:150" ht="15.75" customHeight="1">
      <c r="A382" s="7"/>
      <c r="B382" s="7"/>
      <c r="C382" s="32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32"/>
      <c r="BT382" s="57"/>
      <c r="BU382" s="6"/>
      <c r="BV382" s="6"/>
      <c r="BW382" s="6"/>
      <c r="BX382" s="6"/>
      <c r="BY382" s="6"/>
      <c r="BZ382" s="6"/>
      <c r="CA382" s="6"/>
      <c r="CB382" s="6"/>
      <c r="CC382" s="6"/>
      <c r="CD382" s="32"/>
      <c r="CE382" s="32"/>
      <c r="CF382" s="57"/>
      <c r="CG382" s="28"/>
      <c r="CH382" s="28"/>
      <c r="CI382" s="28"/>
      <c r="CJ382" s="28"/>
      <c r="CL382" s="29"/>
      <c r="CM382" s="29"/>
      <c r="CN382" s="29"/>
      <c r="CO382" s="29"/>
      <c r="CP382" s="29"/>
      <c r="CQ382" s="29"/>
      <c r="CR382" s="13"/>
      <c r="CS382" s="7"/>
      <c r="CT382" s="7"/>
      <c r="CU382" s="7"/>
      <c r="CV382" s="7"/>
      <c r="CW382" s="7"/>
      <c r="EP382" s="17"/>
      <c r="EQ382" s="17"/>
      <c r="ER382" s="17"/>
      <c r="ES382" s="15"/>
      <c r="ET382" s="15"/>
    </row>
    <row r="383" spans="1:150" ht="15.75" customHeight="1">
      <c r="A383" s="7"/>
      <c r="B383" s="7"/>
      <c r="C383" s="32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32"/>
      <c r="BT383" s="57"/>
      <c r="BU383" s="6"/>
      <c r="BV383" s="6"/>
      <c r="BW383" s="6"/>
      <c r="BX383" s="6"/>
      <c r="BY383" s="6"/>
      <c r="BZ383" s="6"/>
      <c r="CA383" s="6"/>
      <c r="CB383" s="6"/>
      <c r="CC383" s="6"/>
      <c r="CD383" s="32"/>
      <c r="CE383" s="32"/>
      <c r="CF383" s="57"/>
      <c r="CG383" s="28"/>
      <c r="CH383" s="28"/>
      <c r="CI383" s="28"/>
      <c r="CJ383" s="28"/>
      <c r="CL383" s="29"/>
      <c r="CM383" s="29"/>
      <c r="CN383" s="29"/>
      <c r="CO383" s="29"/>
      <c r="CP383" s="29"/>
      <c r="CQ383" s="29"/>
      <c r="CR383" s="13"/>
      <c r="CS383" s="7"/>
      <c r="CT383" s="7"/>
      <c r="CU383" s="7"/>
      <c r="CV383" s="7"/>
      <c r="CW383" s="7"/>
      <c r="EP383" s="17"/>
      <c r="EQ383" s="17"/>
      <c r="ER383" s="17"/>
      <c r="ES383" s="15"/>
      <c r="ET383" s="15"/>
    </row>
    <row r="384" spans="1:150" ht="15.75" customHeight="1">
      <c r="A384" s="7"/>
      <c r="B384" s="7"/>
      <c r="C384" s="32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32"/>
      <c r="BT384" s="57"/>
      <c r="BU384" s="6"/>
      <c r="BV384" s="6"/>
      <c r="BW384" s="6"/>
      <c r="BX384" s="6"/>
      <c r="BY384" s="6"/>
      <c r="BZ384" s="6"/>
      <c r="CA384" s="6"/>
      <c r="CB384" s="6"/>
      <c r="CC384" s="6"/>
      <c r="CD384" s="32"/>
      <c r="CE384" s="32"/>
      <c r="CF384" s="57"/>
      <c r="CG384" s="28"/>
      <c r="CH384" s="28"/>
      <c r="CI384" s="28"/>
      <c r="CJ384" s="28"/>
      <c r="CL384" s="29"/>
      <c r="CM384" s="29"/>
      <c r="CN384" s="29"/>
      <c r="CO384" s="29"/>
      <c r="CP384" s="29"/>
      <c r="CQ384" s="29"/>
      <c r="CR384" s="13"/>
      <c r="CS384" s="7"/>
      <c r="CT384" s="7"/>
      <c r="CU384" s="7"/>
      <c r="CV384" s="7"/>
      <c r="CW384" s="7"/>
      <c r="EP384" s="17"/>
      <c r="EQ384" s="17"/>
      <c r="ER384" s="17"/>
      <c r="ES384" s="15"/>
      <c r="ET384" s="15"/>
    </row>
    <row r="385" spans="1:150" ht="15.75" customHeight="1">
      <c r="A385" s="7"/>
      <c r="B385" s="7"/>
      <c r="C385" s="32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32"/>
      <c r="BT385" s="57"/>
      <c r="BU385" s="6"/>
      <c r="BV385" s="6"/>
      <c r="BW385" s="6"/>
      <c r="BX385" s="6"/>
      <c r="BY385" s="6"/>
      <c r="BZ385" s="6"/>
      <c r="CA385" s="6"/>
      <c r="CB385" s="6"/>
      <c r="CC385" s="6"/>
      <c r="CD385" s="32"/>
      <c r="CE385" s="32"/>
      <c r="CF385" s="57"/>
      <c r="CG385" s="28"/>
      <c r="CH385" s="28"/>
      <c r="CI385" s="28"/>
      <c r="CJ385" s="28"/>
      <c r="CL385" s="29"/>
      <c r="CM385" s="29"/>
      <c r="CN385" s="29"/>
      <c r="CO385" s="29"/>
      <c r="CP385" s="29"/>
      <c r="CQ385" s="29"/>
      <c r="CR385" s="13"/>
      <c r="CS385" s="7"/>
      <c r="CT385" s="7"/>
      <c r="CU385" s="7"/>
      <c r="CV385" s="7"/>
      <c r="CW385" s="7"/>
      <c r="EP385" s="17"/>
      <c r="EQ385" s="17"/>
      <c r="ER385" s="17"/>
      <c r="ES385" s="15"/>
      <c r="ET385" s="15"/>
    </row>
    <row r="386" spans="1:150" ht="15.75" customHeight="1">
      <c r="A386" s="7"/>
      <c r="B386" s="7"/>
      <c r="C386" s="32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32"/>
      <c r="BT386" s="57"/>
      <c r="BU386" s="6"/>
      <c r="BV386" s="6"/>
      <c r="BW386" s="6"/>
      <c r="BX386" s="6"/>
      <c r="BY386" s="6"/>
      <c r="BZ386" s="6"/>
      <c r="CA386" s="6"/>
      <c r="CB386" s="6"/>
      <c r="CC386" s="6"/>
      <c r="CD386" s="32"/>
      <c r="CE386" s="32"/>
      <c r="CF386" s="57"/>
      <c r="CG386" s="28"/>
      <c r="CH386" s="28"/>
      <c r="CI386" s="28"/>
      <c r="CJ386" s="28"/>
      <c r="CL386" s="29"/>
      <c r="CM386" s="29"/>
      <c r="CN386" s="29"/>
      <c r="CO386" s="29"/>
      <c r="CP386" s="29"/>
      <c r="CQ386" s="29"/>
      <c r="CR386" s="13"/>
      <c r="CS386" s="7"/>
      <c r="CT386" s="7"/>
      <c r="CU386" s="7"/>
      <c r="CV386" s="7"/>
      <c r="CW386" s="7"/>
      <c r="EP386" s="17"/>
      <c r="EQ386" s="17"/>
      <c r="ER386" s="17"/>
      <c r="ES386" s="15"/>
      <c r="ET386" s="15"/>
    </row>
    <row r="387" spans="1:150" ht="15.75" customHeight="1">
      <c r="A387" s="58"/>
      <c r="B387" s="58"/>
      <c r="C387" s="58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58"/>
      <c r="BT387" s="27"/>
      <c r="BU387" s="6"/>
      <c r="BV387" s="6"/>
      <c r="BW387" s="6"/>
      <c r="BX387" s="6"/>
      <c r="BY387" s="6"/>
      <c r="BZ387" s="6"/>
      <c r="CA387" s="6"/>
      <c r="CB387" s="6"/>
      <c r="CC387" s="6"/>
      <c r="CD387" s="7"/>
      <c r="CE387" s="7"/>
      <c r="CF387" s="27"/>
      <c r="CG387" s="28"/>
      <c r="CH387" s="28"/>
      <c r="CI387" s="28"/>
      <c r="CJ387" s="28"/>
      <c r="CL387" s="29"/>
      <c r="CM387" s="29"/>
      <c r="CN387" s="29"/>
      <c r="CO387" s="29"/>
      <c r="CP387" s="29"/>
      <c r="CQ387" s="29"/>
      <c r="CR387" s="13"/>
      <c r="CS387" s="7"/>
      <c r="CT387" s="7"/>
      <c r="CU387" s="7"/>
      <c r="CV387" s="7"/>
      <c r="CW387" s="7"/>
      <c r="EP387" s="17"/>
      <c r="EQ387" s="17"/>
      <c r="ER387" s="17"/>
      <c r="ES387" s="15"/>
      <c r="ET387" s="15"/>
    </row>
    <row r="388" spans="1:150" ht="15.75" customHeight="1">
      <c r="A388" s="58"/>
      <c r="B388" s="58"/>
      <c r="C388" s="58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58"/>
      <c r="BT388" s="27"/>
      <c r="BU388" s="6"/>
      <c r="BV388" s="6"/>
      <c r="BW388" s="6"/>
      <c r="BX388" s="6"/>
      <c r="BY388" s="6"/>
      <c r="BZ388" s="6"/>
      <c r="CA388" s="6"/>
      <c r="CB388" s="6"/>
      <c r="CC388" s="6"/>
      <c r="CD388" s="7"/>
      <c r="CE388" s="7"/>
      <c r="CF388" s="27"/>
      <c r="CG388" s="28"/>
      <c r="CH388" s="28"/>
      <c r="CI388" s="28"/>
      <c r="CJ388" s="28"/>
      <c r="CL388" s="29"/>
      <c r="CM388" s="29"/>
      <c r="CN388" s="29"/>
      <c r="CO388" s="29"/>
      <c r="CP388" s="29"/>
      <c r="CQ388" s="29"/>
      <c r="CR388" s="13"/>
      <c r="CS388" s="7"/>
      <c r="CT388" s="7"/>
      <c r="CU388" s="7"/>
      <c r="CV388" s="7"/>
      <c r="CW388" s="7"/>
      <c r="EP388" s="17"/>
      <c r="EQ388" s="17"/>
      <c r="ER388" s="17"/>
      <c r="ES388" s="15"/>
      <c r="ET388" s="15"/>
    </row>
    <row r="389" spans="1:150" ht="15.75" customHeight="1">
      <c r="A389" s="58"/>
      <c r="B389" s="58"/>
      <c r="C389" s="58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58"/>
      <c r="BT389" s="27"/>
      <c r="BU389" s="6"/>
      <c r="BV389" s="6"/>
      <c r="BW389" s="6"/>
      <c r="BX389" s="6"/>
      <c r="BY389" s="6"/>
      <c r="BZ389" s="6"/>
      <c r="CA389" s="6"/>
      <c r="CB389" s="6"/>
      <c r="CC389" s="6"/>
      <c r="CD389" s="7"/>
      <c r="CE389" s="7"/>
      <c r="CF389" s="27"/>
      <c r="CG389" s="28"/>
      <c r="CH389" s="28"/>
      <c r="CI389" s="28"/>
      <c r="CJ389" s="28"/>
      <c r="CL389" s="29"/>
      <c r="CM389" s="29"/>
      <c r="CN389" s="29"/>
      <c r="CO389" s="29"/>
      <c r="CP389" s="29"/>
      <c r="CQ389" s="29"/>
      <c r="CR389" s="13"/>
      <c r="CS389" s="7"/>
      <c r="CT389" s="7"/>
      <c r="CU389" s="7"/>
      <c r="CV389" s="7"/>
      <c r="CW389" s="7"/>
      <c r="EP389" s="17"/>
      <c r="EQ389" s="17"/>
      <c r="ER389" s="17"/>
      <c r="ES389" s="15"/>
      <c r="ET389" s="15"/>
    </row>
    <row r="390" spans="1:150" ht="15.75" customHeight="1">
      <c r="A390" s="58"/>
      <c r="B390" s="58"/>
      <c r="C390" s="58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  <c r="BH390" s="60"/>
      <c r="BI390" s="60"/>
      <c r="BJ390" s="60"/>
      <c r="BK390" s="60"/>
      <c r="BL390" s="60"/>
      <c r="BM390" s="60"/>
      <c r="BN390" s="60"/>
      <c r="BO390" s="60"/>
      <c r="BP390" s="60"/>
      <c r="BQ390" s="60"/>
      <c r="BR390" s="60"/>
      <c r="BS390" s="58"/>
      <c r="BT390" s="27"/>
      <c r="BU390" s="6"/>
      <c r="BV390" s="6"/>
      <c r="BW390" s="6"/>
      <c r="BX390" s="6"/>
      <c r="BY390" s="6"/>
      <c r="BZ390" s="6"/>
      <c r="CA390" s="6"/>
      <c r="CB390" s="6"/>
      <c r="CC390" s="6"/>
      <c r="CD390" s="7"/>
      <c r="CE390" s="7"/>
      <c r="CF390" s="27"/>
      <c r="CG390" s="28"/>
      <c r="CH390" s="28"/>
      <c r="CI390" s="28"/>
      <c r="CJ390" s="28"/>
      <c r="CL390" s="29"/>
      <c r="CM390" s="29"/>
      <c r="CN390" s="29"/>
      <c r="CO390" s="29"/>
      <c r="CP390" s="29"/>
      <c r="CQ390" s="29"/>
      <c r="CR390" s="13"/>
      <c r="CS390" s="7"/>
      <c r="CT390" s="7"/>
      <c r="CU390" s="7"/>
      <c r="CV390" s="7"/>
      <c r="CW390" s="7"/>
      <c r="EP390" s="17"/>
      <c r="EQ390" s="17"/>
      <c r="ER390" s="17"/>
      <c r="ES390" s="15"/>
      <c r="ET390" s="15"/>
    </row>
    <row r="391" spans="1:150" ht="15.75" customHeight="1">
      <c r="A391" s="58"/>
      <c r="B391" s="58"/>
      <c r="C391" s="58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58"/>
      <c r="BT391" s="27"/>
      <c r="BU391" s="6"/>
      <c r="BV391" s="6"/>
      <c r="BW391" s="6"/>
      <c r="BX391" s="6"/>
      <c r="BY391" s="6"/>
      <c r="BZ391" s="6"/>
      <c r="CA391" s="6"/>
      <c r="CB391" s="6"/>
      <c r="CC391" s="6"/>
      <c r="CD391" s="7"/>
      <c r="CE391" s="7"/>
      <c r="CF391" s="27"/>
      <c r="CG391" s="28"/>
      <c r="CH391" s="28"/>
      <c r="CI391" s="28"/>
      <c r="CJ391" s="28"/>
      <c r="CL391" s="29"/>
      <c r="CM391" s="29"/>
      <c r="CN391" s="29"/>
      <c r="CO391" s="29"/>
      <c r="CP391" s="29"/>
      <c r="CQ391" s="29"/>
      <c r="CR391" s="13"/>
      <c r="CS391" s="7"/>
      <c r="CT391" s="7"/>
      <c r="CU391" s="7"/>
      <c r="CV391" s="7"/>
      <c r="CW391" s="7"/>
      <c r="EP391" s="17"/>
      <c r="EQ391" s="17"/>
      <c r="ER391" s="17"/>
      <c r="ES391" s="15"/>
      <c r="ET391" s="15"/>
    </row>
    <row r="392" spans="1:150" ht="15.75" customHeight="1">
      <c r="A392" s="58"/>
      <c r="B392" s="58"/>
      <c r="C392" s="58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/>
      <c r="BM392" s="60"/>
      <c r="BN392" s="60"/>
      <c r="BO392" s="60"/>
      <c r="BP392" s="60"/>
      <c r="BQ392" s="60"/>
      <c r="BR392" s="60"/>
      <c r="BS392" s="58"/>
      <c r="BT392" s="27"/>
      <c r="BU392" s="6"/>
      <c r="BV392" s="6"/>
      <c r="BW392" s="6"/>
      <c r="BX392" s="6"/>
      <c r="BY392" s="6"/>
      <c r="BZ392" s="6"/>
      <c r="CA392" s="6"/>
      <c r="CB392" s="6"/>
      <c r="CC392" s="6"/>
      <c r="CD392" s="7"/>
      <c r="CE392" s="7"/>
      <c r="CF392" s="27"/>
      <c r="CG392" s="28"/>
      <c r="CH392" s="28"/>
      <c r="CI392" s="28"/>
      <c r="CJ392" s="28"/>
      <c r="CL392" s="29"/>
      <c r="CM392" s="29"/>
      <c r="CN392" s="29"/>
      <c r="CO392" s="29"/>
      <c r="CP392" s="29"/>
      <c r="CQ392" s="29"/>
      <c r="CR392" s="13"/>
      <c r="CS392" s="7"/>
      <c r="CT392" s="7"/>
      <c r="CU392" s="7"/>
      <c r="CV392" s="7"/>
      <c r="CW392" s="7"/>
      <c r="EP392" s="17"/>
      <c r="EQ392" s="17"/>
      <c r="ER392" s="17"/>
      <c r="ES392" s="15"/>
      <c r="ET392" s="15"/>
    </row>
    <row r="393" spans="1:150" ht="15.75" customHeight="1">
      <c r="A393" s="58"/>
      <c r="B393" s="58"/>
      <c r="C393" s="58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58"/>
      <c r="BT393" s="27"/>
      <c r="BU393" s="6"/>
      <c r="BV393" s="6"/>
      <c r="BW393" s="6"/>
      <c r="BX393" s="6"/>
      <c r="BY393" s="6"/>
      <c r="BZ393" s="6"/>
      <c r="CA393" s="6"/>
      <c r="CB393" s="6"/>
      <c r="CC393" s="6"/>
      <c r="CD393" s="7"/>
      <c r="CE393" s="7"/>
      <c r="CF393" s="27"/>
      <c r="CG393" s="28"/>
      <c r="CH393" s="28"/>
      <c r="CI393" s="28"/>
      <c r="CJ393" s="28"/>
      <c r="CL393" s="29"/>
      <c r="CM393" s="29"/>
      <c r="CN393" s="29"/>
      <c r="CO393" s="29"/>
      <c r="CP393" s="29"/>
      <c r="CQ393" s="29"/>
      <c r="CR393" s="13"/>
      <c r="CS393" s="7"/>
      <c r="CT393" s="7"/>
      <c r="CU393" s="7"/>
      <c r="CV393" s="7"/>
      <c r="CW393" s="7"/>
      <c r="EP393" s="17"/>
      <c r="EQ393" s="17"/>
      <c r="ER393" s="17"/>
      <c r="ES393" s="15"/>
      <c r="ET393" s="15"/>
    </row>
    <row r="394" spans="1:150" ht="15.75" customHeight="1">
      <c r="A394" s="58"/>
      <c r="B394" s="58"/>
      <c r="C394" s="58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58"/>
      <c r="BT394" s="27"/>
      <c r="BU394" s="6"/>
      <c r="BV394" s="6"/>
      <c r="BW394" s="6"/>
      <c r="BX394" s="6"/>
      <c r="BY394" s="6"/>
      <c r="BZ394" s="6"/>
      <c r="CA394" s="6"/>
      <c r="CB394" s="6"/>
      <c r="CC394" s="6"/>
      <c r="CD394" s="7"/>
      <c r="CE394" s="7"/>
      <c r="CF394" s="27"/>
      <c r="CG394" s="28"/>
      <c r="CH394" s="28"/>
      <c r="CI394" s="28"/>
      <c r="CJ394" s="28"/>
      <c r="CL394" s="29"/>
      <c r="CM394" s="29"/>
      <c r="CN394" s="29"/>
      <c r="CO394" s="29"/>
      <c r="CP394" s="29"/>
      <c r="CQ394" s="29"/>
      <c r="CR394" s="13"/>
      <c r="CS394" s="7"/>
      <c r="CT394" s="7"/>
      <c r="CU394" s="7"/>
      <c r="CV394" s="7"/>
      <c r="CW394" s="7"/>
      <c r="EP394" s="17"/>
      <c r="EQ394" s="17"/>
      <c r="ER394" s="17"/>
      <c r="ES394" s="15"/>
      <c r="ET394" s="15"/>
    </row>
    <row r="395" spans="1:150" ht="15.75" customHeight="1">
      <c r="A395" s="58"/>
      <c r="B395" s="58"/>
      <c r="C395" s="58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/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58"/>
      <c r="BT395" s="27"/>
      <c r="BU395" s="6"/>
      <c r="BV395" s="6"/>
      <c r="BW395" s="6"/>
      <c r="BX395" s="6"/>
      <c r="BY395" s="6"/>
      <c r="BZ395" s="6"/>
      <c r="CA395" s="6"/>
      <c r="CB395" s="6"/>
      <c r="CC395" s="6"/>
      <c r="CD395" s="7"/>
      <c r="CE395" s="7"/>
      <c r="CF395" s="27"/>
      <c r="CG395" s="28"/>
      <c r="CH395" s="28"/>
      <c r="CI395" s="28"/>
      <c r="CJ395" s="28"/>
      <c r="CL395" s="29"/>
      <c r="CM395" s="29"/>
      <c r="CN395" s="29"/>
      <c r="CO395" s="29"/>
      <c r="CP395" s="29"/>
      <c r="CQ395" s="29"/>
      <c r="CR395" s="13"/>
      <c r="CS395" s="7"/>
      <c r="CT395" s="7"/>
      <c r="CU395" s="7"/>
      <c r="CV395" s="7"/>
      <c r="CW395" s="7"/>
      <c r="EP395" s="17"/>
      <c r="EQ395" s="17"/>
      <c r="ER395" s="17"/>
      <c r="ES395" s="15"/>
      <c r="ET395" s="15"/>
    </row>
    <row r="396" spans="1:150" ht="15.75" customHeight="1">
      <c r="A396" s="58"/>
      <c r="B396" s="58"/>
      <c r="C396" s="58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58"/>
      <c r="BT396" s="27"/>
      <c r="BU396" s="6"/>
      <c r="BV396" s="6"/>
      <c r="BW396" s="6"/>
      <c r="BX396" s="6"/>
      <c r="BY396" s="6"/>
      <c r="BZ396" s="6"/>
      <c r="CA396" s="6"/>
      <c r="CB396" s="6"/>
      <c r="CC396" s="6"/>
      <c r="CD396" s="7"/>
      <c r="CE396" s="7"/>
      <c r="CF396" s="27"/>
      <c r="CG396" s="28"/>
      <c r="CH396" s="28"/>
      <c r="CI396" s="28"/>
      <c r="CJ396" s="28"/>
      <c r="CL396" s="29"/>
      <c r="CM396" s="29"/>
      <c r="CN396" s="29"/>
      <c r="CO396" s="29"/>
      <c r="CP396" s="29"/>
      <c r="CQ396" s="29"/>
      <c r="CR396" s="13"/>
      <c r="CS396" s="7"/>
      <c r="CT396" s="7"/>
      <c r="CU396" s="7"/>
      <c r="CV396" s="7"/>
      <c r="CW396" s="7"/>
      <c r="EP396" s="17"/>
      <c r="EQ396" s="17"/>
      <c r="ER396" s="17"/>
      <c r="ES396" s="15"/>
      <c r="ET396" s="15"/>
    </row>
    <row r="397" spans="1:150" ht="15.75" customHeight="1">
      <c r="A397" s="58"/>
      <c r="B397" s="58"/>
      <c r="C397" s="58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/>
      <c r="BN397" s="60"/>
      <c r="BO397" s="60"/>
      <c r="BP397" s="60"/>
      <c r="BQ397" s="60"/>
      <c r="BR397" s="60"/>
      <c r="BS397" s="58"/>
      <c r="BT397" s="27"/>
      <c r="BU397" s="6"/>
      <c r="BV397" s="6"/>
      <c r="BW397" s="6"/>
      <c r="BX397" s="6"/>
      <c r="BY397" s="6"/>
      <c r="BZ397" s="6"/>
      <c r="CA397" s="6"/>
      <c r="CB397" s="6"/>
      <c r="CC397" s="6"/>
      <c r="CD397" s="7"/>
      <c r="CE397" s="7"/>
      <c r="CF397" s="27"/>
      <c r="CG397" s="28"/>
      <c r="CH397" s="28"/>
      <c r="CI397" s="28"/>
      <c r="CJ397" s="28"/>
      <c r="CL397" s="29"/>
      <c r="CM397" s="29"/>
      <c r="CN397" s="29"/>
      <c r="CO397" s="29"/>
      <c r="CP397" s="29"/>
      <c r="CQ397" s="29"/>
      <c r="CR397" s="13"/>
      <c r="CS397" s="7"/>
      <c r="CT397" s="7"/>
      <c r="CU397" s="7"/>
      <c r="CV397" s="7"/>
      <c r="CW397" s="7"/>
      <c r="EP397" s="17"/>
      <c r="EQ397" s="17"/>
      <c r="ER397" s="17"/>
      <c r="ES397" s="15"/>
      <c r="ET397" s="15"/>
    </row>
    <row r="398" spans="1:150" ht="15.75" customHeight="1">
      <c r="A398" s="58"/>
      <c r="B398" s="58"/>
      <c r="C398" s="58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/>
      <c r="BL398" s="60"/>
      <c r="BM398" s="60"/>
      <c r="BN398" s="60"/>
      <c r="BO398" s="60"/>
      <c r="BP398" s="60"/>
      <c r="BQ398" s="60"/>
      <c r="BR398" s="60"/>
      <c r="BS398" s="58"/>
      <c r="BT398" s="27"/>
      <c r="BU398" s="6"/>
      <c r="BV398" s="6"/>
      <c r="BW398" s="6"/>
      <c r="BX398" s="6"/>
      <c r="BY398" s="6"/>
      <c r="BZ398" s="6"/>
      <c r="CA398" s="6"/>
      <c r="CB398" s="6"/>
      <c r="CC398" s="6"/>
      <c r="CD398" s="7"/>
      <c r="CE398" s="7"/>
      <c r="CF398" s="27"/>
      <c r="CG398" s="28"/>
      <c r="CH398" s="28"/>
      <c r="CI398" s="28"/>
      <c r="CJ398" s="28"/>
      <c r="CL398" s="29"/>
      <c r="CM398" s="29"/>
      <c r="CN398" s="29"/>
      <c r="CO398" s="29"/>
      <c r="CP398" s="29"/>
      <c r="CQ398" s="29"/>
      <c r="CR398" s="13"/>
      <c r="CS398" s="7"/>
      <c r="CT398" s="7"/>
      <c r="CU398" s="7"/>
      <c r="CV398" s="7"/>
      <c r="CW398" s="7"/>
      <c r="EP398" s="17"/>
      <c r="EQ398" s="17"/>
      <c r="ER398" s="17"/>
      <c r="ES398" s="15"/>
      <c r="ET398" s="15"/>
    </row>
    <row r="399" spans="1:150" ht="15.75" customHeight="1">
      <c r="A399" s="58"/>
      <c r="B399" s="58"/>
      <c r="C399" s="58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58"/>
      <c r="BT399" s="27"/>
      <c r="BU399" s="6"/>
      <c r="BV399" s="6"/>
      <c r="BW399" s="6"/>
      <c r="BX399" s="6"/>
      <c r="BY399" s="6"/>
      <c r="BZ399" s="6"/>
      <c r="CA399" s="6"/>
      <c r="CB399" s="6"/>
      <c r="CC399" s="6"/>
      <c r="CD399" s="7"/>
      <c r="CE399" s="7"/>
      <c r="CF399" s="27"/>
      <c r="CG399" s="28"/>
      <c r="CH399" s="28"/>
      <c r="CI399" s="28"/>
      <c r="CJ399" s="28"/>
      <c r="CL399" s="29"/>
      <c r="CM399" s="29"/>
      <c r="CN399" s="29"/>
      <c r="CO399" s="29"/>
      <c r="CP399" s="29"/>
      <c r="CQ399" s="29"/>
      <c r="CR399" s="13"/>
      <c r="CS399" s="7"/>
      <c r="CT399" s="7"/>
      <c r="CU399" s="7"/>
      <c r="CV399" s="7"/>
      <c r="CW399" s="7"/>
      <c r="EP399" s="17"/>
      <c r="EQ399" s="17"/>
      <c r="ER399" s="17"/>
      <c r="ES399" s="15"/>
      <c r="ET399" s="15"/>
    </row>
    <row r="400" spans="1:150" ht="15.75" customHeight="1">
      <c r="A400" s="58"/>
      <c r="B400" s="58"/>
      <c r="C400" s="58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  <c r="BH400" s="60"/>
      <c r="BI400" s="60"/>
      <c r="BJ400" s="60"/>
      <c r="BK400" s="60"/>
      <c r="BL400" s="60"/>
      <c r="BM400" s="60"/>
      <c r="BN400" s="60"/>
      <c r="BO400" s="60"/>
      <c r="BP400" s="60"/>
      <c r="BQ400" s="60"/>
      <c r="BR400" s="60"/>
      <c r="BS400" s="58"/>
      <c r="BT400" s="27"/>
      <c r="BU400" s="6"/>
      <c r="BV400" s="6"/>
      <c r="BW400" s="6"/>
      <c r="BX400" s="6"/>
      <c r="BY400" s="6"/>
      <c r="BZ400" s="6"/>
      <c r="CA400" s="6"/>
      <c r="CB400" s="6"/>
      <c r="CC400" s="6"/>
      <c r="CD400" s="7"/>
      <c r="CE400" s="7"/>
      <c r="CF400" s="27"/>
      <c r="CG400" s="28"/>
      <c r="CH400" s="28"/>
      <c r="CI400" s="28"/>
      <c r="CJ400" s="28"/>
      <c r="CL400" s="29"/>
      <c r="CM400" s="29"/>
      <c r="CN400" s="29"/>
      <c r="CO400" s="29"/>
      <c r="CP400" s="29"/>
      <c r="CQ400" s="29"/>
      <c r="CR400" s="13"/>
      <c r="CS400" s="7"/>
      <c r="CT400" s="7"/>
      <c r="CU400" s="7"/>
      <c r="CV400" s="7"/>
      <c r="CW400" s="7"/>
      <c r="EP400" s="17"/>
      <c r="EQ400" s="17"/>
      <c r="ER400" s="17"/>
      <c r="ES400" s="15"/>
      <c r="ET400" s="15"/>
    </row>
    <row r="401" spans="1:150" ht="15.75" customHeight="1">
      <c r="A401" s="58"/>
      <c r="B401" s="58"/>
      <c r="C401" s="58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/>
      <c r="BM401" s="60"/>
      <c r="BN401" s="60"/>
      <c r="BO401" s="60"/>
      <c r="BP401" s="60"/>
      <c r="BQ401" s="60"/>
      <c r="BR401" s="60"/>
      <c r="BS401" s="58"/>
      <c r="BT401" s="27"/>
      <c r="BU401" s="6"/>
      <c r="BV401" s="6"/>
      <c r="BW401" s="6"/>
      <c r="BX401" s="6"/>
      <c r="BY401" s="6"/>
      <c r="BZ401" s="6"/>
      <c r="CA401" s="6"/>
      <c r="CB401" s="6"/>
      <c r="CC401" s="6"/>
      <c r="CD401" s="7"/>
      <c r="CE401" s="7"/>
      <c r="CF401" s="27"/>
      <c r="CG401" s="28"/>
      <c r="CH401" s="28"/>
      <c r="CI401" s="28"/>
      <c r="CJ401" s="28"/>
      <c r="CL401" s="29"/>
      <c r="CM401" s="29"/>
      <c r="CN401" s="29"/>
      <c r="CO401" s="29"/>
      <c r="CP401" s="29"/>
      <c r="CQ401" s="29"/>
      <c r="CR401" s="13"/>
      <c r="CS401" s="7"/>
      <c r="CT401" s="7"/>
      <c r="CU401" s="7"/>
      <c r="CV401" s="7"/>
      <c r="CW401" s="7"/>
      <c r="EP401" s="17"/>
      <c r="EQ401" s="17"/>
      <c r="ER401" s="17"/>
      <c r="ES401" s="15"/>
      <c r="ET401" s="15"/>
    </row>
    <row r="402" spans="1:150" ht="15.75" customHeight="1">
      <c r="A402" s="58"/>
      <c r="B402" s="58"/>
      <c r="C402" s="58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  <c r="BH402" s="60"/>
      <c r="BI402" s="60"/>
      <c r="BJ402" s="60"/>
      <c r="BK402" s="60"/>
      <c r="BL402" s="60"/>
      <c r="BM402" s="60"/>
      <c r="BN402" s="60"/>
      <c r="BO402" s="60"/>
      <c r="BP402" s="60"/>
      <c r="BQ402" s="60"/>
      <c r="BR402" s="60"/>
      <c r="BS402" s="58"/>
      <c r="BT402" s="27"/>
      <c r="BU402" s="6"/>
      <c r="BV402" s="6"/>
      <c r="BW402" s="6"/>
      <c r="BX402" s="6"/>
      <c r="BY402" s="6"/>
      <c r="BZ402" s="6"/>
      <c r="CA402" s="6"/>
      <c r="CB402" s="6"/>
      <c r="CC402" s="6"/>
      <c r="CD402" s="7"/>
      <c r="CE402" s="7"/>
      <c r="CF402" s="27"/>
      <c r="CG402" s="28"/>
      <c r="CH402" s="28"/>
      <c r="CI402" s="28"/>
      <c r="CJ402" s="28"/>
      <c r="CL402" s="29"/>
      <c r="CM402" s="29"/>
      <c r="CN402" s="29"/>
      <c r="CO402" s="29"/>
      <c r="CP402" s="29"/>
      <c r="CQ402" s="29"/>
      <c r="CR402" s="13"/>
      <c r="CS402" s="7"/>
      <c r="CT402" s="7"/>
      <c r="CU402" s="7"/>
      <c r="CV402" s="7"/>
      <c r="CW402" s="7"/>
      <c r="EP402" s="17"/>
      <c r="EQ402" s="17"/>
      <c r="ER402" s="17"/>
      <c r="ES402" s="15"/>
      <c r="ET402" s="15"/>
    </row>
    <row r="403" spans="1:150" ht="15.75" customHeight="1">
      <c r="A403" s="58"/>
      <c r="B403" s="58"/>
      <c r="C403" s="58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/>
      <c r="BP403" s="60"/>
      <c r="BQ403" s="60"/>
      <c r="BR403" s="60"/>
      <c r="BS403" s="58"/>
      <c r="BT403" s="27"/>
      <c r="BU403" s="6"/>
      <c r="BV403" s="6"/>
      <c r="BW403" s="6"/>
      <c r="BX403" s="6"/>
      <c r="BY403" s="6"/>
      <c r="BZ403" s="6"/>
      <c r="CA403" s="6"/>
      <c r="CB403" s="6"/>
      <c r="CC403" s="6"/>
      <c r="CD403" s="7"/>
      <c r="CE403" s="7"/>
      <c r="CF403" s="27"/>
      <c r="CG403" s="28"/>
      <c r="CH403" s="28"/>
      <c r="CI403" s="28"/>
      <c r="CJ403" s="28"/>
      <c r="CL403" s="29"/>
      <c r="CM403" s="29"/>
      <c r="CN403" s="29"/>
      <c r="CO403" s="29"/>
      <c r="CP403" s="29"/>
      <c r="CQ403" s="29"/>
      <c r="CR403" s="13"/>
      <c r="CS403" s="7"/>
      <c r="CT403" s="7"/>
      <c r="CU403" s="7"/>
      <c r="CV403" s="7"/>
      <c r="CW403" s="7"/>
      <c r="EP403" s="17"/>
      <c r="EQ403" s="17"/>
      <c r="ER403" s="17"/>
      <c r="ES403" s="15"/>
      <c r="ET403" s="15"/>
    </row>
    <row r="404" spans="1:150" ht="15.75" customHeight="1">
      <c r="A404" s="58"/>
      <c r="B404" s="58"/>
      <c r="C404" s="58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58"/>
      <c r="BT404" s="27"/>
      <c r="BU404" s="6"/>
      <c r="BV404" s="6"/>
      <c r="BW404" s="6"/>
      <c r="BX404" s="6"/>
      <c r="BY404" s="6"/>
      <c r="BZ404" s="6"/>
      <c r="CA404" s="6"/>
      <c r="CB404" s="6"/>
      <c r="CC404" s="6"/>
      <c r="CD404" s="7"/>
      <c r="CE404" s="7"/>
      <c r="CF404" s="27"/>
      <c r="CG404" s="28"/>
      <c r="CH404" s="28"/>
      <c r="CI404" s="28"/>
      <c r="CJ404" s="28"/>
      <c r="CL404" s="29"/>
      <c r="CM404" s="29"/>
      <c r="CN404" s="29"/>
      <c r="CO404" s="29"/>
      <c r="CP404" s="29"/>
      <c r="CQ404" s="29"/>
      <c r="CR404" s="13"/>
      <c r="CS404" s="7"/>
      <c r="CT404" s="7"/>
      <c r="CU404" s="7"/>
      <c r="CV404" s="7"/>
      <c r="CW404" s="7"/>
      <c r="EP404" s="17"/>
      <c r="EQ404" s="17"/>
      <c r="ER404" s="17"/>
      <c r="ES404" s="15"/>
      <c r="ET404" s="15"/>
    </row>
    <row r="405" spans="1:150" ht="15.75" customHeight="1">
      <c r="A405" s="58"/>
      <c r="B405" s="58"/>
      <c r="C405" s="58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/>
      <c r="BM405" s="60"/>
      <c r="BN405" s="60"/>
      <c r="BO405" s="60"/>
      <c r="BP405" s="60"/>
      <c r="BQ405" s="60"/>
      <c r="BR405" s="60"/>
      <c r="BS405" s="58"/>
      <c r="BT405" s="27"/>
      <c r="BU405" s="6"/>
      <c r="BV405" s="6"/>
      <c r="BW405" s="6"/>
      <c r="BX405" s="6"/>
      <c r="BY405" s="6"/>
      <c r="BZ405" s="6"/>
      <c r="CA405" s="6"/>
      <c r="CB405" s="6"/>
      <c r="CC405" s="6"/>
      <c r="CD405" s="7"/>
      <c r="CE405" s="7"/>
      <c r="CF405" s="27"/>
      <c r="CG405" s="28"/>
      <c r="CH405" s="28"/>
      <c r="CI405" s="28"/>
      <c r="CJ405" s="28"/>
      <c r="CL405" s="29"/>
      <c r="CM405" s="29"/>
      <c r="CN405" s="29"/>
      <c r="CO405" s="29"/>
      <c r="CP405" s="29"/>
      <c r="CQ405" s="29"/>
      <c r="CR405" s="13"/>
      <c r="CS405" s="7"/>
      <c r="CT405" s="7"/>
      <c r="CU405" s="7"/>
      <c r="CV405" s="7"/>
      <c r="CW405" s="7"/>
      <c r="EP405" s="17"/>
      <c r="EQ405" s="17"/>
      <c r="ER405" s="17"/>
      <c r="ES405" s="15"/>
      <c r="ET405" s="15"/>
    </row>
    <row r="406" spans="1:150" ht="15.75" customHeight="1">
      <c r="A406" s="58"/>
      <c r="B406" s="58"/>
      <c r="C406" s="58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58"/>
      <c r="BT406" s="27"/>
      <c r="BU406" s="6"/>
      <c r="BV406" s="6"/>
      <c r="BW406" s="6"/>
      <c r="BX406" s="6"/>
      <c r="BY406" s="6"/>
      <c r="BZ406" s="6"/>
      <c r="CA406" s="6"/>
      <c r="CB406" s="6"/>
      <c r="CC406" s="6"/>
      <c r="CD406" s="7"/>
      <c r="CE406" s="7"/>
      <c r="CF406" s="27"/>
      <c r="CG406" s="28"/>
      <c r="CH406" s="28"/>
      <c r="CI406" s="28"/>
      <c r="CJ406" s="28"/>
      <c r="CL406" s="29"/>
      <c r="CM406" s="29"/>
      <c r="CN406" s="29"/>
      <c r="CO406" s="29"/>
      <c r="CP406" s="29"/>
      <c r="CQ406" s="29"/>
      <c r="CR406" s="13"/>
      <c r="CS406" s="7"/>
      <c r="CT406" s="7"/>
      <c r="CU406" s="7"/>
      <c r="CV406" s="7"/>
      <c r="CW406" s="7"/>
      <c r="EP406" s="17"/>
      <c r="EQ406" s="17"/>
      <c r="ER406" s="17"/>
      <c r="ES406" s="15"/>
      <c r="ET406" s="15"/>
    </row>
    <row r="407" spans="1:150" ht="15.75" customHeight="1">
      <c r="A407" s="58"/>
      <c r="B407" s="58"/>
      <c r="C407" s="58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  <c r="BH407" s="60"/>
      <c r="BI407" s="60"/>
      <c r="BJ407" s="60"/>
      <c r="BK407" s="60"/>
      <c r="BL407" s="60"/>
      <c r="BM407" s="60"/>
      <c r="BN407" s="60"/>
      <c r="BO407" s="60"/>
      <c r="BP407" s="60"/>
      <c r="BQ407" s="60"/>
      <c r="BR407" s="60"/>
      <c r="BS407" s="58"/>
      <c r="BT407" s="27"/>
      <c r="BU407" s="6"/>
      <c r="BV407" s="6"/>
      <c r="BW407" s="6"/>
      <c r="BX407" s="6"/>
      <c r="BY407" s="6"/>
      <c r="BZ407" s="6"/>
      <c r="CA407" s="6"/>
      <c r="CB407" s="6"/>
      <c r="CC407" s="6"/>
      <c r="CD407" s="7"/>
      <c r="CE407" s="7"/>
      <c r="CF407" s="27"/>
      <c r="CG407" s="28"/>
      <c r="CH407" s="28"/>
      <c r="CI407" s="28"/>
      <c r="CJ407" s="28"/>
      <c r="CL407" s="29"/>
      <c r="CM407" s="29"/>
      <c r="CN407" s="29"/>
      <c r="CO407" s="29"/>
      <c r="CP407" s="29"/>
      <c r="CQ407" s="29"/>
      <c r="CR407" s="13"/>
      <c r="CS407" s="7"/>
      <c r="CT407" s="7"/>
      <c r="CU407" s="7"/>
      <c r="CV407" s="7"/>
      <c r="CW407" s="7"/>
      <c r="EP407" s="17"/>
      <c r="EQ407" s="17"/>
      <c r="ER407" s="17"/>
      <c r="ES407" s="15"/>
      <c r="ET407" s="15"/>
    </row>
    <row r="408" spans="1:150" ht="15.75" customHeight="1">
      <c r="A408" s="58"/>
      <c r="B408" s="58"/>
      <c r="C408" s="58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0"/>
      <c r="BP408" s="60"/>
      <c r="BQ408" s="60"/>
      <c r="BR408" s="60"/>
      <c r="BS408" s="58"/>
      <c r="BT408" s="27"/>
      <c r="BU408" s="6"/>
      <c r="BV408" s="6"/>
      <c r="BW408" s="6"/>
      <c r="BX408" s="6"/>
      <c r="BY408" s="6"/>
      <c r="BZ408" s="6"/>
      <c r="CA408" s="6"/>
      <c r="CB408" s="6"/>
      <c r="CC408" s="6"/>
      <c r="CD408" s="7"/>
      <c r="CE408" s="7"/>
      <c r="CF408" s="27"/>
      <c r="CG408" s="28"/>
      <c r="CH408" s="28"/>
      <c r="CI408" s="28"/>
      <c r="CJ408" s="28"/>
      <c r="CL408" s="29"/>
      <c r="CM408" s="29"/>
      <c r="CN408" s="29"/>
      <c r="CO408" s="29"/>
      <c r="CP408" s="29"/>
      <c r="CQ408" s="29"/>
      <c r="CR408" s="13"/>
      <c r="CS408" s="7"/>
      <c r="CT408" s="7"/>
      <c r="CU408" s="7"/>
      <c r="CV408" s="7"/>
      <c r="CW408" s="7"/>
      <c r="EP408" s="17"/>
      <c r="EQ408" s="17"/>
      <c r="ER408" s="17"/>
      <c r="ES408" s="15"/>
      <c r="ET408" s="15"/>
    </row>
    <row r="409" spans="1:150" ht="15.75" customHeight="1">
      <c r="A409" s="58"/>
      <c r="B409" s="58"/>
      <c r="C409" s="58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60"/>
      <c r="Z409" s="60"/>
      <c r="AA409" s="60"/>
      <c r="AB409" s="60"/>
      <c r="AC409" s="60"/>
      <c r="AD409" s="60"/>
      <c r="AE409" s="60"/>
      <c r="AF409" s="60"/>
      <c r="AG409" s="60"/>
      <c r="AH409" s="60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0"/>
      <c r="BP409" s="60"/>
      <c r="BQ409" s="60"/>
      <c r="BR409" s="60"/>
      <c r="BS409" s="58"/>
      <c r="BT409" s="27"/>
      <c r="BU409" s="6"/>
      <c r="BV409" s="6"/>
      <c r="BW409" s="6"/>
      <c r="BX409" s="6"/>
      <c r="BY409" s="6"/>
      <c r="BZ409" s="6"/>
      <c r="CA409" s="6"/>
      <c r="CB409" s="6"/>
      <c r="CC409" s="6"/>
      <c r="CD409" s="7"/>
      <c r="CE409" s="7"/>
      <c r="CF409" s="27"/>
      <c r="CG409" s="28"/>
      <c r="CH409" s="28"/>
      <c r="CI409" s="28"/>
      <c r="CJ409" s="28"/>
      <c r="CL409" s="29"/>
      <c r="CM409" s="29"/>
      <c r="CN409" s="29"/>
      <c r="CO409" s="29"/>
      <c r="CP409" s="29"/>
      <c r="CQ409" s="29"/>
      <c r="CR409" s="13"/>
      <c r="CS409" s="7"/>
      <c r="CT409" s="7"/>
      <c r="CU409" s="7"/>
      <c r="CV409" s="7"/>
      <c r="CW409" s="7"/>
      <c r="EP409" s="17"/>
      <c r="EQ409" s="17"/>
      <c r="ER409" s="17"/>
      <c r="ES409" s="15"/>
      <c r="ET409" s="15"/>
    </row>
    <row r="410" spans="1:150" ht="15.75" customHeight="1">
      <c r="A410" s="58"/>
      <c r="B410" s="58"/>
      <c r="C410" s="58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0"/>
      <c r="BP410" s="60"/>
      <c r="BQ410" s="60"/>
      <c r="BR410" s="60"/>
      <c r="BS410" s="58"/>
      <c r="BT410" s="27"/>
      <c r="BU410" s="6"/>
      <c r="BV410" s="6"/>
      <c r="BW410" s="6"/>
      <c r="BX410" s="6"/>
      <c r="BY410" s="6"/>
      <c r="BZ410" s="6"/>
      <c r="CA410" s="6"/>
      <c r="CB410" s="6"/>
      <c r="CC410" s="6"/>
      <c r="CD410" s="7"/>
      <c r="CE410" s="7"/>
      <c r="CF410" s="27"/>
      <c r="CG410" s="28"/>
      <c r="CH410" s="28"/>
      <c r="CI410" s="28"/>
      <c r="CJ410" s="28"/>
      <c r="CL410" s="29"/>
      <c r="CM410" s="29"/>
      <c r="CN410" s="29"/>
      <c r="CO410" s="29"/>
      <c r="CP410" s="29"/>
      <c r="CQ410" s="29"/>
      <c r="CR410" s="13"/>
      <c r="CS410" s="7"/>
      <c r="CT410" s="7"/>
      <c r="CU410" s="7"/>
      <c r="CV410" s="7"/>
      <c r="CW410" s="7"/>
      <c r="EP410" s="17"/>
      <c r="EQ410" s="17"/>
      <c r="ER410" s="17"/>
      <c r="ES410" s="15"/>
      <c r="ET410" s="15"/>
    </row>
    <row r="411" spans="1:150" ht="15.75" customHeight="1">
      <c r="A411" s="58"/>
      <c r="B411" s="58"/>
      <c r="C411" s="58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0"/>
      <c r="BP411" s="60"/>
      <c r="BQ411" s="60"/>
      <c r="BR411" s="60"/>
      <c r="BS411" s="58"/>
      <c r="BT411" s="27"/>
      <c r="BU411" s="6"/>
      <c r="BV411" s="6"/>
      <c r="BW411" s="6"/>
      <c r="BX411" s="6"/>
      <c r="BY411" s="6"/>
      <c r="BZ411" s="6"/>
      <c r="CA411" s="6"/>
      <c r="CB411" s="6"/>
      <c r="CC411" s="6"/>
      <c r="CD411" s="7"/>
      <c r="CE411" s="7"/>
      <c r="CF411" s="27"/>
      <c r="CG411" s="28"/>
      <c r="CH411" s="28"/>
      <c r="CI411" s="28"/>
      <c r="CJ411" s="28"/>
      <c r="CL411" s="29"/>
      <c r="CM411" s="29"/>
      <c r="CN411" s="29"/>
      <c r="CO411" s="29"/>
      <c r="CP411" s="29"/>
      <c r="CQ411" s="29"/>
      <c r="CR411" s="13"/>
      <c r="CS411" s="7"/>
      <c r="CT411" s="7"/>
      <c r="CU411" s="7"/>
      <c r="CV411" s="7"/>
      <c r="CW411" s="7"/>
      <c r="EP411" s="17"/>
      <c r="EQ411" s="17"/>
      <c r="ER411" s="17"/>
      <c r="ES411" s="15"/>
      <c r="ET411" s="15"/>
    </row>
    <row r="412" spans="1:150" ht="15.75" customHeight="1">
      <c r="A412" s="58"/>
      <c r="B412" s="58"/>
      <c r="C412" s="58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0"/>
      <c r="BP412" s="60"/>
      <c r="BQ412" s="60"/>
      <c r="BR412" s="60"/>
      <c r="BS412" s="58"/>
      <c r="BT412" s="27"/>
      <c r="BU412" s="6"/>
      <c r="BV412" s="6"/>
      <c r="BW412" s="6"/>
      <c r="BX412" s="6"/>
      <c r="BY412" s="6"/>
      <c r="BZ412" s="6"/>
      <c r="CA412" s="6"/>
      <c r="CB412" s="6"/>
      <c r="CC412" s="6"/>
      <c r="CD412" s="7"/>
      <c r="CE412" s="7"/>
      <c r="CF412" s="27"/>
      <c r="CG412" s="28"/>
      <c r="CH412" s="28"/>
      <c r="CI412" s="28"/>
      <c r="CJ412" s="28"/>
      <c r="CL412" s="29"/>
      <c r="CM412" s="29"/>
      <c r="CN412" s="29"/>
      <c r="CO412" s="29"/>
      <c r="CP412" s="29"/>
      <c r="CQ412" s="29"/>
      <c r="CR412" s="13"/>
      <c r="CS412" s="7"/>
      <c r="CT412" s="7"/>
      <c r="CU412" s="7"/>
      <c r="CV412" s="7"/>
      <c r="CW412" s="7"/>
      <c r="EP412" s="17"/>
      <c r="EQ412" s="17"/>
      <c r="ER412" s="17"/>
      <c r="ES412" s="15"/>
      <c r="ET412" s="15"/>
    </row>
    <row r="413" spans="1:150" ht="15.75" customHeight="1">
      <c r="A413" s="58"/>
      <c r="B413" s="58"/>
      <c r="C413" s="58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0"/>
      <c r="BP413" s="60"/>
      <c r="BQ413" s="60"/>
      <c r="BR413" s="60"/>
      <c r="BS413" s="58"/>
      <c r="BT413" s="27"/>
      <c r="BU413" s="6"/>
      <c r="BV413" s="6"/>
      <c r="BW413" s="6"/>
      <c r="BX413" s="6"/>
      <c r="BY413" s="6"/>
      <c r="BZ413" s="6"/>
      <c r="CA413" s="6"/>
      <c r="CB413" s="6"/>
      <c r="CC413" s="6"/>
      <c r="CD413" s="7"/>
      <c r="CE413" s="7"/>
      <c r="CF413" s="27"/>
      <c r="CG413" s="28"/>
      <c r="CH413" s="28"/>
      <c r="CI413" s="28"/>
      <c r="CJ413" s="28"/>
      <c r="CL413" s="29"/>
      <c r="CM413" s="29"/>
      <c r="CN413" s="29"/>
      <c r="CO413" s="29"/>
      <c r="CP413" s="29"/>
      <c r="CQ413" s="29"/>
      <c r="CR413" s="13"/>
      <c r="CS413" s="7"/>
      <c r="CT413" s="7"/>
      <c r="CU413" s="7"/>
      <c r="CV413" s="7"/>
      <c r="CW413" s="7"/>
      <c r="EP413" s="17"/>
      <c r="EQ413" s="17"/>
      <c r="ER413" s="17"/>
      <c r="ES413" s="15"/>
      <c r="ET413" s="15"/>
    </row>
    <row r="414" spans="1:150" ht="15.75" customHeight="1">
      <c r="A414" s="58"/>
      <c r="B414" s="58"/>
      <c r="C414" s="58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0"/>
      <c r="BP414" s="60"/>
      <c r="BQ414" s="60"/>
      <c r="BR414" s="60"/>
      <c r="BS414" s="58"/>
      <c r="BT414" s="27"/>
      <c r="BU414" s="6"/>
      <c r="BV414" s="6"/>
      <c r="BW414" s="6"/>
      <c r="BX414" s="6"/>
      <c r="BY414" s="6"/>
      <c r="BZ414" s="6"/>
      <c r="CA414" s="6"/>
      <c r="CB414" s="6"/>
      <c r="CC414" s="6"/>
      <c r="CD414" s="7"/>
      <c r="CE414" s="7"/>
      <c r="CF414" s="27"/>
      <c r="CG414" s="28"/>
      <c r="CH414" s="28"/>
      <c r="CI414" s="28"/>
      <c r="CJ414" s="28"/>
      <c r="CL414" s="29"/>
      <c r="CM414" s="29"/>
      <c r="CN414" s="29"/>
      <c r="CO414" s="29"/>
      <c r="CP414" s="29"/>
      <c r="CQ414" s="29"/>
      <c r="CR414" s="13"/>
      <c r="CS414" s="7"/>
      <c r="CT414" s="7"/>
      <c r="CU414" s="7"/>
      <c r="CV414" s="7"/>
      <c r="CW414" s="7"/>
      <c r="EP414" s="17"/>
      <c r="EQ414" s="17"/>
      <c r="ER414" s="17"/>
      <c r="ES414" s="15"/>
      <c r="ET414" s="15"/>
    </row>
    <row r="415" spans="1:150" ht="15.75" customHeight="1">
      <c r="A415" s="58"/>
      <c r="B415" s="58"/>
      <c r="C415" s="58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0"/>
      <c r="BP415" s="60"/>
      <c r="BQ415" s="60"/>
      <c r="BR415" s="60"/>
      <c r="BS415" s="58"/>
      <c r="BT415" s="27"/>
      <c r="BU415" s="6"/>
      <c r="BV415" s="6"/>
      <c r="BW415" s="6"/>
      <c r="BX415" s="6"/>
      <c r="BY415" s="6"/>
      <c r="BZ415" s="6"/>
      <c r="CA415" s="6"/>
      <c r="CB415" s="6"/>
      <c r="CC415" s="6"/>
      <c r="CD415" s="7"/>
      <c r="CE415" s="7"/>
      <c r="CF415" s="27"/>
      <c r="CG415" s="28"/>
      <c r="CH415" s="28"/>
      <c r="CI415" s="28"/>
      <c r="CJ415" s="28"/>
      <c r="CL415" s="29"/>
      <c r="CM415" s="29"/>
      <c r="CN415" s="29"/>
      <c r="CO415" s="29"/>
      <c r="CP415" s="29"/>
      <c r="CQ415" s="29"/>
      <c r="CR415" s="13"/>
      <c r="CS415" s="7"/>
      <c r="CT415" s="7"/>
      <c r="CU415" s="7"/>
      <c r="CV415" s="7"/>
      <c r="CW415" s="7"/>
      <c r="EP415" s="17"/>
      <c r="EQ415" s="17"/>
      <c r="ER415" s="17"/>
      <c r="ES415" s="15"/>
      <c r="ET415" s="15"/>
    </row>
    <row r="416" spans="1:150" ht="15.75" customHeight="1">
      <c r="A416" s="58"/>
      <c r="B416" s="58"/>
      <c r="C416" s="58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0"/>
      <c r="BP416" s="60"/>
      <c r="BQ416" s="60"/>
      <c r="BR416" s="60"/>
      <c r="BS416" s="58"/>
      <c r="BT416" s="27"/>
      <c r="BU416" s="6"/>
      <c r="BV416" s="6"/>
      <c r="BW416" s="6"/>
      <c r="BX416" s="6"/>
      <c r="BY416" s="6"/>
      <c r="BZ416" s="6"/>
      <c r="CA416" s="6"/>
      <c r="CB416" s="6"/>
      <c r="CC416" s="6"/>
      <c r="CD416" s="7"/>
      <c r="CE416" s="7"/>
      <c r="CF416" s="27"/>
      <c r="CG416" s="28"/>
      <c r="CH416" s="28"/>
      <c r="CI416" s="28"/>
      <c r="CJ416" s="28"/>
      <c r="CL416" s="29"/>
      <c r="CM416" s="29"/>
      <c r="CN416" s="29"/>
      <c r="CO416" s="29"/>
      <c r="CP416" s="29"/>
      <c r="CQ416" s="29"/>
      <c r="CR416" s="13"/>
      <c r="CS416" s="7"/>
      <c r="CT416" s="7"/>
      <c r="CU416" s="7"/>
      <c r="CV416" s="7"/>
      <c r="CW416" s="7"/>
      <c r="EP416" s="17"/>
      <c r="EQ416" s="17"/>
      <c r="ER416" s="17"/>
      <c r="ES416" s="15"/>
      <c r="ET416" s="15"/>
    </row>
    <row r="417" spans="1:150" ht="15.75" customHeight="1">
      <c r="A417" s="58"/>
      <c r="B417" s="58"/>
      <c r="C417" s="58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0"/>
      <c r="BP417" s="60"/>
      <c r="BQ417" s="60"/>
      <c r="BR417" s="60"/>
      <c r="BS417" s="58"/>
      <c r="BT417" s="27"/>
      <c r="BU417" s="6"/>
      <c r="BV417" s="6"/>
      <c r="BW417" s="6"/>
      <c r="BX417" s="6"/>
      <c r="BY417" s="6"/>
      <c r="BZ417" s="6"/>
      <c r="CA417" s="6"/>
      <c r="CB417" s="6"/>
      <c r="CC417" s="6"/>
      <c r="CD417" s="7"/>
      <c r="CE417" s="7"/>
      <c r="CF417" s="27"/>
      <c r="CG417" s="28"/>
      <c r="CH417" s="28"/>
      <c r="CI417" s="28"/>
      <c r="CJ417" s="28"/>
      <c r="CL417" s="29"/>
      <c r="CM417" s="29"/>
      <c r="CN417" s="29"/>
      <c r="CO417" s="29"/>
      <c r="CP417" s="29"/>
      <c r="CQ417" s="29"/>
      <c r="CR417" s="13"/>
      <c r="CS417" s="7"/>
      <c r="CT417" s="7"/>
      <c r="CU417" s="7"/>
      <c r="CV417" s="7"/>
      <c r="CW417" s="7"/>
      <c r="EP417" s="17"/>
      <c r="EQ417" s="17"/>
      <c r="ER417" s="17"/>
      <c r="ES417" s="15"/>
      <c r="ET417" s="15"/>
    </row>
    <row r="418" spans="1:150" ht="15.75" customHeight="1">
      <c r="A418" s="58"/>
      <c r="B418" s="58"/>
      <c r="C418" s="58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0"/>
      <c r="BP418" s="60"/>
      <c r="BQ418" s="60"/>
      <c r="BR418" s="60"/>
      <c r="BS418" s="58"/>
      <c r="BT418" s="27"/>
      <c r="BU418" s="6"/>
      <c r="BV418" s="6"/>
      <c r="BW418" s="6"/>
      <c r="BX418" s="6"/>
      <c r="BY418" s="6"/>
      <c r="BZ418" s="6"/>
      <c r="CA418" s="6"/>
      <c r="CB418" s="6"/>
      <c r="CC418" s="6"/>
      <c r="CD418" s="7"/>
      <c r="CE418" s="7"/>
      <c r="CF418" s="27"/>
      <c r="CG418" s="28"/>
      <c r="CH418" s="28"/>
      <c r="CI418" s="28"/>
      <c r="CJ418" s="28"/>
      <c r="CL418" s="29"/>
      <c r="CM418" s="29"/>
      <c r="CN418" s="29"/>
      <c r="CO418" s="29"/>
      <c r="CP418" s="29"/>
      <c r="CQ418" s="29"/>
      <c r="CR418" s="13"/>
      <c r="CS418" s="7"/>
      <c r="CT418" s="7"/>
      <c r="CU418" s="7"/>
      <c r="CV418" s="7"/>
      <c r="CW418" s="7"/>
      <c r="EP418" s="17"/>
      <c r="EQ418" s="17"/>
      <c r="ER418" s="17"/>
      <c r="ES418" s="15"/>
      <c r="ET418" s="15"/>
    </row>
    <row r="419" spans="1:150" ht="15.75" customHeight="1">
      <c r="A419" s="58"/>
      <c r="B419" s="58"/>
      <c r="C419" s="58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60"/>
      <c r="Z419" s="60"/>
      <c r="AA419" s="60"/>
      <c r="AB419" s="60"/>
      <c r="AC419" s="60"/>
      <c r="AD419" s="60"/>
      <c r="AE419" s="60"/>
      <c r="AF419" s="60"/>
      <c r="AG419" s="60"/>
      <c r="AH419" s="60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0"/>
      <c r="BP419" s="60"/>
      <c r="BQ419" s="60"/>
      <c r="BR419" s="60"/>
      <c r="BS419" s="58"/>
      <c r="BT419" s="27"/>
      <c r="BU419" s="6"/>
      <c r="BV419" s="6"/>
      <c r="BW419" s="6"/>
      <c r="BX419" s="6"/>
      <c r="BY419" s="6"/>
      <c r="BZ419" s="6"/>
      <c r="CA419" s="6"/>
      <c r="CB419" s="6"/>
      <c r="CC419" s="6"/>
      <c r="CD419" s="7"/>
      <c r="CE419" s="7"/>
      <c r="CF419" s="27"/>
      <c r="CG419" s="28"/>
      <c r="CH419" s="28"/>
      <c r="CI419" s="28"/>
      <c r="CJ419" s="28"/>
      <c r="CL419" s="29"/>
      <c r="CM419" s="29"/>
      <c r="CN419" s="29"/>
      <c r="CO419" s="29"/>
      <c r="CP419" s="29"/>
      <c r="CQ419" s="29"/>
      <c r="CR419" s="13"/>
      <c r="CS419" s="7"/>
      <c r="CT419" s="7"/>
      <c r="CU419" s="7"/>
      <c r="CV419" s="7"/>
      <c r="CW419" s="7"/>
      <c r="EP419" s="17"/>
      <c r="EQ419" s="17"/>
      <c r="ER419" s="17"/>
      <c r="ES419" s="15"/>
      <c r="ET419" s="15"/>
    </row>
    <row r="420" spans="1:150" ht="15.75" customHeight="1">
      <c r="A420" s="58"/>
      <c r="B420" s="58"/>
      <c r="C420" s="58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0"/>
      <c r="BP420" s="60"/>
      <c r="BQ420" s="60"/>
      <c r="BR420" s="60"/>
      <c r="BS420" s="58"/>
      <c r="BT420" s="27"/>
      <c r="BU420" s="6"/>
      <c r="BV420" s="6"/>
      <c r="BW420" s="6"/>
      <c r="BX420" s="6"/>
      <c r="BY420" s="6"/>
      <c r="BZ420" s="6"/>
      <c r="CA420" s="6"/>
      <c r="CB420" s="6"/>
      <c r="CC420" s="6"/>
      <c r="CD420" s="7"/>
      <c r="CE420" s="7"/>
      <c r="CF420" s="27"/>
      <c r="CG420" s="28"/>
      <c r="CH420" s="28"/>
      <c r="CI420" s="28"/>
      <c r="CJ420" s="28"/>
      <c r="CL420" s="29"/>
      <c r="CM420" s="29"/>
      <c r="CN420" s="29"/>
      <c r="CO420" s="29"/>
      <c r="CP420" s="29"/>
      <c r="CQ420" s="29"/>
      <c r="CR420" s="13"/>
      <c r="CS420" s="7"/>
      <c r="CT420" s="7"/>
      <c r="CU420" s="7"/>
      <c r="CV420" s="7"/>
      <c r="CW420" s="7"/>
      <c r="EP420" s="17"/>
      <c r="EQ420" s="17"/>
      <c r="ER420" s="17"/>
      <c r="ES420" s="15"/>
      <c r="ET420" s="15"/>
    </row>
    <row r="421" spans="1:150" ht="15.75" customHeight="1">
      <c r="A421" s="58"/>
      <c r="B421" s="58"/>
      <c r="C421" s="58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0"/>
      <c r="BP421" s="60"/>
      <c r="BQ421" s="60"/>
      <c r="BR421" s="60"/>
      <c r="BS421" s="58"/>
      <c r="BT421" s="27"/>
      <c r="BU421" s="6"/>
      <c r="BV421" s="6"/>
      <c r="BW421" s="6"/>
      <c r="BX421" s="6"/>
      <c r="BY421" s="6"/>
      <c r="BZ421" s="6"/>
      <c r="CA421" s="6"/>
      <c r="CB421" s="6"/>
      <c r="CC421" s="6"/>
      <c r="CD421" s="7"/>
      <c r="CE421" s="7"/>
      <c r="CF421" s="27"/>
      <c r="CG421" s="28"/>
      <c r="CH421" s="28"/>
      <c r="CI421" s="28"/>
      <c r="CJ421" s="28"/>
      <c r="CL421" s="29"/>
      <c r="CM421" s="29"/>
      <c r="CN421" s="29"/>
      <c r="CO421" s="29"/>
      <c r="CP421" s="29"/>
      <c r="CQ421" s="29"/>
      <c r="CR421" s="13"/>
      <c r="CS421" s="7"/>
      <c r="CT421" s="7"/>
      <c r="CU421" s="7"/>
      <c r="CV421" s="7"/>
      <c r="CW421" s="7"/>
      <c r="EP421" s="17"/>
      <c r="EQ421" s="17"/>
      <c r="ER421" s="17"/>
      <c r="ES421" s="15"/>
      <c r="ET421" s="15"/>
    </row>
  </sheetData>
  <conditionalFormatting sqref="CG3:CG221">
    <cfRule type="expression" dxfId="12" priority="2">
      <formula>"&gt;cl1"</formula>
    </cfRule>
  </conditionalFormatting>
  <conditionalFormatting sqref="ET3:ET221">
    <cfRule type="cellIs" dxfId="11" priority="1" operator="greaterThan">
      <formula>$ET$1</formula>
    </cfRule>
  </conditionalFormatting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K1000"/>
  <sheetViews>
    <sheetView workbookViewId="0"/>
  </sheetViews>
  <sheetFormatPr baseColWidth="10" defaultColWidth="14.453125" defaultRowHeight="15" customHeight="1"/>
  <cols>
    <col min="1" max="1" width="10.7265625" customWidth="1"/>
    <col min="2" max="2" width="31.453125" customWidth="1"/>
    <col min="3" max="3" width="10.54296875" customWidth="1"/>
    <col min="4" max="4" width="17.453125" customWidth="1"/>
    <col min="5" max="5" width="26.7265625" customWidth="1"/>
    <col min="6" max="26" width="10.7265625" customWidth="1"/>
  </cols>
  <sheetData>
    <row r="3" spans="2:7" ht="14.5">
      <c r="B3" s="325" t="s">
        <v>1405</v>
      </c>
      <c r="C3" s="326"/>
      <c r="D3" s="326"/>
      <c r="E3" s="327"/>
      <c r="G3" s="7" t="s">
        <v>1406</v>
      </c>
    </row>
    <row r="4" spans="2:7" ht="14.5">
      <c r="B4" s="100" t="s">
        <v>1407</v>
      </c>
      <c r="C4" s="100" t="s">
        <v>1362</v>
      </c>
      <c r="D4" s="100" t="s">
        <v>1408</v>
      </c>
      <c r="E4" s="100" t="s">
        <v>1409</v>
      </c>
      <c r="G4" s="7" t="s">
        <v>1410</v>
      </c>
    </row>
    <row r="5" spans="2:7" ht="14.5">
      <c r="B5" s="101" t="s">
        <v>1411</v>
      </c>
      <c r="C5" s="101">
        <v>2024</v>
      </c>
      <c r="D5" s="102">
        <f>5985.3*12</f>
        <v>71823.600000000006</v>
      </c>
      <c r="E5" s="103" t="s">
        <v>1412</v>
      </c>
      <c r="G5" s="7" t="s">
        <v>1413</v>
      </c>
    </row>
    <row r="6" spans="2:7" ht="14.5">
      <c r="B6" s="87" t="s">
        <v>1414</v>
      </c>
      <c r="C6" s="87">
        <v>2024</v>
      </c>
      <c r="D6" s="104">
        <f>882.8*12</f>
        <v>10593.599999999999</v>
      </c>
      <c r="E6" s="105" t="s">
        <v>1412</v>
      </c>
    </row>
    <row r="8" spans="2:7" ht="14.5">
      <c r="B8" s="325" t="s">
        <v>1415</v>
      </c>
      <c r="C8" s="326"/>
      <c r="D8" s="326"/>
      <c r="E8" s="327"/>
      <c r="G8" s="7" t="s">
        <v>1416</v>
      </c>
    </row>
    <row r="9" spans="2:7" ht="14.5">
      <c r="B9" s="100" t="s">
        <v>1407</v>
      </c>
      <c r="C9" s="100" t="s">
        <v>1362</v>
      </c>
      <c r="D9" s="100" t="s">
        <v>1417</v>
      </c>
      <c r="E9" s="100" t="s">
        <v>1409</v>
      </c>
    </row>
    <row r="10" spans="2:7" ht="14.5">
      <c r="B10" s="101" t="s">
        <v>1411</v>
      </c>
      <c r="C10" s="101">
        <v>2024</v>
      </c>
      <c r="D10" s="102">
        <v>153725</v>
      </c>
      <c r="E10" s="103" t="s">
        <v>1412</v>
      </c>
    </row>
    <row r="11" spans="2:7" ht="14.5">
      <c r="B11" s="87" t="s">
        <v>1414</v>
      </c>
      <c r="C11" s="87">
        <v>2024</v>
      </c>
      <c r="D11" s="104">
        <v>79769</v>
      </c>
      <c r="E11" s="105" t="s">
        <v>1412</v>
      </c>
    </row>
    <row r="13" spans="2:7" ht="14.5">
      <c r="B13" s="325" t="s">
        <v>1418</v>
      </c>
      <c r="C13" s="326"/>
      <c r="D13" s="326"/>
      <c r="E13" s="327"/>
      <c r="G13" s="7" t="s">
        <v>1419</v>
      </c>
    </row>
    <row r="14" spans="2:7" ht="14.5">
      <c r="B14" s="100" t="s">
        <v>1407</v>
      </c>
      <c r="C14" s="100" t="s">
        <v>1362</v>
      </c>
      <c r="D14" s="100" t="s">
        <v>1417</v>
      </c>
      <c r="E14" s="100" t="s">
        <v>1409</v>
      </c>
    </row>
    <row r="15" spans="2:7" ht="14.5">
      <c r="B15" s="101" t="s">
        <v>1411</v>
      </c>
      <c r="C15" s="101">
        <v>2024</v>
      </c>
      <c r="D15" s="102">
        <v>75492</v>
      </c>
      <c r="E15" s="103" t="s">
        <v>1412</v>
      </c>
    </row>
    <row r="16" spans="2:7" ht="14.5">
      <c r="B16" s="87" t="s">
        <v>1414</v>
      </c>
      <c r="C16" s="87">
        <v>2024</v>
      </c>
      <c r="D16" s="104">
        <v>36426</v>
      </c>
      <c r="E16" s="105" t="s">
        <v>1412</v>
      </c>
    </row>
    <row r="18" spans="2:7" ht="14.5">
      <c r="B18" s="325" t="s">
        <v>1420</v>
      </c>
      <c r="C18" s="326"/>
      <c r="D18" s="326"/>
      <c r="E18" s="327"/>
      <c r="G18" s="7" t="s">
        <v>1421</v>
      </c>
    </row>
    <row r="19" spans="2:7" ht="14.5">
      <c r="B19" s="100" t="s">
        <v>1407</v>
      </c>
      <c r="C19" s="100" t="s">
        <v>1362</v>
      </c>
      <c r="D19" s="100" t="s">
        <v>1417</v>
      </c>
      <c r="E19" s="100" t="s">
        <v>1409</v>
      </c>
    </row>
    <row r="20" spans="2:7" ht="14.5">
      <c r="B20" s="101" t="s">
        <v>1411</v>
      </c>
      <c r="C20" s="101">
        <v>2024</v>
      </c>
      <c r="D20" s="102">
        <v>85809.9</v>
      </c>
      <c r="E20" s="103" t="s">
        <v>1412</v>
      </c>
    </row>
    <row r="21" spans="2:7" ht="15.75" customHeight="1">
      <c r="B21" s="87" t="s">
        <v>1414</v>
      </c>
      <c r="C21" s="87">
        <v>2024</v>
      </c>
      <c r="D21" s="104">
        <v>19102.900000000001</v>
      </c>
      <c r="E21" s="105" t="s">
        <v>1412</v>
      </c>
    </row>
    <row r="22" spans="2:7" ht="15.75" customHeight="1"/>
    <row r="23" spans="2:7" ht="15.75" customHeight="1">
      <c r="B23" s="325" t="s">
        <v>1422</v>
      </c>
      <c r="C23" s="326"/>
      <c r="D23" s="326"/>
      <c r="E23" s="327"/>
    </row>
    <row r="24" spans="2:7" ht="15.75" customHeight="1">
      <c r="B24" s="100" t="s">
        <v>1407</v>
      </c>
      <c r="C24" s="100" t="s">
        <v>1362</v>
      </c>
      <c r="D24" s="100" t="s">
        <v>1417</v>
      </c>
      <c r="E24" s="100" t="s">
        <v>1409</v>
      </c>
    </row>
    <row r="25" spans="2:7" ht="15.75" customHeight="1">
      <c r="B25" s="101" t="s">
        <v>1411</v>
      </c>
      <c r="C25" s="101">
        <v>2024</v>
      </c>
      <c r="D25" s="102">
        <f t="shared" ref="D25:D26" si="0">+D20/D15*D10</f>
        <v>174735.42729693212</v>
      </c>
      <c r="E25" s="103" t="s">
        <v>1412</v>
      </c>
    </row>
    <row r="26" spans="2:7" ht="15.75" customHeight="1">
      <c r="B26" s="87" t="s">
        <v>1414</v>
      </c>
      <c r="C26" s="87">
        <v>2024</v>
      </c>
      <c r="D26" s="104">
        <f t="shared" si="0"/>
        <v>41833.284744413337</v>
      </c>
      <c r="E26" s="105" t="s">
        <v>1412</v>
      </c>
    </row>
    <row r="27" spans="2:7" ht="15.75" customHeight="1"/>
    <row r="28" spans="2:7" ht="15.75" customHeight="1">
      <c r="B28" s="106" t="s">
        <v>1423</v>
      </c>
      <c r="C28" s="106" t="s">
        <v>1424</v>
      </c>
      <c r="D28" s="107" t="s">
        <v>1425</v>
      </c>
      <c r="E28" s="106" t="s">
        <v>1409</v>
      </c>
    </row>
    <row r="29" spans="2:7" ht="15.75" customHeight="1">
      <c r="B29" s="101" t="s">
        <v>1426</v>
      </c>
      <c r="C29" s="108" t="s">
        <v>1414</v>
      </c>
      <c r="D29" s="109">
        <f>+D26</f>
        <v>41833.284744413337</v>
      </c>
      <c r="E29" s="103" t="s">
        <v>1427</v>
      </c>
    </row>
    <row r="30" spans="2:7" ht="15.75" customHeight="1">
      <c r="B30" s="87" t="s">
        <v>1405</v>
      </c>
      <c r="C30" s="110"/>
      <c r="D30" s="111">
        <f>+D6</f>
        <v>10593.599999999999</v>
      </c>
      <c r="E30" s="105" t="s">
        <v>1427</v>
      </c>
    </row>
    <row r="31" spans="2:7" ht="15.75" customHeight="1">
      <c r="B31" s="87" t="s">
        <v>1428</v>
      </c>
      <c r="C31" s="110"/>
      <c r="D31" s="112">
        <f>+H42</f>
        <v>0.46800000000000003</v>
      </c>
      <c r="E31" s="105"/>
    </row>
    <row r="32" spans="2:7" ht="15.75" customHeight="1">
      <c r="B32" s="87" t="s">
        <v>1426</v>
      </c>
      <c r="C32" s="110" t="s">
        <v>1429</v>
      </c>
      <c r="D32" s="111">
        <f>+D25</f>
        <v>174735.42729693212</v>
      </c>
      <c r="E32" s="105" t="s">
        <v>1427</v>
      </c>
    </row>
    <row r="33" spans="2:11" ht="15.75" customHeight="1">
      <c r="B33" s="87" t="s">
        <v>1405</v>
      </c>
      <c r="C33" s="87"/>
      <c r="D33" s="111">
        <f>+D5</f>
        <v>71823.600000000006</v>
      </c>
      <c r="E33" s="105" t="s">
        <v>1427</v>
      </c>
    </row>
    <row r="34" spans="2:11" ht="15.75" customHeight="1">
      <c r="B34" s="75" t="s">
        <v>1430</v>
      </c>
      <c r="C34" s="87"/>
      <c r="D34" s="113">
        <f>D31*(D30/D29)/(D33/D32)</f>
        <v>0.28832430503402762</v>
      </c>
      <c r="E34" s="87"/>
    </row>
    <row r="35" spans="2:11" ht="15.75" customHeight="1"/>
    <row r="36" spans="2:11" ht="15.75" customHeight="1"/>
    <row r="37" spans="2:11" ht="15.75" customHeight="1"/>
    <row r="38" spans="2:11" ht="15.75" customHeight="1"/>
    <row r="39" spans="2:11" ht="15.75" customHeight="1"/>
    <row r="40" spans="2:11" ht="15.75" customHeight="1">
      <c r="B40" s="325" t="s">
        <v>1431</v>
      </c>
      <c r="C40" s="326"/>
      <c r="D40" s="326"/>
      <c r="E40" s="326"/>
      <c r="F40" s="326"/>
      <c r="G40" s="326"/>
      <c r="H40" s="326"/>
      <c r="I40" s="327"/>
      <c r="K40" s="7" t="s">
        <v>1432</v>
      </c>
    </row>
    <row r="41" spans="2:11" ht="15.75" customHeight="1">
      <c r="B41" s="100"/>
      <c r="C41" s="100" t="s">
        <v>1433</v>
      </c>
      <c r="D41" s="100">
        <v>2020</v>
      </c>
      <c r="E41" s="100">
        <v>2021</v>
      </c>
      <c r="F41" s="100">
        <v>2022</v>
      </c>
      <c r="G41" s="100">
        <v>2023</v>
      </c>
      <c r="H41" s="100">
        <v>2024</v>
      </c>
      <c r="I41" s="100">
        <v>2025</v>
      </c>
    </row>
    <row r="42" spans="2:11" ht="27" customHeight="1">
      <c r="B42" s="114" t="s">
        <v>1434</v>
      </c>
      <c r="C42" s="115" t="s">
        <v>1435</v>
      </c>
      <c r="D42" s="116">
        <v>0.49199999999999999</v>
      </c>
      <c r="E42" s="117">
        <v>0.501</v>
      </c>
      <c r="F42" s="117">
        <v>0.47899999999999998</v>
      </c>
      <c r="G42" s="117">
        <v>0.46899999999999997</v>
      </c>
      <c r="H42" s="116">
        <v>0.46800000000000003</v>
      </c>
      <c r="I42" s="117">
        <v>0.45800000000000002</v>
      </c>
    </row>
    <row r="43" spans="2:11" ht="15.75" customHeight="1"/>
    <row r="44" spans="2:11" ht="15.75" customHeight="1"/>
    <row r="45" spans="2:11" ht="15.75" customHeight="1"/>
    <row r="46" spans="2:11" ht="15.75" customHeight="1"/>
    <row r="47" spans="2:11" ht="15.75" customHeight="1"/>
    <row r="48" spans="2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B40:I40"/>
    <mergeCell ref="B3:E3"/>
    <mergeCell ref="B8:E8"/>
    <mergeCell ref="B13:E13"/>
    <mergeCell ref="B18:E18"/>
    <mergeCell ref="B23:E2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W1000"/>
  <sheetViews>
    <sheetView workbookViewId="0"/>
  </sheetViews>
  <sheetFormatPr baseColWidth="10" defaultColWidth="14.453125" defaultRowHeight="15" customHeight="1"/>
  <cols>
    <col min="1" max="2" width="10.7265625" customWidth="1"/>
    <col min="3" max="3" width="15" customWidth="1"/>
    <col min="4" max="4" width="13.453125" customWidth="1"/>
    <col min="5" max="5" width="13.26953125" customWidth="1"/>
    <col min="6" max="6" width="13.7265625" customWidth="1"/>
    <col min="7" max="7" width="15" customWidth="1"/>
    <col min="8" max="17" width="10.7265625" customWidth="1"/>
    <col min="18" max="18" width="12.54296875" customWidth="1"/>
    <col min="19" max="26" width="10.7265625" customWidth="1"/>
  </cols>
  <sheetData>
    <row r="3" spans="2:22" ht="14.5">
      <c r="B3" s="325" t="s">
        <v>1436</v>
      </c>
      <c r="C3" s="326"/>
      <c r="D3" s="326"/>
      <c r="E3" s="326"/>
      <c r="F3" s="326"/>
      <c r="G3" s="327"/>
    </row>
    <row r="4" spans="2:22" ht="14.5">
      <c r="B4" s="118"/>
      <c r="C4" s="119"/>
      <c r="D4" s="120"/>
      <c r="E4" s="120"/>
      <c r="F4" s="120"/>
      <c r="G4" s="119"/>
    </row>
    <row r="5" spans="2:22" ht="43.5">
      <c r="B5" s="121" t="s">
        <v>1</v>
      </c>
      <c r="C5" s="121" t="s">
        <v>1437</v>
      </c>
      <c r="D5" s="122" t="s">
        <v>1438</v>
      </c>
      <c r="E5" s="122" t="s">
        <v>1439</v>
      </c>
      <c r="F5" s="122" t="s">
        <v>1440</v>
      </c>
      <c r="G5" s="122" t="s">
        <v>1441</v>
      </c>
    </row>
    <row r="6" spans="2:22" ht="14.5">
      <c r="B6" s="328" t="s">
        <v>1442</v>
      </c>
      <c r="C6" s="123" t="s">
        <v>1443</v>
      </c>
      <c r="D6" s="124">
        <v>0.35</v>
      </c>
      <c r="E6" s="124">
        <v>0.24</v>
      </c>
      <c r="F6" s="124">
        <v>0.35</v>
      </c>
      <c r="G6" s="125">
        <v>5.9941077137721101E-2</v>
      </c>
    </row>
    <row r="7" spans="2:22" ht="14.5">
      <c r="B7" s="329"/>
      <c r="C7" s="126" t="s">
        <v>1444</v>
      </c>
      <c r="D7" s="127">
        <v>0.2</v>
      </c>
      <c r="E7" s="127">
        <v>0.06</v>
      </c>
      <c r="F7" s="127">
        <v>0.69</v>
      </c>
      <c r="G7" s="128">
        <v>0.05</v>
      </c>
    </row>
    <row r="8" spans="2:22" ht="14.5">
      <c r="B8" s="328" t="s">
        <v>1445</v>
      </c>
      <c r="C8" s="123" t="s">
        <v>1443</v>
      </c>
      <c r="D8" s="124">
        <v>0.43132423065806502</v>
      </c>
      <c r="E8" s="124">
        <v>0.112555781494482</v>
      </c>
      <c r="F8" s="124">
        <v>0.45445232159387799</v>
      </c>
      <c r="G8" s="125">
        <v>1.6676662535737301E-3</v>
      </c>
    </row>
    <row r="9" spans="2:22" ht="14.5">
      <c r="B9" s="329"/>
      <c r="C9" s="126" t="s">
        <v>1444</v>
      </c>
      <c r="D9" s="127">
        <v>0.209462769745661</v>
      </c>
      <c r="E9" s="127">
        <v>0</v>
      </c>
      <c r="F9" s="127">
        <v>0.79053723025433997</v>
      </c>
      <c r="G9" s="128">
        <v>0</v>
      </c>
    </row>
    <row r="10" spans="2:22" ht="14.5">
      <c r="B10" s="328" t="s">
        <v>1446</v>
      </c>
      <c r="C10" s="123" t="s">
        <v>1443</v>
      </c>
      <c r="D10" s="124">
        <v>0.39317529445464799</v>
      </c>
      <c r="E10" s="124">
        <v>0.10154811542295</v>
      </c>
      <c r="F10" s="124">
        <v>0.496665007989814</v>
      </c>
      <c r="G10" s="125">
        <v>8.6115821325878292E-3</v>
      </c>
    </row>
    <row r="11" spans="2:22" ht="14.5">
      <c r="B11" s="329"/>
      <c r="C11" s="129" t="s">
        <v>1444</v>
      </c>
      <c r="D11" s="130">
        <v>0.17434457120347299</v>
      </c>
      <c r="E11" s="130">
        <v>0</v>
      </c>
      <c r="F11" s="130">
        <v>0.82565542879652698</v>
      </c>
      <c r="G11" s="131">
        <v>0</v>
      </c>
    </row>
    <row r="12" spans="2:22" ht="14.5">
      <c r="B12" s="132"/>
      <c r="C12" s="119"/>
      <c r="D12" s="133"/>
      <c r="E12" s="133"/>
      <c r="F12" s="133"/>
      <c r="G12" s="133"/>
    </row>
    <row r="14" spans="2:22" ht="14.5">
      <c r="B14" s="325" t="s">
        <v>1447</v>
      </c>
      <c r="C14" s="326"/>
      <c r="D14" s="326"/>
      <c r="E14" s="326"/>
      <c r="F14" s="326"/>
      <c r="G14" s="327"/>
      <c r="I14" s="325" t="s">
        <v>1448</v>
      </c>
      <c r="J14" s="326"/>
      <c r="K14" s="326"/>
      <c r="L14" s="326"/>
      <c r="M14" s="326"/>
      <c r="N14" s="327"/>
      <c r="Q14" s="325" t="s">
        <v>1449</v>
      </c>
      <c r="R14" s="326"/>
      <c r="S14" s="326"/>
      <c r="T14" s="326"/>
      <c r="U14" s="326"/>
      <c r="V14" s="327"/>
    </row>
    <row r="15" spans="2:22" ht="14.5">
      <c r="B15" s="118"/>
      <c r="C15" s="119"/>
      <c r="D15" s="120"/>
      <c r="E15" s="120"/>
      <c r="F15" s="120"/>
      <c r="G15" s="119"/>
      <c r="I15" s="118"/>
      <c r="J15" s="119"/>
      <c r="K15" s="120"/>
      <c r="L15" s="120"/>
      <c r="M15" s="120"/>
      <c r="N15" s="119"/>
      <c r="O15" s="119"/>
      <c r="Q15" s="118"/>
      <c r="R15" s="119"/>
      <c r="S15" s="120"/>
      <c r="T15" s="120"/>
      <c r="U15" s="120"/>
      <c r="V15" s="119"/>
    </row>
    <row r="16" spans="2:22" ht="14.5">
      <c r="B16" s="121" t="s">
        <v>1</v>
      </c>
      <c r="C16" s="121" t="s">
        <v>1437</v>
      </c>
      <c r="D16" s="121">
        <v>2021</v>
      </c>
      <c r="E16" s="121">
        <v>2022</v>
      </c>
      <c r="F16" s="121">
        <v>2023</v>
      </c>
      <c r="G16" s="121">
        <v>2024</v>
      </c>
      <c r="I16" s="121" t="s">
        <v>1</v>
      </c>
      <c r="J16" s="121" t="s">
        <v>1437</v>
      </c>
      <c r="K16" s="121">
        <v>2021</v>
      </c>
      <c r="L16" s="121">
        <v>2022</v>
      </c>
      <c r="M16" s="121">
        <v>2023</v>
      </c>
      <c r="N16" s="121">
        <v>2024</v>
      </c>
      <c r="O16" s="134"/>
      <c r="Q16" s="121" t="s">
        <v>1</v>
      </c>
      <c r="R16" s="121" t="s">
        <v>1437</v>
      </c>
      <c r="S16" s="121">
        <v>2021</v>
      </c>
      <c r="T16" s="121">
        <v>2022</v>
      </c>
      <c r="U16" s="121">
        <v>2023</v>
      </c>
      <c r="V16" s="121">
        <v>2024</v>
      </c>
    </row>
    <row r="17" spans="2:22" ht="14.5">
      <c r="B17" s="328" t="s">
        <v>1442</v>
      </c>
      <c r="C17" s="123" t="s">
        <v>1443</v>
      </c>
      <c r="D17" s="135">
        <v>521575072</v>
      </c>
      <c r="E17" s="136">
        <v>548980565.81602693</v>
      </c>
      <c r="F17" s="136">
        <v>573935127.45602703</v>
      </c>
      <c r="G17" s="137">
        <v>597016086.00602698</v>
      </c>
      <c r="I17" s="328" t="s">
        <v>1442</v>
      </c>
      <c r="J17" s="123" t="s">
        <v>1443</v>
      </c>
      <c r="K17" s="135">
        <f>+D17*'T_med_comp-Pan'!AL11</f>
        <v>536248948.56829876</v>
      </c>
      <c r="L17" s="135">
        <f>+E17*'T_med_comp-Pan'!AM11</f>
        <v>539017479.05703104</v>
      </c>
      <c r="M17" s="135">
        <f>+F17*'T_med_comp-Pan'!AN11</f>
        <v>562711507.18577588</v>
      </c>
      <c r="N17" s="138">
        <f>+G17*'T_med_comp-Pan'!AO11</f>
        <v>594874599.98660219</v>
      </c>
      <c r="O17" s="139"/>
      <c r="Q17" s="328" t="s">
        <v>1442</v>
      </c>
      <c r="R17" s="140" t="s">
        <v>1443</v>
      </c>
      <c r="S17" s="141">
        <f t="shared" ref="S17:V17" si="0">+S28+S39+S50</f>
        <v>1225128286.9368362</v>
      </c>
      <c r="T17" s="135">
        <f t="shared" si="0"/>
        <v>1231453343.6554527</v>
      </c>
      <c r="U17" s="135">
        <f t="shared" si="0"/>
        <v>1285585336.2113416</v>
      </c>
      <c r="V17" s="138">
        <f t="shared" si="0"/>
        <v>1359065974.0585005</v>
      </c>
    </row>
    <row r="18" spans="2:22" ht="14.5">
      <c r="B18" s="329"/>
      <c r="C18" s="126" t="s">
        <v>1444</v>
      </c>
      <c r="D18" s="142">
        <v>85427718.829999983</v>
      </c>
      <c r="E18" s="142">
        <v>89414409.219999984</v>
      </c>
      <c r="F18" s="142">
        <v>96270208.129999995</v>
      </c>
      <c r="G18" s="143">
        <v>96662688.579999998</v>
      </c>
      <c r="I18" s="329"/>
      <c r="J18" s="126" t="s">
        <v>1444</v>
      </c>
      <c r="K18" s="142">
        <f>+D18*'T_med_comp-Pan'!AQ11</f>
        <v>87831123.189061746</v>
      </c>
      <c r="L18" s="142">
        <f>+E18*'T_med_comp-Pan'!AR11</f>
        <v>87791685.990737692</v>
      </c>
      <c r="M18" s="142">
        <f>+F18*'T_med_comp-Pan'!AS11</f>
        <v>94387590.726568893</v>
      </c>
      <c r="N18" s="143">
        <f>+G18*'T_med_comp-Pan'!AT11</f>
        <v>96315961.245433673</v>
      </c>
      <c r="O18" s="144"/>
      <c r="Q18" s="329"/>
      <c r="R18" s="145" t="s">
        <v>1444</v>
      </c>
      <c r="S18" s="146">
        <f t="shared" ref="S18:V18" si="1">+S29+S40+S51</f>
        <v>148020413.07849142</v>
      </c>
      <c r="T18" s="147">
        <f t="shared" si="1"/>
        <v>147953950.18726754</v>
      </c>
      <c r="U18" s="147">
        <f t="shared" si="1"/>
        <v>159069924.89161587</v>
      </c>
      <c r="V18" s="148">
        <f t="shared" si="1"/>
        <v>162319777.45420152</v>
      </c>
    </row>
    <row r="19" spans="2:22" ht="14.5">
      <c r="B19" s="328" t="s">
        <v>1445</v>
      </c>
      <c r="C19" s="123" t="s">
        <v>1443</v>
      </c>
      <c r="D19" s="136">
        <v>1152221097.7000372</v>
      </c>
      <c r="E19" s="136">
        <v>1262240584.73</v>
      </c>
      <c r="F19" s="136">
        <v>1366541314.3262</v>
      </c>
      <c r="G19" s="137">
        <v>1445747838.5999999</v>
      </c>
      <c r="I19" s="328" t="s">
        <v>1445</v>
      </c>
      <c r="J19" s="123" t="s">
        <v>1443</v>
      </c>
      <c r="K19" s="136">
        <f>+D19*'T_med_comp-Pan'!AL12</f>
        <v>1284117497.1178393</v>
      </c>
      <c r="L19" s="136">
        <f>+E19*'T_med_comp-Pan'!AM12</f>
        <v>1507658444.5920894</v>
      </c>
      <c r="M19" s="136">
        <f>+F19*'T_med_comp-Pan'!AN12</f>
        <v>1571618817.0511396</v>
      </c>
      <c r="N19" s="137">
        <f>+G19*'T_med_comp-Pan'!AO12</f>
        <v>1486422185.3458142</v>
      </c>
      <c r="O19" s="144"/>
      <c r="Q19" s="328" t="s">
        <v>1445</v>
      </c>
      <c r="R19" s="140" t="s">
        <v>1443</v>
      </c>
      <c r="S19" s="141">
        <f t="shared" ref="S19:V19" si="2">+S30+S41+S52</f>
        <v>2820832658.1330962</v>
      </c>
      <c r="T19" s="135">
        <f t="shared" si="2"/>
        <v>3311887103.2914848</v>
      </c>
      <c r="U19" s="135">
        <f t="shared" si="2"/>
        <v>3452389438.8361654</v>
      </c>
      <c r="V19" s="138">
        <f t="shared" si="2"/>
        <v>3265237218.2514267</v>
      </c>
    </row>
    <row r="20" spans="2:22" ht="14.5">
      <c r="B20" s="329"/>
      <c r="C20" s="126" t="s">
        <v>1444</v>
      </c>
      <c r="D20" s="142">
        <v>99986272.690000027</v>
      </c>
      <c r="E20" s="142">
        <v>72717057.689999998</v>
      </c>
      <c r="F20" s="142">
        <v>81723401.176999986</v>
      </c>
      <c r="G20" s="143">
        <v>85297815.709999993</v>
      </c>
      <c r="I20" s="329"/>
      <c r="J20" s="126" t="s">
        <v>1444</v>
      </c>
      <c r="K20" s="142">
        <f>+D20*'T_med_comp-Pan'!AQ12</f>
        <v>111431844.53844292</v>
      </c>
      <c r="L20" s="142">
        <f>+E20*'T_med_comp-Pan'!AR12</f>
        <v>86855459.583934709</v>
      </c>
      <c r="M20" s="142">
        <f>+F20*'T_med_comp-Pan'!AS12</f>
        <v>93987670.725141093</v>
      </c>
      <c r="N20" s="143">
        <f>+G20*'T_med_comp-Pan'!AT12</f>
        <v>87697565.403700918</v>
      </c>
      <c r="O20" s="144"/>
      <c r="Q20" s="329"/>
      <c r="R20" s="145" t="s">
        <v>1444</v>
      </c>
      <c r="S20" s="146">
        <f t="shared" ref="S20:V20" si="3">+S31+S42+S53</f>
        <v>169044387.05951369</v>
      </c>
      <c r="T20" s="147">
        <f t="shared" si="3"/>
        <v>131761508.47142541</v>
      </c>
      <c r="U20" s="147">
        <f t="shared" si="3"/>
        <v>142581218.63361633</v>
      </c>
      <c r="V20" s="148">
        <f t="shared" si="3"/>
        <v>133039000.22193232</v>
      </c>
    </row>
    <row r="21" spans="2:22" ht="15.75" customHeight="1">
      <c r="B21" s="328" t="s">
        <v>1446</v>
      </c>
      <c r="C21" s="123" t="s">
        <v>1443</v>
      </c>
      <c r="D21" s="136">
        <v>261745735.75</v>
      </c>
      <c r="E21" s="136">
        <v>291766339.75</v>
      </c>
      <c r="F21" s="136">
        <v>332788044.15829998</v>
      </c>
      <c r="G21" s="137">
        <v>338373510.41999996</v>
      </c>
      <c r="I21" s="328" t="s">
        <v>1446</v>
      </c>
      <c r="J21" s="123" t="s">
        <v>1443</v>
      </c>
      <c r="K21" s="136">
        <f>+D21*'T_med_comp-Pan'!AL13</f>
        <v>355782766.47961122</v>
      </c>
      <c r="L21" s="136">
        <f>+E21*'T_med_comp-Pan'!AM13</f>
        <v>376460180.3554517</v>
      </c>
      <c r="M21" s="136">
        <f>+F21*'T_med_comp-Pan'!AN13</f>
        <v>370882768.23633391</v>
      </c>
      <c r="N21" s="137">
        <f>+G21*'T_med_comp-Pan'!AO13</f>
        <v>404163585.43890935</v>
      </c>
      <c r="O21" s="144"/>
      <c r="Q21" s="328" t="s">
        <v>1446</v>
      </c>
      <c r="R21" s="140" t="s">
        <v>1443</v>
      </c>
      <c r="S21" s="141">
        <f t="shared" ref="S21:V21" si="4">+S32+S43+S54</f>
        <v>749695587.31682813</v>
      </c>
      <c r="T21" s="135">
        <f t="shared" si="4"/>
        <v>793266460.89574766</v>
      </c>
      <c r="U21" s="135">
        <f t="shared" si="4"/>
        <v>781513892.62010098</v>
      </c>
      <c r="V21" s="138">
        <f t="shared" si="4"/>
        <v>851642308.4676367</v>
      </c>
    </row>
    <row r="22" spans="2:22" ht="15.75" customHeight="1">
      <c r="B22" s="329"/>
      <c r="C22" s="129" t="s">
        <v>1444</v>
      </c>
      <c r="D22" s="149">
        <v>11884897.08</v>
      </c>
      <c r="E22" s="149">
        <v>11947391.08</v>
      </c>
      <c r="F22" s="149">
        <v>13858100.469999999</v>
      </c>
      <c r="G22" s="150">
        <v>14804595.59</v>
      </c>
      <c r="I22" s="329"/>
      <c r="J22" s="129" t="s">
        <v>1444</v>
      </c>
      <c r="K22" s="149">
        <f>+D22*'T_med_comp-Pan'!AQ13</f>
        <v>16154767.718877168</v>
      </c>
      <c r="L22" s="149">
        <f>+E22*'T_med_comp-Pan'!AR13</f>
        <v>15415475.975082608</v>
      </c>
      <c r="M22" s="149">
        <f>+F22*'T_med_comp-Pan'!AS13</f>
        <v>15444457.080212839</v>
      </c>
      <c r="N22" s="150">
        <f>+G22*'T_med_comp-Pan'!AT13</f>
        <v>17683058.071539294</v>
      </c>
      <c r="O22" s="144"/>
      <c r="Q22" s="329"/>
      <c r="R22" s="151" t="s">
        <v>1444</v>
      </c>
      <c r="S22" s="146">
        <f t="shared" ref="S22:V22" si="5">+S33+S44+S55</f>
        <v>23106771.935495149</v>
      </c>
      <c r="T22" s="147">
        <f t="shared" si="5"/>
        <v>22049335.145630695</v>
      </c>
      <c r="U22" s="147">
        <f t="shared" si="5"/>
        <v>22090787.910432775</v>
      </c>
      <c r="V22" s="148">
        <f t="shared" si="5"/>
        <v>25292743.114078932</v>
      </c>
    </row>
    <row r="23" spans="2:22" ht="15.75" customHeight="1">
      <c r="B23" s="118"/>
      <c r="C23" s="119"/>
      <c r="D23" s="119"/>
      <c r="E23" s="119"/>
      <c r="F23" s="119"/>
      <c r="G23" s="119"/>
    </row>
    <row r="24" spans="2:22" ht="15.75" customHeight="1"/>
    <row r="25" spans="2:22" ht="15.75" customHeight="1">
      <c r="I25" s="325" t="s">
        <v>1450</v>
      </c>
      <c r="J25" s="326"/>
      <c r="K25" s="326"/>
      <c r="L25" s="326"/>
      <c r="M25" s="326"/>
      <c r="N25" s="327"/>
      <c r="Q25" s="325" t="s">
        <v>1451</v>
      </c>
      <c r="R25" s="326"/>
      <c r="S25" s="326"/>
      <c r="T25" s="326"/>
      <c r="U25" s="326"/>
      <c r="V25" s="327"/>
    </row>
    <row r="26" spans="2:22" ht="15" customHeight="1">
      <c r="I26" s="118"/>
      <c r="J26" s="119"/>
      <c r="K26" s="120"/>
      <c r="L26" s="120"/>
      <c r="M26" s="120"/>
      <c r="N26" s="119"/>
      <c r="O26" s="119"/>
      <c r="Q26" s="118"/>
      <c r="R26" s="119"/>
      <c r="S26" s="120"/>
      <c r="T26" s="120"/>
      <c r="U26" s="120"/>
      <c r="V26" s="119"/>
    </row>
    <row r="27" spans="2:22" ht="15.75" customHeight="1">
      <c r="I27" s="121" t="s">
        <v>1</v>
      </c>
      <c r="J27" s="121" t="s">
        <v>1437</v>
      </c>
      <c r="K27" s="121">
        <v>2021</v>
      </c>
      <c r="L27" s="121">
        <v>2022</v>
      </c>
      <c r="M27" s="121">
        <v>2023</v>
      </c>
      <c r="N27" s="121">
        <v>2024</v>
      </c>
      <c r="O27" s="134"/>
      <c r="Q27" s="121" t="s">
        <v>1</v>
      </c>
      <c r="R27" s="121" t="s">
        <v>1437</v>
      </c>
      <c r="S27" s="121">
        <v>2021</v>
      </c>
      <c r="T27" s="121">
        <v>2022</v>
      </c>
      <c r="U27" s="121">
        <v>2023</v>
      </c>
      <c r="V27" s="121">
        <v>2024</v>
      </c>
    </row>
    <row r="28" spans="2:22" ht="15.75" customHeight="1">
      <c r="I28" s="328" t="s">
        <v>1442</v>
      </c>
      <c r="J28" s="123" t="s">
        <v>1443</v>
      </c>
      <c r="K28" s="135">
        <f t="shared" ref="K28:N28" si="6">+K17*($D6+$G6)</f>
        <v>219830471.5900588</v>
      </c>
      <c r="L28" s="135">
        <f t="shared" si="6"/>
        <v>220965405.96069834</v>
      </c>
      <c r="M28" s="135">
        <f t="shared" si="6"/>
        <v>230678561.37352744</v>
      </c>
      <c r="N28" s="138">
        <f t="shared" si="6"/>
        <v>243863534.28037867</v>
      </c>
      <c r="O28" s="139"/>
      <c r="Q28" s="328" t="s">
        <v>1442</v>
      </c>
      <c r="R28" s="140" t="s">
        <v>1443</v>
      </c>
      <c r="S28" s="141">
        <f>+K28/CLR!$D$34</f>
        <v>762441694.13367605</v>
      </c>
      <c r="T28" s="135">
        <f>+L28/CLR!$D$34</f>
        <v>766378005.95624542</v>
      </c>
      <c r="U28" s="135">
        <f>+M28/CLR!$D$34</f>
        <v>800066305.01130688</v>
      </c>
      <c r="V28" s="138">
        <f>+N28/CLR!$D$34</f>
        <v>845795966.63416302</v>
      </c>
    </row>
    <row r="29" spans="2:22" ht="15.75" customHeight="1">
      <c r="I29" s="329"/>
      <c r="J29" s="126" t="s">
        <v>1444</v>
      </c>
      <c r="K29" s="142">
        <f t="shared" ref="K29:N29" si="7">+K18*($D7+$G7)</f>
        <v>21957780.797265437</v>
      </c>
      <c r="L29" s="142">
        <f t="shared" si="7"/>
        <v>21947921.497684423</v>
      </c>
      <c r="M29" s="142">
        <f t="shared" si="7"/>
        <v>23596897.681642223</v>
      </c>
      <c r="N29" s="143">
        <f t="shared" si="7"/>
        <v>24078990.311358418</v>
      </c>
      <c r="O29" s="144"/>
      <c r="Q29" s="329"/>
      <c r="R29" s="145" t="s">
        <v>1444</v>
      </c>
      <c r="S29" s="146">
        <f>+K29/CLR!$D$34</f>
        <v>76156537.669184744</v>
      </c>
      <c r="T29" s="147">
        <f>+L29/CLR!$D$34</f>
        <v>76122342.495871663</v>
      </c>
      <c r="U29" s="147">
        <f>+M29/CLR!$D$34</f>
        <v>81841514.120210409</v>
      </c>
      <c r="V29" s="148">
        <f>+N29/CLR!$D$34</f>
        <v>83513564.035181329</v>
      </c>
    </row>
    <row r="30" spans="2:22" ht="15.75" customHeight="1">
      <c r="I30" s="328" t="s">
        <v>1445</v>
      </c>
      <c r="J30" s="123" t="s">
        <v>1443</v>
      </c>
      <c r="K30" s="136">
        <f t="shared" ref="K30:N30" si="8">+K19*($D8+$G8)</f>
        <v>556012470.93447912</v>
      </c>
      <c r="L30" s="136">
        <f t="shared" si="8"/>
        <v>652803889.81877959</v>
      </c>
      <c r="M30" s="136">
        <f t="shared" si="8"/>
        <v>680498212.81699872</v>
      </c>
      <c r="N30" s="137">
        <f t="shared" si="8"/>
        <v>643608761.64442754</v>
      </c>
      <c r="O30" s="144"/>
      <c r="Q30" s="328" t="s">
        <v>1445</v>
      </c>
      <c r="R30" s="140" t="s">
        <v>1443</v>
      </c>
      <c r="S30" s="141">
        <f>+K30/CLR!$D$34</f>
        <v>1928427334.1744788</v>
      </c>
      <c r="T30" s="135">
        <f>+L30/CLR!$D$34</f>
        <v>2264130627.9806576</v>
      </c>
      <c r="U30" s="135">
        <f>+M30/CLR!$D$34</f>
        <v>2360183310.7225814</v>
      </c>
      <c r="V30" s="138">
        <f>+N30/CLR!$D$34</f>
        <v>2232239011.4439702</v>
      </c>
    </row>
    <row r="31" spans="2:22" ht="15.75" customHeight="1">
      <c r="I31" s="329"/>
      <c r="J31" s="126" t="s">
        <v>1444</v>
      </c>
      <c r="K31" s="142">
        <f t="shared" ref="K31:N31" si="9">+K20*($D9+$G9)</f>
        <v>23340822.794890162</v>
      </c>
      <c r="L31" s="142">
        <f t="shared" si="9"/>
        <v>18192985.13198328</v>
      </c>
      <c r="M31" s="142">
        <f t="shared" si="9"/>
        <v>19686917.832031231</v>
      </c>
      <c r="N31" s="143">
        <f t="shared" si="9"/>
        <v>18369374.94941045</v>
      </c>
      <c r="O31" s="144"/>
      <c r="Q31" s="329"/>
      <c r="R31" s="145" t="s">
        <v>1444</v>
      </c>
      <c r="S31" s="146">
        <f>+K31/CLR!$D$34</f>
        <v>80953365.315960824</v>
      </c>
      <c r="T31" s="147">
        <f>+L31/CLR!$D$34</f>
        <v>63099034.019473903</v>
      </c>
      <c r="U31" s="147">
        <f>+M31/CLR!$D$34</f>
        <v>68280465.740506366</v>
      </c>
      <c r="V31" s="148">
        <f>+N31/CLR!$D$34</f>
        <v>63710809.76764176</v>
      </c>
    </row>
    <row r="32" spans="2:22" ht="15.75" customHeight="1">
      <c r="I32" s="328" t="s">
        <v>1446</v>
      </c>
      <c r="J32" s="123" t="s">
        <v>1443</v>
      </c>
      <c r="K32" s="136">
        <f t="shared" ref="K32:N32" si="10">+K21*($D10+$G10)</f>
        <v>142948846.48740891</v>
      </c>
      <c r="L32" s="136">
        <f t="shared" si="10"/>
        <v>151256760.02448443</v>
      </c>
      <c r="M32" s="136">
        <f t="shared" si="10"/>
        <v>149015829.02970427</v>
      </c>
      <c r="N32" s="137">
        <f t="shared" si="10"/>
        <v>162387624.6237978</v>
      </c>
      <c r="O32" s="144"/>
      <c r="Q32" s="328" t="s">
        <v>1446</v>
      </c>
      <c r="R32" s="140" t="s">
        <v>1443</v>
      </c>
      <c r="S32" s="141">
        <f>+K32/CLR!$D$34</f>
        <v>495791870.44442296</v>
      </c>
      <c r="T32" s="135">
        <f>+L32/CLR!$D$34</f>
        <v>524606345.64482284</v>
      </c>
      <c r="U32" s="135">
        <f>+M32/CLR!$D$34</f>
        <v>516834087.26890934</v>
      </c>
      <c r="V32" s="138">
        <f>+N32/CLR!$D$34</f>
        <v>563211709.13646376</v>
      </c>
    </row>
    <row r="33" spans="9:22" ht="15.75" customHeight="1">
      <c r="I33" s="329"/>
      <c r="J33" s="129" t="s">
        <v>1444</v>
      </c>
      <c r="K33" s="149">
        <f t="shared" ref="K33:N33" si="11">+K22*($D11+$G11)</f>
        <v>2816496.0508393473</v>
      </c>
      <c r="L33" s="149">
        <f t="shared" si="11"/>
        <v>2687604.548773217</v>
      </c>
      <c r="M33" s="149">
        <f t="shared" si="11"/>
        <v>2692657.2471201499</v>
      </c>
      <c r="N33" s="150">
        <f t="shared" si="11"/>
        <v>3082945.1770486301</v>
      </c>
      <c r="O33" s="144"/>
      <c r="Q33" s="329"/>
      <c r="R33" s="151" t="s">
        <v>1444</v>
      </c>
      <c r="S33" s="146">
        <f>+K33/CLR!$D$34</f>
        <v>9768500.2674573287</v>
      </c>
      <c r="T33" s="147">
        <f>+L33/CLR!$D$34</f>
        <v>9321463.7193213031</v>
      </c>
      <c r="U33" s="147">
        <f>+M33/CLR!$D$34</f>
        <v>9338988.0773400851</v>
      </c>
      <c r="V33" s="148">
        <f>+N33/CLR!$D$34</f>
        <v>10692630.21958827</v>
      </c>
    </row>
    <row r="34" spans="9:22" ht="15.75" customHeight="1"/>
    <row r="35" spans="9:22" ht="15.75" customHeight="1"/>
    <row r="36" spans="9:22" ht="15.75" customHeight="1">
      <c r="I36" s="325" t="s">
        <v>1452</v>
      </c>
      <c r="J36" s="326"/>
      <c r="K36" s="326"/>
      <c r="L36" s="326"/>
      <c r="M36" s="326"/>
      <c r="N36" s="327"/>
      <c r="Q36" s="325" t="s">
        <v>1453</v>
      </c>
      <c r="R36" s="326"/>
      <c r="S36" s="326"/>
      <c r="T36" s="326"/>
      <c r="U36" s="326"/>
      <c r="V36" s="327"/>
    </row>
    <row r="37" spans="9:22" ht="15.75" customHeight="1">
      <c r="I37" s="118"/>
      <c r="J37" s="119"/>
      <c r="K37" s="120"/>
      <c r="L37" s="120"/>
      <c r="M37" s="120"/>
      <c r="N37" s="119"/>
      <c r="O37" s="119"/>
      <c r="Q37" s="118"/>
      <c r="R37" s="119"/>
      <c r="S37" s="120"/>
      <c r="T37" s="120"/>
      <c r="U37" s="120"/>
      <c r="V37" s="119"/>
    </row>
    <row r="38" spans="9:22" ht="15.75" customHeight="1">
      <c r="I38" s="121" t="s">
        <v>1</v>
      </c>
      <c r="J38" s="121" t="s">
        <v>1437</v>
      </c>
      <c r="K38" s="121">
        <v>2021</v>
      </c>
      <c r="L38" s="121">
        <v>2022</v>
      </c>
      <c r="M38" s="121">
        <v>2023</v>
      </c>
      <c r="N38" s="121">
        <v>2024</v>
      </c>
      <c r="O38" s="134"/>
      <c r="Q38" s="121" t="s">
        <v>1</v>
      </c>
      <c r="R38" s="121" t="s">
        <v>1437</v>
      </c>
      <c r="S38" s="121">
        <v>2021</v>
      </c>
      <c r="T38" s="121">
        <v>2022</v>
      </c>
      <c r="U38" s="121">
        <v>2023</v>
      </c>
      <c r="V38" s="121">
        <v>2024</v>
      </c>
    </row>
    <row r="39" spans="9:22" ht="15.75" customHeight="1">
      <c r="I39" s="328" t="s">
        <v>1442</v>
      </c>
      <c r="J39" s="123" t="s">
        <v>1443</v>
      </c>
      <c r="K39" s="135">
        <f t="shared" ref="K39:N39" si="12">+K17*$E6</f>
        <v>128699747.6563917</v>
      </c>
      <c r="L39" s="135">
        <f t="shared" si="12"/>
        <v>129364194.97368744</v>
      </c>
      <c r="M39" s="135">
        <f t="shared" si="12"/>
        <v>135050761.72458622</v>
      </c>
      <c r="N39" s="138">
        <f t="shared" si="12"/>
        <v>142769903.99678451</v>
      </c>
      <c r="O39" s="139"/>
      <c r="Q39" s="328" t="s">
        <v>1442</v>
      </c>
      <c r="R39" s="140" t="s">
        <v>1443</v>
      </c>
      <c r="S39" s="141">
        <f>+K39/CLR!$D$31</f>
        <v>274999460.80425572</v>
      </c>
      <c r="T39" s="135">
        <f>+L39/CLR!$D$31</f>
        <v>276419220.02924663</v>
      </c>
      <c r="U39" s="135">
        <f>+M39/CLR!$D$31</f>
        <v>288570003.68501329</v>
      </c>
      <c r="V39" s="138">
        <f>+N39/CLR!$D$31</f>
        <v>305063897.42902672</v>
      </c>
    </row>
    <row r="40" spans="9:22" ht="15.75" customHeight="1">
      <c r="I40" s="329"/>
      <c r="J40" s="126" t="s">
        <v>1444</v>
      </c>
      <c r="K40" s="142">
        <f t="shared" ref="K40:N40" si="13">+K18*$E7</f>
        <v>5269867.3913437044</v>
      </c>
      <c r="L40" s="142">
        <f t="shared" si="13"/>
        <v>5267501.1594442613</v>
      </c>
      <c r="M40" s="142">
        <f t="shared" si="13"/>
        <v>5663255.4435941335</v>
      </c>
      <c r="N40" s="143">
        <f t="shared" si="13"/>
        <v>5778957.6747260205</v>
      </c>
      <c r="O40" s="144"/>
      <c r="Q40" s="329"/>
      <c r="R40" s="145" t="s">
        <v>1444</v>
      </c>
      <c r="S40" s="146">
        <f>+K40/CLR!$D$31</f>
        <v>11260400.408854069</v>
      </c>
      <c r="T40" s="147">
        <f>+L40/CLR!$D$31</f>
        <v>11255344.357786883</v>
      </c>
      <c r="U40" s="147">
        <f>+M40/CLR!$D$31</f>
        <v>12100973.170072934</v>
      </c>
      <c r="V40" s="148">
        <f>+N40/CLR!$D$31</f>
        <v>12348200.159670983</v>
      </c>
    </row>
    <row r="41" spans="9:22" ht="15.75" customHeight="1">
      <c r="I41" s="328" t="s">
        <v>1445</v>
      </c>
      <c r="J41" s="123" t="s">
        <v>1443</v>
      </c>
      <c r="K41" s="136">
        <f t="shared" ref="K41:N41" si="14">+K19*$E8</f>
        <v>144534848.41883665</v>
      </c>
      <c r="L41" s="136">
        <f t="shared" si="14"/>
        <v>169695674.45781782</v>
      </c>
      <c r="M41" s="136">
        <f t="shared" si="14"/>
        <v>176894784.16462436</v>
      </c>
      <c r="N41" s="137">
        <f t="shared" si="14"/>
        <v>167305410.7023339</v>
      </c>
      <c r="O41" s="144"/>
      <c r="Q41" s="328" t="s">
        <v>1445</v>
      </c>
      <c r="R41" s="140" t="s">
        <v>1443</v>
      </c>
      <c r="S41" s="141">
        <f>+K41/CLR!$D$31</f>
        <v>308835146.19409537</v>
      </c>
      <c r="T41" s="135">
        <f>+L41/CLR!$D$31</f>
        <v>362597594.99533719</v>
      </c>
      <c r="U41" s="135">
        <f>+M41/CLR!$D$31</f>
        <v>377980308.04406911</v>
      </c>
      <c r="V41" s="138">
        <f>+N41/CLR!$D$31</f>
        <v>357490193.80840576</v>
      </c>
    </row>
    <row r="42" spans="9:22" ht="15.75" customHeight="1">
      <c r="I42" s="329"/>
      <c r="J42" s="126" t="s">
        <v>1444</v>
      </c>
      <c r="K42" s="142">
        <f t="shared" ref="K42:N42" si="15">+K20*$E9</f>
        <v>0</v>
      </c>
      <c r="L42" s="142">
        <f t="shared" si="15"/>
        <v>0</v>
      </c>
      <c r="M42" s="142">
        <f t="shared" si="15"/>
        <v>0</v>
      </c>
      <c r="N42" s="143">
        <f t="shared" si="15"/>
        <v>0</v>
      </c>
      <c r="O42" s="144"/>
      <c r="Q42" s="329"/>
      <c r="R42" s="145" t="s">
        <v>1444</v>
      </c>
      <c r="S42" s="146">
        <f>+K42/CLR!$D$31</f>
        <v>0</v>
      </c>
      <c r="T42" s="147">
        <f>+L42/CLR!$D$31</f>
        <v>0</v>
      </c>
      <c r="U42" s="147">
        <f>+M42/CLR!$D$31</f>
        <v>0</v>
      </c>
      <c r="V42" s="148">
        <f>+N42/CLR!$D$31</f>
        <v>0</v>
      </c>
    </row>
    <row r="43" spans="9:22" ht="15.75" customHeight="1">
      <c r="I43" s="328" t="s">
        <v>1446</v>
      </c>
      <c r="J43" s="123" t="s">
        <v>1443</v>
      </c>
      <c r="K43" s="136">
        <f t="shared" ref="K43:N43" si="16">+K21*$E10</f>
        <v>36129069.435968027</v>
      </c>
      <c r="L43" s="136">
        <f t="shared" si="16"/>
        <v>38228821.846879981</v>
      </c>
      <c r="M43" s="136">
        <f t="shared" si="16"/>
        <v>37662446.157246448</v>
      </c>
      <c r="N43" s="137">
        <f t="shared" si="16"/>
        <v>41042050.423903681</v>
      </c>
      <c r="O43" s="144"/>
      <c r="Q43" s="328" t="s">
        <v>1446</v>
      </c>
      <c r="R43" s="140" t="s">
        <v>1443</v>
      </c>
      <c r="S43" s="141">
        <f>+K43/CLR!$D$31</f>
        <v>77198866.31617099</v>
      </c>
      <c r="T43" s="135">
        <f>+L43/CLR!$D$31</f>
        <v>81685516.766837567</v>
      </c>
      <c r="U43" s="135">
        <f>+M43/CLR!$D$31</f>
        <v>80475312.30180864</v>
      </c>
      <c r="V43" s="138">
        <f>+N43/CLR!$D$31</f>
        <v>87696688.939965129</v>
      </c>
    </row>
    <row r="44" spans="9:22" ht="15.75" customHeight="1">
      <c r="I44" s="329"/>
      <c r="J44" s="129" t="s">
        <v>1444</v>
      </c>
      <c r="K44" s="149">
        <f t="shared" ref="K44:N44" si="17">+K22*$E11</f>
        <v>0</v>
      </c>
      <c r="L44" s="149">
        <f t="shared" si="17"/>
        <v>0</v>
      </c>
      <c r="M44" s="149">
        <f t="shared" si="17"/>
        <v>0</v>
      </c>
      <c r="N44" s="150">
        <f t="shared" si="17"/>
        <v>0</v>
      </c>
      <c r="O44" s="144"/>
      <c r="Q44" s="329"/>
      <c r="R44" s="151" t="s">
        <v>1444</v>
      </c>
      <c r="S44" s="146">
        <f>+K44/CLR!$D$31</f>
        <v>0</v>
      </c>
      <c r="T44" s="147">
        <f>+L44/CLR!$D$31</f>
        <v>0</v>
      </c>
      <c r="U44" s="147">
        <f>+M44/CLR!$D$31</f>
        <v>0</v>
      </c>
      <c r="V44" s="148">
        <f>+N44/CLR!$D$31</f>
        <v>0</v>
      </c>
    </row>
    <row r="45" spans="9:22" ht="15.75" customHeight="1"/>
    <row r="46" spans="9:22" ht="15.75" customHeight="1"/>
    <row r="47" spans="9:22" ht="15.75" customHeight="1">
      <c r="I47" s="325" t="s">
        <v>1454</v>
      </c>
      <c r="J47" s="326"/>
      <c r="K47" s="326"/>
      <c r="L47" s="326"/>
      <c r="M47" s="326"/>
      <c r="N47" s="327"/>
      <c r="Q47" s="325" t="s">
        <v>1455</v>
      </c>
      <c r="R47" s="326"/>
      <c r="S47" s="326"/>
      <c r="T47" s="326"/>
      <c r="U47" s="326"/>
      <c r="V47" s="327"/>
    </row>
    <row r="48" spans="9:22" ht="15.75" customHeight="1">
      <c r="I48" s="118"/>
      <c r="J48" s="119"/>
      <c r="K48" s="120"/>
      <c r="L48" s="120"/>
      <c r="M48" s="120"/>
      <c r="N48" s="119"/>
      <c r="O48" s="119"/>
      <c r="Q48" s="118"/>
      <c r="R48" s="119"/>
      <c r="S48" s="120"/>
      <c r="T48" s="120"/>
      <c r="U48" s="120"/>
      <c r="V48" s="119"/>
    </row>
    <row r="49" spans="9:23" ht="15.75" customHeight="1">
      <c r="I49" s="121" t="s">
        <v>1</v>
      </c>
      <c r="J49" s="121" t="s">
        <v>1437</v>
      </c>
      <c r="K49" s="121">
        <v>2021</v>
      </c>
      <c r="L49" s="121">
        <v>2022</v>
      </c>
      <c r="M49" s="121">
        <v>2023</v>
      </c>
      <c r="N49" s="121">
        <v>2024</v>
      </c>
      <c r="O49" s="134"/>
      <c r="Q49" s="121" t="s">
        <v>1</v>
      </c>
      <c r="R49" s="121" t="s">
        <v>1437</v>
      </c>
      <c r="S49" s="121">
        <v>2021</v>
      </c>
      <c r="T49" s="121">
        <v>2022</v>
      </c>
      <c r="U49" s="121">
        <v>2023</v>
      </c>
      <c r="V49" s="121">
        <v>2024</v>
      </c>
    </row>
    <row r="50" spans="9:23" ht="15.75" customHeight="1">
      <c r="I50" s="328" t="s">
        <v>1442</v>
      </c>
      <c r="J50" s="123" t="s">
        <v>1443</v>
      </c>
      <c r="K50" s="135">
        <f t="shared" ref="K50:N50" si="18">+K17*$F6</f>
        <v>187687131.99890456</v>
      </c>
      <c r="L50" s="135">
        <f t="shared" si="18"/>
        <v>188656117.66996086</v>
      </c>
      <c r="M50" s="135">
        <f t="shared" si="18"/>
        <v>196949027.51502153</v>
      </c>
      <c r="N50" s="138">
        <f t="shared" si="18"/>
        <v>208206109.99531075</v>
      </c>
      <c r="O50" s="139"/>
      <c r="Q50" s="328" t="s">
        <v>1442</v>
      </c>
      <c r="R50" s="140" t="s">
        <v>1443</v>
      </c>
      <c r="S50" s="141">
        <f t="shared" ref="S50:V50" si="19">+K50</f>
        <v>187687131.99890456</v>
      </c>
      <c r="T50" s="135">
        <f t="shared" si="19"/>
        <v>188656117.66996086</v>
      </c>
      <c r="U50" s="135">
        <f t="shared" si="19"/>
        <v>196949027.51502153</v>
      </c>
      <c r="V50" s="138">
        <f t="shared" si="19"/>
        <v>208206109.99531075</v>
      </c>
    </row>
    <row r="51" spans="9:23" ht="15.75" customHeight="1">
      <c r="I51" s="329"/>
      <c r="J51" s="126" t="s">
        <v>1444</v>
      </c>
      <c r="K51" s="142">
        <f t="shared" ref="K51:N51" si="20">+K18*$F7</f>
        <v>60603475.0004526</v>
      </c>
      <c r="L51" s="142">
        <f t="shared" si="20"/>
        <v>60576263.333609</v>
      </c>
      <c r="M51" s="142">
        <f t="shared" si="20"/>
        <v>65127437.60133253</v>
      </c>
      <c r="N51" s="143">
        <f t="shared" si="20"/>
        <v>66458013.259349227</v>
      </c>
      <c r="O51" s="144"/>
      <c r="Q51" s="329"/>
      <c r="R51" s="145" t="s">
        <v>1444</v>
      </c>
      <c r="S51" s="146">
        <f t="shared" ref="S51:V51" si="21">+K51</f>
        <v>60603475.0004526</v>
      </c>
      <c r="T51" s="147">
        <f t="shared" si="21"/>
        <v>60576263.333609</v>
      </c>
      <c r="U51" s="147">
        <f t="shared" si="21"/>
        <v>65127437.60133253</v>
      </c>
      <c r="V51" s="148">
        <f t="shared" si="21"/>
        <v>66458013.259349227</v>
      </c>
    </row>
    <row r="52" spans="9:23" ht="15.75" customHeight="1">
      <c r="I52" s="328" t="s">
        <v>1445</v>
      </c>
      <c r="J52" s="123" t="s">
        <v>1443</v>
      </c>
      <c r="K52" s="136">
        <f t="shared" ref="K52:N52" si="22">+K19*$F8</f>
        <v>583570177.76452208</v>
      </c>
      <c r="L52" s="136">
        <f t="shared" si="22"/>
        <v>685158880.31549013</v>
      </c>
      <c r="M52" s="136">
        <f t="shared" si="22"/>
        <v>714225820.06951463</v>
      </c>
      <c r="N52" s="137">
        <f t="shared" si="22"/>
        <v>675508012.99905086</v>
      </c>
      <c r="O52" s="144"/>
      <c r="Q52" s="328" t="s">
        <v>1445</v>
      </c>
      <c r="R52" s="140" t="s">
        <v>1443</v>
      </c>
      <c r="S52" s="141">
        <f t="shared" ref="S52:V52" si="23">+K52</f>
        <v>583570177.76452208</v>
      </c>
      <c r="T52" s="135">
        <f t="shared" si="23"/>
        <v>685158880.31549013</v>
      </c>
      <c r="U52" s="135">
        <f t="shared" si="23"/>
        <v>714225820.06951463</v>
      </c>
      <c r="V52" s="138">
        <f t="shared" si="23"/>
        <v>675508012.99905086</v>
      </c>
    </row>
    <row r="53" spans="9:23" ht="15.75" customHeight="1">
      <c r="I53" s="329"/>
      <c r="J53" s="126" t="s">
        <v>1444</v>
      </c>
      <c r="K53" s="142">
        <f t="shared" ref="K53:N53" si="24">+K20*$F9</f>
        <v>88091021.743552864</v>
      </c>
      <c r="L53" s="142">
        <f t="shared" si="24"/>
        <v>68662474.451951519</v>
      </c>
      <c r="M53" s="142">
        <f t="shared" si="24"/>
        <v>74300752.893109947</v>
      </c>
      <c r="N53" s="143">
        <f t="shared" si="24"/>
        <v>69328190.454290554</v>
      </c>
      <c r="O53" s="144"/>
      <c r="Q53" s="329"/>
      <c r="R53" s="145" t="s">
        <v>1444</v>
      </c>
      <c r="S53" s="146">
        <f t="shared" ref="S53:V53" si="25">+K53</f>
        <v>88091021.743552864</v>
      </c>
      <c r="T53" s="147">
        <f t="shared" si="25"/>
        <v>68662474.451951519</v>
      </c>
      <c r="U53" s="147">
        <f t="shared" si="25"/>
        <v>74300752.893109947</v>
      </c>
      <c r="V53" s="148">
        <f t="shared" si="25"/>
        <v>69328190.454290554</v>
      </c>
    </row>
    <row r="54" spans="9:23" ht="15.75" customHeight="1">
      <c r="I54" s="328" t="s">
        <v>1446</v>
      </c>
      <c r="J54" s="123" t="s">
        <v>1443</v>
      </c>
      <c r="K54" s="136">
        <f t="shared" ref="K54:N54" si="26">+K21*$F10</f>
        <v>176704850.55623424</v>
      </c>
      <c r="L54" s="136">
        <f t="shared" si="26"/>
        <v>186974598.48408723</v>
      </c>
      <c r="M54" s="136">
        <f t="shared" si="26"/>
        <v>184204493.0493831</v>
      </c>
      <c r="N54" s="137">
        <f t="shared" si="26"/>
        <v>200733910.39120778</v>
      </c>
      <c r="O54" s="144"/>
      <c r="Q54" s="328" t="s">
        <v>1446</v>
      </c>
      <c r="R54" s="140" t="s">
        <v>1443</v>
      </c>
      <c r="S54" s="141">
        <f t="shared" ref="S54:V54" si="27">+K54</f>
        <v>176704850.55623424</v>
      </c>
      <c r="T54" s="135">
        <f t="shared" si="27"/>
        <v>186974598.48408723</v>
      </c>
      <c r="U54" s="135">
        <f t="shared" si="27"/>
        <v>184204493.0493831</v>
      </c>
      <c r="V54" s="138">
        <f t="shared" si="27"/>
        <v>200733910.39120778</v>
      </c>
    </row>
    <row r="55" spans="9:23" ht="15.75" customHeight="1">
      <c r="I55" s="329"/>
      <c r="J55" s="129" t="s">
        <v>1444</v>
      </c>
      <c r="K55" s="149">
        <f t="shared" ref="K55:N55" si="28">+K22*$F11</f>
        <v>13338271.668037821</v>
      </c>
      <c r="L55" s="149">
        <f t="shared" si="28"/>
        <v>12727871.42630939</v>
      </c>
      <c r="M55" s="149">
        <f t="shared" si="28"/>
        <v>12751799.83309269</v>
      </c>
      <c r="N55" s="150">
        <f t="shared" si="28"/>
        <v>14600112.894490663</v>
      </c>
      <c r="O55" s="144"/>
      <c r="Q55" s="329"/>
      <c r="R55" s="151" t="s">
        <v>1444</v>
      </c>
      <c r="S55" s="146">
        <f t="shared" ref="S55:V55" si="29">+K55</f>
        <v>13338271.668037821</v>
      </c>
      <c r="T55" s="147">
        <f t="shared" si="29"/>
        <v>12727871.42630939</v>
      </c>
      <c r="U55" s="147">
        <f t="shared" si="29"/>
        <v>12751799.83309269</v>
      </c>
      <c r="V55" s="148">
        <f t="shared" si="29"/>
        <v>14600112.894490663</v>
      </c>
    </row>
    <row r="56" spans="9:23" ht="15.75" customHeight="1"/>
    <row r="57" spans="9:23" ht="15.75" customHeight="1"/>
    <row r="58" spans="9:23" ht="15.75" customHeight="1">
      <c r="I58" s="325" t="s">
        <v>1456</v>
      </c>
      <c r="J58" s="326"/>
      <c r="K58" s="326"/>
      <c r="L58" s="326"/>
      <c r="M58" s="326"/>
      <c r="N58" s="326"/>
      <c r="O58" s="327"/>
      <c r="Q58" s="325" t="s">
        <v>1456</v>
      </c>
      <c r="R58" s="326"/>
      <c r="S58" s="326"/>
      <c r="T58" s="326"/>
      <c r="U58" s="326"/>
      <c r="V58" s="326"/>
      <c r="W58" s="327"/>
    </row>
    <row r="59" spans="9:23" ht="15.75" customHeight="1">
      <c r="I59" s="118"/>
      <c r="J59" s="119"/>
      <c r="K59" s="120"/>
      <c r="L59" s="120"/>
      <c r="M59" s="120"/>
      <c r="N59" s="119"/>
      <c r="Q59" s="118"/>
      <c r="R59" s="119"/>
      <c r="S59" s="120"/>
      <c r="T59" s="120"/>
      <c r="U59" s="120"/>
      <c r="V59" s="119"/>
    </row>
    <row r="60" spans="9:23" ht="15.75" customHeight="1">
      <c r="I60" s="121" t="s">
        <v>1</v>
      </c>
      <c r="J60" s="121" t="s">
        <v>1437</v>
      </c>
      <c r="K60" s="121">
        <v>2021</v>
      </c>
      <c r="L60" s="121">
        <v>2022</v>
      </c>
      <c r="M60" s="121">
        <v>2023</v>
      </c>
      <c r="N60" s="121">
        <v>2024</v>
      </c>
      <c r="O60" s="121" t="s">
        <v>1365</v>
      </c>
      <c r="Q60" s="121" t="s">
        <v>1</v>
      </c>
      <c r="R60" s="121" t="s">
        <v>1437</v>
      </c>
      <c r="S60" s="121">
        <v>2021</v>
      </c>
      <c r="T60" s="121">
        <v>2022</v>
      </c>
      <c r="U60" s="121">
        <v>2023</v>
      </c>
      <c r="V60" s="121">
        <v>2024</v>
      </c>
      <c r="W60" s="121" t="s">
        <v>1365</v>
      </c>
    </row>
    <row r="61" spans="9:23" ht="15.75" customHeight="1">
      <c r="I61" s="328" t="s">
        <v>1442</v>
      </c>
      <c r="J61" s="140" t="s">
        <v>1443</v>
      </c>
      <c r="K61" s="152">
        <f t="shared" ref="K61:N61" si="30">+K28/K17</f>
        <v>0.4099410771377211</v>
      </c>
      <c r="L61" s="153">
        <f t="shared" si="30"/>
        <v>0.4099410771377211</v>
      </c>
      <c r="M61" s="153">
        <f t="shared" si="30"/>
        <v>0.4099410771377211</v>
      </c>
      <c r="N61" s="154">
        <f t="shared" si="30"/>
        <v>0.4099410771377211</v>
      </c>
      <c r="O61" s="155">
        <f t="shared" ref="O61:O66" si="31">AVERAGE(K61:N61)</f>
        <v>0.4099410771377211</v>
      </c>
      <c r="Q61" s="328" t="s">
        <v>1442</v>
      </c>
      <c r="R61" s="140" t="s">
        <v>1443</v>
      </c>
      <c r="S61" s="141">
        <f t="shared" ref="S61:V61" si="32">+S28/S17</f>
        <v>0.62233620941035794</v>
      </c>
      <c r="T61" s="135">
        <f t="shared" si="32"/>
        <v>0.62233620941035805</v>
      </c>
      <c r="U61" s="135">
        <f t="shared" si="32"/>
        <v>0.62233620941035794</v>
      </c>
      <c r="V61" s="138">
        <f t="shared" si="32"/>
        <v>0.62233620941035794</v>
      </c>
      <c r="W61" s="156">
        <f t="shared" ref="W61:W66" si="33">AVERAGE(S61:V61)</f>
        <v>0.62233620941035794</v>
      </c>
    </row>
    <row r="62" spans="9:23" ht="15.75" customHeight="1">
      <c r="I62" s="329"/>
      <c r="J62" s="145" t="s">
        <v>1444</v>
      </c>
      <c r="K62" s="157">
        <f t="shared" ref="K62:N62" si="34">+K29/K18</f>
        <v>0.25</v>
      </c>
      <c r="L62" s="158">
        <f t="shared" si="34"/>
        <v>0.25</v>
      </c>
      <c r="M62" s="158">
        <f t="shared" si="34"/>
        <v>0.25</v>
      </c>
      <c r="N62" s="159">
        <f t="shared" si="34"/>
        <v>0.25</v>
      </c>
      <c r="O62" s="160">
        <f t="shared" si="31"/>
        <v>0.25</v>
      </c>
      <c r="Q62" s="329"/>
      <c r="R62" s="145" t="s">
        <v>1444</v>
      </c>
      <c r="S62" s="146">
        <f t="shared" ref="S62:V62" si="35">+S29/S18</f>
        <v>0.51450023740172168</v>
      </c>
      <c r="T62" s="147">
        <f t="shared" si="35"/>
        <v>0.51450023740172179</v>
      </c>
      <c r="U62" s="147">
        <f t="shared" si="35"/>
        <v>0.51450023740172168</v>
      </c>
      <c r="V62" s="148">
        <f t="shared" si="35"/>
        <v>0.51450023740172179</v>
      </c>
      <c r="W62" s="161">
        <f t="shared" si="33"/>
        <v>0.51450023740172179</v>
      </c>
    </row>
    <row r="63" spans="9:23" ht="15.75" customHeight="1">
      <c r="I63" s="328" t="s">
        <v>1445</v>
      </c>
      <c r="J63" s="140" t="s">
        <v>1443</v>
      </c>
      <c r="K63" s="152">
        <f t="shared" ref="K63:N63" si="36">+K30/K19</f>
        <v>0.43299189691163881</v>
      </c>
      <c r="L63" s="153">
        <f t="shared" si="36"/>
        <v>0.43299189691163875</v>
      </c>
      <c r="M63" s="153">
        <f t="shared" si="36"/>
        <v>0.43299189691163875</v>
      </c>
      <c r="N63" s="154">
        <f t="shared" si="36"/>
        <v>0.4329918969116387</v>
      </c>
      <c r="O63" s="155">
        <f t="shared" si="31"/>
        <v>0.43299189691163875</v>
      </c>
      <c r="Q63" s="328" t="s">
        <v>1445</v>
      </c>
      <c r="R63" s="140" t="s">
        <v>1443</v>
      </c>
      <c r="S63" s="141">
        <f t="shared" ref="S63:V63" si="37">+S30/S19</f>
        <v>0.68363762331465794</v>
      </c>
      <c r="T63" s="135">
        <f t="shared" si="37"/>
        <v>0.68363762331465794</v>
      </c>
      <c r="U63" s="135">
        <f t="shared" si="37"/>
        <v>0.68363762331465783</v>
      </c>
      <c r="V63" s="138">
        <f t="shared" si="37"/>
        <v>0.68363762331465794</v>
      </c>
      <c r="W63" s="156">
        <f t="shared" si="33"/>
        <v>0.68363762331465794</v>
      </c>
    </row>
    <row r="64" spans="9:23" ht="15.75" customHeight="1">
      <c r="I64" s="329"/>
      <c r="J64" s="145" t="s">
        <v>1444</v>
      </c>
      <c r="K64" s="157">
        <f t="shared" ref="K64:N64" si="38">+K31/K20</f>
        <v>0.209462769745661</v>
      </c>
      <c r="L64" s="158">
        <f t="shared" si="38"/>
        <v>0.209462769745661</v>
      </c>
      <c r="M64" s="158">
        <f t="shared" si="38"/>
        <v>0.209462769745661</v>
      </c>
      <c r="N64" s="159">
        <f t="shared" si="38"/>
        <v>0.20946276974566097</v>
      </c>
      <c r="O64" s="160">
        <f t="shared" si="31"/>
        <v>0.20946276974566097</v>
      </c>
      <c r="Q64" s="329"/>
      <c r="R64" s="145" t="s">
        <v>1444</v>
      </c>
      <c r="S64" s="146">
        <f t="shared" ref="S64:V64" si="39">+S31/S20</f>
        <v>0.47888821820188815</v>
      </c>
      <c r="T64" s="147">
        <f t="shared" si="39"/>
        <v>0.47888821820188809</v>
      </c>
      <c r="U64" s="147">
        <f t="shared" si="39"/>
        <v>0.47888821820188809</v>
      </c>
      <c r="V64" s="148">
        <f t="shared" si="39"/>
        <v>0.47888821820188804</v>
      </c>
      <c r="W64" s="161">
        <f t="shared" si="33"/>
        <v>0.47888821820188809</v>
      </c>
    </row>
    <row r="65" spans="9:23" ht="15.75" customHeight="1">
      <c r="I65" s="328" t="s">
        <v>1446</v>
      </c>
      <c r="J65" s="140" t="s">
        <v>1443</v>
      </c>
      <c r="K65" s="152">
        <f t="shared" ref="K65:N65" si="40">+K32/K21</f>
        <v>0.40178687658723583</v>
      </c>
      <c r="L65" s="153">
        <f t="shared" si="40"/>
        <v>0.40178687658723583</v>
      </c>
      <c r="M65" s="153">
        <f t="shared" si="40"/>
        <v>0.40178687658723583</v>
      </c>
      <c r="N65" s="154">
        <f t="shared" si="40"/>
        <v>0.40178687658723578</v>
      </c>
      <c r="O65" s="162">
        <f t="shared" si="31"/>
        <v>0.40178687658723578</v>
      </c>
      <c r="Q65" s="328" t="s">
        <v>1446</v>
      </c>
      <c r="R65" s="140" t="s">
        <v>1443</v>
      </c>
      <c r="S65" s="141">
        <f t="shared" ref="S65:V65" si="41">+S32/S21</f>
        <v>0.6613242479109015</v>
      </c>
      <c r="T65" s="135">
        <f t="shared" si="41"/>
        <v>0.6613242479109015</v>
      </c>
      <c r="U65" s="135">
        <f t="shared" si="41"/>
        <v>0.6613242479109015</v>
      </c>
      <c r="V65" s="138">
        <f t="shared" si="41"/>
        <v>0.66132424791090139</v>
      </c>
      <c r="W65" s="163">
        <f t="shared" si="33"/>
        <v>0.66132424791090139</v>
      </c>
    </row>
    <row r="66" spans="9:23" ht="15.75" customHeight="1">
      <c r="I66" s="329"/>
      <c r="J66" s="151" t="s">
        <v>1444</v>
      </c>
      <c r="K66" s="157">
        <f t="shared" ref="K66:N66" si="42">+K33/K22</f>
        <v>0.17434457120347299</v>
      </c>
      <c r="L66" s="158">
        <f t="shared" si="42"/>
        <v>0.17434457120347299</v>
      </c>
      <c r="M66" s="158">
        <f t="shared" si="42"/>
        <v>0.17434457120347299</v>
      </c>
      <c r="N66" s="159">
        <f t="shared" si="42"/>
        <v>0.17434457120347299</v>
      </c>
      <c r="O66" s="160">
        <f t="shared" si="31"/>
        <v>0.17434457120347299</v>
      </c>
      <c r="Q66" s="329"/>
      <c r="R66" s="151" t="s">
        <v>1444</v>
      </c>
      <c r="S66" s="146">
        <f t="shared" ref="S66:V66" si="43">+S33/S22</f>
        <v>0.42275486574788845</v>
      </c>
      <c r="T66" s="147">
        <f t="shared" si="43"/>
        <v>0.42275486574788845</v>
      </c>
      <c r="U66" s="147">
        <f t="shared" si="43"/>
        <v>0.42275486574788845</v>
      </c>
      <c r="V66" s="148">
        <f t="shared" si="43"/>
        <v>0.42275486574788851</v>
      </c>
      <c r="W66" s="161">
        <f t="shared" si="33"/>
        <v>0.42275486574788851</v>
      </c>
    </row>
    <row r="67" spans="9:23" ht="15.75" customHeight="1"/>
    <row r="68" spans="9:23" ht="15.75" customHeight="1"/>
    <row r="69" spans="9:23" ht="15.75" customHeight="1">
      <c r="I69" s="106" t="s">
        <v>1437</v>
      </c>
      <c r="J69" s="106" t="s">
        <v>1457</v>
      </c>
      <c r="K69" s="106" t="s">
        <v>1458</v>
      </c>
      <c r="Q69" s="106" t="s">
        <v>1437</v>
      </c>
      <c r="R69" s="106" t="s">
        <v>1457</v>
      </c>
      <c r="S69" s="106" t="s">
        <v>1458</v>
      </c>
    </row>
    <row r="70" spans="9:23" ht="15.75" customHeight="1">
      <c r="I70" s="164" t="s">
        <v>170</v>
      </c>
      <c r="J70" s="165">
        <f t="shared" ref="J70:J71" si="44">(N28+N30+N32)/(N17+N19+N21)</f>
        <v>0.42240058739009201</v>
      </c>
      <c r="K70" s="165">
        <f>(N39+N41+N43)/(N39+N41+N43+N50+N52+N54)</f>
        <v>0.24458472284703842</v>
      </c>
      <c r="Q70" s="164" t="s">
        <v>170</v>
      </c>
      <c r="R70" s="165">
        <f t="shared" ref="R70:R71" si="45">(V28+V30+V32)/(V17+V19+V21)</f>
        <v>0.66495305453597975</v>
      </c>
      <c r="S70" s="165">
        <f>(V39+V41+V43)/(V39+V41+V43+V50+V52+V54)</f>
        <v>0.40892312930666702</v>
      </c>
    </row>
    <row r="71" spans="9:23" ht="15.75" customHeight="1">
      <c r="I71" s="166" t="s">
        <v>171</v>
      </c>
      <c r="J71" s="167">
        <f t="shared" si="44"/>
        <v>0.22574160341323096</v>
      </c>
      <c r="K71" s="167">
        <f>+(N40+N42+N44)/(N51+N53+N55+N40+N42+N44)</f>
        <v>3.7005395093526398E-2</v>
      </c>
      <c r="Q71" s="166" t="s">
        <v>171</v>
      </c>
      <c r="R71" s="167">
        <f t="shared" si="45"/>
        <v>0.49248793092651205</v>
      </c>
      <c r="S71" s="167">
        <f>+(V40+V42+V44)/(V51+V53+V55+V40+V42+V44)</f>
        <v>7.5879416395048346E-2</v>
      </c>
    </row>
    <row r="72" spans="9:23" ht="15.75" customHeight="1"/>
    <row r="73" spans="9:23" ht="15.75" customHeight="1"/>
    <row r="74" spans="9:23" ht="15.75" customHeight="1"/>
    <row r="75" spans="9:23" ht="15.75" customHeight="1"/>
    <row r="76" spans="9:23" ht="15.75" customHeight="1"/>
    <row r="77" spans="9:23" ht="15.75" customHeight="1"/>
    <row r="78" spans="9:23" ht="15.75" customHeight="1"/>
    <row r="79" spans="9:23" ht="15.75" customHeight="1"/>
    <row r="80" spans="9:23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8">
    <mergeCell ref="I65:I66"/>
    <mergeCell ref="Q65:Q66"/>
    <mergeCell ref="I43:I44"/>
    <mergeCell ref="I47:N47"/>
    <mergeCell ref="Q47:V47"/>
    <mergeCell ref="I21:I22"/>
    <mergeCell ref="I28:I29"/>
    <mergeCell ref="I30:I31"/>
    <mergeCell ref="I32:I33"/>
    <mergeCell ref="I36:N36"/>
    <mergeCell ref="I39:I40"/>
    <mergeCell ref="I41:I42"/>
    <mergeCell ref="Q41:Q42"/>
    <mergeCell ref="Q43:Q44"/>
    <mergeCell ref="Q50:Q51"/>
    <mergeCell ref="Q52:Q53"/>
    <mergeCell ref="Q54:Q55"/>
    <mergeCell ref="B19:B20"/>
    <mergeCell ref="I19:I20"/>
    <mergeCell ref="B21:B22"/>
    <mergeCell ref="I25:N25"/>
    <mergeCell ref="Q39:Q40"/>
    <mergeCell ref="Q19:Q20"/>
    <mergeCell ref="Q21:Q22"/>
    <mergeCell ref="Q25:V25"/>
    <mergeCell ref="Q28:Q29"/>
    <mergeCell ref="Q30:Q31"/>
    <mergeCell ref="Q32:Q33"/>
    <mergeCell ref="Q36:V36"/>
    <mergeCell ref="I14:N14"/>
    <mergeCell ref="Q14:V14"/>
    <mergeCell ref="B17:B18"/>
    <mergeCell ref="I17:I18"/>
    <mergeCell ref="Q17:Q18"/>
    <mergeCell ref="B3:G3"/>
    <mergeCell ref="B6:B7"/>
    <mergeCell ref="B8:B9"/>
    <mergeCell ref="B10:B11"/>
    <mergeCell ref="B14:G14"/>
    <mergeCell ref="Q61:Q62"/>
    <mergeCell ref="Q63:Q64"/>
    <mergeCell ref="I50:I51"/>
    <mergeCell ref="I52:I53"/>
    <mergeCell ref="I54:I55"/>
    <mergeCell ref="I58:O58"/>
    <mergeCell ref="Q58:W58"/>
    <mergeCell ref="I61:I62"/>
    <mergeCell ref="I63:I6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4:AT1000"/>
  <sheetViews>
    <sheetView workbookViewId="0"/>
  </sheetViews>
  <sheetFormatPr baseColWidth="10" defaultColWidth="14.453125" defaultRowHeight="15" customHeight="1"/>
  <cols>
    <col min="1" max="1" width="10.7265625" customWidth="1"/>
    <col min="2" max="2" width="16.7265625" customWidth="1"/>
    <col min="3" max="46" width="10.7265625" customWidth="1"/>
  </cols>
  <sheetData>
    <row r="4" spans="2:46" ht="14.5">
      <c r="B4" s="168" t="s">
        <v>76</v>
      </c>
      <c r="C4" s="169">
        <v>45473</v>
      </c>
      <c r="D4" s="119"/>
      <c r="E4" s="119"/>
      <c r="F4" s="119"/>
      <c r="G4" s="119"/>
      <c r="H4" s="119"/>
      <c r="I4" s="119"/>
      <c r="J4" s="119"/>
      <c r="K4" s="119"/>
    </row>
    <row r="5" spans="2:46" ht="14.5">
      <c r="B5" s="168" t="s">
        <v>1459</v>
      </c>
      <c r="C5" s="170">
        <f>+VLOOKUP(YEAR($C$4),'IPC Pan'!$A$11:$D$22,2,0)</f>
        <v>110.3</v>
      </c>
      <c r="D5" s="119"/>
      <c r="E5" s="119"/>
      <c r="F5" s="119"/>
      <c r="G5" s="119"/>
      <c r="H5" s="119"/>
      <c r="I5" s="119"/>
      <c r="J5" s="119"/>
      <c r="K5" s="119"/>
    </row>
    <row r="6" spans="2:46" ht="14.5">
      <c r="B6" s="168" t="s">
        <v>1460</v>
      </c>
      <c r="C6" s="171">
        <f>+'IPC Pan'!$B$18</f>
        <v>103.2</v>
      </c>
      <c r="D6" s="119"/>
      <c r="E6" s="119"/>
      <c r="F6" s="119"/>
      <c r="G6" s="119"/>
      <c r="H6" s="119"/>
      <c r="I6" s="119"/>
      <c r="J6" s="172"/>
      <c r="K6" s="119"/>
    </row>
    <row r="7" spans="2:46" ht="14.5">
      <c r="B7" s="168" t="s">
        <v>1461</v>
      </c>
      <c r="C7" s="171">
        <f>+'IPM Pan'!$B$51</f>
        <v>176.01333333333335</v>
      </c>
      <c r="D7" s="119"/>
      <c r="E7" s="119"/>
      <c r="F7" s="119"/>
      <c r="G7" s="119"/>
      <c r="H7" s="119"/>
      <c r="I7" s="119"/>
      <c r="J7" s="119"/>
      <c r="K7" s="119"/>
    </row>
    <row r="8" spans="2:46" ht="14.5">
      <c r="B8" s="119"/>
      <c r="C8" s="119"/>
      <c r="D8" s="119"/>
      <c r="E8" s="119"/>
      <c r="F8" s="119"/>
      <c r="G8" s="119"/>
      <c r="H8" s="119"/>
      <c r="I8" s="119"/>
      <c r="J8" s="119"/>
      <c r="K8" s="119"/>
      <c r="AL8" s="173" t="s">
        <v>1462</v>
      </c>
    </row>
    <row r="9" spans="2:46" ht="14.5">
      <c r="B9" s="119"/>
      <c r="C9" s="168" t="s">
        <v>1362</v>
      </c>
      <c r="D9" s="174">
        <v>2021</v>
      </c>
      <c r="E9" s="174">
        <v>2021</v>
      </c>
      <c r="F9" s="174">
        <v>2022</v>
      </c>
      <c r="G9" s="174">
        <v>2022</v>
      </c>
      <c r="H9" s="174">
        <v>2023</v>
      </c>
      <c r="I9" s="174">
        <v>2023</v>
      </c>
      <c r="J9" s="174">
        <v>2024</v>
      </c>
      <c r="K9" s="174">
        <v>2024</v>
      </c>
      <c r="M9" s="119"/>
      <c r="N9" s="119"/>
      <c r="O9" s="119"/>
      <c r="P9" s="119"/>
      <c r="Q9" s="119"/>
      <c r="R9" s="175">
        <v>44561</v>
      </c>
      <c r="S9" s="175">
        <v>44926</v>
      </c>
      <c r="T9" s="175">
        <v>45291</v>
      </c>
      <c r="U9" s="176">
        <v>45657</v>
      </c>
      <c r="W9" s="177">
        <v>2021</v>
      </c>
      <c r="X9" s="177">
        <v>2022</v>
      </c>
      <c r="Y9" s="177">
        <v>2023</v>
      </c>
      <c r="Z9" s="178">
        <v>2024</v>
      </c>
      <c r="AA9" s="119"/>
      <c r="AB9" s="177">
        <v>2021</v>
      </c>
      <c r="AC9" s="177">
        <v>2022</v>
      </c>
      <c r="AD9" s="177">
        <v>2023</v>
      </c>
      <c r="AE9" s="178">
        <v>2024</v>
      </c>
      <c r="AF9" s="119"/>
      <c r="AG9" s="177">
        <v>2021</v>
      </c>
      <c r="AH9" s="177">
        <v>2022</v>
      </c>
      <c r="AI9" s="177">
        <v>2023</v>
      </c>
      <c r="AJ9" s="178">
        <v>2024</v>
      </c>
      <c r="AL9" s="177">
        <v>2021</v>
      </c>
      <c r="AM9" s="177">
        <v>2022</v>
      </c>
      <c r="AN9" s="177">
        <v>2023</v>
      </c>
      <c r="AO9" s="178">
        <v>2024</v>
      </c>
      <c r="AQ9" s="177">
        <v>2021</v>
      </c>
      <c r="AR9" s="177">
        <v>2022</v>
      </c>
      <c r="AS9" s="177">
        <v>2023</v>
      </c>
      <c r="AT9" s="178">
        <v>2024</v>
      </c>
    </row>
    <row r="10" spans="2:46" ht="42">
      <c r="B10" s="179" t="s">
        <v>1463</v>
      </c>
      <c r="C10" s="180" t="s">
        <v>1464</v>
      </c>
      <c r="D10" s="174" t="s">
        <v>1465</v>
      </c>
      <c r="E10" s="174" t="s">
        <v>1466</v>
      </c>
      <c r="F10" s="174" t="s">
        <v>1465</v>
      </c>
      <c r="G10" s="174" t="s">
        <v>1466</v>
      </c>
      <c r="H10" s="174" t="s">
        <v>1465</v>
      </c>
      <c r="I10" s="174" t="s">
        <v>1466</v>
      </c>
      <c r="J10" s="174" t="s">
        <v>1465</v>
      </c>
      <c r="K10" s="174" t="s">
        <v>1466</v>
      </c>
      <c r="M10" s="174" t="s">
        <v>1467</v>
      </c>
      <c r="N10" s="174" t="s">
        <v>1468</v>
      </c>
      <c r="O10" s="174" t="s">
        <v>1469</v>
      </c>
      <c r="P10" s="174" t="s">
        <v>1470</v>
      </c>
      <c r="Q10" s="181" t="s">
        <v>1471</v>
      </c>
      <c r="R10" s="182" t="s">
        <v>1472</v>
      </c>
      <c r="S10" s="182" t="s">
        <v>1473</v>
      </c>
      <c r="T10" s="182" t="s">
        <v>1474</v>
      </c>
      <c r="U10" s="183" t="s">
        <v>1475</v>
      </c>
      <c r="W10" s="182" t="s">
        <v>1476</v>
      </c>
      <c r="X10" s="182" t="s">
        <v>1476</v>
      </c>
      <c r="Y10" s="182" t="s">
        <v>1476</v>
      </c>
      <c r="Z10" s="183" t="s">
        <v>1476</v>
      </c>
      <c r="AA10" s="184"/>
      <c r="AB10" s="182" t="s">
        <v>1477</v>
      </c>
      <c r="AC10" s="182" t="s">
        <v>1477</v>
      </c>
      <c r="AD10" s="182" t="s">
        <v>1477</v>
      </c>
      <c r="AE10" s="182" t="s">
        <v>1477</v>
      </c>
      <c r="AF10" s="184"/>
      <c r="AG10" s="182" t="s">
        <v>1478</v>
      </c>
      <c r="AH10" s="182" t="s">
        <v>1478</v>
      </c>
      <c r="AI10" s="182" t="s">
        <v>1478</v>
      </c>
      <c r="AJ10" s="182" t="s">
        <v>1478</v>
      </c>
      <c r="AL10" s="182" t="s">
        <v>1477</v>
      </c>
      <c r="AM10" s="182" t="s">
        <v>1477</v>
      </c>
      <c r="AN10" s="182" t="s">
        <v>1477</v>
      </c>
      <c r="AO10" s="182" t="s">
        <v>1477</v>
      </c>
      <c r="AQ10" s="182" t="s">
        <v>1478</v>
      </c>
      <c r="AR10" s="182" t="s">
        <v>1478</v>
      </c>
      <c r="AS10" s="182" t="s">
        <v>1478</v>
      </c>
      <c r="AT10" s="182" t="s">
        <v>1478</v>
      </c>
    </row>
    <row r="11" spans="2:46" ht="14.5">
      <c r="B11" s="185" t="s">
        <v>1442</v>
      </c>
      <c r="C11" s="185"/>
      <c r="D11" s="186">
        <v>256075323.28</v>
      </c>
      <c r="E11" s="186">
        <v>25503828.75</v>
      </c>
      <c r="F11" s="186">
        <v>273033809.61000001</v>
      </c>
      <c r="G11" s="186">
        <v>26920824.329999998</v>
      </c>
      <c r="H11" s="186">
        <v>293945357.95999992</v>
      </c>
      <c r="I11" s="186">
        <v>28230615.489999998</v>
      </c>
      <c r="J11" s="186">
        <v>308367682</v>
      </c>
      <c r="K11" s="186">
        <v>29276590</v>
      </c>
      <c r="M11" s="187"/>
      <c r="N11" s="187">
        <f t="shared" ref="N11:N13" si="0">IF(G11=0,"-",F11/G11)</f>
        <v>10.142104352493282</v>
      </c>
      <c r="O11" s="187">
        <f t="shared" ref="O11:O13" si="1">IF(I11=0,"-",H11/I11)</f>
        <v>10.412290092085412</v>
      </c>
      <c r="P11" s="187" t="str">
        <f t="shared" ref="P11:P13" si="2">IFERROR(IF($P$9=1,J11/K11,""),"")</f>
        <v/>
      </c>
      <c r="Q11" s="188">
        <f t="shared" ref="Q11:Q13" si="3">IFERROR(AVERAGE(M11:P11),"-")</f>
        <v>10.277197222289347</v>
      </c>
      <c r="R11" s="189" t="str">
        <f t="shared" ref="R11:T11" si="4">IF(ISERROR(R$9-365*$Q11),"-",MONTH(R$9-365*$Q11)&amp;"_"&amp;YEAR(R$9-365*$Q11))</f>
        <v>9_2011</v>
      </c>
      <c r="S11" s="189" t="str">
        <f t="shared" si="4"/>
        <v>9_2012</v>
      </c>
      <c r="T11" s="189" t="str">
        <f t="shared" si="4"/>
        <v>9_2013</v>
      </c>
      <c r="U11" s="189" t="str">
        <f t="shared" ref="U11:U13" si="5">IF(ISERROR(U$9-365*$Q11),"-",MONTH(U$9-365*$Q11)&amp;"_"&amp;YEAR(U$9-365*$Q11))</f>
        <v>9_2014</v>
      </c>
      <c r="W11" s="190">
        <f>IF(R11="-","-",VLOOKUP(VALUE(RIGHT(R11,4)),'IPM Pan'!$A$11:$F$55,2,FALSE))</f>
        <v>182.97499999999999</v>
      </c>
      <c r="X11" s="190">
        <f>IF(S11="-","-",VLOOKUP(VALUE(RIGHT(S11,4)),'IPM Pan'!$A$11:$F$55,2,FALSE))</f>
        <v>191.6</v>
      </c>
      <c r="Y11" s="190">
        <f>IF(T11="-","-",VLOOKUP(VALUE(RIGHT(T11,4)),'IPM Pan'!$A$11:$F$55,2,FALSE))</f>
        <v>191.875</v>
      </c>
      <c r="Z11" s="190">
        <f>IF(U11="-","-",VLOOKUP(VALUE(RIGHT(U11,4)),'IPM Pan'!$A$11:$F$55,2,FALSE))</f>
        <v>188.8</v>
      </c>
      <c r="AA11" s="119"/>
      <c r="AB11" s="190">
        <f t="shared" ref="AB11:AE11" si="6">IF(W11="-","-",$C$7/W11)</f>
        <v>0.96195290795646049</v>
      </c>
      <c r="AC11" s="190">
        <f t="shared" si="6"/>
        <v>0.91864996520528885</v>
      </c>
      <c r="AD11" s="190">
        <f t="shared" si="6"/>
        <v>0.91733333333333344</v>
      </c>
      <c r="AE11" s="190">
        <f t="shared" si="6"/>
        <v>0.9322740112994351</v>
      </c>
      <c r="AF11" s="119"/>
      <c r="AG11" s="190">
        <f t="shared" ref="AG11:AJ11" si="7">IF(W11="-","-",$C$7/W11)</f>
        <v>0.96195290795646049</v>
      </c>
      <c r="AH11" s="190">
        <f t="shared" si="7"/>
        <v>0.91864996520528885</v>
      </c>
      <c r="AI11" s="190">
        <f t="shared" si="7"/>
        <v>0.91733333333333344</v>
      </c>
      <c r="AJ11" s="190">
        <f t="shared" si="7"/>
        <v>0.9322740112994351</v>
      </c>
      <c r="AL11" s="190">
        <f t="shared" ref="AL11:AO11" si="8">IF(AB11="-","-",AB11*$C$5/$C$6)</f>
        <v>1.0281337766240077</v>
      </c>
      <c r="AM11" s="190">
        <f t="shared" si="8"/>
        <v>0.9818516585479008</v>
      </c>
      <c r="AN11" s="190">
        <f t="shared" si="8"/>
        <v>0.98044444444444456</v>
      </c>
      <c r="AO11" s="190">
        <f t="shared" si="8"/>
        <v>0.99641301789077219</v>
      </c>
      <c r="AQ11" s="190">
        <f t="shared" ref="AQ11:AT11" si="9">IF(AG11="-","-",AG11*$C$5/$C$6)</f>
        <v>1.0281337766240077</v>
      </c>
      <c r="AR11" s="190">
        <f t="shared" si="9"/>
        <v>0.9818516585479008</v>
      </c>
      <c r="AS11" s="190">
        <f t="shared" si="9"/>
        <v>0.98044444444444456</v>
      </c>
      <c r="AT11" s="190">
        <f t="shared" si="9"/>
        <v>0.99641301789077219</v>
      </c>
    </row>
    <row r="12" spans="2:46" ht="14.5">
      <c r="B12" s="185" t="s">
        <v>1445</v>
      </c>
      <c r="C12" s="185"/>
      <c r="D12" s="186">
        <v>435092024.76940596</v>
      </c>
      <c r="E12" s="186">
        <v>29157797.249999989</v>
      </c>
      <c r="F12" s="186">
        <v>475737325.72188997</v>
      </c>
      <c r="G12" s="186">
        <v>35196650.389999978</v>
      </c>
      <c r="H12" s="186">
        <v>515176454.20189005</v>
      </c>
      <c r="I12" s="186">
        <v>39614985.929999977</v>
      </c>
      <c r="J12" s="186">
        <v>558225963</v>
      </c>
      <c r="K12" s="186">
        <v>43182842</v>
      </c>
      <c r="M12" s="187"/>
      <c r="N12" s="187">
        <f t="shared" si="0"/>
        <v>13.51655116184169</v>
      </c>
      <c r="O12" s="187">
        <f t="shared" si="1"/>
        <v>13.004585060618506</v>
      </c>
      <c r="P12" s="187" t="str">
        <f t="shared" si="2"/>
        <v/>
      </c>
      <c r="Q12" s="188">
        <f t="shared" si="3"/>
        <v>13.260568111230098</v>
      </c>
      <c r="R12" s="189" t="str">
        <f t="shared" ref="R12:T12" si="10">IF(ISERROR(R$9-365*$Q12),"-",MONTH(R$9-365*$Q12)&amp;"_"&amp;YEAR(R$9-365*$Q12))</f>
        <v>9_2008</v>
      </c>
      <c r="S12" s="189" t="str">
        <f t="shared" si="10"/>
        <v>9_2009</v>
      </c>
      <c r="T12" s="189" t="str">
        <f t="shared" si="10"/>
        <v>9_2010</v>
      </c>
      <c r="U12" s="189" t="str">
        <f t="shared" si="5"/>
        <v>9_2011</v>
      </c>
      <c r="W12" s="190">
        <f>IF(R12="-","-",VLOOKUP(VALUE(RIGHT(R12,4)),'IPM Pan'!$A$11:$F$55,2,FALSE))</f>
        <v>168.8</v>
      </c>
      <c r="X12" s="190">
        <f>IF(S12="-","-",VLOOKUP(VALUE(RIGHT(S12,4)),'IPM Pan'!$A$11:$F$55,2,FALSE))</f>
        <v>157.5</v>
      </c>
      <c r="Y12" s="190">
        <f>IF(T12="-","-",VLOOKUP(VALUE(RIGHT(T12,4)),'IPM Pan'!$A$11:$F$55,2,FALSE))</f>
        <v>163.57499999999999</v>
      </c>
      <c r="Z12" s="190">
        <f>IF(U12="-","-",VLOOKUP(VALUE(RIGHT(U12,4)),'IPM Pan'!$A$11:$F$55,2,FALSE))</f>
        <v>182.97499999999999</v>
      </c>
      <c r="AA12" s="119"/>
      <c r="AB12" s="190">
        <f t="shared" ref="AB12:AE12" si="11">IF(W12="-","-",$C$7/W12)</f>
        <v>1.0427330173775671</v>
      </c>
      <c r="AC12" s="190">
        <f t="shared" si="11"/>
        <v>1.1175449735449736</v>
      </c>
      <c r="AD12" s="190">
        <f t="shared" si="11"/>
        <v>1.0760405522441288</v>
      </c>
      <c r="AE12" s="190">
        <f t="shared" si="11"/>
        <v>0.96195290795646049</v>
      </c>
      <c r="AF12" s="119"/>
      <c r="AG12" s="190">
        <f t="shared" ref="AG12:AJ12" si="12">IF(W12="-","-",$C$7/W12)</f>
        <v>1.0427330173775671</v>
      </c>
      <c r="AH12" s="190">
        <f t="shared" si="12"/>
        <v>1.1175449735449736</v>
      </c>
      <c r="AI12" s="190">
        <f t="shared" si="12"/>
        <v>1.0760405522441288</v>
      </c>
      <c r="AJ12" s="190">
        <f t="shared" si="12"/>
        <v>0.96195290795646049</v>
      </c>
      <c r="AL12" s="190">
        <f t="shared" ref="AL12:AO12" si="13">IF(AB12="-","-",AB12*$C$5/$C$6)</f>
        <v>1.1144714323328067</v>
      </c>
      <c r="AM12" s="190">
        <f t="shared" si="13"/>
        <v>1.1944303350970018</v>
      </c>
      <c r="AN12" s="190">
        <f t="shared" si="13"/>
        <v>1.150070473958599</v>
      </c>
      <c r="AO12" s="190">
        <f t="shared" si="13"/>
        <v>1.0281337766240077</v>
      </c>
      <c r="AQ12" s="190">
        <f t="shared" ref="AQ12:AT12" si="14">IF(AG12="-","-",AG12*$C$5/$C$6)</f>
        <v>1.1144714323328067</v>
      </c>
      <c r="AR12" s="190">
        <f t="shared" si="14"/>
        <v>1.1944303350970018</v>
      </c>
      <c r="AS12" s="190">
        <f t="shared" si="14"/>
        <v>1.150070473958599</v>
      </c>
      <c r="AT12" s="190">
        <f t="shared" si="14"/>
        <v>1.0281337766240077</v>
      </c>
    </row>
    <row r="13" spans="2:46" ht="14.5">
      <c r="B13" s="185" t="s">
        <v>1446</v>
      </c>
      <c r="C13" s="185"/>
      <c r="D13" s="186">
        <v>102160089.67999999</v>
      </c>
      <c r="E13" s="186">
        <v>6359627.4799999986</v>
      </c>
      <c r="F13" s="186">
        <v>109296033.30000001</v>
      </c>
      <c r="G13" s="186">
        <v>7140887.6199999982</v>
      </c>
      <c r="H13" s="186">
        <v>117242234.48</v>
      </c>
      <c r="I13" s="186">
        <v>7951145.1799999997</v>
      </c>
      <c r="J13" s="186">
        <v>125913726</v>
      </c>
      <c r="K13" s="186">
        <v>8671491</v>
      </c>
      <c r="M13" s="187"/>
      <c r="N13" s="187">
        <f t="shared" si="0"/>
        <v>15.305664941972584</v>
      </c>
      <c r="O13" s="187">
        <f t="shared" si="1"/>
        <v>14.745326846113507</v>
      </c>
      <c r="P13" s="187" t="str">
        <f t="shared" si="2"/>
        <v/>
      </c>
      <c r="Q13" s="188">
        <f t="shared" si="3"/>
        <v>15.025495894043045</v>
      </c>
      <c r="R13" s="189" t="str">
        <f t="shared" ref="R13:T13" si="15">IF(ISERROR(R$9-365*$Q13),"-",MONTH(R$9-365*$Q13)&amp;"_"&amp;YEAR(R$9-365*$Q13))</f>
        <v>12_2006</v>
      </c>
      <c r="S13" s="189" t="str">
        <f t="shared" si="15"/>
        <v>12_2007</v>
      </c>
      <c r="T13" s="189" t="str">
        <f t="shared" si="15"/>
        <v>12_2008</v>
      </c>
      <c r="U13" s="189" t="str">
        <f t="shared" si="5"/>
        <v>12_2009</v>
      </c>
      <c r="W13" s="190">
        <f>IF(R13="-","-",VLOOKUP(VALUE(RIGHT(R13,4)),'IPM Pan'!$A$11:$F$55,2,FALSE))</f>
        <v>138.4</v>
      </c>
      <c r="X13" s="190">
        <f>IF(S13="-","-",VLOOKUP(VALUE(RIGHT(S13,4)),'IPM Pan'!$A$11:$F$55,2,FALSE))</f>
        <v>145.80000000000001</v>
      </c>
      <c r="Y13" s="190">
        <f>IF(T13="-","-",VLOOKUP(VALUE(RIGHT(T13,4)),'IPM Pan'!$A$11:$F$55,2,FALSE))</f>
        <v>168.8</v>
      </c>
      <c r="Z13" s="190">
        <f>IF(U13="-","-",VLOOKUP(VALUE(RIGHT(U13,4)),'IPM Pan'!$A$11:$F$55,2,FALSE))</f>
        <v>157.5</v>
      </c>
      <c r="AA13" s="119"/>
      <c r="AB13" s="190">
        <f t="shared" ref="AB13:AE13" si="16">IF(W13="-","-",$C$7/W13)</f>
        <v>1.2717726396917148</v>
      </c>
      <c r="AC13" s="190">
        <f t="shared" si="16"/>
        <v>1.2072245084590765</v>
      </c>
      <c r="AD13" s="190">
        <f t="shared" si="16"/>
        <v>1.0427330173775671</v>
      </c>
      <c r="AE13" s="190">
        <f t="shared" si="16"/>
        <v>1.1175449735449736</v>
      </c>
      <c r="AF13" s="119"/>
      <c r="AG13" s="190">
        <f t="shared" ref="AG13:AJ13" si="17">IF(W13="-","-",$C$7/W13)</f>
        <v>1.2717726396917148</v>
      </c>
      <c r="AH13" s="190">
        <f t="shared" si="17"/>
        <v>1.2072245084590765</v>
      </c>
      <c r="AI13" s="190">
        <f t="shared" si="17"/>
        <v>1.0427330173775671</v>
      </c>
      <c r="AJ13" s="190">
        <f t="shared" si="17"/>
        <v>1.1175449735449736</v>
      </c>
      <c r="AL13" s="190">
        <f t="shared" ref="AL13:AO13" si="18">IF(AB13="-","-",AB13*$C$5/$C$6)</f>
        <v>1.3592686255619781</v>
      </c>
      <c r="AM13" s="190">
        <f t="shared" si="18"/>
        <v>1.2902796829751562</v>
      </c>
      <c r="AN13" s="190">
        <f t="shared" si="18"/>
        <v>1.1144714323328067</v>
      </c>
      <c r="AO13" s="190">
        <f t="shared" si="18"/>
        <v>1.1944303350970018</v>
      </c>
      <c r="AQ13" s="190">
        <f t="shared" ref="AQ13:AT13" si="19">IF(AG13="-","-",AG13*$C$5/$C$6)</f>
        <v>1.3592686255619781</v>
      </c>
      <c r="AR13" s="190">
        <f t="shared" si="19"/>
        <v>1.2902796829751562</v>
      </c>
      <c r="AS13" s="190">
        <f t="shared" si="19"/>
        <v>1.1144714323328067</v>
      </c>
      <c r="AT13" s="190">
        <f t="shared" si="19"/>
        <v>1.1944303350970018</v>
      </c>
    </row>
    <row r="16" spans="2:46" ht="14.5">
      <c r="AL16" s="191"/>
    </row>
    <row r="17" spans="34:38" ht="14.5">
      <c r="AH17" s="192"/>
      <c r="AL17" s="191"/>
    </row>
    <row r="18" spans="34:38" ht="14.5">
      <c r="AH18" s="192"/>
      <c r="AL18" s="191"/>
    </row>
    <row r="19" spans="34:38" ht="14.5">
      <c r="AH19" s="192"/>
    </row>
    <row r="21" spans="34:38" ht="15.75" customHeight="1"/>
    <row r="22" spans="34:38" ht="15.75" customHeight="1"/>
    <row r="23" spans="34:38" ht="15.75" customHeight="1"/>
    <row r="24" spans="34:38" ht="15.75" customHeight="1"/>
    <row r="25" spans="34:38" ht="15.75" customHeight="1"/>
    <row r="26" spans="34:38" ht="15.75" customHeight="1"/>
    <row r="27" spans="34:38" ht="15.75" customHeight="1"/>
    <row r="28" spans="34:38" ht="15.75" customHeight="1"/>
    <row r="29" spans="34:38" ht="15.75" customHeight="1"/>
    <row r="30" spans="34:38" ht="15.75" customHeight="1"/>
    <row r="31" spans="34:38" ht="15.75" customHeight="1"/>
    <row r="32" spans="34:3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1029"/>
  <sheetViews>
    <sheetView workbookViewId="0">
      <selection activeCell="E1" sqref="E1:H1048576"/>
    </sheetView>
  </sheetViews>
  <sheetFormatPr baseColWidth="10" defaultColWidth="14.453125" defaultRowHeight="15" customHeight="1"/>
  <cols>
    <col min="1" max="3" width="10.7265625" customWidth="1"/>
    <col min="4" max="4" width="23.7265625" customWidth="1"/>
    <col min="5" max="8" width="11" bestFit="1" customWidth="1"/>
    <col min="9" max="9" width="11.81640625" customWidth="1"/>
    <col min="10" max="11" width="10.7265625" customWidth="1"/>
    <col min="12" max="12" width="23.7265625" customWidth="1"/>
    <col min="13" max="19" width="10.7265625" customWidth="1"/>
    <col min="20" max="20" width="21" customWidth="1"/>
    <col min="21" max="26" width="10.7265625" customWidth="1"/>
  </cols>
  <sheetData>
    <row r="2" spans="3:24" ht="14.5">
      <c r="C2" s="325" t="s">
        <v>1479</v>
      </c>
      <c r="D2" s="326"/>
      <c r="E2" s="326"/>
      <c r="F2" s="326"/>
      <c r="G2" s="326"/>
      <c r="H2" s="327"/>
      <c r="K2" s="325" t="s">
        <v>1480</v>
      </c>
      <c r="L2" s="326"/>
      <c r="M2" s="326"/>
      <c r="N2" s="326"/>
      <c r="O2" s="326"/>
      <c r="P2" s="327"/>
      <c r="S2" s="325" t="s">
        <v>1481</v>
      </c>
      <c r="T2" s="326"/>
      <c r="U2" s="326"/>
      <c r="V2" s="326"/>
      <c r="W2" s="326"/>
      <c r="X2" s="327"/>
    </row>
    <row r="3" spans="3:24" ht="14.5">
      <c r="C3" s="119"/>
      <c r="D3" s="120"/>
      <c r="E3" s="120"/>
      <c r="F3" s="120"/>
      <c r="G3" s="119"/>
    </row>
    <row r="4" spans="3:24" ht="14.5">
      <c r="C4" s="121" t="s">
        <v>1</v>
      </c>
      <c r="D4" s="121" t="s">
        <v>1437</v>
      </c>
      <c r="E4" s="121">
        <v>2021</v>
      </c>
      <c r="F4" s="121">
        <v>2022</v>
      </c>
      <c r="G4" s="121">
        <v>2023</v>
      </c>
      <c r="H4" s="121">
        <v>2024</v>
      </c>
      <c r="K4" s="121" t="s">
        <v>1</v>
      </c>
      <c r="L4" s="121" t="s">
        <v>1437</v>
      </c>
      <c r="M4" s="121">
        <v>2021</v>
      </c>
      <c r="N4" s="121">
        <v>2022</v>
      </c>
      <c r="O4" s="121">
        <v>2023</v>
      </c>
      <c r="P4" s="121">
        <v>2024</v>
      </c>
      <c r="S4" s="121" t="s">
        <v>1</v>
      </c>
      <c r="T4" s="121" t="s">
        <v>1437</v>
      </c>
      <c r="U4" s="121">
        <v>2021</v>
      </c>
      <c r="V4" s="121">
        <v>2022</v>
      </c>
      <c r="W4" s="121">
        <v>2023</v>
      </c>
      <c r="X4" s="121">
        <v>2024</v>
      </c>
    </row>
    <row r="5" spans="3:24" ht="14.5">
      <c r="C5" s="328" t="s">
        <v>1442</v>
      </c>
      <c r="D5" s="123" t="s">
        <v>1482</v>
      </c>
      <c r="E5" s="135">
        <v>521575072</v>
      </c>
      <c r="F5" s="135">
        <v>548980565.79999995</v>
      </c>
      <c r="G5" s="135">
        <v>573935127.5</v>
      </c>
      <c r="H5" s="138">
        <v>597016086</v>
      </c>
      <c r="K5" s="328" t="s">
        <v>1442</v>
      </c>
      <c r="L5" s="123" t="s">
        <v>170</v>
      </c>
      <c r="M5" s="135">
        <f>E11*'T_med_comp-Pan'!AL11</f>
        <v>796062694.33495522</v>
      </c>
      <c r="N5" s="135">
        <f>F11*'T_med_comp-Pan'!AM11</f>
        <v>800961843.23235393</v>
      </c>
      <c r="O5" s="135">
        <f>G11*'T_med_comp-Pan'!AN11</f>
        <v>832751042.50420129</v>
      </c>
      <c r="P5" s="138">
        <f>H11*'T_med_comp-Pan'!AO11</f>
        <v>862611526.20609784</v>
      </c>
      <c r="S5" s="328" t="s">
        <v>1442</v>
      </c>
      <c r="T5" s="123" t="s">
        <v>170</v>
      </c>
      <c r="U5" s="135">
        <f>M5*((M13+P13)/CLR!$D$34+N13/CLR!$D$31+O13)</f>
        <v>1818705524.0084832</v>
      </c>
      <c r="V5" s="135">
        <f>N5*((M13+P13)/CLR!$D$34+N13/CLR!$D$31+O13)</f>
        <v>1829898246.9259701</v>
      </c>
      <c r="W5" s="135">
        <f>O5*((M13+P13)/CLR!$D$34+N13/CLR!$D$31+O13)</f>
        <v>1902524677.8979867</v>
      </c>
      <c r="X5" s="138">
        <f>P5*((M13+P13)/CLR!$D$34+N13/CLR!$D$31+O13)</f>
        <v>1970744715.1446435</v>
      </c>
    </row>
    <row r="6" spans="3:24" ht="14.5">
      <c r="C6" s="330"/>
      <c r="D6" s="164" t="s">
        <v>1483</v>
      </c>
      <c r="E6" s="193">
        <v>85427718.799999997</v>
      </c>
      <c r="F6" s="193">
        <v>89414409.200000003</v>
      </c>
      <c r="G6" s="193">
        <v>96270208.099999994</v>
      </c>
      <c r="H6" s="194">
        <v>96662688.599999994</v>
      </c>
      <c r="K6" s="329"/>
      <c r="L6" s="129" t="s">
        <v>171</v>
      </c>
      <c r="M6" s="149">
        <f>E12*'T_med_comp-Pan'!AQ11</f>
        <v>107089583.19121999</v>
      </c>
      <c r="N6" s="149">
        <f>F12*'T_med_comp-Pan'!AR11</f>
        <v>107118724.7801141</v>
      </c>
      <c r="O6" s="149">
        <f>G12*'T_med_comp-Pan'!AS11</f>
        <v>115492841.0411322</v>
      </c>
      <c r="P6" s="150">
        <f>H12*'T_med_comp-Pan'!AT11</f>
        <v>116189724.89355701</v>
      </c>
      <c r="S6" s="329"/>
      <c r="T6" s="129" t="s">
        <v>171</v>
      </c>
      <c r="U6" s="149">
        <f>M6*((M14+P14)/CLR!$D$34+N14/CLR!$D$31+O14)</f>
        <v>180476393.38787311</v>
      </c>
      <c r="V6" s="149">
        <f>N6*((M14+P14)/CLR!$D$34+N14/CLR!$D$31+O14)</f>
        <v>180525505.25015211</v>
      </c>
      <c r="W6" s="149">
        <f>O6*((M14+P14)/CLR!$D$34+N14/CLR!$D$31+O14)</f>
        <v>194638271.92233762</v>
      </c>
      <c r="X6" s="150">
        <f>P6*((M14+P14)/CLR!$D$34+N14/CLR!$D$31+O14)</f>
        <v>195812719.33867782</v>
      </c>
    </row>
    <row r="7" spans="3:24" ht="14.5">
      <c r="C7" s="330"/>
      <c r="D7" s="164" t="s">
        <v>1484</v>
      </c>
      <c r="E7" s="193">
        <v>133095633.59999999</v>
      </c>
      <c r="F7" s="193">
        <v>140540466</v>
      </c>
      <c r="G7" s="193">
        <v>149859227.09999999</v>
      </c>
      <c r="H7" s="194">
        <v>143133161.09999999</v>
      </c>
      <c r="K7" s="328" t="s">
        <v>1445</v>
      </c>
      <c r="L7" s="123" t="s">
        <v>170</v>
      </c>
      <c r="M7" s="135">
        <f>E19*'T_med_comp-Pan'!AL12</f>
        <v>1410867834.395226</v>
      </c>
      <c r="N7" s="135">
        <f>F19*'T_med_comp-Pan'!AM12</f>
        <v>1663556676.7771182</v>
      </c>
      <c r="O7" s="135">
        <f>G19*'T_med_comp-Pan'!AN12</f>
        <v>1731802702.830971</v>
      </c>
      <c r="P7" s="138">
        <f>H19*'T_med_comp-Pan'!AO12</f>
        <v>1639222686.3048296</v>
      </c>
      <c r="S7" s="328" t="s">
        <v>1445</v>
      </c>
      <c r="T7" s="123" t="s">
        <v>170</v>
      </c>
      <c r="U7" s="135">
        <f>M7*((M15+P15)/CLR!$D$34+N15/CLR!$D$31+O15)</f>
        <v>3099266284.0465555</v>
      </c>
      <c r="V7" s="135">
        <f>N7*((M15+P15)/CLR!$D$34+N15/CLR!$D$31+O15)</f>
        <v>3654350176.7094378</v>
      </c>
      <c r="W7" s="135">
        <f>O7*((M15+P15)/CLR!$D$34+N15/CLR!$D$31+O15)</f>
        <v>3804266846.7280259</v>
      </c>
      <c r="X7" s="138">
        <f>P7*((M15+P15)/CLR!$D$34+N15/CLR!$D$31+O15)</f>
        <v>3600895477.13483</v>
      </c>
    </row>
    <row r="8" spans="3:24" ht="14.5">
      <c r="C8" s="330"/>
      <c r="D8" s="164" t="s">
        <v>1485</v>
      </c>
      <c r="E8" s="193">
        <v>138340061</v>
      </c>
      <c r="F8" s="193">
        <v>145929899</v>
      </c>
      <c r="G8" s="193">
        <v>147092616.80000001</v>
      </c>
      <c r="H8" s="194">
        <v>145512897</v>
      </c>
      <c r="K8" s="329"/>
      <c r="L8" s="129" t="s">
        <v>171</v>
      </c>
      <c r="M8" s="149">
        <f>E20*'T_med_comp-Pan'!AQ12</f>
        <v>122361043.41660362</v>
      </c>
      <c r="N8" s="149">
        <f>F20*'T_med_comp-Pan'!AR12</f>
        <v>95836679.88394855</v>
      </c>
      <c r="O8" s="149">
        <f>G20*'T_med_comp-Pan'!AS12</f>
        <v>103567163.02806905</v>
      </c>
      <c r="P8" s="150">
        <f>H20*'T_med_comp-Pan'!AT12</f>
        <v>96712656.837229639</v>
      </c>
      <c r="S8" s="329"/>
      <c r="T8" s="129" t="s">
        <v>171</v>
      </c>
      <c r="U8" s="149">
        <f>M8*((M16+P16)/CLR!$D$34+N16/CLR!$D$31+O16)</f>
        <v>185624205.27093011</v>
      </c>
      <c r="V8" s="149">
        <f>N8*((M16+P16)/CLR!$D$34+N16/CLR!$D$31+O16)</f>
        <v>145386203.34164745</v>
      </c>
      <c r="W8" s="149">
        <f>O8*((M16+P16)/CLR!$D$34+N16/CLR!$D$31+O16)</f>
        <v>157113504.36753076</v>
      </c>
      <c r="X8" s="150">
        <f>P8*((M16+P16)/CLR!$D$34+N16/CLR!$D$31+O16)</f>
        <v>146715078.2943956</v>
      </c>
    </row>
    <row r="9" spans="3:24" ht="14.5">
      <c r="C9" s="330"/>
      <c r="D9" s="164" t="s">
        <v>1486</v>
      </c>
      <c r="E9" s="195">
        <f t="shared" ref="E9:H9" si="0">E5/(E5+E6)</f>
        <v>0.85926305431411543</v>
      </c>
      <c r="F9" s="195">
        <f t="shared" si="0"/>
        <v>0.85993873275709909</v>
      </c>
      <c r="G9" s="195">
        <f t="shared" si="0"/>
        <v>0.85635714461477053</v>
      </c>
      <c r="H9" s="196">
        <f t="shared" si="0"/>
        <v>0.86065208834486939</v>
      </c>
      <c r="K9" s="328" t="s">
        <v>1446</v>
      </c>
      <c r="L9" s="123" t="s">
        <v>170</v>
      </c>
      <c r="M9" s="135">
        <f>E27*'T_med_comp-Pan'!AL13</f>
        <v>382040976.40341723</v>
      </c>
      <c r="N9" s="135">
        <f>F27*'T_med_comp-Pan'!AM13</f>
        <v>403540084.00265622</v>
      </c>
      <c r="O9" s="135">
        <f>G27*'T_med_comp-Pan'!AN13</f>
        <v>378176439.66685635</v>
      </c>
      <c r="P9" s="138">
        <f>H27*'T_med_comp-Pan'!AO13</f>
        <v>433059540.99283093</v>
      </c>
      <c r="S9" s="328" t="s">
        <v>1446</v>
      </c>
      <c r="T9" s="123" t="s">
        <v>170</v>
      </c>
      <c r="U9" s="135">
        <f>M9*((M17+P17)/CLR!$D$34+N17/CLR!$D$31+O17)</f>
        <v>805026159.69249833</v>
      </c>
      <c r="V9" s="135">
        <f>N9*((M17+P17)/CLR!$D$34+N17/CLR!$D$31+O17)</f>
        <v>850328483.51745737</v>
      </c>
      <c r="W9" s="135">
        <f>O9*((M17+P17)/CLR!$D$34+N17/CLR!$D$31+O17)</f>
        <v>796882914.96175754</v>
      </c>
      <c r="X9" s="138">
        <f>P9*((M17+P17)/CLR!$D$34+N17/CLR!$D$31+O17)</f>
        <v>912531065.34709501</v>
      </c>
    </row>
    <row r="10" spans="3:24" ht="14.5">
      <c r="C10" s="330"/>
      <c r="D10" s="164" t="s">
        <v>1487</v>
      </c>
      <c r="E10" s="195">
        <f t="shared" ref="E10:H10" si="1">E6/(E5+E6)</f>
        <v>0.14073694568588466</v>
      </c>
      <c r="F10" s="195">
        <f t="shared" si="1"/>
        <v>0.14006126724290086</v>
      </c>
      <c r="G10" s="195">
        <f t="shared" si="1"/>
        <v>0.14364285538522947</v>
      </c>
      <c r="H10" s="196">
        <f t="shared" si="1"/>
        <v>0.13934791165513052</v>
      </c>
      <c r="K10" s="329"/>
      <c r="L10" s="129" t="s">
        <v>171</v>
      </c>
      <c r="M10" s="149">
        <f>E28*'T_med_comp-Pan'!AQ13</f>
        <v>17347055.067241106</v>
      </c>
      <c r="N10" s="149">
        <f>F28*'T_med_comp-Pan'!AR13</f>
        <v>16524357.166804979</v>
      </c>
      <c r="O10" s="149">
        <f>G28*'T_med_comp-Pan'!AS13</f>
        <v>15587099.482358648</v>
      </c>
      <c r="P10" s="150">
        <f>H28*'T_med_comp-Pan'!AT13</f>
        <v>18947320.573473841</v>
      </c>
      <c r="S10" s="329"/>
      <c r="T10" s="129" t="s">
        <v>171</v>
      </c>
      <c r="U10" s="149">
        <f>M10*((M18+P18)/CLR!$D$34+N18/CLR!$D$31+O18)</f>
        <v>24812145.37816181</v>
      </c>
      <c r="V10" s="149">
        <f>N10*((M18+P18)/CLR!$D$34+N18/CLR!$D$31+O18)</f>
        <v>23635409.62510144</v>
      </c>
      <c r="W10" s="149">
        <f>O10*((M18+P18)/CLR!$D$34+N18/CLR!$D$31+O18)</f>
        <v>22294814.703765307</v>
      </c>
      <c r="X10" s="150">
        <f>P10*((M18+P18)/CLR!$D$34+N18/CLR!$D$31+O18)</f>
        <v>27101065.326267976</v>
      </c>
    </row>
    <row r="11" spans="3:24" ht="14.5">
      <c r="C11" s="330"/>
      <c r="D11" s="164" t="s">
        <v>170</v>
      </c>
      <c r="E11" s="193">
        <f t="shared" ref="E11:H11" si="2">E5+E7*E9+E8</f>
        <v>774279293.64300835</v>
      </c>
      <c r="F11" s="193">
        <f t="shared" si="2"/>
        <v>815766655.03313208</v>
      </c>
      <c r="G11" s="193">
        <f t="shared" si="2"/>
        <v>849360764.11353254</v>
      </c>
      <c r="H11" s="194">
        <f t="shared" si="2"/>
        <v>865716837.01211762</v>
      </c>
      <c r="K11" s="132"/>
    </row>
    <row r="12" spans="3:24" ht="14.5">
      <c r="C12" s="329"/>
      <c r="D12" s="126" t="s">
        <v>171</v>
      </c>
      <c r="E12" s="142">
        <f t="shared" ref="E12:H12" si="3">E6+E10*E7</f>
        <v>104159191.7569916</v>
      </c>
      <c r="F12" s="142">
        <f t="shared" si="3"/>
        <v>109098684.96686782</v>
      </c>
      <c r="G12" s="142">
        <f t="shared" si="3"/>
        <v>117796415.38646755</v>
      </c>
      <c r="H12" s="143">
        <f t="shared" si="3"/>
        <v>116607995.68788236</v>
      </c>
      <c r="K12" s="121" t="s">
        <v>1</v>
      </c>
      <c r="L12" s="121" t="s">
        <v>1437</v>
      </c>
      <c r="M12" s="121" t="s">
        <v>1438</v>
      </c>
      <c r="N12" s="121" t="s">
        <v>1439</v>
      </c>
      <c r="O12" s="121" t="s">
        <v>1440</v>
      </c>
      <c r="P12" s="121" t="s">
        <v>1441</v>
      </c>
    </row>
    <row r="13" spans="3:24" ht="14.5">
      <c r="C13" s="328" t="s">
        <v>1445</v>
      </c>
      <c r="D13" s="123" t="s">
        <v>1482</v>
      </c>
      <c r="E13" s="135">
        <v>1152878498.7</v>
      </c>
      <c r="F13" s="135">
        <v>1262240584.7</v>
      </c>
      <c r="G13" s="135">
        <v>1366541314.3</v>
      </c>
      <c r="H13" s="138">
        <v>1445747838.5999999</v>
      </c>
      <c r="K13" s="328" t="s">
        <v>1442</v>
      </c>
      <c r="L13" s="123" t="s">
        <v>1443</v>
      </c>
      <c r="M13" s="124">
        <v>0.35</v>
      </c>
      <c r="N13" s="124">
        <v>0.24</v>
      </c>
      <c r="O13" s="124">
        <v>0.35</v>
      </c>
      <c r="P13" s="125">
        <v>5.9941077137721101E-2</v>
      </c>
    </row>
    <row r="14" spans="3:24" ht="14.5">
      <c r="C14" s="330"/>
      <c r="D14" s="164" t="s">
        <v>1483</v>
      </c>
      <c r="E14" s="193">
        <v>99986272.700000003</v>
      </c>
      <c r="F14" s="193">
        <v>72717057.700000003</v>
      </c>
      <c r="G14" s="193">
        <v>81723401.200000003</v>
      </c>
      <c r="H14" s="194">
        <v>85297815.700000003</v>
      </c>
      <c r="K14" s="329"/>
      <c r="L14" s="126" t="s">
        <v>1444</v>
      </c>
      <c r="M14" s="127">
        <v>0.2</v>
      </c>
      <c r="N14" s="127">
        <v>0.06</v>
      </c>
      <c r="O14" s="127">
        <v>0.69</v>
      </c>
      <c r="P14" s="128">
        <v>0.05</v>
      </c>
    </row>
    <row r="15" spans="3:24" ht="14.5">
      <c r="C15" s="330"/>
      <c r="D15" s="164" t="s">
        <v>1484</v>
      </c>
      <c r="E15" s="193">
        <v>122880567</v>
      </c>
      <c r="F15" s="193">
        <v>138040242</v>
      </c>
      <c r="G15" s="193">
        <v>147611282.90000001</v>
      </c>
      <c r="H15" s="194">
        <v>157387682.5</v>
      </c>
      <c r="K15" s="328" t="s">
        <v>1445</v>
      </c>
      <c r="L15" s="123" t="s">
        <v>1443</v>
      </c>
      <c r="M15" s="124">
        <v>0.43132423065806502</v>
      </c>
      <c r="N15" s="124">
        <v>0.112555781494482</v>
      </c>
      <c r="O15" s="124">
        <v>0.45445232159387799</v>
      </c>
      <c r="P15" s="125">
        <v>1.6676662535737301E-3</v>
      </c>
    </row>
    <row r="16" spans="3:24" ht="14.5">
      <c r="C16" s="330"/>
      <c r="D16" s="164" t="s">
        <v>1485</v>
      </c>
      <c r="E16" s="193"/>
      <c r="F16" s="193"/>
      <c r="G16" s="193"/>
      <c r="H16" s="194"/>
      <c r="K16" s="329"/>
      <c r="L16" s="126" t="s">
        <v>1444</v>
      </c>
      <c r="M16" s="127">
        <v>0.209462769745661</v>
      </c>
      <c r="N16" s="127">
        <v>0</v>
      </c>
      <c r="O16" s="127">
        <v>0.79053723025433997</v>
      </c>
      <c r="P16" s="128">
        <v>0</v>
      </c>
    </row>
    <row r="17" spans="3:16" ht="14.5">
      <c r="C17" s="330"/>
      <c r="D17" s="164" t="s">
        <v>1486</v>
      </c>
      <c r="E17" s="195">
        <f t="shared" ref="E17:H17" si="4">E13/(E13+E14)</f>
        <v>0.9201938828655295</v>
      </c>
      <c r="F17" s="195">
        <f t="shared" si="4"/>
        <v>0.94552856555862808</v>
      </c>
      <c r="G17" s="195">
        <f t="shared" si="4"/>
        <v>0.94357150296809811</v>
      </c>
      <c r="H17" s="196">
        <f t="shared" si="4"/>
        <v>0.94428786923470387</v>
      </c>
      <c r="K17" s="328" t="s">
        <v>1446</v>
      </c>
      <c r="L17" s="123" t="s">
        <v>1443</v>
      </c>
      <c r="M17" s="124">
        <v>0.39317529445464799</v>
      </c>
      <c r="N17" s="124">
        <v>0.10154811542295</v>
      </c>
      <c r="O17" s="124">
        <v>0.496665007989814</v>
      </c>
      <c r="P17" s="125">
        <v>8.6115821325878292E-3</v>
      </c>
    </row>
    <row r="18" spans="3:16" ht="14.5">
      <c r="C18" s="330"/>
      <c r="D18" s="164" t="s">
        <v>1487</v>
      </c>
      <c r="E18" s="195">
        <f t="shared" ref="E18:H18" si="5">E14/(E13+E14)</f>
        <v>7.9806117134470486E-2</v>
      </c>
      <c r="F18" s="195">
        <f t="shared" si="5"/>
        <v>5.4471434441371903E-2</v>
      </c>
      <c r="G18" s="195">
        <f t="shared" si="5"/>
        <v>5.6428497031901899E-2</v>
      </c>
      <c r="H18" s="196">
        <f t="shared" si="5"/>
        <v>5.5712130765296151E-2</v>
      </c>
      <c r="K18" s="329"/>
      <c r="L18" s="129" t="s">
        <v>1444</v>
      </c>
      <c r="M18" s="130">
        <v>0.17434457120347299</v>
      </c>
      <c r="N18" s="130">
        <v>0</v>
      </c>
      <c r="O18" s="130">
        <v>0.82565542879652698</v>
      </c>
      <c r="P18" s="131">
        <v>0</v>
      </c>
    </row>
    <row r="19" spans="3:16" ht="14.5">
      <c r="C19" s="330"/>
      <c r="D19" s="164" t="s">
        <v>170</v>
      </c>
      <c r="E19" s="193">
        <f t="shared" ref="E19:H19" si="6">E13+E15*E17+E16</f>
        <v>1265952444.7764478</v>
      </c>
      <c r="F19" s="193">
        <f t="shared" si="6"/>
        <v>1392761576.7076259</v>
      </c>
      <c r="G19" s="193">
        <f t="shared" si="6"/>
        <v>1505823114.361002</v>
      </c>
      <c r="H19" s="194">
        <f t="shared" si="6"/>
        <v>1594367117.9517131</v>
      </c>
      <c r="K19" s="132"/>
    </row>
    <row r="20" spans="3:16" ht="14.5">
      <c r="C20" s="329"/>
      <c r="D20" s="126" t="s">
        <v>171</v>
      </c>
      <c r="E20" s="142">
        <f t="shared" ref="E20:H20" si="7">E14+E18*E15</f>
        <v>109792893.62355214</v>
      </c>
      <c r="F20" s="142">
        <f t="shared" si="7"/>
        <v>80236307.69237411</v>
      </c>
      <c r="G20" s="142">
        <f t="shared" si="7"/>
        <v>90052884.038997889</v>
      </c>
      <c r="H20" s="143">
        <f t="shared" si="7"/>
        <v>94066218.848286912</v>
      </c>
      <c r="K20" s="132"/>
    </row>
    <row r="21" spans="3:16" ht="14.5">
      <c r="C21" s="328" t="s">
        <v>1446</v>
      </c>
      <c r="D21" s="123" t="s">
        <v>1482</v>
      </c>
      <c r="E21" s="135">
        <v>261745735.80000001</v>
      </c>
      <c r="F21" s="135">
        <v>291766339.80000001</v>
      </c>
      <c r="G21" s="135">
        <v>315949198.5</v>
      </c>
      <c r="H21" s="138">
        <v>338373510.39999998</v>
      </c>
      <c r="L21" s="119"/>
      <c r="M21" s="139"/>
      <c r="N21" s="139"/>
      <c r="O21" s="139"/>
      <c r="P21" s="139"/>
    </row>
    <row r="22" spans="3:16" ht="14.5">
      <c r="C22" s="330"/>
      <c r="D22" s="164" t="s">
        <v>1483</v>
      </c>
      <c r="E22" s="193">
        <v>11884897.1</v>
      </c>
      <c r="F22" s="193">
        <v>11947391.1</v>
      </c>
      <c r="G22" s="193">
        <v>13022312</v>
      </c>
      <c r="H22" s="194">
        <v>14804595.6</v>
      </c>
      <c r="L22" s="119"/>
      <c r="M22" s="139"/>
      <c r="N22" s="139"/>
      <c r="O22" s="139"/>
      <c r="P22" s="139"/>
    </row>
    <row r="23" spans="3:16" ht="14.5">
      <c r="C23" s="330"/>
      <c r="D23" s="164" t="s">
        <v>1484</v>
      </c>
      <c r="E23" s="193">
        <v>20195049.5</v>
      </c>
      <c r="F23" s="193">
        <v>21847034.5</v>
      </c>
      <c r="G23" s="193">
        <v>24347137</v>
      </c>
      <c r="H23" s="194">
        <v>25250713.399999999</v>
      </c>
      <c r="L23" s="119"/>
      <c r="M23" s="139"/>
      <c r="N23" s="139"/>
      <c r="O23" s="139"/>
      <c r="P23" s="139"/>
    </row>
    <row r="24" spans="3:16" ht="14.5">
      <c r="C24" s="330"/>
      <c r="D24" s="164" t="s">
        <v>1485</v>
      </c>
      <c r="E24" s="193"/>
      <c r="F24" s="193"/>
      <c r="G24" s="193"/>
      <c r="H24" s="194"/>
      <c r="L24" s="119"/>
      <c r="M24" s="139"/>
      <c r="N24" s="139"/>
      <c r="O24" s="139"/>
      <c r="P24" s="139"/>
    </row>
    <row r="25" spans="3:16" ht="14.5">
      <c r="C25" s="330"/>
      <c r="D25" s="164" t="s">
        <v>1486</v>
      </c>
      <c r="E25" s="195">
        <f t="shared" ref="E25:H25" si="8">E21/(E21+E22)</f>
        <v>0.95656591159388416</v>
      </c>
      <c r="F25" s="195">
        <f t="shared" si="8"/>
        <v>0.96066232809232521</v>
      </c>
      <c r="G25" s="195">
        <f t="shared" si="8"/>
        <v>0.96041507673352156</v>
      </c>
      <c r="H25" s="196">
        <f t="shared" si="8"/>
        <v>0.95808178551135892</v>
      </c>
      <c r="L25" s="119"/>
      <c r="M25" s="197"/>
      <c r="N25" s="197"/>
      <c r="O25" s="197"/>
      <c r="P25" s="197"/>
    </row>
    <row r="26" spans="3:16" ht="14.5">
      <c r="C26" s="330"/>
      <c r="D26" s="164" t="s">
        <v>1487</v>
      </c>
      <c r="E26" s="195">
        <f t="shared" ref="E26:H26" si="9">E22/(E21+E22)</f>
        <v>4.3434088406115727E-2</v>
      </c>
      <c r="F26" s="195">
        <f t="shared" si="9"/>
        <v>3.9337671907674683E-2</v>
      </c>
      <c r="G26" s="195">
        <f t="shared" si="9"/>
        <v>3.9584923266478424E-2</v>
      </c>
      <c r="H26" s="196">
        <f t="shared" si="9"/>
        <v>4.1918214488641033E-2</v>
      </c>
      <c r="L26" s="119"/>
      <c r="M26" s="197"/>
      <c r="N26" s="197"/>
      <c r="O26" s="197"/>
      <c r="P26" s="197"/>
    </row>
    <row r="27" spans="3:16" ht="14.5">
      <c r="C27" s="330"/>
      <c r="D27" s="164" t="s">
        <v>170</v>
      </c>
      <c r="E27" s="193">
        <f t="shared" ref="E27:H27" si="10">E21+E23*E25+E24</f>
        <v>281063631.73465115</v>
      </c>
      <c r="F27" s="193">
        <f t="shared" si="10"/>
        <v>312753962.82468337</v>
      </c>
      <c r="G27" s="193">
        <f t="shared" si="10"/>
        <v>339332555.95009655</v>
      </c>
      <c r="H27" s="194">
        <f t="shared" si="10"/>
        <v>362565758.9797076</v>
      </c>
    </row>
    <row r="28" spans="3:16" ht="14.5">
      <c r="C28" s="329"/>
      <c r="D28" s="126" t="s">
        <v>171</v>
      </c>
      <c r="E28" s="142">
        <f t="shared" ref="E28:H28" si="11">E22+E26*E23</f>
        <v>12762050.665348884</v>
      </c>
      <c r="F28" s="142">
        <f t="shared" si="11"/>
        <v>12806802.575316649</v>
      </c>
      <c r="G28" s="142">
        <f t="shared" si="11"/>
        <v>13986091.549903437</v>
      </c>
      <c r="H28" s="143">
        <f t="shared" si="11"/>
        <v>15863060.420292402</v>
      </c>
    </row>
    <row r="33" spans="1:26" ht="14.5">
      <c r="A33" s="7"/>
      <c r="B33" s="325" t="s">
        <v>1488</v>
      </c>
      <c r="C33" s="326"/>
      <c r="D33" s="326"/>
      <c r="E33" s="326"/>
      <c r="F33" s="326"/>
      <c r="G33" s="326"/>
      <c r="H33" s="327"/>
      <c r="I33" s="7"/>
      <c r="J33" s="325" t="s">
        <v>1489</v>
      </c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7"/>
      <c r="Y33" s="7"/>
      <c r="Z33" s="7"/>
    </row>
    <row r="34" spans="1:26" ht="14.5">
      <c r="B34" s="118"/>
      <c r="C34" s="119"/>
      <c r="D34" s="119"/>
      <c r="E34" s="120"/>
      <c r="F34" s="120"/>
      <c r="G34" s="120"/>
      <c r="H34" s="119"/>
      <c r="J34" s="118"/>
      <c r="K34" s="119"/>
      <c r="L34" s="119"/>
      <c r="M34" s="120"/>
      <c r="N34" s="120"/>
      <c r="O34" s="120"/>
      <c r="P34" s="119"/>
    </row>
    <row r="35" spans="1:26" ht="14.5">
      <c r="B35" s="121" t="s">
        <v>1</v>
      </c>
      <c r="C35" s="121" t="s">
        <v>1437</v>
      </c>
      <c r="D35" s="121" t="s">
        <v>1490</v>
      </c>
      <c r="E35" s="121">
        <v>2021</v>
      </c>
      <c r="F35" s="121">
        <v>2022</v>
      </c>
      <c r="G35" s="121">
        <v>2023</v>
      </c>
      <c r="H35" s="121">
        <v>2024</v>
      </c>
      <c r="J35" s="121" t="s">
        <v>1</v>
      </c>
      <c r="K35" s="121" t="s">
        <v>1437</v>
      </c>
      <c r="L35" s="121" t="s">
        <v>1490</v>
      </c>
      <c r="M35" s="121">
        <v>2021</v>
      </c>
      <c r="N35" s="121">
        <v>2022</v>
      </c>
      <c r="O35" s="121">
        <v>2023</v>
      </c>
      <c r="P35" s="121">
        <v>2024</v>
      </c>
      <c r="R35" s="121" t="s">
        <v>1</v>
      </c>
      <c r="S35" s="121" t="s">
        <v>1437</v>
      </c>
      <c r="T35" s="121" t="s">
        <v>1490</v>
      </c>
      <c r="U35" s="121">
        <v>2021</v>
      </c>
      <c r="V35" s="121">
        <v>2022</v>
      </c>
      <c r="W35" s="121">
        <v>2023</v>
      </c>
      <c r="X35" s="121">
        <v>2024</v>
      </c>
    </row>
    <row r="36" spans="1:26" ht="14.5">
      <c r="B36" s="328" t="s">
        <v>1442</v>
      </c>
      <c r="C36" s="331" t="s">
        <v>1443</v>
      </c>
      <c r="D36" s="123" t="s">
        <v>1491</v>
      </c>
      <c r="E36" s="198">
        <v>2510766.5</v>
      </c>
      <c r="F36" s="198">
        <v>2286584.7999999998</v>
      </c>
      <c r="G36" s="198">
        <v>2691216.91</v>
      </c>
      <c r="H36" s="199">
        <v>4257284.9190853797</v>
      </c>
      <c r="J36" s="328" t="s">
        <v>1442</v>
      </c>
      <c r="K36" s="331" t="s">
        <v>1443</v>
      </c>
      <c r="L36" s="140" t="s">
        <v>1491</v>
      </c>
      <c r="M36" s="200">
        <f>(E36*'IPC Pan'!$B$22/'IPC Pan'!$B$19)</f>
        <v>2640014.7278360343</v>
      </c>
      <c r="N36" s="198">
        <f>+F36*'IPC Pan'!$B$22/'IPC Pan'!$B$20</f>
        <v>2337444.8882298418</v>
      </c>
      <c r="O36" s="198">
        <f>+G36*'IPC Pan'!$B$22/'IPC Pan'!$B$21</f>
        <v>2710878.7687031967</v>
      </c>
      <c r="P36" s="199">
        <f>+H36*'IPC Pan'!$B$22/'IPC Pan'!$B$22</f>
        <v>4257284.9190853797</v>
      </c>
      <c r="R36" s="328" t="s">
        <v>1442</v>
      </c>
      <c r="S36" s="331" t="s">
        <v>1443</v>
      </c>
      <c r="T36" s="140" t="s">
        <v>1491</v>
      </c>
      <c r="U36" s="200">
        <f>+M36/CLR!$D$34</f>
        <v>9156407.1489722785</v>
      </c>
      <c r="V36" s="198">
        <f>+N36/CLR!$D$34</f>
        <v>8106999.1236222005</v>
      </c>
      <c r="W36" s="198">
        <f>+O36/CLR!$D$34</f>
        <v>9402186.0848091282</v>
      </c>
      <c r="X36" s="199">
        <f>+P36/CLR!$D$34</f>
        <v>14765612.349548336</v>
      </c>
    </row>
    <row r="37" spans="1:26" ht="14.5">
      <c r="B37" s="330"/>
      <c r="C37" s="332"/>
      <c r="D37" s="164" t="s">
        <v>1492</v>
      </c>
      <c r="E37" s="201">
        <v>1480498.98</v>
      </c>
      <c r="F37" s="201">
        <v>1122636.8999999999</v>
      </c>
      <c r="G37" s="201">
        <v>2642951.14</v>
      </c>
      <c r="H37" s="202">
        <v>4409257.1557978503</v>
      </c>
      <c r="J37" s="330"/>
      <c r="K37" s="332"/>
      <c r="L37" s="203" t="s">
        <v>1492</v>
      </c>
      <c r="M37" s="204">
        <f>+E37*'IPC Pan'!$B$22/'IPC Pan'!$B$19</f>
        <v>1556711.5109056241</v>
      </c>
      <c r="N37" s="205">
        <f>+F37*'IPC Pan'!$B$22/'IPC Pan'!$B$20</f>
        <v>1147607.5075996292</v>
      </c>
      <c r="O37" s="205">
        <f>+G37*'IPC Pan'!$B$22/'IPC Pan'!$B$21</f>
        <v>2662260.3720730594</v>
      </c>
      <c r="P37" s="206">
        <f>+H37*'IPC Pan'!$B$22/'IPC Pan'!$B$22</f>
        <v>4409257.1557978503</v>
      </c>
      <c r="R37" s="330"/>
      <c r="S37" s="332"/>
      <c r="T37" s="203" t="s">
        <v>1492</v>
      </c>
      <c r="U37" s="204">
        <f>+M37/CLR!$D$31</f>
        <v>3326306.6472342396</v>
      </c>
      <c r="V37" s="205">
        <f>+N37/CLR!$D$31</f>
        <v>2452152.7940163016</v>
      </c>
      <c r="W37" s="205">
        <f>+O37/CLR!$D$31</f>
        <v>5688590.5386176482</v>
      </c>
      <c r="X37" s="206">
        <f>+P37/CLR!$D$31</f>
        <v>9421489.6491407044</v>
      </c>
    </row>
    <row r="38" spans="1:26" ht="14.5">
      <c r="B38" s="330"/>
      <c r="C38" s="332"/>
      <c r="D38" s="164" t="s">
        <v>1493</v>
      </c>
      <c r="E38" s="201">
        <v>519079.74</v>
      </c>
      <c r="F38" s="201">
        <v>282384.09999999998</v>
      </c>
      <c r="G38" s="201">
        <v>926648.66</v>
      </c>
      <c r="H38" s="202">
        <v>1545935.58586895</v>
      </c>
      <c r="J38" s="330"/>
      <c r="K38" s="332"/>
      <c r="L38" s="203" t="s">
        <v>1493</v>
      </c>
      <c r="M38" s="204">
        <f>+E38*'IPC Pan'!$B$22/'IPC Pan'!$B$19</f>
        <v>545800.71803622495</v>
      </c>
      <c r="N38" s="205">
        <f>+F38*'IPC Pan'!$B$22/'IPC Pan'!$B$20</f>
        <v>288665.11797961069</v>
      </c>
      <c r="O38" s="205">
        <f>+G38*'IPC Pan'!$B$22/'IPC Pan'!$B$21</f>
        <v>933418.69587214605</v>
      </c>
      <c r="P38" s="206">
        <f>+H38*'IPC Pan'!$B$22/'IPC Pan'!$B$22</f>
        <v>1545935.58586895</v>
      </c>
      <c r="R38" s="330"/>
      <c r="S38" s="332"/>
      <c r="T38" s="203" t="s">
        <v>1493</v>
      </c>
      <c r="U38" s="204">
        <f t="shared" ref="U38:X38" si="12">+M38</f>
        <v>545800.71803622495</v>
      </c>
      <c r="V38" s="205">
        <f t="shared" si="12"/>
        <v>288665.11797961069</v>
      </c>
      <c r="W38" s="205">
        <f t="shared" si="12"/>
        <v>933418.69587214605</v>
      </c>
      <c r="X38" s="206">
        <f t="shared" si="12"/>
        <v>1545935.58586895</v>
      </c>
    </row>
    <row r="39" spans="1:26" ht="14.5">
      <c r="B39" s="330"/>
      <c r="C39" s="332"/>
      <c r="D39" s="164" t="s">
        <v>1494</v>
      </c>
      <c r="E39" s="201">
        <v>6255485.3899999997</v>
      </c>
      <c r="F39" s="201">
        <v>5580705.5</v>
      </c>
      <c r="G39" s="201">
        <v>7350370.7999999998</v>
      </c>
      <c r="H39" s="202">
        <v>9794192.1199999992</v>
      </c>
      <c r="J39" s="330"/>
      <c r="K39" s="332"/>
      <c r="L39" s="203" t="s">
        <v>1494</v>
      </c>
      <c r="M39" s="204">
        <f>+E39*'IPC Pan'!$B$22/'IPC Pan'!$B$19</f>
        <v>6577502.7504003802</v>
      </c>
      <c r="N39" s="205">
        <f>+F39*'IPC Pan'!$B$22/'IPC Pan'!$B$20</f>
        <v>5704836.1135310465</v>
      </c>
      <c r="O39" s="205">
        <f>+G39*'IPC Pan'!$B$22/'IPC Pan'!$B$21</f>
        <v>7404072.1391780823</v>
      </c>
      <c r="P39" s="206">
        <f>+H39*'IPC Pan'!$B$22/'IPC Pan'!$B$22</f>
        <v>9794192.1199999992</v>
      </c>
      <c r="R39" s="330"/>
      <c r="S39" s="332"/>
      <c r="T39" s="203" t="s">
        <v>1494</v>
      </c>
      <c r="U39" s="204">
        <f t="shared" ref="U39:X39" si="13">+M39*SUM(U36:U38,U40)/SUM(M36:M38,M40)</f>
        <v>15565535.729723075</v>
      </c>
      <c r="V39" s="205">
        <f t="shared" si="13"/>
        <v>13733722.020588111</v>
      </c>
      <c r="W39" s="205">
        <f t="shared" si="13"/>
        <v>17507335.125161584</v>
      </c>
      <c r="X39" s="206">
        <f t="shared" si="13"/>
        <v>24042713.617692608</v>
      </c>
    </row>
    <row r="40" spans="1:26" ht="14.5">
      <c r="B40" s="330"/>
      <c r="C40" s="333"/>
      <c r="D40" s="126" t="s">
        <v>1495</v>
      </c>
      <c r="E40" s="201">
        <v>7474138.7000000002</v>
      </c>
      <c r="F40" s="201">
        <v>6372806.7000000002</v>
      </c>
      <c r="G40" s="201">
        <v>4845980.53</v>
      </c>
      <c r="H40" s="202">
        <v>2086271.89</v>
      </c>
      <c r="J40" s="330"/>
      <c r="K40" s="333"/>
      <c r="L40" s="145" t="s">
        <v>1495</v>
      </c>
      <c r="M40" s="204">
        <f>+E40*'IPC Pan'!$B$22/'IPC Pan'!$B$19</f>
        <v>7858889.4052430885</v>
      </c>
      <c r="N40" s="205">
        <f>+F40*'IPC Pan'!$B$22/'IPC Pan'!$B$20</f>
        <v>6514555.8759036139</v>
      </c>
      <c r="O40" s="205">
        <f>+G40*'IPC Pan'!$B$22/'IPC Pan'!$B$21</f>
        <v>4881384.9539634706</v>
      </c>
      <c r="P40" s="206">
        <f>+H40*'IPC Pan'!$B$22/'IPC Pan'!$B$22</f>
        <v>2086271.89</v>
      </c>
      <c r="R40" s="330"/>
      <c r="S40" s="333"/>
      <c r="T40" s="145" t="s">
        <v>1495</v>
      </c>
      <c r="U40" s="204">
        <f>+M40/CLR!$D$31</f>
        <v>16792498.729151897</v>
      </c>
      <c r="V40" s="205">
        <f>+N40/CLR!$D$31</f>
        <v>13919991.187828233</v>
      </c>
      <c r="W40" s="205">
        <f>+O40/CLR!$D$31</f>
        <v>10430309.730691176</v>
      </c>
      <c r="X40" s="206">
        <f>+P40/CLR!$D$31</f>
        <v>4457845.9188034181</v>
      </c>
    </row>
    <row r="41" spans="1:26" ht="14.5">
      <c r="B41" s="330"/>
      <c r="C41" s="334" t="s">
        <v>1444</v>
      </c>
      <c r="D41" s="164" t="s">
        <v>1491</v>
      </c>
      <c r="E41" s="193">
        <v>4084971.26</v>
      </c>
      <c r="F41" s="207">
        <v>4708335.7</v>
      </c>
      <c r="G41" s="207">
        <v>4927128.18</v>
      </c>
      <c r="H41" s="208">
        <v>6458068.3899999997</v>
      </c>
      <c r="J41" s="330"/>
      <c r="K41" s="334" t="s">
        <v>1444</v>
      </c>
      <c r="L41" s="203" t="s">
        <v>1491</v>
      </c>
      <c r="M41" s="204">
        <f>+E41*'IPC Pan'!$B$22/'IPC Pan'!$B$19</f>
        <v>4295255.7671877975</v>
      </c>
      <c r="N41" s="205">
        <f>+F41*'IPC Pan'!$B$22/'IPC Pan'!$B$20</f>
        <v>4813062.3513438366</v>
      </c>
      <c r="O41" s="205">
        <f>+G41*'IPC Pan'!$B$22/'IPC Pan'!$B$21</f>
        <v>4963125.4635068486</v>
      </c>
      <c r="P41" s="206">
        <f>+H41*'IPC Pan'!$B$22/'IPC Pan'!$B$22</f>
        <v>6458068.3899999997</v>
      </c>
      <c r="R41" s="330"/>
      <c r="S41" s="334" t="s">
        <v>1444</v>
      </c>
      <c r="T41" s="203" t="s">
        <v>1491</v>
      </c>
      <c r="U41" s="204">
        <f>+M41/CLR!$D$34</f>
        <v>14897307.275849942</v>
      </c>
      <c r="V41" s="205">
        <f>+N41/CLR!$D$34</f>
        <v>16693224.495159386</v>
      </c>
      <c r="W41" s="205">
        <f>+O41/CLR!$D$34</f>
        <v>17213690.892001309</v>
      </c>
      <c r="X41" s="206">
        <f>+P41/CLR!$D$34</f>
        <v>22398626.398276858</v>
      </c>
    </row>
    <row r="42" spans="1:26" ht="14.5">
      <c r="B42" s="330"/>
      <c r="C42" s="332"/>
      <c r="D42" s="164" t="s">
        <v>1492</v>
      </c>
      <c r="E42" s="193">
        <v>1269936.31</v>
      </c>
      <c r="F42" s="207">
        <v>1572534.7</v>
      </c>
      <c r="G42" s="207">
        <v>1892722.17482153</v>
      </c>
      <c r="H42" s="208">
        <v>1559265.5539202399</v>
      </c>
      <c r="J42" s="330"/>
      <c r="K42" s="332"/>
      <c r="L42" s="203" t="s">
        <v>1492</v>
      </c>
      <c r="M42" s="204">
        <f>+E42*'IPC Pan'!$B$22/'IPC Pan'!$B$19</f>
        <v>1335309.5804861772</v>
      </c>
      <c r="N42" s="205">
        <f>+F42*'IPC Pan'!$B$22/'IPC Pan'!$B$20</f>
        <v>1607512.3022242817</v>
      </c>
      <c r="O42" s="205">
        <f>+G42*'IPC Pan'!$B$22/'IPC Pan'!$B$21</f>
        <v>1906550.2820348381</v>
      </c>
      <c r="P42" s="206">
        <f>+H42*'IPC Pan'!$B$22/'IPC Pan'!$B$22</f>
        <v>1559265.5539202399</v>
      </c>
      <c r="R42" s="330"/>
      <c r="S42" s="332"/>
      <c r="T42" s="203" t="s">
        <v>1492</v>
      </c>
      <c r="U42" s="204">
        <f>+M42/CLR!$D$31</f>
        <v>2853225.5993294385</v>
      </c>
      <c r="V42" s="205">
        <f>+N42/CLR!$D$31</f>
        <v>3434855.3466330804</v>
      </c>
      <c r="W42" s="205">
        <f>+O42/CLR!$D$31</f>
        <v>4073825.3889633291</v>
      </c>
      <c r="X42" s="206">
        <f>+P42/CLR!$D$31</f>
        <v>3331764.0041030766</v>
      </c>
    </row>
    <row r="43" spans="1:26" ht="14.5">
      <c r="B43" s="330"/>
      <c r="C43" s="332"/>
      <c r="D43" s="164" t="s">
        <v>1493</v>
      </c>
      <c r="E43" s="193">
        <v>319435.25</v>
      </c>
      <c r="F43" s="207">
        <v>395549.8</v>
      </c>
      <c r="G43" s="207">
        <v>476088.585178465</v>
      </c>
      <c r="H43" s="208">
        <v>392212.09607976303</v>
      </c>
      <c r="J43" s="330"/>
      <c r="K43" s="332"/>
      <c r="L43" s="203" t="s">
        <v>1493</v>
      </c>
      <c r="M43" s="204">
        <f>+E43*'IPC Pan'!$B$22/'IPC Pan'!$B$19</f>
        <v>335879.00929456617</v>
      </c>
      <c r="N43" s="205">
        <f>+F43*'IPC Pan'!$B$22/'IPC Pan'!$B$20</f>
        <v>404347.94198331784</v>
      </c>
      <c r="O43" s="205">
        <f>+G43*'IPC Pan'!$B$22/'IPC Pan'!$B$21</f>
        <v>479566.85794689209</v>
      </c>
      <c r="P43" s="206">
        <f>+H43*'IPC Pan'!$B$22/'IPC Pan'!$B$22</f>
        <v>392212.09607976303</v>
      </c>
      <c r="R43" s="330"/>
      <c r="S43" s="332"/>
      <c r="T43" s="203" t="s">
        <v>1493</v>
      </c>
      <c r="U43" s="204">
        <f t="shared" ref="U43:X43" si="14">+M43</f>
        <v>335879.00929456617</v>
      </c>
      <c r="V43" s="205">
        <f t="shared" si="14"/>
        <v>404347.94198331784</v>
      </c>
      <c r="W43" s="205">
        <f t="shared" si="14"/>
        <v>479566.85794689209</v>
      </c>
      <c r="X43" s="206">
        <f t="shared" si="14"/>
        <v>392212.09607976303</v>
      </c>
    </row>
    <row r="44" spans="1:26" ht="14.5">
      <c r="B44" s="330"/>
      <c r="C44" s="332"/>
      <c r="D44" s="164" t="s">
        <v>1494</v>
      </c>
      <c r="E44" s="193">
        <v>7650211.2300000004</v>
      </c>
      <c r="F44" s="207">
        <v>8307089.4000000004</v>
      </c>
      <c r="G44" s="207">
        <v>8314825.4699999997</v>
      </c>
      <c r="H44" s="208">
        <v>9157289.3499999996</v>
      </c>
      <c r="J44" s="330"/>
      <c r="K44" s="332"/>
      <c r="L44" s="203" t="s">
        <v>1494</v>
      </c>
      <c r="M44" s="204">
        <f>+E44*'IPC Pan'!$B$22/'IPC Pan'!$B$19</f>
        <v>8044025.7261105813</v>
      </c>
      <c r="N44" s="205">
        <f>+F44*'IPC Pan'!$B$22/'IPC Pan'!$B$20</f>
        <v>8491862.4728452265</v>
      </c>
      <c r="O44" s="205">
        <f>+G44*'IPC Pan'!$B$22/'IPC Pan'!$B$21</f>
        <v>8375573.0533424653</v>
      </c>
      <c r="P44" s="206">
        <f>+H44*'IPC Pan'!$B$22/'IPC Pan'!$B$22</f>
        <v>9157289.3499999996</v>
      </c>
      <c r="R44" s="330"/>
      <c r="S44" s="332"/>
      <c r="T44" s="203" t="s">
        <v>1494</v>
      </c>
      <c r="U44" s="204">
        <f t="shared" ref="U44:X44" si="15">+M44*SUM(U41:U43,U45)/SUM(M41:M43,M45)</f>
        <v>21012832.771884087</v>
      </c>
      <c r="V44" s="205">
        <f t="shared" si="15"/>
        <v>23608266.844341073</v>
      </c>
      <c r="W44" s="205">
        <f t="shared" si="15"/>
        <v>21616171.203394055</v>
      </c>
      <c r="X44" s="206">
        <f t="shared" si="15"/>
        <v>24978500.427634001</v>
      </c>
    </row>
    <row r="45" spans="1:26" ht="14.5">
      <c r="B45" s="330"/>
      <c r="C45" s="333"/>
      <c r="D45" s="164" t="s">
        <v>1495</v>
      </c>
      <c r="E45" s="193">
        <v>5001865.87</v>
      </c>
      <c r="F45" s="207">
        <v>2369647.4</v>
      </c>
      <c r="G45" s="207">
        <v>6258450.9800000004</v>
      </c>
      <c r="H45" s="208">
        <v>5387343.7599999998</v>
      </c>
      <c r="J45" s="330"/>
      <c r="K45" s="333"/>
      <c r="L45" s="203" t="s">
        <v>1495</v>
      </c>
      <c r="M45" s="204">
        <f>+E45*'IPC Pan'!$B$22/'IPC Pan'!$B$19</f>
        <v>5259349.9090657765</v>
      </c>
      <c r="N45" s="205">
        <f>+F45*'IPC Pan'!$B$22/'IPC Pan'!$B$20</f>
        <v>2422355.0344763664</v>
      </c>
      <c r="O45" s="205">
        <f>+G45*'IPC Pan'!$B$22/'IPC Pan'!$B$21</f>
        <v>6304174.8227762552</v>
      </c>
      <c r="P45" s="206">
        <f>+H45*'IPC Pan'!$B$22/'IPC Pan'!$B$22</f>
        <v>5387343.7599999998</v>
      </c>
      <c r="R45" s="330"/>
      <c r="S45" s="333"/>
      <c r="T45" s="203" t="s">
        <v>1495</v>
      </c>
      <c r="U45" s="204">
        <f>+M45/CLR!$D$31</f>
        <v>11237927.156123454</v>
      </c>
      <c r="V45" s="205">
        <f>+N45/CLR!$D$31</f>
        <v>5175972.295889671</v>
      </c>
      <c r="W45" s="205">
        <f>+O45/CLR!$D$31</f>
        <v>13470459.023026185</v>
      </c>
      <c r="X45" s="206">
        <f>+P45/CLR!$D$31</f>
        <v>11511418.29059829</v>
      </c>
    </row>
    <row r="46" spans="1:26" ht="14.5">
      <c r="B46" s="330"/>
      <c r="C46" s="334" t="s">
        <v>1496</v>
      </c>
      <c r="D46" s="164" t="s">
        <v>1491</v>
      </c>
      <c r="E46" s="193">
        <v>7825612.0599999996</v>
      </c>
      <c r="F46" s="207">
        <v>9448232.8000000007</v>
      </c>
      <c r="G46" s="207">
        <v>9046828.8699999992</v>
      </c>
      <c r="H46" s="208">
        <v>10054509.07</v>
      </c>
      <c r="J46" s="330"/>
      <c r="K46" s="334" t="s">
        <v>1496</v>
      </c>
      <c r="L46" s="203" t="s">
        <v>1491</v>
      </c>
      <c r="M46" s="204">
        <f>+E46*'IPC Pan'!$B$22/'IPC Pan'!$B$19</f>
        <v>8228455.7694756901</v>
      </c>
      <c r="N46" s="205">
        <f>+F46*'IPC Pan'!$B$22/'IPC Pan'!$B$20</f>
        <v>9658388.1171455048</v>
      </c>
      <c r="O46" s="205">
        <f>+G46*'IPC Pan'!$B$22/'IPC Pan'!$B$21</f>
        <v>9112924.4233881272</v>
      </c>
      <c r="P46" s="206">
        <f>+H46*'IPC Pan'!$B$22/'IPC Pan'!$B$22</f>
        <v>10054509.07</v>
      </c>
      <c r="R46" s="330"/>
      <c r="S46" s="334" t="s">
        <v>1496</v>
      </c>
      <c r="T46" s="203" t="s">
        <v>1491</v>
      </c>
      <c r="U46" s="204">
        <f>+M46/CLR!$D$34</f>
        <v>28538890.498685427</v>
      </c>
      <c r="V46" s="205">
        <f>+N46/CLR!$D$34</f>
        <v>33498348.729239583</v>
      </c>
      <c r="W46" s="205">
        <f>+O46/CLR!$D$34</f>
        <v>31606507.895033799</v>
      </c>
      <c r="X46" s="206">
        <f>+P46/CLR!$D$34</f>
        <v>34872221.642269738</v>
      </c>
    </row>
    <row r="47" spans="1:26" ht="14.5">
      <c r="B47" s="330"/>
      <c r="C47" s="332"/>
      <c r="D47" s="164" t="s">
        <v>1492</v>
      </c>
      <c r="E47" s="193">
        <v>4657241.74</v>
      </c>
      <c r="F47" s="207">
        <v>5224502.9000000004</v>
      </c>
      <c r="G47" s="207">
        <v>5074939.3787890803</v>
      </c>
      <c r="H47" s="208">
        <v>7998455.0321012</v>
      </c>
      <c r="J47" s="330"/>
      <c r="K47" s="332"/>
      <c r="L47" s="203" t="s">
        <v>1492</v>
      </c>
      <c r="M47" s="204">
        <f>+E47*'IPC Pan'!$B$22/'IPC Pan'!$B$19</f>
        <v>4896985.356739752</v>
      </c>
      <c r="N47" s="205">
        <f>+F47*'IPC Pan'!$B$22/'IPC Pan'!$B$20</f>
        <v>5340710.5641334569</v>
      </c>
      <c r="O47" s="205">
        <f>+G47*'IPC Pan'!$B$22/'IPC Pan'!$B$21</f>
        <v>5112016.5614651646</v>
      </c>
      <c r="P47" s="206">
        <f>+H47*'IPC Pan'!$B$22/'IPC Pan'!$B$22</f>
        <v>7998455.0321012</v>
      </c>
      <c r="R47" s="330"/>
      <c r="S47" s="332"/>
      <c r="T47" s="203" t="s">
        <v>1492</v>
      </c>
      <c r="U47" s="204">
        <f>+M47/CLR!$D$31</f>
        <v>10463643.924657589</v>
      </c>
      <c r="V47" s="205">
        <f>+N47/CLR!$D$31</f>
        <v>11411774.709686873</v>
      </c>
      <c r="W47" s="205">
        <f>+O47/CLR!$D$31</f>
        <v>10923112.310823001</v>
      </c>
      <c r="X47" s="206">
        <f>+P47/CLR!$D$31</f>
        <v>17090715.880558118</v>
      </c>
    </row>
    <row r="48" spans="1:26" ht="14.5">
      <c r="B48" s="330"/>
      <c r="C48" s="332"/>
      <c r="D48" s="164" t="s">
        <v>1493</v>
      </c>
      <c r="E48" s="193">
        <v>8759.2900000000009</v>
      </c>
      <c r="F48" s="207">
        <v>9826.2000000000007</v>
      </c>
      <c r="G48" s="207">
        <v>9544.8912109152006</v>
      </c>
      <c r="H48" s="208">
        <v>15043.4078987993</v>
      </c>
      <c r="J48" s="330"/>
      <c r="K48" s="332"/>
      <c r="L48" s="203" t="s">
        <v>1493</v>
      </c>
      <c r="M48" s="204">
        <f>+E48*'IPC Pan'!$B$22/'IPC Pan'!$B$19</f>
        <v>9210.1972068636787</v>
      </c>
      <c r="N48" s="205">
        <f>+F48*'IPC Pan'!$B$22/'IPC Pan'!$B$20</f>
        <v>10044.762372567193</v>
      </c>
      <c r="O48" s="205">
        <f>+G48*'IPC Pan'!$B$22/'IPC Pan'!$B$21</f>
        <v>9614.6255759264532</v>
      </c>
      <c r="P48" s="206">
        <f>+H48*'IPC Pan'!$B$22/'IPC Pan'!$B$22</f>
        <v>15043.4078987993</v>
      </c>
      <c r="R48" s="330"/>
      <c r="S48" s="332"/>
      <c r="T48" s="203" t="s">
        <v>1493</v>
      </c>
      <c r="U48" s="204">
        <f t="shared" ref="U48:X48" si="16">+M48</f>
        <v>9210.1972068636787</v>
      </c>
      <c r="V48" s="205">
        <f t="shared" si="16"/>
        <v>10044.762372567193</v>
      </c>
      <c r="W48" s="205">
        <f t="shared" si="16"/>
        <v>9614.6255759264532</v>
      </c>
      <c r="X48" s="206">
        <f t="shared" si="16"/>
        <v>15043.4078987993</v>
      </c>
    </row>
    <row r="49" spans="2:24" ht="14.5">
      <c r="B49" s="330"/>
      <c r="C49" s="332"/>
      <c r="D49" s="164" t="s">
        <v>1494</v>
      </c>
      <c r="E49" s="193">
        <v>2480065.85</v>
      </c>
      <c r="F49" s="207">
        <v>2931579.1</v>
      </c>
      <c r="G49" s="207">
        <v>3704812.89</v>
      </c>
      <c r="H49" s="208">
        <v>4638686.13</v>
      </c>
      <c r="J49" s="330"/>
      <c r="K49" s="332"/>
      <c r="L49" s="203" t="s">
        <v>1494</v>
      </c>
      <c r="M49" s="204">
        <f>+E49*'IPC Pan'!$B$22/'IPC Pan'!$B$19</f>
        <v>2607733.6821258338</v>
      </c>
      <c r="N49" s="205">
        <f>+F49*'IPC Pan'!$B$22/'IPC Pan'!$B$20</f>
        <v>2996785.6786839669</v>
      </c>
      <c r="O49" s="205">
        <f>+G49*'IPC Pan'!$B$22/'IPC Pan'!$B$21</f>
        <v>3731880.0161369867</v>
      </c>
      <c r="P49" s="206">
        <f>+H49*'IPC Pan'!$B$22/'IPC Pan'!$B$22</f>
        <v>4638686.13</v>
      </c>
      <c r="R49" s="330"/>
      <c r="S49" s="332"/>
      <c r="T49" s="203" t="s">
        <v>1494</v>
      </c>
      <c r="U49" s="204">
        <f t="shared" ref="U49:X49" si="17">+M49*SUM(U46:U48,U50)/SUM(M46:M48,M50)</f>
        <v>7315670.0136498157</v>
      </c>
      <c r="V49" s="205">
        <f t="shared" si="17"/>
        <v>8522226.126098277</v>
      </c>
      <c r="W49" s="205">
        <f t="shared" si="17"/>
        <v>10544342.49304522</v>
      </c>
      <c r="X49" s="206">
        <f t="shared" si="17"/>
        <v>12678623.74506519</v>
      </c>
    </row>
    <row r="50" spans="2:24" ht="15.75" customHeight="1">
      <c r="B50" s="329"/>
      <c r="C50" s="335"/>
      <c r="D50" s="164" t="s">
        <v>1495</v>
      </c>
      <c r="E50" s="142">
        <v>3078233.89</v>
      </c>
      <c r="F50" s="142">
        <v>3095524</v>
      </c>
      <c r="G50" s="142">
        <v>3343851.26</v>
      </c>
      <c r="H50" s="143">
        <v>4348572.32</v>
      </c>
      <c r="J50" s="329"/>
      <c r="K50" s="335"/>
      <c r="L50" s="203" t="s">
        <v>1495</v>
      </c>
      <c r="M50" s="209">
        <f>+E50*'IPC Pan'!$B$22/'IPC Pan'!$B$19</f>
        <v>3236693.9758531936</v>
      </c>
      <c r="N50" s="210">
        <f>+F50*'IPC Pan'!$B$22/'IPC Pan'!$B$20</f>
        <v>3164377.1751621868</v>
      </c>
      <c r="O50" s="210">
        <f>+G50*'IPC Pan'!$B$22/'IPC Pan'!$B$21</f>
        <v>3368281.223543379</v>
      </c>
      <c r="P50" s="211">
        <f>+H50*'IPC Pan'!$B$22/'IPC Pan'!$B$22</f>
        <v>4348572.32</v>
      </c>
      <c r="R50" s="329"/>
      <c r="S50" s="335"/>
      <c r="T50" s="203" t="s">
        <v>1495</v>
      </c>
      <c r="U50" s="209">
        <f>+M50/CLR!$D$31</f>
        <v>6916012.76891708</v>
      </c>
      <c r="V50" s="210">
        <f>+N50/CLR!$D$31</f>
        <v>6761489.6905174926</v>
      </c>
      <c r="W50" s="210">
        <f>+O50/CLR!$D$31</f>
        <v>7197182.1015884159</v>
      </c>
      <c r="X50" s="211">
        <f>+P50/CLR!$D$31</f>
        <v>9291821.196581196</v>
      </c>
    </row>
    <row r="51" spans="2:24" ht="15.75" customHeight="1">
      <c r="B51" s="328" t="s">
        <v>1445</v>
      </c>
      <c r="C51" s="331" t="s">
        <v>1443</v>
      </c>
      <c r="D51" s="123" t="s">
        <v>1491</v>
      </c>
      <c r="E51" s="198">
        <v>8088806</v>
      </c>
      <c r="F51" s="212">
        <v>8976773.9400000013</v>
      </c>
      <c r="G51" s="212">
        <v>9437532.0514285713</v>
      </c>
      <c r="H51" s="213">
        <v>9652036.7400000002</v>
      </c>
      <c r="J51" s="328" t="s">
        <v>1445</v>
      </c>
      <c r="K51" s="331" t="s">
        <v>1443</v>
      </c>
      <c r="L51" s="140" t="s">
        <v>1491</v>
      </c>
      <c r="M51" s="200">
        <f>+E51*'IPC Pan'!$B$22/'IPC Pan'!$B$19</f>
        <v>8505198.3012392744</v>
      </c>
      <c r="N51" s="198">
        <f>+F51*'IPC Pan'!$B$22/'IPC Pan'!$B$20</f>
        <v>9176442.6837998163</v>
      </c>
      <c r="O51" s="198">
        <f>+G51*'IPC Pan'!$B$22/'IPC Pan'!$B$21</f>
        <v>9506482.0572837573</v>
      </c>
      <c r="P51" s="199">
        <f>+H51*'IPC Pan'!$B$22/'IPC Pan'!$B$22</f>
        <v>9652036.7400000002</v>
      </c>
      <c r="R51" s="328" t="s">
        <v>1445</v>
      </c>
      <c r="S51" s="331" t="s">
        <v>1443</v>
      </c>
      <c r="T51" s="140" t="s">
        <v>1491</v>
      </c>
      <c r="U51" s="200">
        <f>+M51/CLR!$D$34</f>
        <v>29498721.24112292</v>
      </c>
      <c r="V51" s="198">
        <f>+N51/CLR!$D$34</f>
        <v>31826809.337897565</v>
      </c>
      <c r="W51" s="198">
        <f>+O51/CLR!$D$34</f>
        <v>32971490.40613075</v>
      </c>
      <c r="X51" s="199">
        <f>+P51/CLR!$D$34</f>
        <v>33476320.141865533</v>
      </c>
    </row>
    <row r="52" spans="2:24" ht="15.75" customHeight="1">
      <c r="B52" s="330"/>
      <c r="C52" s="332"/>
      <c r="D52" s="164" t="s">
        <v>1492</v>
      </c>
      <c r="E52" s="214">
        <v>0</v>
      </c>
      <c r="F52" s="215">
        <v>0</v>
      </c>
      <c r="G52" s="215">
        <v>0</v>
      </c>
      <c r="H52" s="216">
        <v>0</v>
      </c>
      <c r="I52" s="217"/>
      <c r="J52" s="330"/>
      <c r="K52" s="332"/>
      <c r="L52" s="203" t="s">
        <v>1492</v>
      </c>
      <c r="M52" s="204">
        <f>+E52*'IPC Pan'!$B$22/'IPC Pan'!$B$19</f>
        <v>0</v>
      </c>
      <c r="N52" s="205">
        <f>+F52*'IPC Pan'!$B$22/'IPC Pan'!$B$20</f>
        <v>0</v>
      </c>
      <c r="O52" s="205">
        <f>+G52*'IPC Pan'!$B$22/'IPC Pan'!$B$21</f>
        <v>0</v>
      </c>
      <c r="P52" s="206">
        <f>+H52*'IPC Pan'!$B$22/'IPC Pan'!$B$22</f>
        <v>0</v>
      </c>
      <c r="R52" s="330"/>
      <c r="S52" s="332"/>
      <c r="T52" s="203" t="s">
        <v>1492</v>
      </c>
      <c r="U52" s="204">
        <f>+M52/CLR!$D$31</f>
        <v>0</v>
      </c>
      <c r="V52" s="205">
        <f>+N52/CLR!$D$31</f>
        <v>0</v>
      </c>
      <c r="W52" s="205">
        <f>+O52/CLR!$D$31</f>
        <v>0</v>
      </c>
      <c r="X52" s="206">
        <f>+P52/CLR!$D$31</f>
        <v>0</v>
      </c>
    </row>
    <row r="53" spans="2:24" ht="15.75" customHeight="1">
      <c r="B53" s="330"/>
      <c r="C53" s="332"/>
      <c r="D53" s="164" t="s">
        <v>1493</v>
      </c>
      <c r="E53" s="201">
        <v>20774198.300000001</v>
      </c>
      <c r="F53" s="218">
        <v>19114714.006411999</v>
      </c>
      <c r="G53" s="218">
        <v>19735760.403447431</v>
      </c>
      <c r="H53" s="219">
        <v>29709423.965630326</v>
      </c>
      <c r="J53" s="330"/>
      <c r="K53" s="332"/>
      <c r="L53" s="203" t="s">
        <v>1493</v>
      </c>
      <c r="M53" s="204">
        <f>+E53*'IPC Pan'!$B$22/'IPC Pan'!$B$19</f>
        <v>21843604.122878935</v>
      </c>
      <c r="N53" s="205">
        <f>+F53*'IPC Pan'!$B$22/'IPC Pan'!$B$20</f>
        <v>19539879.100159809</v>
      </c>
      <c r="O53" s="205">
        <f>+G53*'IPC Pan'!$B$22/'IPC Pan'!$B$21</f>
        <v>19879948.607308235</v>
      </c>
      <c r="P53" s="206">
        <f>+H53*'IPC Pan'!$B$22/'IPC Pan'!$B$22</f>
        <v>29709423.965630326</v>
      </c>
      <c r="R53" s="330"/>
      <c r="S53" s="332"/>
      <c r="T53" s="203" t="s">
        <v>1493</v>
      </c>
      <c r="U53" s="204">
        <f t="shared" ref="U53:X53" si="18">+M53</f>
        <v>21843604.122878935</v>
      </c>
      <c r="V53" s="205">
        <f t="shared" si="18"/>
        <v>19539879.100159809</v>
      </c>
      <c r="W53" s="205">
        <f t="shared" si="18"/>
        <v>19879948.607308235</v>
      </c>
      <c r="X53" s="206">
        <f t="shared" si="18"/>
        <v>29709423.965630326</v>
      </c>
    </row>
    <row r="54" spans="2:24" ht="15.75" customHeight="1">
      <c r="B54" s="330"/>
      <c r="C54" s="332"/>
      <c r="D54" s="164" t="s">
        <v>1494</v>
      </c>
      <c r="E54" s="214">
        <v>0</v>
      </c>
      <c r="F54" s="214">
        <v>0</v>
      </c>
      <c r="G54" s="214">
        <v>0</v>
      </c>
      <c r="H54" s="216">
        <v>0</v>
      </c>
      <c r="J54" s="330"/>
      <c r="K54" s="332"/>
      <c r="L54" s="203" t="s">
        <v>1494</v>
      </c>
      <c r="M54" s="204">
        <f>+E54*'IPC Pan'!$B$22/'IPC Pan'!$B$19</f>
        <v>0</v>
      </c>
      <c r="N54" s="205">
        <f>+F54*'IPC Pan'!$B$22/'IPC Pan'!$B$20</f>
        <v>0</v>
      </c>
      <c r="O54" s="205">
        <f>+G54*'IPC Pan'!$B$22/'IPC Pan'!$B$21</f>
        <v>0</v>
      </c>
      <c r="P54" s="206">
        <f>+H54*'IPC Pan'!$B$22/'IPC Pan'!$B$22</f>
        <v>0</v>
      </c>
      <c r="R54" s="330"/>
      <c r="S54" s="332"/>
      <c r="T54" s="203" t="s">
        <v>1494</v>
      </c>
      <c r="U54" s="204">
        <f t="shared" ref="U54:X54" si="19">+M54*SUM(U51:U53,U55)/SUM(M51:M53,M55)</f>
        <v>0</v>
      </c>
      <c r="V54" s="205">
        <f t="shared" si="19"/>
        <v>0</v>
      </c>
      <c r="W54" s="205">
        <f t="shared" si="19"/>
        <v>0</v>
      </c>
      <c r="X54" s="206">
        <f t="shared" si="19"/>
        <v>0</v>
      </c>
    </row>
    <row r="55" spans="2:24" ht="15.75" customHeight="1">
      <c r="B55" s="330"/>
      <c r="C55" s="333"/>
      <c r="D55" s="126" t="s">
        <v>1495</v>
      </c>
      <c r="E55" s="214">
        <v>0</v>
      </c>
      <c r="F55" s="214">
        <v>0</v>
      </c>
      <c r="G55" s="214">
        <v>0</v>
      </c>
      <c r="H55" s="216">
        <v>0</v>
      </c>
      <c r="J55" s="330"/>
      <c r="K55" s="333"/>
      <c r="L55" s="145" t="s">
        <v>1495</v>
      </c>
      <c r="M55" s="204">
        <f>+E55*'IPC Pan'!$B$22/'IPC Pan'!$B$19</f>
        <v>0</v>
      </c>
      <c r="N55" s="205">
        <f>+F55*'IPC Pan'!$B$22/'IPC Pan'!$B$20</f>
        <v>0</v>
      </c>
      <c r="O55" s="205">
        <f>+G55*'IPC Pan'!$B$22/'IPC Pan'!$B$21</f>
        <v>0</v>
      </c>
      <c r="P55" s="206">
        <f>+H55*'IPC Pan'!$B$22/'IPC Pan'!$B$22</f>
        <v>0</v>
      </c>
      <c r="R55" s="330"/>
      <c r="S55" s="333"/>
      <c r="T55" s="145" t="s">
        <v>1495</v>
      </c>
      <c r="U55" s="204">
        <f>+M55/CLR!$D$31</f>
        <v>0</v>
      </c>
      <c r="V55" s="205">
        <f>+N55/CLR!$D$31</f>
        <v>0</v>
      </c>
      <c r="W55" s="205">
        <f>+O55/CLR!$D$31</f>
        <v>0</v>
      </c>
      <c r="X55" s="206">
        <f>+P55/CLR!$D$31</f>
        <v>0</v>
      </c>
    </row>
    <row r="56" spans="2:24" ht="15.75" customHeight="1">
      <c r="B56" s="330"/>
      <c r="C56" s="334" t="s">
        <v>1444</v>
      </c>
      <c r="D56" s="164" t="s">
        <v>1491</v>
      </c>
      <c r="E56" s="193">
        <v>670673</v>
      </c>
      <c r="F56" s="207">
        <v>1022848.02</v>
      </c>
      <c r="G56" s="207">
        <v>931312.25</v>
      </c>
      <c r="H56" s="208">
        <v>899316.76</v>
      </c>
      <c r="J56" s="330"/>
      <c r="K56" s="334" t="s">
        <v>1444</v>
      </c>
      <c r="L56" s="203" t="s">
        <v>1491</v>
      </c>
      <c r="M56" s="204">
        <f>+E56*'IPC Pan'!$B$22/'IPC Pan'!$B$19</f>
        <v>705197.6348903717</v>
      </c>
      <c r="N56" s="205">
        <f>+F56*'IPC Pan'!$B$22/'IPC Pan'!$B$20</f>
        <v>1045599.0417608897</v>
      </c>
      <c r="O56" s="205">
        <f>+G56*'IPC Pan'!$B$22/'IPC Pan'!$B$21</f>
        <v>938116.35776255711</v>
      </c>
      <c r="P56" s="206">
        <f>+H56*'IPC Pan'!$B$22/'IPC Pan'!$B$22</f>
        <v>899316.75999999989</v>
      </c>
      <c r="R56" s="330"/>
      <c r="S56" s="334" t="s">
        <v>1444</v>
      </c>
      <c r="T56" s="203" t="s">
        <v>1491</v>
      </c>
      <c r="U56" s="204">
        <f>+M56/CLR!$D$34</f>
        <v>2445848.7285945085</v>
      </c>
      <c r="V56" s="205">
        <f>+N56/CLR!$D$34</f>
        <v>3626468.6101904921</v>
      </c>
      <c r="W56" s="205">
        <f>+O56/CLR!$D$34</f>
        <v>3253684.6231254837</v>
      </c>
      <c r="X56" s="206">
        <f>+P56/CLR!$D$34</f>
        <v>3119115.3305437216</v>
      </c>
    </row>
    <row r="57" spans="2:24" ht="15.75" customHeight="1">
      <c r="B57" s="330"/>
      <c r="C57" s="332"/>
      <c r="D57" s="164" t="s">
        <v>1492</v>
      </c>
      <c r="E57" s="214">
        <v>0</v>
      </c>
      <c r="F57" s="214">
        <v>0</v>
      </c>
      <c r="G57" s="214">
        <v>0</v>
      </c>
      <c r="H57" s="216">
        <v>0</v>
      </c>
      <c r="J57" s="330"/>
      <c r="K57" s="332"/>
      <c r="L57" s="203" t="s">
        <v>1492</v>
      </c>
      <c r="M57" s="204">
        <f>+E57*'IPC Pan'!$B$22/'IPC Pan'!$B$19</f>
        <v>0</v>
      </c>
      <c r="N57" s="205">
        <f>+F57*'IPC Pan'!$B$22/'IPC Pan'!$B$20</f>
        <v>0</v>
      </c>
      <c r="O57" s="205">
        <f>+G57*'IPC Pan'!$B$22/'IPC Pan'!$B$21</f>
        <v>0</v>
      </c>
      <c r="P57" s="206">
        <f>+H57*'IPC Pan'!$B$22/'IPC Pan'!$B$22</f>
        <v>0</v>
      </c>
      <c r="R57" s="330"/>
      <c r="S57" s="332"/>
      <c r="T57" s="203" t="s">
        <v>1492</v>
      </c>
      <c r="U57" s="204">
        <f>+M57/CLR!$D$31</f>
        <v>0</v>
      </c>
      <c r="V57" s="205">
        <f>+N57/CLR!$D$31</f>
        <v>0</v>
      </c>
      <c r="W57" s="205">
        <f>+O57/CLR!$D$31</f>
        <v>0</v>
      </c>
      <c r="X57" s="206">
        <f>+P57/CLR!$D$31</f>
        <v>0</v>
      </c>
    </row>
    <row r="58" spans="2:24" ht="15.75" customHeight="1">
      <c r="B58" s="330"/>
      <c r="C58" s="332"/>
      <c r="D58" s="164" t="s">
        <v>1493</v>
      </c>
      <c r="E58" s="201">
        <v>14593732.289999999</v>
      </c>
      <c r="F58" s="218">
        <v>19175191.359999999</v>
      </c>
      <c r="G58" s="218">
        <v>20803260.690000001</v>
      </c>
      <c r="H58" s="219">
        <v>30946469.597999997</v>
      </c>
      <c r="J58" s="330"/>
      <c r="K58" s="332"/>
      <c r="L58" s="203" t="s">
        <v>1493</v>
      </c>
      <c r="M58" s="204">
        <f>+E58*'IPC Pan'!$B$22/'IPC Pan'!$B$19</f>
        <v>15344982.5699428</v>
      </c>
      <c r="N58" s="205">
        <f>+F58*'IPC Pan'!$B$22/'IPC Pan'!$B$20</f>
        <v>19601701.640481927</v>
      </c>
      <c r="O58" s="205">
        <f>+G58*'IPC Pan'!$B$22/'IPC Pan'!$B$21</f>
        <v>20955247.982712328</v>
      </c>
      <c r="P58" s="206">
        <f>+H58*'IPC Pan'!$B$22/'IPC Pan'!$B$22</f>
        <v>30946469.597999997</v>
      </c>
      <c r="R58" s="330"/>
      <c r="S58" s="332"/>
      <c r="T58" s="203" t="s">
        <v>1493</v>
      </c>
      <c r="U58" s="204">
        <f t="shared" ref="U58:X58" si="20">+M58</f>
        <v>15344982.5699428</v>
      </c>
      <c r="V58" s="205">
        <f t="shared" si="20"/>
        <v>19601701.640481927</v>
      </c>
      <c r="W58" s="205">
        <f t="shared" si="20"/>
        <v>20955247.982712328</v>
      </c>
      <c r="X58" s="206">
        <f t="shared" si="20"/>
        <v>30946469.597999997</v>
      </c>
    </row>
    <row r="59" spans="2:24" ht="15.75" customHeight="1">
      <c r="B59" s="330"/>
      <c r="C59" s="332"/>
      <c r="D59" s="164" t="s">
        <v>1494</v>
      </c>
      <c r="E59" s="214">
        <v>0</v>
      </c>
      <c r="F59" s="214">
        <v>0</v>
      </c>
      <c r="G59" s="214">
        <v>0</v>
      </c>
      <c r="H59" s="216">
        <v>0</v>
      </c>
      <c r="J59" s="330"/>
      <c r="K59" s="332"/>
      <c r="L59" s="203" t="s">
        <v>1494</v>
      </c>
      <c r="M59" s="204">
        <f>+E59*'IPC Pan'!$B$22/'IPC Pan'!$B$19</f>
        <v>0</v>
      </c>
      <c r="N59" s="205">
        <f>+F59*'IPC Pan'!$B$22/'IPC Pan'!$B$20</f>
        <v>0</v>
      </c>
      <c r="O59" s="205">
        <f>+G59*'IPC Pan'!$B$22/'IPC Pan'!$B$21</f>
        <v>0</v>
      </c>
      <c r="P59" s="206">
        <f>+H59*'IPC Pan'!$B$22/'IPC Pan'!$B$22</f>
        <v>0</v>
      </c>
      <c r="R59" s="330"/>
      <c r="S59" s="332"/>
      <c r="T59" s="203" t="s">
        <v>1494</v>
      </c>
      <c r="U59" s="204">
        <f t="shared" ref="U59:X59" si="21">+M59*SUM(U56:U58,U60)/SUM(M56:M58,M60)</f>
        <v>0</v>
      </c>
      <c r="V59" s="205">
        <f t="shared" si="21"/>
        <v>0</v>
      </c>
      <c r="W59" s="205">
        <f t="shared" si="21"/>
        <v>0</v>
      </c>
      <c r="X59" s="206">
        <f t="shared" si="21"/>
        <v>0</v>
      </c>
    </row>
    <row r="60" spans="2:24" ht="15.75" customHeight="1">
      <c r="B60" s="330"/>
      <c r="C60" s="333"/>
      <c r="D60" s="164" t="s">
        <v>1495</v>
      </c>
      <c r="E60" s="214">
        <v>0</v>
      </c>
      <c r="F60" s="214">
        <v>0</v>
      </c>
      <c r="G60" s="214">
        <v>0</v>
      </c>
      <c r="H60" s="216">
        <v>0</v>
      </c>
      <c r="J60" s="330"/>
      <c r="K60" s="333"/>
      <c r="L60" s="203" t="s">
        <v>1495</v>
      </c>
      <c r="M60" s="204">
        <f>+E60*'IPC Pan'!$B$22/'IPC Pan'!$B$19</f>
        <v>0</v>
      </c>
      <c r="N60" s="205">
        <f>+F60*'IPC Pan'!$B$22/'IPC Pan'!$B$20</f>
        <v>0</v>
      </c>
      <c r="O60" s="205">
        <f>+G60*'IPC Pan'!$B$22/'IPC Pan'!$B$21</f>
        <v>0</v>
      </c>
      <c r="P60" s="206">
        <f>+H60*'IPC Pan'!$B$22/'IPC Pan'!$B$22</f>
        <v>0</v>
      </c>
      <c r="R60" s="330"/>
      <c r="S60" s="333"/>
      <c r="T60" s="203" t="s">
        <v>1495</v>
      </c>
      <c r="U60" s="204">
        <f>+M60/CLR!$D$31</f>
        <v>0</v>
      </c>
      <c r="V60" s="205">
        <f>+N60/CLR!$D$31</f>
        <v>0</v>
      </c>
      <c r="W60" s="205">
        <f>+O60/CLR!$D$31</f>
        <v>0</v>
      </c>
      <c r="X60" s="206">
        <f>+P60/CLR!$D$31</f>
        <v>0</v>
      </c>
    </row>
    <row r="61" spans="2:24" ht="15.75" customHeight="1">
      <c r="B61" s="330"/>
      <c r="C61" s="334" t="s">
        <v>1496</v>
      </c>
      <c r="D61" s="164" t="s">
        <v>1491</v>
      </c>
      <c r="E61" s="201">
        <v>4135346</v>
      </c>
      <c r="F61" s="218">
        <v>4334177.5199999996</v>
      </c>
      <c r="G61" s="218">
        <v>4521979.6899999995</v>
      </c>
      <c r="H61" s="219">
        <v>4373019.13</v>
      </c>
      <c r="J61" s="330"/>
      <c r="K61" s="334" t="s">
        <v>1496</v>
      </c>
      <c r="L61" s="203" t="s">
        <v>1491</v>
      </c>
      <c r="M61" s="204">
        <f>+E61*'IPC Pan'!$B$22/'IPC Pan'!$B$19</f>
        <v>4348223.6777883694</v>
      </c>
      <c r="N61" s="205">
        <f>+F61*'IPC Pan'!$B$22/'IPC Pan'!$B$20</f>
        <v>4430581.8392585721</v>
      </c>
      <c r="O61" s="205">
        <f>+G61*'IPC Pan'!$B$22/'IPC Pan'!$B$21</f>
        <v>4555016.9845388122</v>
      </c>
      <c r="P61" s="206">
        <f>+H61*'IPC Pan'!$B$22/'IPC Pan'!$B$22</f>
        <v>4373019.13</v>
      </c>
      <c r="R61" s="330"/>
      <c r="S61" s="334" t="s">
        <v>1496</v>
      </c>
      <c r="T61" s="203" t="s">
        <v>1491</v>
      </c>
      <c r="U61" s="204">
        <f>+M61/CLR!$D$34</f>
        <v>15081016.764352204</v>
      </c>
      <c r="V61" s="205">
        <f>+N61/CLR!$D$34</f>
        <v>15366660.950542068</v>
      </c>
      <c r="W61" s="205">
        <f>+O61/CLR!$D$34</f>
        <v>15798241.442049902</v>
      </c>
      <c r="X61" s="206">
        <f>+P61/CLR!$D$34</f>
        <v>15167015.245155632</v>
      </c>
    </row>
    <row r="62" spans="2:24" ht="15.75" customHeight="1">
      <c r="B62" s="330"/>
      <c r="C62" s="332"/>
      <c r="D62" s="164" t="s">
        <v>1492</v>
      </c>
      <c r="E62" s="214">
        <v>0</v>
      </c>
      <c r="F62" s="214">
        <v>0</v>
      </c>
      <c r="G62" s="214">
        <v>0</v>
      </c>
      <c r="H62" s="216">
        <v>0</v>
      </c>
      <c r="J62" s="330"/>
      <c r="K62" s="332"/>
      <c r="L62" s="203" t="s">
        <v>1492</v>
      </c>
      <c r="M62" s="204">
        <f>+E62*'IPC Pan'!$B$22/'IPC Pan'!$B$19</f>
        <v>0</v>
      </c>
      <c r="N62" s="205">
        <f>+F62*'IPC Pan'!$B$22/'IPC Pan'!$B$20</f>
        <v>0</v>
      </c>
      <c r="O62" s="205">
        <f>+G62*'IPC Pan'!$B$22/'IPC Pan'!$B$21</f>
        <v>0</v>
      </c>
      <c r="P62" s="206">
        <f>+H62*'IPC Pan'!$B$22/'IPC Pan'!$B$22</f>
        <v>0</v>
      </c>
      <c r="R62" s="330"/>
      <c r="S62" s="332"/>
      <c r="T62" s="203" t="s">
        <v>1492</v>
      </c>
      <c r="U62" s="204">
        <f>+M62/CLR!$D$31</f>
        <v>0</v>
      </c>
      <c r="V62" s="205">
        <f>+N62/CLR!$D$31</f>
        <v>0</v>
      </c>
      <c r="W62" s="205">
        <f>+O62/CLR!$D$31</f>
        <v>0</v>
      </c>
      <c r="X62" s="206">
        <f>+P62/CLR!$D$31</f>
        <v>0</v>
      </c>
    </row>
    <row r="63" spans="2:24" ht="15.75" customHeight="1">
      <c r="B63" s="330"/>
      <c r="C63" s="332"/>
      <c r="D63" s="164" t="s">
        <v>1493</v>
      </c>
      <c r="E63" s="201">
        <v>4423746.8550000004</v>
      </c>
      <c r="F63" s="218">
        <v>13444672.580000002</v>
      </c>
      <c r="G63" s="218">
        <v>8228301.7100000009</v>
      </c>
      <c r="H63" s="219">
        <v>4104642.6459999969</v>
      </c>
      <c r="J63" s="330"/>
      <c r="K63" s="332"/>
      <c r="L63" s="203" t="s">
        <v>1493</v>
      </c>
      <c r="M63" s="204">
        <f>+E63*'IPC Pan'!$B$22/'IPC Pan'!$B$19</f>
        <v>4651470.7159818877</v>
      </c>
      <c r="N63" s="205">
        <f>+F63*'IPC Pan'!$B$22/'IPC Pan'!$B$20</f>
        <v>13743719.977516219</v>
      </c>
      <c r="O63" s="205">
        <f>+G63*'IPC Pan'!$B$22/'IPC Pan'!$B$21</f>
        <v>8288417.1562831057</v>
      </c>
      <c r="P63" s="206">
        <f>+H63*'IPC Pan'!$B$22/'IPC Pan'!$B$22</f>
        <v>4104642.6459999969</v>
      </c>
      <c r="R63" s="330"/>
      <c r="S63" s="332"/>
      <c r="T63" s="203" t="s">
        <v>1493</v>
      </c>
      <c r="U63" s="204">
        <f t="shared" ref="U63:X63" si="22">+M63</f>
        <v>4651470.7159818877</v>
      </c>
      <c r="V63" s="205">
        <f t="shared" si="22"/>
        <v>13743719.977516219</v>
      </c>
      <c r="W63" s="205">
        <f t="shared" si="22"/>
        <v>8288417.1562831057</v>
      </c>
      <c r="X63" s="206">
        <f t="shared" si="22"/>
        <v>4104642.6459999969</v>
      </c>
    </row>
    <row r="64" spans="2:24" ht="15.75" customHeight="1">
      <c r="B64" s="330"/>
      <c r="C64" s="332"/>
      <c r="D64" s="164" t="s">
        <v>1494</v>
      </c>
      <c r="E64" s="214">
        <v>0</v>
      </c>
      <c r="F64" s="214">
        <v>0</v>
      </c>
      <c r="G64" s="214">
        <v>0</v>
      </c>
      <c r="H64" s="216">
        <v>0</v>
      </c>
      <c r="J64" s="330"/>
      <c r="K64" s="332"/>
      <c r="L64" s="203" t="s">
        <v>1494</v>
      </c>
      <c r="M64" s="204">
        <f>+E64*'IPC Pan'!$B$22/'IPC Pan'!$B$19</f>
        <v>0</v>
      </c>
      <c r="N64" s="205">
        <f>+F64*'IPC Pan'!$B$22/'IPC Pan'!$B$20</f>
        <v>0</v>
      </c>
      <c r="O64" s="205">
        <f>+G64*'IPC Pan'!$B$22/'IPC Pan'!$B$21</f>
        <v>0</v>
      </c>
      <c r="P64" s="206">
        <f>+H64*'IPC Pan'!$B$22/'IPC Pan'!$B$22</f>
        <v>0</v>
      </c>
      <c r="R64" s="330"/>
      <c r="S64" s="332"/>
      <c r="T64" s="203" t="s">
        <v>1494</v>
      </c>
      <c r="U64" s="204">
        <f t="shared" ref="U64:X64" si="23">+M64*SUM(U61:U63,U65)/SUM(M61:M63,M65)</f>
        <v>0</v>
      </c>
      <c r="V64" s="205">
        <f t="shared" si="23"/>
        <v>0</v>
      </c>
      <c r="W64" s="205">
        <f t="shared" si="23"/>
        <v>0</v>
      </c>
      <c r="X64" s="206">
        <f t="shared" si="23"/>
        <v>0</v>
      </c>
    </row>
    <row r="65" spans="2:24" ht="15.75" customHeight="1">
      <c r="B65" s="329"/>
      <c r="C65" s="335"/>
      <c r="D65" s="164" t="s">
        <v>1495</v>
      </c>
      <c r="E65" s="220">
        <v>0</v>
      </c>
      <c r="F65" s="220">
        <v>0</v>
      </c>
      <c r="G65" s="220">
        <v>0</v>
      </c>
      <c r="H65" s="221">
        <v>0</v>
      </c>
      <c r="I65" s="222">
        <v>0</v>
      </c>
      <c r="J65" s="329"/>
      <c r="K65" s="335"/>
      <c r="L65" s="203" t="s">
        <v>1495</v>
      </c>
      <c r="M65" s="204">
        <f>+E65*'IPC Pan'!$B$22/'IPC Pan'!$B$19</f>
        <v>0</v>
      </c>
      <c r="N65" s="205">
        <f>+F65*'IPC Pan'!$B$22/'IPC Pan'!$B$20</f>
        <v>0</v>
      </c>
      <c r="O65" s="205">
        <f>+G65*'IPC Pan'!$B$22/'IPC Pan'!$B$21</f>
        <v>0</v>
      </c>
      <c r="P65" s="206">
        <f>+H65*'IPC Pan'!$B$22/'IPC Pan'!$B$22</f>
        <v>0</v>
      </c>
      <c r="R65" s="329"/>
      <c r="S65" s="335"/>
      <c r="T65" s="203" t="s">
        <v>1495</v>
      </c>
      <c r="U65" s="209">
        <f>+M65/CLR!$D$31</f>
        <v>0</v>
      </c>
      <c r="V65" s="210">
        <f>+N65/CLR!$D$31</f>
        <v>0</v>
      </c>
      <c r="W65" s="210">
        <f>+O65/CLR!$D$31</f>
        <v>0</v>
      </c>
      <c r="X65" s="211">
        <f>+P65/CLR!$D$31</f>
        <v>0</v>
      </c>
    </row>
    <row r="66" spans="2:24" ht="15.75" customHeight="1">
      <c r="B66" s="328" t="s">
        <v>1446</v>
      </c>
      <c r="C66" s="331" t="s">
        <v>1443</v>
      </c>
      <c r="D66" s="123" t="s">
        <v>1491</v>
      </c>
      <c r="E66" s="135">
        <v>1636947</v>
      </c>
      <c r="F66" s="136">
        <v>1619570.05</v>
      </c>
      <c r="G66" s="136">
        <v>1718461.4100000001</v>
      </c>
      <c r="H66" s="137">
        <v>1709548.7499999998</v>
      </c>
      <c r="J66" s="328" t="s">
        <v>1446</v>
      </c>
      <c r="K66" s="331" t="s">
        <v>1443</v>
      </c>
      <c r="L66" s="140" t="s">
        <v>1491</v>
      </c>
      <c r="M66" s="200">
        <f>+E66*'IPC Pan'!$B$22/'IPC Pan'!$B$19</f>
        <v>1721213.0991420399</v>
      </c>
      <c r="N66" s="198">
        <f>+F66*'IPC Pan'!$B$22/'IPC Pan'!$B$20</f>
        <v>1655593.8509267839</v>
      </c>
      <c r="O66" s="198">
        <f>+G66*'IPC Pan'!$B$22/'IPC Pan'!$B$21</f>
        <v>1731016.3792054795</v>
      </c>
      <c r="P66" s="199">
        <f>+H66*'IPC Pan'!$B$22/'IPC Pan'!$B$22</f>
        <v>1709548.7499999998</v>
      </c>
      <c r="R66" s="328" t="s">
        <v>1446</v>
      </c>
      <c r="S66" s="331" t="s">
        <v>1443</v>
      </c>
      <c r="T66" s="140" t="s">
        <v>1491</v>
      </c>
      <c r="U66" s="223">
        <f>+M66/CLR!$D$34</f>
        <v>5969712.1230862057</v>
      </c>
      <c r="V66" s="201">
        <f>+N66/CLR!$D$34</f>
        <v>5742123.789152611</v>
      </c>
      <c r="W66" s="201">
        <f>+O66/CLR!$D$34</f>
        <v>6003713.0029713847</v>
      </c>
      <c r="X66" s="202">
        <f>+P66/CLR!$D$34</f>
        <v>5929256.4662498403</v>
      </c>
    </row>
    <row r="67" spans="2:24" ht="15.75" customHeight="1">
      <c r="B67" s="330"/>
      <c r="C67" s="332"/>
      <c r="D67" s="164" t="s">
        <v>1492</v>
      </c>
      <c r="E67" s="214">
        <v>0</v>
      </c>
      <c r="F67" s="214">
        <v>0</v>
      </c>
      <c r="G67" s="214">
        <v>0</v>
      </c>
      <c r="H67" s="216">
        <v>0</v>
      </c>
      <c r="J67" s="330"/>
      <c r="K67" s="332"/>
      <c r="L67" s="203" t="s">
        <v>1492</v>
      </c>
      <c r="M67" s="204">
        <f>+E67*'IPC Pan'!$B$22/'IPC Pan'!$B$19</f>
        <v>0</v>
      </c>
      <c r="N67" s="205">
        <f>+F67*'IPC Pan'!$B$22/'IPC Pan'!$B$20</f>
        <v>0</v>
      </c>
      <c r="O67" s="205">
        <f>+G67*'IPC Pan'!$B$22/'IPC Pan'!$B$21</f>
        <v>0</v>
      </c>
      <c r="P67" s="206">
        <f>+H67*'IPC Pan'!$B$22/'IPC Pan'!$B$22</f>
        <v>0</v>
      </c>
      <c r="R67" s="330"/>
      <c r="S67" s="332"/>
      <c r="T67" s="203" t="s">
        <v>1492</v>
      </c>
      <c r="U67" s="204">
        <f>+M67/CLR!$D$31</f>
        <v>0</v>
      </c>
      <c r="V67" s="205">
        <f>+N67/CLR!$D$31</f>
        <v>0</v>
      </c>
      <c r="W67" s="205">
        <f>+O67/CLR!$D$31</f>
        <v>0</v>
      </c>
      <c r="X67" s="206">
        <f>+P67/CLR!$D$31</f>
        <v>0</v>
      </c>
    </row>
    <row r="68" spans="2:24" ht="15.75" customHeight="1">
      <c r="B68" s="330"/>
      <c r="C68" s="332"/>
      <c r="D68" s="164" t="s">
        <v>1493</v>
      </c>
      <c r="E68" s="201">
        <v>4603430.182</v>
      </c>
      <c r="F68" s="218">
        <v>8944133.0890000015</v>
      </c>
      <c r="G68" s="218">
        <v>4255040.1449999996</v>
      </c>
      <c r="H68" s="219">
        <v>14146318.563781599</v>
      </c>
      <c r="J68" s="330"/>
      <c r="K68" s="332"/>
      <c r="L68" s="203" t="s">
        <v>1493</v>
      </c>
      <c r="M68" s="204">
        <f>+E68*'IPC Pan'!$B$22/'IPC Pan'!$B$19</f>
        <v>4840403.7090047663</v>
      </c>
      <c r="N68" s="205">
        <f>+F68*'IPC Pan'!$B$22/'IPC Pan'!$B$20</f>
        <v>9143075.8083104733</v>
      </c>
      <c r="O68" s="205">
        <f>+G68*'IPC Pan'!$B$22/'IPC Pan'!$B$21</f>
        <v>4286127.1962876702</v>
      </c>
      <c r="P68" s="206">
        <f>+H68*'IPC Pan'!$B$22/'IPC Pan'!$B$22</f>
        <v>14146318.563781599</v>
      </c>
      <c r="R68" s="330"/>
      <c r="S68" s="332"/>
      <c r="T68" s="203" t="s">
        <v>1493</v>
      </c>
      <c r="U68" s="204">
        <f t="shared" ref="U68:X68" si="24">+M68</f>
        <v>4840403.7090047663</v>
      </c>
      <c r="V68" s="205">
        <f t="shared" si="24"/>
        <v>9143075.8083104733</v>
      </c>
      <c r="W68" s="205">
        <f t="shared" si="24"/>
        <v>4286127.1962876702</v>
      </c>
      <c r="X68" s="206">
        <f t="shared" si="24"/>
        <v>14146318.563781599</v>
      </c>
    </row>
    <row r="69" spans="2:24" ht="15.75" customHeight="1">
      <c r="B69" s="330"/>
      <c r="C69" s="332"/>
      <c r="D69" s="164" t="s">
        <v>1494</v>
      </c>
      <c r="E69" s="214">
        <v>0</v>
      </c>
      <c r="F69" s="214">
        <v>0</v>
      </c>
      <c r="G69" s="214">
        <v>0</v>
      </c>
      <c r="H69" s="216">
        <v>0</v>
      </c>
      <c r="J69" s="330"/>
      <c r="K69" s="332"/>
      <c r="L69" s="203" t="s">
        <v>1494</v>
      </c>
      <c r="M69" s="204">
        <f>+E69*'IPC Pan'!$B$22/'IPC Pan'!$B$19</f>
        <v>0</v>
      </c>
      <c r="N69" s="205">
        <f>+F69*'IPC Pan'!$B$22/'IPC Pan'!$B$20</f>
        <v>0</v>
      </c>
      <c r="O69" s="205">
        <f>+G69*'IPC Pan'!$B$22/'IPC Pan'!$B$21</f>
        <v>0</v>
      </c>
      <c r="P69" s="206">
        <f>+H69*'IPC Pan'!$B$22/'IPC Pan'!$B$22</f>
        <v>0</v>
      </c>
      <c r="R69" s="330"/>
      <c r="S69" s="332"/>
      <c r="T69" s="203" t="s">
        <v>1494</v>
      </c>
      <c r="U69" s="204">
        <f t="shared" ref="U69:X69" si="25">+M69*SUM(U66:U68,U70)/SUM(M66:M68,M70)</f>
        <v>0</v>
      </c>
      <c r="V69" s="205">
        <f t="shared" si="25"/>
        <v>0</v>
      </c>
      <c r="W69" s="205">
        <f t="shared" si="25"/>
        <v>0</v>
      </c>
      <c r="X69" s="206">
        <f t="shared" si="25"/>
        <v>0</v>
      </c>
    </row>
    <row r="70" spans="2:24" ht="15.75" customHeight="1">
      <c r="B70" s="330"/>
      <c r="C70" s="333"/>
      <c r="D70" s="126" t="s">
        <v>1495</v>
      </c>
      <c r="E70" s="214">
        <v>0</v>
      </c>
      <c r="F70" s="214">
        <v>0</v>
      </c>
      <c r="G70" s="214">
        <v>0</v>
      </c>
      <c r="H70" s="216">
        <v>0</v>
      </c>
      <c r="J70" s="330"/>
      <c r="K70" s="333"/>
      <c r="L70" s="145" t="s">
        <v>1495</v>
      </c>
      <c r="M70" s="204">
        <f>+E70*'IPC Pan'!$B$22/'IPC Pan'!$B$19</f>
        <v>0</v>
      </c>
      <c r="N70" s="205">
        <f>+F70*'IPC Pan'!$B$22/'IPC Pan'!$B$20</f>
        <v>0</v>
      </c>
      <c r="O70" s="205">
        <f>+G70*'IPC Pan'!$B$22/'IPC Pan'!$B$21</f>
        <v>0</v>
      </c>
      <c r="P70" s="206">
        <f>+H70*'IPC Pan'!$B$22/'IPC Pan'!$B$22</f>
        <v>0</v>
      </c>
      <c r="R70" s="330"/>
      <c r="S70" s="333"/>
      <c r="T70" s="145" t="s">
        <v>1495</v>
      </c>
      <c r="U70" s="204">
        <f>+M70/CLR!$D$31</f>
        <v>0</v>
      </c>
      <c r="V70" s="205">
        <f>+N70/CLR!$D$31</f>
        <v>0</v>
      </c>
      <c r="W70" s="205">
        <f>+O70/CLR!$D$31</f>
        <v>0</v>
      </c>
      <c r="X70" s="206">
        <f>+P70/CLR!$D$31</f>
        <v>0</v>
      </c>
    </row>
    <row r="71" spans="2:24" ht="15.75" customHeight="1">
      <c r="B71" s="330"/>
      <c r="C71" s="334" t="s">
        <v>1444</v>
      </c>
      <c r="D71" s="164" t="s">
        <v>1491</v>
      </c>
      <c r="E71" s="201">
        <v>72737</v>
      </c>
      <c r="F71" s="218">
        <v>168429.51</v>
      </c>
      <c r="G71" s="218">
        <v>181972</v>
      </c>
      <c r="H71" s="219">
        <v>187728.65</v>
      </c>
      <c r="J71" s="330"/>
      <c r="K71" s="334" t="s">
        <v>1444</v>
      </c>
      <c r="L71" s="203" t="s">
        <v>1491</v>
      </c>
      <c r="M71" s="204">
        <f>+E71*'IPC Pan'!$B$22/'IPC Pan'!$B$19</f>
        <v>76481.326024785507</v>
      </c>
      <c r="N71" s="205">
        <f>+F71*'IPC Pan'!$B$22/'IPC Pan'!$B$20</f>
        <v>172175.85683966638</v>
      </c>
      <c r="O71" s="205">
        <f>+G71*'IPC Pan'!$B$22/'IPC Pan'!$B$21</f>
        <v>183301.47579908674</v>
      </c>
      <c r="P71" s="206">
        <f>+H71*'IPC Pan'!$B$22/'IPC Pan'!$B$22</f>
        <v>187728.65</v>
      </c>
      <c r="R71" s="330"/>
      <c r="S71" s="334" t="s">
        <v>1444</v>
      </c>
      <c r="T71" s="203" t="s">
        <v>1491</v>
      </c>
      <c r="U71" s="204">
        <f>+M71/CLR!$D$34</f>
        <v>265261.45971550781</v>
      </c>
      <c r="V71" s="205">
        <f>+N71/CLR!$D$34</f>
        <v>597160.39832072577</v>
      </c>
      <c r="W71" s="205">
        <f>+O71/CLR!$D$34</f>
        <v>635747.56827196293</v>
      </c>
      <c r="X71" s="206">
        <f>+P71/CLR!$D$34</f>
        <v>651102.41045354994</v>
      </c>
    </row>
    <row r="72" spans="2:24" ht="15.75" customHeight="1">
      <c r="B72" s="330"/>
      <c r="C72" s="332"/>
      <c r="D72" s="164" t="s">
        <v>1492</v>
      </c>
      <c r="E72" s="214">
        <v>0</v>
      </c>
      <c r="F72" s="214">
        <v>0</v>
      </c>
      <c r="G72" s="214">
        <v>0</v>
      </c>
      <c r="H72" s="216">
        <v>0</v>
      </c>
      <c r="J72" s="330"/>
      <c r="K72" s="332"/>
      <c r="L72" s="203" t="s">
        <v>1492</v>
      </c>
      <c r="M72" s="204">
        <f>+E72*'IPC Pan'!$B$22/'IPC Pan'!$B$19</f>
        <v>0</v>
      </c>
      <c r="N72" s="205">
        <f>+F72*'IPC Pan'!$B$22/'IPC Pan'!$B$20</f>
        <v>0</v>
      </c>
      <c r="O72" s="205">
        <f>+G72*'IPC Pan'!$B$22/'IPC Pan'!$B$21</f>
        <v>0</v>
      </c>
      <c r="P72" s="206">
        <f>+H72*'IPC Pan'!$B$22/'IPC Pan'!$B$22</f>
        <v>0</v>
      </c>
      <c r="R72" s="330"/>
      <c r="S72" s="332"/>
      <c r="T72" s="203" t="s">
        <v>1492</v>
      </c>
      <c r="U72" s="204">
        <f>+M72/CLR!$D$31</f>
        <v>0</v>
      </c>
      <c r="V72" s="205">
        <f>+N72/CLR!$D$31</f>
        <v>0</v>
      </c>
      <c r="W72" s="205">
        <f>+O72/CLR!$D$31</f>
        <v>0</v>
      </c>
      <c r="X72" s="206">
        <f>+P72/CLR!$D$31</f>
        <v>0</v>
      </c>
    </row>
    <row r="73" spans="2:24" ht="15.75" customHeight="1">
      <c r="B73" s="330"/>
      <c r="C73" s="332"/>
      <c r="D73" s="164" t="s">
        <v>1493</v>
      </c>
      <c r="E73" s="201">
        <v>2400988.4780000001</v>
      </c>
      <c r="F73" s="218">
        <v>2219954.9900000002</v>
      </c>
      <c r="G73" s="218">
        <v>1875808</v>
      </c>
      <c r="H73" s="219">
        <v>480411.11099999805</v>
      </c>
      <c r="J73" s="330"/>
      <c r="K73" s="332"/>
      <c r="L73" s="203" t="s">
        <v>1493</v>
      </c>
      <c r="M73" s="204">
        <f>+E73*'IPC Pan'!$B$22/'IPC Pan'!$B$19</f>
        <v>2524585.5969818872</v>
      </c>
      <c r="N73" s="205">
        <f>+F73*'IPC Pan'!$B$22/'IPC Pan'!$B$20</f>
        <v>2269333.0435310472</v>
      </c>
      <c r="O73" s="205">
        <f>+G73*'IPC Pan'!$B$22/'IPC Pan'!$B$21</f>
        <v>1889512.5333333334</v>
      </c>
      <c r="P73" s="206">
        <f>+H73*'IPC Pan'!$B$22/'IPC Pan'!$B$22</f>
        <v>480411.11099999805</v>
      </c>
      <c r="R73" s="330"/>
      <c r="S73" s="332"/>
      <c r="T73" s="203" t="s">
        <v>1493</v>
      </c>
      <c r="U73" s="204">
        <f t="shared" ref="U73:X73" si="26">+M73</f>
        <v>2524585.5969818872</v>
      </c>
      <c r="V73" s="205">
        <f t="shared" si="26"/>
        <v>2269333.0435310472</v>
      </c>
      <c r="W73" s="205">
        <f t="shared" si="26"/>
        <v>1889512.5333333334</v>
      </c>
      <c r="X73" s="206">
        <f t="shared" si="26"/>
        <v>480411.11099999805</v>
      </c>
    </row>
    <row r="74" spans="2:24" ht="15.75" customHeight="1">
      <c r="B74" s="330"/>
      <c r="C74" s="332"/>
      <c r="D74" s="164" t="s">
        <v>1494</v>
      </c>
      <c r="E74" s="214">
        <v>0</v>
      </c>
      <c r="F74" s="214">
        <v>0</v>
      </c>
      <c r="G74" s="214">
        <v>0</v>
      </c>
      <c r="H74" s="216">
        <v>0</v>
      </c>
      <c r="J74" s="330"/>
      <c r="K74" s="332"/>
      <c r="L74" s="203" t="s">
        <v>1494</v>
      </c>
      <c r="M74" s="204">
        <f>+E74*'IPC Pan'!$B$22/'IPC Pan'!$B$19</f>
        <v>0</v>
      </c>
      <c r="N74" s="205">
        <f>+F74*'IPC Pan'!$B$22/'IPC Pan'!$B$20</f>
        <v>0</v>
      </c>
      <c r="O74" s="205">
        <f>+G74*'IPC Pan'!$B$22/'IPC Pan'!$B$21</f>
        <v>0</v>
      </c>
      <c r="P74" s="206">
        <f>+H74*'IPC Pan'!$B$22/'IPC Pan'!$B$22</f>
        <v>0</v>
      </c>
      <c r="R74" s="330"/>
      <c r="S74" s="332"/>
      <c r="T74" s="203" t="s">
        <v>1494</v>
      </c>
      <c r="U74" s="204">
        <f t="shared" ref="U74:X74" si="27">+M74*SUM(U71:U73,U75)/SUM(M71:M73,M75)</f>
        <v>0</v>
      </c>
      <c r="V74" s="205">
        <f t="shared" si="27"/>
        <v>0</v>
      </c>
      <c r="W74" s="205">
        <f t="shared" si="27"/>
        <v>0</v>
      </c>
      <c r="X74" s="206">
        <f t="shared" si="27"/>
        <v>0</v>
      </c>
    </row>
    <row r="75" spans="2:24" ht="15.75" customHeight="1">
      <c r="B75" s="330"/>
      <c r="C75" s="333"/>
      <c r="D75" s="164" t="s">
        <v>1495</v>
      </c>
      <c r="E75" s="214">
        <v>0</v>
      </c>
      <c r="F75" s="214">
        <v>0</v>
      </c>
      <c r="G75" s="214">
        <v>0</v>
      </c>
      <c r="H75" s="216">
        <v>0</v>
      </c>
      <c r="J75" s="330"/>
      <c r="K75" s="333"/>
      <c r="L75" s="203" t="s">
        <v>1495</v>
      </c>
      <c r="M75" s="204">
        <f>+E75*'IPC Pan'!$B$22/'IPC Pan'!$B$19</f>
        <v>0</v>
      </c>
      <c r="N75" s="205">
        <f>+F75*'IPC Pan'!$B$22/'IPC Pan'!$B$20</f>
        <v>0</v>
      </c>
      <c r="O75" s="205">
        <f>+G75*'IPC Pan'!$B$22/'IPC Pan'!$B$21</f>
        <v>0</v>
      </c>
      <c r="P75" s="206">
        <f>+H75*'IPC Pan'!$B$22/'IPC Pan'!$B$22</f>
        <v>0</v>
      </c>
      <c r="R75" s="330"/>
      <c r="S75" s="333"/>
      <c r="T75" s="203" t="s">
        <v>1495</v>
      </c>
      <c r="U75" s="204">
        <f>+M75/CLR!$D$31</f>
        <v>0</v>
      </c>
      <c r="V75" s="205">
        <f>+N75/CLR!$D$31</f>
        <v>0</v>
      </c>
      <c r="W75" s="205">
        <f>+O75/CLR!$D$31</f>
        <v>0</v>
      </c>
      <c r="X75" s="206">
        <f>+P75/CLR!$D$31</f>
        <v>0</v>
      </c>
    </row>
    <row r="76" spans="2:24" ht="15.75" customHeight="1">
      <c r="B76" s="330"/>
      <c r="C76" s="334" t="s">
        <v>1496</v>
      </c>
      <c r="D76" s="164" t="s">
        <v>1491</v>
      </c>
      <c r="E76" s="201">
        <v>157912</v>
      </c>
      <c r="F76" s="218">
        <v>167669.67000000001</v>
      </c>
      <c r="G76" s="218">
        <v>167458.5</v>
      </c>
      <c r="H76" s="219">
        <v>153626.01</v>
      </c>
      <c r="J76" s="330"/>
      <c r="K76" s="334" t="s">
        <v>1496</v>
      </c>
      <c r="L76" s="203" t="s">
        <v>1491</v>
      </c>
      <c r="M76" s="204">
        <f>+E76*'IPC Pan'!$B$22/'IPC Pan'!$B$19</f>
        <v>166040.93040991417</v>
      </c>
      <c r="N76" s="205">
        <f>+F76*'IPC Pan'!$B$22/'IPC Pan'!$B$20</f>
        <v>171399.11585727523</v>
      </c>
      <c r="O76" s="205">
        <f>+G76*'IPC Pan'!$B$22/'IPC Pan'!$B$21</f>
        <v>168681.94109589042</v>
      </c>
      <c r="P76" s="206">
        <f>+H76*'IPC Pan'!$B$22/'IPC Pan'!$B$22</f>
        <v>153626.01</v>
      </c>
      <c r="R76" s="330"/>
      <c r="S76" s="334" t="s">
        <v>1496</v>
      </c>
      <c r="T76" s="203" t="s">
        <v>1491</v>
      </c>
      <c r="U76" s="204">
        <f>+M76/CLR!$D$34</f>
        <v>575882.53057722026</v>
      </c>
      <c r="V76" s="205">
        <f>+N76/CLR!$D$34</f>
        <v>594466.4146057578</v>
      </c>
      <c r="W76" s="205">
        <f>+O76/CLR!$D$34</f>
        <v>585042.39202443522</v>
      </c>
      <c r="X76" s="206">
        <f>+P76/CLR!$D$34</f>
        <v>532823.65488358424</v>
      </c>
    </row>
    <row r="77" spans="2:24" ht="15.75" customHeight="1">
      <c r="B77" s="330"/>
      <c r="C77" s="332"/>
      <c r="D77" s="164" t="s">
        <v>1492</v>
      </c>
      <c r="E77" s="214">
        <v>0</v>
      </c>
      <c r="F77" s="214">
        <v>0</v>
      </c>
      <c r="G77" s="214">
        <v>0</v>
      </c>
      <c r="H77" s="216">
        <v>0</v>
      </c>
      <c r="J77" s="330"/>
      <c r="K77" s="332"/>
      <c r="L77" s="203" t="s">
        <v>1492</v>
      </c>
      <c r="M77" s="204">
        <f>+E77*'IPC Pan'!$B$22/'IPC Pan'!$B$19</f>
        <v>0</v>
      </c>
      <c r="N77" s="205">
        <f>+F77*'IPC Pan'!$B$22/'IPC Pan'!$B$20</f>
        <v>0</v>
      </c>
      <c r="O77" s="205">
        <f>+G77*'IPC Pan'!$B$22/'IPC Pan'!$B$21</f>
        <v>0</v>
      </c>
      <c r="P77" s="206">
        <f>+H77*'IPC Pan'!$B$22/'IPC Pan'!$B$22</f>
        <v>0</v>
      </c>
      <c r="R77" s="330"/>
      <c r="S77" s="332"/>
      <c r="T77" s="203" t="s">
        <v>1492</v>
      </c>
      <c r="U77" s="204">
        <f>+M77/CLR!$D$31</f>
        <v>0</v>
      </c>
      <c r="V77" s="205">
        <f>+N77/CLR!$D$31</f>
        <v>0</v>
      </c>
      <c r="W77" s="205">
        <f>+O77/CLR!$D$31</f>
        <v>0</v>
      </c>
      <c r="X77" s="206">
        <f>+P77/CLR!$D$31</f>
        <v>0</v>
      </c>
    </row>
    <row r="78" spans="2:24" ht="15.75" customHeight="1">
      <c r="B78" s="330"/>
      <c r="C78" s="332"/>
      <c r="D78" s="164" t="s">
        <v>1493</v>
      </c>
      <c r="E78" s="201">
        <v>1052283.3400000001</v>
      </c>
      <c r="F78" s="218">
        <v>1868167.83</v>
      </c>
      <c r="G78" s="218">
        <v>2572155.5000000009</v>
      </c>
      <c r="H78" s="219">
        <v>471044.64699999976</v>
      </c>
      <c r="J78" s="330"/>
      <c r="K78" s="332"/>
      <c r="L78" s="203" t="s">
        <v>1493</v>
      </c>
      <c r="M78" s="204">
        <f>+E78*'IPC Pan'!$B$22/'IPC Pan'!$B$19</f>
        <v>1106452.3584556722</v>
      </c>
      <c r="N78" s="205">
        <f>+F78*'IPC Pan'!$B$22/'IPC Pan'!$B$20</f>
        <v>1909721.1459592213</v>
      </c>
      <c r="O78" s="205">
        <f>+G78*'IPC Pan'!$B$22/'IPC Pan'!$B$21</f>
        <v>2590947.5036529689</v>
      </c>
      <c r="P78" s="206">
        <f>+H78*'IPC Pan'!$B$22/'IPC Pan'!$B$22</f>
        <v>471044.64699999976</v>
      </c>
      <c r="R78" s="330"/>
      <c r="S78" s="332"/>
      <c r="T78" s="203" t="s">
        <v>1493</v>
      </c>
      <c r="U78" s="204">
        <f t="shared" ref="U78:X78" si="28">+M78</f>
        <v>1106452.3584556722</v>
      </c>
      <c r="V78" s="205">
        <f t="shared" si="28"/>
        <v>1909721.1459592213</v>
      </c>
      <c r="W78" s="205">
        <f t="shared" si="28"/>
        <v>2590947.5036529689</v>
      </c>
      <c r="X78" s="206">
        <f t="shared" si="28"/>
        <v>471044.64699999976</v>
      </c>
    </row>
    <row r="79" spans="2:24" ht="15.75" customHeight="1">
      <c r="B79" s="330"/>
      <c r="C79" s="332"/>
      <c r="D79" s="164" t="s">
        <v>1494</v>
      </c>
      <c r="E79" s="214">
        <v>0</v>
      </c>
      <c r="F79" s="214">
        <v>0</v>
      </c>
      <c r="G79" s="214">
        <v>0</v>
      </c>
      <c r="H79" s="216">
        <v>0</v>
      </c>
      <c r="J79" s="330"/>
      <c r="K79" s="332"/>
      <c r="L79" s="203" t="s">
        <v>1494</v>
      </c>
      <c r="M79" s="204">
        <f>+E79*'IPC Pan'!$B$22/'IPC Pan'!$B$19</f>
        <v>0</v>
      </c>
      <c r="N79" s="205">
        <f>+F79*'IPC Pan'!$B$22/'IPC Pan'!$B$20</f>
        <v>0</v>
      </c>
      <c r="O79" s="205">
        <f>+G79*'IPC Pan'!$B$22/'IPC Pan'!$B$21</f>
        <v>0</v>
      </c>
      <c r="P79" s="206">
        <f>+H79*'IPC Pan'!$B$22/'IPC Pan'!$B$22</f>
        <v>0</v>
      </c>
      <c r="R79" s="330"/>
      <c r="S79" s="332"/>
      <c r="T79" s="203" t="s">
        <v>1494</v>
      </c>
      <c r="U79" s="204">
        <f t="shared" ref="U79:X79" si="29">+M79*SUM(U76:U78,U80)/SUM(M76:M78,M80)</f>
        <v>0</v>
      </c>
      <c r="V79" s="205">
        <f t="shared" si="29"/>
        <v>0</v>
      </c>
      <c r="W79" s="205">
        <f t="shared" si="29"/>
        <v>0</v>
      </c>
      <c r="X79" s="206">
        <f t="shared" si="29"/>
        <v>0</v>
      </c>
    </row>
    <row r="80" spans="2:24" ht="15.75" customHeight="1">
      <c r="B80" s="329"/>
      <c r="C80" s="335"/>
      <c r="D80" s="129" t="s">
        <v>1495</v>
      </c>
      <c r="E80" s="224">
        <v>0</v>
      </c>
      <c r="F80" s="224">
        <v>0</v>
      </c>
      <c r="G80" s="224">
        <v>0</v>
      </c>
      <c r="H80" s="225">
        <v>0</v>
      </c>
      <c r="I80" s="222">
        <v>0</v>
      </c>
      <c r="J80" s="329"/>
      <c r="K80" s="335"/>
      <c r="L80" s="151" t="s">
        <v>1495</v>
      </c>
      <c r="M80" s="209">
        <f>+E80*'IPC Pan'!$B$22/'IPC Pan'!$B$19</f>
        <v>0</v>
      </c>
      <c r="N80" s="210">
        <f>+F80*'IPC Pan'!$B$22/'IPC Pan'!$B$20</f>
        <v>0</v>
      </c>
      <c r="O80" s="210">
        <f>+G80*'IPC Pan'!$B$22/'IPC Pan'!$B$21</f>
        <v>0</v>
      </c>
      <c r="P80" s="211">
        <f>+H80*'IPC Pan'!$B$22/'IPC Pan'!$B$22</f>
        <v>0</v>
      </c>
      <c r="R80" s="329"/>
      <c r="S80" s="335"/>
      <c r="T80" s="151" t="s">
        <v>1495</v>
      </c>
      <c r="U80" s="209">
        <f>+M80/CLR!$D$31</f>
        <v>0</v>
      </c>
      <c r="V80" s="210">
        <f>+N80/CLR!$D$31</f>
        <v>0</v>
      </c>
      <c r="W80" s="210">
        <f>+O80/CLR!$D$31</f>
        <v>0</v>
      </c>
      <c r="X80" s="211">
        <f>+P80/CLR!$D$31</f>
        <v>0</v>
      </c>
    </row>
    <row r="81" spans="1:26" ht="15.75" customHeight="1"/>
    <row r="82" spans="1:26" ht="15.75" customHeight="1"/>
    <row r="83" spans="1:26" ht="15.75" customHeight="1">
      <c r="A83" s="7"/>
      <c r="C83" s="325" t="s">
        <v>1497</v>
      </c>
      <c r="D83" s="326"/>
      <c r="E83" s="326"/>
      <c r="F83" s="326"/>
      <c r="G83" s="326"/>
      <c r="H83" s="327"/>
      <c r="I83" s="7"/>
      <c r="K83" s="325" t="s">
        <v>1498</v>
      </c>
      <c r="L83" s="326"/>
      <c r="M83" s="326"/>
      <c r="N83" s="326"/>
      <c r="O83" s="326"/>
      <c r="P83" s="327"/>
      <c r="S83" s="325" t="s">
        <v>1499</v>
      </c>
      <c r="T83" s="326"/>
      <c r="U83" s="326"/>
      <c r="V83" s="326"/>
      <c r="W83" s="326"/>
      <c r="X83" s="327"/>
      <c r="Y83" s="7"/>
      <c r="Z83" s="7"/>
    </row>
    <row r="84" spans="1:26" ht="15.75" customHeight="1">
      <c r="B84" s="118"/>
      <c r="C84" s="119"/>
      <c r="D84" s="120"/>
      <c r="E84" s="120"/>
      <c r="F84" s="120"/>
      <c r="G84" s="119"/>
      <c r="J84" s="118"/>
      <c r="K84" s="119"/>
      <c r="L84" s="120"/>
      <c r="M84" s="120"/>
      <c r="N84" s="120"/>
      <c r="O84" s="119"/>
    </row>
    <row r="85" spans="1:26" ht="15.75" customHeight="1">
      <c r="C85" s="121" t="s">
        <v>1</v>
      </c>
      <c r="D85" s="121" t="s">
        <v>1437</v>
      </c>
      <c r="E85" s="121">
        <v>2021</v>
      </c>
      <c r="F85" s="121">
        <v>2022</v>
      </c>
      <c r="G85" s="121">
        <v>2023</v>
      </c>
      <c r="H85" s="121">
        <v>2024</v>
      </c>
      <c r="K85" s="121" t="s">
        <v>1</v>
      </c>
      <c r="L85" s="121" t="s">
        <v>1437</v>
      </c>
      <c r="M85" s="121">
        <v>2021</v>
      </c>
      <c r="N85" s="121">
        <v>2022</v>
      </c>
      <c r="O85" s="121">
        <v>2023</v>
      </c>
      <c r="P85" s="121">
        <v>2024</v>
      </c>
      <c r="S85" s="121" t="s">
        <v>1</v>
      </c>
      <c r="T85" s="121" t="s">
        <v>1437</v>
      </c>
      <c r="U85" s="121">
        <v>2021</v>
      </c>
      <c r="V85" s="121">
        <v>2022</v>
      </c>
      <c r="W85" s="121">
        <v>2023</v>
      </c>
      <c r="X85" s="121">
        <v>2024</v>
      </c>
    </row>
    <row r="86" spans="1:26" ht="15.75" customHeight="1">
      <c r="C86" s="328" t="s">
        <v>1442</v>
      </c>
      <c r="D86" s="123" t="s">
        <v>1443</v>
      </c>
      <c r="E86" s="135">
        <f t="shared" ref="E86:H86" si="30">SUM(E36:E40)</f>
        <v>18239969.309999999</v>
      </c>
      <c r="F86" s="135">
        <f t="shared" si="30"/>
        <v>15645118</v>
      </c>
      <c r="G86" s="135">
        <f t="shared" si="30"/>
        <v>18457168.040000003</v>
      </c>
      <c r="H86" s="138">
        <f t="shared" si="30"/>
        <v>22092941.670752183</v>
      </c>
      <c r="K86" s="328" t="s">
        <v>1442</v>
      </c>
      <c r="L86" s="123" t="s">
        <v>1443</v>
      </c>
      <c r="M86" s="135">
        <f t="shared" ref="M86:P86" si="31">SUM(M36:M40)</f>
        <v>19178919.112421352</v>
      </c>
      <c r="N86" s="135">
        <f t="shared" si="31"/>
        <v>15993109.503243743</v>
      </c>
      <c r="O86" s="135">
        <f t="shared" si="31"/>
        <v>18592014.929789953</v>
      </c>
      <c r="P86" s="138">
        <f t="shared" si="31"/>
        <v>22092941.670752183</v>
      </c>
      <c r="S86" s="328" t="s">
        <v>1442</v>
      </c>
      <c r="T86" s="123" t="s">
        <v>1443</v>
      </c>
      <c r="U86" s="135">
        <f t="shared" ref="U86:X86" si="32">SUM(U36:U40)</f>
        <v>45386548.973117717</v>
      </c>
      <c r="V86" s="135">
        <f t="shared" si="32"/>
        <v>38501530.244034462</v>
      </c>
      <c r="W86" s="135">
        <f t="shared" si="32"/>
        <v>43961840.175151683</v>
      </c>
      <c r="X86" s="138">
        <f t="shared" si="32"/>
        <v>54233597.121054016</v>
      </c>
    </row>
    <row r="87" spans="1:26" ht="15.75" customHeight="1">
      <c r="C87" s="330"/>
      <c r="D87" s="164" t="s">
        <v>1444</v>
      </c>
      <c r="E87" s="193">
        <f t="shared" ref="E87:H87" si="33">SUM(E41:E45)</f>
        <v>18326419.920000002</v>
      </c>
      <c r="F87" s="193">
        <f t="shared" si="33"/>
        <v>17353157</v>
      </c>
      <c r="G87" s="193">
        <f t="shared" si="33"/>
        <v>21869215.389999993</v>
      </c>
      <c r="H87" s="194">
        <f t="shared" si="33"/>
        <v>22954179.149999999</v>
      </c>
      <c r="K87" s="330"/>
      <c r="L87" s="164" t="s">
        <v>1444</v>
      </c>
      <c r="M87" s="193">
        <f t="shared" ref="M87:P87" si="34">SUM(M41:M45)</f>
        <v>19269819.992144898</v>
      </c>
      <c r="N87" s="193">
        <f t="shared" si="34"/>
        <v>17739140.102873031</v>
      </c>
      <c r="O87" s="193">
        <f t="shared" si="34"/>
        <v>22028990.479607299</v>
      </c>
      <c r="P87" s="194">
        <f t="shared" si="34"/>
        <v>22954179.149999999</v>
      </c>
      <c r="S87" s="330"/>
      <c r="T87" s="164" t="s">
        <v>1444</v>
      </c>
      <c r="U87" s="193">
        <f t="shared" ref="U87:X87" si="35">SUM(U41:U45)</f>
        <v>50337171.812481485</v>
      </c>
      <c r="V87" s="193">
        <f t="shared" si="35"/>
        <v>49316666.924006522</v>
      </c>
      <c r="W87" s="193">
        <f t="shared" si="35"/>
        <v>56853713.365331769</v>
      </c>
      <c r="X87" s="194">
        <f t="shared" si="35"/>
        <v>62612521.216691986</v>
      </c>
    </row>
    <row r="88" spans="1:26" ht="15.75" customHeight="1">
      <c r="C88" s="329"/>
      <c r="D88" s="126" t="s">
        <v>1496</v>
      </c>
      <c r="E88" s="142">
        <f t="shared" ref="E88:H88" si="36">SUM(E46:E50)</f>
        <v>18049912.829999998</v>
      </c>
      <c r="F88" s="142">
        <f t="shared" si="36"/>
        <v>20709665</v>
      </c>
      <c r="G88" s="142">
        <f t="shared" si="36"/>
        <v>21179977.289999992</v>
      </c>
      <c r="H88" s="143">
        <f t="shared" si="36"/>
        <v>27055265.959999997</v>
      </c>
      <c r="K88" s="329"/>
      <c r="L88" s="126" t="s">
        <v>1496</v>
      </c>
      <c r="M88" s="142">
        <f t="shared" ref="M88:P88" si="37">SUM(M46:M50)</f>
        <v>18979078.981401335</v>
      </c>
      <c r="N88" s="142">
        <f t="shared" si="37"/>
        <v>21170306.297497682</v>
      </c>
      <c r="O88" s="142">
        <f t="shared" si="37"/>
        <v>21334716.850109585</v>
      </c>
      <c r="P88" s="143">
        <f t="shared" si="37"/>
        <v>27055265.959999997</v>
      </c>
      <c r="S88" s="329"/>
      <c r="T88" s="126" t="s">
        <v>1496</v>
      </c>
      <c r="U88" s="142">
        <f t="shared" ref="U88:X88" si="38">SUM(U46:U50)</f>
        <v>53243427.403116778</v>
      </c>
      <c r="V88" s="142">
        <f t="shared" si="38"/>
        <v>60203884.017914794</v>
      </c>
      <c r="W88" s="142">
        <f t="shared" si="38"/>
        <v>60280759.426066361</v>
      </c>
      <c r="X88" s="143">
        <f t="shared" si="38"/>
        <v>73948425.872373044</v>
      </c>
    </row>
    <row r="89" spans="1:26" ht="15.75" customHeight="1">
      <c r="C89" s="328" t="s">
        <v>1445</v>
      </c>
      <c r="D89" s="123" t="s">
        <v>1443</v>
      </c>
      <c r="E89" s="136">
        <f t="shared" ref="E89:H89" si="39">SUM(E51:E55)</f>
        <v>28863004.300000001</v>
      </c>
      <c r="F89" s="136">
        <f t="shared" si="39"/>
        <v>28091487.946412001</v>
      </c>
      <c r="G89" s="136">
        <f t="shared" si="39"/>
        <v>29173292.454876002</v>
      </c>
      <c r="H89" s="137">
        <f t="shared" si="39"/>
        <v>39361460.705630325</v>
      </c>
      <c r="K89" s="328" t="s">
        <v>1445</v>
      </c>
      <c r="L89" s="123" t="s">
        <v>1443</v>
      </c>
      <c r="M89" s="136">
        <f t="shared" ref="M89:P89" si="40">SUM(M51:M55)</f>
        <v>30348802.42411821</v>
      </c>
      <c r="N89" s="136">
        <f t="shared" si="40"/>
        <v>28716321.783959627</v>
      </c>
      <c r="O89" s="136">
        <f t="shared" si="40"/>
        <v>29386430.66459199</v>
      </c>
      <c r="P89" s="137">
        <f t="shared" si="40"/>
        <v>39361460.705630325</v>
      </c>
      <c r="S89" s="328" t="s">
        <v>1445</v>
      </c>
      <c r="T89" s="123" t="s">
        <v>1443</v>
      </c>
      <c r="U89" s="136">
        <f t="shared" ref="U89:X89" si="41">SUM(U51:U55)</f>
        <v>51342325.364001855</v>
      </c>
      <c r="V89" s="136">
        <f t="shared" si="41"/>
        <v>51366688.438057378</v>
      </c>
      <c r="W89" s="136">
        <f t="shared" si="41"/>
        <v>52851439.013438985</v>
      </c>
      <c r="X89" s="137">
        <f t="shared" si="41"/>
        <v>63185744.107495859</v>
      </c>
    </row>
    <row r="90" spans="1:26" ht="15.75" customHeight="1">
      <c r="C90" s="330"/>
      <c r="D90" s="164" t="s">
        <v>1444</v>
      </c>
      <c r="E90" s="207">
        <f t="shared" ref="E90:H90" si="42">SUM(E56:E60)</f>
        <v>15264405.289999999</v>
      </c>
      <c r="F90" s="207">
        <f t="shared" si="42"/>
        <v>20198039.379999999</v>
      </c>
      <c r="G90" s="207">
        <f t="shared" si="42"/>
        <v>21734572.940000001</v>
      </c>
      <c r="H90" s="208">
        <f t="shared" si="42"/>
        <v>31845786.357999999</v>
      </c>
      <c r="K90" s="330"/>
      <c r="L90" s="164" t="s">
        <v>1444</v>
      </c>
      <c r="M90" s="207">
        <f t="shared" ref="M90:P90" si="43">SUM(M56:M60)</f>
        <v>16050180.204833172</v>
      </c>
      <c r="N90" s="207">
        <f t="shared" si="43"/>
        <v>20647300.682242814</v>
      </c>
      <c r="O90" s="207">
        <f t="shared" si="43"/>
        <v>21893364.340474885</v>
      </c>
      <c r="P90" s="208">
        <f t="shared" si="43"/>
        <v>31845786.357999999</v>
      </c>
      <c r="S90" s="330"/>
      <c r="T90" s="164" t="s">
        <v>1444</v>
      </c>
      <c r="U90" s="207">
        <f t="shared" ref="U90:X90" si="44">SUM(U56:U60)</f>
        <v>17790831.29853731</v>
      </c>
      <c r="V90" s="207">
        <f t="shared" si="44"/>
        <v>23228170.250672419</v>
      </c>
      <c r="W90" s="207">
        <f t="shared" si="44"/>
        <v>24208932.605837811</v>
      </c>
      <c r="X90" s="208">
        <f t="shared" si="44"/>
        <v>34065584.928543717</v>
      </c>
    </row>
    <row r="91" spans="1:26" ht="15.75" customHeight="1">
      <c r="C91" s="329"/>
      <c r="D91" s="126" t="s">
        <v>1496</v>
      </c>
      <c r="E91" s="142">
        <f t="shared" ref="E91:H91" si="45">SUM(E61:E65)</f>
        <v>8559092.8550000004</v>
      </c>
      <c r="F91" s="142">
        <f t="shared" si="45"/>
        <v>17778850.100000001</v>
      </c>
      <c r="G91" s="142">
        <f t="shared" si="45"/>
        <v>12750281.4</v>
      </c>
      <c r="H91" s="143">
        <f t="shared" si="45"/>
        <v>8477661.7759999968</v>
      </c>
      <c r="K91" s="329"/>
      <c r="L91" s="126" t="s">
        <v>1496</v>
      </c>
      <c r="M91" s="142">
        <f t="shared" ref="M91:P91" si="46">SUM(M61:M65)</f>
        <v>8999694.393770257</v>
      </c>
      <c r="N91" s="142">
        <f t="shared" si="46"/>
        <v>18174301.816774793</v>
      </c>
      <c r="O91" s="142">
        <f t="shared" si="46"/>
        <v>12843434.140821919</v>
      </c>
      <c r="P91" s="143">
        <f t="shared" si="46"/>
        <v>8477661.7759999968</v>
      </c>
      <c r="S91" s="329"/>
      <c r="T91" s="126" t="s">
        <v>1496</v>
      </c>
      <c r="U91" s="142">
        <f t="shared" ref="U91:X91" si="47">SUM(U61:U65)</f>
        <v>19732487.480334092</v>
      </c>
      <c r="V91" s="142">
        <f t="shared" si="47"/>
        <v>29110380.928058289</v>
      </c>
      <c r="W91" s="142">
        <f t="shared" si="47"/>
        <v>24086658.598333009</v>
      </c>
      <c r="X91" s="143">
        <f t="shared" si="47"/>
        <v>19271657.89115563</v>
      </c>
    </row>
    <row r="92" spans="1:26" ht="15.75" customHeight="1">
      <c r="C92" s="328" t="s">
        <v>1446</v>
      </c>
      <c r="D92" s="123" t="s">
        <v>1443</v>
      </c>
      <c r="E92" s="136">
        <f t="shared" ref="E92:H92" si="48">SUM(E66:E70)</f>
        <v>6240377.182</v>
      </c>
      <c r="F92" s="136">
        <f t="shared" si="48"/>
        <v>10563703.139000002</v>
      </c>
      <c r="G92" s="136">
        <f t="shared" si="48"/>
        <v>5973501.5549999997</v>
      </c>
      <c r="H92" s="137">
        <f t="shared" si="48"/>
        <v>15855867.313781599</v>
      </c>
      <c r="K92" s="328" t="s">
        <v>1446</v>
      </c>
      <c r="L92" s="123" t="s">
        <v>1443</v>
      </c>
      <c r="M92" s="136">
        <f t="shared" ref="M92:P92" si="49">SUM(M66:M70)</f>
        <v>6561616.8081468064</v>
      </c>
      <c r="N92" s="136">
        <f t="shared" si="49"/>
        <v>10798669.659237258</v>
      </c>
      <c r="O92" s="136">
        <f t="shared" si="49"/>
        <v>6017143.5754931495</v>
      </c>
      <c r="P92" s="137">
        <f t="shared" si="49"/>
        <v>15855867.313781599</v>
      </c>
      <c r="S92" s="328" t="s">
        <v>1446</v>
      </c>
      <c r="T92" s="123" t="s">
        <v>1443</v>
      </c>
      <c r="U92" s="136">
        <f t="shared" ref="U92:X92" si="50">SUM(U66:U70)</f>
        <v>10810115.832090972</v>
      </c>
      <c r="V92" s="136">
        <f t="shared" si="50"/>
        <v>14885199.597463084</v>
      </c>
      <c r="W92" s="136">
        <f t="shared" si="50"/>
        <v>10289840.199259054</v>
      </c>
      <c r="X92" s="137">
        <f t="shared" si="50"/>
        <v>20075575.030031439</v>
      </c>
    </row>
    <row r="93" spans="1:26" ht="15.75" customHeight="1">
      <c r="C93" s="330"/>
      <c r="D93" s="164" t="s">
        <v>1444</v>
      </c>
      <c r="E93" s="226">
        <f t="shared" ref="E93:H93" si="51">SUM(E71:E75)</f>
        <v>2473725.4780000001</v>
      </c>
      <c r="F93" s="226">
        <f t="shared" si="51"/>
        <v>2388384.5</v>
      </c>
      <c r="G93" s="226">
        <f t="shared" si="51"/>
        <v>2057780</v>
      </c>
      <c r="H93" s="227">
        <f t="shared" si="51"/>
        <v>668139.76099999808</v>
      </c>
      <c r="K93" s="330"/>
      <c r="L93" s="164" t="s">
        <v>1444</v>
      </c>
      <c r="M93" s="226">
        <f t="shared" ref="M93:P93" si="52">SUM(M71:M75)</f>
        <v>2601066.9230066729</v>
      </c>
      <c r="N93" s="226">
        <f t="shared" si="52"/>
        <v>2441508.9003707133</v>
      </c>
      <c r="O93" s="226">
        <f t="shared" si="52"/>
        <v>2072814.0091324202</v>
      </c>
      <c r="P93" s="227">
        <f t="shared" si="52"/>
        <v>668139.76099999808</v>
      </c>
      <c r="S93" s="330"/>
      <c r="T93" s="164" t="s">
        <v>1444</v>
      </c>
      <c r="U93" s="226">
        <f t="shared" ref="U93:X93" si="53">SUM(U71:U75)</f>
        <v>2789847.0566973952</v>
      </c>
      <c r="V93" s="226">
        <f t="shared" si="53"/>
        <v>2866493.4418517728</v>
      </c>
      <c r="W93" s="226">
        <f t="shared" si="53"/>
        <v>2525260.1016052961</v>
      </c>
      <c r="X93" s="227">
        <f t="shared" si="53"/>
        <v>1131513.521453548</v>
      </c>
    </row>
    <row r="94" spans="1:26" ht="15.75" customHeight="1">
      <c r="C94" s="329"/>
      <c r="D94" s="129" t="s">
        <v>1496</v>
      </c>
      <c r="E94" s="149">
        <f t="shared" ref="E94:H94" si="54">SUM(E76:E80)</f>
        <v>1210195.3400000001</v>
      </c>
      <c r="F94" s="149">
        <f t="shared" si="54"/>
        <v>2035837.5</v>
      </c>
      <c r="G94" s="149">
        <f t="shared" si="54"/>
        <v>2739614.0000000009</v>
      </c>
      <c r="H94" s="150">
        <f t="shared" si="54"/>
        <v>624670.65699999977</v>
      </c>
      <c r="K94" s="329"/>
      <c r="L94" s="129" t="s">
        <v>1496</v>
      </c>
      <c r="M94" s="149">
        <f t="shared" ref="M94:P94" si="55">SUM(M76:M80)</f>
        <v>1272493.2888655863</v>
      </c>
      <c r="N94" s="149">
        <f t="shared" si="55"/>
        <v>2081120.2618164965</v>
      </c>
      <c r="O94" s="149">
        <f t="shared" si="55"/>
        <v>2759629.4447488594</v>
      </c>
      <c r="P94" s="150">
        <f t="shared" si="55"/>
        <v>624670.65699999977</v>
      </c>
      <c r="S94" s="329"/>
      <c r="T94" s="129" t="s">
        <v>1496</v>
      </c>
      <c r="U94" s="149">
        <f t="shared" ref="U94:X94" si="56">SUM(U76:U80)</f>
        <v>1682334.8890328924</v>
      </c>
      <c r="V94" s="149">
        <f t="shared" si="56"/>
        <v>2504187.560564979</v>
      </c>
      <c r="W94" s="149">
        <f t="shared" si="56"/>
        <v>3175989.895677404</v>
      </c>
      <c r="X94" s="150">
        <f t="shared" si="56"/>
        <v>1003868.301883584</v>
      </c>
    </row>
    <row r="95" spans="1:26" ht="15.75" customHeight="1"/>
    <row r="96" spans="1:2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</sheetData>
  <mergeCells count="65">
    <mergeCell ref="C13:C20"/>
    <mergeCell ref="K13:K14"/>
    <mergeCell ref="K15:K16"/>
    <mergeCell ref="K17:K18"/>
    <mergeCell ref="B36:B50"/>
    <mergeCell ref="B33:H33"/>
    <mergeCell ref="J33:X33"/>
    <mergeCell ref="C21:C28"/>
    <mergeCell ref="C36:C40"/>
    <mergeCell ref="J36:J50"/>
    <mergeCell ref="K36:K40"/>
    <mergeCell ref="R36:R50"/>
    <mergeCell ref="S36:S40"/>
    <mergeCell ref="K41:K45"/>
    <mergeCell ref="S41:S45"/>
    <mergeCell ref="K46:K50"/>
    <mergeCell ref="S46:S50"/>
    <mergeCell ref="C2:H2"/>
    <mergeCell ref="K2:P2"/>
    <mergeCell ref="S2:X2"/>
    <mergeCell ref="C5:C12"/>
    <mergeCell ref="K5:K6"/>
    <mergeCell ref="S5:S6"/>
    <mergeCell ref="S7:S8"/>
    <mergeCell ref="S9:S10"/>
    <mergeCell ref="K7:K8"/>
    <mergeCell ref="K9:K10"/>
    <mergeCell ref="B51:B65"/>
    <mergeCell ref="C51:C55"/>
    <mergeCell ref="C56:C60"/>
    <mergeCell ref="C61:C65"/>
    <mergeCell ref="B66:B80"/>
    <mergeCell ref="C66:C70"/>
    <mergeCell ref="C71:C75"/>
    <mergeCell ref="C76:C80"/>
    <mergeCell ref="C86:C88"/>
    <mergeCell ref="C89:C91"/>
    <mergeCell ref="C92:C94"/>
    <mergeCell ref="C41:C45"/>
    <mergeCell ref="C46:C50"/>
    <mergeCell ref="C83:H83"/>
    <mergeCell ref="R51:R65"/>
    <mergeCell ref="S51:S55"/>
    <mergeCell ref="K56:K60"/>
    <mergeCell ref="S56:S60"/>
    <mergeCell ref="K61:K65"/>
    <mergeCell ref="S61:S65"/>
    <mergeCell ref="K86:K88"/>
    <mergeCell ref="K89:K91"/>
    <mergeCell ref="K92:K94"/>
    <mergeCell ref="S71:S75"/>
    <mergeCell ref="S76:S80"/>
    <mergeCell ref="S86:S88"/>
    <mergeCell ref="S89:S91"/>
    <mergeCell ref="S92:S94"/>
    <mergeCell ref="R66:R80"/>
    <mergeCell ref="S66:S70"/>
    <mergeCell ref="S83:X83"/>
    <mergeCell ref="K83:P83"/>
    <mergeCell ref="J51:J65"/>
    <mergeCell ref="J66:J80"/>
    <mergeCell ref="K66:K70"/>
    <mergeCell ref="K71:K75"/>
    <mergeCell ref="K76:K80"/>
    <mergeCell ref="K51:K55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997"/>
  <sheetViews>
    <sheetView workbookViewId="0">
      <pane xSplit="2" topLeftCell="C1" activePane="topRight" state="frozen"/>
      <selection pane="topRight" activeCell="C1" sqref="C1"/>
    </sheetView>
  </sheetViews>
  <sheetFormatPr baseColWidth="10" defaultColWidth="14.453125" defaultRowHeight="15" customHeight="1"/>
  <cols>
    <col min="1" max="1" width="16.7265625" customWidth="1"/>
    <col min="2" max="2" width="41" customWidth="1"/>
    <col min="3" max="3" width="12.81640625" customWidth="1"/>
    <col min="4" max="4" width="11.7265625" bestFit="1" customWidth="1"/>
    <col min="5" max="5" width="11" bestFit="1" customWidth="1"/>
    <col min="6" max="6" width="11.7265625" bestFit="1" customWidth="1"/>
    <col min="7" max="7" width="11" bestFit="1" customWidth="1"/>
    <col min="8" max="8" width="11.7265625" bestFit="1" customWidth="1"/>
    <col min="9" max="9" width="11" bestFit="1" customWidth="1"/>
    <col min="10" max="10" width="9.26953125" customWidth="1"/>
    <col min="11" max="11" width="7.54296875" customWidth="1"/>
    <col min="12" max="12" width="7.26953125" customWidth="1"/>
    <col min="13" max="20" width="10.7265625" customWidth="1"/>
    <col min="21" max="21" width="9.08984375" customWidth="1"/>
    <col min="22" max="22" width="7.26953125" customWidth="1"/>
    <col min="23" max="25" width="10.7265625" customWidth="1"/>
    <col min="26" max="26" width="7.453125" customWidth="1"/>
    <col min="27" max="27" width="7" customWidth="1"/>
    <col min="28" max="30" width="10.7265625" customWidth="1"/>
    <col min="31" max="31" width="7.54296875" customWidth="1"/>
    <col min="32" max="32" width="6" customWidth="1"/>
    <col min="33" max="35" width="10.7265625" customWidth="1"/>
    <col min="36" max="36" width="8.54296875" customWidth="1"/>
    <col min="37" max="37" width="6.08984375" customWidth="1"/>
    <col min="38" max="40" width="10.7265625" customWidth="1"/>
    <col min="41" max="45" width="7.26953125" customWidth="1"/>
    <col min="46" max="48" width="10.7265625" customWidth="1"/>
    <col min="49" max="50" width="7.26953125" customWidth="1"/>
    <col min="51" max="54" width="10.7265625" customWidth="1"/>
  </cols>
  <sheetData>
    <row r="1" spans="1:54" ht="14.5">
      <c r="A1" s="228" t="s">
        <v>76</v>
      </c>
      <c r="B1" s="229">
        <v>45473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spans="1:54" ht="14.5">
      <c r="A2" s="228" t="s">
        <v>77</v>
      </c>
      <c r="B2" s="230">
        <f>VLOOKUP(MONTH(B1)&amp;"_"&amp;YEAR(B1),'CPI USA'!$T:$U,2,FALSE)</f>
        <v>314.17500000000001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4.5">
      <c r="A3" s="228" t="s">
        <v>78</v>
      </c>
      <c r="B3" s="230">
        <f>VLOOKUP(MONTH(B1)&amp;"_"&amp;YEAR(B1),'PPI USA'!$S:$T,2,FALSE)</f>
        <v>265.63200000000001</v>
      </c>
      <c r="C3" s="7"/>
      <c r="D3" s="7"/>
      <c r="E3" s="7"/>
      <c r="F3" s="7"/>
      <c r="G3" s="7"/>
      <c r="H3" s="7"/>
      <c r="I3" s="231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spans="1:54" ht="14.5">
      <c r="A4" s="7"/>
      <c r="B4" s="231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spans="1:54" ht="14.5">
      <c r="A5" s="7"/>
      <c r="B5" s="228" t="s">
        <v>1362</v>
      </c>
      <c r="C5" s="232"/>
      <c r="D5" s="233">
        <v>2021</v>
      </c>
      <c r="E5" s="233">
        <v>2021</v>
      </c>
      <c r="F5" s="233">
        <v>2022</v>
      </c>
      <c r="G5" s="233">
        <v>2022</v>
      </c>
      <c r="H5" s="233">
        <v>2023</v>
      </c>
      <c r="I5" s="233">
        <v>2023</v>
      </c>
      <c r="J5" s="7"/>
      <c r="K5" s="7"/>
      <c r="L5" s="7"/>
      <c r="M5" s="7"/>
      <c r="N5" s="7"/>
      <c r="O5" s="7"/>
      <c r="P5" s="7"/>
      <c r="Q5" s="7"/>
      <c r="R5" s="176">
        <v>44561</v>
      </c>
      <c r="S5" s="176">
        <v>44926</v>
      </c>
      <c r="T5" s="176">
        <v>45291</v>
      </c>
      <c r="U5" s="7"/>
      <c r="V5" s="7"/>
      <c r="W5" s="178">
        <v>2021</v>
      </c>
      <c r="X5" s="178">
        <v>2022</v>
      </c>
      <c r="Y5" s="178">
        <v>2023</v>
      </c>
      <c r="Z5" s="7"/>
      <c r="AA5" s="7"/>
      <c r="AB5" s="178">
        <v>2021</v>
      </c>
      <c r="AC5" s="178">
        <v>2022</v>
      </c>
      <c r="AD5" s="178">
        <v>2023</v>
      </c>
      <c r="AE5" s="7"/>
      <c r="AF5" s="7"/>
      <c r="AG5" s="234">
        <v>2021</v>
      </c>
      <c r="AH5" s="234">
        <v>2022</v>
      </c>
      <c r="AI5" s="234">
        <v>2023</v>
      </c>
      <c r="AJ5" s="7"/>
      <c r="AK5" s="7"/>
      <c r="AL5" s="234">
        <v>2021</v>
      </c>
      <c r="AM5" s="234">
        <v>2022</v>
      </c>
      <c r="AN5" s="234">
        <v>2023</v>
      </c>
      <c r="AO5" s="7"/>
      <c r="AP5" s="7"/>
      <c r="AQ5" s="7"/>
      <c r="AR5" s="7"/>
      <c r="AS5" s="7"/>
      <c r="AT5" s="178">
        <v>2021</v>
      </c>
      <c r="AU5" s="178">
        <v>2022</v>
      </c>
      <c r="AV5" s="178">
        <v>2023</v>
      </c>
      <c r="AW5" s="7"/>
      <c r="AX5" s="7"/>
      <c r="AY5" s="178">
        <v>2021</v>
      </c>
      <c r="AZ5" s="178">
        <v>2022</v>
      </c>
      <c r="BA5" s="178">
        <v>2023</v>
      </c>
      <c r="BB5" s="7"/>
    </row>
    <row r="6" spans="1:54" ht="43">
      <c r="A6" s="235" t="s">
        <v>0</v>
      </c>
      <c r="B6" s="236" t="s">
        <v>1464</v>
      </c>
      <c r="C6" s="233" t="str">
        <f>+'Empresas 21-23'!J1</f>
        <v>Out2021</v>
      </c>
      <c r="D6" s="233" t="s">
        <v>1465</v>
      </c>
      <c r="E6" s="233" t="s">
        <v>1466</v>
      </c>
      <c r="F6" s="233" t="s">
        <v>1465</v>
      </c>
      <c r="G6" s="233" t="s">
        <v>1466</v>
      </c>
      <c r="H6" s="233" t="s">
        <v>1465</v>
      </c>
      <c r="I6" s="233" t="s">
        <v>1466</v>
      </c>
      <c r="J6" s="7"/>
      <c r="K6" s="7"/>
      <c r="L6" s="7"/>
      <c r="M6" s="233" t="s">
        <v>1467</v>
      </c>
      <c r="N6" s="233" t="s">
        <v>1468</v>
      </c>
      <c r="O6" s="233" t="s">
        <v>1469</v>
      </c>
      <c r="P6" s="7"/>
      <c r="Q6" s="235" t="s">
        <v>1500</v>
      </c>
      <c r="R6" s="183" t="s">
        <v>1472</v>
      </c>
      <c r="S6" s="183" t="s">
        <v>1473</v>
      </c>
      <c r="T6" s="183" t="s">
        <v>1474</v>
      </c>
      <c r="U6" s="7"/>
      <c r="V6" s="7"/>
      <c r="W6" s="183" t="s">
        <v>1501</v>
      </c>
      <c r="X6" s="183" t="s">
        <v>1501</v>
      </c>
      <c r="Y6" s="183" t="s">
        <v>1501</v>
      </c>
      <c r="Z6" s="7"/>
      <c r="AA6" s="7"/>
      <c r="AB6" s="183" t="s">
        <v>1502</v>
      </c>
      <c r="AC6" s="183" t="s">
        <v>1502</v>
      </c>
      <c r="AD6" s="183" t="s">
        <v>1502</v>
      </c>
      <c r="AE6" s="7"/>
      <c r="AF6" s="7"/>
      <c r="AG6" s="237" t="s">
        <v>1477</v>
      </c>
      <c r="AH6" s="237" t="s">
        <v>1477</v>
      </c>
      <c r="AI6" s="237" t="s">
        <v>1477</v>
      </c>
      <c r="AJ6" s="7"/>
      <c r="AK6" s="7"/>
      <c r="AL6" s="237" t="s">
        <v>1478</v>
      </c>
      <c r="AM6" s="237" t="s">
        <v>1478</v>
      </c>
      <c r="AN6" s="237" t="s">
        <v>1478</v>
      </c>
      <c r="AO6" s="7"/>
      <c r="AP6" s="7"/>
      <c r="AQ6" s="7"/>
      <c r="AR6" s="7"/>
      <c r="AS6" s="7"/>
      <c r="AT6" s="183" t="s">
        <v>1503</v>
      </c>
      <c r="AU6" s="183" t="s">
        <v>1503</v>
      </c>
      <c r="AV6" s="183" t="s">
        <v>1503</v>
      </c>
      <c r="AW6" s="7"/>
      <c r="AX6" s="7"/>
      <c r="AY6" s="183" t="s">
        <v>1504</v>
      </c>
      <c r="AZ6" s="183" t="s">
        <v>1504</v>
      </c>
      <c r="BA6" s="183" t="s">
        <v>1504</v>
      </c>
      <c r="BB6" s="7"/>
    </row>
    <row r="7" spans="1:54" ht="14.5">
      <c r="A7" s="185" t="s">
        <v>210</v>
      </c>
      <c r="B7" s="185" t="s">
        <v>211</v>
      </c>
      <c r="C7" s="238">
        <f>+'Empresas 21-23'!J2</f>
        <v>0</v>
      </c>
      <c r="D7" s="239">
        <f>VLOOKUP(A7,'FERC 2021'!$A$3:$BE$221,57,0)</f>
        <v>0</v>
      </c>
      <c r="E7" s="239">
        <f>VLOOKUP(A7,'FERC 2021'!$A$3:$BF$221,58,0)</f>
        <v>0</v>
      </c>
      <c r="F7" s="239">
        <f>VLOOKUP(A7,'FERC 2022'!$A$3:$BE$220,57,0)</f>
        <v>0</v>
      </c>
      <c r="G7" s="239">
        <f>VLOOKUP(A7,'FERC 2022'!$A$3:$BF$220,58,0)</f>
        <v>0</v>
      </c>
      <c r="H7" s="239">
        <f>VLOOKUP(A7,'FERC 2023'!$A$3:$BE$221,57,0)</f>
        <v>0</v>
      </c>
      <c r="I7" s="239">
        <f>VLOOKUP(A7,'FERC 2023'!$A$3:$BF$221,58,0)</f>
        <v>0</v>
      </c>
      <c r="J7" s="7"/>
      <c r="K7" s="7"/>
      <c r="L7" s="7"/>
      <c r="M7" s="187" t="str">
        <f t="shared" ref="M7:M233" si="0">IFERROR(D7/E7,"")</f>
        <v/>
      </c>
      <c r="N7" s="187" t="str">
        <f t="shared" ref="N7:N233" si="1">IFERROR(F7/G7,"")</f>
        <v/>
      </c>
      <c r="O7" s="187" t="str">
        <f t="shared" ref="O7:O233" si="2">IFERROR(H7/I7,"")</f>
        <v/>
      </c>
      <c r="P7" s="7"/>
      <c r="Q7" s="240" t="str">
        <f t="shared" ref="Q7:Q233" si="3">IFERROR(AVERAGE(M7:P7),"-")</f>
        <v>-</v>
      </c>
      <c r="R7" s="189" t="str">
        <f t="shared" ref="R7:T7" si="4">IF(ISERROR(R$5-365*$Q7),"-",MONTH(R$5-365*$Q7)&amp;"_"&amp;YEAR(R$5-365*$Q7))</f>
        <v>-</v>
      </c>
      <c r="S7" s="189" t="str">
        <f t="shared" si="4"/>
        <v>-</v>
      </c>
      <c r="T7" s="189" t="str">
        <f t="shared" si="4"/>
        <v>-</v>
      </c>
      <c r="U7" s="7"/>
      <c r="V7" s="7"/>
      <c r="W7" s="190" t="str">
        <f>IF(R7="-","-",VLOOKUP(R7,'CPI USA'!$T:$U,2,FALSE))</f>
        <v>-</v>
      </c>
      <c r="X7" s="190" t="str">
        <f>IF(S7="-","-",VLOOKUP(S7,'CPI USA'!$T:$U,2,FALSE))</f>
        <v>-</v>
      </c>
      <c r="Y7" s="190" t="str">
        <f>IF(T7="-","-",VLOOKUP(T7,'CPI USA'!$T:$U,2,FALSE))</f>
        <v>-</v>
      </c>
      <c r="Z7" s="7"/>
      <c r="AA7" s="7"/>
      <c r="AB7" s="190" t="str">
        <f>IF(R7="-","-",VLOOKUP(R7,'PPI USA'!$S:$T,2,FALSE))</f>
        <v>-</v>
      </c>
      <c r="AC7" s="190" t="str">
        <f>IF(S7="-","-",VLOOKUP(S7,'PPI USA'!$S:$T,2,FALSE))</f>
        <v>-</v>
      </c>
      <c r="AD7" s="190" t="str">
        <f>IF(T7="-","-",VLOOKUP(T7,'PPI USA'!$S:$T,2,FALSE))</f>
        <v>-</v>
      </c>
      <c r="AE7" s="7"/>
      <c r="AF7" s="7"/>
      <c r="AG7" s="190" t="str">
        <f t="shared" ref="AG7:AI7" si="5">IF(W7="-","-",(AT7*$B$2/W7+(1-AT7)*AVERAGE($B$2,$B$3)/AVERAGE(W7,AB7)))</f>
        <v>-</v>
      </c>
      <c r="AH7" s="190" t="str">
        <f t="shared" si="5"/>
        <v>-</v>
      </c>
      <c r="AI7" s="190" t="str">
        <f t="shared" si="5"/>
        <v>-</v>
      </c>
      <c r="AJ7" s="7"/>
      <c r="AK7" s="7"/>
      <c r="AL7" s="190" t="str">
        <f t="shared" ref="AL7:AN7" si="6">IF(W7="-","-",(AY7*$B$2/W7+(1-AY7)*AVERAGE($B$2,$B$3)/AVERAGE(W7,AB7)))</f>
        <v>-</v>
      </c>
      <c r="AM7" s="190" t="str">
        <f t="shared" si="6"/>
        <v>-</v>
      </c>
      <c r="AN7" s="190" t="str">
        <f t="shared" si="6"/>
        <v>-</v>
      </c>
      <c r="AO7" s="7"/>
      <c r="AP7" s="7"/>
      <c r="AQ7" s="7"/>
      <c r="AR7" s="7"/>
      <c r="AS7" s="7"/>
      <c r="AT7" s="241" t="str">
        <f>IF(R7="-","-",VLOOKUP(R7,'CPI USA'!$T:$V,3,FALSE))</f>
        <v>-</v>
      </c>
      <c r="AU7" s="241" t="str">
        <f>IF(S7="-","-",VLOOKUP(S7,'CPI USA'!$T:$V,3,FALSE))</f>
        <v>-</v>
      </c>
      <c r="AV7" s="241" t="str">
        <f>IF(T7="-","-",VLOOKUP(T7,'CPI USA'!$T:$V,3,FALSE))</f>
        <v>-</v>
      </c>
      <c r="AW7" s="7"/>
      <c r="AX7" s="7"/>
      <c r="AY7" s="242" t="str">
        <f>IF(R7="-","-",VLOOKUP(R7,'CPI USA'!$T:$X,5,FALSE))</f>
        <v>-</v>
      </c>
      <c r="AZ7" s="242" t="str">
        <f>IF(S7="-","-",VLOOKUP(S7,'CPI USA'!$T:$X,5,FALSE))</f>
        <v>-</v>
      </c>
      <c r="BA7" s="242" t="str">
        <f>IF(T7="-","-",VLOOKUP(T7,'CPI USA'!$T:$X,5,FALSE))</f>
        <v>-</v>
      </c>
      <c r="BB7" s="7"/>
    </row>
    <row r="8" spans="1:54" ht="14.5">
      <c r="A8" s="185" t="s">
        <v>213</v>
      </c>
      <c r="B8" s="185" t="s">
        <v>214</v>
      </c>
      <c r="C8" s="243">
        <f>+'Empresas 21-23'!J3</f>
        <v>0</v>
      </c>
      <c r="D8" s="239">
        <f>VLOOKUP(A8,'FERC 2021'!$A$3:$BE$221,57,0)</f>
        <v>0</v>
      </c>
      <c r="E8" s="239">
        <f>VLOOKUP(A8,'FERC 2021'!$A$3:$BF$221,58,0)</f>
        <v>0</v>
      </c>
      <c r="F8" s="239">
        <f>VLOOKUP(A8,'FERC 2022'!$A$3:$BE$220,57,0)</f>
        <v>0</v>
      </c>
      <c r="G8" s="239">
        <f>VLOOKUP(A8,'FERC 2022'!$A$3:$BF$220,58,0)</f>
        <v>0</v>
      </c>
      <c r="H8" s="239">
        <f>VLOOKUP(A8,'FERC 2023'!$A$3:$BE$221,57,0)</f>
        <v>0</v>
      </c>
      <c r="I8" s="239">
        <f>VLOOKUP(A8,'FERC 2023'!$A$3:$BF$221,58,0)</f>
        <v>0</v>
      </c>
      <c r="J8" s="7"/>
      <c r="K8" s="7"/>
      <c r="L8" s="7"/>
      <c r="M8" s="187" t="str">
        <f t="shared" si="0"/>
        <v/>
      </c>
      <c r="N8" s="187" t="str">
        <f t="shared" si="1"/>
        <v/>
      </c>
      <c r="O8" s="187" t="str">
        <f t="shared" si="2"/>
        <v/>
      </c>
      <c r="P8" s="7"/>
      <c r="Q8" s="240" t="str">
        <f t="shared" si="3"/>
        <v>-</v>
      </c>
      <c r="R8" s="189" t="str">
        <f t="shared" ref="R8:T8" si="7">IF(ISERROR(R$5-365*$Q8),"-",MONTH(R$5-365*$Q8)&amp;"_"&amp;YEAR(R$5-365*$Q8))</f>
        <v>-</v>
      </c>
      <c r="S8" s="189" t="str">
        <f t="shared" si="7"/>
        <v>-</v>
      </c>
      <c r="T8" s="189" t="str">
        <f t="shared" si="7"/>
        <v>-</v>
      </c>
      <c r="U8" s="7"/>
      <c r="V8" s="7"/>
      <c r="W8" s="190" t="str">
        <f>IF(R8="-","-",VLOOKUP(R8,'CPI USA'!$T:$U,2,FALSE))</f>
        <v>-</v>
      </c>
      <c r="X8" s="190" t="str">
        <f>IF(S8="-","-",VLOOKUP(S8,'CPI USA'!$T:$U,2,FALSE))</f>
        <v>-</v>
      </c>
      <c r="Y8" s="190" t="str">
        <f>IF(T8="-","-",VLOOKUP(T8,'CPI USA'!$T:$U,2,FALSE))</f>
        <v>-</v>
      </c>
      <c r="Z8" s="7"/>
      <c r="AA8" s="7"/>
      <c r="AB8" s="190" t="str">
        <f>IF(R8="-","-",VLOOKUP(R8,'PPI USA'!$S:$T,2,FALSE))</f>
        <v>-</v>
      </c>
      <c r="AC8" s="190" t="str">
        <f>IF(S8="-","-",VLOOKUP(S8,'PPI USA'!$S:$T,2,FALSE))</f>
        <v>-</v>
      </c>
      <c r="AD8" s="190" t="str">
        <f>IF(T8="-","-",VLOOKUP(T8,'PPI USA'!$S:$T,2,FALSE))</f>
        <v>-</v>
      </c>
      <c r="AE8" s="7"/>
      <c r="AF8" s="7"/>
      <c r="AG8" s="190" t="str">
        <f t="shared" ref="AG8:AI8" si="8">IF(W8="-","-",(AT8*$B$2/W8+(1-AT8)*AVERAGE($B$2,$B$3)/AVERAGE(W8,AB8)))</f>
        <v>-</v>
      </c>
      <c r="AH8" s="190" t="str">
        <f t="shared" si="8"/>
        <v>-</v>
      </c>
      <c r="AI8" s="190" t="str">
        <f t="shared" si="8"/>
        <v>-</v>
      </c>
      <c r="AJ8" s="7"/>
      <c r="AK8" s="7"/>
      <c r="AL8" s="190" t="str">
        <f t="shared" ref="AL8:AN8" si="9">IF(W8="-","-",(AY8*$B$2/W8+(1-AY8)*AVERAGE($B$2,$B$3)/AVERAGE(W8,AB8)))</f>
        <v>-</v>
      </c>
      <c r="AM8" s="190" t="str">
        <f t="shared" si="9"/>
        <v>-</v>
      </c>
      <c r="AN8" s="190" t="str">
        <f t="shared" si="9"/>
        <v>-</v>
      </c>
      <c r="AO8" s="7"/>
      <c r="AP8" s="7"/>
      <c r="AQ8" s="7"/>
      <c r="AR8" s="7"/>
      <c r="AS8" s="7"/>
      <c r="AT8" s="241" t="str">
        <f>IF(R8="-","-",VLOOKUP(R8,'CPI USA'!$T:$V,3,FALSE))</f>
        <v>-</v>
      </c>
      <c r="AU8" s="241" t="str">
        <f>IF(S8="-","-",VLOOKUP(S8,'CPI USA'!$T:$V,3,FALSE))</f>
        <v>-</v>
      </c>
      <c r="AV8" s="241" t="str">
        <f>IF(T8="-","-",VLOOKUP(T8,'CPI USA'!$T:$V,3,FALSE))</f>
        <v>-</v>
      </c>
      <c r="AW8" s="7"/>
      <c r="AX8" s="7"/>
      <c r="AY8" s="242" t="str">
        <f>IF(R8="-","-",VLOOKUP(R8,'CPI USA'!$T:$X,5,FALSE))</f>
        <v>-</v>
      </c>
      <c r="AZ8" s="242" t="str">
        <f>IF(S8="-","-",VLOOKUP(S8,'CPI USA'!$T:$X,5,FALSE))</f>
        <v>-</v>
      </c>
      <c r="BA8" s="242" t="str">
        <f>IF(T8="-","-",VLOOKUP(T8,'CPI USA'!$T:$X,5,FALSE))</f>
        <v>-</v>
      </c>
      <c r="BB8" s="7"/>
    </row>
    <row r="9" spans="1:54" ht="14.5">
      <c r="A9" s="185" t="s">
        <v>216</v>
      </c>
      <c r="B9" s="185" t="s">
        <v>217</v>
      </c>
      <c r="C9" s="243">
        <f>+'Empresas 21-23'!J4</f>
        <v>0</v>
      </c>
      <c r="D9" s="239">
        <f>VLOOKUP(A9,'FERC 2021'!$A$3:$BE$221,57,0)</f>
        <v>0</v>
      </c>
      <c r="E9" s="239">
        <f>VLOOKUP(A9,'FERC 2021'!$A$3:$BF$221,58,0)</f>
        <v>0</v>
      </c>
      <c r="F9" s="239">
        <f>VLOOKUP(A9,'FERC 2022'!$A$3:$BE$220,57,0)</f>
        <v>0</v>
      </c>
      <c r="G9" s="239">
        <f>VLOOKUP(A9,'FERC 2022'!$A$3:$BF$220,58,0)</f>
        <v>0</v>
      </c>
      <c r="H9" s="239">
        <f>VLOOKUP(A9,'FERC 2023'!$A$3:$BE$221,57,0)</f>
        <v>0</v>
      </c>
      <c r="I9" s="239">
        <f>VLOOKUP(A9,'FERC 2023'!$A$3:$BF$221,58,0)</f>
        <v>0</v>
      </c>
      <c r="J9" s="7"/>
      <c r="K9" s="7"/>
      <c r="L9" s="7"/>
      <c r="M9" s="187" t="str">
        <f t="shared" si="0"/>
        <v/>
      </c>
      <c r="N9" s="187" t="str">
        <f t="shared" si="1"/>
        <v/>
      </c>
      <c r="O9" s="187" t="str">
        <f t="shared" si="2"/>
        <v/>
      </c>
      <c r="P9" s="7"/>
      <c r="Q9" s="240" t="str">
        <f t="shared" si="3"/>
        <v>-</v>
      </c>
      <c r="R9" s="189" t="str">
        <f t="shared" ref="R9:T9" si="10">IF(ISERROR(R$5-365*$Q9),"-",MONTH(R$5-365*$Q9)&amp;"_"&amp;YEAR(R$5-365*$Q9))</f>
        <v>-</v>
      </c>
      <c r="S9" s="189" t="str">
        <f t="shared" si="10"/>
        <v>-</v>
      </c>
      <c r="T9" s="189" t="str">
        <f t="shared" si="10"/>
        <v>-</v>
      </c>
      <c r="U9" s="7"/>
      <c r="V9" s="7"/>
      <c r="W9" s="190" t="str">
        <f>IF(R9="-","-",VLOOKUP(R9,'CPI USA'!$T:$U,2,FALSE))</f>
        <v>-</v>
      </c>
      <c r="X9" s="190" t="str">
        <f>IF(S9="-","-",VLOOKUP(S9,'CPI USA'!$T:$U,2,FALSE))</f>
        <v>-</v>
      </c>
      <c r="Y9" s="190" t="str">
        <f>IF(T9="-","-",VLOOKUP(T9,'CPI USA'!$T:$U,2,FALSE))</f>
        <v>-</v>
      </c>
      <c r="Z9" s="7"/>
      <c r="AA9" s="7"/>
      <c r="AB9" s="190" t="str">
        <f>IF(R9="-","-",VLOOKUP(R9,'PPI USA'!$S:$T,2,FALSE))</f>
        <v>-</v>
      </c>
      <c r="AC9" s="190" t="str">
        <f>IF(S9="-","-",VLOOKUP(S9,'PPI USA'!$S:$T,2,FALSE))</f>
        <v>-</v>
      </c>
      <c r="AD9" s="190" t="str">
        <f>IF(T9="-","-",VLOOKUP(T9,'PPI USA'!$S:$T,2,FALSE))</f>
        <v>-</v>
      </c>
      <c r="AE9" s="7"/>
      <c r="AF9" s="7"/>
      <c r="AG9" s="190" t="str">
        <f t="shared" ref="AG9:AI9" si="11">IF(W9="-","-",(AT9*$B$2/W9+(1-AT9)*AVERAGE($B$2,$B$3)/AVERAGE(W9,AB9)))</f>
        <v>-</v>
      </c>
      <c r="AH9" s="190" t="str">
        <f t="shared" si="11"/>
        <v>-</v>
      </c>
      <c r="AI9" s="190" t="str">
        <f t="shared" si="11"/>
        <v>-</v>
      </c>
      <c r="AJ9" s="7"/>
      <c r="AK9" s="7"/>
      <c r="AL9" s="190" t="str">
        <f t="shared" ref="AL9:AN9" si="12">IF(W9="-","-",(AY9*$B$2/W9+(1-AY9)*AVERAGE($B$2,$B$3)/AVERAGE(W9,AB9)))</f>
        <v>-</v>
      </c>
      <c r="AM9" s="190" t="str">
        <f t="shared" si="12"/>
        <v>-</v>
      </c>
      <c r="AN9" s="190" t="str">
        <f t="shared" si="12"/>
        <v>-</v>
      </c>
      <c r="AO9" s="7"/>
      <c r="AP9" s="7"/>
      <c r="AQ9" s="7"/>
      <c r="AR9" s="7"/>
      <c r="AS9" s="7"/>
      <c r="AT9" s="241" t="str">
        <f>IF(R9="-","-",VLOOKUP(R9,'CPI USA'!$T:$V,3,FALSE))</f>
        <v>-</v>
      </c>
      <c r="AU9" s="241" t="str">
        <f>IF(S9="-","-",VLOOKUP(S9,'CPI USA'!$T:$V,3,FALSE))</f>
        <v>-</v>
      </c>
      <c r="AV9" s="241" t="str">
        <f>IF(T9="-","-",VLOOKUP(T9,'CPI USA'!$T:$V,3,FALSE))</f>
        <v>-</v>
      </c>
      <c r="AW9" s="7"/>
      <c r="AX9" s="7"/>
      <c r="AY9" s="242" t="str">
        <f>IF(R9="-","-",VLOOKUP(R9,'CPI USA'!$T:$X,5,FALSE))</f>
        <v>-</v>
      </c>
      <c r="AZ9" s="242" t="str">
        <f>IF(S9="-","-",VLOOKUP(S9,'CPI USA'!$T:$X,5,FALSE))</f>
        <v>-</v>
      </c>
      <c r="BA9" s="242" t="str">
        <f>IF(T9="-","-",VLOOKUP(T9,'CPI USA'!$T:$X,5,FALSE))</f>
        <v>-</v>
      </c>
      <c r="BB9" s="7"/>
    </row>
    <row r="10" spans="1:54" ht="14.5">
      <c r="A10" s="185" t="s">
        <v>219</v>
      </c>
      <c r="B10" s="185" t="s">
        <v>220</v>
      </c>
      <c r="C10" s="239">
        <f>+'Empresas 21-23'!J5</f>
        <v>0</v>
      </c>
      <c r="D10" s="239">
        <f>VLOOKUP(A10,'FERC 2021'!$A$3:$BE$221,57,0)</f>
        <v>7166482220</v>
      </c>
      <c r="E10" s="239">
        <f>VLOOKUP(A10,'FERC 2021'!$A$3:$BF$221,58,0)</f>
        <v>1131005469</v>
      </c>
      <c r="F10" s="239">
        <f>VLOOKUP(A10,'FERC 2022'!$A$3:$BE$220,57,0)</f>
        <v>7457802426</v>
      </c>
      <c r="G10" s="239">
        <f>VLOOKUP(A10,'FERC 2022'!$A$3:$BF$220,58,0)</f>
        <v>1207873179</v>
      </c>
      <c r="H10" s="239">
        <f>VLOOKUP(A10,'FERC 2023'!$A$3:$BE$221,57,0)</f>
        <v>7771869747</v>
      </c>
      <c r="I10" s="239">
        <f>VLOOKUP(A10,'FERC 2023'!$A$3:$BF$221,58,0)</f>
        <v>1252232019</v>
      </c>
      <c r="J10" s="7"/>
      <c r="K10" s="7"/>
      <c r="L10" s="7"/>
      <c r="M10" s="187">
        <f t="shared" si="0"/>
        <v>6.3363815794245291</v>
      </c>
      <c r="N10" s="187">
        <f t="shared" si="1"/>
        <v>6.1743257120539141</v>
      </c>
      <c r="O10" s="187">
        <f t="shared" si="2"/>
        <v>6.2064135312610942</v>
      </c>
      <c r="P10" s="7"/>
      <c r="Q10" s="240">
        <f t="shared" si="3"/>
        <v>6.2390402742465128</v>
      </c>
      <c r="R10" s="189" t="str">
        <f t="shared" ref="R10:T10" si="13">IF(ISERROR(R$5-365*$Q10),"-",MONTH(R$5-365*$Q10)&amp;"_"&amp;YEAR(R$5-365*$Q10))</f>
        <v>10_2015</v>
      </c>
      <c r="S10" s="189" t="str">
        <f t="shared" si="13"/>
        <v>10_2016</v>
      </c>
      <c r="T10" s="189" t="str">
        <f t="shared" si="13"/>
        <v>10_2017</v>
      </c>
      <c r="U10" s="7"/>
      <c r="V10" s="7"/>
      <c r="W10" s="190">
        <f>IF(R10="-","-",VLOOKUP(R10,'CPI USA'!$T:$U,2,FALSE))</f>
        <v>237.83799999999999</v>
      </c>
      <c r="X10" s="190">
        <f>IF(S10="-","-",VLOOKUP(S10,'CPI USA'!$T:$U,2,FALSE))</f>
        <v>241.72900000000001</v>
      </c>
      <c r="Y10" s="190">
        <f>IF(T10="-","-",VLOOKUP(T10,'CPI USA'!$T:$U,2,FALSE))</f>
        <v>246.66300000000001</v>
      </c>
      <c r="Z10" s="7"/>
      <c r="AA10" s="7"/>
      <c r="AB10" s="190">
        <f>IF(R10="-","-",VLOOKUP(R10,'PPI USA'!$S:$T,2,FALSE))</f>
        <v>182.1</v>
      </c>
      <c r="AC10" s="190">
        <f>IF(S10="-","-",VLOOKUP(S10,'PPI USA'!$S:$T,2,FALSE))</f>
        <v>179.2</v>
      </c>
      <c r="AD10" s="190">
        <f>IF(T10="-","-",VLOOKUP(T10,'PPI USA'!$S:$T,2,FALSE))</f>
        <v>199.6</v>
      </c>
      <c r="AE10" s="7"/>
      <c r="AF10" s="7"/>
      <c r="AG10" s="190">
        <f t="shared" ref="AG10:AI10" si="14">IF(W10="-","-",(AT10*$B$2/W10+(1-AT10)*AVERAGE($B$2,$B$3)/AVERAGE(W10,AB10)))</f>
        <v>1.3407975583818763</v>
      </c>
      <c r="AH10" s="190">
        <f t="shared" si="14"/>
        <v>1.3252536895563343</v>
      </c>
      <c r="AI10" s="190">
        <f t="shared" si="14"/>
        <v>1.282335549127724</v>
      </c>
      <c r="AJ10" s="7"/>
      <c r="AK10" s="7"/>
      <c r="AL10" s="190">
        <f t="shared" ref="AL10:AN10" si="15">IF(W10="-","-",(AY10*$B$2/W10+(1-AY10)*AVERAGE($B$2,$B$3)/AVERAGE(W10,AB10)))</f>
        <v>1.3510774614940946</v>
      </c>
      <c r="AM10" s="190">
        <f t="shared" si="15"/>
        <v>1.338599306141151</v>
      </c>
      <c r="AN10" s="190">
        <f t="shared" si="15"/>
        <v>1.2867505924639646</v>
      </c>
      <c r="AO10" s="7"/>
      <c r="AP10" s="7"/>
      <c r="AQ10" s="7"/>
      <c r="AR10" s="7"/>
      <c r="AS10" s="7"/>
      <c r="AT10" s="242">
        <f>IF(R10="-","-",VLOOKUP(R10,'CPI USA'!$T:$V,3,FALSE))</f>
        <v>0.6679408278919865</v>
      </c>
      <c r="AU10" s="242">
        <f>IF(S10="-","-",VLOOKUP(S10,'CPI USA'!$T:$V,3,FALSE))</f>
        <v>0.67131212484522451</v>
      </c>
      <c r="AV10" s="242">
        <f>IF(T10="-","-",VLOOKUP(T10,'CPI USA'!$T:$V,3,FALSE))</f>
        <v>0.66204311420409623</v>
      </c>
      <c r="AW10" s="7"/>
      <c r="AX10" s="7"/>
      <c r="AY10" s="242">
        <f>IF(R10="-","-",VLOOKUP(R10,'CPI USA'!$T:$X,5,FALSE))</f>
        <v>0.49584761624008583</v>
      </c>
      <c r="AZ10" s="242">
        <f>IF(S10="-","-",VLOOKUP(S10,'CPI USA'!$T:$X,5,FALSE))</f>
        <v>0.49965731919331663</v>
      </c>
      <c r="BA10" s="242">
        <f>IF(T10="-","-",VLOOKUP(T10,'CPI USA'!$T:$X,5,FALSE))</f>
        <v>0.48923067262022524</v>
      </c>
      <c r="BB10" s="7"/>
    </row>
    <row r="11" spans="1:54" ht="14.5">
      <c r="A11" s="185" t="s">
        <v>222</v>
      </c>
      <c r="B11" s="185" t="s">
        <v>223</v>
      </c>
      <c r="C11" s="243">
        <f>+'Empresas 21-23'!J6</f>
        <v>0</v>
      </c>
      <c r="D11" s="239">
        <f>VLOOKUP(A11,'FERC 2021'!$A$3:$BE$221,57,0)</f>
        <v>29898233</v>
      </c>
      <c r="E11" s="239">
        <f>VLOOKUP(A11,'FERC 2021'!$A$3:$BF$221,58,0)</f>
        <v>4245084</v>
      </c>
      <c r="F11" s="239">
        <f>VLOOKUP(A11,'FERC 2022'!$A$3:$BE$220,57,0)</f>
        <v>33503590</v>
      </c>
      <c r="G11" s="239">
        <f>VLOOKUP(A11,'FERC 2022'!$A$3:$BF$220,58,0)</f>
        <v>3722679</v>
      </c>
      <c r="H11" s="239">
        <f>VLOOKUP(A11,'FERC 2023'!$A$3:$BE$221,57,0)</f>
        <v>34074152</v>
      </c>
      <c r="I11" s="239">
        <f>VLOOKUP(A11,'FERC 2023'!$A$3:$BF$221,58,0)</f>
        <v>3876827</v>
      </c>
      <c r="J11" s="7"/>
      <c r="K11" s="7"/>
      <c r="L11" s="7"/>
      <c r="M11" s="187">
        <f t="shared" si="0"/>
        <v>7.0430250614593257</v>
      </c>
      <c r="N11" s="187">
        <f t="shared" si="1"/>
        <v>8.9998600470252743</v>
      </c>
      <c r="O11" s="187">
        <f t="shared" si="2"/>
        <v>8.789185589142873</v>
      </c>
      <c r="P11" s="7"/>
      <c r="Q11" s="240">
        <f t="shared" si="3"/>
        <v>8.277356899209158</v>
      </c>
      <c r="R11" s="189" t="str">
        <f t="shared" ref="R11:T11" si="16">IF(ISERROR(R$5-365*$Q11),"-",MONTH(R$5-365*$Q11)&amp;"_"&amp;YEAR(R$5-365*$Q11))</f>
        <v>9_2013</v>
      </c>
      <c r="S11" s="189" t="str">
        <f t="shared" si="16"/>
        <v>9_2014</v>
      </c>
      <c r="T11" s="189" t="str">
        <f t="shared" si="16"/>
        <v>9_2015</v>
      </c>
      <c r="U11" s="7"/>
      <c r="V11" s="7"/>
      <c r="W11" s="190">
        <f>IF(R11="-","-",VLOOKUP(R11,'CPI USA'!$T:$U,2,FALSE))</f>
        <v>234.149</v>
      </c>
      <c r="X11" s="190">
        <f>IF(S11="-","-",VLOOKUP(S11,'CPI USA'!$T:$U,2,FALSE))</f>
        <v>238.03100000000001</v>
      </c>
      <c r="Y11" s="190">
        <f>IF(T11="-","-",VLOOKUP(T11,'CPI USA'!$T:$U,2,FALSE))</f>
        <v>237.94499999999999</v>
      </c>
      <c r="Z11" s="7"/>
      <c r="AA11" s="7"/>
      <c r="AB11" s="190">
        <f>IF(R11="-","-",VLOOKUP(R11,'PPI USA'!$S:$T,2,FALSE))</f>
        <v>175.2</v>
      </c>
      <c r="AC11" s="190">
        <f>IF(S11="-","-",VLOOKUP(S11,'PPI USA'!$S:$T,2,FALSE))</f>
        <v>187.8</v>
      </c>
      <c r="AD11" s="190">
        <f>IF(T11="-","-",VLOOKUP(T11,'PPI USA'!$S:$T,2,FALSE))</f>
        <v>195.1</v>
      </c>
      <c r="AE11" s="7"/>
      <c r="AF11" s="7"/>
      <c r="AG11" s="190">
        <f t="shared" ref="AG11:AI11" si="17">IF(W11="-","-",(AT11*$B$2/W11+(1-AT11)*AVERAGE($B$2,$B$3)/AVERAGE(W11,AB11)))</f>
        <v>1.3661768109417007</v>
      </c>
      <c r="AH11" s="190">
        <f t="shared" si="17"/>
        <v>1.3337530552252315</v>
      </c>
      <c r="AI11" s="190">
        <f t="shared" si="17"/>
        <v>1.3265241606661089</v>
      </c>
      <c r="AJ11" s="7"/>
      <c r="AK11" s="7"/>
      <c r="AL11" s="190">
        <f t="shared" ref="AL11:AN11" si="18">IF(W11="-","-",(AY11*$B$2/W11+(1-AY11)*AVERAGE($B$2,$B$3)/AVERAGE(W11,AB11)))</f>
        <v>1.3789714160509126</v>
      </c>
      <c r="AM11" s="190">
        <f t="shared" si="18"/>
        <v>1.3409310393170211</v>
      </c>
      <c r="AN11" s="190">
        <f t="shared" si="18"/>
        <v>1.3297145777331876</v>
      </c>
      <c r="AO11" s="7"/>
      <c r="AP11" s="7"/>
      <c r="AQ11" s="7"/>
      <c r="AR11" s="7"/>
      <c r="AS11" s="7"/>
      <c r="AT11" s="242">
        <f>IF(R11="-","-",VLOOKUP(R11,'CPI USA'!$T:$V,3,FALSE))</f>
        <v>0.67305131835944076</v>
      </c>
      <c r="AU11" s="242">
        <f>IF(S11="-","-",VLOOKUP(S11,'CPI USA'!$T:$V,3,FALSE))</f>
        <v>0.66756601812039096</v>
      </c>
      <c r="AV11" s="242">
        <f>IF(T11="-","-",VLOOKUP(T11,'CPI USA'!$T:$V,3,FALSE))</f>
        <v>0.6679408278919865</v>
      </c>
      <c r="AW11" s="7"/>
      <c r="AX11" s="7"/>
      <c r="AY11" s="242">
        <f>IF(R11="-","-",VLOOKUP(R11,'CPI USA'!$T:$X,5,FALSE))</f>
        <v>0.50163050295255052</v>
      </c>
      <c r="AZ11" s="242">
        <f>IF(S11="-","-",VLOOKUP(S11,'CPI USA'!$T:$X,5,FALSE))</f>
        <v>0.49542529667095003</v>
      </c>
      <c r="BA11" s="242">
        <f>IF(T11="-","-",VLOOKUP(T11,'CPI USA'!$T:$X,5,FALSE))</f>
        <v>0.49584761624008583</v>
      </c>
      <c r="BB11" s="7"/>
    </row>
    <row r="12" spans="1:54" ht="14.5">
      <c r="A12" s="185" t="s">
        <v>225</v>
      </c>
      <c r="B12" s="185" t="s">
        <v>226</v>
      </c>
      <c r="C12" s="239">
        <f>+'Empresas 21-23'!J7</f>
        <v>0</v>
      </c>
      <c r="D12" s="239">
        <f>VLOOKUP(A12,'FERC 2021'!$A$3:$BE$221,57,0)</f>
        <v>1137482930</v>
      </c>
      <c r="E12" s="239">
        <f>VLOOKUP(A12,'FERC 2021'!$A$3:$BF$221,58,0)</f>
        <v>117479289</v>
      </c>
      <c r="F12" s="239">
        <f>VLOOKUP(A12,'FERC 2022'!$A$3:$BE$220,57,0)</f>
        <v>1179924934</v>
      </c>
      <c r="G12" s="239">
        <f>VLOOKUP(A12,'FERC 2022'!$A$3:$BF$220,58,0)</f>
        <v>106381078</v>
      </c>
      <c r="H12" s="239">
        <f>VLOOKUP(A12,'FERC 2023'!$A$3:$BE$221,57,0)</f>
        <v>1222715449</v>
      </c>
      <c r="I12" s="239">
        <f>VLOOKUP(A12,'FERC 2023'!$A$3:$BF$221,58,0)</f>
        <v>110525712</v>
      </c>
      <c r="J12" s="7"/>
      <c r="K12" s="7"/>
      <c r="L12" s="7"/>
      <c r="M12" s="187">
        <f t="shared" si="0"/>
        <v>9.6824124463334122</v>
      </c>
      <c r="N12" s="187">
        <f t="shared" si="1"/>
        <v>11.091492549079076</v>
      </c>
      <c r="O12" s="187">
        <f t="shared" si="2"/>
        <v>11.062724020271411</v>
      </c>
      <c r="P12" s="7"/>
      <c r="Q12" s="240">
        <f t="shared" si="3"/>
        <v>10.612209671894632</v>
      </c>
      <c r="R12" s="189" t="str">
        <f t="shared" ref="R12:T12" si="19">IF(ISERROR(R$5-365*$Q12),"-",MONTH(R$5-365*$Q12)&amp;"_"&amp;YEAR(R$5-365*$Q12))</f>
        <v>5_2011</v>
      </c>
      <c r="S12" s="189" t="str">
        <f t="shared" si="19"/>
        <v>5_2012</v>
      </c>
      <c r="T12" s="189" t="str">
        <f t="shared" si="19"/>
        <v>5_2013</v>
      </c>
      <c r="U12" s="7"/>
      <c r="V12" s="7"/>
      <c r="W12" s="190">
        <f>IF(R12="-","-",VLOOKUP(R12,'CPI USA'!$T:$U,2,FALSE))</f>
        <v>224.93899999999999</v>
      </c>
      <c r="X12" s="190">
        <f>IF(S12="-","-",VLOOKUP(S12,'CPI USA'!$T:$U,2,FALSE))</f>
        <v>229.59399999999999</v>
      </c>
      <c r="Y12" s="190">
        <f>IF(T12="-","-",VLOOKUP(T12,'CPI USA'!$T:$U,2,FALSE))</f>
        <v>232.94499999999999</v>
      </c>
      <c r="Z12" s="7"/>
      <c r="AA12" s="7"/>
      <c r="AB12" s="190">
        <f>IF(R12="-","-",VLOOKUP(R12,'PPI USA'!$S:$T,2,FALSE))</f>
        <v>169.6</v>
      </c>
      <c r="AC12" s="190">
        <f>IF(S12="-","-",VLOOKUP(S12,'PPI USA'!$S:$T,2,FALSE))</f>
        <v>175.1</v>
      </c>
      <c r="AD12" s="190">
        <f>IF(T12="-","-",VLOOKUP(T12,'PPI USA'!$S:$T,2,FALSE))</f>
        <v>169.7</v>
      </c>
      <c r="AE12" s="7"/>
      <c r="AF12" s="7"/>
      <c r="AG12" s="190">
        <f t="shared" ref="AG12:AI12" si="20">IF(W12="-","-",(AT12*$B$2/W12+(1-AT12)*AVERAGE($B$2,$B$3)/AVERAGE(W12,AB12)))</f>
        <v>1.4208751760332547</v>
      </c>
      <c r="AH12" s="190">
        <f t="shared" si="20"/>
        <v>1.3897894616766442</v>
      </c>
      <c r="AI12" s="190">
        <f t="shared" si="20"/>
        <v>1.3785549584693351</v>
      </c>
      <c r="AJ12" s="7"/>
      <c r="AK12" s="7"/>
      <c r="AL12" s="190">
        <f t="shared" ref="AL12:AN12" si="21">IF(W12="-","-",(AY12*$B$2/W12+(1-AY12)*AVERAGE($B$2,$B$3)/AVERAGE(W12,AB12)))</f>
        <v>1.4334111417560953</v>
      </c>
      <c r="AM12" s="190">
        <f t="shared" si="21"/>
        <v>1.4008620811189902</v>
      </c>
      <c r="AN12" s="190">
        <f t="shared" si="21"/>
        <v>1.3942033830519249</v>
      </c>
      <c r="AO12" s="7"/>
      <c r="AP12" s="7"/>
      <c r="AQ12" s="7"/>
      <c r="AR12" s="7"/>
      <c r="AS12" s="7"/>
      <c r="AT12" s="242">
        <f>IF(R12="-","-",VLOOKUP(R12,'CPI USA'!$T:$V,3,FALSE))</f>
        <v>0.6684022975047168</v>
      </c>
      <c r="AU12" s="242">
        <f>IF(S12="-","-",VLOOKUP(S12,'CPI USA'!$T:$V,3,FALSE))</f>
        <v>0.66730871354337351</v>
      </c>
      <c r="AV12" s="242">
        <f>IF(T12="-","-",VLOOKUP(T12,'CPI USA'!$T:$V,3,FALSE))</f>
        <v>0.67305131835944076</v>
      </c>
      <c r="AW12" s="7"/>
      <c r="AX12" s="7"/>
      <c r="AY12" s="242">
        <f>IF(R12="-","-",VLOOKUP(R12,'CPI USA'!$T:$X,5,FALSE))</f>
        <v>0.49636791791307899</v>
      </c>
      <c r="AZ12" s="242">
        <f>IF(S12="-","-",VLOOKUP(S12,'CPI USA'!$T:$X,5,FALSE))</f>
        <v>0.49513551903851311</v>
      </c>
      <c r="BA12" s="242">
        <f>IF(T12="-","-",VLOOKUP(T12,'CPI USA'!$T:$X,5,FALSE))</f>
        <v>0.50163050295255052</v>
      </c>
      <c r="BB12" s="7"/>
    </row>
    <row r="13" spans="1:54" ht="14.5">
      <c r="A13" s="185" t="s">
        <v>228</v>
      </c>
      <c r="B13" s="185" t="s">
        <v>229</v>
      </c>
      <c r="C13" s="243">
        <f>+'Empresas 21-23'!J8</f>
        <v>0</v>
      </c>
      <c r="D13" s="239">
        <f>VLOOKUP(A13,'FERC 2021'!$A$3:$BE$221,57,0)</f>
        <v>209080656</v>
      </c>
      <c r="E13" s="239">
        <f>VLOOKUP(A13,'FERC 2021'!$A$3:$BF$221,58,0)</f>
        <v>13902244</v>
      </c>
      <c r="F13" s="239">
        <f>VLOOKUP(A13,'FERC 2022'!$A$3:$BE$220,57,0)</f>
        <v>214424948</v>
      </c>
      <c r="G13" s="239">
        <f>VLOOKUP(A13,'FERC 2022'!$A$3:$BF$220,58,0)</f>
        <v>14492501</v>
      </c>
      <c r="H13" s="239">
        <f>VLOOKUP(A13,'FERC 2023'!$A$3:$BE$221,57,0)</f>
        <v>203497333</v>
      </c>
      <c r="I13" s="239">
        <f>VLOOKUP(A13,'FERC 2023'!$A$3:$BF$221,58,0)</f>
        <v>14528582</v>
      </c>
      <c r="J13" s="7"/>
      <c r="K13" s="7"/>
      <c r="L13" s="7"/>
      <c r="M13" s="187">
        <f t="shared" si="0"/>
        <v>15.03934587826253</v>
      </c>
      <c r="N13" s="187">
        <f t="shared" si="1"/>
        <v>14.795579313743017</v>
      </c>
      <c r="O13" s="187">
        <f t="shared" si="2"/>
        <v>14.006689228171062</v>
      </c>
      <c r="P13" s="7"/>
      <c r="Q13" s="240">
        <f t="shared" si="3"/>
        <v>14.613871473392203</v>
      </c>
      <c r="R13" s="189" t="str">
        <f t="shared" ref="R13:T13" si="22">IF(ISERROR(R$5-365*$Q13),"-",MONTH(R$5-365*$Q13)&amp;"_"&amp;YEAR(R$5-365*$Q13))</f>
        <v>5_2007</v>
      </c>
      <c r="S13" s="189" t="str">
        <f t="shared" si="22"/>
        <v>5_2008</v>
      </c>
      <c r="T13" s="189" t="str">
        <f t="shared" si="22"/>
        <v>5_2009</v>
      </c>
      <c r="U13" s="7"/>
      <c r="V13" s="7"/>
      <c r="W13" s="190">
        <f>IF(R13="-","-",VLOOKUP(R13,'CPI USA'!$T:$U,2,FALSE))</f>
        <v>207.34200000000001</v>
      </c>
      <c r="X13" s="190">
        <f>IF(S13="-","-",VLOOKUP(S13,'CPI USA'!$T:$U,2,FALSE))</f>
        <v>215.303</v>
      </c>
      <c r="Y13" s="190">
        <f>IF(T13="-","-",VLOOKUP(T13,'CPI USA'!$T:$U,2,FALSE))</f>
        <v>214.53700000000001</v>
      </c>
      <c r="Z13" s="7"/>
      <c r="AA13" s="7"/>
      <c r="AB13" s="190">
        <f>IF(R13="-","-",VLOOKUP(R13,'PPI USA'!$S:$T,2,FALSE))</f>
        <v>151.69999999999999</v>
      </c>
      <c r="AC13" s="190">
        <f>IF(S13="-","-",VLOOKUP(S13,'PPI USA'!$S:$T,2,FALSE))</f>
        <v>159.30000000000001</v>
      </c>
      <c r="AD13" s="190">
        <f>IF(T13="-","-",VLOOKUP(T13,'PPI USA'!$S:$T,2,FALSE))</f>
        <v>159.1</v>
      </c>
      <c r="AE13" s="7"/>
      <c r="AF13" s="7"/>
      <c r="AG13" s="190">
        <f t="shared" ref="AG13:AI13" si="23">IF(W13="-","-",(AT13*$B$2/W13+(1-AT13)*AVERAGE($B$2,$B$3)/AVERAGE(W13,AB13)))</f>
        <v>1.5480022216582647</v>
      </c>
      <c r="AH13" s="190">
        <f t="shared" si="23"/>
        <v>1.4884333659448254</v>
      </c>
      <c r="AI13" s="190">
        <f t="shared" si="23"/>
        <v>1.4932638886873792</v>
      </c>
      <c r="AJ13" s="7"/>
      <c r="AK13" s="7"/>
      <c r="AL13" s="190">
        <f t="shared" ref="AL13:AN13" si="24">IF(W13="-","-",(AY13*$B$2/W13+(1-AY13)*AVERAGE($B$2,$B$3)/AVERAGE(W13,AB13)))</f>
        <v>1.5651038394149617</v>
      </c>
      <c r="AM13" s="190">
        <f t="shared" si="24"/>
        <v>1.5036496327119213</v>
      </c>
      <c r="AN13" s="190">
        <f t="shared" si="24"/>
        <v>1.5082750176818205</v>
      </c>
      <c r="AO13" s="7"/>
      <c r="AP13" s="7"/>
      <c r="AQ13" s="7"/>
      <c r="AR13" s="7"/>
      <c r="AS13" s="7"/>
      <c r="AT13" s="242">
        <f>IF(R13="-","-",VLOOKUP(R13,'CPI USA'!$T:$V,3,FALSE))</f>
        <v>0.67123734379962852</v>
      </c>
      <c r="AU13" s="242">
        <f>IF(S13="-","-",VLOOKUP(S13,'CPI USA'!$T:$V,3,FALSE))</f>
        <v>0.67018812038291731</v>
      </c>
      <c r="AV13" s="242">
        <f>IF(T13="-","-",VLOOKUP(T13,'CPI USA'!$T:$V,3,FALSE))</f>
        <v>0.66997101349938215</v>
      </c>
      <c r="AW13" s="7"/>
      <c r="AX13" s="7"/>
      <c r="AY13" s="242">
        <f>IF(R13="-","-",VLOOKUP(R13,'CPI USA'!$T:$X,5,FALSE))</f>
        <v>0.49957259686190569</v>
      </c>
      <c r="AZ13" s="242">
        <f>IF(S13="-","-",VLOOKUP(S13,'CPI USA'!$T:$X,5,FALSE))</f>
        <v>0.49838492968660258</v>
      </c>
      <c r="BA13" s="242">
        <f>IF(T13="-","-",VLOOKUP(T13,'CPI USA'!$T:$X,5,FALSE))</f>
        <v>0.49813941766071862</v>
      </c>
      <c r="BB13" s="7"/>
    </row>
    <row r="14" spans="1:54" ht="14.5">
      <c r="A14" s="185" t="s">
        <v>231</v>
      </c>
      <c r="B14" s="185" t="s">
        <v>232</v>
      </c>
      <c r="C14" s="243">
        <f>+'Empresas 21-23'!J9</f>
        <v>1</v>
      </c>
      <c r="D14" s="239">
        <f>VLOOKUP(A14,'FERC 2021'!$A$3:$BE$221,57,0)</f>
        <v>5888567997</v>
      </c>
      <c r="E14" s="239">
        <f>VLOOKUP(A14,'FERC 2021'!$A$3:$BF$221,58,0)</f>
        <v>851731003</v>
      </c>
      <c r="F14" s="239">
        <f>VLOOKUP(A14,'FERC 2022'!$A$3:$BE$220,57,0)</f>
        <v>6408342610</v>
      </c>
      <c r="G14" s="239">
        <f>VLOOKUP(A14,'FERC 2022'!$A$3:$BF$220,58,0)</f>
        <v>888040514</v>
      </c>
      <c r="H14" s="239">
        <f>VLOOKUP(A14,'FERC 2023'!$A$3:$BE$221,57,0)</f>
        <v>6941414033</v>
      </c>
      <c r="I14" s="239">
        <f>VLOOKUP(A14,'FERC 2023'!$A$3:$BF$221,58,0)</f>
        <v>922675593</v>
      </c>
      <c r="J14" s="7"/>
      <c r="K14" s="7"/>
      <c r="L14" s="7"/>
      <c r="M14" s="187">
        <f t="shared" si="0"/>
        <v>6.9136475909166828</v>
      </c>
      <c r="N14" s="187">
        <f t="shared" si="1"/>
        <v>7.2162728039680406</v>
      </c>
      <c r="O14" s="187">
        <f t="shared" si="2"/>
        <v>7.5231360682583919</v>
      </c>
      <c r="P14" s="7"/>
      <c r="Q14" s="240">
        <f t="shared" si="3"/>
        <v>7.2176854877143723</v>
      </c>
      <c r="R14" s="189" t="str">
        <f t="shared" ref="R14:T14" si="25">IF(ISERROR(R$5-365*$Q14),"-",MONTH(R$5-365*$Q14)&amp;"_"&amp;YEAR(R$5-365*$Q14))</f>
        <v>10_2014</v>
      </c>
      <c r="S14" s="189" t="str">
        <f t="shared" si="25"/>
        <v>10_2015</v>
      </c>
      <c r="T14" s="189" t="str">
        <f t="shared" si="25"/>
        <v>10_2016</v>
      </c>
      <c r="U14" s="7"/>
      <c r="V14" s="7"/>
      <c r="W14" s="190">
        <f>IF(R14="-","-",VLOOKUP(R14,'CPI USA'!$T:$U,2,FALSE))</f>
        <v>237.43299999999999</v>
      </c>
      <c r="X14" s="190">
        <f>IF(S14="-","-",VLOOKUP(S14,'CPI USA'!$T:$U,2,FALSE))</f>
        <v>237.83799999999999</v>
      </c>
      <c r="Y14" s="190">
        <f>IF(T14="-","-",VLOOKUP(T14,'CPI USA'!$T:$U,2,FALSE))</f>
        <v>241.72900000000001</v>
      </c>
      <c r="Z14" s="7"/>
      <c r="AA14" s="7"/>
      <c r="AB14" s="190">
        <f>IF(R14="-","-",VLOOKUP(R14,'PPI USA'!$S:$T,2,FALSE))</f>
        <v>181.3</v>
      </c>
      <c r="AC14" s="190">
        <f>IF(S14="-","-",VLOOKUP(S14,'PPI USA'!$S:$T,2,FALSE))</f>
        <v>182.1</v>
      </c>
      <c r="AD14" s="190">
        <f>IF(T14="-","-",VLOOKUP(T14,'PPI USA'!$S:$T,2,FALSE))</f>
        <v>179.2</v>
      </c>
      <c r="AE14" s="7"/>
      <c r="AF14" s="7"/>
      <c r="AG14" s="190">
        <f t="shared" ref="AG14:AI14" si="26">IF(W14="-","-",(AT14*$B$2/W14+(1-AT14)*AVERAGE($B$2,$B$3)/AVERAGE(W14,AB14)))</f>
        <v>1.3436449732207416</v>
      </c>
      <c r="AH14" s="190">
        <f t="shared" si="26"/>
        <v>1.3407975583818763</v>
      </c>
      <c r="AI14" s="190">
        <f t="shared" si="26"/>
        <v>1.3252536895563343</v>
      </c>
      <c r="AJ14" s="7"/>
      <c r="AK14" s="7"/>
      <c r="AL14" s="190">
        <f t="shared" ref="AL14:AN14" si="27">IF(W14="-","-",(AY14*$B$2/W14+(1-AY14)*AVERAGE($B$2,$B$3)/AVERAGE(W14,AB14)))</f>
        <v>1.3542238044000909</v>
      </c>
      <c r="AM14" s="190">
        <f t="shared" si="27"/>
        <v>1.3510774614940946</v>
      </c>
      <c r="AN14" s="190">
        <f t="shared" si="27"/>
        <v>1.338599306141151</v>
      </c>
      <c r="AO14" s="7"/>
      <c r="AP14" s="7"/>
      <c r="AQ14" s="7"/>
      <c r="AR14" s="7"/>
      <c r="AS14" s="7"/>
      <c r="AT14" s="242">
        <f>IF(R14="-","-",VLOOKUP(R14,'CPI USA'!$T:$V,3,FALSE))</f>
        <v>0.66756601812039096</v>
      </c>
      <c r="AU14" s="242">
        <f>IF(S14="-","-",VLOOKUP(S14,'CPI USA'!$T:$V,3,FALSE))</f>
        <v>0.6679408278919865</v>
      </c>
      <c r="AV14" s="242">
        <f>IF(T14="-","-",VLOOKUP(T14,'CPI USA'!$T:$V,3,FALSE))</f>
        <v>0.67131212484522451</v>
      </c>
      <c r="AW14" s="7"/>
      <c r="AX14" s="7"/>
      <c r="AY14" s="242">
        <f>IF(R14="-","-",VLOOKUP(R14,'CPI USA'!$T:$X,5,FALSE))</f>
        <v>0.49542529667095003</v>
      </c>
      <c r="AZ14" s="242">
        <f>IF(S14="-","-",VLOOKUP(S14,'CPI USA'!$T:$X,5,FALSE))</f>
        <v>0.49584761624008583</v>
      </c>
      <c r="BA14" s="242">
        <f>IF(T14="-","-",VLOOKUP(T14,'CPI USA'!$T:$X,5,FALSE))</f>
        <v>0.49965731919331663</v>
      </c>
      <c r="BB14" s="7"/>
    </row>
    <row r="15" spans="1:54" ht="14.5">
      <c r="A15" s="185" t="s">
        <v>234</v>
      </c>
      <c r="B15" s="185" t="s">
        <v>235</v>
      </c>
      <c r="C15" s="239">
        <f>+'Empresas 21-23'!J10</f>
        <v>0</v>
      </c>
      <c r="D15" s="239">
        <f>VLOOKUP(A15,'FERC 2021'!$A$3:$BE$221,57,0)</f>
        <v>44964</v>
      </c>
      <c r="E15" s="239">
        <f>VLOOKUP(A15,'FERC 2021'!$A$3:$BF$221,58,0)</f>
        <v>197401969</v>
      </c>
      <c r="F15" s="239">
        <f>VLOOKUP(A15,'FERC 2022'!$A$3:$BE$220,57,0)</f>
        <v>3425264543</v>
      </c>
      <c r="G15" s="239">
        <f>VLOOKUP(A15,'FERC 2022'!$A$3:$BF$220,58,0)</f>
        <v>205797631</v>
      </c>
      <c r="H15" s="239">
        <f>VLOOKUP(A15,'FERC 2023'!$A$3:$BE$221,57,0)</f>
        <v>3524112979</v>
      </c>
      <c r="I15" s="239">
        <f>VLOOKUP(A15,'FERC 2023'!$A$3:$BF$221,58,0)</f>
        <v>240856770</v>
      </c>
      <c r="J15" s="7"/>
      <c r="K15" s="7"/>
      <c r="L15" s="7"/>
      <c r="M15" s="187">
        <f t="shared" si="0"/>
        <v>2.2777888299584285E-4</v>
      </c>
      <c r="N15" s="187">
        <f t="shared" si="1"/>
        <v>16.64384826179073</v>
      </c>
      <c r="O15" s="187">
        <f t="shared" si="2"/>
        <v>14.631571198932876</v>
      </c>
      <c r="P15" s="7"/>
      <c r="Q15" s="240">
        <f t="shared" si="3"/>
        <v>10.425215746535534</v>
      </c>
      <c r="R15" s="189" t="str">
        <f t="shared" ref="R15:T15" si="28">IF(ISERROR(R$5-365*$Q15),"-",MONTH(R$5-365*$Q15)&amp;"_"&amp;YEAR(R$5-365*$Q15))</f>
        <v>7_2011</v>
      </c>
      <c r="S15" s="189" t="str">
        <f t="shared" si="28"/>
        <v>7_2012</v>
      </c>
      <c r="T15" s="189" t="str">
        <f t="shared" si="28"/>
        <v>7_2013</v>
      </c>
      <c r="U15" s="7"/>
      <c r="V15" s="7"/>
      <c r="W15" s="190">
        <f>IF(R15="-","-",VLOOKUP(R15,'CPI USA'!$T:$U,2,FALSE))</f>
        <v>224.93899999999999</v>
      </c>
      <c r="X15" s="190">
        <f>IF(S15="-","-",VLOOKUP(S15,'CPI USA'!$T:$U,2,FALSE))</f>
        <v>229.59399999999999</v>
      </c>
      <c r="Y15" s="190">
        <f>IF(T15="-","-",VLOOKUP(T15,'CPI USA'!$T:$U,2,FALSE))</f>
        <v>233.596</v>
      </c>
      <c r="Z15" s="7"/>
      <c r="AA15" s="7"/>
      <c r="AB15" s="190">
        <f>IF(R15="-","-",VLOOKUP(R15,'PPI USA'!$S:$T,2,FALSE))</f>
        <v>169.6</v>
      </c>
      <c r="AC15" s="190">
        <f>IF(S15="-","-",VLOOKUP(S15,'PPI USA'!$S:$T,2,FALSE))</f>
        <v>175.1</v>
      </c>
      <c r="AD15" s="190">
        <f>IF(T15="-","-",VLOOKUP(T15,'PPI USA'!$S:$T,2,FALSE))</f>
        <v>176</v>
      </c>
      <c r="AE15" s="7"/>
      <c r="AF15" s="7"/>
      <c r="AG15" s="190">
        <f t="shared" ref="AG15:AI15" si="29">IF(W15="-","-",(AT15*$B$2/W15+(1-AT15)*AVERAGE($B$2,$B$3)/AVERAGE(W15,AB15)))</f>
        <v>1.4208751760332547</v>
      </c>
      <c r="AH15" s="190">
        <f t="shared" si="29"/>
        <v>1.3897894616766442</v>
      </c>
      <c r="AI15" s="190">
        <f t="shared" si="29"/>
        <v>1.3680354489709332</v>
      </c>
      <c r="AJ15" s="7"/>
      <c r="AK15" s="7"/>
      <c r="AL15" s="190">
        <f t="shared" ref="AL15:AN15" si="30">IF(W15="-","-",(AY15*$B$2/W15+(1-AY15)*AVERAGE($B$2,$B$3)/AVERAGE(W15,AB15)))</f>
        <v>1.4334111417560953</v>
      </c>
      <c r="AM15" s="190">
        <f t="shared" si="30"/>
        <v>1.4008620811189902</v>
      </c>
      <c r="AN15" s="190">
        <f t="shared" si="30"/>
        <v>1.3801391301464276</v>
      </c>
      <c r="AO15" s="7"/>
      <c r="AP15" s="7"/>
      <c r="AQ15" s="7"/>
      <c r="AR15" s="7"/>
      <c r="AS15" s="7"/>
      <c r="AT15" s="242">
        <f>IF(R15="-","-",VLOOKUP(R15,'CPI USA'!$T:$V,3,FALSE))</f>
        <v>0.6684022975047168</v>
      </c>
      <c r="AU15" s="242">
        <f>IF(S15="-","-",VLOOKUP(S15,'CPI USA'!$T:$V,3,FALSE))</f>
        <v>0.66730871354337351</v>
      </c>
      <c r="AV15" s="242">
        <f>IF(T15="-","-",VLOOKUP(T15,'CPI USA'!$T:$V,3,FALSE))</f>
        <v>0.67305131835944076</v>
      </c>
      <c r="AW15" s="7"/>
      <c r="AX15" s="7"/>
      <c r="AY15" s="242">
        <f>IF(R15="-","-",VLOOKUP(R15,'CPI USA'!$T:$X,5,FALSE))</f>
        <v>0.49636791791307899</v>
      </c>
      <c r="AZ15" s="242">
        <f>IF(S15="-","-",VLOOKUP(S15,'CPI USA'!$T:$X,5,FALSE))</f>
        <v>0.49513551903851311</v>
      </c>
      <c r="BA15" s="242">
        <f>IF(T15="-","-",VLOOKUP(T15,'CPI USA'!$T:$X,5,FALSE))</f>
        <v>0.50163050295255052</v>
      </c>
      <c r="BB15" s="7"/>
    </row>
    <row r="16" spans="1:54" ht="14.5">
      <c r="A16" s="185" t="s">
        <v>237</v>
      </c>
      <c r="B16" s="185" t="s">
        <v>238</v>
      </c>
      <c r="C16" s="239">
        <f>+'Empresas 21-23'!J11</f>
        <v>0</v>
      </c>
      <c r="D16" s="239">
        <f>VLOOKUP(A16,'FERC 2021'!$A$3:$BE$221,57,0)</f>
        <v>1995966156</v>
      </c>
      <c r="E16" s="239">
        <f>VLOOKUP(A16,'FERC 2021'!$A$3:$BF$221,58,0)</f>
        <v>209729527</v>
      </c>
      <c r="F16" s="239">
        <f>VLOOKUP(A16,'FERC 2022'!$A$3:$BE$220,57,0)</f>
        <v>2048053607</v>
      </c>
      <c r="G16" s="239">
        <f>VLOOKUP(A16,'FERC 2022'!$A$3:$BF$220,58,0)</f>
        <v>233162469</v>
      </c>
      <c r="H16" s="239">
        <f>VLOOKUP(A16,'FERC 2023'!$A$3:$BE$221,57,0)</f>
        <v>2120470246</v>
      </c>
      <c r="I16" s="239">
        <f>VLOOKUP(A16,'FERC 2023'!$A$3:$BF$221,58,0)</f>
        <v>254892187</v>
      </c>
      <c r="J16" s="7"/>
      <c r="K16" s="7"/>
      <c r="L16" s="7"/>
      <c r="M16" s="187">
        <f t="shared" si="0"/>
        <v>9.5168581389114557</v>
      </c>
      <c r="N16" s="187">
        <f t="shared" si="1"/>
        <v>8.7838047683394542</v>
      </c>
      <c r="O16" s="187">
        <f t="shared" si="2"/>
        <v>8.3190868694614011</v>
      </c>
      <c r="P16" s="7"/>
      <c r="Q16" s="240">
        <f t="shared" si="3"/>
        <v>8.8732499255707697</v>
      </c>
      <c r="R16" s="189" t="str">
        <f t="shared" ref="R16:T16" si="31">IF(ISERROR(R$5-365*$Q16),"-",MONTH(R$5-365*$Q16)&amp;"_"&amp;YEAR(R$5-365*$Q16))</f>
        <v>2_2013</v>
      </c>
      <c r="S16" s="189" t="str">
        <f t="shared" si="31"/>
        <v>2_2014</v>
      </c>
      <c r="T16" s="189" t="str">
        <f t="shared" si="31"/>
        <v>2_2015</v>
      </c>
      <c r="U16" s="7"/>
      <c r="V16" s="7"/>
      <c r="W16" s="190">
        <f>IF(R16="-","-",VLOOKUP(R16,'CPI USA'!$T:$U,2,FALSE))</f>
        <v>232.166</v>
      </c>
      <c r="X16" s="190">
        <f>IF(S16="-","-",VLOOKUP(S16,'CPI USA'!$T:$U,2,FALSE))</f>
        <v>234.78100000000001</v>
      </c>
      <c r="Y16" s="190">
        <f>IF(T16="-","-",VLOOKUP(T16,'CPI USA'!$T:$U,2,FALSE))</f>
        <v>234.72200000000001</v>
      </c>
      <c r="Z16" s="7"/>
      <c r="AA16" s="7"/>
      <c r="AB16" s="190">
        <f>IF(R16="-","-",VLOOKUP(R16,'PPI USA'!$S:$T,2,FALSE))</f>
        <v>166.3</v>
      </c>
      <c r="AC16" s="190">
        <f>IF(S16="-","-",VLOOKUP(S16,'PPI USA'!$S:$T,2,FALSE))</f>
        <v>178.9</v>
      </c>
      <c r="AD16" s="190">
        <f>IF(T16="-","-",VLOOKUP(T16,'PPI USA'!$S:$T,2,FALSE))</f>
        <v>184.7</v>
      </c>
      <c r="AE16" s="7"/>
      <c r="AF16" s="7"/>
      <c r="AG16" s="190">
        <f t="shared" ref="AG16:AI16" si="32">IF(W16="-","-",(AT16*$B$2/W16+(1-AT16)*AVERAGE($B$2,$B$3)/AVERAGE(W16,AB16)))</f>
        <v>1.3865384530154934</v>
      </c>
      <c r="AH16" s="190">
        <f t="shared" si="32"/>
        <v>1.3592442498168091</v>
      </c>
      <c r="AI16" s="190">
        <f t="shared" si="32"/>
        <v>1.3530747060466299</v>
      </c>
      <c r="AJ16" s="7"/>
      <c r="AK16" s="7"/>
      <c r="AL16" s="190">
        <f t="shared" ref="AL16:AN16" si="33">IF(W16="-","-",(AY16*$B$2/W16+(1-AY16)*AVERAGE($B$2,$B$3)/AVERAGE(W16,AB16)))</f>
        <v>1.4039999731910067</v>
      </c>
      <c r="AM16" s="190">
        <f t="shared" si="33"/>
        <v>1.370161072621193</v>
      </c>
      <c r="AN16" s="190">
        <f t="shared" si="33"/>
        <v>1.36062907964979</v>
      </c>
      <c r="AO16" s="7"/>
      <c r="AP16" s="7"/>
      <c r="AQ16" s="7"/>
      <c r="AR16" s="7"/>
      <c r="AS16" s="7"/>
      <c r="AT16" s="242">
        <f>IF(R16="-","-",VLOOKUP(R16,'CPI USA'!$T:$V,3,FALSE))</f>
        <v>0.67305131835944076</v>
      </c>
      <c r="AU16" s="242">
        <f>IF(S16="-","-",VLOOKUP(S16,'CPI USA'!$T:$V,3,FALSE))</f>
        <v>0.66756601812039096</v>
      </c>
      <c r="AV16" s="242">
        <f>IF(T16="-","-",VLOOKUP(T16,'CPI USA'!$T:$V,3,FALSE))</f>
        <v>0.6679408278919865</v>
      </c>
      <c r="AW16" s="7"/>
      <c r="AX16" s="7"/>
      <c r="AY16" s="242">
        <f>IF(R16="-","-",VLOOKUP(R16,'CPI USA'!$T:$X,5,FALSE))</f>
        <v>0.50163050295255052</v>
      </c>
      <c r="AZ16" s="242">
        <f>IF(S16="-","-",VLOOKUP(S16,'CPI USA'!$T:$X,5,FALSE))</f>
        <v>0.49542529667095003</v>
      </c>
      <c r="BA16" s="242">
        <f>IF(T16="-","-",VLOOKUP(T16,'CPI USA'!$T:$X,5,FALSE))</f>
        <v>0.49584761624008583</v>
      </c>
      <c r="BB16" s="7"/>
    </row>
    <row r="17" spans="1:54" ht="14.5">
      <c r="A17" s="185" t="s">
        <v>240</v>
      </c>
      <c r="B17" s="185" t="s">
        <v>241</v>
      </c>
      <c r="C17" s="239">
        <f>+'Empresas 21-23'!J12</f>
        <v>0</v>
      </c>
      <c r="D17" s="239">
        <f>VLOOKUP(A17,'FERC 2021'!$A$3:$BE$221,57,0)</f>
        <v>1746874898</v>
      </c>
      <c r="E17" s="239">
        <f>VLOOKUP(A17,'FERC 2021'!$A$3:$BF$221,58,0)</f>
        <v>153971012</v>
      </c>
      <c r="F17" s="239">
        <f>VLOOKUP(A17,'FERC 2022'!$A$3:$BE$220,57,0)</f>
        <v>1852824152</v>
      </c>
      <c r="G17" s="239">
        <f>VLOOKUP(A17,'FERC 2022'!$A$3:$BF$220,58,0)</f>
        <v>160411443</v>
      </c>
      <c r="H17" s="239">
        <f>VLOOKUP(A17,'FERC 2023'!$A$3:$BE$221,57,0)</f>
        <v>2008273620</v>
      </c>
      <c r="I17" s="239">
        <f>VLOOKUP(A17,'FERC 2023'!$A$3:$BF$221,58,0)</f>
        <v>171427092</v>
      </c>
      <c r="J17" s="7"/>
      <c r="K17" s="7"/>
      <c r="L17" s="7"/>
      <c r="M17" s="187">
        <f t="shared" si="0"/>
        <v>11.345479095766416</v>
      </c>
      <c r="N17" s="187">
        <f t="shared" si="1"/>
        <v>11.550448754456999</v>
      </c>
      <c r="O17" s="187">
        <f t="shared" si="2"/>
        <v>11.715030550713653</v>
      </c>
      <c r="P17" s="7"/>
      <c r="Q17" s="240">
        <f t="shared" si="3"/>
        <v>11.536986133645689</v>
      </c>
      <c r="R17" s="189" t="str">
        <f t="shared" ref="R17:T17" si="34">IF(ISERROR(R$5-365*$Q17),"-",MONTH(R$5-365*$Q17)&amp;"_"&amp;YEAR(R$5-365*$Q17))</f>
        <v>6_2010</v>
      </c>
      <c r="S17" s="189" t="str">
        <f t="shared" si="34"/>
        <v>6_2011</v>
      </c>
      <c r="T17" s="189" t="str">
        <f t="shared" si="34"/>
        <v>6_2012</v>
      </c>
      <c r="U17" s="7"/>
      <c r="V17" s="7"/>
      <c r="W17" s="190">
        <f>IF(R17="-","-",VLOOKUP(R17,'CPI USA'!$T:$U,2,FALSE))</f>
        <v>218.05600000000001</v>
      </c>
      <c r="X17" s="190">
        <f>IF(S17="-","-",VLOOKUP(S17,'CPI USA'!$T:$U,2,FALSE))</f>
        <v>224.93899999999999</v>
      </c>
      <c r="Y17" s="190">
        <f>IF(T17="-","-",VLOOKUP(T17,'CPI USA'!$T:$U,2,FALSE))</f>
        <v>229.59399999999999</v>
      </c>
      <c r="Z17" s="7"/>
      <c r="AA17" s="7"/>
      <c r="AB17" s="190">
        <f>IF(R17="-","-",VLOOKUP(R17,'PPI USA'!$S:$T,2,FALSE))</f>
        <v>160.80000000000001</v>
      </c>
      <c r="AC17" s="190">
        <f>IF(S17="-","-",VLOOKUP(S17,'PPI USA'!$S:$T,2,FALSE))</f>
        <v>169.6</v>
      </c>
      <c r="AD17" s="190">
        <f>IF(T17="-","-",VLOOKUP(T17,'PPI USA'!$S:$T,2,FALSE))</f>
        <v>175.1</v>
      </c>
      <c r="AE17" s="7"/>
      <c r="AF17" s="7"/>
      <c r="AG17" s="190">
        <f t="shared" ref="AG17:AI17" si="35">IF(W17="-","-",(AT17*$B$2/W17+(1-AT17)*AVERAGE($B$2,$B$3)/AVERAGE(W17,AB17)))</f>
        <v>1.4703278680244813</v>
      </c>
      <c r="AH17" s="190">
        <f t="shared" si="35"/>
        <v>1.4208751760332547</v>
      </c>
      <c r="AI17" s="190">
        <f t="shared" si="35"/>
        <v>1.3897894616766442</v>
      </c>
      <c r="AJ17" s="7"/>
      <c r="AK17" s="7"/>
      <c r="AL17" s="190">
        <f t="shared" ref="AL17:AN17" si="36">IF(W17="-","-",(AY17*$B$2/W17+(1-AY17)*AVERAGE($B$2,$B$3)/AVERAGE(W17,AB17)))</f>
        <v>1.4857204383544427</v>
      </c>
      <c r="AM17" s="190">
        <f t="shared" si="36"/>
        <v>1.4334111417560953</v>
      </c>
      <c r="AN17" s="190">
        <f t="shared" si="36"/>
        <v>1.4008620811189902</v>
      </c>
      <c r="AO17" s="7"/>
      <c r="AP17" s="7"/>
      <c r="AQ17" s="7"/>
      <c r="AR17" s="7"/>
      <c r="AS17" s="7"/>
      <c r="AT17" s="242">
        <f>IF(R17="-","-",VLOOKUP(R17,'CPI USA'!$T:$V,3,FALSE))</f>
        <v>0.67050107279443949</v>
      </c>
      <c r="AU17" s="242">
        <f>IF(S17="-","-",VLOOKUP(S17,'CPI USA'!$T:$V,3,FALSE))</f>
        <v>0.6684022975047168</v>
      </c>
      <c r="AV17" s="242">
        <f>IF(T17="-","-",VLOOKUP(T17,'CPI USA'!$T:$V,3,FALSE))</f>
        <v>0.66730871354337351</v>
      </c>
      <c r="AW17" s="7"/>
      <c r="AX17" s="7"/>
      <c r="AY17" s="242">
        <f>IF(R17="-","-",VLOOKUP(R17,'CPI USA'!$T:$X,5,FALSE))</f>
        <v>0.4987389730136107</v>
      </c>
      <c r="AZ17" s="242">
        <f>IF(S17="-","-",VLOOKUP(S17,'CPI USA'!$T:$X,5,FALSE))</f>
        <v>0.49636791791307899</v>
      </c>
      <c r="BA17" s="242">
        <f>IF(T17="-","-",VLOOKUP(T17,'CPI USA'!$T:$X,5,FALSE))</f>
        <v>0.49513551903851311</v>
      </c>
      <c r="BB17" s="7"/>
    </row>
    <row r="18" spans="1:54" ht="15.75" customHeight="1">
      <c r="A18" s="185" t="s">
        <v>243</v>
      </c>
      <c r="B18" s="185" t="s">
        <v>244</v>
      </c>
      <c r="C18" s="239">
        <f>+'Empresas 21-23'!J13</f>
        <v>0</v>
      </c>
      <c r="D18" s="239">
        <f>VLOOKUP(A18,'FERC 2021'!$A$3:$BE$221,57,0)</f>
        <v>3198016732</v>
      </c>
      <c r="E18" s="239">
        <f>VLOOKUP(A18,'FERC 2021'!$A$3:$BF$221,58,0)</f>
        <v>287238757</v>
      </c>
      <c r="F18" s="239">
        <f>VLOOKUP(A18,'FERC 2022'!$A$3:$BE$220,57,0)</f>
        <v>3354827959</v>
      </c>
      <c r="G18" s="239">
        <f>VLOOKUP(A18,'FERC 2022'!$A$3:$BF$220,58,0)</f>
        <v>298443514</v>
      </c>
      <c r="H18" s="239">
        <f>VLOOKUP(A18,'FERC 2023'!$A$3:$BE$221,57,0)</f>
        <v>3538056111</v>
      </c>
      <c r="I18" s="239">
        <f>VLOOKUP(A18,'FERC 2023'!$A$3:$BF$221,58,0)</f>
        <v>321744926</v>
      </c>
      <c r="J18" s="7"/>
      <c r="K18" s="7"/>
      <c r="L18" s="7"/>
      <c r="M18" s="187">
        <f t="shared" si="0"/>
        <v>11.133653290387969</v>
      </c>
      <c r="N18" s="187">
        <f t="shared" si="1"/>
        <v>11.241081818249869</v>
      </c>
      <c r="O18" s="187">
        <f t="shared" si="2"/>
        <v>10.996462803581244</v>
      </c>
      <c r="P18" s="7"/>
      <c r="Q18" s="240">
        <f t="shared" si="3"/>
        <v>11.123732637406361</v>
      </c>
      <c r="R18" s="189" t="str">
        <f t="shared" ref="R18:T18" si="37">IF(ISERROR(R$5-365*$Q18),"-",MONTH(R$5-365*$Q18)&amp;"_"&amp;YEAR(R$5-365*$Q18))</f>
        <v>11_2010</v>
      </c>
      <c r="S18" s="189" t="str">
        <f t="shared" si="37"/>
        <v>11_2011</v>
      </c>
      <c r="T18" s="189" t="str">
        <f t="shared" si="37"/>
        <v>11_2012</v>
      </c>
      <c r="U18" s="7"/>
      <c r="V18" s="7"/>
      <c r="W18" s="190">
        <f>IF(R18="-","-",VLOOKUP(R18,'CPI USA'!$T:$U,2,FALSE))</f>
        <v>218.05600000000001</v>
      </c>
      <c r="X18" s="190">
        <f>IF(S18="-","-",VLOOKUP(S18,'CPI USA'!$T:$U,2,FALSE))</f>
        <v>224.93899999999999</v>
      </c>
      <c r="Y18" s="190">
        <f>IF(T18="-","-",VLOOKUP(T18,'CPI USA'!$T:$U,2,FALSE))</f>
        <v>229.59399999999999</v>
      </c>
      <c r="Z18" s="7"/>
      <c r="AA18" s="7"/>
      <c r="AB18" s="190">
        <f>IF(R18="-","-",VLOOKUP(R18,'PPI USA'!$S:$T,2,FALSE))</f>
        <v>160.80000000000001</v>
      </c>
      <c r="AC18" s="190">
        <f>IF(S18="-","-",VLOOKUP(S18,'PPI USA'!$S:$T,2,FALSE))</f>
        <v>169.6</v>
      </c>
      <c r="AD18" s="190">
        <f>IF(T18="-","-",VLOOKUP(T18,'PPI USA'!$S:$T,2,FALSE))</f>
        <v>175.1</v>
      </c>
      <c r="AE18" s="7"/>
      <c r="AF18" s="7"/>
      <c r="AG18" s="190">
        <f t="shared" ref="AG18:AI18" si="38">IF(W18="-","-",(AT18*$B$2/W18+(1-AT18)*AVERAGE($B$2,$B$3)/AVERAGE(W18,AB18)))</f>
        <v>1.4703278680244813</v>
      </c>
      <c r="AH18" s="190">
        <f t="shared" si="38"/>
        <v>1.4208751760332547</v>
      </c>
      <c r="AI18" s="190">
        <f t="shared" si="38"/>
        <v>1.3897894616766442</v>
      </c>
      <c r="AJ18" s="7"/>
      <c r="AK18" s="7"/>
      <c r="AL18" s="190">
        <f t="shared" ref="AL18:AN18" si="39">IF(W18="-","-",(AY18*$B$2/W18+(1-AY18)*AVERAGE($B$2,$B$3)/AVERAGE(W18,AB18)))</f>
        <v>1.4857204383544427</v>
      </c>
      <c r="AM18" s="190">
        <f t="shared" si="39"/>
        <v>1.4334111417560953</v>
      </c>
      <c r="AN18" s="190">
        <f t="shared" si="39"/>
        <v>1.4008620811189902</v>
      </c>
      <c r="AO18" s="7"/>
      <c r="AP18" s="7"/>
      <c r="AQ18" s="7"/>
      <c r="AR18" s="7"/>
      <c r="AS18" s="7"/>
      <c r="AT18" s="242">
        <f>IF(R18="-","-",VLOOKUP(R18,'CPI USA'!$T:$V,3,FALSE))</f>
        <v>0.67050107279443949</v>
      </c>
      <c r="AU18" s="242">
        <f>IF(S18="-","-",VLOOKUP(S18,'CPI USA'!$T:$V,3,FALSE))</f>
        <v>0.6684022975047168</v>
      </c>
      <c r="AV18" s="242">
        <f>IF(T18="-","-",VLOOKUP(T18,'CPI USA'!$T:$V,3,FALSE))</f>
        <v>0.66730871354337351</v>
      </c>
      <c r="AW18" s="7"/>
      <c r="AX18" s="7"/>
      <c r="AY18" s="242">
        <f>IF(R18="-","-",VLOOKUP(R18,'CPI USA'!$T:$X,5,FALSE))</f>
        <v>0.4987389730136107</v>
      </c>
      <c r="AZ18" s="242">
        <f>IF(S18="-","-",VLOOKUP(S18,'CPI USA'!$T:$X,5,FALSE))</f>
        <v>0.49636791791307899</v>
      </c>
      <c r="BA18" s="242">
        <f>IF(T18="-","-",VLOOKUP(T18,'CPI USA'!$T:$X,5,FALSE))</f>
        <v>0.49513551903851311</v>
      </c>
      <c r="BB18" s="7"/>
    </row>
    <row r="19" spans="1:54" ht="15.75" customHeight="1">
      <c r="A19" s="185" t="s">
        <v>246</v>
      </c>
      <c r="B19" s="185" t="s">
        <v>247</v>
      </c>
      <c r="C19" s="239">
        <f>+'Empresas 21-23'!J14</f>
        <v>0</v>
      </c>
      <c r="D19" s="239">
        <f>VLOOKUP(A19,'FERC 2021'!$A$3:$BE$221,57,0)</f>
        <v>5484439940</v>
      </c>
      <c r="E19" s="239">
        <f>VLOOKUP(A19,'FERC 2021'!$A$3:$BF$221,58,0)</f>
        <v>418055424</v>
      </c>
      <c r="F19" s="239">
        <f>VLOOKUP(A19,'FERC 2022'!$A$3:$BE$220,57,0)</f>
        <v>5649848999</v>
      </c>
      <c r="G19" s="239">
        <f>VLOOKUP(A19,'FERC 2022'!$A$3:$BF$220,58,0)</f>
        <v>388446085</v>
      </c>
      <c r="H19" s="239">
        <f>VLOOKUP(A19,'FERC 2023'!$A$3:$BE$221,57,0)</f>
        <v>5845135126</v>
      </c>
      <c r="I19" s="239">
        <f>VLOOKUP(A19,'FERC 2023'!$A$3:$BF$221,58,0)</f>
        <v>422769651</v>
      </c>
      <c r="J19" s="7"/>
      <c r="K19" s="7"/>
      <c r="L19" s="7"/>
      <c r="M19" s="187">
        <f t="shared" si="0"/>
        <v>13.118930230648077</v>
      </c>
      <c r="N19" s="187">
        <f t="shared" si="1"/>
        <v>14.544744347211017</v>
      </c>
      <c r="O19" s="187">
        <f t="shared" si="2"/>
        <v>13.825815339805459</v>
      </c>
      <c r="P19" s="7"/>
      <c r="Q19" s="240">
        <f t="shared" si="3"/>
        <v>13.829829972554853</v>
      </c>
      <c r="R19" s="189" t="str">
        <f t="shared" ref="R19:T19" si="40">IF(ISERROR(R$5-365*$Q19),"-",MONTH(R$5-365*$Q19)&amp;"_"&amp;YEAR(R$5-365*$Q19))</f>
        <v>3_2008</v>
      </c>
      <c r="S19" s="189" t="str">
        <f t="shared" si="40"/>
        <v>3_2009</v>
      </c>
      <c r="T19" s="189" t="str">
        <f t="shared" si="40"/>
        <v>3_2010</v>
      </c>
      <c r="U19" s="7"/>
      <c r="V19" s="7"/>
      <c r="W19" s="190">
        <f>IF(R19="-","-",VLOOKUP(R19,'CPI USA'!$T:$U,2,FALSE))</f>
        <v>215.303</v>
      </c>
      <c r="X19" s="190">
        <f>IF(S19="-","-",VLOOKUP(S19,'CPI USA'!$T:$U,2,FALSE))</f>
        <v>214.53700000000001</v>
      </c>
      <c r="Y19" s="190">
        <f>IF(T19="-","-",VLOOKUP(T19,'CPI USA'!$T:$U,2,FALSE))</f>
        <v>218.05600000000001</v>
      </c>
      <c r="Z19" s="7"/>
      <c r="AA19" s="7"/>
      <c r="AB19" s="190">
        <f>IF(R19="-","-",VLOOKUP(R19,'PPI USA'!$S:$T,2,FALSE))</f>
        <v>159.30000000000001</v>
      </c>
      <c r="AC19" s="190">
        <f>IF(S19="-","-",VLOOKUP(S19,'PPI USA'!$S:$T,2,FALSE))</f>
        <v>159.1</v>
      </c>
      <c r="AD19" s="190">
        <f>IF(T19="-","-",VLOOKUP(T19,'PPI USA'!$S:$T,2,FALSE))</f>
        <v>160.80000000000001</v>
      </c>
      <c r="AE19" s="7"/>
      <c r="AF19" s="7"/>
      <c r="AG19" s="190">
        <f t="shared" ref="AG19:AI19" si="41">IF(W19="-","-",(AT19*$B$2/W19+(1-AT19)*AVERAGE($B$2,$B$3)/AVERAGE(W19,AB19)))</f>
        <v>1.4884333659448254</v>
      </c>
      <c r="AH19" s="190">
        <f t="shared" si="41"/>
        <v>1.4932638886873792</v>
      </c>
      <c r="AI19" s="190">
        <f t="shared" si="41"/>
        <v>1.4703278680244813</v>
      </c>
      <c r="AJ19" s="7"/>
      <c r="AK19" s="7"/>
      <c r="AL19" s="190">
        <f t="shared" ref="AL19:AN19" si="42">IF(W19="-","-",(AY19*$B$2/W19+(1-AY19)*AVERAGE($B$2,$B$3)/AVERAGE(W19,AB19)))</f>
        <v>1.5036496327119213</v>
      </c>
      <c r="AM19" s="190">
        <f t="shared" si="42"/>
        <v>1.5082750176818205</v>
      </c>
      <c r="AN19" s="190">
        <f t="shared" si="42"/>
        <v>1.4857204383544427</v>
      </c>
      <c r="AO19" s="7"/>
      <c r="AP19" s="7"/>
      <c r="AQ19" s="7"/>
      <c r="AR19" s="7"/>
      <c r="AS19" s="7"/>
      <c r="AT19" s="242">
        <f>IF(R19="-","-",VLOOKUP(R19,'CPI USA'!$T:$V,3,FALSE))</f>
        <v>0.67018812038291731</v>
      </c>
      <c r="AU19" s="242">
        <f>IF(S19="-","-",VLOOKUP(S19,'CPI USA'!$T:$V,3,FALSE))</f>
        <v>0.66997101349938215</v>
      </c>
      <c r="AV19" s="242">
        <f>IF(T19="-","-",VLOOKUP(T19,'CPI USA'!$T:$V,3,FALSE))</f>
        <v>0.67050107279443949</v>
      </c>
      <c r="AW19" s="7"/>
      <c r="AX19" s="7"/>
      <c r="AY19" s="242">
        <f>IF(R19="-","-",VLOOKUP(R19,'CPI USA'!$T:$X,5,FALSE))</f>
        <v>0.49838492968660258</v>
      </c>
      <c r="AZ19" s="242">
        <f>IF(S19="-","-",VLOOKUP(S19,'CPI USA'!$T:$X,5,FALSE))</f>
        <v>0.49813941766071862</v>
      </c>
      <c r="BA19" s="242">
        <f>IF(T19="-","-",VLOOKUP(T19,'CPI USA'!$T:$X,5,FALSE))</f>
        <v>0.4987389730136107</v>
      </c>
      <c r="BB19" s="7"/>
    </row>
    <row r="20" spans="1:54" ht="15.75" customHeight="1">
      <c r="A20" s="185" t="s">
        <v>249</v>
      </c>
      <c r="B20" s="185" t="s">
        <v>250</v>
      </c>
      <c r="C20" s="239">
        <f>+'Empresas 21-23'!J15</f>
        <v>0</v>
      </c>
      <c r="D20" s="239">
        <f>VLOOKUP(A20,'FERC 2021'!$A$3:$BE$221,57,0)</f>
        <v>6940556181</v>
      </c>
      <c r="E20" s="239">
        <f>VLOOKUP(A20,'FERC 2021'!$A$3:$BF$221,58,0)</f>
        <v>608419648</v>
      </c>
      <c r="F20" s="239">
        <f>VLOOKUP(A20,'FERC 2022'!$A$3:$BE$220,57,0)</f>
        <v>7209864613</v>
      </c>
      <c r="G20" s="239">
        <f>VLOOKUP(A20,'FERC 2022'!$A$3:$BF$220,58,0)</f>
        <v>638659101</v>
      </c>
      <c r="H20" s="239">
        <f>VLOOKUP(A20,'FERC 2023'!$A$3:$BE$221,57,0)</f>
        <v>7530867345</v>
      </c>
      <c r="I20" s="239">
        <f>VLOOKUP(A20,'FERC 2023'!$A$3:$BF$221,58,0)</f>
        <v>720489035</v>
      </c>
      <c r="J20" s="7"/>
      <c r="K20" s="7"/>
      <c r="L20" s="7"/>
      <c r="M20" s="187">
        <f t="shared" si="0"/>
        <v>11.407514868750591</v>
      </c>
      <c r="N20" s="187">
        <f t="shared" si="1"/>
        <v>11.289065796934443</v>
      </c>
      <c r="O20" s="187">
        <f t="shared" si="2"/>
        <v>10.452438523231654</v>
      </c>
      <c r="P20" s="7"/>
      <c r="Q20" s="240">
        <f t="shared" si="3"/>
        <v>11.04967306297223</v>
      </c>
      <c r="R20" s="189" t="str">
        <f t="shared" ref="R20:T20" si="43">IF(ISERROR(R$5-365*$Q20),"-",MONTH(R$5-365*$Q20)&amp;"_"&amp;YEAR(R$5-365*$Q20))</f>
        <v>12_2010</v>
      </c>
      <c r="S20" s="189" t="str">
        <f t="shared" si="43"/>
        <v>12_2011</v>
      </c>
      <c r="T20" s="189" t="str">
        <f t="shared" si="43"/>
        <v>12_2012</v>
      </c>
      <c r="U20" s="7"/>
      <c r="V20" s="7"/>
      <c r="W20" s="190">
        <f>IF(R20="-","-",VLOOKUP(R20,'CPI USA'!$T:$U,2,FALSE))</f>
        <v>218.05600000000001</v>
      </c>
      <c r="X20" s="190">
        <f>IF(S20="-","-",VLOOKUP(S20,'CPI USA'!$T:$U,2,FALSE))</f>
        <v>224.93899999999999</v>
      </c>
      <c r="Y20" s="190">
        <f>IF(T20="-","-",VLOOKUP(T20,'CPI USA'!$T:$U,2,FALSE))</f>
        <v>229.59399999999999</v>
      </c>
      <c r="Z20" s="7"/>
      <c r="AA20" s="7"/>
      <c r="AB20" s="190">
        <f>IF(R20="-","-",VLOOKUP(R20,'PPI USA'!$S:$T,2,FALSE))</f>
        <v>160.80000000000001</v>
      </c>
      <c r="AC20" s="190">
        <f>IF(S20="-","-",VLOOKUP(S20,'PPI USA'!$S:$T,2,FALSE))</f>
        <v>169.6</v>
      </c>
      <c r="AD20" s="190">
        <f>IF(T20="-","-",VLOOKUP(T20,'PPI USA'!$S:$T,2,FALSE))</f>
        <v>175.1</v>
      </c>
      <c r="AE20" s="7"/>
      <c r="AF20" s="7"/>
      <c r="AG20" s="190">
        <f t="shared" ref="AG20:AI20" si="44">IF(W20="-","-",(AT20*$B$2/W20+(1-AT20)*AVERAGE($B$2,$B$3)/AVERAGE(W20,AB20)))</f>
        <v>1.4703278680244813</v>
      </c>
      <c r="AH20" s="190">
        <f t="shared" si="44"/>
        <v>1.4208751760332547</v>
      </c>
      <c r="AI20" s="190">
        <f t="shared" si="44"/>
        <v>1.3897894616766442</v>
      </c>
      <c r="AJ20" s="7"/>
      <c r="AK20" s="7"/>
      <c r="AL20" s="190">
        <f t="shared" ref="AL20:AN20" si="45">IF(W20="-","-",(AY20*$B$2/W20+(1-AY20)*AVERAGE($B$2,$B$3)/AVERAGE(W20,AB20)))</f>
        <v>1.4857204383544427</v>
      </c>
      <c r="AM20" s="190">
        <f t="shared" si="45"/>
        <v>1.4334111417560953</v>
      </c>
      <c r="AN20" s="190">
        <f t="shared" si="45"/>
        <v>1.4008620811189902</v>
      </c>
      <c r="AO20" s="7"/>
      <c r="AP20" s="7"/>
      <c r="AQ20" s="7"/>
      <c r="AR20" s="7"/>
      <c r="AS20" s="7"/>
      <c r="AT20" s="242">
        <f>IF(R20="-","-",VLOOKUP(R20,'CPI USA'!$T:$V,3,FALSE))</f>
        <v>0.67050107279443949</v>
      </c>
      <c r="AU20" s="242">
        <f>IF(S20="-","-",VLOOKUP(S20,'CPI USA'!$T:$V,3,FALSE))</f>
        <v>0.6684022975047168</v>
      </c>
      <c r="AV20" s="242">
        <f>IF(T20="-","-",VLOOKUP(T20,'CPI USA'!$T:$V,3,FALSE))</f>
        <v>0.66730871354337351</v>
      </c>
      <c r="AW20" s="7"/>
      <c r="AX20" s="7"/>
      <c r="AY20" s="242">
        <f>IF(R20="-","-",VLOOKUP(R20,'CPI USA'!$T:$X,5,FALSE))</f>
        <v>0.4987389730136107</v>
      </c>
      <c r="AZ20" s="242">
        <f>IF(S20="-","-",VLOOKUP(S20,'CPI USA'!$T:$X,5,FALSE))</f>
        <v>0.49636791791307899</v>
      </c>
      <c r="BA20" s="242">
        <f>IF(T20="-","-",VLOOKUP(T20,'CPI USA'!$T:$X,5,FALSE))</f>
        <v>0.49513551903851311</v>
      </c>
      <c r="BB20" s="7"/>
    </row>
    <row r="21" spans="1:54" ht="15.75" customHeight="1">
      <c r="A21" s="185" t="s">
        <v>252</v>
      </c>
      <c r="B21" s="185" t="s">
        <v>253</v>
      </c>
      <c r="C21" s="243">
        <f>+'Empresas 21-23'!J16</f>
        <v>0</v>
      </c>
      <c r="D21" s="239">
        <f>VLOOKUP(A21,'FERC 2021'!$A$3:$BE$221,57,0)</f>
        <v>0</v>
      </c>
      <c r="E21" s="239">
        <f>VLOOKUP(A21,'FERC 2021'!$A$3:$BF$221,58,0)</f>
        <v>0</v>
      </c>
      <c r="F21" s="239">
        <f>VLOOKUP(A21,'FERC 2022'!$A$3:$BE$220,57,0)</f>
        <v>0</v>
      </c>
      <c r="G21" s="239">
        <f>VLOOKUP(A21,'FERC 2022'!$A$3:$BF$220,58,0)</f>
        <v>0</v>
      </c>
      <c r="H21" s="239">
        <f>VLOOKUP(A21,'FERC 2023'!$A$3:$BE$221,57,0)</f>
        <v>0</v>
      </c>
      <c r="I21" s="239">
        <f>VLOOKUP(A21,'FERC 2023'!$A$3:$BF$221,58,0)</f>
        <v>0</v>
      </c>
      <c r="J21" s="7"/>
      <c r="K21" s="7"/>
      <c r="L21" s="7"/>
      <c r="M21" s="187" t="str">
        <f t="shared" si="0"/>
        <v/>
      </c>
      <c r="N21" s="187" t="str">
        <f t="shared" si="1"/>
        <v/>
      </c>
      <c r="O21" s="187" t="str">
        <f t="shared" si="2"/>
        <v/>
      </c>
      <c r="P21" s="7"/>
      <c r="Q21" s="240" t="str">
        <f t="shared" si="3"/>
        <v>-</v>
      </c>
      <c r="R21" s="189" t="str">
        <f t="shared" ref="R21:T21" si="46">IF(ISERROR(R$5-365*$Q21),"-",MONTH(R$5-365*$Q21)&amp;"_"&amp;YEAR(R$5-365*$Q21))</f>
        <v>-</v>
      </c>
      <c r="S21" s="189" t="str">
        <f t="shared" si="46"/>
        <v>-</v>
      </c>
      <c r="T21" s="189" t="str">
        <f t="shared" si="46"/>
        <v>-</v>
      </c>
      <c r="U21" s="7"/>
      <c r="V21" s="7"/>
      <c r="W21" s="190" t="str">
        <f>IF(R21="-","-",VLOOKUP(R21,'CPI USA'!$T:$U,2,FALSE))</f>
        <v>-</v>
      </c>
      <c r="X21" s="190" t="str">
        <f>IF(S21="-","-",VLOOKUP(S21,'CPI USA'!$T:$U,2,FALSE))</f>
        <v>-</v>
      </c>
      <c r="Y21" s="190" t="str">
        <f>IF(T21="-","-",VLOOKUP(T21,'CPI USA'!$T:$U,2,FALSE))</f>
        <v>-</v>
      </c>
      <c r="Z21" s="7"/>
      <c r="AA21" s="7"/>
      <c r="AB21" s="190" t="str">
        <f>IF(R21="-","-",VLOOKUP(R21,'PPI USA'!$S:$T,2,FALSE))</f>
        <v>-</v>
      </c>
      <c r="AC21" s="190" t="str">
        <f>IF(S21="-","-",VLOOKUP(S21,'PPI USA'!$S:$T,2,FALSE))</f>
        <v>-</v>
      </c>
      <c r="AD21" s="190" t="str">
        <f>IF(T21="-","-",VLOOKUP(T21,'PPI USA'!$S:$T,2,FALSE))</f>
        <v>-</v>
      </c>
      <c r="AE21" s="7"/>
      <c r="AF21" s="7"/>
      <c r="AG21" s="190" t="str">
        <f t="shared" ref="AG21:AI21" si="47">IF(W21="-","-",(AT21*$B$2/W21+(1-AT21)*AVERAGE($B$2,$B$3)/AVERAGE(W21,AB21)))</f>
        <v>-</v>
      </c>
      <c r="AH21" s="190" t="str">
        <f t="shared" si="47"/>
        <v>-</v>
      </c>
      <c r="AI21" s="190" t="str">
        <f t="shared" si="47"/>
        <v>-</v>
      </c>
      <c r="AJ21" s="7"/>
      <c r="AK21" s="7"/>
      <c r="AL21" s="190" t="str">
        <f t="shared" ref="AL21:AN21" si="48">IF(W21="-","-",(AY21*$B$2/W21+(1-AY21)*AVERAGE($B$2,$B$3)/AVERAGE(W21,AB21)))</f>
        <v>-</v>
      </c>
      <c r="AM21" s="190" t="str">
        <f t="shared" si="48"/>
        <v>-</v>
      </c>
      <c r="AN21" s="190" t="str">
        <f t="shared" si="48"/>
        <v>-</v>
      </c>
      <c r="AO21" s="7"/>
      <c r="AP21" s="7"/>
      <c r="AQ21" s="7"/>
      <c r="AR21" s="7"/>
      <c r="AS21" s="7"/>
      <c r="AT21" s="242" t="str">
        <f>IF(R21="-","-",VLOOKUP(R21,'CPI USA'!$T:$V,3,FALSE))</f>
        <v>-</v>
      </c>
      <c r="AU21" s="242" t="str">
        <f>IF(S21="-","-",VLOOKUP(S21,'CPI USA'!$T:$V,3,FALSE))</f>
        <v>-</v>
      </c>
      <c r="AV21" s="242" t="str">
        <f>IF(T21="-","-",VLOOKUP(T21,'CPI USA'!$T:$V,3,FALSE))</f>
        <v>-</v>
      </c>
      <c r="AW21" s="7"/>
      <c r="AX21" s="7"/>
      <c r="AY21" s="242" t="str">
        <f>IF(R21="-","-",VLOOKUP(R21,'CPI USA'!$T:$X,5,FALSE))</f>
        <v>-</v>
      </c>
      <c r="AZ21" s="242" t="str">
        <f>IF(S21="-","-",VLOOKUP(S21,'CPI USA'!$T:$X,5,FALSE))</f>
        <v>-</v>
      </c>
      <c r="BA21" s="242" t="str">
        <f>IF(T21="-","-",VLOOKUP(T21,'CPI USA'!$T:$X,5,FALSE))</f>
        <v>-</v>
      </c>
      <c r="BB21" s="7"/>
    </row>
    <row r="22" spans="1:54" ht="15.75" customHeight="1">
      <c r="A22" s="185" t="s">
        <v>255</v>
      </c>
      <c r="B22" s="185" t="s">
        <v>256</v>
      </c>
      <c r="C22" s="239">
        <f>+'Empresas 21-23'!J17</f>
        <v>0</v>
      </c>
      <c r="D22" s="239">
        <f>VLOOKUP(A22,'FERC 2021'!$A$3:$BE$221,57,0)</f>
        <v>1838784792</v>
      </c>
      <c r="E22" s="239">
        <f>VLOOKUP(A22,'FERC 2021'!$A$3:$BF$221,58,0)</f>
        <v>158572032</v>
      </c>
      <c r="F22" s="239">
        <f>VLOOKUP(A22,'FERC 2022'!$A$3:$BE$220,57,0)</f>
        <v>1865594282</v>
      </c>
      <c r="G22" s="239">
        <f>VLOOKUP(A22,'FERC 2022'!$A$3:$BF$220,58,0)</f>
        <v>168753558</v>
      </c>
      <c r="H22" s="239">
        <f>VLOOKUP(A22,'FERC 2023'!$A$3:$BE$221,57,0)</f>
        <v>1900726754</v>
      </c>
      <c r="I22" s="239">
        <f>VLOOKUP(A22,'FERC 2023'!$A$3:$BF$221,58,0)</f>
        <v>181422669</v>
      </c>
      <c r="J22" s="7"/>
      <c r="K22" s="7"/>
      <c r="L22" s="7"/>
      <c r="M22" s="187">
        <f t="shared" si="0"/>
        <v>11.5958960026444</v>
      </c>
      <c r="N22" s="187">
        <f t="shared" si="1"/>
        <v>11.055140431468709</v>
      </c>
      <c r="O22" s="187">
        <f t="shared" si="2"/>
        <v>10.476787517661313</v>
      </c>
      <c r="P22" s="7"/>
      <c r="Q22" s="240">
        <f t="shared" si="3"/>
        <v>11.042607983924809</v>
      </c>
      <c r="R22" s="189" t="str">
        <f t="shared" ref="R22:T22" si="49">IF(ISERROR(R$5-365*$Q22),"-",MONTH(R$5-365*$Q22)&amp;"_"&amp;YEAR(R$5-365*$Q22))</f>
        <v>12_2010</v>
      </c>
      <c r="S22" s="189" t="str">
        <f t="shared" si="49"/>
        <v>12_2011</v>
      </c>
      <c r="T22" s="189" t="str">
        <f t="shared" si="49"/>
        <v>12_2012</v>
      </c>
      <c r="U22" s="7"/>
      <c r="V22" s="7"/>
      <c r="W22" s="190">
        <f>IF(R22="-","-",VLOOKUP(R22,'CPI USA'!$T:$U,2,FALSE))</f>
        <v>218.05600000000001</v>
      </c>
      <c r="X22" s="190">
        <f>IF(S22="-","-",VLOOKUP(S22,'CPI USA'!$T:$U,2,FALSE))</f>
        <v>224.93899999999999</v>
      </c>
      <c r="Y22" s="190">
        <f>IF(T22="-","-",VLOOKUP(T22,'CPI USA'!$T:$U,2,FALSE))</f>
        <v>229.59399999999999</v>
      </c>
      <c r="Z22" s="7"/>
      <c r="AA22" s="7"/>
      <c r="AB22" s="190">
        <f>IF(R22="-","-",VLOOKUP(R22,'PPI USA'!$S:$T,2,FALSE))</f>
        <v>160.80000000000001</v>
      </c>
      <c r="AC22" s="190">
        <f>IF(S22="-","-",VLOOKUP(S22,'PPI USA'!$S:$T,2,FALSE))</f>
        <v>169.6</v>
      </c>
      <c r="AD22" s="190">
        <f>IF(T22="-","-",VLOOKUP(T22,'PPI USA'!$S:$T,2,FALSE))</f>
        <v>175.1</v>
      </c>
      <c r="AE22" s="7"/>
      <c r="AF22" s="7"/>
      <c r="AG22" s="190">
        <f t="shared" ref="AG22:AI22" si="50">IF(W22="-","-",(AT22*$B$2/W22+(1-AT22)*AVERAGE($B$2,$B$3)/AVERAGE(W22,AB22)))</f>
        <v>1.4703278680244813</v>
      </c>
      <c r="AH22" s="190">
        <f t="shared" si="50"/>
        <v>1.4208751760332547</v>
      </c>
      <c r="AI22" s="190">
        <f t="shared" si="50"/>
        <v>1.3897894616766442</v>
      </c>
      <c r="AJ22" s="7"/>
      <c r="AK22" s="7"/>
      <c r="AL22" s="190">
        <f t="shared" ref="AL22:AN22" si="51">IF(W22="-","-",(AY22*$B$2/W22+(1-AY22)*AVERAGE($B$2,$B$3)/AVERAGE(W22,AB22)))</f>
        <v>1.4857204383544427</v>
      </c>
      <c r="AM22" s="190">
        <f t="shared" si="51"/>
        <v>1.4334111417560953</v>
      </c>
      <c r="AN22" s="190">
        <f t="shared" si="51"/>
        <v>1.4008620811189902</v>
      </c>
      <c r="AO22" s="7"/>
      <c r="AP22" s="7"/>
      <c r="AQ22" s="7"/>
      <c r="AR22" s="7"/>
      <c r="AS22" s="7"/>
      <c r="AT22" s="242">
        <f>IF(R22="-","-",VLOOKUP(R22,'CPI USA'!$T:$V,3,FALSE))</f>
        <v>0.67050107279443949</v>
      </c>
      <c r="AU22" s="242">
        <f>IF(S22="-","-",VLOOKUP(S22,'CPI USA'!$T:$V,3,FALSE))</f>
        <v>0.6684022975047168</v>
      </c>
      <c r="AV22" s="242">
        <f>IF(T22="-","-",VLOOKUP(T22,'CPI USA'!$T:$V,3,FALSE))</f>
        <v>0.66730871354337351</v>
      </c>
      <c r="AW22" s="7"/>
      <c r="AX22" s="7"/>
      <c r="AY22" s="242">
        <f>IF(R22="-","-",VLOOKUP(R22,'CPI USA'!$T:$X,5,FALSE))</f>
        <v>0.4987389730136107</v>
      </c>
      <c r="AZ22" s="242">
        <f>IF(S22="-","-",VLOOKUP(S22,'CPI USA'!$T:$X,5,FALSE))</f>
        <v>0.49636791791307899</v>
      </c>
      <c r="BA22" s="242">
        <f>IF(T22="-","-",VLOOKUP(T22,'CPI USA'!$T:$X,5,FALSE))</f>
        <v>0.49513551903851311</v>
      </c>
      <c r="BB22" s="7"/>
    </row>
    <row r="23" spans="1:54" ht="15.75" customHeight="1">
      <c r="A23" s="185" t="s">
        <v>258</v>
      </c>
      <c r="B23" s="185" t="s">
        <v>259</v>
      </c>
      <c r="C23" s="239">
        <f>+'Empresas 21-23'!J18</f>
        <v>0</v>
      </c>
      <c r="D23" s="239">
        <f>VLOOKUP(A23,'FERC 2021'!$A$3:$BE$221,57,0)</f>
        <v>1245645450</v>
      </c>
      <c r="E23" s="239">
        <f>VLOOKUP(A23,'FERC 2021'!$A$3:$BF$221,58,0)</f>
        <v>87255053</v>
      </c>
      <c r="F23" s="239">
        <f>VLOOKUP(A23,'FERC 2022'!$A$3:$BE$220,57,0)</f>
        <v>1278046467</v>
      </c>
      <c r="G23" s="239">
        <f>VLOOKUP(A23,'FERC 2022'!$A$3:$BF$220,58,0)</f>
        <v>94512741</v>
      </c>
      <c r="H23" s="239">
        <f>VLOOKUP(A23,'FERC 2023'!$A$3:$BE$221,57,0)</f>
        <v>1375352548</v>
      </c>
      <c r="I23" s="239">
        <f>VLOOKUP(A23,'FERC 2023'!$A$3:$BF$221,58,0)</f>
        <v>104070679</v>
      </c>
      <c r="J23" s="7"/>
      <c r="K23" s="7"/>
      <c r="L23" s="7"/>
      <c r="M23" s="187">
        <f t="shared" si="0"/>
        <v>14.275911906213615</v>
      </c>
      <c r="N23" s="187">
        <f t="shared" si="1"/>
        <v>13.522478064624112</v>
      </c>
      <c r="O23" s="187">
        <f t="shared" si="2"/>
        <v>13.215562358346869</v>
      </c>
      <c r="P23" s="7"/>
      <c r="Q23" s="240">
        <f t="shared" si="3"/>
        <v>13.671317443061531</v>
      </c>
      <c r="R23" s="189" t="str">
        <f t="shared" ref="R23:T23" si="52">IF(ISERROR(R$5-365*$Q23),"-",MONTH(R$5-365*$Q23)&amp;"_"&amp;YEAR(R$5-365*$Q23))</f>
        <v>5_2008</v>
      </c>
      <c r="S23" s="189" t="str">
        <f t="shared" si="52"/>
        <v>5_2009</v>
      </c>
      <c r="T23" s="189" t="str">
        <f t="shared" si="52"/>
        <v>5_2010</v>
      </c>
      <c r="U23" s="7"/>
      <c r="V23" s="7"/>
      <c r="W23" s="190">
        <f>IF(R23="-","-",VLOOKUP(R23,'CPI USA'!$T:$U,2,FALSE))</f>
        <v>215.303</v>
      </c>
      <c r="X23" s="190">
        <f>IF(S23="-","-",VLOOKUP(S23,'CPI USA'!$T:$U,2,FALSE))</f>
        <v>214.53700000000001</v>
      </c>
      <c r="Y23" s="190">
        <f>IF(T23="-","-",VLOOKUP(T23,'CPI USA'!$T:$U,2,FALSE))</f>
        <v>218.05600000000001</v>
      </c>
      <c r="Z23" s="7"/>
      <c r="AA23" s="7"/>
      <c r="AB23" s="190">
        <f>IF(R23="-","-",VLOOKUP(R23,'PPI USA'!$S:$T,2,FALSE))</f>
        <v>159.30000000000001</v>
      </c>
      <c r="AC23" s="190">
        <f>IF(S23="-","-",VLOOKUP(S23,'PPI USA'!$S:$T,2,FALSE))</f>
        <v>159.1</v>
      </c>
      <c r="AD23" s="190">
        <f>IF(T23="-","-",VLOOKUP(T23,'PPI USA'!$S:$T,2,FALSE))</f>
        <v>160.80000000000001</v>
      </c>
      <c r="AE23" s="7"/>
      <c r="AF23" s="7"/>
      <c r="AG23" s="190">
        <f t="shared" ref="AG23:AI23" si="53">IF(W23="-","-",(AT23*$B$2/W23+(1-AT23)*AVERAGE($B$2,$B$3)/AVERAGE(W23,AB23)))</f>
        <v>1.4884333659448254</v>
      </c>
      <c r="AH23" s="190">
        <f t="shared" si="53"/>
        <v>1.4932638886873792</v>
      </c>
      <c r="AI23" s="190">
        <f t="shared" si="53"/>
        <v>1.4703278680244813</v>
      </c>
      <c r="AJ23" s="7"/>
      <c r="AK23" s="7"/>
      <c r="AL23" s="190">
        <f t="shared" ref="AL23:AN23" si="54">IF(W23="-","-",(AY23*$B$2/W23+(1-AY23)*AVERAGE($B$2,$B$3)/AVERAGE(W23,AB23)))</f>
        <v>1.5036496327119213</v>
      </c>
      <c r="AM23" s="190">
        <f t="shared" si="54"/>
        <v>1.5082750176818205</v>
      </c>
      <c r="AN23" s="190">
        <f t="shared" si="54"/>
        <v>1.4857204383544427</v>
      </c>
      <c r="AO23" s="7"/>
      <c r="AP23" s="7"/>
      <c r="AQ23" s="7"/>
      <c r="AR23" s="7"/>
      <c r="AS23" s="7"/>
      <c r="AT23" s="242">
        <f>IF(R23="-","-",VLOOKUP(R23,'CPI USA'!$T:$V,3,FALSE))</f>
        <v>0.67018812038291731</v>
      </c>
      <c r="AU23" s="242">
        <f>IF(S23="-","-",VLOOKUP(S23,'CPI USA'!$T:$V,3,FALSE))</f>
        <v>0.66997101349938215</v>
      </c>
      <c r="AV23" s="242">
        <f>IF(T23="-","-",VLOOKUP(T23,'CPI USA'!$T:$V,3,FALSE))</f>
        <v>0.67050107279443949</v>
      </c>
      <c r="AW23" s="7"/>
      <c r="AX23" s="7"/>
      <c r="AY23" s="242">
        <f>IF(R23="-","-",VLOOKUP(R23,'CPI USA'!$T:$X,5,FALSE))</f>
        <v>0.49838492968660258</v>
      </c>
      <c r="AZ23" s="242">
        <f>IF(S23="-","-",VLOOKUP(S23,'CPI USA'!$T:$X,5,FALSE))</f>
        <v>0.49813941766071862</v>
      </c>
      <c r="BA23" s="242">
        <f>IF(T23="-","-",VLOOKUP(T23,'CPI USA'!$T:$X,5,FALSE))</f>
        <v>0.4987389730136107</v>
      </c>
      <c r="BB23" s="7"/>
    </row>
    <row r="24" spans="1:54" ht="15.75" customHeight="1">
      <c r="A24" s="185" t="s">
        <v>261</v>
      </c>
      <c r="B24" s="185" t="s">
        <v>262</v>
      </c>
      <c r="C24" s="239">
        <f>+'Empresas 21-23'!J19</f>
        <v>0</v>
      </c>
      <c r="D24" s="239">
        <f>VLOOKUP(A24,'FERC 2021'!$A$3:$BE$221,57,0)</f>
        <v>1301351937</v>
      </c>
      <c r="E24" s="239">
        <f>VLOOKUP(A24,'FERC 2021'!$A$3:$BF$221,58,0)</f>
        <v>88806066</v>
      </c>
      <c r="F24" s="239">
        <f>VLOOKUP(A24,'FERC 2022'!$A$3:$BE$220,57,0)</f>
        <v>1315327879</v>
      </c>
      <c r="G24" s="239">
        <f>VLOOKUP(A24,'FERC 2022'!$A$3:$BF$220,58,0)</f>
        <v>96206280</v>
      </c>
      <c r="H24" s="239">
        <f>VLOOKUP(A24,'FERC 2023'!$A$3:$BE$221,57,0)</f>
        <v>1349527167</v>
      </c>
      <c r="I24" s="239">
        <f>VLOOKUP(A24,'FERC 2023'!$A$3:$BF$221,58,0)</f>
        <v>103325593</v>
      </c>
      <c r="J24" s="7"/>
      <c r="K24" s="7"/>
      <c r="L24" s="7"/>
      <c r="M24" s="187">
        <f t="shared" si="0"/>
        <v>14.653863138132929</v>
      </c>
      <c r="N24" s="187">
        <f t="shared" si="1"/>
        <v>13.67195446076909</v>
      </c>
      <c r="O24" s="187">
        <f t="shared" si="2"/>
        <v>13.060918672879042</v>
      </c>
      <c r="P24" s="7"/>
      <c r="Q24" s="240">
        <f t="shared" si="3"/>
        <v>13.795578757260353</v>
      </c>
      <c r="R24" s="189" t="str">
        <f t="shared" ref="R24:T24" si="55">IF(ISERROR(R$5-365*$Q24),"-",MONTH(R$5-365*$Q24)&amp;"_"&amp;YEAR(R$5-365*$Q24))</f>
        <v>3_2008</v>
      </c>
      <c r="S24" s="189" t="str">
        <f t="shared" si="55"/>
        <v>3_2009</v>
      </c>
      <c r="T24" s="189" t="str">
        <f t="shared" si="55"/>
        <v>3_2010</v>
      </c>
      <c r="U24" s="7"/>
      <c r="V24" s="7"/>
      <c r="W24" s="190">
        <f>IF(R24="-","-",VLOOKUP(R24,'CPI USA'!$T:$U,2,FALSE))</f>
        <v>215.303</v>
      </c>
      <c r="X24" s="190">
        <f>IF(S24="-","-",VLOOKUP(S24,'CPI USA'!$T:$U,2,FALSE))</f>
        <v>214.53700000000001</v>
      </c>
      <c r="Y24" s="190">
        <f>IF(T24="-","-",VLOOKUP(T24,'CPI USA'!$T:$U,2,FALSE))</f>
        <v>218.05600000000001</v>
      </c>
      <c r="Z24" s="7"/>
      <c r="AA24" s="7"/>
      <c r="AB24" s="190">
        <f>IF(R24="-","-",VLOOKUP(R24,'PPI USA'!$S:$T,2,FALSE))</f>
        <v>159.30000000000001</v>
      </c>
      <c r="AC24" s="190">
        <f>IF(S24="-","-",VLOOKUP(S24,'PPI USA'!$S:$T,2,FALSE))</f>
        <v>159.1</v>
      </c>
      <c r="AD24" s="190">
        <f>IF(T24="-","-",VLOOKUP(T24,'PPI USA'!$S:$T,2,FALSE))</f>
        <v>160.80000000000001</v>
      </c>
      <c r="AE24" s="7"/>
      <c r="AF24" s="7"/>
      <c r="AG24" s="190">
        <f t="shared" ref="AG24:AI24" si="56">IF(W24="-","-",(AT24*$B$2/W24+(1-AT24)*AVERAGE($B$2,$B$3)/AVERAGE(W24,AB24)))</f>
        <v>1.4884333659448254</v>
      </c>
      <c r="AH24" s="190">
        <f t="shared" si="56"/>
        <v>1.4932638886873792</v>
      </c>
      <c r="AI24" s="190">
        <f t="shared" si="56"/>
        <v>1.4703278680244813</v>
      </c>
      <c r="AJ24" s="7"/>
      <c r="AK24" s="7"/>
      <c r="AL24" s="190">
        <f t="shared" ref="AL24:AN24" si="57">IF(W24="-","-",(AY24*$B$2/W24+(1-AY24)*AVERAGE($B$2,$B$3)/AVERAGE(W24,AB24)))</f>
        <v>1.5036496327119213</v>
      </c>
      <c r="AM24" s="190">
        <f t="shared" si="57"/>
        <v>1.5082750176818205</v>
      </c>
      <c r="AN24" s="190">
        <f t="shared" si="57"/>
        <v>1.4857204383544427</v>
      </c>
      <c r="AO24" s="7"/>
      <c r="AP24" s="7"/>
      <c r="AQ24" s="7"/>
      <c r="AR24" s="7"/>
      <c r="AS24" s="7"/>
      <c r="AT24" s="242">
        <f>IF(R24="-","-",VLOOKUP(R24,'CPI USA'!$T:$V,3,FALSE))</f>
        <v>0.67018812038291731</v>
      </c>
      <c r="AU24" s="242">
        <f>IF(S24="-","-",VLOOKUP(S24,'CPI USA'!$T:$V,3,FALSE))</f>
        <v>0.66997101349938215</v>
      </c>
      <c r="AV24" s="242">
        <f>IF(T24="-","-",VLOOKUP(T24,'CPI USA'!$T:$V,3,FALSE))</f>
        <v>0.67050107279443949</v>
      </c>
      <c r="AW24" s="7"/>
      <c r="AX24" s="7"/>
      <c r="AY24" s="242">
        <f>IF(R24="-","-",VLOOKUP(R24,'CPI USA'!$T:$X,5,FALSE))</f>
        <v>0.49838492968660258</v>
      </c>
      <c r="AZ24" s="242">
        <f>IF(S24="-","-",VLOOKUP(S24,'CPI USA'!$T:$X,5,FALSE))</f>
        <v>0.49813941766071862</v>
      </c>
      <c r="BA24" s="242">
        <f>IF(T24="-","-",VLOOKUP(T24,'CPI USA'!$T:$X,5,FALSE))</f>
        <v>0.4987389730136107</v>
      </c>
      <c r="BB24" s="7"/>
    </row>
    <row r="25" spans="1:54" ht="15.75" customHeight="1">
      <c r="A25" s="185" t="s">
        <v>264</v>
      </c>
      <c r="B25" s="185" t="s">
        <v>265</v>
      </c>
      <c r="C25" s="239">
        <f>+'Empresas 21-23'!J20</f>
        <v>0</v>
      </c>
      <c r="D25" s="239">
        <f>VLOOKUP(A25,'FERC 2021'!$A$3:$BE$221,57,0)</f>
        <v>5110132104</v>
      </c>
      <c r="E25" s="239">
        <f>VLOOKUP(A25,'FERC 2021'!$A$3:$BF$221,58,0)</f>
        <v>303374602</v>
      </c>
      <c r="F25" s="239">
        <f>VLOOKUP(A25,'FERC 2022'!$A$3:$BE$220,57,0)</f>
        <v>5127810720</v>
      </c>
      <c r="G25" s="239">
        <f>VLOOKUP(A25,'FERC 2022'!$A$3:$BF$220,58,0)</f>
        <v>319117945</v>
      </c>
      <c r="H25" s="239">
        <f>VLOOKUP(A25,'FERC 2023'!$A$3:$BE$221,57,0)</f>
        <v>5067159478</v>
      </c>
      <c r="I25" s="239">
        <f>VLOOKUP(A25,'FERC 2023'!$A$3:$BF$221,58,0)</f>
        <v>337255738</v>
      </c>
      <c r="J25" s="7"/>
      <c r="K25" s="7"/>
      <c r="L25" s="7"/>
      <c r="M25" s="187">
        <f t="shared" si="0"/>
        <v>16.844297677891969</v>
      </c>
      <c r="N25" s="187">
        <f t="shared" si="1"/>
        <v>16.068700617885966</v>
      </c>
      <c r="O25" s="187">
        <f t="shared" si="2"/>
        <v>15.024679811378036</v>
      </c>
      <c r="P25" s="7"/>
      <c r="Q25" s="240">
        <f t="shared" si="3"/>
        <v>15.979226035718659</v>
      </c>
      <c r="R25" s="189" t="str">
        <f t="shared" ref="R25:T25" si="58">IF(ISERROR(R$5-365*$Q25),"-",MONTH(R$5-365*$Q25)&amp;"_"&amp;YEAR(R$5-365*$Q25))</f>
        <v>1_2006</v>
      </c>
      <c r="S25" s="189" t="str">
        <f t="shared" si="58"/>
        <v>1_2007</v>
      </c>
      <c r="T25" s="189" t="str">
        <f t="shared" si="58"/>
        <v>1_2008</v>
      </c>
      <c r="U25" s="7"/>
      <c r="V25" s="7"/>
      <c r="W25" s="190">
        <f>IF(R25="-","-",VLOOKUP(R25,'CPI USA'!$T:$U,2,FALSE))</f>
        <v>201.6</v>
      </c>
      <c r="X25" s="190">
        <f>IF(S25="-","-",VLOOKUP(S25,'CPI USA'!$T:$U,2,FALSE))</f>
        <v>207.34200000000001</v>
      </c>
      <c r="Y25" s="190">
        <f>IF(T25="-","-",VLOOKUP(T25,'CPI USA'!$T:$U,2,FALSE))</f>
        <v>215.303</v>
      </c>
      <c r="Z25" s="7"/>
      <c r="AA25" s="7"/>
      <c r="AB25" s="190">
        <f>IF(R25="-","-",VLOOKUP(R25,'PPI USA'!$S:$T,2,FALSE))</f>
        <v>145.30000000000001</v>
      </c>
      <c r="AC25" s="190">
        <f>IF(S25="-","-",VLOOKUP(S25,'PPI USA'!$S:$T,2,FALSE))</f>
        <v>151.69999999999999</v>
      </c>
      <c r="AD25" s="190">
        <f>IF(T25="-","-",VLOOKUP(T25,'PPI USA'!$S:$T,2,FALSE))</f>
        <v>159.30000000000001</v>
      </c>
      <c r="AE25" s="7"/>
      <c r="AF25" s="7"/>
      <c r="AG25" s="190">
        <f t="shared" ref="AG25:AI25" si="59">IF(W25="-","-",(AT25*$B$2/W25+(1-AT25)*AVERAGE($B$2,$B$3)/AVERAGE(W25,AB25)))</f>
        <v>1.595396421204319</v>
      </c>
      <c r="AH25" s="190">
        <f t="shared" si="59"/>
        <v>1.5480022216582647</v>
      </c>
      <c r="AI25" s="190">
        <f t="shared" si="59"/>
        <v>1.4884333659448254</v>
      </c>
      <c r="AJ25" s="7"/>
      <c r="AK25" s="7"/>
      <c r="AL25" s="190">
        <f t="shared" ref="AL25:AN25" si="60">IF(W25="-","-",(AY25*$B$2/W25+(1-AY25)*AVERAGE($B$2,$B$3)/AVERAGE(W25,AB25)))</f>
        <v>1.6147712829199015</v>
      </c>
      <c r="AM25" s="190">
        <f t="shared" si="60"/>
        <v>1.5651038394149617</v>
      </c>
      <c r="AN25" s="190">
        <f t="shared" si="60"/>
        <v>1.5036496327119213</v>
      </c>
      <c r="AO25" s="7"/>
      <c r="AP25" s="7"/>
      <c r="AQ25" s="7"/>
      <c r="AR25" s="7"/>
      <c r="AS25" s="7"/>
      <c r="AT25" s="242">
        <f>IF(R25="-","-",VLOOKUP(R25,'CPI USA'!$T:$V,3,FALSE))</f>
        <v>0.67263024008352756</v>
      </c>
      <c r="AU25" s="242">
        <f>IF(S25="-","-",VLOOKUP(S25,'CPI USA'!$T:$V,3,FALSE))</f>
        <v>0.67123734379962852</v>
      </c>
      <c r="AV25" s="242">
        <f>IF(T25="-","-",VLOOKUP(T25,'CPI USA'!$T:$V,3,FALSE))</f>
        <v>0.67018812038291731</v>
      </c>
      <c r="AW25" s="7"/>
      <c r="AX25" s="7"/>
      <c r="AY25" s="242">
        <f>IF(R25="-","-",VLOOKUP(R25,'CPI USA'!$T:$X,5,FALSE))</f>
        <v>0.50115228263529643</v>
      </c>
      <c r="AZ25" s="242">
        <f>IF(S25="-","-",VLOOKUP(S25,'CPI USA'!$T:$X,5,FALSE))</f>
        <v>0.49957259686190569</v>
      </c>
      <c r="BA25" s="242">
        <f>IF(T25="-","-",VLOOKUP(T25,'CPI USA'!$T:$X,5,FALSE))</f>
        <v>0.49838492968660258</v>
      </c>
      <c r="BB25" s="7"/>
    </row>
    <row r="26" spans="1:54" ht="15.75" customHeight="1">
      <c r="A26" s="185" t="s">
        <v>267</v>
      </c>
      <c r="B26" s="185" t="s">
        <v>268</v>
      </c>
      <c r="C26" s="239">
        <f>+'Empresas 21-23'!J21</f>
        <v>0</v>
      </c>
      <c r="D26" s="239">
        <f>VLOOKUP(A26,'FERC 2021'!$A$3:$BE$221,57,0)</f>
        <v>150530889</v>
      </c>
      <c r="E26" s="239">
        <f>VLOOKUP(A26,'FERC 2021'!$A$3:$BF$221,58,0)</f>
        <v>13093943</v>
      </c>
      <c r="F26" s="239">
        <f>VLOOKUP(A26,'FERC 2022'!$A$3:$BE$220,57,0)</f>
        <v>155338325</v>
      </c>
      <c r="G26" s="239">
        <f>VLOOKUP(A26,'FERC 2022'!$A$3:$BF$220,58,0)</f>
        <v>13732059</v>
      </c>
      <c r="H26" s="239">
        <f>VLOOKUP(A26,'FERC 2023'!$A$3:$BE$221,57,0)</f>
        <v>160353451</v>
      </c>
      <c r="I26" s="239">
        <f>VLOOKUP(A26,'FERC 2023'!$A$3:$BF$221,58,0)</f>
        <v>15123010</v>
      </c>
      <c r="J26" s="7"/>
      <c r="K26" s="7"/>
      <c r="L26" s="7"/>
      <c r="M26" s="187">
        <f t="shared" si="0"/>
        <v>11.496223024645824</v>
      </c>
      <c r="N26" s="187">
        <f t="shared" si="1"/>
        <v>11.312092745887561</v>
      </c>
      <c r="O26" s="187">
        <f t="shared" si="2"/>
        <v>10.603276133521039</v>
      </c>
      <c r="P26" s="7"/>
      <c r="Q26" s="240">
        <f t="shared" si="3"/>
        <v>11.137197301351472</v>
      </c>
      <c r="R26" s="189" t="str">
        <f t="shared" ref="R26:T26" si="61">IF(ISERROR(R$5-365*$Q26),"-",MONTH(R$5-365*$Q26)&amp;"_"&amp;YEAR(R$5-365*$Q26))</f>
        <v>11_2010</v>
      </c>
      <c r="S26" s="189" t="str">
        <f t="shared" si="61"/>
        <v>11_2011</v>
      </c>
      <c r="T26" s="189" t="str">
        <f t="shared" si="61"/>
        <v>11_2012</v>
      </c>
      <c r="U26" s="7"/>
      <c r="V26" s="7"/>
      <c r="W26" s="190">
        <f>IF(R26="-","-",VLOOKUP(R26,'CPI USA'!$T:$U,2,FALSE))</f>
        <v>218.05600000000001</v>
      </c>
      <c r="X26" s="190">
        <f>IF(S26="-","-",VLOOKUP(S26,'CPI USA'!$T:$U,2,FALSE))</f>
        <v>224.93899999999999</v>
      </c>
      <c r="Y26" s="190">
        <f>IF(T26="-","-",VLOOKUP(T26,'CPI USA'!$T:$U,2,FALSE))</f>
        <v>229.59399999999999</v>
      </c>
      <c r="Z26" s="7"/>
      <c r="AA26" s="7"/>
      <c r="AB26" s="190">
        <f>IF(R26="-","-",VLOOKUP(R26,'PPI USA'!$S:$T,2,FALSE))</f>
        <v>160.80000000000001</v>
      </c>
      <c r="AC26" s="190">
        <f>IF(S26="-","-",VLOOKUP(S26,'PPI USA'!$S:$T,2,FALSE))</f>
        <v>169.6</v>
      </c>
      <c r="AD26" s="190">
        <f>IF(T26="-","-",VLOOKUP(T26,'PPI USA'!$S:$T,2,FALSE))</f>
        <v>175.1</v>
      </c>
      <c r="AE26" s="7"/>
      <c r="AF26" s="7"/>
      <c r="AG26" s="190">
        <f t="shared" ref="AG26:AI26" si="62">IF(W26="-","-",(AT26*$B$2/W26+(1-AT26)*AVERAGE($B$2,$B$3)/AVERAGE(W26,AB26)))</f>
        <v>1.4703278680244813</v>
      </c>
      <c r="AH26" s="190">
        <f t="shared" si="62"/>
        <v>1.4208751760332547</v>
      </c>
      <c r="AI26" s="190">
        <f t="shared" si="62"/>
        <v>1.3897894616766442</v>
      </c>
      <c r="AJ26" s="7"/>
      <c r="AK26" s="7"/>
      <c r="AL26" s="190">
        <f t="shared" ref="AL26:AN26" si="63">IF(W26="-","-",(AY26*$B$2/W26+(1-AY26)*AVERAGE($B$2,$B$3)/AVERAGE(W26,AB26)))</f>
        <v>1.4857204383544427</v>
      </c>
      <c r="AM26" s="190">
        <f t="shared" si="63"/>
        <v>1.4334111417560953</v>
      </c>
      <c r="AN26" s="190">
        <f t="shared" si="63"/>
        <v>1.4008620811189902</v>
      </c>
      <c r="AO26" s="7"/>
      <c r="AP26" s="7"/>
      <c r="AQ26" s="7"/>
      <c r="AR26" s="7"/>
      <c r="AS26" s="7"/>
      <c r="AT26" s="242">
        <f>IF(R26="-","-",VLOOKUP(R26,'CPI USA'!$T:$V,3,FALSE))</f>
        <v>0.67050107279443949</v>
      </c>
      <c r="AU26" s="242">
        <f>IF(S26="-","-",VLOOKUP(S26,'CPI USA'!$T:$V,3,FALSE))</f>
        <v>0.6684022975047168</v>
      </c>
      <c r="AV26" s="242">
        <f>IF(T26="-","-",VLOOKUP(T26,'CPI USA'!$T:$V,3,FALSE))</f>
        <v>0.66730871354337351</v>
      </c>
      <c r="AW26" s="7"/>
      <c r="AX26" s="7"/>
      <c r="AY26" s="242">
        <f>IF(R26="-","-",VLOOKUP(R26,'CPI USA'!$T:$X,5,FALSE))</f>
        <v>0.4987389730136107</v>
      </c>
      <c r="AZ26" s="242">
        <f>IF(S26="-","-",VLOOKUP(S26,'CPI USA'!$T:$X,5,FALSE))</f>
        <v>0.49636791791307899</v>
      </c>
      <c r="BA26" s="242">
        <f>IF(T26="-","-",VLOOKUP(T26,'CPI USA'!$T:$X,5,FALSE))</f>
        <v>0.49513551903851311</v>
      </c>
      <c r="BB26" s="7"/>
    </row>
    <row r="27" spans="1:54" ht="15.75" customHeight="1">
      <c r="A27" s="185" t="s">
        <v>270</v>
      </c>
      <c r="B27" s="185" t="s">
        <v>271</v>
      </c>
      <c r="C27" s="239">
        <f>+'Empresas 21-23'!J22</f>
        <v>0</v>
      </c>
      <c r="D27" s="239">
        <f>VLOOKUP(A27,'FERC 2021'!$A$3:$BE$221,57,0)</f>
        <v>722869819</v>
      </c>
      <c r="E27" s="239">
        <f>VLOOKUP(A27,'FERC 2021'!$A$3:$BF$221,58,0)</f>
        <v>82922000</v>
      </c>
      <c r="F27" s="239">
        <f>VLOOKUP(A27,'FERC 2022'!$A$3:$BE$220,57,0)</f>
        <v>746619193</v>
      </c>
      <c r="G27" s="239">
        <f>VLOOKUP(A27,'FERC 2022'!$A$3:$BF$220,58,0)</f>
        <v>71443141</v>
      </c>
      <c r="H27" s="239">
        <f>VLOOKUP(A27,'FERC 2023'!$A$3:$BE$221,57,0)</f>
        <v>774397809</v>
      </c>
      <c r="I27" s="239">
        <f>VLOOKUP(A27,'FERC 2023'!$A$3:$BF$221,58,0)</f>
        <v>95668059</v>
      </c>
      <c r="J27" s="7"/>
      <c r="K27" s="7"/>
      <c r="L27" s="7"/>
      <c r="M27" s="187">
        <f t="shared" si="0"/>
        <v>8.7174672463278746</v>
      </c>
      <c r="N27" s="187">
        <f t="shared" si="1"/>
        <v>10.450537064152876</v>
      </c>
      <c r="O27" s="187">
        <f t="shared" si="2"/>
        <v>8.0946328073824514</v>
      </c>
      <c r="P27" s="7"/>
      <c r="Q27" s="240">
        <f t="shared" si="3"/>
        <v>9.0875457059543994</v>
      </c>
      <c r="R27" s="189" t="str">
        <f t="shared" ref="R27:T27" si="64">IF(ISERROR(R$5-365*$Q27),"-",MONTH(R$5-365*$Q27)&amp;"_"&amp;YEAR(R$5-365*$Q27))</f>
        <v>12_2012</v>
      </c>
      <c r="S27" s="189" t="str">
        <f t="shared" si="64"/>
        <v>12_2013</v>
      </c>
      <c r="T27" s="189" t="str">
        <f t="shared" si="64"/>
        <v>12_2014</v>
      </c>
      <c r="U27" s="7"/>
      <c r="V27" s="7"/>
      <c r="W27" s="190">
        <f>IF(R27="-","-",VLOOKUP(R27,'CPI USA'!$T:$U,2,FALSE))</f>
        <v>229.59399999999999</v>
      </c>
      <c r="X27" s="190">
        <f>IF(S27="-","-",VLOOKUP(S27,'CPI USA'!$T:$U,2,FALSE))</f>
        <v>233.04900000000001</v>
      </c>
      <c r="Y27" s="190">
        <f>IF(T27="-","-",VLOOKUP(T27,'CPI USA'!$T:$U,2,FALSE))</f>
        <v>234.81200000000001</v>
      </c>
      <c r="Z27" s="7"/>
      <c r="AA27" s="7"/>
      <c r="AB27" s="190">
        <f>IF(R27="-","-",VLOOKUP(R27,'PPI USA'!$S:$T,2,FALSE))</f>
        <v>175.1</v>
      </c>
      <c r="AC27" s="190">
        <f>IF(S27="-","-",VLOOKUP(S27,'PPI USA'!$S:$T,2,FALSE))</f>
        <v>167.2</v>
      </c>
      <c r="AD27" s="190">
        <f>IF(T27="-","-",VLOOKUP(T27,'PPI USA'!$S:$T,2,FALSE))</f>
        <v>178.6</v>
      </c>
      <c r="AE27" s="7"/>
      <c r="AF27" s="7"/>
      <c r="AG27" s="190">
        <f t="shared" ref="AG27:AI27" si="65">IF(W27="-","-",(AT27*$B$2/W27+(1-AT27)*AVERAGE($B$2,$B$3)/AVERAGE(W27,AB27)))</f>
        <v>1.3897894616766442</v>
      </c>
      <c r="AH27" s="190">
        <f t="shared" si="65"/>
        <v>1.3809682329132076</v>
      </c>
      <c r="AI27" s="190">
        <f t="shared" si="65"/>
        <v>1.3594294887607781</v>
      </c>
      <c r="AJ27" s="7"/>
      <c r="AK27" s="7"/>
      <c r="AL27" s="190">
        <f t="shared" ref="AL27:AN27" si="66">IF(W27="-","-",(AY27*$B$2/W27+(1-AY27)*AVERAGE($B$2,$B$3)/AVERAGE(W27,AB27)))</f>
        <v>1.4008620811189902</v>
      </c>
      <c r="AM27" s="190">
        <f t="shared" si="66"/>
        <v>1.3981975138665637</v>
      </c>
      <c r="AN27" s="190">
        <f t="shared" si="66"/>
        <v>1.3705337123090227</v>
      </c>
      <c r="AO27" s="7"/>
      <c r="AP27" s="7"/>
      <c r="AQ27" s="7"/>
      <c r="AR27" s="7"/>
      <c r="AS27" s="7"/>
      <c r="AT27" s="242">
        <f>IF(R27="-","-",VLOOKUP(R27,'CPI USA'!$T:$V,3,FALSE))</f>
        <v>0.66730871354337351</v>
      </c>
      <c r="AU27" s="242">
        <f>IF(S27="-","-",VLOOKUP(S27,'CPI USA'!$T:$V,3,FALSE))</f>
        <v>0.67305131835944076</v>
      </c>
      <c r="AV27" s="242">
        <f>IF(T27="-","-",VLOOKUP(T27,'CPI USA'!$T:$V,3,FALSE))</f>
        <v>0.66756601812039096</v>
      </c>
      <c r="AW27" s="7"/>
      <c r="AX27" s="7"/>
      <c r="AY27" s="242">
        <f>IF(R27="-","-",VLOOKUP(R27,'CPI USA'!$T:$X,5,FALSE))</f>
        <v>0.49513551903851311</v>
      </c>
      <c r="AZ27" s="242">
        <f>IF(S27="-","-",VLOOKUP(S27,'CPI USA'!$T:$X,5,FALSE))</f>
        <v>0.50163050295255052</v>
      </c>
      <c r="BA27" s="242">
        <f>IF(T27="-","-",VLOOKUP(T27,'CPI USA'!$T:$X,5,FALSE))</f>
        <v>0.49542529667095003</v>
      </c>
      <c r="BB27" s="7"/>
    </row>
    <row r="28" spans="1:54" ht="15.75" customHeight="1">
      <c r="A28" s="185" t="s">
        <v>273</v>
      </c>
      <c r="B28" s="185" t="s">
        <v>274</v>
      </c>
      <c r="C28" s="239">
        <f>+'Empresas 21-23'!J23</f>
        <v>0</v>
      </c>
      <c r="D28" s="239">
        <f>VLOOKUP(A28,'FERC 2021'!$A$3:$BE$221,57,0)</f>
        <v>1618746757</v>
      </c>
      <c r="E28" s="239">
        <f>VLOOKUP(A28,'FERC 2021'!$A$3:$BF$221,58,0)</f>
        <v>127953989</v>
      </c>
      <c r="F28" s="239">
        <f>VLOOKUP(A28,'FERC 2022'!$A$3:$BE$220,57,0)</f>
        <v>1687830902</v>
      </c>
      <c r="G28" s="239">
        <f>VLOOKUP(A28,'FERC 2022'!$A$3:$BF$220,58,0)</f>
        <v>151674826</v>
      </c>
      <c r="H28" s="239">
        <f>VLOOKUP(A28,'FERC 2023'!$A$3:$BE$221,57,0)</f>
        <v>1748399766</v>
      </c>
      <c r="I28" s="239">
        <f>VLOOKUP(A28,'FERC 2023'!$A$3:$BF$221,58,0)</f>
        <v>160418087</v>
      </c>
      <c r="J28" s="7"/>
      <c r="K28" s="7"/>
      <c r="L28" s="7"/>
      <c r="M28" s="187">
        <f t="shared" si="0"/>
        <v>12.651006581748694</v>
      </c>
      <c r="N28" s="187">
        <f t="shared" si="1"/>
        <v>11.127956738186731</v>
      </c>
      <c r="O28" s="187">
        <f t="shared" si="2"/>
        <v>10.899018924218938</v>
      </c>
      <c r="P28" s="7"/>
      <c r="Q28" s="240">
        <f t="shared" si="3"/>
        <v>11.559327414718121</v>
      </c>
      <c r="R28" s="189" t="str">
        <f t="shared" ref="R28:T28" si="67">IF(ISERROR(R$5-365*$Q28),"-",MONTH(R$5-365*$Q28)&amp;"_"&amp;YEAR(R$5-365*$Q28))</f>
        <v>6_2010</v>
      </c>
      <c r="S28" s="189" t="str">
        <f t="shared" si="67"/>
        <v>6_2011</v>
      </c>
      <c r="T28" s="189" t="str">
        <f t="shared" si="67"/>
        <v>6_2012</v>
      </c>
      <c r="U28" s="7"/>
      <c r="V28" s="7"/>
      <c r="W28" s="190">
        <f>IF(R28="-","-",VLOOKUP(R28,'CPI USA'!$T:$U,2,FALSE))</f>
        <v>218.05600000000001</v>
      </c>
      <c r="X28" s="190">
        <f>IF(S28="-","-",VLOOKUP(S28,'CPI USA'!$T:$U,2,FALSE))</f>
        <v>224.93899999999999</v>
      </c>
      <c r="Y28" s="190">
        <f>IF(T28="-","-",VLOOKUP(T28,'CPI USA'!$T:$U,2,FALSE))</f>
        <v>229.59399999999999</v>
      </c>
      <c r="Z28" s="7"/>
      <c r="AA28" s="7"/>
      <c r="AB28" s="190">
        <f>IF(R28="-","-",VLOOKUP(R28,'PPI USA'!$S:$T,2,FALSE))</f>
        <v>160.80000000000001</v>
      </c>
      <c r="AC28" s="190">
        <f>IF(S28="-","-",VLOOKUP(S28,'PPI USA'!$S:$T,2,FALSE))</f>
        <v>169.6</v>
      </c>
      <c r="AD28" s="190">
        <f>IF(T28="-","-",VLOOKUP(T28,'PPI USA'!$S:$T,2,FALSE))</f>
        <v>175.1</v>
      </c>
      <c r="AE28" s="7"/>
      <c r="AF28" s="7"/>
      <c r="AG28" s="190">
        <f t="shared" ref="AG28:AI28" si="68">IF(W28="-","-",(AT28*$B$2/W28+(1-AT28)*AVERAGE($B$2,$B$3)/AVERAGE(W28,AB28)))</f>
        <v>1.4703278680244813</v>
      </c>
      <c r="AH28" s="190">
        <f t="shared" si="68"/>
        <v>1.4208751760332547</v>
      </c>
      <c r="AI28" s="190">
        <f t="shared" si="68"/>
        <v>1.3897894616766442</v>
      </c>
      <c r="AJ28" s="7"/>
      <c r="AK28" s="7"/>
      <c r="AL28" s="190">
        <f t="shared" ref="AL28:AN28" si="69">IF(W28="-","-",(AY28*$B$2/W28+(1-AY28)*AVERAGE($B$2,$B$3)/AVERAGE(W28,AB28)))</f>
        <v>1.4857204383544427</v>
      </c>
      <c r="AM28" s="190">
        <f t="shared" si="69"/>
        <v>1.4334111417560953</v>
      </c>
      <c r="AN28" s="190">
        <f t="shared" si="69"/>
        <v>1.4008620811189902</v>
      </c>
      <c r="AO28" s="7"/>
      <c r="AP28" s="7"/>
      <c r="AQ28" s="7"/>
      <c r="AR28" s="7"/>
      <c r="AS28" s="7"/>
      <c r="AT28" s="242">
        <f>IF(R28="-","-",VLOOKUP(R28,'CPI USA'!$T:$V,3,FALSE))</f>
        <v>0.67050107279443949</v>
      </c>
      <c r="AU28" s="242">
        <f>IF(S28="-","-",VLOOKUP(S28,'CPI USA'!$T:$V,3,FALSE))</f>
        <v>0.6684022975047168</v>
      </c>
      <c r="AV28" s="242">
        <f>IF(T28="-","-",VLOOKUP(T28,'CPI USA'!$T:$V,3,FALSE))</f>
        <v>0.66730871354337351</v>
      </c>
      <c r="AW28" s="7"/>
      <c r="AX28" s="7"/>
      <c r="AY28" s="242">
        <f>IF(R28="-","-",VLOOKUP(R28,'CPI USA'!$T:$X,5,FALSE))</f>
        <v>0.4987389730136107</v>
      </c>
      <c r="AZ28" s="242">
        <f>IF(S28="-","-",VLOOKUP(S28,'CPI USA'!$T:$X,5,FALSE))</f>
        <v>0.49636791791307899</v>
      </c>
      <c r="BA28" s="242">
        <f>IF(T28="-","-",VLOOKUP(T28,'CPI USA'!$T:$X,5,FALSE))</f>
        <v>0.49513551903851311</v>
      </c>
      <c r="BB28" s="7"/>
    </row>
    <row r="29" spans="1:54" ht="15.75" customHeight="1">
      <c r="A29" s="185" t="s">
        <v>276</v>
      </c>
      <c r="B29" s="185" t="s">
        <v>277</v>
      </c>
      <c r="C29" s="239">
        <f>+'Empresas 21-23'!J24</f>
        <v>0</v>
      </c>
      <c r="D29" s="239">
        <f>VLOOKUP(A29,'FERC 2021'!$A$3:$BE$221,57,0)</f>
        <v>1278795186</v>
      </c>
      <c r="E29" s="239">
        <f>VLOOKUP(A29,'FERC 2021'!$A$3:$BF$221,58,0)</f>
        <v>92897245</v>
      </c>
      <c r="F29" s="239">
        <f>VLOOKUP(A29,'FERC 2022'!$A$3:$BE$220,57,0)</f>
        <v>1300373754</v>
      </c>
      <c r="G29" s="239">
        <f>VLOOKUP(A29,'FERC 2022'!$A$3:$BF$220,58,0)</f>
        <v>98576695</v>
      </c>
      <c r="H29" s="239">
        <f>VLOOKUP(A29,'FERC 2023'!$A$3:$BE$221,57,0)</f>
        <v>1357013096</v>
      </c>
      <c r="I29" s="239">
        <f>VLOOKUP(A29,'FERC 2023'!$A$3:$BF$221,58,0)</f>
        <v>101114760</v>
      </c>
      <c r="J29" s="7"/>
      <c r="K29" s="7"/>
      <c r="L29" s="7"/>
      <c r="M29" s="187">
        <f t="shared" si="0"/>
        <v>13.765695484295579</v>
      </c>
      <c r="N29" s="187">
        <f t="shared" si="1"/>
        <v>13.191492715392823</v>
      </c>
      <c r="O29" s="187">
        <f t="shared" si="2"/>
        <v>13.420524323056298</v>
      </c>
      <c r="P29" s="7"/>
      <c r="Q29" s="240">
        <f t="shared" si="3"/>
        <v>13.459237507581568</v>
      </c>
      <c r="R29" s="189" t="str">
        <f t="shared" ref="R29:T29" si="70">IF(ISERROR(R$5-365*$Q29),"-",MONTH(R$5-365*$Q29)&amp;"_"&amp;YEAR(R$5-365*$Q29))</f>
        <v>7_2008</v>
      </c>
      <c r="S29" s="189" t="str">
        <f t="shared" si="70"/>
        <v>7_2009</v>
      </c>
      <c r="T29" s="189" t="str">
        <f t="shared" si="70"/>
        <v>7_2010</v>
      </c>
      <c r="U29" s="7"/>
      <c r="V29" s="7"/>
      <c r="W29" s="190">
        <f>IF(R29="-","-",VLOOKUP(R29,'CPI USA'!$T:$U,2,FALSE))</f>
        <v>215.303</v>
      </c>
      <c r="X29" s="190">
        <f>IF(S29="-","-",VLOOKUP(S29,'CPI USA'!$T:$U,2,FALSE))</f>
        <v>214.53700000000001</v>
      </c>
      <c r="Y29" s="190">
        <f>IF(T29="-","-",VLOOKUP(T29,'CPI USA'!$T:$U,2,FALSE))</f>
        <v>218.05600000000001</v>
      </c>
      <c r="Z29" s="7"/>
      <c r="AA29" s="7"/>
      <c r="AB29" s="190">
        <f>IF(R29="-","-",VLOOKUP(R29,'PPI USA'!$S:$T,2,FALSE))</f>
        <v>159.30000000000001</v>
      </c>
      <c r="AC29" s="190">
        <f>IF(S29="-","-",VLOOKUP(S29,'PPI USA'!$S:$T,2,FALSE))</f>
        <v>159.1</v>
      </c>
      <c r="AD29" s="190">
        <f>IF(T29="-","-",VLOOKUP(T29,'PPI USA'!$S:$T,2,FALSE))</f>
        <v>160.80000000000001</v>
      </c>
      <c r="AE29" s="7"/>
      <c r="AF29" s="7"/>
      <c r="AG29" s="190">
        <f t="shared" ref="AG29:AI29" si="71">IF(W29="-","-",(AT29*$B$2/W29+(1-AT29)*AVERAGE($B$2,$B$3)/AVERAGE(W29,AB29)))</f>
        <v>1.4884333659448254</v>
      </c>
      <c r="AH29" s="190">
        <f t="shared" si="71"/>
        <v>1.4932638886873792</v>
      </c>
      <c r="AI29" s="190">
        <f t="shared" si="71"/>
        <v>1.4703278680244813</v>
      </c>
      <c r="AJ29" s="7"/>
      <c r="AK29" s="7"/>
      <c r="AL29" s="190">
        <f t="shared" ref="AL29:AN29" si="72">IF(W29="-","-",(AY29*$B$2/W29+(1-AY29)*AVERAGE($B$2,$B$3)/AVERAGE(W29,AB29)))</f>
        <v>1.5036496327119213</v>
      </c>
      <c r="AM29" s="190">
        <f t="shared" si="72"/>
        <v>1.5082750176818205</v>
      </c>
      <c r="AN29" s="190">
        <f t="shared" si="72"/>
        <v>1.4857204383544427</v>
      </c>
      <c r="AO29" s="7"/>
      <c r="AP29" s="7"/>
      <c r="AQ29" s="7"/>
      <c r="AR29" s="7"/>
      <c r="AS29" s="7"/>
      <c r="AT29" s="242">
        <f>IF(R29="-","-",VLOOKUP(R29,'CPI USA'!$T:$V,3,FALSE))</f>
        <v>0.67018812038291731</v>
      </c>
      <c r="AU29" s="242">
        <f>IF(S29="-","-",VLOOKUP(S29,'CPI USA'!$T:$V,3,FALSE))</f>
        <v>0.66997101349938215</v>
      </c>
      <c r="AV29" s="242">
        <f>IF(T29="-","-",VLOOKUP(T29,'CPI USA'!$T:$V,3,FALSE))</f>
        <v>0.67050107279443949</v>
      </c>
      <c r="AW29" s="7"/>
      <c r="AX29" s="7"/>
      <c r="AY29" s="242">
        <f>IF(R29="-","-",VLOOKUP(R29,'CPI USA'!$T:$X,5,FALSE))</f>
        <v>0.49838492968660258</v>
      </c>
      <c r="AZ29" s="242">
        <f>IF(S29="-","-",VLOOKUP(S29,'CPI USA'!$T:$X,5,FALSE))</f>
        <v>0.49813941766071862</v>
      </c>
      <c r="BA29" s="242">
        <f>IF(T29="-","-",VLOOKUP(T29,'CPI USA'!$T:$X,5,FALSE))</f>
        <v>0.4987389730136107</v>
      </c>
      <c r="BB29" s="7"/>
    </row>
    <row r="30" spans="1:54" ht="15.75" customHeight="1">
      <c r="A30" s="185" t="s">
        <v>279</v>
      </c>
      <c r="B30" s="185" t="s">
        <v>280</v>
      </c>
      <c r="C30" s="239">
        <f>+'Empresas 21-23'!J25</f>
        <v>0</v>
      </c>
      <c r="D30" s="239">
        <f>VLOOKUP(A30,'FERC 2021'!$A$3:$BE$221,57,0)</f>
        <v>1152270995</v>
      </c>
      <c r="E30" s="239">
        <f>VLOOKUP(A30,'FERC 2021'!$A$3:$BF$221,58,0)</f>
        <v>91422886</v>
      </c>
      <c r="F30" s="239">
        <f>VLOOKUP(A30,'FERC 2022'!$A$3:$BE$220,57,0)</f>
        <v>1163204364</v>
      </c>
      <c r="G30" s="239">
        <f>VLOOKUP(A30,'FERC 2022'!$A$3:$BF$220,58,0)</f>
        <v>96264698</v>
      </c>
      <c r="H30" s="239">
        <f>VLOOKUP(A30,'FERC 2023'!$A$3:$BE$221,57,0)</f>
        <v>1220707036</v>
      </c>
      <c r="I30" s="239">
        <f>VLOOKUP(A30,'FERC 2023'!$A$3:$BF$221,58,0)</f>
        <v>98508744</v>
      </c>
      <c r="J30" s="7"/>
      <c r="K30" s="7"/>
      <c r="L30" s="7"/>
      <c r="M30" s="187">
        <f t="shared" si="0"/>
        <v>12.603747763989862</v>
      </c>
      <c r="N30" s="187">
        <f t="shared" si="1"/>
        <v>12.083394932584737</v>
      </c>
      <c r="O30" s="187">
        <f t="shared" si="2"/>
        <v>12.391864787150265</v>
      </c>
      <c r="P30" s="7"/>
      <c r="Q30" s="240">
        <f t="shared" si="3"/>
        <v>12.359669161241621</v>
      </c>
      <c r="R30" s="189" t="str">
        <f t="shared" ref="R30:T30" si="73">IF(ISERROR(R$5-365*$Q30),"-",MONTH(R$5-365*$Q30)&amp;"_"&amp;YEAR(R$5-365*$Q30))</f>
        <v>8_2009</v>
      </c>
      <c r="S30" s="189" t="str">
        <f t="shared" si="73"/>
        <v>8_2010</v>
      </c>
      <c r="T30" s="189" t="str">
        <f t="shared" si="73"/>
        <v>8_2011</v>
      </c>
      <c r="U30" s="7"/>
      <c r="V30" s="7"/>
      <c r="W30" s="190">
        <f>IF(R30="-","-",VLOOKUP(R30,'CPI USA'!$T:$U,2,FALSE))</f>
        <v>214.53700000000001</v>
      </c>
      <c r="X30" s="190">
        <f>IF(S30="-","-",VLOOKUP(S30,'CPI USA'!$T:$U,2,FALSE))</f>
        <v>218.05600000000001</v>
      </c>
      <c r="Y30" s="190">
        <f>IF(T30="-","-",VLOOKUP(T30,'CPI USA'!$T:$U,2,FALSE))</f>
        <v>224.93899999999999</v>
      </c>
      <c r="Z30" s="7"/>
      <c r="AA30" s="7"/>
      <c r="AB30" s="190">
        <f>IF(R30="-","-",VLOOKUP(R30,'PPI USA'!$S:$T,2,FALSE))</f>
        <v>159.1</v>
      </c>
      <c r="AC30" s="190">
        <f>IF(S30="-","-",VLOOKUP(S30,'PPI USA'!$S:$T,2,FALSE))</f>
        <v>160.80000000000001</v>
      </c>
      <c r="AD30" s="190">
        <f>IF(T30="-","-",VLOOKUP(T30,'PPI USA'!$S:$T,2,FALSE))</f>
        <v>169.6</v>
      </c>
      <c r="AE30" s="7"/>
      <c r="AF30" s="7"/>
      <c r="AG30" s="190">
        <f t="shared" ref="AG30:AI30" si="74">IF(W30="-","-",(AT30*$B$2/W30+(1-AT30)*AVERAGE($B$2,$B$3)/AVERAGE(W30,AB30)))</f>
        <v>1.4932638886873792</v>
      </c>
      <c r="AH30" s="190">
        <f t="shared" si="74"/>
        <v>1.4703278680244813</v>
      </c>
      <c r="AI30" s="190">
        <f t="shared" si="74"/>
        <v>1.4208751760332547</v>
      </c>
      <c r="AJ30" s="7"/>
      <c r="AK30" s="7"/>
      <c r="AL30" s="190">
        <f t="shared" ref="AL30:AN30" si="75">IF(W30="-","-",(AY30*$B$2/W30+(1-AY30)*AVERAGE($B$2,$B$3)/AVERAGE(W30,AB30)))</f>
        <v>1.5082750176818205</v>
      </c>
      <c r="AM30" s="190">
        <f t="shared" si="75"/>
        <v>1.4857204383544427</v>
      </c>
      <c r="AN30" s="190">
        <f t="shared" si="75"/>
        <v>1.4334111417560953</v>
      </c>
      <c r="AO30" s="7"/>
      <c r="AP30" s="7"/>
      <c r="AQ30" s="7"/>
      <c r="AR30" s="7"/>
      <c r="AS30" s="7"/>
      <c r="AT30" s="242">
        <f>IF(R30="-","-",VLOOKUP(R30,'CPI USA'!$T:$V,3,FALSE))</f>
        <v>0.66997101349938215</v>
      </c>
      <c r="AU30" s="242">
        <f>IF(S30="-","-",VLOOKUP(S30,'CPI USA'!$T:$V,3,FALSE))</f>
        <v>0.67050107279443949</v>
      </c>
      <c r="AV30" s="242">
        <f>IF(T30="-","-",VLOOKUP(T30,'CPI USA'!$T:$V,3,FALSE))</f>
        <v>0.6684022975047168</v>
      </c>
      <c r="AW30" s="7"/>
      <c r="AX30" s="7"/>
      <c r="AY30" s="242">
        <f>IF(R30="-","-",VLOOKUP(R30,'CPI USA'!$T:$X,5,FALSE))</f>
        <v>0.49813941766071862</v>
      </c>
      <c r="AZ30" s="242">
        <f>IF(S30="-","-",VLOOKUP(S30,'CPI USA'!$T:$X,5,FALSE))</f>
        <v>0.4987389730136107</v>
      </c>
      <c r="BA30" s="242">
        <f>IF(T30="-","-",VLOOKUP(T30,'CPI USA'!$T:$X,5,FALSE))</f>
        <v>0.49636791791307899</v>
      </c>
      <c r="BB30" s="7"/>
    </row>
    <row r="31" spans="1:54" ht="15.75" customHeight="1">
      <c r="A31" s="185" t="s">
        <v>282</v>
      </c>
      <c r="B31" s="185" t="s">
        <v>283</v>
      </c>
      <c r="C31" s="239">
        <f>+'Empresas 21-23'!J26</f>
        <v>0</v>
      </c>
      <c r="D31" s="239">
        <f>VLOOKUP(A31,'FERC 2021'!$A$3:$BE$221,57,0)</f>
        <v>604804747</v>
      </c>
      <c r="E31" s="239">
        <f>VLOOKUP(A31,'FERC 2021'!$A$3:$BF$221,58,0)</f>
        <v>36583032</v>
      </c>
      <c r="F31" s="239">
        <f>VLOOKUP(A31,'FERC 2022'!$A$3:$BE$220,57,0)</f>
        <v>604269292</v>
      </c>
      <c r="G31" s="239">
        <f>VLOOKUP(A31,'FERC 2022'!$A$3:$BF$220,58,0)</f>
        <v>37816027</v>
      </c>
      <c r="H31" s="239">
        <f>VLOOKUP(A31,'FERC 2023'!$A$3:$BE$221,57,0)</f>
        <v>632001541</v>
      </c>
      <c r="I31" s="239">
        <f>VLOOKUP(A31,'FERC 2023'!$A$3:$BF$221,58,0)</f>
        <v>38564198</v>
      </c>
      <c r="J31" s="7"/>
      <c r="K31" s="7"/>
      <c r="L31" s="7"/>
      <c r="M31" s="187">
        <f t="shared" si="0"/>
        <v>16.532384385198036</v>
      </c>
      <c r="N31" s="187">
        <f t="shared" si="1"/>
        <v>15.979185015919308</v>
      </c>
      <c r="O31" s="187">
        <f t="shared" si="2"/>
        <v>16.388297275104748</v>
      </c>
      <c r="P31" s="7"/>
      <c r="Q31" s="240">
        <f t="shared" si="3"/>
        <v>16.299955558740695</v>
      </c>
      <c r="R31" s="189" t="str">
        <f t="shared" ref="R31:T31" si="76">IF(ISERROR(R$5-365*$Q31),"-",MONTH(R$5-365*$Q31)&amp;"_"&amp;YEAR(R$5-365*$Q31))</f>
        <v>9_2005</v>
      </c>
      <c r="S31" s="189" t="str">
        <f t="shared" si="76"/>
        <v>9_2006</v>
      </c>
      <c r="T31" s="189" t="str">
        <f t="shared" si="76"/>
        <v>9_2007</v>
      </c>
      <c r="U31" s="7"/>
      <c r="V31" s="7"/>
      <c r="W31" s="190">
        <f>IF(R31="-","-",VLOOKUP(R31,'CPI USA'!$T:$U,2,FALSE))</f>
        <v>195.3</v>
      </c>
      <c r="X31" s="190">
        <f>IF(S31="-","-",VLOOKUP(S31,'CPI USA'!$T:$U,2,FALSE))</f>
        <v>201.6</v>
      </c>
      <c r="Y31" s="190">
        <f>IF(T31="-","-",VLOOKUP(T31,'CPI USA'!$T:$U,2,FALSE))</f>
        <v>207.34200000000001</v>
      </c>
      <c r="Z31" s="7"/>
      <c r="AA31" s="7"/>
      <c r="AB31" s="190">
        <f>IF(R31="-","-",VLOOKUP(R31,'PPI USA'!$S:$T,2,FALSE))</f>
        <v>131.30000000000001</v>
      </c>
      <c r="AC31" s="190">
        <f>IF(S31="-","-",VLOOKUP(S31,'PPI USA'!$S:$T,2,FALSE))</f>
        <v>145.30000000000001</v>
      </c>
      <c r="AD31" s="190">
        <f>IF(T31="-","-",VLOOKUP(T31,'PPI USA'!$S:$T,2,FALSE))</f>
        <v>151.69999999999999</v>
      </c>
      <c r="AE31" s="7"/>
      <c r="AF31" s="7"/>
      <c r="AG31" s="190">
        <f t="shared" ref="AG31:AI31" si="77">IF(W31="-","-",(AT31*$B$2/W31+(1-AT31)*AVERAGE($B$2,$B$3)/AVERAGE(W31,AB31)))</f>
        <v>1.6621774217199745</v>
      </c>
      <c r="AH31" s="190">
        <f t="shared" si="77"/>
        <v>1.595396421204319</v>
      </c>
      <c r="AI31" s="190">
        <f t="shared" si="77"/>
        <v>1.5480022216582647</v>
      </c>
      <c r="AJ31" s="7"/>
      <c r="AK31" s="7"/>
      <c r="AL31" s="190">
        <f t="shared" ref="AL31:AN31" si="78">IF(W31="-","-",(AY31*$B$2/W31+(1-AY31)*AVERAGE($B$2,$B$3)/AVERAGE(W31,AB31)))</f>
        <v>1.6905992787819408</v>
      </c>
      <c r="AM31" s="190">
        <f t="shared" si="78"/>
        <v>1.6147712829199015</v>
      </c>
      <c r="AN31" s="190">
        <f t="shared" si="78"/>
        <v>1.5651038394149617</v>
      </c>
      <c r="AO31" s="7"/>
      <c r="AP31" s="7"/>
      <c r="AQ31" s="7"/>
      <c r="AR31" s="7"/>
      <c r="AS31" s="7"/>
      <c r="AT31" s="242">
        <f>IF(R31="-","-",VLOOKUP(R31,'CPI USA'!$T:$V,3,FALSE))</f>
        <v>0.67888602568792966</v>
      </c>
      <c r="AU31" s="242">
        <f>IF(S31="-","-",VLOOKUP(S31,'CPI USA'!$T:$V,3,FALSE))</f>
        <v>0.67263024008352756</v>
      </c>
      <c r="AV31" s="242">
        <f>IF(T31="-","-",VLOOKUP(T31,'CPI USA'!$T:$V,3,FALSE))</f>
        <v>0.67123734379962852</v>
      </c>
      <c r="AW31" s="7"/>
      <c r="AX31" s="7"/>
      <c r="AY31" s="242">
        <f>IF(R31="-","-",VLOOKUP(R31,'CPI USA'!$T:$X,5,FALSE))</f>
        <v>0.50828944385363772</v>
      </c>
      <c r="AZ31" s="242">
        <f>IF(S31="-","-",VLOOKUP(S31,'CPI USA'!$T:$X,5,FALSE))</f>
        <v>0.50115228263529643</v>
      </c>
      <c r="BA31" s="242">
        <f>IF(T31="-","-",VLOOKUP(T31,'CPI USA'!$T:$X,5,FALSE))</f>
        <v>0.49957259686190569</v>
      </c>
      <c r="BB31" s="7"/>
    </row>
    <row r="32" spans="1:54" ht="15.75" customHeight="1">
      <c r="A32" s="185" t="s">
        <v>285</v>
      </c>
      <c r="B32" s="185" t="s">
        <v>286</v>
      </c>
      <c r="C32" s="239">
        <f>+'Empresas 21-23'!J27</f>
        <v>0</v>
      </c>
      <c r="D32" s="239">
        <f>VLOOKUP(A32,'FERC 2021'!$A$3:$BE$221,57,0)</f>
        <v>199592810</v>
      </c>
      <c r="E32" s="239">
        <f>VLOOKUP(A32,'FERC 2021'!$A$3:$BF$221,58,0)</f>
        <v>21453471</v>
      </c>
      <c r="F32" s="239">
        <f>VLOOKUP(A32,'FERC 2022'!$A$3:$BE$220,57,0)</f>
        <v>210097954</v>
      </c>
      <c r="G32" s="239">
        <f>VLOOKUP(A32,'FERC 2022'!$A$3:$BF$220,58,0)</f>
        <v>22977386</v>
      </c>
      <c r="H32" s="239">
        <f>VLOOKUP(A32,'FERC 2023'!$A$3:$BE$221,57,0)</f>
        <v>222394838</v>
      </c>
      <c r="I32" s="239">
        <f>VLOOKUP(A32,'FERC 2023'!$A$3:$BF$221,58,0)</f>
        <v>23303880</v>
      </c>
      <c r="J32" s="7"/>
      <c r="K32" s="7"/>
      <c r="L32" s="7"/>
      <c r="M32" s="187">
        <f t="shared" si="0"/>
        <v>9.3035206284335068</v>
      </c>
      <c r="N32" s="187">
        <f t="shared" si="1"/>
        <v>9.1436838811864849</v>
      </c>
      <c r="O32" s="187">
        <f t="shared" si="2"/>
        <v>9.5432536556144303</v>
      </c>
      <c r="P32" s="7"/>
      <c r="Q32" s="240">
        <f t="shared" si="3"/>
        <v>9.3301527217448079</v>
      </c>
      <c r="R32" s="189" t="str">
        <f t="shared" ref="R32:T32" si="79">IF(ISERROR(R$5-365*$Q32),"-",MONTH(R$5-365*$Q32)&amp;"_"&amp;YEAR(R$5-365*$Q32))</f>
        <v>9_2012</v>
      </c>
      <c r="S32" s="189" t="str">
        <f t="shared" si="79"/>
        <v>9_2013</v>
      </c>
      <c r="T32" s="189" t="str">
        <f t="shared" si="79"/>
        <v>9_2014</v>
      </c>
      <c r="U32" s="7"/>
      <c r="V32" s="7"/>
      <c r="W32" s="190">
        <f>IF(R32="-","-",VLOOKUP(R32,'CPI USA'!$T:$U,2,FALSE))</f>
        <v>229.59399999999999</v>
      </c>
      <c r="X32" s="190">
        <f>IF(S32="-","-",VLOOKUP(S32,'CPI USA'!$T:$U,2,FALSE))</f>
        <v>234.149</v>
      </c>
      <c r="Y32" s="190">
        <f>IF(T32="-","-",VLOOKUP(T32,'CPI USA'!$T:$U,2,FALSE))</f>
        <v>238.03100000000001</v>
      </c>
      <c r="Z32" s="7"/>
      <c r="AA32" s="7"/>
      <c r="AB32" s="190">
        <f>IF(R32="-","-",VLOOKUP(R32,'PPI USA'!$S:$T,2,FALSE))</f>
        <v>175.1</v>
      </c>
      <c r="AC32" s="190">
        <f>IF(S32="-","-",VLOOKUP(S32,'PPI USA'!$S:$T,2,FALSE))</f>
        <v>175.2</v>
      </c>
      <c r="AD32" s="190">
        <f>IF(T32="-","-",VLOOKUP(T32,'PPI USA'!$S:$T,2,FALSE))</f>
        <v>187.8</v>
      </c>
      <c r="AE32" s="7"/>
      <c r="AF32" s="7"/>
      <c r="AG32" s="190">
        <f t="shared" ref="AG32:AI32" si="80">IF(W32="-","-",(AT32*$B$2/W32+(1-AT32)*AVERAGE($B$2,$B$3)/AVERAGE(W32,AB32)))</f>
        <v>1.3897894616766442</v>
      </c>
      <c r="AH32" s="190">
        <f t="shared" si="80"/>
        <v>1.3661768109417007</v>
      </c>
      <c r="AI32" s="190">
        <f t="shared" si="80"/>
        <v>1.3337530552252315</v>
      </c>
      <c r="AJ32" s="7"/>
      <c r="AK32" s="7"/>
      <c r="AL32" s="190">
        <f t="shared" ref="AL32:AN32" si="81">IF(W32="-","-",(AY32*$B$2/W32+(1-AY32)*AVERAGE($B$2,$B$3)/AVERAGE(W32,AB32)))</f>
        <v>1.4008620811189902</v>
      </c>
      <c r="AM32" s="190">
        <f t="shared" si="81"/>
        <v>1.3789714160509126</v>
      </c>
      <c r="AN32" s="190">
        <f t="shared" si="81"/>
        <v>1.3409310393170211</v>
      </c>
      <c r="AO32" s="7"/>
      <c r="AP32" s="7"/>
      <c r="AQ32" s="7"/>
      <c r="AR32" s="7"/>
      <c r="AS32" s="7"/>
      <c r="AT32" s="242">
        <f>IF(R32="-","-",VLOOKUP(R32,'CPI USA'!$T:$V,3,FALSE))</f>
        <v>0.66730871354337351</v>
      </c>
      <c r="AU32" s="242">
        <f>IF(S32="-","-",VLOOKUP(S32,'CPI USA'!$T:$V,3,FALSE))</f>
        <v>0.67305131835944076</v>
      </c>
      <c r="AV32" s="242">
        <f>IF(T32="-","-",VLOOKUP(T32,'CPI USA'!$T:$V,3,FALSE))</f>
        <v>0.66756601812039096</v>
      </c>
      <c r="AW32" s="7"/>
      <c r="AX32" s="7"/>
      <c r="AY32" s="242">
        <f>IF(R32="-","-",VLOOKUP(R32,'CPI USA'!$T:$X,5,FALSE))</f>
        <v>0.49513551903851311</v>
      </c>
      <c r="AZ32" s="242">
        <f>IF(S32="-","-",VLOOKUP(S32,'CPI USA'!$T:$X,5,FALSE))</f>
        <v>0.50163050295255052</v>
      </c>
      <c r="BA32" s="242">
        <f>IF(T32="-","-",VLOOKUP(T32,'CPI USA'!$T:$X,5,FALSE))</f>
        <v>0.49542529667095003</v>
      </c>
      <c r="BB32" s="7"/>
    </row>
    <row r="33" spans="1:54" ht="15.75" customHeight="1">
      <c r="A33" s="185" t="s">
        <v>288</v>
      </c>
      <c r="B33" s="185" t="s">
        <v>289</v>
      </c>
      <c r="C33" s="239">
        <f>+'Empresas 21-23'!J28</f>
        <v>0</v>
      </c>
      <c r="D33" s="239">
        <f>VLOOKUP(A33,'FERC 2021'!$A$3:$BE$221,57,0)</f>
        <v>909723086</v>
      </c>
      <c r="E33" s="239">
        <f>VLOOKUP(A33,'FERC 2021'!$A$3:$BF$221,58,0)</f>
        <v>64999788</v>
      </c>
      <c r="F33" s="239">
        <f>VLOOKUP(A33,'FERC 2022'!$A$3:$BE$220,57,0)</f>
        <v>936144955</v>
      </c>
      <c r="G33" s="239">
        <f>VLOOKUP(A33,'FERC 2022'!$A$3:$BF$220,58,0)</f>
        <v>69916673</v>
      </c>
      <c r="H33" s="239">
        <f>VLOOKUP(A33,'FERC 2023'!$A$3:$BE$221,57,0)</f>
        <v>969415487</v>
      </c>
      <c r="I33" s="239">
        <f>VLOOKUP(A33,'FERC 2023'!$A$3:$BF$221,58,0)</f>
        <v>74047129</v>
      </c>
      <c r="J33" s="7"/>
      <c r="K33" s="7"/>
      <c r="L33" s="7"/>
      <c r="M33" s="187">
        <f t="shared" si="0"/>
        <v>13.995785432407871</v>
      </c>
      <c r="N33" s="187">
        <f t="shared" si="1"/>
        <v>13.38943795280419</v>
      </c>
      <c r="O33" s="187">
        <f t="shared" si="2"/>
        <v>13.091871353985919</v>
      </c>
      <c r="P33" s="7"/>
      <c r="Q33" s="240">
        <f t="shared" si="3"/>
        <v>13.492364913065993</v>
      </c>
      <c r="R33" s="189" t="str">
        <f t="shared" ref="R33:T33" si="82">IF(ISERROR(R$5-365*$Q33),"-",MONTH(R$5-365*$Q33)&amp;"_"&amp;YEAR(R$5-365*$Q33))</f>
        <v>7_2008</v>
      </c>
      <c r="S33" s="189" t="str">
        <f t="shared" si="82"/>
        <v>7_2009</v>
      </c>
      <c r="T33" s="189" t="str">
        <f t="shared" si="82"/>
        <v>7_2010</v>
      </c>
      <c r="U33" s="7"/>
      <c r="V33" s="7"/>
      <c r="W33" s="190">
        <f>IF(R33="-","-",VLOOKUP(R33,'CPI USA'!$T:$U,2,FALSE))</f>
        <v>215.303</v>
      </c>
      <c r="X33" s="190">
        <f>IF(S33="-","-",VLOOKUP(S33,'CPI USA'!$T:$U,2,FALSE))</f>
        <v>214.53700000000001</v>
      </c>
      <c r="Y33" s="190">
        <f>IF(T33="-","-",VLOOKUP(T33,'CPI USA'!$T:$U,2,FALSE))</f>
        <v>218.05600000000001</v>
      </c>
      <c r="Z33" s="7"/>
      <c r="AA33" s="7"/>
      <c r="AB33" s="190">
        <f>IF(R33="-","-",VLOOKUP(R33,'PPI USA'!$S:$T,2,FALSE))</f>
        <v>159.30000000000001</v>
      </c>
      <c r="AC33" s="190">
        <f>IF(S33="-","-",VLOOKUP(S33,'PPI USA'!$S:$T,2,FALSE))</f>
        <v>159.1</v>
      </c>
      <c r="AD33" s="190">
        <f>IF(T33="-","-",VLOOKUP(T33,'PPI USA'!$S:$T,2,FALSE))</f>
        <v>160.80000000000001</v>
      </c>
      <c r="AE33" s="7"/>
      <c r="AF33" s="7"/>
      <c r="AG33" s="190">
        <f t="shared" ref="AG33:AI33" si="83">IF(W33="-","-",(AT33*$B$2/W33+(1-AT33)*AVERAGE($B$2,$B$3)/AVERAGE(W33,AB33)))</f>
        <v>1.4884333659448254</v>
      </c>
      <c r="AH33" s="190">
        <f t="shared" si="83"/>
        <v>1.4932638886873792</v>
      </c>
      <c r="AI33" s="190">
        <f t="shared" si="83"/>
        <v>1.4703278680244813</v>
      </c>
      <c r="AJ33" s="7"/>
      <c r="AK33" s="7"/>
      <c r="AL33" s="190">
        <f t="shared" ref="AL33:AN33" si="84">IF(W33="-","-",(AY33*$B$2/W33+(1-AY33)*AVERAGE($B$2,$B$3)/AVERAGE(W33,AB33)))</f>
        <v>1.5036496327119213</v>
      </c>
      <c r="AM33" s="190">
        <f t="shared" si="84"/>
        <v>1.5082750176818205</v>
      </c>
      <c r="AN33" s="190">
        <f t="shared" si="84"/>
        <v>1.4857204383544427</v>
      </c>
      <c r="AO33" s="7"/>
      <c r="AP33" s="7"/>
      <c r="AQ33" s="7"/>
      <c r="AR33" s="7"/>
      <c r="AS33" s="7"/>
      <c r="AT33" s="242">
        <f>IF(R33="-","-",VLOOKUP(R33,'CPI USA'!$T:$V,3,FALSE))</f>
        <v>0.67018812038291731</v>
      </c>
      <c r="AU33" s="242">
        <f>IF(S33="-","-",VLOOKUP(S33,'CPI USA'!$T:$V,3,FALSE))</f>
        <v>0.66997101349938215</v>
      </c>
      <c r="AV33" s="242">
        <f>IF(T33="-","-",VLOOKUP(T33,'CPI USA'!$T:$V,3,FALSE))</f>
        <v>0.67050107279443949</v>
      </c>
      <c r="AW33" s="7"/>
      <c r="AX33" s="7"/>
      <c r="AY33" s="242">
        <f>IF(R33="-","-",VLOOKUP(R33,'CPI USA'!$T:$X,5,FALSE))</f>
        <v>0.49838492968660258</v>
      </c>
      <c r="AZ33" s="242">
        <f>IF(S33="-","-",VLOOKUP(S33,'CPI USA'!$T:$X,5,FALSE))</f>
        <v>0.49813941766071862</v>
      </c>
      <c r="BA33" s="242">
        <f>IF(T33="-","-",VLOOKUP(T33,'CPI USA'!$T:$X,5,FALSE))</f>
        <v>0.4987389730136107</v>
      </c>
      <c r="BB33" s="7"/>
    </row>
    <row r="34" spans="1:54" ht="15.75" customHeight="1">
      <c r="A34" s="185" t="s">
        <v>291</v>
      </c>
      <c r="B34" s="185" t="s">
        <v>292</v>
      </c>
      <c r="C34" s="239">
        <f>+'Empresas 21-23'!J29</f>
        <v>0</v>
      </c>
      <c r="D34" s="239">
        <f>VLOOKUP(A34,'FERC 2021'!$A$3:$BE$221,57,0)</f>
        <v>763114663</v>
      </c>
      <c r="E34" s="239">
        <f>VLOOKUP(A34,'FERC 2021'!$A$3:$BF$221,58,0)</f>
        <v>64755865</v>
      </c>
      <c r="F34" s="239">
        <f>VLOOKUP(A34,'FERC 2022'!$A$3:$BE$220,57,0)</f>
        <v>783293860</v>
      </c>
      <c r="G34" s="239">
        <f>VLOOKUP(A34,'FERC 2022'!$A$3:$BF$220,58,0)</f>
        <v>69326163</v>
      </c>
      <c r="H34" s="239">
        <f>VLOOKUP(A34,'FERC 2023'!$A$3:$BE$221,57,0)</f>
        <v>826437581</v>
      </c>
      <c r="I34" s="239">
        <f>VLOOKUP(A34,'FERC 2023'!$A$3:$BF$221,58,0)</f>
        <v>73634572</v>
      </c>
      <c r="J34" s="7"/>
      <c r="K34" s="7"/>
      <c r="L34" s="7"/>
      <c r="M34" s="187">
        <f t="shared" si="0"/>
        <v>11.78448721208496</v>
      </c>
      <c r="N34" s="187">
        <f t="shared" si="1"/>
        <v>11.298676085679226</v>
      </c>
      <c r="O34" s="187">
        <f t="shared" si="2"/>
        <v>11.223499486083792</v>
      </c>
      <c r="P34" s="7"/>
      <c r="Q34" s="240">
        <f t="shared" si="3"/>
        <v>11.435554261282661</v>
      </c>
      <c r="R34" s="189" t="str">
        <f t="shared" ref="R34:T34" si="85">IF(ISERROR(R$5-365*$Q34),"-",MONTH(R$5-365*$Q34)&amp;"_"&amp;YEAR(R$5-365*$Q34))</f>
        <v>7_2010</v>
      </c>
      <c r="S34" s="189" t="str">
        <f t="shared" si="85"/>
        <v>7_2011</v>
      </c>
      <c r="T34" s="189" t="str">
        <f t="shared" si="85"/>
        <v>7_2012</v>
      </c>
      <c r="U34" s="7"/>
      <c r="V34" s="7"/>
      <c r="W34" s="190">
        <f>IF(R34="-","-",VLOOKUP(R34,'CPI USA'!$T:$U,2,FALSE))</f>
        <v>218.05600000000001</v>
      </c>
      <c r="X34" s="190">
        <f>IF(S34="-","-",VLOOKUP(S34,'CPI USA'!$T:$U,2,FALSE))</f>
        <v>224.93899999999999</v>
      </c>
      <c r="Y34" s="190">
        <f>IF(T34="-","-",VLOOKUP(T34,'CPI USA'!$T:$U,2,FALSE))</f>
        <v>229.59399999999999</v>
      </c>
      <c r="Z34" s="7"/>
      <c r="AA34" s="7"/>
      <c r="AB34" s="190">
        <f>IF(R34="-","-",VLOOKUP(R34,'PPI USA'!$S:$T,2,FALSE))</f>
        <v>160.80000000000001</v>
      </c>
      <c r="AC34" s="190">
        <f>IF(S34="-","-",VLOOKUP(S34,'PPI USA'!$S:$T,2,FALSE))</f>
        <v>169.6</v>
      </c>
      <c r="AD34" s="190">
        <f>IF(T34="-","-",VLOOKUP(T34,'PPI USA'!$S:$T,2,FALSE))</f>
        <v>175.1</v>
      </c>
      <c r="AE34" s="7"/>
      <c r="AF34" s="7"/>
      <c r="AG34" s="190">
        <f t="shared" ref="AG34:AI34" si="86">IF(W34="-","-",(AT34*$B$2/W34+(1-AT34)*AVERAGE($B$2,$B$3)/AVERAGE(W34,AB34)))</f>
        <v>1.4703278680244813</v>
      </c>
      <c r="AH34" s="190">
        <f t="shared" si="86"/>
        <v>1.4208751760332547</v>
      </c>
      <c r="AI34" s="190">
        <f t="shared" si="86"/>
        <v>1.3897894616766442</v>
      </c>
      <c r="AJ34" s="7"/>
      <c r="AK34" s="7"/>
      <c r="AL34" s="190">
        <f t="shared" ref="AL34:AN34" si="87">IF(W34="-","-",(AY34*$B$2/W34+(1-AY34)*AVERAGE($B$2,$B$3)/AVERAGE(W34,AB34)))</f>
        <v>1.4857204383544427</v>
      </c>
      <c r="AM34" s="190">
        <f t="shared" si="87"/>
        <v>1.4334111417560953</v>
      </c>
      <c r="AN34" s="190">
        <f t="shared" si="87"/>
        <v>1.4008620811189902</v>
      </c>
      <c r="AO34" s="7"/>
      <c r="AP34" s="7"/>
      <c r="AQ34" s="7"/>
      <c r="AR34" s="7"/>
      <c r="AS34" s="7"/>
      <c r="AT34" s="242">
        <f>IF(R34="-","-",VLOOKUP(R34,'CPI USA'!$T:$V,3,FALSE))</f>
        <v>0.67050107279443949</v>
      </c>
      <c r="AU34" s="242">
        <f>IF(S34="-","-",VLOOKUP(S34,'CPI USA'!$T:$V,3,FALSE))</f>
        <v>0.6684022975047168</v>
      </c>
      <c r="AV34" s="242">
        <f>IF(T34="-","-",VLOOKUP(T34,'CPI USA'!$T:$V,3,FALSE))</f>
        <v>0.66730871354337351</v>
      </c>
      <c r="AW34" s="7"/>
      <c r="AX34" s="7"/>
      <c r="AY34" s="242">
        <f>IF(R34="-","-",VLOOKUP(R34,'CPI USA'!$T:$X,5,FALSE))</f>
        <v>0.4987389730136107</v>
      </c>
      <c r="AZ34" s="242">
        <f>IF(S34="-","-",VLOOKUP(S34,'CPI USA'!$T:$X,5,FALSE))</f>
        <v>0.49636791791307899</v>
      </c>
      <c r="BA34" s="242">
        <f>IF(T34="-","-",VLOOKUP(T34,'CPI USA'!$T:$X,5,FALSE))</f>
        <v>0.49513551903851311</v>
      </c>
      <c r="BB34" s="7"/>
    </row>
    <row r="35" spans="1:54" ht="15.75" customHeight="1">
      <c r="A35" s="185" t="s">
        <v>294</v>
      </c>
      <c r="B35" s="185" t="s">
        <v>295</v>
      </c>
      <c r="C35" s="243">
        <f>+'Empresas 21-23'!J30</f>
        <v>0</v>
      </c>
      <c r="D35" s="239">
        <f>VLOOKUP(A35,'FERC 2021'!$A$3:$BE$221,57,0)</f>
        <v>0</v>
      </c>
      <c r="E35" s="239">
        <f>VLOOKUP(A35,'FERC 2021'!$A$3:$BF$221,58,0)</f>
        <v>0</v>
      </c>
      <c r="F35" s="239">
        <f>VLOOKUP(A35,'FERC 2022'!$A$3:$BE$220,57,0)</f>
        <v>0</v>
      </c>
      <c r="G35" s="239">
        <f>VLOOKUP(A35,'FERC 2022'!$A$3:$BF$220,58,0)</f>
        <v>0</v>
      </c>
      <c r="H35" s="239">
        <f>VLOOKUP(A35,'FERC 2023'!$A$3:$BE$221,57,0)</f>
        <v>0</v>
      </c>
      <c r="I35" s="239">
        <f>VLOOKUP(A35,'FERC 2023'!$A$3:$BF$221,58,0)</f>
        <v>0</v>
      </c>
      <c r="J35" s="7"/>
      <c r="K35" s="7"/>
      <c r="L35" s="7"/>
      <c r="M35" s="187" t="str">
        <f t="shared" si="0"/>
        <v/>
      </c>
      <c r="N35" s="187" t="str">
        <f t="shared" si="1"/>
        <v/>
      </c>
      <c r="O35" s="187" t="str">
        <f t="shared" si="2"/>
        <v/>
      </c>
      <c r="P35" s="7"/>
      <c r="Q35" s="240" t="str">
        <f t="shared" si="3"/>
        <v>-</v>
      </c>
      <c r="R35" s="189" t="str">
        <f t="shared" ref="R35:T35" si="88">IF(ISERROR(R$5-365*$Q35),"-",MONTH(R$5-365*$Q35)&amp;"_"&amp;YEAR(R$5-365*$Q35))</f>
        <v>-</v>
      </c>
      <c r="S35" s="189" t="str">
        <f t="shared" si="88"/>
        <v>-</v>
      </c>
      <c r="T35" s="189" t="str">
        <f t="shared" si="88"/>
        <v>-</v>
      </c>
      <c r="U35" s="7"/>
      <c r="V35" s="7"/>
      <c r="W35" s="190" t="str">
        <f>IF(R35="-","-",VLOOKUP(R35,'CPI USA'!$T:$U,2,FALSE))</f>
        <v>-</v>
      </c>
      <c r="X35" s="190" t="str">
        <f>IF(S35="-","-",VLOOKUP(S35,'CPI USA'!$T:$U,2,FALSE))</f>
        <v>-</v>
      </c>
      <c r="Y35" s="190" t="str">
        <f>IF(T35="-","-",VLOOKUP(T35,'CPI USA'!$T:$U,2,FALSE))</f>
        <v>-</v>
      </c>
      <c r="Z35" s="7"/>
      <c r="AA35" s="7"/>
      <c r="AB35" s="190" t="str">
        <f>IF(R35="-","-",VLOOKUP(R35,'PPI USA'!$S:$T,2,FALSE))</f>
        <v>-</v>
      </c>
      <c r="AC35" s="190" t="str">
        <f>IF(S35="-","-",VLOOKUP(S35,'PPI USA'!$S:$T,2,FALSE))</f>
        <v>-</v>
      </c>
      <c r="AD35" s="190" t="str">
        <f>IF(T35="-","-",VLOOKUP(T35,'PPI USA'!$S:$T,2,FALSE))</f>
        <v>-</v>
      </c>
      <c r="AE35" s="7"/>
      <c r="AF35" s="7"/>
      <c r="AG35" s="190" t="str">
        <f t="shared" ref="AG35:AI35" si="89">IF(W35="-","-",(AT35*$B$2/W35+(1-AT35)*AVERAGE($B$2,$B$3)/AVERAGE(W35,AB35)))</f>
        <v>-</v>
      </c>
      <c r="AH35" s="190" t="str">
        <f t="shared" si="89"/>
        <v>-</v>
      </c>
      <c r="AI35" s="190" t="str">
        <f t="shared" si="89"/>
        <v>-</v>
      </c>
      <c r="AJ35" s="7"/>
      <c r="AK35" s="7"/>
      <c r="AL35" s="190" t="str">
        <f t="shared" ref="AL35:AN35" si="90">IF(W35="-","-",(AY35*$B$2/W35+(1-AY35)*AVERAGE($B$2,$B$3)/AVERAGE(W35,AB35)))</f>
        <v>-</v>
      </c>
      <c r="AM35" s="190" t="str">
        <f t="shared" si="90"/>
        <v>-</v>
      </c>
      <c r="AN35" s="190" t="str">
        <f t="shared" si="90"/>
        <v>-</v>
      </c>
      <c r="AO35" s="7"/>
      <c r="AP35" s="7"/>
      <c r="AQ35" s="7"/>
      <c r="AR35" s="7"/>
      <c r="AS35" s="7"/>
      <c r="AT35" s="242" t="str">
        <f>IF(R35="-","-",VLOOKUP(R35,'CPI USA'!$T:$V,3,FALSE))</f>
        <v>-</v>
      </c>
      <c r="AU35" s="242" t="str">
        <f>IF(S35="-","-",VLOOKUP(S35,'CPI USA'!$T:$V,3,FALSE))</f>
        <v>-</v>
      </c>
      <c r="AV35" s="242" t="str">
        <f>IF(T35="-","-",VLOOKUP(T35,'CPI USA'!$T:$V,3,FALSE))</f>
        <v>-</v>
      </c>
      <c r="AW35" s="7"/>
      <c r="AX35" s="7"/>
      <c r="AY35" s="242" t="str">
        <f>IF(R35="-","-",VLOOKUP(R35,'CPI USA'!$T:$X,5,FALSE))</f>
        <v>-</v>
      </c>
      <c r="AZ35" s="242" t="str">
        <f>IF(S35="-","-",VLOOKUP(S35,'CPI USA'!$T:$X,5,FALSE))</f>
        <v>-</v>
      </c>
      <c r="BA35" s="242" t="str">
        <f>IF(T35="-","-",VLOOKUP(T35,'CPI USA'!$T:$X,5,FALSE))</f>
        <v>-</v>
      </c>
      <c r="BB35" s="7"/>
    </row>
    <row r="36" spans="1:54" ht="15.75" customHeight="1">
      <c r="A36" s="185" t="s">
        <v>297</v>
      </c>
      <c r="B36" s="185" t="s">
        <v>298</v>
      </c>
      <c r="C36" s="243">
        <f>+'Empresas 21-23'!J31</f>
        <v>0</v>
      </c>
      <c r="D36" s="239">
        <f>VLOOKUP(A36,'FERC 2021'!$A$3:$BE$221,57,0)</f>
        <v>149409</v>
      </c>
      <c r="E36" s="239">
        <f>VLOOKUP(A36,'FERC 2021'!$A$3:$BF$221,58,0)</f>
        <v>53418</v>
      </c>
      <c r="F36" s="239">
        <f>VLOOKUP(A36,'FERC 2022'!$A$3:$BE$220,57,0)</f>
        <v>202827</v>
      </c>
      <c r="G36" s="239">
        <f>VLOOKUP(A36,'FERC 2022'!$A$3:$BF$220,58,0)</f>
        <v>53418</v>
      </c>
      <c r="H36" s="244" t="e">
        <f>VLOOKUP(A36,'FERC 2023'!$A$3:$BE$221,57,0)</f>
        <v>#N/A</v>
      </c>
      <c r="I36" s="244" t="e">
        <f>VLOOKUP(A36,'FERC 2023'!$A$3:$BF$221,58,0)</f>
        <v>#N/A</v>
      </c>
      <c r="J36" s="7"/>
      <c r="K36" s="7"/>
      <c r="L36" s="7"/>
      <c r="M36" s="187">
        <f t="shared" si="0"/>
        <v>2.79697854655734</v>
      </c>
      <c r="N36" s="187">
        <f t="shared" si="1"/>
        <v>3.79697854655734</v>
      </c>
      <c r="O36" s="187" t="str">
        <f t="shared" si="2"/>
        <v/>
      </c>
      <c r="P36" s="7"/>
      <c r="Q36" s="240">
        <f t="shared" si="3"/>
        <v>3.29697854655734</v>
      </c>
      <c r="R36" s="189" t="str">
        <f t="shared" ref="R36:T36" si="91">IF(ISERROR(R$5-365*$Q36),"-",MONTH(R$5-365*$Q36)&amp;"_"&amp;YEAR(R$5-365*$Q36))</f>
        <v>9_2018</v>
      </c>
      <c r="S36" s="189" t="str">
        <f t="shared" si="91"/>
        <v>9_2019</v>
      </c>
      <c r="T36" s="189" t="str">
        <f t="shared" si="91"/>
        <v>9_2020</v>
      </c>
      <c r="U36" s="7"/>
      <c r="V36" s="7"/>
      <c r="W36" s="190">
        <f>IF(R36="-","-",VLOOKUP(R36,'CPI USA'!$T:$U,2,FALSE))</f>
        <v>252.43899999999999</v>
      </c>
      <c r="X36" s="190">
        <f>IF(S36="-","-",VLOOKUP(S36,'CPI USA'!$T:$U,2,FALSE))</f>
        <v>256.75900000000001</v>
      </c>
      <c r="Y36" s="190">
        <f>IF(T36="-","-",VLOOKUP(T36,'CPI USA'!$T:$U,2,FALSE))</f>
        <v>260.27999999999997</v>
      </c>
      <c r="Z36" s="7"/>
      <c r="AA36" s="7"/>
      <c r="AB36" s="190">
        <f>IF(R36="-","-",VLOOKUP(R36,'PPI USA'!$S:$T,2,FALSE))</f>
        <v>213.5</v>
      </c>
      <c r="AC36" s="190">
        <f>IF(S36="-","-",VLOOKUP(S36,'PPI USA'!$S:$T,2,FALSE))</f>
        <v>212.6</v>
      </c>
      <c r="AD36" s="190">
        <f>IF(T36="-","-",VLOOKUP(T36,'PPI USA'!$S:$T,2,FALSE))</f>
        <v>214.1</v>
      </c>
      <c r="AE36" s="7"/>
      <c r="AF36" s="7"/>
      <c r="AG36" s="190">
        <f t="shared" ref="AG36:AI36" si="92">IF(W36="-","-",(AT36*$B$2/W36+(1-AT36)*AVERAGE($B$2,$B$3)/AVERAGE(W36,AB36)))</f>
        <v>1.2444992973064792</v>
      </c>
      <c r="AH36" s="190">
        <f t="shared" si="92"/>
        <v>1.2275005666081413</v>
      </c>
      <c r="AI36" s="190">
        <f t="shared" si="92"/>
        <v>1.2120846430058578</v>
      </c>
      <c r="AJ36" s="7"/>
      <c r="AK36" s="7"/>
      <c r="AL36" s="190">
        <f t="shared" ref="AL36:AN36" si="93">IF(W36="-","-",(AY36*$B$2/W36+(1-AY36)*AVERAGE($B$2,$B$3)/AVERAGE(W36,AB36)))</f>
        <v>1.2444692065628193</v>
      </c>
      <c r="AM36" s="190">
        <f t="shared" si="93"/>
        <v>1.2295134979257762</v>
      </c>
      <c r="AN36" s="190">
        <f t="shared" si="93"/>
        <v>1.2146937699248537</v>
      </c>
      <c r="AO36" s="7"/>
      <c r="AP36" s="7"/>
      <c r="AQ36" s="7"/>
      <c r="AR36" s="7"/>
      <c r="AS36" s="7"/>
      <c r="AT36" s="242">
        <f>IF(R36="-","-",VLOOKUP(R36,'CPI USA'!$T:$V,3,FALSE))</f>
        <v>0.66243304941135561</v>
      </c>
      <c r="AU36" s="242">
        <f>IF(S36="-","-",VLOOKUP(S36,'CPI USA'!$T:$V,3,FALSE))</f>
        <v>0.66813382685394751</v>
      </c>
      <c r="AV36" s="242">
        <f>IF(T36="-","-",VLOOKUP(T36,'CPI USA'!$T:$V,3,FALSE))</f>
        <v>0.66927315445418356</v>
      </c>
      <c r="AW36" s="7"/>
      <c r="AX36" s="7"/>
      <c r="AY36" s="242">
        <f>IF(R36="-","-",VLOOKUP(R36,'CPI USA'!$T:$X,5,FALSE))</f>
        <v>0.48966629901144693</v>
      </c>
      <c r="AZ36" s="242">
        <f>IF(S36="-","-",VLOOKUP(S36,'CPI USA'!$T:$X,5,FALSE))</f>
        <v>0.49606517501108732</v>
      </c>
      <c r="BA36" s="242">
        <f>IF(T36="-","-",VLOOKUP(T36,'CPI USA'!$T:$X,5,FALSE))</f>
        <v>0.49735081517553736</v>
      </c>
      <c r="BB36" s="7"/>
    </row>
    <row r="37" spans="1:54" ht="15.75" customHeight="1">
      <c r="A37" s="185" t="s">
        <v>300</v>
      </c>
      <c r="B37" s="185" t="s">
        <v>301</v>
      </c>
      <c r="C37" s="239">
        <f>+'Empresas 21-23'!J32</f>
        <v>0</v>
      </c>
      <c r="D37" s="239">
        <f>VLOOKUP(A37,'FERC 2021'!$A$3:$BE$221,57,0)</f>
        <v>688522138</v>
      </c>
      <c r="E37" s="239">
        <f>VLOOKUP(A37,'FERC 2021'!$A$3:$BF$221,58,0)</f>
        <v>53293772</v>
      </c>
      <c r="F37" s="239">
        <f>VLOOKUP(A37,'FERC 2022'!$A$3:$BE$220,57,0)</f>
        <v>736323137</v>
      </c>
      <c r="G37" s="239">
        <f>VLOOKUP(A37,'FERC 2022'!$A$3:$BF$220,58,0)</f>
        <v>56705595</v>
      </c>
      <c r="H37" s="239">
        <f>VLOOKUP(A37,'FERC 2023'!$A$3:$BE$221,57,0)</f>
        <v>788670773</v>
      </c>
      <c r="I37" s="239">
        <f>VLOOKUP(A37,'FERC 2023'!$A$3:$BF$221,58,0)</f>
        <v>60509580</v>
      </c>
      <c r="J37" s="7"/>
      <c r="K37" s="7"/>
      <c r="L37" s="7"/>
      <c r="M37" s="187">
        <f t="shared" si="0"/>
        <v>12.919373355670903</v>
      </c>
      <c r="N37" s="187">
        <f t="shared" si="1"/>
        <v>12.985017386732297</v>
      </c>
      <c r="O37" s="187">
        <f t="shared" si="2"/>
        <v>13.033816678284662</v>
      </c>
      <c r="P37" s="7"/>
      <c r="Q37" s="240">
        <f t="shared" si="3"/>
        <v>12.979402473562621</v>
      </c>
      <c r="R37" s="189" t="str">
        <f t="shared" ref="R37:T37" si="94">IF(ISERROR(R$5-365*$Q37),"-",MONTH(R$5-365*$Q37)&amp;"_"&amp;YEAR(R$5-365*$Q37))</f>
        <v>1_2009</v>
      </c>
      <c r="S37" s="189" t="str">
        <f t="shared" si="94"/>
        <v>1_2010</v>
      </c>
      <c r="T37" s="189" t="str">
        <f t="shared" si="94"/>
        <v>1_2011</v>
      </c>
      <c r="U37" s="7"/>
      <c r="V37" s="7"/>
      <c r="W37" s="190">
        <f>IF(R37="-","-",VLOOKUP(R37,'CPI USA'!$T:$U,2,FALSE))</f>
        <v>214.53700000000001</v>
      </c>
      <c r="X37" s="190">
        <f>IF(S37="-","-",VLOOKUP(S37,'CPI USA'!$T:$U,2,FALSE))</f>
        <v>218.05600000000001</v>
      </c>
      <c r="Y37" s="190">
        <f>IF(T37="-","-",VLOOKUP(T37,'CPI USA'!$T:$U,2,FALSE))</f>
        <v>224.93899999999999</v>
      </c>
      <c r="Z37" s="7"/>
      <c r="AA37" s="7"/>
      <c r="AB37" s="190">
        <f>IF(R37="-","-",VLOOKUP(R37,'PPI USA'!$S:$T,2,FALSE))</f>
        <v>159.1</v>
      </c>
      <c r="AC37" s="190">
        <f>IF(S37="-","-",VLOOKUP(S37,'PPI USA'!$S:$T,2,FALSE))</f>
        <v>160.80000000000001</v>
      </c>
      <c r="AD37" s="190">
        <f>IF(T37="-","-",VLOOKUP(T37,'PPI USA'!$S:$T,2,FALSE))</f>
        <v>169.6</v>
      </c>
      <c r="AE37" s="7"/>
      <c r="AF37" s="7"/>
      <c r="AG37" s="190">
        <f t="shared" ref="AG37:AI37" si="95">IF(W37="-","-",(AT37*$B$2/W37+(1-AT37)*AVERAGE($B$2,$B$3)/AVERAGE(W37,AB37)))</f>
        <v>1.4932638886873792</v>
      </c>
      <c r="AH37" s="190">
        <f t="shared" si="95"/>
        <v>1.4703278680244813</v>
      </c>
      <c r="AI37" s="190">
        <f t="shared" si="95"/>
        <v>1.4208751760332547</v>
      </c>
      <c r="AJ37" s="7"/>
      <c r="AK37" s="7"/>
      <c r="AL37" s="190">
        <f t="shared" ref="AL37:AN37" si="96">IF(W37="-","-",(AY37*$B$2/W37+(1-AY37)*AVERAGE($B$2,$B$3)/AVERAGE(W37,AB37)))</f>
        <v>1.5082750176818205</v>
      </c>
      <c r="AM37" s="190">
        <f t="shared" si="96"/>
        <v>1.4857204383544427</v>
      </c>
      <c r="AN37" s="190">
        <f t="shared" si="96"/>
        <v>1.4334111417560953</v>
      </c>
      <c r="AO37" s="7"/>
      <c r="AP37" s="7"/>
      <c r="AQ37" s="7"/>
      <c r="AR37" s="7"/>
      <c r="AS37" s="7"/>
      <c r="AT37" s="242">
        <f>IF(R37="-","-",VLOOKUP(R37,'CPI USA'!$T:$V,3,FALSE))</f>
        <v>0.66997101349938215</v>
      </c>
      <c r="AU37" s="242">
        <f>IF(S37="-","-",VLOOKUP(S37,'CPI USA'!$T:$V,3,FALSE))</f>
        <v>0.67050107279443949</v>
      </c>
      <c r="AV37" s="242">
        <f>IF(T37="-","-",VLOOKUP(T37,'CPI USA'!$T:$V,3,FALSE))</f>
        <v>0.6684022975047168</v>
      </c>
      <c r="AW37" s="7"/>
      <c r="AX37" s="7"/>
      <c r="AY37" s="242">
        <f>IF(R37="-","-",VLOOKUP(R37,'CPI USA'!$T:$X,5,FALSE))</f>
        <v>0.49813941766071862</v>
      </c>
      <c r="AZ37" s="242">
        <f>IF(S37="-","-",VLOOKUP(S37,'CPI USA'!$T:$X,5,FALSE))</f>
        <v>0.4987389730136107</v>
      </c>
      <c r="BA37" s="242">
        <f>IF(T37="-","-",VLOOKUP(T37,'CPI USA'!$T:$X,5,FALSE))</f>
        <v>0.49636791791307899</v>
      </c>
      <c r="BB37" s="7"/>
    </row>
    <row r="38" spans="1:54" ht="15.75" customHeight="1">
      <c r="A38" s="185" t="s">
        <v>303</v>
      </c>
      <c r="B38" s="185" t="s">
        <v>304</v>
      </c>
      <c r="C38" s="239">
        <f>+'Empresas 21-23'!J33</f>
        <v>1</v>
      </c>
      <c r="D38" s="239">
        <f>VLOOKUP(A38,'FERC 2021'!$A$3:$BE$221,57,0)</f>
        <v>16056038423</v>
      </c>
      <c r="E38" s="239">
        <f>VLOOKUP(A38,'FERC 2021'!$A$3:$BF$221,58,0)</f>
        <v>1407258088</v>
      </c>
      <c r="F38" s="239">
        <f>VLOOKUP(A38,'FERC 2022'!$A$3:$BE$220,57,0)</f>
        <v>17054449313</v>
      </c>
      <c r="G38" s="239">
        <f>VLOOKUP(A38,'FERC 2022'!$A$3:$BF$220,58,0)</f>
        <v>1495362195</v>
      </c>
      <c r="H38" s="239">
        <f>VLOOKUP(A38,'FERC 2023'!$A$3:$BE$221,57,0)</f>
        <v>18012817394</v>
      </c>
      <c r="I38" s="239">
        <f>VLOOKUP(A38,'FERC 2023'!$A$3:$BF$221,58,0)</f>
        <v>1574841374</v>
      </c>
      <c r="J38" s="7"/>
      <c r="K38" s="7"/>
      <c r="L38" s="7"/>
      <c r="M38" s="187">
        <f t="shared" si="0"/>
        <v>11.409448316491041</v>
      </c>
      <c r="N38" s="187">
        <f t="shared" si="1"/>
        <v>11.404895329054376</v>
      </c>
      <c r="O38" s="187">
        <f t="shared" si="2"/>
        <v>11.437861419813066</v>
      </c>
      <c r="P38" s="7"/>
      <c r="Q38" s="240">
        <f t="shared" si="3"/>
        <v>11.417401688452827</v>
      </c>
      <c r="R38" s="189" t="str">
        <f t="shared" ref="R38:T38" si="97">IF(ISERROR(R$5-365*$Q38),"-",MONTH(R$5-365*$Q38)&amp;"_"&amp;YEAR(R$5-365*$Q38))</f>
        <v>8_2010</v>
      </c>
      <c r="S38" s="189" t="str">
        <f t="shared" si="97"/>
        <v>8_2011</v>
      </c>
      <c r="T38" s="189" t="str">
        <f t="shared" si="97"/>
        <v>8_2012</v>
      </c>
      <c r="U38" s="7"/>
      <c r="V38" s="7"/>
      <c r="W38" s="190">
        <f>IF(R38="-","-",VLOOKUP(R38,'CPI USA'!$T:$U,2,FALSE))</f>
        <v>218.05600000000001</v>
      </c>
      <c r="X38" s="190">
        <f>IF(S38="-","-",VLOOKUP(S38,'CPI USA'!$T:$U,2,FALSE))</f>
        <v>224.93899999999999</v>
      </c>
      <c r="Y38" s="190">
        <f>IF(T38="-","-",VLOOKUP(T38,'CPI USA'!$T:$U,2,FALSE))</f>
        <v>229.59399999999999</v>
      </c>
      <c r="Z38" s="7"/>
      <c r="AA38" s="7"/>
      <c r="AB38" s="190">
        <f>IF(R38="-","-",VLOOKUP(R38,'PPI USA'!$S:$T,2,FALSE))</f>
        <v>160.80000000000001</v>
      </c>
      <c r="AC38" s="190">
        <f>IF(S38="-","-",VLOOKUP(S38,'PPI USA'!$S:$T,2,FALSE))</f>
        <v>169.6</v>
      </c>
      <c r="AD38" s="190">
        <f>IF(T38="-","-",VLOOKUP(T38,'PPI USA'!$S:$T,2,FALSE))</f>
        <v>175.1</v>
      </c>
      <c r="AE38" s="7"/>
      <c r="AF38" s="7"/>
      <c r="AG38" s="190">
        <f t="shared" ref="AG38:AI38" si="98">IF(W38="-","-",(AT38*$B$2/W38+(1-AT38)*AVERAGE($B$2,$B$3)/AVERAGE(W38,AB38)))</f>
        <v>1.4703278680244813</v>
      </c>
      <c r="AH38" s="190">
        <f t="shared" si="98"/>
        <v>1.4208751760332547</v>
      </c>
      <c r="AI38" s="190">
        <f t="shared" si="98"/>
        <v>1.3897894616766442</v>
      </c>
      <c r="AJ38" s="7"/>
      <c r="AK38" s="7"/>
      <c r="AL38" s="190">
        <f t="shared" ref="AL38:AN38" si="99">IF(W38="-","-",(AY38*$B$2/W38+(1-AY38)*AVERAGE($B$2,$B$3)/AVERAGE(W38,AB38)))</f>
        <v>1.4857204383544427</v>
      </c>
      <c r="AM38" s="190">
        <f t="shared" si="99"/>
        <v>1.4334111417560953</v>
      </c>
      <c r="AN38" s="190">
        <f t="shared" si="99"/>
        <v>1.4008620811189902</v>
      </c>
      <c r="AO38" s="7"/>
      <c r="AP38" s="7"/>
      <c r="AQ38" s="7"/>
      <c r="AR38" s="7"/>
      <c r="AS38" s="7"/>
      <c r="AT38" s="242">
        <f>IF(R38="-","-",VLOOKUP(R38,'CPI USA'!$T:$V,3,FALSE))</f>
        <v>0.67050107279443949</v>
      </c>
      <c r="AU38" s="242">
        <f>IF(S38="-","-",VLOOKUP(S38,'CPI USA'!$T:$V,3,FALSE))</f>
        <v>0.6684022975047168</v>
      </c>
      <c r="AV38" s="242">
        <f>IF(T38="-","-",VLOOKUP(T38,'CPI USA'!$T:$V,3,FALSE))</f>
        <v>0.66730871354337351</v>
      </c>
      <c r="AW38" s="7"/>
      <c r="AX38" s="7"/>
      <c r="AY38" s="242">
        <f>IF(R38="-","-",VLOOKUP(R38,'CPI USA'!$T:$X,5,FALSE))</f>
        <v>0.4987389730136107</v>
      </c>
      <c r="AZ38" s="242">
        <f>IF(S38="-","-",VLOOKUP(S38,'CPI USA'!$T:$X,5,FALSE))</f>
        <v>0.49636791791307899</v>
      </c>
      <c r="BA38" s="242">
        <f>IF(T38="-","-",VLOOKUP(T38,'CPI USA'!$T:$X,5,FALSE))</f>
        <v>0.49513551903851311</v>
      </c>
      <c r="BB38" s="7"/>
    </row>
    <row r="39" spans="1:54" ht="15.75" customHeight="1">
      <c r="A39" s="185" t="s">
        <v>306</v>
      </c>
      <c r="B39" s="185" t="s">
        <v>307</v>
      </c>
      <c r="C39" s="239">
        <f>+'Empresas 21-23'!J34</f>
        <v>0</v>
      </c>
      <c r="D39" s="239">
        <f>VLOOKUP(A39,'FERC 2021'!$A$3:$BE$221,57,0)</f>
        <v>3388721004</v>
      </c>
      <c r="E39" s="239">
        <f>VLOOKUP(A39,'FERC 2021'!$A$3:$BF$221,58,0)</f>
        <v>425212316</v>
      </c>
      <c r="F39" s="239">
        <f>VLOOKUP(A39,'FERC 2022'!$A$3:$BE$220,57,0)</f>
        <v>3496816996</v>
      </c>
      <c r="G39" s="239">
        <f>VLOOKUP(A39,'FERC 2022'!$A$3:$BF$220,58,0)</f>
        <v>462020416</v>
      </c>
      <c r="H39" s="239">
        <f>VLOOKUP(A39,'FERC 2023'!$A$3:$BE$221,57,0)</f>
        <v>3560760757</v>
      </c>
      <c r="I39" s="239">
        <f>VLOOKUP(A39,'FERC 2023'!$A$3:$BF$221,58,0)</f>
        <v>498669171</v>
      </c>
      <c r="J39" s="7"/>
      <c r="K39" s="7"/>
      <c r="L39" s="7"/>
      <c r="M39" s="187">
        <f t="shared" si="0"/>
        <v>7.9694798962502302</v>
      </c>
      <c r="N39" s="187">
        <f t="shared" si="1"/>
        <v>7.5685334996105453</v>
      </c>
      <c r="O39" s="187">
        <f t="shared" si="2"/>
        <v>7.1405271552269269</v>
      </c>
      <c r="P39" s="7"/>
      <c r="Q39" s="240">
        <f t="shared" si="3"/>
        <v>7.5595135170292345</v>
      </c>
      <c r="R39" s="189" t="str">
        <f t="shared" ref="R39:T39" si="100">IF(ISERROR(R$5-365*$Q39),"-",MONTH(R$5-365*$Q39)&amp;"_"&amp;YEAR(R$5-365*$Q39))</f>
        <v>6_2014</v>
      </c>
      <c r="S39" s="189" t="str">
        <f t="shared" si="100"/>
        <v>6_2015</v>
      </c>
      <c r="T39" s="189" t="str">
        <f t="shared" si="100"/>
        <v>6_2016</v>
      </c>
      <c r="U39" s="7"/>
      <c r="V39" s="7"/>
      <c r="W39" s="190">
        <f>IF(R39="-","-",VLOOKUP(R39,'CPI USA'!$T:$U,2,FALSE))</f>
        <v>238.34299999999999</v>
      </c>
      <c r="X39" s="190">
        <f>IF(S39="-","-",VLOOKUP(S39,'CPI USA'!$T:$U,2,FALSE))</f>
        <v>238.63800000000001</v>
      </c>
      <c r="Y39" s="190">
        <f>IF(T39="-","-",VLOOKUP(T39,'CPI USA'!$T:$U,2,FALSE))</f>
        <v>241.018</v>
      </c>
      <c r="Z39" s="7"/>
      <c r="AA39" s="7"/>
      <c r="AB39" s="190">
        <f>IF(R39="-","-",VLOOKUP(R39,'PPI USA'!$S:$T,2,FALSE))</f>
        <v>186.8</v>
      </c>
      <c r="AC39" s="190">
        <f>IF(S39="-","-",VLOOKUP(S39,'PPI USA'!$S:$T,2,FALSE))</f>
        <v>197.8</v>
      </c>
      <c r="AD39" s="190">
        <f>IF(T39="-","-",VLOOKUP(T39,'PPI USA'!$S:$T,2,FALSE))</f>
        <v>183.2</v>
      </c>
      <c r="AE39" s="7"/>
      <c r="AF39" s="7"/>
      <c r="AG39" s="190">
        <f t="shared" ref="AG39:AI39" si="101">IF(W39="-","-",(AT39*$B$2/W39+(1-AT39)*AVERAGE($B$2,$B$3)/AVERAGE(W39,AB39)))</f>
        <v>1.3333321386506967</v>
      </c>
      <c r="AH39" s="190">
        <f t="shared" si="101"/>
        <v>1.3205066343366378</v>
      </c>
      <c r="AI39" s="190">
        <f t="shared" si="101"/>
        <v>1.3243173549564331</v>
      </c>
      <c r="AJ39" s="7"/>
      <c r="AK39" s="7"/>
      <c r="AL39" s="190">
        <f t="shared" ref="AL39:AN39" si="102">IF(W39="-","-",(AY39*$B$2/W39+(1-AY39)*AVERAGE($B$2,$B$3)/AVERAGE(W39,AB39)))</f>
        <v>1.3411868456226204</v>
      </c>
      <c r="AM39" s="190">
        <f t="shared" si="102"/>
        <v>1.3225655828737524</v>
      </c>
      <c r="AN39" s="190">
        <f t="shared" si="102"/>
        <v>1.3351716494952734</v>
      </c>
      <c r="AO39" s="7"/>
      <c r="AP39" s="7"/>
      <c r="AQ39" s="7"/>
      <c r="AR39" s="7"/>
      <c r="AS39" s="7"/>
      <c r="AT39" s="242">
        <f>IF(R39="-","-",VLOOKUP(R39,'CPI USA'!$T:$V,3,FALSE))</f>
        <v>0.66756601812039096</v>
      </c>
      <c r="AU39" s="242">
        <f>IF(S39="-","-",VLOOKUP(S39,'CPI USA'!$T:$V,3,FALSE))</f>
        <v>0.6679408278919865</v>
      </c>
      <c r="AV39" s="242">
        <f>IF(T39="-","-",VLOOKUP(T39,'CPI USA'!$T:$V,3,FALSE))</f>
        <v>0.67131212484522451</v>
      </c>
      <c r="AW39" s="7"/>
      <c r="AX39" s="7"/>
      <c r="AY39" s="242">
        <f>IF(R39="-","-",VLOOKUP(R39,'CPI USA'!$T:$X,5,FALSE))</f>
        <v>0.49542529667095003</v>
      </c>
      <c r="AZ39" s="242">
        <f>IF(S39="-","-",VLOOKUP(S39,'CPI USA'!$T:$X,5,FALSE))</f>
        <v>0.49584761624008583</v>
      </c>
      <c r="BA39" s="242">
        <f>IF(T39="-","-",VLOOKUP(T39,'CPI USA'!$T:$X,5,FALSE))</f>
        <v>0.49965731919331663</v>
      </c>
      <c r="BB39" s="7"/>
    </row>
    <row r="40" spans="1:54" ht="15.75" customHeight="1">
      <c r="A40" s="185" t="s">
        <v>309</v>
      </c>
      <c r="B40" s="185" t="s">
        <v>310</v>
      </c>
      <c r="C40" s="239">
        <f>+'Empresas 21-23'!J35</f>
        <v>0</v>
      </c>
      <c r="D40" s="239">
        <f>VLOOKUP(A40,'FERC 2021'!$A$3:$BE$221,57,0)</f>
        <v>593068265</v>
      </c>
      <c r="E40" s="239">
        <f>VLOOKUP(A40,'FERC 2021'!$A$3:$BF$221,58,0)</f>
        <v>46398510</v>
      </c>
      <c r="F40" s="239">
        <f>VLOOKUP(A40,'FERC 2022'!$A$3:$BE$220,57,0)</f>
        <v>668360865</v>
      </c>
      <c r="G40" s="239">
        <f>VLOOKUP(A40,'FERC 2022'!$A$3:$BF$220,58,0)</f>
        <v>49179402</v>
      </c>
      <c r="H40" s="239">
        <f>VLOOKUP(A40,'FERC 2023'!$A$3:$BE$221,57,0)</f>
        <v>713456770</v>
      </c>
      <c r="I40" s="239">
        <f>VLOOKUP(A40,'FERC 2023'!$A$3:$BF$221,58,0)</f>
        <v>47089382</v>
      </c>
      <c r="J40" s="7"/>
      <c r="K40" s="7"/>
      <c r="L40" s="7"/>
      <c r="M40" s="187">
        <f t="shared" si="0"/>
        <v>12.782054100444174</v>
      </c>
      <c r="N40" s="187">
        <f t="shared" si="1"/>
        <v>13.590260105236741</v>
      </c>
      <c r="O40" s="187">
        <f t="shared" si="2"/>
        <v>15.151117719064565</v>
      </c>
      <c r="P40" s="7"/>
      <c r="Q40" s="240">
        <f t="shared" si="3"/>
        <v>13.841143974915161</v>
      </c>
      <c r="R40" s="189" t="str">
        <f t="shared" ref="R40:T40" si="103">IF(ISERROR(R$5-365*$Q40),"-",MONTH(R$5-365*$Q40)&amp;"_"&amp;YEAR(R$5-365*$Q40))</f>
        <v>3_2008</v>
      </c>
      <c r="S40" s="189" t="str">
        <f t="shared" si="103"/>
        <v>3_2009</v>
      </c>
      <c r="T40" s="189" t="str">
        <f t="shared" si="103"/>
        <v>3_2010</v>
      </c>
      <c r="U40" s="7"/>
      <c r="V40" s="7"/>
      <c r="W40" s="190">
        <f>IF(R40="-","-",VLOOKUP(R40,'CPI USA'!$T:$U,2,FALSE))</f>
        <v>215.303</v>
      </c>
      <c r="X40" s="190">
        <f>IF(S40="-","-",VLOOKUP(S40,'CPI USA'!$T:$U,2,FALSE))</f>
        <v>214.53700000000001</v>
      </c>
      <c r="Y40" s="190">
        <f>IF(T40="-","-",VLOOKUP(T40,'CPI USA'!$T:$U,2,FALSE))</f>
        <v>218.05600000000001</v>
      </c>
      <c r="Z40" s="7"/>
      <c r="AA40" s="7"/>
      <c r="AB40" s="190">
        <f>IF(R40="-","-",VLOOKUP(R40,'PPI USA'!$S:$T,2,FALSE))</f>
        <v>159.30000000000001</v>
      </c>
      <c r="AC40" s="190">
        <f>IF(S40="-","-",VLOOKUP(S40,'PPI USA'!$S:$T,2,FALSE))</f>
        <v>159.1</v>
      </c>
      <c r="AD40" s="190">
        <f>IF(T40="-","-",VLOOKUP(T40,'PPI USA'!$S:$T,2,FALSE))</f>
        <v>160.80000000000001</v>
      </c>
      <c r="AE40" s="7"/>
      <c r="AF40" s="7"/>
      <c r="AG40" s="190">
        <f t="shared" ref="AG40:AI40" si="104">IF(W40="-","-",(AT40*$B$2/W40+(1-AT40)*AVERAGE($B$2,$B$3)/AVERAGE(W40,AB40)))</f>
        <v>1.4884333659448254</v>
      </c>
      <c r="AH40" s="190">
        <f t="shared" si="104"/>
        <v>1.4932638886873792</v>
      </c>
      <c r="AI40" s="190">
        <f t="shared" si="104"/>
        <v>1.4703278680244813</v>
      </c>
      <c r="AJ40" s="7"/>
      <c r="AK40" s="7"/>
      <c r="AL40" s="190">
        <f t="shared" ref="AL40:AN40" si="105">IF(W40="-","-",(AY40*$B$2/W40+(1-AY40)*AVERAGE($B$2,$B$3)/AVERAGE(W40,AB40)))</f>
        <v>1.5036496327119213</v>
      </c>
      <c r="AM40" s="190">
        <f t="shared" si="105"/>
        <v>1.5082750176818205</v>
      </c>
      <c r="AN40" s="190">
        <f t="shared" si="105"/>
        <v>1.4857204383544427</v>
      </c>
      <c r="AO40" s="7"/>
      <c r="AP40" s="7"/>
      <c r="AQ40" s="7"/>
      <c r="AR40" s="7"/>
      <c r="AS40" s="7"/>
      <c r="AT40" s="242">
        <f>IF(R40="-","-",VLOOKUP(R40,'CPI USA'!$T:$V,3,FALSE))</f>
        <v>0.67018812038291731</v>
      </c>
      <c r="AU40" s="242">
        <f>IF(S40="-","-",VLOOKUP(S40,'CPI USA'!$T:$V,3,FALSE))</f>
        <v>0.66997101349938215</v>
      </c>
      <c r="AV40" s="242">
        <f>IF(T40="-","-",VLOOKUP(T40,'CPI USA'!$T:$V,3,FALSE))</f>
        <v>0.67050107279443949</v>
      </c>
      <c r="AW40" s="7"/>
      <c r="AX40" s="7"/>
      <c r="AY40" s="242">
        <f>IF(R40="-","-",VLOOKUP(R40,'CPI USA'!$T:$X,5,FALSE))</f>
        <v>0.49838492968660258</v>
      </c>
      <c r="AZ40" s="242">
        <f>IF(S40="-","-",VLOOKUP(S40,'CPI USA'!$T:$X,5,FALSE))</f>
        <v>0.49813941766071862</v>
      </c>
      <c r="BA40" s="242">
        <f>IF(T40="-","-",VLOOKUP(T40,'CPI USA'!$T:$X,5,FALSE))</f>
        <v>0.4987389730136107</v>
      </c>
      <c r="BB40" s="7"/>
    </row>
    <row r="41" spans="1:54" ht="15.75" customHeight="1">
      <c r="A41" s="185" t="s">
        <v>312</v>
      </c>
      <c r="B41" s="185" t="s">
        <v>313</v>
      </c>
      <c r="C41" s="239">
        <f>+'Empresas 21-23'!J36</f>
        <v>0</v>
      </c>
      <c r="D41" s="239">
        <f>VLOOKUP(A41,'FERC 2021'!$A$3:$BE$221,57,0)</f>
        <v>430918242</v>
      </c>
      <c r="E41" s="239">
        <f>VLOOKUP(A41,'FERC 2021'!$A$3:$BF$221,58,0)</f>
        <v>26452600</v>
      </c>
      <c r="F41" s="239">
        <f>VLOOKUP(A41,'FERC 2022'!$A$3:$BE$220,57,0)</f>
        <v>460256069</v>
      </c>
      <c r="G41" s="239">
        <f>VLOOKUP(A41,'FERC 2022'!$A$3:$BF$220,58,0)</f>
        <v>35066523</v>
      </c>
      <c r="H41" s="239">
        <f>VLOOKUP(A41,'FERC 2023'!$A$3:$BE$221,57,0)</f>
        <v>472768537</v>
      </c>
      <c r="I41" s="239">
        <f>VLOOKUP(A41,'FERC 2023'!$A$3:$BF$221,58,0)</f>
        <v>39794823</v>
      </c>
      <c r="J41" s="7"/>
      <c r="K41" s="7"/>
      <c r="L41" s="7"/>
      <c r="M41" s="187">
        <f t="shared" si="0"/>
        <v>16.290203685081995</v>
      </c>
      <c r="N41" s="187">
        <f t="shared" si="1"/>
        <v>13.125226843847621</v>
      </c>
      <c r="O41" s="187">
        <f t="shared" si="2"/>
        <v>11.880151772505686</v>
      </c>
      <c r="P41" s="7"/>
      <c r="Q41" s="240">
        <f t="shared" si="3"/>
        <v>13.765194100478434</v>
      </c>
      <c r="R41" s="189" t="str">
        <f t="shared" ref="R41:T41" si="106">IF(ISERROR(R$5-365*$Q41),"-",MONTH(R$5-365*$Q41)&amp;"_"&amp;YEAR(R$5-365*$Q41))</f>
        <v>3_2008</v>
      </c>
      <c r="S41" s="189" t="str">
        <f t="shared" si="106"/>
        <v>3_2009</v>
      </c>
      <c r="T41" s="189" t="str">
        <f t="shared" si="106"/>
        <v>3_2010</v>
      </c>
      <c r="U41" s="7"/>
      <c r="V41" s="7"/>
      <c r="W41" s="190">
        <f>IF(R41="-","-",VLOOKUP(R41,'CPI USA'!$T:$U,2,FALSE))</f>
        <v>215.303</v>
      </c>
      <c r="X41" s="190">
        <f>IF(S41="-","-",VLOOKUP(S41,'CPI USA'!$T:$U,2,FALSE))</f>
        <v>214.53700000000001</v>
      </c>
      <c r="Y41" s="190">
        <f>IF(T41="-","-",VLOOKUP(T41,'CPI USA'!$T:$U,2,FALSE))</f>
        <v>218.05600000000001</v>
      </c>
      <c r="Z41" s="7"/>
      <c r="AA41" s="7"/>
      <c r="AB41" s="190">
        <f>IF(R41="-","-",VLOOKUP(R41,'PPI USA'!$S:$T,2,FALSE))</f>
        <v>159.30000000000001</v>
      </c>
      <c r="AC41" s="190">
        <f>IF(S41="-","-",VLOOKUP(S41,'PPI USA'!$S:$T,2,FALSE))</f>
        <v>159.1</v>
      </c>
      <c r="AD41" s="190">
        <f>IF(T41="-","-",VLOOKUP(T41,'PPI USA'!$S:$T,2,FALSE))</f>
        <v>160.80000000000001</v>
      </c>
      <c r="AE41" s="7"/>
      <c r="AF41" s="7"/>
      <c r="AG41" s="190">
        <f t="shared" ref="AG41:AI41" si="107">IF(W41="-","-",(AT41*$B$2/W41+(1-AT41)*AVERAGE($B$2,$B$3)/AVERAGE(W41,AB41)))</f>
        <v>1.4884333659448254</v>
      </c>
      <c r="AH41" s="190">
        <f t="shared" si="107"/>
        <v>1.4932638886873792</v>
      </c>
      <c r="AI41" s="190">
        <f t="shared" si="107"/>
        <v>1.4703278680244813</v>
      </c>
      <c r="AJ41" s="7"/>
      <c r="AK41" s="7"/>
      <c r="AL41" s="190">
        <f t="shared" ref="AL41:AN41" si="108">IF(W41="-","-",(AY41*$B$2/W41+(1-AY41)*AVERAGE($B$2,$B$3)/AVERAGE(W41,AB41)))</f>
        <v>1.5036496327119213</v>
      </c>
      <c r="AM41" s="190">
        <f t="shared" si="108"/>
        <v>1.5082750176818205</v>
      </c>
      <c r="AN41" s="190">
        <f t="shared" si="108"/>
        <v>1.4857204383544427</v>
      </c>
      <c r="AO41" s="7"/>
      <c r="AP41" s="7"/>
      <c r="AQ41" s="7"/>
      <c r="AR41" s="7"/>
      <c r="AS41" s="7"/>
      <c r="AT41" s="242">
        <f>IF(R41="-","-",VLOOKUP(R41,'CPI USA'!$T:$V,3,FALSE))</f>
        <v>0.67018812038291731</v>
      </c>
      <c r="AU41" s="242">
        <f>IF(S41="-","-",VLOOKUP(S41,'CPI USA'!$T:$V,3,FALSE))</f>
        <v>0.66997101349938215</v>
      </c>
      <c r="AV41" s="242">
        <f>IF(T41="-","-",VLOOKUP(T41,'CPI USA'!$T:$V,3,FALSE))</f>
        <v>0.67050107279443949</v>
      </c>
      <c r="AW41" s="7"/>
      <c r="AX41" s="7"/>
      <c r="AY41" s="242">
        <f>IF(R41="-","-",VLOOKUP(R41,'CPI USA'!$T:$X,5,FALSE))</f>
        <v>0.49838492968660258</v>
      </c>
      <c r="AZ41" s="242">
        <f>IF(S41="-","-",VLOOKUP(S41,'CPI USA'!$T:$X,5,FALSE))</f>
        <v>0.49813941766071862</v>
      </c>
      <c r="BA41" s="242">
        <f>IF(T41="-","-",VLOOKUP(T41,'CPI USA'!$T:$X,5,FALSE))</f>
        <v>0.4987389730136107</v>
      </c>
      <c r="BB41" s="7"/>
    </row>
    <row r="42" spans="1:54" ht="15.75" customHeight="1">
      <c r="A42" s="185" t="s">
        <v>315</v>
      </c>
      <c r="B42" s="185" t="s">
        <v>316</v>
      </c>
      <c r="C42" s="239">
        <f>+'Empresas 21-23'!J37</f>
        <v>0</v>
      </c>
      <c r="D42" s="239">
        <f>VLOOKUP(A42,'FERC 2021'!$A$3:$BE$221,57,0)</f>
        <v>468997948</v>
      </c>
      <c r="E42" s="239">
        <f>VLOOKUP(A42,'FERC 2021'!$A$3:$BF$221,58,0)</f>
        <v>40491889</v>
      </c>
      <c r="F42" s="239">
        <f>VLOOKUP(A42,'FERC 2022'!$A$3:$BE$220,57,0)</f>
        <v>461427774</v>
      </c>
      <c r="G42" s="239">
        <f>VLOOKUP(A42,'FERC 2022'!$A$3:$BF$220,58,0)</f>
        <v>43195416</v>
      </c>
      <c r="H42" s="239">
        <f>VLOOKUP(A42,'FERC 2023'!$A$3:$BE$221,57,0)</f>
        <v>496607054</v>
      </c>
      <c r="I42" s="239">
        <f>VLOOKUP(A42,'FERC 2023'!$A$3:$BF$221,58,0)</f>
        <v>56068807</v>
      </c>
      <c r="J42" s="7"/>
      <c r="K42" s="7"/>
      <c r="L42" s="7"/>
      <c r="M42" s="187">
        <f t="shared" si="0"/>
        <v>11.582515895961288</v>
      </c>
      <c r="N42" s="187">
        <f t="shared" si="1"/>
        <v>10.68233198633855</v>
      </c>
      <c r="O42" s="187">
        <f t="shared" si="2"/>
        <v>8.8571004194899317</v>
      </c>
      <c r="P42" s="7"/>
      <c r="Q42" s="240">
        <f t="shared" si="3"/>
        <v>10.373982767263257</v>
      </c>
      <c r="R42" s="189" t="str">
        <f t="shared" ref="R42:T42" si="109">IF(ISERROR(R$5-365*$Q42),"-",MONTH(R$5-365*$Q42)&amp;"_"&amp;YEAR(R$5-365*$Q42))</f>
        <v>8_2011</v>
      </c>
      <c r="S42" s="189" t="str">
        <f t="shared" si="109"/>
        <v>8_2012</v>
      </c>
      <c r="T42" s="189" t="str">
        <f t="shared" si="109"/>
        <v>8_2013</v>
      </c>
      <c r="U42" s="7"/>
      <c r="V42" s="7"/>
      <c r="W42" s="190">
        <f>IF(R42="-","-",VLOOKUP(R42,'CPI USA'!$T:$U,2,FALSE))</f>
        <v>224.93899999999999</v>
      </c>
      <c r="X42" s="190">
        <f>IF(S42="-","-",VLOOKUP(S42,'CPI USA'!$T:$U,2,FALSE))</f>
        <v>229.59399999999999</v>
      </c>
      <c r="Y42" s="190">
        <f>IF(T42="-","-",VLOOKUP(T42,'CPI USA'!$T:$U,2,FALSE))</f>
        <v>233.87700000000001</v>
      </c>
      <c r="Z42" s="7"/>
      <c r="AA42" s="7"/>
      <c r="AB42" s="190">
        <f>IF(R42="-","-",VLOOKUP(R42,'PPI USA'!$S:$T,2,FALSE))</f>
        <v>169.6</v>
      </c>
      <c r="AC42" s="190">
        <f>IF(S42="-","-",VLOOKUP(S42,'PPI USA'!$S:$T,2,FALSE))</f>
        <v>175.1</v>
      </c>
      <c r="AD42" s="190">
        <f>IF(T42="-","-",VLOOKUP(T42,'PPI USA'!$S:$T,2,FALSE))</f>
        <v>175.2</v>
      </c>
      <c r="AE42" s="7"/>
      <c r="AF42" s="7"/>
      <c r="AG42" s="190">
        <f t="shared" ref="AG42:AI42" si="110">IF(W42="-","-",(AT42*$B$2/W42+(1-AT42)*AVERAGE($B$2,$B$3)/AVERAGE(W42,AB42)))</f>
        <v>1.4208751760332547</v>
      </c>
      <c r="AH42" s="190">
        <f t="shared" si="110"/>
        <v>1.3897894616766442</v>
      </c>
      <c r="AI42" s="190">
        <f t="shared" si="110"/>
        <v>1.3675350167423739</v>
      </c>
      <c r="AJ42" s="7"/>
      <c r="AK42" s="7"/>
      <c r="AL42" s="190">
        <f t="shared" ref="AL42:AN42" si="111">IF(W42="-","-",(AY42*$B$2/W42+(1-AY42)*AVERAGE($B$2,$B$3)/AVERAGE(W42,AB42)))</f>
        <v>1.4334111417560953</v>
      </c>
      <c r="AM42" s="190">
        <f t="shared" si="111"/>
        <v>1.4008620811189902</v>
      </c>
      <c r="AN42" s="190">
        <f t="shared" si="111"/>
        <v>1.3802235637774118</v>
      </c>
      <c r="AO42" s="7"/>
      <c r="AP42" s="7"/>
      <c r="AQ42" s="7"/>
      <c r="AR42" s="7"/>
      <c r="AS42" s="7"/>
      <c r="AT42" s="242">
        <f>IF(R42="-","-",VLOOKUP(R42,'CPI USA'!$T:$V,3,FALSE))</f>
        <v>0.6684022975047168</v>
      </c>
      <c r="AU42" s="242">
        <f>IF(S42="-","-",VLOOKUP(S42,'CPI USA'!$T:$V,3,FALSE))</f>
        <v>0.66730871354337351</v>
      </c>
      <c r="AV42" s="242">
        <f>IF(T42="-","-",VLOOKUP(T42,'CPI USA'!$T:$V,3,FALSE))</f>
        <v>0.67305131835944076</v>
      </c>
      <c r="AW42" s="7"/>
      <c r="AX42" s="7"/>
      <c r="AY42" s="242">
        <f>IF(R42="-","-",VLOOKUP(R42,'CPI USA'!$T:$X,5,FALSE))</f>
        <v>0.49636791791307899</v>
      </c>
      <c r="AZ42" s="242">
        <f>IF(S42="-","-",VLOOKUP(S42,'CPI USA'!$T:$X,5,FALSE))</f>
        <v>0.49513551903851311</v>
      </c>
      <c r="BA42" s="242">
        <f>IF(T42="-","-",VLOOKUP(T42,'CPI USA'!$T:$X,5,FALSE))</f>
        <v>0.50163050295255052</v>
      </c>
      <c r="BB42" s="7"/>
    </row>
    <row r="43" spans="1:54" ht="15.75" customHeight="1">
      <c r="A43" s="185" t="s">
        <v>318</v>
      </c>
      <c r="B43" s="185" t="s">
        <v>319</v>
      </c>
      <c r="C43" s="239">
        <f>+'Empresas 21-23'!J38</f>
        <v>0</v>
      </c>
      <c r="D43" s="239">
        <f>VLOOKUP(A43,'FERC 2021'!$A$3:$BE$221,57,0)</f>
        <v>92384865</v>
      </c>
      <c r="E43" s="239">
        <f>VLOOKUP(A43,'FERC 2021'!$A$3:$BF$221,58,0)</f>
        <v>6527427</v>
      </c>
      <c r="F43" s="239">
        <f>VLOOKUP(A43,'FERC 2022'!$A$3:$BE$220,57,0)</f>
        <v>101365390</v>
      </c>
      <c r="G43" s="239">
        <f>VLOOKUP(A43,'FERC 2022'!$A$3:$BF$220,58,0)</f>
        <v>6825579</v>
      </c>
      <c r="H43" s="239">
        <f>VLOOKUP(A43,'FERC 2023'!$A$3:$BE$221,57,0)</f>
        <v>106930535</v>
      </c>
      <c r="I43" s="239">
        <f>VLOOKUP(A43,'FERC 2023'!$A$3:$BF$221,58,0)</f>
        <v>7046671</v>
      </c>
      <c r="J43" s="7"/>
      <c r="K43" s="7"/>
      <c r="L43" s="7"/>
      <c r="M43" s="187">
        <f t="shared" si="0"/>
        <v>14.153335609881198</v>
      </c>
      <c r="N43" s="187">
        <f t="shared" si="1"/>
        <v>14.850811923794303</v>
      </c>
      <c r="O43" s="187">
        <f t="shared" si="2"/>
        <v>15.17461720576993</v>
      </c>
      <c r="P43" s="7"/>
      <c r="Q43" s="240">
        <f t="shared" si="3"/>
        <v>14.726254913148475</v>
      </c>
      <c r="R43" s="189" t="str">
        <f t="shared" ref="R43:T43" si="112">IF(ISERROR(R$5-365*$Q43),"-",MONTH(R$5-365*$Q43)&amp;"_"&amp;YEAR(R$5-365*$Q43))</f>
        <v>4_2007</v>
      </c>
      <c r="S43" s="189" t="str">
        <f t="shared" si="112"/>
        <v>4_2008</v>
      </c>
      <c r="T43" s="189" t="str">
        <f t="shared" si="112"/>
        <v>4_2009</v>
      </c>
      <c r="U43" s="7"/>
      <c r="V43" s="7"/>
      <c r="W43" s="190">
        <f>IF(R43="-","-",VLOOKUP(R43,'CPI USA'!$T:$U,2,FALSE))</f>
        <v>207.34200000000001</v>
      </c>
      <c r="X43" s="190">
        <f>IF(S43="-","-",VLOOKUP(S43,'CPI USA'!$T:$U,2,FALSE))</f>
        <v>215.303</v>
      </c>
      <c r="Y43" s="190">
        <f>IF(T43="-","-",VLOOKUP(T43,'CPI USA'!$T:$U,2,FALSE))</f>
        <v>214.53700000000001</v>
      </c>
      <c r="Z43" s="7"/>
      <c r="AA43" s="7"/>
      <c r="AB43" s="190">
        <f>IF(R43="-","-",VLOOKUP(R43,'PPI USA'!$S:$T,2,FALSE))</f>
        <v>151.69999999999999</v>
      </c>
      <c r="AC43" s="190">
        <f>IF(S43="-","-",VLOOKUP(S43,'PPI USA'!$S:$T,2,FALSE))</f>
        <v>159.30000000000001</v>
      </c>
      <c r="AD43" s="190">
        <f>IF(T43="-","-",VLOOKUP(T43,'PPI USA'!$S:$T,2,FALSE))</f>
        <v>159.1</v>
      </c>
      <c r="AE43" s="7"/>
      <c r="AF43" s="7"/>
      <c r="AG43" s="190">
        <f t="shared" ref="AG43:AI43" si="113">IF(W43="-","-",(AT43*$B$2/W43+(1-AT43)*AVERAGE($B$2,$B$3)/AVERAGE(W43,AB43)))</f>
        <v>1.5480022216582647</v>
      </c>
      <c r="AH43" s="190">
        <f t="shared" si="113"/>
        <v>1.4884333659448254</v>
      </c>
      <c r="AI43" s="190">
        <f t="shared" si="113"/>
        <v>1.4932638886873792</v>
      </c>
      <c r="AJ43" s="7"/>
      <c r="AK43" s="7"/>
      <c r="AL43" s="190">
        <f t="shared" ref="AL43:AN43" si="114">IF(W43="-","-",(AY43*$B$2/W43+(1-AY43)*AVERAGE($B$2,$B$3)/AVERAGE(W43,AB43)))</f>
        <v>1.5651038394149617</v>
      </c>
      <c r="AM43" s="190">
        <f t="shared" si="114"/>
        <v>1.5036496327119213</v>
      </c>
      <c r="AN43" s="190">
        <f t="shared" si="114"/>
        <v>1.5082750176818205</v>
      </c>
      <c r="AO43" s="7"/>
      <c r="AP43" s="7"/>
      <c r="AQ43" s="7"/>
      <c r="AR43" s="7"/>
      <c r="AS43" s="7"/>
      <c r="AT43" s="242">
        <f>IF(R43="-","-",VLOOKUP(R43,'CPI USA'!$T:$V,3,FALSE))</f>
        <v>0.67123734379962852</v>
      </c>
      <c r="AU43" s="242">
        <f>IF(S43="-","-",VLOOKUP(S43,'CPI USA'!$T:$V,3,FALSE))</f>
        <v>0.67018812038291731</v>
      </c>
      <c r="AV43" s="242">
        <f>IF(T43="-","-",VLOOKUP(T43,'CPI USA'!$T:$V,3,FALSE))</f>
        <v>0.66997101349938215</v>
      </c>
      <c r="AW43" s="7"/>
      <c r="AX43" s="7"/>
      <c r="AY43" s="242">
        <f>IF(R43="-","-",VLOOKUP(R43,'CPI USA'!$T:$X,5,FALSE))</f>
        <v>0.49957259686190569</v>
      </c>
      <c r="AZ43" s="242">
        <f>IF(S43="-","-",VLOOKUP(S43,'CPI USA'!$T:$X,5,FALSE))</f>
        <v>0.49838492968660258</v>
      </c>
      <c r="BA43" s="242">
        <f>IF(T43="-","-",VLOOKUP(T43,'CPI USA'!$T:$X,5,FALSE))</f>
        <v>0.49813941766071862</v>
      </c>
      <c r="BB43" s="7"/>
    </row>
    <row r="44" spans="1:54" ht="15.75" customHeight="1">
      <c r="A44" s="185" t="s">
        <v>321</v>
      </c>
      <c r="B44" s="185" t="s">
        <v>322</v>
      </c>
      <c r="C44" s="243">
        <f>+'Empresas 21-23'!J39</f>
        <v>0</v>
      </c>
      <c r="D44" s="239">
        <f>VLOOKUP(A44,'FERC 2021'!$A$3:$BE$221,57,0)</f>
        <v>0</v>
      </c>
      <c r="E44" s="239">
        <f>VLOOKUP(A44,'FERC 2021'!$A$3:$BF$221,58,0)</f>
        <v>0</v>
      </c>
      <c r="F44" s="239">
        <f>VLOOKUP(A44,'FERC 2022'!$A$3:$BE$220,57,0)</f>
        <v>0</v>
      </c>
      <c r="G44" s="239">
        <f>VLOOKUP(A44,'FERC 2022'!$A$3:$BF$220,58,0)</f>
        <v>0</v>
      </c>
      <c r="H44" s="239">
        <f>VLOOKUP(A44,'FERC 2023'!$A$3:$BE$221,57,0)</f>
        <v>0</v>
      </c>
      <c r="I44" s="239">
        <f>VLOOKUP(A44,'FERC 2023'!$A$3:$BF$221,58,0)</f>
        <v>0</v>
      </c>
      <c r="J44" s="7"/>
      <c r="K44" s="7"/>
      <c r="L44" s="7"/>
      <c r="M44" s="187" t="str">
        <f t="shared" si="0"/>
        <v/>
      </c>
      <c r="N44" s="187" t="str">
        <f t="shared" si="1"/>
        <v/>
      </c>
      <c r="O44" s="187" t="str">
        <f t="shared" si="2"/>
        <v/>
      </c>
      <c r="P44" s="7"/>
      <c r="Q44" s="240" t="str">
        <f t="shared" si="3"/>
        <v>-</v>
      </c>
      <c r="R44" s="189" t="str">
        <f t="shared" ref="R44:T44" si="115">IF(ISERROR(R$5-365*$Q44),"-",MONTH(R$5-365*$Q44)&amp;"_"&amp;YEAR(R$5-365*$Q44))</f>
        <v>-</v>
      </c>
      <c r="S44" s="189" t="str">
        <f t="shared" si="115"/>
        <v>-</v>
      </c>
      <c r="T44" s="189" t="str">
        <f t="shared" si="115"/>
        <v>-</v>
      </c>
      <c r="U44" s="7"/>
      <c r="V44" s="7"/>
      <c r="W44" s="190" t="str">
        <f>IF(R44="-","-",VLOOKUP(R44,'CPI USA'!$T:$U,2,FALSE))</f>
        <v>-</v>
      </c>
      <c r="X44" s="190" t="str">
        <f>IF(S44="-","-",VLOOKUP(S44,'CPI USA'!$T:$U,2,FALSE))</f>
        <v>-</v>
      </c>
      <c r="Y44" s="190" t="str">
        <f>IF(T44="-","-",VLOOKUP(T44,'CPI USA'!$T:$U,2,FALSE))</f>
        <v>-</v>
      </c>
      <c r="Z44" s="7"/>
      <c r="AA44" s="7"/>
      <c r="AB44" s="190" t="str">
        <f>IF(R44="-","-",VLOOKUP(R44,'PPI USA'!$S:$T,2,FALSE))</f>
        <v>-</v>
      </c>
      <c r="AC44" s="190" t="str">
        <f>IF(S44="-","-",VLOOKUP(S44,'PPI USA'!$S:$T,2,FALSE))</f>
        <v>-</v>
      </c>
      <c r="AD44" s="190" t="str">
        <f>IF(T44="-","-",VLOOKUP(T44,'PPI USA'!$S:$T,2,FALSE))</f>
        <v>-</v>
      </c>
      <c r="AE44" s="7"/>
      <c r="AF44" s="7"/>
      <c r="AG44" s="190" t="str">
        <f t="shared" ref="AG44:AI44" si="116">IF(W44="-","-",(AT44*$B$2/W44+(1-AT44)*AVERAGE($B$2,$B$3)/AVERAGE(W44,AB44)))</f>
        <v>-</v>
      </c>
      <c r="AH44" s="190" t="str">
        <f t="shared" si="116"/>
        <v>-</v>
      </c>
      <c r="AI44" s="190" t="str">
        <f t="shared" si="116"/>
        <v>-</v>
      </c>
      <c r="AJ44" s="7"/>
      <c r="AK44" s="7"/>
      <c r="AL44" s="190" t="str">
        <f t="shared" ref="AL44:AN44" si="117">IF(W44="-","-",(AY44*$B$2/W44+(1-AY44)*AVERAGE($B$2,$B$3)/AVERAGE(W44,AB44)))</f>
        <v>-</v>
      </c>
      <c r="AM44" s="190" t="str">
        <f t="shared" si="117"/>
        <v>-</v>
      </c>
      <c r="AN44" s="190" t="str">
        <f t="shared" si="117"/>
        <v>-</v>
      </c>
      <c r="AO44" s="7"/>
      <c r="AP44" s="7"/>
      <c r="AQ44" s="7"/>
      <c r="AR44" s="7"/>
      <c r="AS44" s="7"/>
      <c r="AT44" s="242" t="str">
        <f>IF(R44="-","-",VLOOKUP(R44,'CPI USA'!$T:$V,3,FALSE))</f>
        <v>-</v>
      </c>
      <c r="AU44" s="242" t="str">
        <f>IF(S44="-","-",VLOOKUP(S44,'CPI USA'!$T:$V,3,FALSE))</f>
        <v>-</v>
      </c>
      <c r="AV44" s="242" t="str">
        <f>IF(T44="-","-",VLOOKUP(T44,'CPI USA'!$T:$V,3,FALSE))</f>
        <v>-</v>
      </c>
      <c r="AW44" s="7"/>
      <c r="AX44" s="7"/>
      <c r="AY44" s="242" t="str">
        <f>IF(R44="-","-",VLOOKUP(R44,'CPI USA'!$T:$X,5,FALSE))</f>
        <v>-</v>
      </c>
      <c r="AZ44" s="242" t="str">
        <f>IF(S44="-","-",VLOOKUP(S44,'CPI USA'!$T:$X,5,FALSE))</f>
        <v>-</v>
      </c>
      <c r="BA44" s="242" t="str">
        <f>IF(T44="-","-",VLOOKUP(T44,'CPI USA'!$T:$X,5,FALSE))</f>
        <v>-</v>
      </c>
      <c r="BB44" s="7"/>
    </row>
    <row r="45" spans="1:54" ht="15.75" customHeight="1">
      <c r="A45" s="185" t="s">
        <v>324</v>
      </c>
      <c r="B45" s="185" t="s">
        <v>325</v>
      </c>
      <c r="C45" s="239">
        <f>+'Empresas 21-23'!J40</f>
        <v>0</v>
      </c>
      <c r="D45" s="239">
        <f>VLOOKUP(A45,'FERC 2021'!$A$3:$BE$221,57,0)</f>
        <v>342361674</v>
      </c>
      <c r="E45" s="239">
        <f>VLOOKUP(A45,'FERC 2021'!$A$3:$BF$221,58,0)</f>
        <v>31414762</v>
      </c>
      <c r="F45" s="239">
        <f>VLOOKUP(A45,'FERC 2022'!$A$3:$BE$220,57,0)</f>
        <v>380706123</v>
      </c>
      <c r="G45" s="239">
        <f>VLOOKUP(A45,'FERC 2022'!$A$3:$BF$220,58,0)</f>
        <v>33490014</v>
      </c>
      <c r="H45" s="239">
        <f>VLOOKUP(A45,'FERC 2023'!$A$3:$BE$221,57,0)</f>
        <v>407756444</v>
      </c>
      <c r="I45" s="239">
        <f>VLOOKUP(A45,'FERC 2023'!$A$3:$BF$221,58,0)</f>
        <v>34834156</v>
      </c>
      <c r="J45" s="7"/>
      <c r="K45" s="7"/>
      <c r="L45" s="7"/>
      <c r="M45" s="187">
        <f t="shared" si="0"/>
        <v>10.898114523356886</v>
      </c>
      <c r="N45" s="187">
        <f t="shared" si="1"/>
        <v>11.367750488250019</v>
      </c>
      <c r="O45" s="187">
        <f t="shared" si="2"/>
        <v>11.705650167037204</v>
      </c>
      <c r="P45" s="7"/>
      <c r="Q45" s="240">
        <f t="shared" si="3"/>
        <v>11.32383839288137</v>
      </c>
      <c r="R45" s="189" t="str">
        <f t="shared" ref="R45:T45" si="118">IF(ISERROR(R$5-365*$Q45),"-",MONTH(R$5-365*$Q45)&amp;"_"&amp;YEAR(R$5-365*$Q45))</f>
        <v>9_2010</v>
      </c>
      <c r="S45" s="189" t="str">
        <f t="shared" si="118"/>
        <v>9_2011</v>
      </c>
      <c r="T45" s="189" t="str">
        <f t="shared" si="118"/>
        <v>9_2012</v>
      </c>
      <c r="U45" s="7"/>
      <c r="V45" s="7"/>
      <c r="W45" s="190">
        <f>IF(R45="-","-",VLOOKUP(R45,'CPI USA'!$T:$U,2,FALSE))</f>
        <v>218.05600000000001</v>
      </c>
      <c r="X45" s="190">
        <f>IF(S45="-","-",VLOOKUP(S45,'CPI USA'!$T:$U,2,FALSE))</f>
        <v>224.93899999999999</v>
      </c>
      <c r="Y45" s="190">
        <f>IF(T45="-","-",VLOOKUP(T45,'CPI USA'!$T:$U,2,FALSE))</f>
        <v>229.59399999999999</v>
      </c>
      <c r="Z45" s="7"/>
      <c r="AA45" s="7"/>
      <c r="AB45" s="190">
        <f>IF(R45="-","-",VLOOKUP(R45,'PPI USA'!$S:$T,2,FALSE))</f>
        <v>160.80000000000001</v>
      </c>
      <c r="AC45" s="190">
        <f>IF(S45="-","-",VLOOKUP(S45,'PPI USA'!$S:$T,2,FALSE))</f>
        <v>169.6</v>
      </c>
      <c r="AD45" s="190">
        <f>IF(T45="-","-",VLOOKUP(T45,'PPI USA'!$S:$T,2,FALSE))</f>
        <v>175.1</v>
      </c>
      <c r="AE45" s="7"/>
      <c r="AF45" s="7"/>
      <c r="AG45" s="190">
        <f t="shared" ref="AG45:AI45" si="119">IF(W45="-","-",(AT45*$B$2/W45+(1-AT45)*AVERAGE($B$2,$B$3)/AVERAGE(W45,AB45)))</f>
        <v>1.4703278680244813</v>
      </c>
      <c r="AH45" s="190">
        <f t="shared" si="119"/>
        <v>1.4208751760332547</v>
      </c>
      <c r="AI45" s="190">
        <f t="shared" si="119"/>
        <v>1.3897894616766442</v>
      </c>
      <c r="AJ45" s="7"/>
      <c r="AK45" s="7"/>
      <c r="AL45" s="190">
        <f t="shared" ref="AL45:AN45" si="120">IF(W45="-","-",(AY45*$B$2/W45+(1-AY45)*AVERAGE($B$2,$B$3)/AVERAGE(W45,AB45)))</f>
        <v>1.4857204383544427</v>
      </c>
      <c r="AM45" s="190">
        <f t="shared" si="120"/>
        <v>1.4334111417560953</v>
      </c>
      <c r="AN45" s="190">
        <f t="shared" si="120"/>
        <v>1.4008620811189902</v>
      </c>
      <c r="AO45" s="7"/>
      <c r="AP45" s="7"/>
      <c r="AQ45" s="7"/>
      <c r="AR45" s="7"/>
      <c r="AS45" s="7"/>
      <c r="AT45" s="242">
        <f>IF(R45="-","-",VLOOKUP(R45,'CPI USA'!$T:$V,3,FALSE))</f>
        <v>0.67050107279443949</v>
      </c>
      <c r="AU45" s="242">
        <f>IF(S45="-","-",VLOOKUP(S45,'CPI USA'!$T:$V,3,FALSE))</f>
        <v>0.6684022975047168</v>
      </c>
      <c r="AV45" s="242">
        <f>IF(T45="-","-",VLOOKUP(T45,'CPI USA'!$T:$V,3,FALSE))</f>
        <v>0.66730871354337351</v>
      </c>
      <c r="AW45" s="7"/>
      <c r="AX45" s="7"/>
      <c r="AY45" s="242">
        <f>IF(R45="-","-",VLOOKUP(R45,'CPI USA'!$T:$X,5,FALSE))</f>
        <v>0.4987389730136107</v>
      </c>
      <c r="AZ45" s="242">
        <f>IF(S45="-","-",VLOOKUP(S45,'CPI USA'!$T:$X,5,FALSE))</f>
        <v>0.49636791791307899</v>
      </c>
      <c r="BA45" s="242">
        <f>IF(T45="-","-",VLOOKUP(T45,'CPI USA'!$T:$X,5,FALSE))</f>
        <v>0.49513551903851311</v>
      </c>
      <c r="BB45" s="7"/>
    </row>
    <row r="46" spans="1:54" ht="15.75" customHeight="1">
      <c r="A46" s="185" t="s">
        <v>327</v>
      </c>
      <c r="B46" s="185" t="s">
        <v>328</v>
      </c>
      <c r="C46" s="239">
        <f>+'Empresas 21-23'!J41</f>
        <v>0</v>
      </c>
      <c r="D46" s="239">
        <f>VLOOKUP(A46,'FERC 2021'!$A$3:$BE$221,57,0)</f>
        <v>90876960</v>
      </c>
      <c r="E46" s="239">
        <f>VLOOKUP(A46,'FERC 2021'!$A$3:$BF$221,58,0)</f>
        <v>8437965</v>
      </c>
      <c r="F46" s="239">
        <f>VLOOKUP(A46,'FERC 2022'!$A$3:$BE$220,57,0)</f>
        <v>94056575</v>
      </c>
      <c r="G46" s="239">
        <f>VLOOKUP(A46,'FERC 2022'!$A$3:$BF$220,58,0)</f>
        <v>7329766</v>
      </c>
      <c r="H46" s="239">
        <f>VLOOKUP(A46,'FERC 2023'!$A$3:$BE$221,57,0)</f>
        <v>97575401</v>
      </c>
      <c r="I46" s="239">
        <f>VLOOKUP(A46,'FERC 2023'!$A$3:$BF$221,58,0)</f>
        <v>7444235</v>
      </c>
      <c r="J46" s="7"/>
      <c r="K46" s="7"/>
      <c r="L46" s="7"/>
      <c r="M46" s="187">
        <f t="shared" si="0"/>
        <v>10.770009119497415</v>
      </c>
      <c r="N46" s="187">
        <f t="shared" si="1"/>
        <v>12.832138843177258</v>
      </c>
      <c r="O46" s="187">
        <f t="shared" si="2"/>
        <v>13.107512188962332</v>
      </c>
      <c r="P46" s="7"/>
      <c r="Q46" s="240">
        <f t="shared" si="3"/>
        <v>12.236553383879</v>
      </c>
      <c r="R46" s="189" t="str">
        <f t="shared" ref="R46:T46" si="121">IF(ISERROR(R$5-365*$Q46),"-",MONTH(R$5-365*$Q46)&amp;"_"&amp;YEAR(R$5-365*$Q46))</f>
        <v>10_2009</v>
      </c>
      <c r="S46" s="189" t="str">
        <f t="shared" si="121"/>
        <v>10_2010</v>
      </c>
      <c r="T46" s="189" t="str">
        <f t="shared" si="121"/>
        <v>10_2011</v>
      </c>
      <c r="U46" s="7"/>
      <c r="V46" s="7"/>
      <c r="W46" s="190">
        <f>IF(R46="-","-",VLOOKUP(R46,'CPI USA'!$T:$U,2,FALSE))</f>
        <v>214.53700000000001</v>
      </c>
      <c r="X46" s="190">
        <f>IF(S46="-","-",VLOOKUP(S46,'CPI USA'!$T:$U,2,FALSE))</f>
        <v>218.05600000000001</v>
      </c>
      <c r="Y46" s="190">
        <f>IF(T46="-","-",VLOOKUP(T46,'CPI USA'!$T:$U,2,FALSE))</f>
        <v>224.93899999999999</v>
      </c>
      <c r="Z46" s="7"/>
      <c r="AA46" s="7"/>
      <c r="AB46" s="190">
        <f>IF(R46="-","-",VLOOKUP(R46,'PPI USA'!$S:$T,2,FALSE))</f>
        <v>159.1</v>
      </c>
      <c r="AC46" s="190">
        <f>IF(S46="-","-",VLOOKUP(S46,'PPI USA'!$S:$T,2,FALSE))</f>
        <v>160.80000000000001</v>
      </c>
      <c r="AD46" s="190">
        <f>IF(T46="-","-",VLOOKUP(T46,'PPI USA'!$S:$T,2,FALSE))</f>
        <v>169.6</v>
      </c>
      <c r="AE46" s="7"/>
      <c r="AF46" s="7"/>
      <c r="AG46" s="190">
        <f t="shared" ref="AG46:AI46" si="122">IF(W46="-","-",(AT46*$B$2/W46+(1-AT46)*AVERAGE($B$2,$B$3)/AVERAGE(W46,AB46)))</f>
        <v>1.4932638886873792</v>
      </c>
      <c r="AH46" s="190">
        <f t="shared" si="122"/>
        <v>1.4703278680244813</v>
      </c>
      <c r="AI46" s="190">
        <f t="shared" si="122"/>
        <v>1.4208751760332547</v>
      </c>
      <c r="AJ46" s="7"/>
      <c r="AK46" s="7"/>
      <c r="AL46" s="190">
        <f t="shared" ref="AL46:AN46" si="123">IF(W46="-","-",(AY46*$B$2/W46+(1-AY46)*AVERAGE($B$2,$B$3)/AVERAGE(W46,AB46)))</f>
        <v>1.5082750176818205</v>
      </c>
      <c r="AM46" s="190">
        <f t="shared" si="123"/>
        <v>1.4857204383544427</v>
      </c>
      <c r="AN46" s="190">
        <f t="shared" si="123"/>
        <v>1.4334111417560953</v>
      </c>
      <c r="AO46" s="7"/>
      <c r="AP46" s="7"/>
      <c r="AQ46" s="7"/>
      <c r="AR46" s="7"/>
      <c r="AS46" s="7"/>
      <c r="AT46" s="242">
        <f>IF(R46="-","-",VLOOKUP(R46,'CPI USA'!$T:$V,3,FALSE))</f>
        <v>0.66997101349938215</v>
      </c>
      <c r="AU46" s="242">
        <f>IF(S46="-","-",VLOOKUP(S46,'CPI USA'!$T:$V,3,FALSE))</f>
        <v>0.67050107279443949</v>
      </c>
      <c r="AV46" s="242">
        <f>IF(T46="-","-",VLOOKUP(T46,'CPI USA'!$T:$V,3,FALSE))</f>
        <v>0.6684022975047168</v>
      </c>
      <c r="AW46" s="7"/>
      <c r="AX46" s="7"/>
      <c r="AY46" s="242">
        <f>IF(R46="-","-",VLOOKUP(R46,'CPI USA'!$T:$X,5,FALSE))</f>
        <v>0.49813941766071862</v>
      </c>
      <c r="AZ46" s="242">
        <f>IF(S46="-","-",VLOOKUP(S46,'CPI USA'!$T:$X,5,FALSE))</f>
        <v>0.4987389730136107</v>
      </c>
      <c r="BA46" s="242">
        <f>IF(T46="-","-",VLOOKUP(T46,'CPI USA'!$T:$X,5,FALSE))</f>
        <v>0.49636791791307899</v>
      </c>
      <c r="BB46" s="7"/>
    </row>
    <row r="47" spans="1:54" ht="15.75" customHeight="1">
      <c r="A47" s="185" t="s">
        <v>330</v>
      </c>
      <c r="B47" s="185" t="s">
        <v>331</v>
      </c>
      <c r="C47" s="243">
        <f>+'Empresas 21-23'!J42</f>
        <v>0</v>
      </c>
      <c r="D47" s="239">
        <f>VLOOKUP(A47,'FERC 2021'!$A$3:$BE$221,57,0)</f>
        <v>0</v>
      </c>
      <c r="E47" s="239">
        <f>VLOOKUP(A47,'FERC 2021'!$A$3:$BF$221,58,0)</f>
        <v>0</v>
      </c>
      <c r="F47" s="239">
        <f>VLOOKUP(A47,'FERC 2022'!$A$3:$BE$220,57,0)</f>
        <v>0</v>
      </c>
      <c r="G47" s="239">
        <f>VLOOKUP(A47,'FERC 2022'!$A$3:$BF$220,58,0)</f>
        <v>0</v>
      </c>
      <c r="H47" s="239">
        <f>VLOOKUP(A47,'FERC 2023'!$A$3:$BE$221,57,0)</f>
        <v>0</v>
      </c>
      <c r="I47" s="239">
        <f>VLOOKUP(A47,'FERC 2023'!$A$3:$BF$221,58,0)</f>
        <v>0</v>
      </c>
      <c r="J47" s="7"/>
      <c r="K47" s="7"/>
      <c r="L47" s="7"/>
      <c r="M47" s="187" t="str">
        <f t="shared" si="0"/>
        <v/>
      </c>
      <c r="N47" s="187" t="str">
        <f t="shared" si="1"/>
        <v/>
      </c>
      <c r="O47" s="187" t="str">
        <f t="shared" si="2"/>
        <v/>
      </c>
      <c r="P47" s="7"/>
      <c r="Q47" s="240" t="str">
        <f t="shared" si="3"/>
        <v>-</v>
      </c>
      <c r="R47" s="189" t="str">
        <f t="shared" ref="R47:T47" si="124">IF(ISERROR(R$5-365*$Q47),"-",MONTH(R$5-365*$Q47)&amp;"_"&amp;YEAR(R$5-365*$Q47))</f>
        <v>-</v>
      </c>
      <c r="S47" s="189" t="str">
        <f t="shared" si="124"/>
        <v>-</v>
      </c>
      <c r="T47" s="189" t="str">
        <f t="shared" si="124"/>
        <v>-</v>
      </c>
      <c r="U47" s="7"/>
      <c r="V47" s="7"/>
      <c r="W47" s="190" t="str">
        <f>IF(R47="-","-",VLOOKUP(R47,'CPI USA'!$T:$U,2,FALSE))</f>
        <v>-</v>
      </c>
      <c r="X47" s="190" t="str">
        <f>IF(S47="-","-",VLOOKUP(S47,'CPI USA'!$T:$U,2,FALSE))</f>
        <v>-</v>
      </c>
      <c r="Y47" s="190" t="str">
        <f>IF(T47="-","-",VLOOKUP(T47,'CPI USA'!$T:$U,2,FALSE))</f>
        <v>-</v>
      </c>
      <c r="Z47" s="7"/>
      <c r="AA47" s="7"/>
      <c r="AB47" s="190" t="str">
        <f>IF(R47="-","-",VLOOKUP(R47,'PPI USA'!$S:$T,2,FALSE))</f>
        <v>-</v>
      </c>
      <c r="AC47" s="190" t="str">
        <f>IF(S47="-","-",VLOOKUP(S47,'PPI USA'!$S:$T,2,FALSE))</f>
        <v>-</v>
      </c>
      <c r="AD47" s="190" t="str">
        <f>IF(T47="-","-",VLOOKUP(T47,'PPI USA'!$S:$T,2,FALSE))</f>
        <v>-</v>
      </c>
      <c r="AE47" s="7"/>
      <c r="AF47" s="7"/>
      <c r="AG47" s="190" t="str">
        <f t="shared" ref="AG47:AI47" si="125">IF(W47="-","-",(AT47*$B$2/W47+(1-AT47)*AVERAGE($B$2,$B$3)/AVERAGE(W47,AB47)))</f>
        <v>-</v>
      </c>
      <c r="AH47" s="190" t="str">
        <f t="shared" si="125"/>
        <v>-</v>
      </c>
      <c r="AI47" s="190" t="str">
        <f t="shared" si="125"/>
        <v>-</v>
      </c>
      <c r="AJ47" s="7"/>
      <c r="AK47" s="7"/>
      <c r="AL47" s="190" t="str">
        <f t="shared" ref="AL47:AN47" si="126">IF(W47="-","-",(AY47*$B$2/W47+(1-AY47)*AVERAGE($B$2,$B$3)/AVERAGE(W47,AB47)))</f>
        <v>-</v>
      </c>
      <c r="AM47" s="190" t="str">
        <f t="shared" si="126"/>
        <v>-</v>
      </c>
      <c r="AN47" s="190" t="str">
        <f t="shared" si="126"/>
        <v>-</v>
      </c>
      <c r="AO47" s="7"/>
      <c r="AP47" s="7"/>
      <c r="AQ47" s="7"/>
      <c r="AR47" s="7"/>
      <c r="AS47" s="7"/>
      <c r="AT47" s="242" t="str">
        <f>IF(R47="-","-",VLOOKUP(R47,'CPI USA'!$T:$V,3,FALSE))</f>
        <v>-</v>
      </c>
      <c r="AU47" s="242" t="str">
        <f>IF(S47="-","-",VLOOKUP(S47,'CPI USA'!$T:$V,3,FALSE))</f>
        <v>-</v>
      </c>
      <c r="AV47" s="242" t="str">
        <f>IF(T47="-","-",VLOOKUP(T47,'CPI USA'!$T:$V,3,FALSE))</f>
        <v>-</v>
      </c>
      <c r="AW47" s="7"/>
      <c r="AX47" s="7"/>
      <c r="AY47" s="242" t="str">
        <f>IF(R47="-","-",VLOOKUP(R47,'CPI USA'!$T:$X,5,FALSE))</f>
        <v>-</v>
      </c>
      <c r="AZ47" s="242" t="str">
        <f>IF(S47="-","-",VLOOKUP(S47,'CPI USA'!$T:$X,5,FALSE))</f>
        <v>-</v>
      </c>
      <c r="BA47" s="242" t="str">
        <f>IF(T47="-","-",VLOOKUP(T47,'CPI USA'!$T:$X,5,FALSE))</f>
        <v>-</v>
      </c>
      <c r="BB47" s="7"/>
    </row>
    <row r="48" spans="1:54" ht="15.75" customHeight="1">
      <c r="A48" s="185" t="s">
        <v>333</v>
      </c>
      <c r="B48" s="185" t="s">
        <v>334</v>
      </c>
      <c r="C48" s="243">
        <f>+'Empresas 21-23'!J43</f>
        <v>0</v>
      </c>
      <c r="D48" s="239">
        <f>VLOOKUP(A48,'FERC 2021'!$A$3:$BE$221,57,0)</f>
        <v>0</v>
      </c>
      <c r="E48" s="239">
        <f>VLOOKUP(A48,'FERC 2021'!$A$3:$BF$221,58,0)</f>
        <v>0</v>
      </c>
      <c r="F48" s="239">
        <f>VLOOKUP(A48,'FERC 2022'!$A$3:$BE$220,57,0)</f>
        <v>0</v>
      </c>
      <c r="G48" s="239">
        <f>VLOOKUP(A48,'FERC 2022'!$A$3:$BF$220,58,0)</f>
        <v>0</v>
      </c>
      <c r="H48" s="239">
        <f>VLOOKUP(A48,'FERC 2023'!$A$3:$BE$221,57,0)</f>
        <v>0</v>
      </c>
      <c r="I48" s="239">
        <f>VLOOKUP(A48,'FERC 2023'!$A$3:$BF$221,58,0)</f>
        <v>0</v>
      </c>
      <c r="J48" s="7"/>
      <c r="K48" s="7"/>
      <c r="L48" s="7"/>
      <c r="M48" s="187" t="str">
        <f t="shared" si="0"/>
        <v/>
      </c>
      <c r="N48" s="187" t="str">
        <f t="shared" si="1"/>
        <v/>
      </c>
      <c r="O48" s="187" t="str">
        <f t="shared" si="2"/>
        <v/>
      </c>
      <c r="P48" s="7"/>
      <c r="Q48" s="240" t="str">
        <f t="shared" si="3"/>
        <v>-</v>
      </c>
      <c r="R48" s="189" t="str">
        <f t="shared" ref="R48:T48" si="127">IF(ISERROR(R$5-365*$Q48),"-",MONTH(R$5-365*$Q48)&amp;"_"&amp;YEAR(R$5-365*$Q48))</f>
        <v>-</v>
      </c>
      <c r="S48" s="189" t="str">
        <f t="shared" si="127"/>
        <v>-</v>
      </c>
      <c r="T48" s="189" t="str">
        <f t="shared" si="127"/>
        <v>-</v>
      </c>
      <c r="U48" s="7"/>
      <c r="V48" s="7"/>
      <c r="W48" s="190" t="str">
        <f>IF(R48="-","-",VLOOKUP(R48,'CPI USA'!$T:$U,2,FALSE))</f>
        <v>-</v>
      </c>
      <c r="X48" s="190" t="str">
        <f>IF(S48="-","-",VLOOKUP(S48,'CPI USA'!$T:$U,2,FALSE))</f>
        <v>-</v>
      </c>
      <c r="Y48" s="190" t="str">
        <f>IF(T48="-","-",VLOOKUP(T48,'CPI USA'!$T:$U,2,FALSE))</f>
        <v>-</v>
      </c>
      <c r="Z48" s="7"/>
      <c r="AA48" s="7"/>
      <c r="AB48" s="190" t="str">
        <f>IF(R48="-","-",VLOOKUP(R48,'PPI USA'!$S:$T,2,FALSE))</f>
        <v>-</v>
      </c>
      <c r="AC48" s="190" t="str">
        <f>IF(S48="-","-",VLOOKUP(S48,'PPI USA'!$S:$T,2,FALSE))</f>
        <v>-</v>
      </c>
      <c r="AD48" s="190" t="str">
        <f>IF(T48="-","-",VLOOKUP(T48,'PPI USA'!$S:$T,2,FALSE))</f>
        <v>-</v>
      </c>
      <c r="AE48" s="7"/>
      <c r="AF48" s="7"/>
      <c r="AG48" s="190" t="str">
        <f t="shared" ref="AG48:AI48" si="128">IF(W48="-","-",(AT48*$B$2/W48+(1-AT48)*AVERAGE($B$2,$B$3)/AVERAGE(W48,AB48)))</f>
        <v>-</v>
      </c>
      <c r="AH48" s="190" t="str">
        <f t="shared" si="128"/>
        <v>-</v>
      </c>
      <c r="AI48" s="190" t="str">
        <f t="shared" si="128"/>
        <v>-</v>
      </c>
      <c r="AJ48" s="7"/>
      <c r="AK48" s="7"/>
      <c r="AL48" s="190" t="str">
        <f t="shared" ref="AL48:AN48" si="129">IF(W48="-","-",(AY48*$B$2/W48+(1-AY48)*AVERAGE($B$2,$B$3)/AVERAGE(W48,AB48)))</f>
        <v>-</v>
      </c>
      <c r="AM48" s="190" t="str">
        <f t="shared" si="129"/>
        <v>-</v>
      </c>
      <c r="AN48" s="190" t="str">
        <f t="shared" si="129"/>
        <v>-</v>
      </c>
      <c r="AO48" s="7"/>
      <c r="AP48" s="7"/>
      <c r="AQ48" s="7"/>
      <c r="AR48" s="7"/>
      <c r="AS48" s="7"/>
      <c r="AT48" s="242" t="str">
        <f>IF(R48="-","-",VLOOKUP(R48,'CPI USA'!$T:$V,3,FALSE))</f>
        <v>-</v>
      </c>
      <c r="AU48" s="242" t="str">
        <f>IF(S48="-","-",VLOOKUP(S48,'CPI USA'!$T:$V,3,FALSE))</f>
        <v>-</v>
      </c>
      <c r="AV48" s="242" t="str">
        <f>IF(T48="-","-",VLOOKUP(T48,'CPI USA'!$T:$V,3,FALSE))</f>
        <v>-</v>
      </c>
      <c r="AW48" s="7"/>
      <c r="AX48" s="7"/>
      <c r="AY48" s="242" t="str">
        <f>IF(R48="-","-",VLOOKUP(R48,'CPI USA'!$T:$X,5,FALSE))</f>
        <v>-</v>
      </c>
      <c r="AZ48" s="242" t="str">
        <f>IF(S48="-","-",VLOOKUP(S48,'CPI USA'!$T:$X,5,FALSE))</f>
        <v>-</v>
      </c>
      <c r="BA48" s="242" t="str">
        <f>IF(T48="-","-",VLOOKUP(T48,'CPI USA'!$T:$X,5,FALSE))</f>
        <v>-</v>
      </c>
      <c r="BB48" s="7"/>
    </row>
    <row r="49" spans="1:54" ht="15.75" customHeight="1">
      <c r="A49" s="185" t="s">
        <v>336</v>
      </c>
      <c r="B49" s="185" t="s">
        <v>337</v>
      </c>
      <c r="C49" s="243">
        <f>+'Empresas 21-23'!J44</f>
        <v>0</v>
      </c>
      <c r="D49" s="239">
        <f>VLOOKUP(A49,'FERC 2021'!$A$3:$BE$221,57,0)</f>
        <v>0</v>
      </c>
      <c r="E49" s="239">
        <f>VLOOKUP(A49,'FERC 2021'!$A$3:$BF$221,58,0)</f>
        <v>0</v>
      </c>
      <c r="F49" s="239">
        <f>VLOOKUP(A49,'FERC 2022'!$A$3:$BE$220,57,0)</f>
        <v>0</v>
      </c>
      <c r="G49" s="239">
        <f>VLOOKUP(A49,'FERC 2022'!$A$3:$BF$220,58,0)</f>
        <v>0</v>
      </c>
      <c r="H49" s="239">
        <f>VLOOKUP(A49,'FERC 2023'!$A$3:$BE$221,57,0)</f>
        <v>0</v>
      </c>
      <c r="I49" s="239">
        <f>VLOOKUP(A49,'FERC 2023'!$A$3:$BF$221,58,0)</f>
        <v>0</v>
      </c>
      <c r="J49" s="7"/>
      <c r="K49" s="7"/>
      <c r="L49" s="7"/>
      <c r="M49" s="187" t="str">
        <f t="shared" si="0"/>
        <v/>
      </c>
      <c r="N49" s="187" t="str">
        <f t="shared" si="1"/>
        <v/>
      </c>
      <c r="O49" s="187" t="str">
        <f t="shared" si="2"/>
        <v/>
      </c>
      <c r="P49" s="7"/>
      <c r="Q49" s="240" t="str">
        <f t="shared" si="3"/>
        <v>-</v>
      </c>
      <c r="R49" s="189" t="str">
        <f t="shared" ref="R49:T49" si="130">IF(ISERROR(R$5-365*$Q49),"-",MONTH(R$5-365*$Q49)&amp;"_"&amp;YEAR(R$5-365*$Q49))</f>
        <v>-</v>
      </c>
      <c r="S49" s="189" t="str">
        <f t="shared" si="130"/>
        <v>-</v>
      </c>
      <c r="T49" s="189" t="str">
        <f t="shared" si="130"/>
        <v>-</v>
      </c>
      <c r="U49" s="7"/>
      <c r="V49" s="7"/>
      <c r="W49" s="190" t="str">
        <f>IF(R49="-","-",VLOOKUP(R49,'CPI USA'!$T:$U,2,FALSE))</f>
        <v>-</v>
      </c>
      <c r="X49" s="190" t="str">
        <f>IF(S49="-","-",VLOOKUP(S49,'CPI USA'!$T:$U,2,FALSE))</f>
        <v>-</v>
      </c>
      <c r="Y49" s="190" t="str">
        <f>IF(T49="-","-",VLOOKUP(T49,'CPI USA'!$T:$U,2,FALSE))</f>
        <v>-</v>
      </c>
      <c r="Z49" s="7"/>
      <c r="AA49" s="7"/>
      <c r="AB49" s="190" t="str">
        <f>IF(R49="-","-",VLOOKUP(R49,'PPI USA'!$S:$T,2,FALSE))</f>
        <v>-</v>
      </c>
      <c r="AC49" s="190" t="str">
        <f>IF(S49="-","-",VLOOKUP(S49,'PPI USA'!$S:$T,2,FALSE))</f>
        <v>-</v>
      </c>
      <c r="AD49" s="190" t="str">
        <f>IF(T49="-","-",VLOOKUP(T49,'PPI USA'!$S:$T,2,FALSE))</f>
        <v>-</v>
      </c>
      <c r="AE49" s="7"/>
      <c r="AF49" s="7"/>
      <c r="AG49" s="190" t="str">
        <f t="shared" ref="AG49:AI49" si="131">IF(W49="-","-",(AT49*$B$2/W49+(1-AT49)*AVERAGE($B$2,$B$3)/AVERAGE(W49,AB49)))</f>
        <v>-</v>
      </c>
      <c r="AH49" s="190" t="str">
        <f t="shared" si="131"/>
        <v>-</v>
      </c>
      <c r="AI49" s="190" t="str">
        <f t="shared" si="131"/>
        <v>-</v>
      </c>
      <c r="AJ49" s="7"/>
      <c r="AK49" s="7"/>
      <c r="AL49" s="190" t="str">
        <f t="shared" ref="AL49:AN49" si="132">IF(W49="-","-",(AY49*$B$2/W49+(1-AY49)*AVERAGE($B$2,$B$3)/AVERAGE(W49,AB49)))</f>
        <v>-</v>
      </c>
      <c r="AM49" s="190" t="str">
        <f t="shared" si="132"/>
        <v>-</v>
      </c>
      <c r="AN49" s="190" t="str">
        <f t="shared" si="132"/>
        <v>-</v>
      </c>
      <c r="AO49" s="7"/>
      <c r="AP49" s="7"/>
      <c r="AQ49" s="7"/>
      <c r="AR49" s="7"/>
      <c r="AS49" s="7"/>
      <c r="AT49" s="242" t="str">
        <f>IF(R49="-","-",VLOOKUP(R49,'CPI USA'!$T:$V,3,FALSE))</f>
        <v>-</v>
      </c>
      <c r="AU49" s="242" t="str">
        <f>IF(S49="-","-",VLOOKUP(S49,'CPI USA'!$T:$V,3,FALSE))</f>
        <v>-</v>
      </c>
      <c r="AV49" s="242" t="str">
        <f>IF(T49="-","-",VLOOKUP(T49,'CPI USA'!$T:$V,3,FALSE))</f>
        <v>-</v>
      </c>
      <c r="AW49" s="7"/>
      <c r="AX49" s="7"/>
      <c r="AY49" s="242" t="str">
        <f>IF(R49="-","-",VLOOKUP(R49,'CPI USA'!$T:$X,5,FALSE))</f>
        <v>-</v>
      </c>
      <c r="AZ49" s="242" t="str">
        <f>IF(S49="-","-",VLOOKUP(S49,'CPI USA'!$T:$X,5,FALSE))</f>
        <v>-</v>
      </c>
      <c r="BA49" s="242" t="str">
        <f>IF(T49="-","-",VLOOKUP(T49,'CPI USA'!$T:$X,5,FALSE))</f>
        <v>-</v>
      </c>
      <c r="BB49" s="7"/>
    </row>
    <row r="50" spans="1:54" ht="15.75" customHeight="1">
      <c r="A50" s="185" t="s">
        <v>339</v>
      </c>
      <c r="B50" s="185" t="s">
        <v>340</v>
      </c>
      <c r="C50" s="243">
        <f>+'Empresas 21-23'!J45</f>
        <v>0</v>
      </c>
      <c r="D50" s="239">
        <f>VLOOKUP(A50,'FERC 2021'!$A$3:$BE$221,57,0)</f>
        <v>0</v>
      </c>
      <c r="E50" s="239">
        <f>VLOOKUP(A50,'FERC 2021'!$A$3:$BF$221,58,0)</f>
        <v>0</v>
      </c>
      <c r="F50" s="239">
        <f>VLOOKUP(A50,'FERC 2022'!$A$3:$BE$220,57,0)</f>
        <v>0</v>
      </c>
      <c r="G50" s="239">
        <f>VLOOKUP(A50,'FERC 2022'!$A$3:$BF$220,58,0)</f>
        <v>0</v>
      </c>
      <c r="H50" s="239">
        <f>VLOOKUP(A50,'FERC 2023'!$A$3:$BE$221,57,0)</f>
        <v>0</v>
      </c>
      <c r="I50" s="239">
        <f>VLOOKUP(A50,'FERC 2023'!$A$3:$BF$221,58,0)</f>
        <v>0</v>
      </c>
      <c r="J50" s="7"/>
      <c r="K50" s="7"/>
      <c r="L50" s="7"/>
      <c r="M50" s="187" t="str">
        <f t="shared" si="0"/>
        <v/>
      </c>
      <c r="N50" s="187" t="str">
        <f t="shared" si="1"/>
        <v/>
      </c>
      <c r="O50" s="187" t="str">
        <f t="shared" si="2"/>
        <v/>
      </c>
      <c r="P50" s="7"/>
      <c r="Q50" s="240" t="str">
        <f t="shared" si="3"/>
        <v>-</v>
      </c>
      <c r="R50" s="189" t="str">
        <f t="shared" ref="R50:T50" si="133">IF(ISERROR(R$5-365*$Q50),"-",MONTH(R$5-365*$Q50)&amp;"_"&amp;YEAR(R$5-365*$Q50))</f>
        <v>-</v>
      </c>
      <c r="S50" s="189" t="str">
        <f t="shared" si="133"/>
        <v>-</v>
      </c>
      <c r="T50" s="189" t="str">
        <f t="shared" si="133"/>
        <v>-</v>
      </c>
      <c r="U50" s="7"/>
      <c r="V50" s="7"/>
      <c r="W50" s="190" t="str">
        <f>IF(R50="-","-",VLOOKUP(R50,'CPI USA'!$T:$U,2,FALSE))</f>
        <v>-</v>
      </c>
      <c r="X50" s="190" t="str">
        <f>IF(S50="-","-",VLOOKUP(S50,'CPI USA'!$T:$U,2,FALSE))</f>
        <v>-</v>
      </c>
      <c r="Y50" s="190" t="str">
        <f>IF(T50="-","-",VLOOKUP(T50,'CPI USA'!$T:$U,2,FALSE))</f>
        <v>-</v>
      </c>
      <c r="Z50" s="7"/>
      <c r="AA50" s="7"/>
      <c r="AB50" s="190" t="str">
        <f>IF(R50="-","-",VLOOKUP(R50,'PPI USA'!$S:$T,2,FALSE))</f>
        <v>-</v>
      </c>
      <c r="AC50" s="190" t="str">
        <f>IF(S50="-","-",VLOOKUP(S50,'PPI USA'!$S:$T,2,FALSE))</f>
        <v>-</v>
      </c>
      <c r="AD50" s="190" t="str">
        <f>IF(T50="-","-",VLOOKUP(T50,'PPI USA'!$S:$T,2,FALSE))</f>
        <v>-</v>
      </c>
      <c r="AE50" s="7"/>
      <c r="AF50" s="7"/>
      <c r="AG50" s="190" t="str">
        <f t="shared" ref="AG50:AI50" si="134">IF(W50="-","-",(AT50*$B$2/W50+(1-AT50)*AVERAGE($B$2,$B$3)/AVERAGE(W50,AB50)))</f>
        <v>-</v>
      </c>
      <c r="AH50" s="190" t="str">
        <f t="shared" si="134"/>
        <v>-</v>
      </c>
      <c r="AI50" s="190" t="str">
        <f t="shared" si="134"/>
        <v>-</v>
      </c>
      <c r="AJ50" s="7"/>
      <c r="AK50" s="7"/>
      <c r="AL50" s="190" t="str">
        <f t="shared" ref="AL50:AN50" si="135">IF(W50="-","-",(AY50*$B$2/W50+(1-AY50)*AVERAGE($B$2,$B$3)/AVERAGE(W50,AB50)))</f>
        <v>-</v>
      </c>
      <c r="AM50" s="190" t="str">
        <f t="shared" si="135"/>
        <v>-</v>
      </c>
      <c r="AN50" s="190" t="str">
        <f t="shared" si="135"/>
        <v>-</v>
      </c>
      <c r="AO50" s="7"/>
      <c r="AP50" s="7"/>
      <c r="AQ50" s="7"/>
      <c r="AR50" s="7"/>
      <c r="AS50" s="7"/>
      <c r="AT50" s="242" t="str">
        <f>IF(R50="-","-",VLOOKUP(R50,'CPI USA'!$T:$V,3,FALSE))</f>
        <v>-</v>
      </c>
      <c r="AU50" s="242" t="str">
        <f>IF(S50="-","-",VLOOKUP(S50,'CPI USA'!$T:$V,3,FALSE))</f>
        <v>-</v>
      </c>
      <c r="AV50" s="242" t="str">
        <f>IF(T50="-","-",VLOOKUP(T50,'CPI USA'!$T:$V,3,FALSE))</f>
        <v>-</v>
      </c>
      <c r="AW50" s="7"/>
      <c r="AX50" s="7"/>
      <c r="AY50" s="242" t="str">
        <f>IF(R50="-","-",VLOOKUP(R50,'CPI USA'!$T:$X,5,FALSE))</f>
        <v>-</v>
      </c>
      <c r="AZ50" s="242" t="str">
        <f>IF(S50="-","-",VLOOKUP(S50,'CPI USA'!$T:$X,5,FALSE))</f>
        <v>-</v>
      </c>
      <c r="BA50" s="242" t="str">
        <f>IF(T50="-","-",VLOOKUP(T50,'CPI USA'!$T:$X,5,FALSE))</f>
        <v>-</v>
      </c>
      <c r="BB50" s="7"/>
    </row>
    <row r="51" spans="1:54" ht="15.75" customHeight="1">
      <c r="A51" s="185" t="s">
        <v>342</v>
      </c>
      <c r="B51" s="185" t="s">
        <v>343</v>
      </c>
      <c r="C51" s="243">
        <f>+'Empresas 21-23'!J46</f>
        <v>0</v>
      </c>
      <c r="D51" s="239">
        <f>VLOOKUP(A51,'FERC 2021'!$A$3:$BE$221,57,0)</f>
        <v>0</v>
      </c>
      <c r="E51" s="239">
        <f>VLOOKUP(A51,'FERC 2021'!$A$3:$BF$221,58,0)</f>
        <v>0</v>
      </c>
      <c r="F51" s="239">
        <f>VLOOKUP(A51,'FERC 2022'!$A$3:$BE$220,57,0)</f>
        <v>0</v>
      </c>
      <c r="G51" s="239">
        <f>VLOOKUP(A51,'FERC 2022'!$A$3:$BF$220,58,0)</f>
        <v>0</v>
      </c>
      <c r="H51" s="239">
        <f>VLOOKUP(A51,'FERC 2023'!$A$3:$BE$221,57,0)</f>
        <v>0</v>
      </c>
      <c r="I51" s="239">
        <f>VLOOKUP(A51,'FERC 2023'!$A$3:$BF$221,58,0)</f>
        <v>0</v>
      </c>
      <c r="J51" s="7"/>
      <c r="K51" s="7"/>
      <c r="L51" s="7"/>
      <c r="M51" s="187" t="str">
        <f t="shared" si="0"/>
        <v/>
      </c>
      <c r="N51" s="187" t="str">
        <f t="shared" si="1"/>
        <v/>
      </c>
      <c r="O51" s="187" t="str">
        <f t="shared" si="2"/>
        <v/>
      </c>
      <c r="P51" s="7"/>
      <c r="Q51" s="240" t="str">
        <f t="shared" si="3"/>
        <v>-</v>
      </c>
      <c r="R51" s="189" t="str">
        <f t="shared" ref="R51:T51" si="136">IF(ISERROR(R$5-365*$Q51),"-",MONTH(R$5-365*$Q51)&amp;"_"&amp;YEAR(R$5-365*$Q51))</f>
        <v>-</v>
      </c>
      <c r="S51" s="189" t="str">
        <f t="shared" si="136"/>
        <v>-</v>
      </c>
      <c r="T51" s="189" t="str">
        <f t="shared" si="136"/>
        <v>-</v>
      </c>
      <c r="U51" s="7"/>
      <c r="V51" s="7"/>
      <c r="W51" s="190" t="str">
        <f>IF(R51="-","-",VLOOKUP(R51,'CPI USA'!$T:$U,2,FALSE))</f>
        <v>-</v>
      </c>
      <c r="X51" s="190" t="str">
        <f>IF(S51="-","-",VLOOKUP(S51,'CPI USA'!$T:$U,2,FALSE))</f>
        <v>-</v>
      </c>
      <c r="Y51" s="190" t="str">
        <f>IF(T51="-","-",VLOOKUP(T51,'CPI USA'!$T:$U,2,FALSE))</f>
        <v>-</v>
      </c>
      <c r="Z51" s="7"/>
      <c r="AA51" s="7"/>
      <c r="AB51" s="190" t="str">
        <f>IF(R51="-","-",VLOOKUP(R51,'PPI USA'!$S:$T,2,FALSE))</f>
        <v>-</v>
      </c>
      <c r="AC51" s="190" t="str">
        <f>IF(S51="-","-",VLOOKUP(S51,'PPI USA'!$S:$T,2,FALSE))</f>
        <v>-</v>
      </c>
      <c r="AD51" s="190" t="str">
        <f>IF(T51="-","-",VLOOKUP(T51,'PPI USA'!$S:$T,2,FALSE))</f>
        <v>-</v>
      </c>
      <c r="AE51" s="7"/>
      <c r="AF51" s="7"/>
      <c r="AG51" s="190" t="str">
        <f t="shared" ref="AG51:AI51" si="137">IF(W51="-","-",(AT51*$B$2/W51+(1-AT51)*AVERAGE($B$2,$B$3)/AVERAGE(W51,AB51)))</f>
        <v>-</v>
      </c>
      <c r="AH51" s="190" t="str">
        <f t="shared" si="137"/>
        <v>-</v>
      </c>
      <c r="AI51" s="190" t="str">
        <f t="shared" si="137"/>
        <v>-</v>
      </c>
      <c r="AJ51" s="7"/>
      <c r="AK51" s="7"/>
      <c r="AL51" s="190" t="str">
        <f t="shared" ref="AL51:AN51" si="138">IF(W51="-","-",(AY51*$B$2/W51+(1-AY51)*AVERAGE($B$2,$B$3)/AVERAGE(W51,AB51)))</f>
        <v>-</v>
      </c>
      <c r="AM51" s="190" t="str">
        <f t="shared" si="138"/>
        <v>-</v>
      </c>
      <c r="AN51" s="190" t="str">
        <f t="shared" si="138"/>
        <v>-</v>
      </c>
      <c r="AO51" s="7"/>
      <c r="AP51" s="7"/>
      <c r="AQ51" s="7"/>
      <c r="AR51" s="7"/>
      <c r="AS51" s="7"/>
      <c r="AT51" s="242" t="str">
        <f>IF(R51="-","-",VLOOKUP(R51,'CPI USA'!$T:$V,3,FALSE))</f>
        <v>-</v>
      </c>
      <c r="AU51" s="242" t="str">
        <f>IF(S51="-","-",VLOOKUP(S51,'CPI USA'!$T:$V,3,FALSE))</f>
        <v>-</v>
      </c>
      <c r="AV51" s="242" t="str">
        <f>IF(T51="-","-",VLOOKUP(T51,'CPI USA'!$T:$V,3,FALSE))</f>
        <v>-</v>
      </c>
      <c r="AW51" s="7"/>
      <c r="AX51" s="7"/>
      <c r="AY51" s="242" t="str">
        <f>IF(R51="-","-",VLOOKUP(R51,'CPI USA'!$T:$X,5,FALSE))</f>
        <v>-</v>
      </c>
      <c r="AZ51" s="242" t="str">
        <f>IF(S51="-","-",VLOOKUP(S51,'CPI USA'!$T:$X,5,FALSE))</f>
        <v>-</v>
      </c>
      <c r="BA51" s="242" t="str">
        <f>IF(T51="-","-",VLOOKUP(T51,'CPI USA'!$T:$X,5,FALSE))</f>
        <v>-</v>
      </c>
      <c r="BB51" s="7"/>
    </row>
    <row r="52" spans="1:54" ht="15.75" customHeight="1">
      <c r="A52" s="185" t="s">
        <v>345</v>
      </c>
      <c r="B52" s="185" t="s">
        <v>346</v>
      </c>
      <c r="C52" s="243">
        <f>+'Empresas 21-23'!J47</f>
        <v>0</v>
      </c>
      <c r="D52" s="239">
        <f>VLOOKUP(A52,'FERC 2021'!$A$3:$BE$221,57,0)</f>
        <v>0</v>
      </c>
      <c r="E52" s="239">
        <f>VLOOKUP(A52,'FERC 2021'!$A$3:$BF$221,58,0)</f>
        <v>0</v>
      </c>
      <c r="F52" s="239">
        <f>VLOOKUP(A52,'FERC 2022'!$A$3:$BE$220,57,0)</f>
        <v>0</v>
      </c>
      <c r="G52" s="239">
        <f>VLOOKUP(A52,'FERC 2022'!$A$3:$BF$220,58,0)</f>
        <v>0</v>
      </c>
      <c r="H52" s="239">
        <f>VLOOKUP(A52,'FERC 2023'!$A$3:$BE$221,57,0)</f>
        <v>0</v>
      </c>
      <c r="I52" s="239">
        <f>VLOOKUP(A52,'FERC 2023'!$A$3:$BF$221,58,0)</f>
        <v>0</v>
      </c>
      <c r="J52" s="7"/>
      <c r="K52" s="7"/>
      <c r="L52" s="7"/>
      <c r="M52" s="187" t="str">
        <f t="shared" si="0"/>
        <v/>
      </c>
      <c r="N52" s="187" t="str">
        <f t="shared" si="1"/>
        <v/>
      </c>
      <c r="O52" s="187" t="str">
        <f t="shared" si="2"/>
        <v/>
      </c>
      <c r="P52" s="7"/>
      <c r="Q52" s="240" t="str">
        <f t="shared" si="3"/>
        <v>-</v>
      </c>
      <c r="R52" s="189" t="str">
        <f t="shared" ref="R52:T52" si="139">IF(ISERROR(R$5-365*$Q52),"-",MONTH(R$5-365*$Q52)&amp;"_"&amp;YEAR(R$5-365*$Q52))</f>
        <v>-</v>
      </c>
      <c r="S52" s="189" t="str">
        <f t="shared" si="139"/>
        <v>-</v>
      </c>
      <c r="T52" s="189" t="str">
        <f t="shared" si="139"/>
        <v>-</v>
      </c>
      <c r="U52" s="7"/>
      <c r="V52" s="7"/>
      <c r="W52" s="190" t="str">
        <f>IF(R52="-","-",VLOOKUP(R52,'CPI USA'!$T:$U,2,FALSE))</f>
        <v>-</v>
      </c>
      <c r="X52" s="190" t="str">
        <f>IF(S52="-","-",VLOOKUP(S52,'CPI USA'!$T:$U,2,FALSE))</f>
        <v>-</v>
      </c>
      <c r="Y52" s="190" t="str">
        <f>IF(T52="-","-",VLOOKUP(T52,'CPI USA'!$T:$U,2,FALSE))</f>
        <v>-</v>
      </c>
      <c r="Z52" s="7"/>
      <c r="AA52" s="7"/>
      <c r="AB52" s="190" t="str">
        <f>IF(R52="-","-",VLOOKUP(R52,'PPI USA'!$S:$T,2,FALSE))</f>
        <v>-</v>
      </c>
      <c r="AC52" s="190" t="str">
        <f>IF(S52="-","-",VLOOKUP(S52,'PPI USA'!$S:$T,2,FALSE))</f>
        <v>-</v>
      </c>
      <c r="AD52" s="190" t="str">
        <f>IF(T52="-","-",VLOOKUP(T52,'PPI USA'!$S:$T,2,FALSE))</f>
        <v>-</v>
      </c>
      <c r="AE52" s="7"/>
      <c r="AF52" s="7"/>
      <c r="AG52" s="190" t="str">
        <f t="shared" ref="AG52:AI52" si="140">IF(W52="-","-",(AT52*$B$2/W52+(1-AT52)*AVERAGE($B$2,$B$3)/AVERAGE(W52,AB52)))</f>
        <v>-</v>
      </c>
      <c r="AH52" s="190" t="str">
        <f t="shared" si="140"/>
        <v>-</v>
      </c>
      <c r="AI52" s="190" t="str">
        <f t="shared" si="140"/>
        <v>-</v>
      </c>
      <c r="AJ52" s="7"/>
      <c r="AK52" s="7"/>
      <c r="AL52" s="190" t="str">
        <f t="shared" ref="AL52:AN52" si="141">IF(W52="-","-",(AY52*$B$2/W52+(1-AY52)*AVERAGE($B$2,$B$3)/AVERAGE(W52,AB52)))</f>
        <v>-</v>
      </c>
      <c r="AM52" s="190" t="str">
        <f t="shared" si="141"/>
        <v>-</v>
      </c>
      <c r="AN52" s="190" t="str">
        <f t="shared" si="141"/>
        <v>-</v>
      </c>
      <c r="AO52" s="7"/>
      <c r="AP52" s="7"/>
      <c r="AQ52" s="7"/>
      <c r="AR52" s="7"/>
      <c r="AS52" s="7"/>
      <c r="AT52" s="242" t="str">
        <f>IF(R52="-","-",VLOOKUP(R52,'CPI USA'!$T:$V,3,FALSE))</f>
        <v>-</v>
      </c>
      <c r="AU52" s="242" t="str">
        <f>IF(S52="-","-",VLOOKUP(S52,'CPI USA'!$T:$V,3,FALSE))</f>
        <v>-</v>
      </c>
      <c r="AV52" s="242" t="str">
        <f>IF(T52="-","-",VLOOKUP(T52,'CPI USA'!$T:$V,3,FALSE))</f>
        <v>-</v>
      </c>
      <c r="AW52" s="7"/>
      <c r="AX52" s="7"/>
      <c r="AY52" s="242" t="str">
        <f>IF(R52="-","-",VLOOKUP(R52,'CPI USA'!$T:$X,5,FALSE))</f>
        <v>-</v>
      </c>
      <c r="AZ52" s="242" t="str">
        <f>IF(S52="-","-",VLOOKUP(S52,'CPI USA'!$T:$X,5,FALSE))</f>
        <v>-</v>
      </c>
      <c r="BA52" s="242" t="str">
        <f>IF(T52="-","-",VLOOKUP(T52,'CPI USA'!$T:$X,5,FALSE))</f>
        <v>-</v>
      </c>
      <c r="BB52" s="7"/>
    </row>
    <row r="53" spans="1:54" ht="15.75" customHeight="1">
      <c r="A53" s="185" t="s">
        <v>348</v>
      </c>
      <c r="B53" s="185" t="s">
        <v>349</v>
      </c>
      <c r="C53" s="239">
        <f>+'Empresas 21-23'!J48</f>
        <v>0</v>
      </c>
      <c r="D53" s="239">
        <f>VLOOKUP(A53,'FERC 2021'!$A$3:$BE$221,57,0)</f>
        <v>1621676367</v>
      </c>
      <c r="E53" s="239">
        <f>VLOOKUP(A53,'FERC 2021'!$A$3:$BF$221,58,0)</f>
        <v>162137437</v>
      </c>
      <c r="F53" s="239">
        <f>VLOOKUP(A53,'FERC 2022'!$A$3:$BE$220,57,0)</f>
        <v>1717284254</v>
      </c>
      <c r="G53" s="239">
        <f>VLOOKUP(A53,'FERC 2022'!$A$3:$BF$220,58,0)</f>
        <v>176084952</v>
      </c>
      <c r="H53" s="239">
        <f>VLOOKUP(A53,'FERC 2023'!$A$3:$BE$221,57,0)</f>
        <v>1806088635</v>
      </c>
      <c r="I53" s="239">
        <f>VLOOKUP(A53,'FERC 2023'!$A$3:$BF$221,58,0)</f>
        <v>177353891</v>
      </c>
      <c r="J53" s="7"/>
      <c r="K53" s="7"/>
      <c r="L53" s="7"/>
      <c r="M53" s="187">
        <f t="shared" si="0"/>
        <v>10.001862598827191</v>
      </c>
      <c r="N53" s="187">
        <f t="shared" si="1"/>
        <v>9.7525895000953859</v>
      </c>
      <c r="O53" s="187">
        <f t="shared" si="2"/>
        <v>10.18352980482396</v>
      </c>
      <c r="P53" s="7"/>
      <c r="Q53" s="240">
        <f t="shared" si="3"/>
        <v>9.9793273012488459</v>
      </c>
      <c r="R53" s="189" t="str">
        <f t="shared" ref="R53:T53" si="142">IF(ISERROR(R$5-365*$Q53),"-",MONTH(R$5-365*$Q53)&amp;"_"&amp;YEAR(R$5-365*$Q53))</f>
        <v>1_2012</v>
      </c>
      <c r="S53" s="189" t="str">
        <f t="shared" si="142"/>
        <v>1_2013</v>
      </c>
      <c r="T53" s="189" t="str">
        <f t="shared" si="142"/>
        <v>1_2014</v>
      </c>
      <c r="U53" s="7"/>
      <c r="V53" s="7"/>
      <c r="W53" s="190">
        <f>IF(R53="-","-",VLOOKUP(R53,'CPI USA'!$T:$U,2,FALSE))</f>
        <v>229.59399999999999</v>
      </c>
      <c r="X53" s="190">
        <f>IF(S53="-","-",VLOOKUP(S53,'CPI USA'!$T:$U,2,FALSE))</f>
        <v>230.28</v>
      </c>
      <c r="Y53" s="190">
        <f>IF(T53="-","-",VLOOKUP(T53,'CPI USA'!$T:$U,2,FALSE))</f>
        <v>233.916</v>
      </c>
      <c r="Z53" s="7"/>
      <c r="AA53" s="7"/>
      <c r="AB53" s="190">
        <f>IF(R53="-","-",VLOOKUP(R53,'PPI USA'!$S:$T,2,FALSE))</f>
        <v>175.1</v>
      </c>
      <c r="AC53" s="190">
        <f>IF(S53="-","-",VLOOKUP(S53,'PPI USA'!$S:$T,2,FALSE))</f>
        <v>166.2</v>
      </c>
      <c r="AD53" s="190">
        <f>IF(T53="-","-",VLOOKUP(T53,'PPI USA'!$S:$T,2,FALSE))</f>
        <v>179.5</v>
      </c>
      <c r="AE53" s="7"/>
      <c r="AF53" s="7"/>
      <c r="AG53" s="190">
        <f t="shared" ref="AG53:AI53" si="143">IF(W53="-","-",(AT53*$B$2/W53+(1-AT53)*AVERAGE($B$2,$B$3)/AVERAGE(W53,AB53)))</f>
        <v>1.3897894616766442</v>
      </c>
      <c r="AH53" s="190">
        <f t="shared" si="143"/>
        <v>1.3963809315743387</v>
      </c>
      <c r="AI53" s="190">
        <f t="shared" si="143"/>
        <v>1.3628462972447253</v>
      </c>
      <c r="AJ53" s="7"/>
      <c r="AK53" s="7"/>
      <c r="AL53" s="190">
        <f t="shared" ref="AL53:AN53" si="144">IF(W53="-","-",(AY53*$B$2/W53+(1-AY53)*AVERAGE($B$2,$B$3)/AVERAGE(W53,AB53)))</f>
        <v>1.4008620811189902</v>
      </c>
      <c r="AM53" s="190">
        <f t="shared" si="144"/>
        <v>1.4131920249632246</v>
      </c>
      <c r="AN53" s="190">
        <f t="shared" si="144"/>
        <v>1.3730659524137003</v>
      </c>
      <c r="AO53" s="7"/>
      <c r="AP53" s="7"/>
      <c r="AQ53" s="7"/>
      <c r="AR53" s="7"/>
      <c r="AS53" s="7"/>
      <c r="AT53" s="242">
        <f>IF(R53="-","-",VLOOKUP(R53,'CPI USA'!$T:$V,3,FALSE))</f>
        <v>0.66730871354337351</v>
      </c>
      <c r="AU53" s="242">
        <f>IF(S53="-","-",VLOOKUP(S53,'CPI USA'!$T:$V,3,FALSE))</f>
        <v>0.67305131835944076</v>
      </c>
      <c r="AV53" s="242">
        <f>IF(T53="-","-",VLOOKUP(T53,'CPI USA'!$T:$V,3,FALSE))</f>
        <v>0.66756601812039096</v>
      </c>
      <c r="AW53" s="7"/>
      <c r="AX53" s="7"/>
      <c r="AY53" s="242">
        <f>IF(R53="-","-",VLOOKUP(R53,'CPI USA'!$T:$X,5,FALSE))</f>
        <v>0.49513551903851311</v>
      </c>
      <c r="AZ53" s="242">
        <f>IF(S53="-","-",VLOOKUP(S53,'CPI USA'!$T:$X,5,FALSE))</f>
        <v>0.50163050295255052</v>
      </c>
      <c r="BA53" s="242">
        <f>IF(T53="-","-",VLOOKUP(T53,'CPI USA'!$T:$X,5,FALSE))</f>
        <v>0.49542529667095003</v>
      </c>
      <c r="BB53" s="7"/>
    </row>
    <row r="54" spans="1:54" ht="15.75" customHeight="1">
      <c r="A54" s="185" t="s">
        <v>351</v>
      </c>
      <c r="B54" s="185" t="s">
        <v>352</v>
      </c>
      <c r="C54" s="239">
        <f>+'Empresas 21-23'!J49</f>
        <v>0</v>
      </c>
      <c r="D54" s="239">
        <f>VLOOKUP(A54,'FERC 2021'!$A$3:$BE$221,57,0)</f>
        <v>762943085</v>
      </c>
      <c r="E54" s="239">
        <f>VLOOKUP(A54,'FERC 2021'!$A$3:$BF$221,58,0)</f>
        <v>94767352</v>
      </c>
      <c r="F54" s="239">
        <f>VLOOKUP(A54,'FERC 2022'!$A$3:$BE$220,57,0)</f>
        <v>779464365</v>
      </c>
      <c r="G54" s="239">
        <f>VLOOKUP(A54,'FERC 2022'!$A$3:$BF$220,58,0)</f>
        <v>89094325</v>
      </c>
      <c r="H54" s="239">
        <f>VLOOKUP(A54,'FERC 2023'!$A$3:$BE$221,57,0)</f>
        <v>775717245</v>
      </c>
      <c r="I54" s="239">
        <f>VLOOKUP(A54,'FERC 2023'!$A$3:$BF$221,58,0)</f>
        <v>92998528</v>
      </c>
      <c r="J54" s="7"/>
      <c r="K54" s="7"/>
      <c r="L54" s="7"/>
      <c r="M54" s="187">
        <f t="shared" si="0"/>
        <v>8.0506954019354691</v>
      </c>
      <c r="N54" s="187">
        <f t="shared" si="1"/>
        <v>8.7487543679128841</v>
      </c>
      <c r="O54" s="187">
        <f t="shared" si="2"/>
        <v>8.3411776689626738</v>
      </c>
      <c r="P54" s="7"/>
      <c r="Q54" s="240">
        <f t="shared" si="3"/>
        <v>8.3802091462703405</v>
      </c>
      <c r="R54" s="189" t="str">
        <f t="shared" ref="R54:T54" si="145">IF(ISERROR(R$5-365*$Q54),"-",MONTH(R$5-365*$Q54)&amp;"_"&amp;YEAR(R$5-365*$Q54))</f>
        <v>8_2013</v>
      </c>
      <c r="S54" s="189" t="str">
        <f t="shared" si="145"/>
        <v>8_2014</v>
      </c>
      <c r="T54" s="189" t="str">
        <f t="shared" si="145"/>
        <v>8_2015</v>
      </c>
      <c r="U54" s="7"/>
      <c r="V54" s="7"/>
      <c r="W54" s="190">
        <f>IF(R54="-","-",VLOOKUP(R54,'CPI USA'!$T:$U,2,FALSE))</f>
        <v>233.87700000000001</v>
      </c>
      <c r="X54" s="190">
        <f>IF(S54="-","-",VLOOKUP(S54,'CPI USA'!$T:$U,2,FALSE))</f>
        <v>237.852</v>
      </c>
      <c r="Y54" s="190">
        <f>IF(T54="-","-",VLOOKUP(T54,'CPI USA'!$T:$U,2,FALSE))</f>
        <v>238.316</v>
      </c>
      <c r="Z54" s="7"/>
      <c r="AA54" s="7"/>
      <c r="AB54" s="190">
        <f>IF(R54="-","-",VLOOKUP(R54,'PPI USA'!$S:$T,2,FALSE))</f>
        <v>175.2</v>
      </c>
      <c r="AC54" s="190">
        <f>IF(S54="-","-",VLOOKUP(S54,'PPI USA'!$S:$T,2,FALSE))</f>
        <v>190</v>
      </c>
      <c r="AD54" s="190">
        <f>IF(T54="-","-",VLOOKUP(T54,'PPI USA'!$S:$T,2,FALSE))</f>
        <v>197.3</v>
      </c>
      <c r="AE54" s="7"/>
      <c r="AF54" s="7"/>
      <c r="AG54" s="190">
        <f t="shared" ref="AG54:AI54" si="146">IF(W54="-","-",(AT54*$B$2/W54+(1-AT54)*AVERAGE($B$2,$B$3)/AVERAGE(W54,AB54)))</f>
        <v>1.3675350167423739</v>
      </c>
      <c r="AH54" s="190">
        <f t="shared" si="146"/>
        <v>1.3322780725835981</v>
      </c>
      <c r="AI54" s="190">
        <f t="shared" si="146"/>
        <v>1.3225272117779445</v>
      </c>
      <c r="AJ54" s="7"/>
      <c r="AK54" s="7"/>
      <c r="AL54" s="190">
        <f t="shared" ref="AL54:AN54" si="147">IF(W54="-","-",(AY54*$B$2/W54+(1-AY54)*AVERAGE($B$2,$B$3)/AVERAGE(W54,AB54)))</f>
        <v>1.3802235637774118</v>
      </c>
      <c r="AM54" s="190">
        <f t="shared" si="147"/>
        <v>1.3381779277547703</v>
      </c>
      <c r="AN54" s="190">
        <f t="shared" si="147"/>
        <v>1.3247114479798394</v>
      </c>
      <c r="AO54" s="7"/>
      <c r="AP54" s="7"/>
      <c r="AQ54" s="7"/>
      <c r="AR54" s="7"/>
      <c r="AS54" s="7"/>
      <c r="AT54" s="242">
        <f>IF(R54="-","-",VLOOKUP(R54,'CPI USA'!$T:$V,3,FALSE))</f>
        <v>0.67305131835944076</v>
      </c>
      <c r="AU54" s="242">
        <f>IF(S54="-","-",VLOOKUP(S54,'CPI USA'!$T:$V,3,FALSE))</f>
        <v>0.66756601812039096</v>
      </c>
      <c r="AV54" s="242">
        <f>IF(T54="-","-",VLOOKUP(T54,'CPI USA'!$T:$V,3,FALSE))</f>
        <v>0.6679408278919865</v>
      </c>
      <c r="AW54" s="7"/>
      <c r="AX54" s="7"/>
      <c r="AY54" s="242">
        <f>IF(R54="-","-",VLOOKUP(R54,'CPI USA'!$T:$X,5,FALSE))</f>
        <v>0.50163050295255052</v>
      </c>
      <c r="AZ54" s="242">
        <f>IF(S54="-","-",VLOOKUP(S54,'CPI USA'!$T:$X,5,FALSE))</f>
        <v>0.49542529667095003</v>
      </c>
      <c r="BA54" s="242">
        <f>IF(T54="-","-",VLOOKUP(T54,'CPI USA'!$T:$X,5,FALSE))</f>
        <v>0.49584761624008583</v>
      </c>
      <c r="BB54" s="7"/>
    </row>
    <row r="55" spans="1:54" ht="15.75" customHeight="1">
      <c r="A55" s="185" t="s">
        <v>354</v>
      </c>
      <c r="B55" s="185" t="s">
        <v>355</v>
      </c>
      <c r="C55" s="239">
        <f>+'Empresas 21-23'!J50</f>
        <v>0</v>
      </c>
      <c r="D55" s="239">
        <f>VLOOKUP(A55,'FERC 2021'!$A$3:$BE$221,57,0)</f>
        <v>304769753</v>
      </c>
      <c r="E55" s="239">
        <f>VLOOKUP(A55,'FERC 2021'!$A$3:$BF$221,58,0)</f>
        <v>34631574</v>
      </c>
      <c r="F55" s="239">
        <f>VLOOKUP(A55,'FERC 2022'!$A$3:$BE$220,57,0)</f>
        <v>324534110</v>
      </c>
      <c r="G55" s="239">
        <f>VLOOKUP(A55,'FERC 2022'!$A$3:$BF$220,58,0)</f>
        <v>36408097</v>
      </c>
      <c r="H55" s="239">
        <f>VLOOKUP(A55,'FERC 2023'!$A$3:$BE$221,57,0)</f>
        <v>348039395</v>
      </c>
      <c r="I55" s="239">
        <f>VLOOKUP(A55,'FERC 2023'!$A$3:$BF$221,58,0)</f>
        <v>38124141</v>
      </c>
      <c r="J55" s="7"/>
      <c r="K55" s="7"/>
      <c r="L55" s="7"/>
      <c r="M55" s="187">
        <f t="shared" si="0"/>
        <v>8.8003436690460557</v>
      </c>
      <c r="N55" s="187">
        <f t="shared" si="1"/>
        <v>8.9137894243689804</v>
      </c>
      <c r="O55" s="187">
        <f t="shared" si="2"/>
        <v>9.1291078532103853</v>
      </c>
      <c r="P55" s="7"/>
      <c r="Q55" s="240">
        <f t="shared" si="3"/>
        <v>8.9477469822084732</v>
      </c>
      <c r="R55" s="189" t="str">
        <f t="shared" ref="R55:T55" si="148">IF(ISERROR(R$5-365*$Q55),"-",MONTH(R$5-365*$Q55)&amp;"_"&amp;YEAR(R$5-365*$Q55))</f>
        <v>1_2013</v>
      </c>
      <c r="S55" s="189" t="str">
        <f t="shared" si="148"/>
        <v>1_2014</v>
      </c>
      <c r="T55" s="189" t="str">
        <f t="shared" si="148"/>
        <v>1_2015</v>
      </c>
      <c r="U55" s="7"/>
      <c r="V55" s="7"/>
      <c r="W55" s="190">
        <f>IF(R55="-","-",VLOOKUP(R55,'CPI USA'!$T:$U,2,FALSE))</f>
        <v>230.28</v>
      </c>
      <c r="X55" s="190">
        <f>IF(S55="-","-",VLOOKUP(S55,'CPI USA'!$T:$U,2,FALSE))</f>
        <v>233.916</v>
      </c>
      <c r="Y55" s="190">
        <f>IF(T55="-","-",VLOOKUP(T55,'CPI USA'!$T:$U,2,FALSE))</f>
        <v>233.70699999999999</v>
      </c>
      <c r="Z55" s="7"/>
      <c r="AA55" s="7"/>
      <c r="AB55" s="190">
        <f>IF(R55="-","-",VLOOKUP(R55,'PPI USA'!$S:$T,2,FALSE))</f>
        <v>166.2</v>
      </c>
      <c r="AC55" s="190">
        <f>IF(S55="-","-",VLOOKUP(S55,'PPI USA'!$S:$T,2,FALSE))</f>
        <v>179.5</v>
      </c>
      <c r="AD55" s="190">
        <f>IF(T55="-","-",VLOOKUP(T55,'PPI USA'!$S:$T,2,FALSE))</f>
        <v>185.9</v>
      </c>
      <c r="AE55" s="7"/>
      <c r="AF55" s="7"/>
      <c r="AG55" s="190">
        <f t="shared" ref="AG55:AI55" si="149">IF(W55="-","-",(AT55*$B$2/W55+(1-AT55)*AVERAGE($B$2,$B$3)/AVERAGE(W55,AB55)))</f>
        <v>1.3963809315743387</v>
      </c>
      <c r="AH55" s="190">
        <f t="shared" si="149"/>
        <v>1.3628462972447253</v>
      </c>
      <c r="AI55" s="190">
        <f t="shared" si="149"/>
        <v>1.3567551675445788</v>
      </c>
      <c r="AJ55" s="7"/>
      <c r="AK55" s="7"/>
      <c r="AL55" s="190">
        <f t="shared" ref="AL55:AN55" si="150">IF(W55="-","-",(AY55*$B$2/W55+(1-AY55)*AVERAGE($B$2,$B$3)/AVERAGE(W55,AB55)))</f>
        <v>1.4131920249632246</v>
      </c>
      <c r="AM55" s="190">
        <f t="shared" si="150"/>
        <v>1.3730659524137003</v>
      </c>
      <c r="AN55" s="190">
        <f t="shared" si="150"/>
        <v>1.3632042482651483</v>
      </c>
      <c r="AO55" s="7"/>
      <c r="AP55" s="7"/>
      <c r="AQ55" s="7"/>
      <c r="AR55" s="7"/>
      <c r="AS55" s="7"/>
      <c r="AT55" s="242">
        <f>IF(R55="-","-",VLOOKUP(R55,'CPI USA'!$T:$V,3,FALSE))</f>
        <v>0.67305131835944076</v>
      </c>
      <c r="AU55" s="242">
        <f>IF(S55="-","-",VLOOKUP(S55,'CPI USA'!$T:$V,3,FALSE))</f>
        <v>0.66756601812039096</v>
      </c>
      <c r="AV55" s="242">
        <f>IF(T55="-","-",VLOOKUP(T55,'CPI USA'!$T:$V,3,FALSE))</f>
        <v>0.6679408278919865</v>
      </c>
      <c r="AW55" s="7"/>
      <c r="AX55" s="7"/>
      <c r="AY55" s="242">
        <f>IF(R55="-","-",VLOOKUP(R55,'CPI USA'!$T:$X,5,FALSE))</f>
        <v>0.50163050295255052</v>
      </c>
      <c r="AZ55" s="242">
        <f>IF(S55="-","-",VLOOKUP(S55,'CPI USA'!$T:$X,5,FALSE))</f>
        <v>0.49542529667095003</v>
      </c>
      <c r="BA55" s="242">
        <f>IF(T55="-","-",VLOOKUP(T55,'CPI USA'!$T:$X,5,FALSE))</f>
        <v>0.49584761624008583</v>
      </c>
      <c r="BB55" s="7"/>
    </row>
    <row r="56" spans="1:54" ht="15.75" customHeight="1">
      <c r="A56" s="185" t="s">
        <v>357</v>
      </c>
      <c r="B56" s="185" t="s">
        <v>358</v>
      </c>
      <c r="C56" s="239">
        <f>+'Empresas 21-23'!J51</f>
        <v>0</v>
      </c>
      <c r="D56" s="239">
        <f>VLOOKUP(A56,'FERC 2021'!$A$3:$BE$221,57,0)</f>
        <v>73680009</v>
      </c>
      <c r="E56" s="239">
        <f>VLOOKUP(A56,'FERC 2021'!$A$3:$BF$221,58,0)</f>
        <v>7055469</v>
      </c>
      <c r="F56" s="239">
        <f>VLOOKUP(A56,'FERC 2022'!$A$3:$BE$220,57,0)</f>
        <v>78535961</v>
      </c>
      <c r="G56" s="239">
        <f>VLOOKUP(A56,'FERC 2022'!$A$3:$BF$220,58,0)</f>
        <v>7058301</v>
      </c>
      <c r="H56" s="239">
        <f>VLOOKUP(A56,'FERC 2023'!$A$3:$BE$221,57,0)</f>
        <v>81301978</v>
      </c>
      <c r="I56" s="239">
        <f>VLOOKUP(A56,'FERC 2023'!$A$3:$BF$221,58,0)</f>
        <v>7062560</v>
      </c>
      <c r="J56" s="7"/>
      <c r="K56" s="7"/>
      <c r="L56" s="7"/>
      <c r="M56" s="187">
        <f t="shared" si="0"/>
        <v>10.442964032582385</v>
      </c>
      <c r="N56" s="187">
        <f t="shared" si="1"/>
        <v>11.126751466110612</v>
      </c>
      <c r="O56" s="187">
        <f t="shared" si="2"/>
        <v>11.511686697174962</v>
      </c>
      <c r="P56" s="7"/>
      <c r="Q56" s="240">
        <f t="shared" si="3"/>
        <v>11.027134065289319</v>
      </c>
      <c r="R56" s="189" t="str">
        <f t="shared" ref="R56:T56" si="151">IF(ISERROR(R$5-365*$Q56),"-",MONTH(R$5-365*$Q56)&amp;"_"&amp;YEAR(R$5-365*$Q56))</f>
        <v>12_2010</v>
      </c>
      <c r="S56" s="189" t="str">
        <f t="shared" si="151"/>
        <v>12_2011</v>
      </c>
      <c r="T56" s="189" t="str">
        <f t="shared" si="151"/>
        <v>12_2012</v>
      </c>
      <c r="U56" s="7"/>
      <c r="V56" s="7"/>
      <c r="W56" s="190">
        <f>IF(R56="-","-",VLOOKUP(R56,'CPI USA'!$T:$U,2,FALSE))</f>
        <v>218.05600000000001</v>
      </c>
      <c r="X56" s="190">
        <f>IF(S56="-","-",VLOOKUP(S56,'CPI USA'!$T:$U,2,FALSE))</f>
        <v>224.93899999999999</v>
      </c>
      <c r="Y56" s="190">
        <f>IF(T56="-","-",VLOOKUP(T56,'CPI USA'!$T:$U,2,FALSE))</f>
        <v>229.59399999999999</v>
      </c>
      <c r="Z56" s="7"/>
      <c r="AA56" s="7"/>
      <c r="AB56" s="190">
        <f>IF(R56="-","-",VLOOKUP(R56,'PPI USA'!$S:$T,2,FALSE))</f>
        <v>160.80000000000001</v>
      </c>
      <c r="AC56" s="190">
        <f>IF(S56="-","-",VLOOKUP(S56,'PPI USA'!$S:$T,2,FALSE))</f>
        <v>169.6</v>
      </c>
      <c r="AD56" s="190">
        <f>IF(T56="-","-",VLOOKUP(T56,'PPI USA'!$S:$T,2,FALSE))</f>
        <v>175.1</v>
      </c>
      <c r="AE56" s="7"/>
      <c r="AF56" s="7"/>
      <c r="AG56" s="190">
        <f t="shared" ref="AG56:AI56" si="152">IF(W56="-","-",(AT56*$B$2/W56+(1-AT56)*AVERAGE($B$2,$B$3)/AVERAGE(W56,AB56)))</f>
        <v>1.4703278680244813</v>
      </c>
      <c r="AH56" s="190">
        <f t="shared" si="152"/>
        <v>1.4208751760332547</v>
      </c>
      <c r="AI56" s="190">
        <f t="shared" si="152"/>
        <v>1.3897894616766442</v>
      </c>
      <c r="AJ56" s="7"/>
      <c r="AK56" s="7"/>
      <c r="AL56" s="190">
        <f t="shared" ref="AL56:AN56" si="153">IF(W56="-","-",(AY56*$B$2/W56+(1-AY56)*AVERAGE($B$2,$B$3)/AVERAGE(W56,AB56)))</f>
        <v>1.4857204383544427</v>
      </c>
      <c r="AM56" s="190">
        <f t="shared" si="153"/>
        <v>1.4334111417560953</v>
      </c>
      <c r="AN56" s="190">
        <f t="shared" si="153"/>
        <v>1.4008620811189902</v>
      </c>
      <c r="AO56" s="7"/>
      <c r="AP56" s="7"/>
      <c r="AQ56" s="7"/>
      <c r="AR56" s="7"/>
      <c r="AS56" s="7"/>
      <c r="AT56" s="242">
        <f>IF(R56="-","-",VLOOKUP(R56,'CPI USA'!$T:$V,3,FALSE))</f>
        <v>0.67050107279443949</v>
      </c>
      <c r="AU56" s="242">
        <f>IF(S56="-","-",VLOOKUP(S56,'CPI USA'!$T:$V,3,FALSE))</f>
        <v>0.6684022975047168</v>
      </c>
      <c r="AV56" s="242">
        <f>IF(T56="-","-",VLOOKUP(T56,'CPI USA'!$T:$V,3,FALSE))</f>
        <v>0.66730871354337351</v>
      </c>
      <c r="AW56" s="7"/>
      <c r="AX56" s="7"/>
      <c r="AY56" s="242">
        <f>IF(R56="-","-",VLOOKUP(R56,'CPI USA'!$T:$X,5,FALSE))</f>
        <v>0.4987389730136107</v>
      </c>
      <c r="AZ56" s="242">
        <f>IF(S56="-","-",VLOOKUP(S56,'CPI USA'!$T:$X,5,FALSE))</f>
        <v>0.49636791791307899</v>
      </c>
      <c r="BA56" s="242">
        <f>IF(T56="-","-",VLOOKUP(T56,'CPI USA'!$T:$X,5,FALSE))</f>
        <v>0.49513551903851311</v>
      </c>
      <c r="BB56" s="7"/>
    </row>
    <row r="57" spans="1:54" ht="15.75" customHeight="1">
      <c r="A57" s="185" t="s">
        <v>360</v>
      </c>
      <c r="B57" s="185" t="s">
        <v>361</v>
      </c>
      <c r="C57" s="239">
        <f>+'Empresas 21-23'!J52</f>
        <v>0</v>
      </c>
      <c r="D57" s="239">
        <f>VLOOKUP(A57,'FERC 2021'!$A$3:$BE$221,57,0)</f>
        <v>1778399304</v>
      </c>
      <c r="E57" s="239">
        <f>VLOOKUP(A57,'FERC 2021'!$A$3:$BF$221,58,0)</f>
        <v>179242741</v>
      </c>
      <c r="F57" s="239">
        <f>VLOOKUP(A57,'FERC 2022'!$A$3:$BE$220,57,0)</f>
        <v>1833253170</v>
      </c>
      <c r="G57" s="239">
        <f>VLOOKUP(A57,'FERC 2022'!$A$3:$BF$220,58,0)</f>
        <v>164726559</v>
      </c>
      <c r="H57" s="239">
        <f>VLOOKUP(A57,'FERC 2023'!$A$3:$BE$221,57,0)</f>
        <v>1939734686</v>
      </c>
      <c r="I57" s="239">
        <f>VLOOKUP(A57,'FERC 2023'!$A$3:$BF$221,58,0)</f>
        <v>174153363</v>
      </c>
      <c r="J57" s="7"/>
      <c r="K57" s="7"/>
      <c r="L57" s="7"/>
      <c r="M57" s="187">
        <f t="shared" si="0"/>
        <v>9.9217368250354969</v>
      </c>
      <c r="N57" s="187">
        <f t="shared" si="1"/>
        <v>11.129068567504042</v>
      </c>
      <c r="O57" s="187">
        <f t="shared" si="2"/>
        <v>11.138083425928444</v>
      </c>
      <c r="P57" s="7"/>
      <c r="Q57" s="240">
        <f t="shared" si="3"/>
        <v>10.729629606155994</v>
      </c>
      <c r="R57" s="189" t="str">
        <f t="shared" ref="R57:T57" si="154">IF(ISERROR(R$5-365*$Q57),"-",MONTH(R$5-365*$Q57)&amp;"_"&amp;YEAR(R$5-365*$Q57))</f>
        <v>4_2011</v>
      </c>
      <c r="S57" s="189" t="str">
        <f t="shared" si="154"/>
        <v>4_2012</v>
      </c>
      <c r="T57" s="189" t="str">
        <f t="shared" si="154"/>
        <v>4_2013</v>
      </c>
      <c r="U57" s="7"/>
      <c r="V57" s="7"/>
      <c r="W57" s="190">
        <f>IF(R57="-","-",VLOOKUP(R57,'CPI USA'!$T:$U,2,FALSE))</f>
        <v>224.93899999999999</v>
      </c>
      <c r="X57" s="190">
        <f>IF(S57="-","-",VLOOKUP(S57,'CPI USA'!$T:$U,2,FALSE))</f>
        <v>229.59399999999999</v>
      </c>
      <c r="Y57" s="190">
        <f>IF(T57="-","-",VLOOKUP(T57,'CPI USA'!$T:$U,2,FALSE))</f>
        <v>232.53100000000001</v>
      </c>
      <c r="Z57" s="7"/>
      <c r="AA57" s="7"/>
      <c r="AB57" s="190">
        <f>IF(R57="-","-",VLOOKUP(R57,'PPI USA'!$S:$T,2,FALSE))</f>
        <v>169.6</v>
      </c>
      <c r="AC57" s="190">
        <f>IF(S57="-","-",VLOOKUP(S57,'PPI USA'!$S:$T,2,FALSE))</f>
        <v>175.1</v>
      </c>
      <c r="AD57" s="190">
        <f>IF(T57="-","-",VLOOKUP(T57,'PPI USA'!$S:$T,2,FALSE))</f>
        <v>165.8</v>
      </c>
      <c r="AE57" s="7"/>
      <c r="AF57" s="7"/>
      <c r="AG57" s="190">
        <f t="shared" ref="AG57:AI57" si="155">IF(W57="-","-",(AT57*$B$2/W57+(1-AT57)*AVERAGE($B$2,$B$3)/AVERAGE(W57,AB57)))</f>
        <v>1.4208751760332547</v>
      </c>
      <c r="AH57" s="190">
        <f t="shared" si="155"/>
        <v>1.3897894616766442</v>
      </c>
      <c r="AI57" s="190">
        <f t="shared" si="155"/>
        <v>1.3852700274085046</v>
      </c>
      <c r="AJ57" s="7"/>
      <c r="AK57" s="7"/>
      <c r="AL57" s="190">
        <f t="shared" ref="AL57:AN57" si="156">IF(W57="-","-",(AY57*$B$2/W57+(1-AY57)*AVERAGE($B$2,$B$3)/AVERAGE(W57,AB57)))</f>
        <v>1.4334111417560953</v>
      </c>
      <c r="AM57" s="190">
        <f t="shared" si="156"/>
        <v>1.4008620811189902</v>
      </c>
      <c r="AN57" s="190">
        <f t="shared" si="156"/>
        <v>1.4031802076867612</v>
      </c>
      <c r="AO57" s="7"/>
      <c r="AP57" s="7"/>
      <c r="AQ57" s="7"/>
      <c r="AR57" s="7"/>
      <c r="AS57" s="7"/>
      <c r="AT57" s="242">
        <f>IF(R57="-","-",VLOOKUP(R57,'CPI USA'!$T:$V,3,FALSE))</f>
        <v>0.6684022975047168</v>
      </c>
      <c r="AU57" s="242">
        <f>IF(S57="-","-",VLOOKUP(S57,'CPI USA'!$T:$V,3,FALSE))</f>
        <v>0.66730871354337351</v>
      </c>
      <c r="AV57" s="242">
        <f>IF(T57="-","-",VLOOKUP(T57,'CPI USA'!$T:$V,3,FALSE))</f>
        <v>0.67305131835944076</v>
      </c>
      <c r="AW57" s="7"/>
      <c r="AX57" s="7"/>
      <c r="AY57" s="242">
        <f>IF(R57="-","-",VLOOKUP(R57,'CPI USA'!$T:$X,5,FALSE))</f>
        <v>0.49636791791307899</v>
      </c>
      <c r="AZ57" s="242">
        <f>IF(S57="-","-",VLOOKUP(S57,'CPI USA'!$T:$X,5,FALSE))</f>
        <v>0.49513551903851311</v>
      </c>
      <c r="BA57" s="242">
        <f>IF(T57="-","-",VLOOKUP(T57,'CPI USA'!$T:$X,5,FALSE))</f>
        <v>0.50163050295255052</v>
      </c>
      <c r="BB57" s="7"/>
    </row>
    <row r="58" spans="1:54" ht="15.75" customHeight="1">
      <c r="A58" s="185" t="s">
        <v>363</v>
      </c>
      <c r="B58" s="185" t="s">
        <v>364</v>
      </c>
      <c r="C58" s="239">
        <f>+'Empresas 21-23'!J53</f>
        <v>0</v>
      </c>
      <c r="D58" s="239">
        <f>VLOOKUP(A58,'FERC 2021'!$A$3:$BE$221,57,0)</f>
        <v>728895288</v>
      </c>
      <c r="E58" s="239">
        <f>VLOOKUP(A58,'FERC 2021'!$A$3:$BF$221,58,0)</f>
        <v>86803793</v>
      </c>
      <c r="F58" s="239">
        <f>VLOOKUP(A58,'FERC 2022'!$A$3:$BE$220,57,0)</f>
        <v>767587667</v>
      </c>
      <c r="G58" s="239">
        <f>VLOOKUP(A58,'FERC 2022'!$A$3:$BF$220,58,0)</f>
        <v>92833459</v>
      </c>
      <c r="H58" s="239">
        <f>VLOOKUP(A58,'FERC 2023'!$A$3:$BE$221,57,0)</f>
        <v>808966823</v>
      </c>
      <c r="I58" s="239">
        <f>VLOOKUP(A58,'FERC 2023'!$A$3:$BF$221,58,0)</f>
        <v>95307417</v>
      </c>
      <c r="J58" s="7"/>
      <c r="K58" s="7"/>
      <c r="L58" s="7"/>
      <c r="M58" s="187">
        <f t="shared" si="0"/>
        <v>8.397044216719884</v>
      </c>
      <c r="N58" s="187">
        <f t="shared" si="1"/>
        <v>8.2684376438025424</v>
      </c>
      <c r="O58" s="187">
        <f t="shared" si="2"/>
        <v>8.4879734281330901</v>
      </c>
      <c r="P58" s="7"/>
      <c r="Q58" s="240">
        <f t="shared" si="3"/>
        <v>8.3844850962185049</v>
      </c>
      <c r="R58" s="189" t="str">
        <f t="shared" ref="R58:T58" si="157">IF(ISERROR(R$5-365*$Q58),"-",MONTH(R$5-365*$Q58)&amp;"_"&amp;YEAR(R$5-365*$Q58))</f>
        <v>8_2013</v>
      </c>
      <c r="S58" s="189" t="str">
        <f t="shared" si="157"/>
        <v>8_2014</v>
      </c>
      <c r="T58" s="189" t="str">
        <f t="shared" si="157"/>
        <v>8_2015</v>
      </c>
      <c r="U58" s="7"/>
      <c r="V58" s="7"/>
      <c r="W58" s="190">
        <f>IF(R58="-","-",VLOOKUP(R58,'CPI USA'!$T:$U,2,FALSE))</f>
        <v>233.87700000000001</v>
      </c>
      <c r="X58" s="190">
        <f>IF(S58="-","-",VLOOKUP(S58,'CPI USA'!$T:$U,2,FALSE))</f>
        <v>237.852</v>
      </c>
      <c r="Y58" s="190">
        <f>IF(T58="-","-",VLOOKUP(T58,'CPI USA'!$T:$U,2,FALSE))</f>
        <v>238.316</v>
      </c>
      <c r="Z58" s="7"/>
      <c r="AA58" s="7"/>
      <c r="AB58" s="190">
        <f>IF(R58="-","-",VLOOKUP(R58,'PPI USA'!$S:$T,2,FALSE))</f>
        <v>175.2</v>
      </c>
      <c r="AC58" s="190">
        <f>IF(S58="-","-",VLOOKUP(S58,'PPI USA'!$S:$T,2,FALSE))</f>
        <v>190</v>
      </c>
      <c r="AD58" s="190">
        <f>IF(T58="-","-",VLOOKUP(T58,'PPI USA'!$S:$T,2,FALSE))</f>
        <v>197.3</v>
      </c>
      <c r="AE58" s="7"/>
      <c r="AF58" s="7"/>
      <c r="AG58" s="190">
        <f t="shared" ref="AG58:AI58" si="158">IF(W58="-","-",(AT58*$B$2/W58+(1-AT58)*AVERAGE($B$2,$B$3)/AVERAGE(W58,AB58)))</f>
        <v>1.3675350167423739</v>
      </c>
      <c r="AH58" s="190">
        <f t="shared" si="158"/>
        <v>1.3322780725835981</v>
      </c>
      <c r="AI58" s="190">
        <f t="shared" si="158"/>
        <v>1.3225272117779445</v>
      </c>
      <c r="AJ58" s="7"/>
      <c r="AK58" s="7"/>
      <c r="AL58" s="190">
        <f t="shared" ref="AL58:AN58" si="159">IF(W58="-","-",(AY58*$B$2/W58+(1-AY58)*AVERAGE($B$2,$B$3)/AVERAGE(W58,AB58)))</f>
        <v>1.3802235637774118</v>
      </c>
      <c r="AM58" s="190">
        <f t="shared" si="159"/>
        <v>1.3381779277547703</v>
      </c>
      <c r="AN58" s="190">
        <f t="shared" si="159"/>
        <v>1.3247114479798394</v>
      </c>
      <c r="AO58" s="7"/>
      <c r="AP58" s="7"/>
      <c r="AQ58" s="7"/>
      <c r="AR58" s="7"/>
      <c r="AS58" s="7"/>
      <c r="AT58" s="242">
        <f>IF(R58="-","-",VLOOKUP(R58,'CPI USA'!$T:$V,3,FALSE))</f>
        <v>0.67305131835944076</v>
      </c>
      <c r="AU58" s="242">
        <f>IF(S58="-","-",VLOOKUP(S58,'CPI USA'!$T:$V,3,FALSE))</f>
        <v>0.66756601812039096</v>
      </c>
      <c r="AV58" s="242">
        <f>IF(T58="-","-",VLOOKUP(T58,'CPI USA'!$T:$V,3,FALSE))</f>
        <v>0.6679408278919865</v>
      </c>
      <c r="AW58" s="7"/>
      <c r="AX58" s="7"/>
      <c r="AY58" s="242">
        <f>IF(R58="-","-",VLOOKUP(R58,'CPI USA'!$T:$X,5,FALSE))</f>
        <v>0.50163050295255052</v>
      </c>
      <c r="AZ58" s="242">
        <f>IF(S58="-","-",VLOOKUP(S58,'CPI USA'!$T:$X,5,FALSE))</f>
        <v>0.49542529667095003</v>
      </c>
      <c r="BA58" s="242">
        <f>IF(T58="-","-",VLOOKUP(T58,'CPI USA'!$T:$X,5,FALSE))</f>
        <v>0.49584761624008583</v>
      </c>
      <c r="BB58" s="7"/>
    </row>
    <row r="59" spans="1:54" ht="15.75" customHeight="1">
      <c r="A59" s="185" t="s">
        <v>366</v>
      </c>
      <c r="B59" s="185" t="s">
        <v>367</v>
      </c>
      <c r="C59" s="239">
        <f>+'Empresas 21-23'!J54</f>
        <v>0</v>
      </c>
      <c r="D59" s="239">
        <f>VLOOKUP(A59,'FERC 2021'!$A$3:$BE$221,57,0)</f>
        <v>811978546</v>
      </c>
      <c r="E59" s="239">
        <f>VLOOKUP(A59,'FERC 2021'!$A$3:$BF$221,58,0)</f>
        <v>71236667</v>
      </c>
      <c r="F59" s="239">
        <f>VLOOKUP(A59,'FERC 2022'!$A$3:$BE$220,57,0)</f>
        <v>836056809</v>
      </c>
      <c r="G59" s="239">
        <f>VLOOKUP(A59,'FERC 2022'!$A$3:$BF$220,58,0)</f>
        <v>72938279</v>
      </c>
      <c r="H59" s="239">
        <f>VLOOKUP(A59,'FERC 2023'!$A$3:$BE$221,57,0)</f>
        <v>857957527</v>
      </c>
      <c r="I59" s="239">
        <f>VLOOKUP(A59,'FERC 2023'!$A$3:$BF$221,58,0)</f>
        <v>83784938</v>
      </c>
      <c r="J59" s="7"/>
      <c r="K59" s="7"/>
      <c r="L59" s="7"/>
      <c r="M59" s="187">
        <f t="shared" si="0"/>
        <v>11.398323085497529</v>
      </c>
      <c r="N59" s="187">
        <f t="shared" si="1"/>
        <v>11.462524485942422</v>
      </c>
      <c r="O59" s="187">
        <f t="shared" si="2"/>
        <v>10.239997157961733</v>
      </c>
      <c r="P59" s="7"/>
      <c r="Q59" s="240">
        <f t="shared" si="3"/>
        <v>11.033614909800562</v>
      </c>
      <c r="R59" s="189" t="str">
        <f t="shared" ref="R59:T59" si="160">IF(ISERROR(R$5-365*$Q59),"-",MONTH(R$5-365*$Q59)&amp;"_"&amp;YEAR(R$5-365*$Q59))</f>
        <v>12_2010</v>
      </c>
      <c r="S59" s="189" t="str">
        <f t="shared" si="160"/>
        <v>12_2011</v>
      </c>
      <c r="T59" s="189" t="str">
        <f t="shared" si="160"/>
        <v>12_2012</v>
      </c>
      <c r="U59" s="7"/>
      <c r="V59" s="7"/>
      <c r="W59" s="190">
        <f>IF(R59="-","-",VLOOKUP(R59,'CPI USA'!$T:$U,2,FALSE))</f>
        <v>218.05600000000001</v>
      </c>
      <c r="X59" s="190">
        <f>IF(S59="-","-",VLOOKUP(S59,'CPI USA'!$T:$U,2,FALSE))</f>
        <v>224.93899999999999</v>
      </c>
      <c r="Y59" s="190">
        <f>IF(T59="-","-",VLOOKUP(T59,'CPI USA'!$T:$U,2,FALSE))</f>
        <v>229.59399999999999</v>
      </c>
      <c r="Z59" s="7"/>
      <c r="AA59" s="7"/>
      <c r="AB59" s="190">
        <f>IF(R59="-","-",VLOOKUP(R59,'PPI USA'!$S:$T,2,FALSE))</f>
        <v>160.80000000000001</v>
      </c>
      <c r="AC59" s="190">
        <f>IF(S59="-","-",VLOOKUP(S59,'PPI USA'!$S:$T,2,FALSE))</f>
        <v>169.6</v>
      </c>
      <c r="AD59" s="190">
        <f>IF(T59="-","-",VLOOKUP(T59,'PPI USA'!$S:$T,2,FALSE))</f>
        <v>175.1</v>
      </c>
      <c r="AE59" s="7"/>
      <c r="AF59" s="7"/>
      <c r="AG59" s="190">
        <f t="shared" ref="AG59:AI59" si="161">IF(W59="-","-",(AT59*$B$2/W59+(1-AT59)*AVERAGE($B$2,$B$3)/AVERAGE(W59,AB59)))</f>
        <v>1.4703278680244813</v>
      </c>
      <c r="AH59" s="190">
        <f t="shared" si="161"/>
        <v>1.4208751760332547</v>
      </c>
      <c r="AI59" s="190">
        <f t="shared" si="161"/>
        <v>1.3897894616766442</v>
      </c>
      <c r="AJ59" s="7"/>
      <c r="AK59" s="7"/>
      <c r="AL59" s="190">
        <f t="shared" ref="AL59:AN59" si="162">IF(W59="-","-",(AY59*$B$2/W59+(1-AY59)*AVERAGE($B$2,$B$3)/AVERAGE(W59,AB59)))</f>
        <v>1.4857204383544427</v>
      </c>
      <c r="AM59" s="190">
        <f t="shared" si="162"/>
        <v>1.4334111417560953</v>
      </c>
      <c r="AN59" s="190">
        <f t="shared" si="162"/>
        <v>1.4008620811189902</v>
      </c>
      <c r="AO59" s="7"/>
      <c r="AP59" s="7"/>
      <c r="AQ59" s="7"/>
      <c r="AR59" s="7"/>
      <c r="AS59" s="7"/>
      <c r="AT59" s="242">
        <f>IF(R59="-","-",VLOOKUP(R59,'CPI USA'!$T:$V,3,FALSE))</f>
        <v>0.67050107279443949</v>
      </c>
      <c r="AU59" s="242">
        <f>IF(S59="-","-",VLOOKUP(S59,'CPI USA'!$T:$V,3,FALSE))</f>
        <v>0.6684022975047168</v>
      </c>
      <c r="AV59" s="242">
        <f>IF(T59="-","-",VLOOKUP(T59,'CPI USA'!$T:$V,3,FALSE))</f>
        <v>0.66730871354337351</v>
      </c>
      <c r="AW59" s="7"/>
      <c r="AX59" s="7"/>
      <c r="AY59" s="242">
        <f>IF(R59="-","-",VLOOKUP(R59,'CPI USA'!$T:$X,5,FALSE))</f>
        <v>0.4987389730136107</v>
      </c>
      <c r="AZ59" s="242">
        <f>IF(S59="-","-",VLOOKUP(S59,'CPI USA'!$T:$X,5,FALSE))</f>
        <v>0.49636791791307899</v>
      </c>
      <c r="BA59" s="242">
        <f>IF(T59="-","-",VLOOKUP(T59,'CPI USA'!$T:$X,5,FALSE))</f>
        <v>0.49513551903851311</v>
      </c>
      <c r="BB59" s="7"/>
    </row>
    <row r="60" spans="1:54" ht="15.75" customHeight="1">
      <c r="A60" s="185" t="s">
        <v>369</v>
      </c>
      <c r="B60" s="185" t="s">
        <v>370</v>
      </c>
      <c r="C60" s="239">
        <f>+'Empresas 21-23'!J55</f>
        <v>1</v>
      </c>
      <c r="D60" s="239">
        <f>VLOOKUP(A60,'FERC 2021'!$A$3:$BE$221,57,0)</f>
        <v>71605509</v>
      </c>
      <c r="E60" s="239">
        <f>VLOOKUP(A60,'FERC 2021'!$A$3:$BF$221,58,0)</f>
        <v>8631094</v>
      </c>
      <c r="F60" s="239">
        <f>VLOOKUP(A60,'FERC 2022'!$A$3:$BE$220,57,0)</f>
        <v>77094548</v>
      </c>
      <c r="G60" s="239">
        <f>VLOOKUP(A60,'FERC 2022'!$A$3:$BF$220,58,0)</f>
        <v>9459212</v>
      </c>
      <c r="H60" s="239">
        <f>VLOOKUP(A60,'FERC 2023'!$A$3:$BE$221,57,0)</f>
        <v>82680474</v>
      </c>
      <c r="I60" s="239">
        <f>VLOOKUP(A60,'FERC 2023'!$A$3:$BF$221,58,0)</f>
        <v>10667672</v>
      </c>
      <c r="J60" s="7"/>
      <c r="K60" s="7"/>
      <c r="L60" s="7"/>
      <c r="M60" s="187">
        <f t="shared" si="0"/>
        <v>8.2962262952992987</v>
      </c>
      <c r="N60" s="187">
        <f t="shared" si="1"/>
        <v>8.1502082837344165</v>
      </c>
      <c r="O60" s="187">
        <f t="shared" si="2"/>
        <v>7.7505639468480094</v>
      </c>
      <c r="P60" s="7"/>
      <c r="Q60" s="240">
        <f t="shared" si="3"/>
        <v>8.0656661752939076</v>
      </c>
      <c r="R60" s="189" t="str">
        <f t="shared" ref="R60:T60" si="163">IF(ISERROR(R$5-365*$Q60),"-",MONTH(R$5-365*$Q60)&amp;"_"&amp;YEAR(R$5-365*$Q60))</f>
        <v>12_2013</v>
      </c>
      <c r="S60" s="189" t="str">
        <f t="shared" si="163"/>
        <v>12_2014</v>
      </c>
      <c r="T60" s="189" t="str">
        <f t="shared" si="163"/>
        <v>12_2015</v>
      </c>
      <c r="U60" s="7"/>
      <c r="V60" s="7"/>
      <c r="W60" s="190">
        <f>IF(R60="-","-",VLOOKUP(R60,'CPI USA'!$T:$U,2,FALSE))</f>
        <v>233.04900000000001</v>
      </c>
      <c r="X60" s="190">
        <f>IF(S60="-","-",VLOOKUP(S60,'CPI USA'!$T:$U,2,FALSE))</f>
        <v>234.81200000000001</v>
      </c>
      <c r="Y60" s="190">
        <f>IF(T60="-","-",VLOOKUP(T60,'CPI USA'!$T:$U,2,FALSE))</f>
        <v>236.52500000000001</v>
      </c>
      <c r="Z60" s="7"/>
      <c r="AA60" s="7"/>
      <c r="AB60" s="190">
        <f>IF(R60="-","-",VLOOKUP(R60,'PPI USA'!$S:$T,2,FALSE))</f>
        <v>167.2</v>
      </c>
      <c r="AC60" s="190">
        <f>IF(S60="-","-",VLOOKUP(S60,'PPI USA'!$S:$T,2,FALSE))</f>
        <v>178.6</v>
      </c>
      <c r="AD60" s="190">
        <f>IF(T60="-","-",VLOOKUP(T60,'PPI USA'!$S:$T,2,FALSE))</f>
        <v>179.2</v>
      </c>
      <c r="AE60" s="7"/>
      <c r="AF60" s="7"/>
      <c r="AG60" s="190">
        <f t="shared" ref="AG60:AI60" si="164">IF(W60="-","-",(AT60*$B$2/W60+(1-AT60)*AVERAGE($B$2,$B$3)/AVERAGE(W60,AB60)))</f>
        <v>1.3809682329132076</v>
      </c>
      <c r="AH60" s="190">
        <f t="shared" si="164"/>
        <v>1.3594294887607781</v>
      </c>
      <c r="AI60" s="190">
        <f t="shared" si="164"/>
        <v>1.3503417401112208</v>
      </c>
      <c r="AJ60" s="7"/>
      <c r="AK60" s="7"/>
      <c r="AL60" s="190">
        <f t="shared" ref="AL60:AN60" si="165">IF(W60="-","-",(AY60*$B$2/W60+(1-AY60)*AVERAGE($B$2,$B$3)/AVERAGE(W60,AB60)))</f>
        <v>1.3981975138665637</v>
      </c>
      <c r="AM60" s="190">
        <f t="shared" si="165"/>
        <v>1.3705337123090227</v>
      </c>
      <c r="AN60" s="190">
        <f t="shared" si="165"/>
        <v>1.3617676435350337</v>
      </c>
      <c r="AO60" s="7"/>
      <c r="AP60" s="7"/>
      <c r="AQ60" s="7"/>
      <c r="AR60" s="7"/>
      <c r="AS60" s="7"/>
      <c r="AT60" s="242">
        <f>IF(R60="-","-",VLOOKUP(R60,'CPI USA'!$T:$V,3,FALSE))</f>
        <v>0.67305131835944076</v>
      </c>
      <c r="AU60" s="242">
        <f>IF(S60="-","-",VLOOKUP(S60,'CPI USA'!$T:$V,3,FALSE))</f>
        <v>0.66756601812039096</v>
      </c>
      <c r="AV60" s="242">
        <f>IF(T60="-","-",VLOOKUP(T60,'CPI USA'!$T:$V,3,FALSE))</f>
        <v>0.6679408278919865</v>
      </c>
      <c r="AW60" s="7"/>
      <c r="AX60" s="7"/>
      <c r="AY60" s="242">
        <f>IF(R60="-","-",VLOOKUP(R60,'CPI USA'!$T:$X,5,FALSE))</f>
        <v>0.50163050295255052</v>
      </c>
      <c r="AZ60" s="242">
        <f>IF(S60="-","-",VLOOKUP(S60,'CPI USA'!$T:$X,5,FALSE))</f>
        <v>0.49542529667095003</v>
      </c>
      <c r="BA60" s="242">
        <f>IF(T60="-","-",VLOOKUP(T60,'CPI USA'!$T:$X,5,FALSE))</f>
        <v>0.49584761624008583</v>
      </c>
      <c r="BB60" s="7"/>
    </row>
    <row r="61" spans="1:54" ht="15.75" customHeight="1">
      <c r="A61" s="185" t="s">
        <v>372</v>
      </c>
      <c r="B61" s="185" t="s">
        <v>373</v>
      </c>
      <c r="C61" s="239">
        <f>+'Empresas 21-23'!J56</f>
        <v>0</v>
      </c>
      <c r="D61" s="239">
        <f>VLOOKUP(A61,'FERC 2021'!$A$3:$BE$221,57,0)</f>
        <v>1091906408</v>
      </c>
      <c r="E61" s="239">
        <f>VLOOKUP(A61,'FERC 2021'!$A$3:$BF$221,58,0)</f>
        <v>79237036</v>
      </c>
      <c r="F61" s="239">
        <f>VLOOKUP(A61,'FERC 2022'!$A$3:$BE$220,57,0)</f>
        <v>1129640320</v>
      </c>
      <c r="G61" s="239">
        <f>VLOOKUP(A61,'FERC 2022'!$A$3:$BF$220,58,0)</f>
        <v>82535517</v>
      </c>
      <c r="H61" s="239">
        <f>VLOOKUP(A61,'FERC 2023'!$A$3:$BE$221,57,0)</f>
        <v>1153754606</v>
      </c>
      <c r="I61" s="239">
        <f>VLOOKUP(A61,'FERC 2023'!$A$3:$BF$221,58,0)</f>
        <v>81856364</v>
      </c>
      <c r="J61" s="7"/>
      <c r="K61" s="7"/>
      <c r="L61" s="7"/>
      <c r="M61" s="187">
        <f t="shared" si="0"/>
        <v>13.780253062469423</v>
      </c>
      <c r="N61" s="187">
        <f t="shared" si="1"/>
        <v>13.686717683006698</v>
      </c>
      <c r="O61" s="187">
        <f t="shared" si="2"/>
        <v>14.094867516959342</v>
      </c>
      <c r="P61" s="7"/>
      <c r="Q61" s="240">
        <f t="shared" si="3"/>
        <v>13.853946087478489</v>
      </c>
      <c r="R61" s="189" t="str">
        <f t="shared" ref="R61:T61" si="166">IF(ISERROR(R$5-365*$Q61),"-",MONTH(R$5-365*$Q61)&amp;"_"&amp;YEAR(R$5-365*$Q61))</f>
        <v>2_2008</v>
      </c>
      <c r="S61" s="189" t="str">
        <f t="shared" si="166"/>
        <v>2_2009</v>
      </c>
      <c r="T61" s="189" t="str">
        <f t="shared" si="166"/>
        <v>2_2010</v>
      </c>
      <c r="U61" s="7"/>
      <c r="V61" s="7"/>
      <c r="W61" s="190">
        <f>IF(R61="-","-",VLOOKUP(R61,'CPI USA'!$T:$U,2,FALSE))</f>
        <v>215.303</v>
      </c>
      <c r="X61" s="190">
        <f>IF(S61="-","-",VLOOKUP(S61,'CPI USA'!$T:$U,2,FALSE))</f>
        <v>214.53700000000001</v>
      </c>
      <c r="Y61" s="190">
        <f>IF(T61="-","-",VLOOKUP(T61,'CPI USA'!$T:$U,2,FALSE))</f>
        <v>218.05600000000001</v>
      </c>
      <c r="Z61" s="7"/>
      <c r="AA61" s="7"/>
      <c r="AB61" s="190">
        <f>IF(R61="-","-",VLOOKUP(R61,'PPI USA'!$S:$T,2,FALSE))</f>
        <v>159.30000000000001</v>
      </c>
      <c r="AC61" s="190">
        <f>IF(S61="-","-",VLOOKUP(S61,'PPI USA'!$S:$T,2,FALSE))</f>
        <v>159.1</v>
      </c>
      <c r="AD61" s="190">
        <f>IF(T61="-","-",VLOOKUP(T61,'PPI USA'!$S:$T,2,FALSE))</f>
        <v>160.80000000000001</v>
      </c>
      <c r="AE61" s="7"/>
      <c r="AF61" s="7"/>
      <c r="AG61" s="190">
        <f t="shared" ref="AG61:AI61" si="167">IF(W61="-","-",(AT61*$B$2/W61+(1-AT61)*AVERAGE($B$2,$B$3)/AVERAGE(W61,AB61)))</f>
        <v>1.4884333659448254</v>
      </c>
      <c r="AH61" s="190">
        <f t="shared" si="167"/>
        <v>1.4932638886873792</v>
      </c>
      <c r="AI61" s="190">
        <f t="shared" si="167"/>
        <v>1.4703278680244813</v>
      </c>
      <c r="AJ61" s="7"/>
      <c r="AK61" s="7"/>
      <c r="AL61" s="190">
        <f t="shared" ref="AL61:AN61" si="168">IF(W61="-","-",(AY61*$B$2/W61+(1-AY61)*AVERAGE($B$2,$B$3)/AVERAGE(W61,AB61)))</f>
        <v>1.5036496327119213</v>
      </c>
      <c r="AM61" s="190">
        <f t="shared" si="168"/>
        <v>1.5082750176818205</v>
      </c>
      <c r="AN61" s="190">
        <f t="shared" si="168"/>
        <v>1.4857204383544427</v>
      </c>
      <c r="AO61" s="7"/>
      <c r="AP61" s="7"/>
      <c r="AQ61" s="7"/>
      <c r="AR61" s="7"/>
      <c r="AS61" s="7"/>
      <c r="AT61" s="242">
        <f>IF(R61="-","-",VLOOKUP(R61,'CPI USA'!$T:$V,3,FALSE))</f>
        <v>0.67018812038291731</v>
      </c>
      <c r="AU61" s="242">
        <f>IF(S61="-","-",VLOOKUP(S61,'CPI USA'!$T:$V,3,FALSE))</f>
        <v>0.66997101349938215</v>
      </c>
      <c r="AV61" s="242">
        <f>IF(T61="-","-",VLOOKUP(T61,'CPI USA'!$T:$V,3,FALSE))</f>
        <v>0.67050107279443949</v>
      </c>
      <c r="AW61" s="7"/>
      <c r="AX61" s="7"/>
      <c r="AY61" s="242">
        <f>IF(R61="-","-",VLOOKUP(R61,'CPI USA'!$T:$X,5,FALSE))</f>
        <v>0.49838492968660258</v>
      </c>
      <c r="AZ61" s="242">
        <f>IF(S61="-","-",VLOOKUP(S61,'CPI USA'!$T:$X,5,FALSE))</f>
        <v>0.49813941766071862</v>
      </c>
      <c r="BA61" s="242">
        <f>IF(T61="-","-",VLOOKUP(T61,'CPI USA'!$T:$X,5,FALSE))</f>
        <v>0.4987389730136107</v>
      </c>
      <c r="BB61" s="7"/>
    </row>
    <row r="62" spans="1:54" ht="15.75" customHeight="1">
      <c r="A62" s="185" t="s">
        <v>375</v>
      </c>
      <c r="B62" s="185" t="s">
        <v>376</v>
      </c>
      <c r="C62" s="239">
        <f>+'Empresas 21-23'!J57</f>
        <v>0</v>
      </c>
      <c r="D62" s="239">
        <f>VLOOKUP(A62,'FERC 2021'!$A$3:$BE$221,57,0)</f>
        <v>574233831</v>
      </c>
      <c r="E62" s="239">
        <f>VLOOKUP(A62,'FERC 2021'!$A$3:$BF$221,58,0)</f>
        <v>41272952</v>
      </c>
      <c r="F62" s="239">
        <f>VLOOKUP(A62,'FERC 2022'!$A$3:$BE$220,57,0)</f>
        <v>585327427</v>
      </c>
      <c r="G62" s="239">
        <f>VLOOKUP(A62,'FERC 2022'!$A$3:$BF$220,58,0)</f>
        <v>43439783</v>
      </c>
      <c r="H62" s="239">
        <f>VLOOKUP(A62,'FERC 2023'!$A$3:$BE$221,57,0)</f>
        <v>602332421</v>
      </c>
      <c r="I62" s="239">
        <f>VLOOKUP(A62,'FERC 2023'!$A$3:$BF$221,58,0)</f>
        <v>45569281</v>
      </c>
      <c r="J62" s="7"/>
      <c r="K62" s="7"/>
      <c r="L62" s="7"/>
      <c r="M62" s="187">
        <f t="shared" si="0"/>
        <v>13.913078739800342</v>
      </c>
      <c r="N62" s="187">
        <f t="shared" si="1"/>
        <v>13.474455592929642</v>
      </c>
      <c r="O62" s="187">
        <f t="shared" si="2"/>
        <v>13.217948753679041</v>
      </c>
      <c r="P62" s="7"/>
      <c r="Q62" s="240">
        <f t="shared" si="3"/>
        <v>13.535161028803008</v>
      </c>
      <c r="R62" s="189" t="str">
        <f t="shared" ref="R62:T62" si="169">IF(ISERROR(R$5-365*$Q62),"-",MONTH(R$5-365*$Q62)&amp;"_"&amp;YEAR(R$5-365*$Q62))</f>
        <v>6_2008</v>
      </c>
      <c r="S62" s="189" t="str">
        <f t="shared" si="169"/>
        <v>6_2009</v>
      </c>
      <c r="T62" s="189" t="str">
        <f t="shared" si="169"/>
        <v>6_2010</v>
      </c>
      <c r="U62" s="7"/>
      <c r="V62" s="7"/>
      <c r="W62" s="190">
        <f>IF(R62="-","-",VLOOKUP(R62,'CPI USA'!$T:$U,2,FALSE))</f>
        <v>215.303</v>
      </c>
      <c r="X62" s="190">
        <f>IF(S62="-","-",VLOOKUP(S62,'CPI USA'!$T:$U,2,FALSE))</f>
        <v>214.53700000000001</v>
      </c>
      <c r="Y62" s="190">
        <f>IF(T62="-","-",VLOOKUP(T62,'CPI USA'!$T:$U,2,FALSE))</f>
        <v>218.05600000000001</v>
      </c>
      <c r="Z62" s="7"/>
      <c r="AA62" s="7"/>
      <c r="AB62" s="190">
        <f>IF(R62="-","-",VLOOKUP(R62,'PPI USA'!$S:$T,2,FALSE))</f>
        <v>159.30000000000001</v>
      </c>
      <c r="AC62" s="190">
        <f>IF(S62="-","-",VLOOKUP(S62,'PPI USA'!$S:$T,2,FALSE))</f>
        <v>159.1</v>
      </c>
      <c r="AD62" s="190">
        <f>IF(T62="-","-",VLOOKUP(T62,'PPI USA'!$S:$T,2,FALSE))</f>
        <v>160.80000000000001</v>
      </c>
      <c r="AE62" s="7"/>
      <c r="AF62" s="7"/>
      <c r="AG62" s="190">
        <f t="shared" ref="AG62:AI62" si="170">IF(W62="-","-",(AT62*$B$2/W62+(1-AT62)*AVERAGE($B$2,$B$3)/AVERAGE(W62,AB62)))</f>
        <v>1.4884333659448254</v>
      </c>
      <c r="AH62" s="190">
        <f t="shared" si="170"/>
        <v>1.4932638886873792</v>
      </c>
      <c r="AI62" s="190">
        <f t="shared" si="170"/>
        <v>1.4703278680244813</v>
      </c>
      <c r="AJ62" s="7"/>
      <c r="AK62" s="7"/>
      <c r="AL62" s="190">
        <f t="shared" ref="AL62:AN62" si="171">IF(W62="-","-",(AY62*$B$2/W62+(1-AY62)*AVERAGE($B$2,$B$3)/AVERAGE(W62,AB62)))</f>
        <v>1.5036496327119213</v>
      </c>
      <c r="AM62" s="190">
        <f t="shared" si="171"/>
        <v>1.5082750176818205</v>
      </c>
      <c r="AN62" s="190">
        <f t="shared" si="171"/>
        <v>1.4857204383544427</v>
      </c>
      <c r="AO62" s="7"/>
      <c r="AP62" s="7"/>
      <c r="AQ62" s="7"/>
      <c r="AR62" s="7"/>
      <c r="AS62" s="7"/>
      <c r="AT62" s="242">
        <f>IF(R62="-","-",VLOOKUP(R62,'CPI USA'!$T:$V,3,FALSE))</f>
        <v>0.67018812038291731</v>
      </c>
      <c r="AU62" s="242">
        <f>IF(S62="-","-",VLOOKUP(S62,'CPI USA'!$T:$V,3,FALSE))</f>
        <v>0.66997101349938215</v>
      </c>
      <c r="AV62" s="242">
        <f>IF(T62="-","-",VLOOKUP(T62,'CPI USA'!$T:$V,3,FALSE))</f>
        <v>0.67050107279443949</v>
      </c>
      <c r="AW62" s="7"/>
      <c r="AX62" s="7"/>
      <c r="AY62" s="242">
        <f>IF(R62="-","-",VLOOKUP(R62,'CPI USA'!$T:$X,5,FALSE))</f>
        <v>0.49838492968660258</v>
      </c>
      <c r="AZ62" s="242">
        <f>IF(S62="-","-",VLOOKUP(S62,'CPI USA'!$T:$X,5,FALSE))</f>
        <v>0.49813941766071862</v>
      </c>
      <c r="BA62" s="242">
        <f>IF(T62="-","-",VLOOKUP(T62,'CPI USA'!$T:$X,5,FALSE))</f>
        <v>0.4987389730136107</v>
      </c>
      <c r="BB62" s="7"/>
    </row>
    <row r="63" spans="1:54" ht="15.75" customHeight="1">
      <c r="A63" s="185" t="s">
        <v>378</v>
      </c>
      <c r="B63" s="185" t="s">
        <v>379</v>
      </c>
      <c r="C63" s="239">
        <f>+'Empresas 21-23'!J58</f>
        <v>0</v>
      </c>
      <c r="D63" s="239">
        <f>VLOOKUP(A63,'FERC 2021'!$A$3:$BE$221,57,0)</f>
        <v>726162878</v>
      </c>
      <c r="E63" s="239">
        <f>VLOOKUP(A63,'FERC 2021'!$A$3:$BF$221,58,0)</f>
        <v>40597256</v>
      </c>
      <c r="F63" s="239">
        <f>VLOOKUP(A63,'FERC 2022'!$A$3:$BE$220,57,0)</f>
        <v>731699275</v>
      </c>
      <c r="G63" s="239">
        <f>VLOOKUP(A63,'FERC 2022'!$A$3:$BF$220,58,0)</f>
        <v>42490635</v>
      </c>
      <c r="H63" s="239">
        <f>VLOOKUP(A63,'FERC 2023'!$A$3:$BE$221,57,0)</f>
        <v>729909594</v>
      </c>
      <c r="I63" s="239">
        <f>VLOOKUP(A63,'FERC 2023'!$A$3:$BF$221,58,0)</f>
        <v>44390825</v>
      </c>
      <c r="J63" s="7"/>
      <c r="K63" s="7"/>
      <c r="L63" s="7"/>
      <c r="M63" s="187">
        <f t="shared" si="0"/>
        <v>17.88699408649688</v>
      </c>
      <c r="N63" s="187">
        <f t="shared" si="1"/>
        <v>17.220248061719953</v>
      </c>
      <c r="O63" s="187">
        <f t="shared" si="2"/>
        <v>16.442803079239912</v>
      </c>
      <c r="P63" s="7"/>
      <c r="Q63" s="240">
        <f t="shared" si="3"/>
        <v>17.183348409152249</v>
      </c>
      <c r="R63" s="189" t="str">
        <f t="shared" ref="R63:T63" si="172">IF(ISERROR(R$5-365*$Q63),"-",MONTH(R$5-365*$Q63)&amp;"_"&amp;YEAR(R$5-365*$Q63))</f>
        <v>10_2004</v>
      </c>
      <c r="S63" s="189" t="str">
        <f t="shared" si="172"/>
        <v>10_2005</v>
      </c>
      <c r="T63" s="189" t="str">
        <f t="shared" si="172"/>
        <v>10_2006</v>
      </c>
      <c r="U63" s="7"/>
      <c r="V63" s="7"/>
      <c r="W63" s="190">
        <f>IF(R63="-","-",VLOOKUP(R63,'CPI USA'!$T:$U,2,FALSE))</f>
        <v>188.9</v>
      </c>
      <c r="X63" s="190">
        <f>IF(S63="-","-",VLOOKUP(S63,'CPI USA'!$T:$U,2,FALSE))</f>
        <v>195.3</v>
      </c>
      <c r="Y63" s="190">
        <f>IF(T63="-","-",VLOOKUP(T63,'CPI USA'!$T:$U,2,FALSE))</f>
        <v>201.6</v>
      </c>
      <c r="Z63" s="7"/>
      <c r="AA63" s="7"/>
      <c r="AB63" s="190">
        <f>IF(R63="-","-",VLOOKUP(R63,'PPI USA'!$S:$T,2,FALSE))</f>
        <v>123.7</v>
      </c>
      <c r="AC63" s="190">
        <f>IF(S63="-","-",VLOOKUP(S63,'PPI USA'!$S:$T,2,FALSE))</f>
        <v>131.30000000000001</v>
      </c>
      <c r="AD63" s="190">
        <f>IF(T63="-","-",VLOOKUP(T63,'PPI USA'!$S:$T,2,FALSE))</f>
        <v>145.30000000000001</v>
      </c>
      <c r="AE63" s="7"/>
      <c r="AF63" s="7"/>
      <c r="AG63" s="190">
        <f t="shared" ref="AG63:AI63" si="173">IF(W63="-","-",(AT63*$B$2/W63+(1-AT63)*AVERAGE($B$2,$B$3)/AVERAGE(W63,AB63)))</f>
        <v>1.7242718973721483</v>
      </c>
      <c r="AH63" s="190">
        <f t="shared" si="173"/>
        <v>1.6621774217199745</v>
      </c>
      <c r="AI63" s="190">
        <f t="shared" si="173"/>
        <v>1.595396421204319</v>
      </c>
      <c r="AJ63" s="7"/>
      <c r="AK63" s="7"/>
      <c r="AL63" s="190">
        <f t="shared" ref="AL63:AN63" si="174">IF(W63="-","-",(AY63*$B$2/W63+(1-AY63)*AVERAGE($B$2,$B$3)/AVERAGE(W63,AB63)))</f>
        <v>1.7568944717328012</v>
      </c>
      <c r="AM63" s="190">
        <f t="shared" si="174"/>
        <v>1.6905992787819408</v>
      </c>
      <c r="AN63" s="190">
        <f t="shared" si="174"/>
        <v>1.6147712829199015</v>
      </c>
      <c r="AO63" s="7"/>
      <c r="AP63" s="7"/>
      <c r="AQ63" s="7"/>
      <c r="AR63" s="7"/>
      <c r="AS63" s="7"/>
      <c r="AT63" s="242">
        <f>IF(R63="-","-",VLOOKUP(R63,'CPI USA'!$T:$V,3,FALSE))</f>
        <v>0.68116912558338294</v>
      </c>
      <c r="AU63" s="242">
        <f>IF(S63="-","-",VLOOKUP(S63,'CPI USA'!$T:$V,3,FALSE))</f>
        <v>0.67888602568792966</v>
      </c>
      <c r="AV63" s="242">
        <f>IF(T63="-","-",VLOOKUP(T63,'CPI USA'!$T:$V,3,FALSE))</f>
        <v>0.67263024008352756</v>
      </c>
      <c r="AW63" s="7"/>
      <c r="AX63" s="7"/>
      <c r="AY63" s="242">
        <f>IF(R63="-","-",VLOOKUP(R63,'CPI USA'!$T:$X,5,FALSE))</f>
        <v>0.51091164550905577</v>
      </c>
      <c r="AZ63" s="242">
        <f>IF(S63="-","-",VLOOKUP(S63,'CPI USA'!$T:$X,5,FALSE))</f>
        <v>0.50828944385363772</v>
      </c>
      <c r="BA63" s="242">
        <f>IF(T63="-","-",VLOOKUP(T63,'CPI USA'!$T:$X,5,FALSE))</f>
        <v>0.50115228263529643</v>
      </c>
      <c r="BB63" s="7"/>
    </row>
    <row r="64" spans="1:54" ht="15.75" customHeight="1">
      <c r="A64" s="185" t="s">
        <v>381</v>
      </c>
      <c r="B64" s="185" t="s">
        <v>382</v>
      </c>
      <c r="C64" s="239">
        <f>+'Empresas 21-23'!J59</f>
        <v>0</v>
      </c>
      <c r="D64" s="239">
        <f>VLOOKUP(A64,'FERC 2021'!$A$3:$BE$221,57,0)</f>
        <v>946552733</v>
      </c>
      <c r="E64" s="239">
        <f>VLOOKUP(A64,'FERC 2021'!$A$3:$BF$221,58,0)</f>
        <v>61012545</v>
      </c>
      <c r="F64" s="239">
        <f>VLOOKUP(A64,'FERC 2022'!$A$3:$BE$220,57,0)</f>
        <v>970629382</v>
      </c>
      <c r="G64" s="239">
        <f>VLOOKUP(A64,'FERC 2022'!$A$3:$BF$220,58,0)</f>
        <v>64683274</v>
      </c>
      <c r="H64" s="239">
        <f>VLOOKUP(A64,'FERC 2023'!$A$3:$BE$221,57,0)</f>
        <v>988219442</v>
      </c>
      <c r="I64" s="239">
        <f>VLOOKUP(A64,'FERC 2023'!$A$3:$BF$221,58,0)</f>
        <v>65206808</v>
      </c>
      <c r="J64" s="7"/>
      <c r="K64" s="7"/>
      <c r="L64" s="7"/>
      <c r="M64" s="187">
        <f t="shared" si="0"/>
        <v>15.514067361064843</v>
      </c>
      <c r="N64" s="187">
        <f t="shared" si="1"/>
        <v>15.005878985037151</v>
      </c>
      <c r="O64" s="187">
        <f t="shared" si="2"/>
        <v>15.15515744920377</v>
      </c>
      <c r="P64" s="7"/>
      <c r="Q64" s="240">
        <f t="shared" si="3"/>
        <v>15.225034598435256</v>
      </c>
      <c r="R64" s="189" t="str">
        <f t="shared" ref="R64:T64" si="175">IF(ISERROR(R$5-365*$Q64),"-",MONTH(R$5-365*$Q64)&amp;"_"&amp;YEAR(R$5-365*$Q64))</f>
        <v>10_2006</v>
      </c>
      <c r="S64" s="189" t="str">
        <f t="shared" si="175"/>
        <v>10_2007</v>
      </c>
      <c r="T64" s="189" t="str">
        <f t="shared" si="175"/>
        <v>10_2008</v>
      </c>
      <c r="U64" s="7"/>
      <c r="V64" s="7"/>
      <c r="W64" s="190">
        <f>IF(R64="-","-",VLOOKUP(R64,'CPI USA'!$T:$U,2,FALSE))</f>
        <v>201.6</v>
      </c>
      <c r="X64" s="190">
        <f>IF(S64="-","-",VLOOKUP(S64,'CPI USA'!$T:$U,2,FALSE))</f>
        <v>207.34200000000001</v>
      </c>
      <c r="Y64" s="190">
        <f>IF(T64="-","-",VLOOKUP(T64,'CPI USA'!$T:$U,2,FALSE))</f>
        <v>215.303</v>
      </c>
      <c r="Z64" s="7"/>
      <c r="AA64" s="7"/>
      <c r="AB64" s="190">
        <f>IF(R64="-","-",VLOOKUP(R64,'PPI USA'!$S:$T,2,FALSE))</f>
        <v>145.30000000000001</v>
      </c>
      <c r="AC64" s="190">
        <f>IF(S64="-","-",VLOOKUP(S64,'PPI USA'!$S:$T,2,FALSE))</f>
        <v>151.69999999999999</v>
      </c>
      <c r="AD64" s="190">
        <f>IF(T64="-","-",VLOOKUP(T64,'PPI USA'!$S:$T,2,FALSE))</f>
        <v>159.30000000000001</v>
      </c>
      <c r="AE64" s="7"/>
      <c r="AF64" s="7"/>
      <c r="AG64" s="190">
        <f t="shared" ref="AG64:AI64" si="176">IF(W64="-","-",(AT64*$B$2/W64+(1-AT64)*AVERAGE($B$2,$B$3)/AVERAGE(W64,AB64)))</f>
        <v>1.595396421204319</v>
      </c>
      <c r="AH64" s="190">
        <f t="shared" si="176"/>
        <v>1.5480022216582647</v>
      </c>
      <c r="AI64" s="190">
        <f t="shared" si="176"/>
        <v>1.4884333659448254</v>
      </c>
      <c r="AJ64" s="7"/>
      <c r="AK64" s="7"/>
      <c r="AL64" s="190">
        <f t="shared" ref="AL64:AN64" si="177">IF(W64="-","-",(AY64*$B$2/W64+(1-AY64)*AVERAGE($B$2,$B$3)/AVERAGE(W64,AB64)))</f>
        <v>1.6147712829199015</v>
      </c>
      <c r="AM64" s="190">
        <f t="shared" si="177"/>
        <v>1.5651038394149617</v>
      </c>
      <c r="AN64" s="190">
        <f t="shared" si="177"/>
        <v>1.5036496327119213</v>
      </c>
      <c r="AO64" s="7"/>
      <c r="AP64" s="7"/>
      <c r="AQ64" s="7"/>
      <c r="AR64" s="7"/>
      <c r="AS64" s="7"/>
      <c r="AT64" s="242">
        <f>IF(R64="-","-",VLOOKUP(R64,'CPI USA'!$T:$V,3,FALSE))</f>
        <v>0.67263024008352756</v>
      </c>
      <c r="AU64" s="242">
        <f>IF(S64="-","-",VLOOKUP(S64,'CPI USA'!$T:$V,3,FALSE))</f>
        <v>0.67123734379962852</v>
      </c>
      <c r="AV64" s="242">
        <f>IF(T64="-","-",VLOOKUP(T64,'CPI USA'!$T:$V,3,FALSE))</f>
        <v>0.67018812038291731</v>
      </c>
      <c r="AW64" s="7"/>
      <c r="AX64" s="7"/>
      <c r="AY64" s="242">
        <f>IF(R64="-","-",VLOOKUP(R64,'CPI USA'!$T:$X,5,FALSE))</f>
        <v>0.50115228263529643</v>
      </c>
      <c r="AZ64" s="242">
        <f>IF(S64="-","-",VLOOKUP(S64,'CPI USA'!$T:$X,5,FALSE))</f>
        <v>0.49957259686190569</v>
      </c>
      <c r="BA64" s="242">
        <f>IF(T64="-","-",VLOOKUP(T64,'CPI USA'!$T:$X,5,FALSE))</f>
        <v>0.49838492968660258</v>
      </c>
      <c r="BB64" s="7"/>
    </row>
    <row r="65" spans="1:54" ht="15.75" customHeight="1">
      <c r="A65" s="185" t="s">
        <v>384</v>
      </c>
      <c r="B65" s="185" t="s">
        <v>385</v>
      </c>
      <c r="C65" s="239">
        <f>+'Empresas 21-23'!J60</f>
        <v>0</v>
      </c>
      <c r="D65" s="239">
        <f>VLOOKUP(A65,'FERC 2021'!$A$3:$BE$221,57,0)</f>
        <v>493158650</v>
      </c>
      <c r="E65" s="239">
        <f>VLOOKUP(A65,'FERC 2021'!$A$3:$BF$221,58,0)</f>
        <v>35043995</v>
      </c>
      <c r="F65" s="239">
        <f>VLOOKUP(A65,'FERC 2022'!$A$3:$BE$220,57,0)</f>
        <v>507476136</v>
      </c>
      <c r="G65" s="239">
        <f>VLOOKUP(A65,'FERC 2022'!$A$3:$BF$220,58,0)</f>
        <v>37872202</v>
      </c>
      <c r="H65" s="239">
        <f>VLOOKUP(A65,'FERC 2023'!$A$3:$BE$221,57,0)</f>
        <v>528325812</v>
      </c>
      <c r="I65" s="239">
        <f>VLOOKUP(A65,'FERC 2023'!$A$3:$BF$221,58,0)</f>
        <v>42991224</v>
      </c>
      <c r="J65" s="7"/>
      <c r="K65" s="7"/>
      <c r="L65" s="7"/>
      <c r="M65" s="187">
        <f t="shared" si="0"/>
        <v>14.072557937529668</v>
      </c>
      <c r="N65" s="187">
        <f t="shared" si="1"/>
        <v>13.399699758677881</v>
      </c>
      <c r="O65" s="187">
        <f t="shared" si="2"/>
        <v>12.289154921478858</v>
      </c>
      <c r="P65" s="7"/>
      <c r="Q65" s="240">
        <f t="shared" si="3"/>
        <v>13.253804205895468</v>
      </c>
      <c r="R65" s="189" t="str">
        <f t="shared" ref="R65:T65" si="178">IF(ISERROR(R$5-365*$Q65),"-",MONTH(R$5-365*$Q65)&amp;"_"&amp;YEAR(R$5-365*$Q65))</f>
        <v>10_2008</v>
      </c>
      <c r="S65" s="189" t="str">
        <f t="shared" si="178"/>
        <v>10_2009</v>
      </c>
      <c r="T65" s="189" t="str">
        <f t="shared" si="178"/>
        <v>10_2010</v>
      </c>
      <c r="U65" s="7"/>
      <c r="V65" s="7"/>
      <c r="W65" s="190">
        <f>IF(R65="-","-",VLOOKUP(R65,'CPI USA'!$T:$U,2,FALSE))</f>
        <v>215.303</v>
      </c>
      <c r="X65" s="190">
        <f>IF(S65="-","-",VLOOKUP(S65,'CPI USA'!$T:$U,2,FALSE))</f>
        <v>214.53700000000001</v>
      </c>
      <c r="Y65" s="190">
        <f>IF(T65="-","-",VLOOKUP(T65,'CPI USA'!$T:$U,2,FALSE))</f>
        <v>218.05600000000001</v>
      </c>
      <c r="Z65" s="7"/>
      <c r="AA65" s="7"/>
      <c r="AB65" s="190">
        <f>IF(R65="-","-",VLOOKUP(R65,'PPI USA'!$S:$T,2,FALSE))</f>
        <v>159.30000000000001</v>
      </c>
      <c r="AC65" s="190">
        <f>IF(S65="-","-",VLOOKUP(S65,'PPI USA'!$S:$T,2,FALSE))</f>
        <v>159.1</v>
      </c>
      <c r="AD65" s="190">
        <f>IF(T65="-","-",VLOOKUP(T65,'PPI USA'!$S:$T,2,FALSE))</f>
        <v>160.80000000000001</v>
      </c>
      <c r="AE65" s="7"/>
      <c r="AF65" s="7"/>
      <c r="AG65" s="190">
        <f t="shared" ref="AG65:AI65" si="179">IF(W65="-","-",(AT65*$B$2/W65+(1-AT65)*AVERAGE($B$2,$B$3)/AVERAGE(W65,AB65)))</f>
        <v>1.4884333659448254</v>
      </c>
      <c r="AH65" s="190">
        <f t="shared" si="179"/>
        <v>1.4932638886873792</v>
      </c>
      <c r="AI65" s="190">
        <f t="shared" si="179"/>
        <v>1.4703278680244813</v>
      </c>
      <c r="AJ65" s="7"/>
      <c r="AK65" s="7"/>
      <c r="AL65" s="190">
        <f t="shared" ref="AL65:AN65" si="180">IF(W65="-","-",(AY65*$B$2/W65+(1-AY65)*AVERAGE($B$2,$B$3)/AVERAGE(W65,AB65)))</f>
        <v>1.5036496327119213</v>
      </c>
      <c r="AM65" s="190">
        <f t="shared" si="180"/>
        <v>1.5082750176818205</v>
      </c>
      <c r="AN65" s="190">
        <f t="shared" si="180"/>
        <v>1.4857204383544427</v>
      </c>
      <c r="AO65" s="7"/>
      <c r="AP65" s="7"/>
      <c r="AQ65" s="7"/>
      <c r="AR65" s="7"/>
      <c r="AS65" s="7"/>
      <c r="AT65" s="242">
        <f>IF(R65="-","-",VLOOKUP(R65,'CPI USA'!$T:$V,3,FALSE))</f>
        <v>0.67018812038291731</v>
      </c>
      <c r="AU65" s="242">
        <f>IF(S65="-","-",VLOOKUP(S65,'CPI USA'!$T:$V,3,FALSE))</f>
        <v>0.66997101349938215</v>
      </c>
      <c r="AV65" s="242">
        <f>IF(T65="-","-",VLOOKUP(T65,'CPI USA'!$T:$V,3,FALSE))</f>
        <v>0.67050107279443949</v>
      </c>
      <c r="AW65" s="7"/>
      <c r="AX65" s="7"/>
      <c r="AY65" s="242">
        <f>IF(R65="-","-",VLOOKUP(R65,'CPI USA'!$T:$X,5,FALSE))</f>
        <v>0.49838492968660258</v>
      </c>
      <c r="AZ65" s="242">
        <f>IF(S65="-","-",VLOOKUP(S65,'CPI USA'!$T:$X,5,FALSE))</f>
        <v>0.49813941766071862</v>
      </c>
      <c r="BA65" s="242">
        <f>IF(T65="-","-",VLOOKUP(T65,'CPI USA'!$T:$X,5,FALSE))</f>
        <v>0.4987389730136107</v>
      </c>
      <c r="BB65" s="7"/>
    </row>
    <row r="66" spans="1:54" ht="15.75" customHeight="1">
      <c r="A66" s="185" t="s">
        <v>387</v>
      </c>
      <c r="B66" s="185" t="s">
        <v>388</v>
      </c>
      <c r="C66" s="243">
        <f>+'Empresas 21-23'!J61</f>
        <v>0</v>
      </c>
      <c r="D66" s="239">
        <f>VLOOKUP(A66,'FERC 2021'!$A$3:$BE$221,57,0)</f>
        <v>0</v>
      </c>
      <c r="E66" s="239">
        <f>VLOOKUP(A66,'FERC 2021'!$A$3:$BF$221,58,0)</f>
        <v>0</v>
      </c>
      <c r="F66" s="239">
        <f>VLOOKUP(A66,'FERC 2022'!$A$3:$BE$220,57,0)</f>
        <v>0</v>
      </c>
      <c r="G66" s="239">
        <f>VLOOKUP(A66,'FERC 2022'!$A$3:$BF$220,58,0)</f>
        <v>0</v>
      </c>
      <c r="H66" s="239">
        <f>VLOOKUP(A66,'FERC 2023'!$A$3:$BE$221,57,0)</f>
        <v>0</v>
      </c>
      <c r="I66" s="239">
        <f>VLOOKUP(A66,'FERC 2023'!$A$3:$BF$221,58,0)</f>
        <v>0</v>
      </c>
      <c r="J66" s="7"/>
      <c r="K66" s="7"/>
      <c r="L66" s="7"/>
      <c r="M66" s="187" t="str">
        <f t="shared" si="0"/>
        <v/>
      </c>
      <c r="N66" s="187" t="str">
        <f t="shared" si="1"/>
        <v/>
      </c>
      <c r="O66" s="187" t="str">
        <f t="shared" si="2"/>
        <v/>
      </c>
      <c r="P66" s="7"/>
      <c r="Q66" s="240" t="str">
        <f t="shared" si="3"/>
        <v>-</v>
      </c>
      <c r="R66" s="189" t="str">
        <f t="shared" ref="R66:T66" si="181">IF(ISERROR(R$5-365*$Q66),"-",MONTH(R$5-365*$Q66)&amp;"_"&amp;YEAR(R$5-365*$Q66))</f>
        <v>-</v>
      </c>
      <c r="S66" s="189" t="str">
        <f t="shared" si="181"/>
        <v>-</v>
      </c>
      <c r="T66" s="189" t="str">
        <f t="shared" si="181"/>
        <v>-</v>
      </c>
      <c r="U66" s="7"/>
      <c r="V66" s="7"/>
      <c r="W66" s="190" t="str">
        <f>IF(R66="-","-",VLOOKUP(R66,'CPI USA'!$T:$U,2,FALSE))</f>
        <v>-</v>
      </c>
      <c r="X66" s="190" t="str">
        <f>IF(S66="-","-",VLOOKUP(S66,'CPI USA'!$T:$U,2,FALSE))</f>
        <v>-</v>
      </c>
      <c r="Y66" s="190" t="str">
        <f>IF(T66="-","-",VLOOKUP(T66,'CPI USA'!$T:$U,2,FALSE))</f>
        <v>-</v>
      </c>
      <c r="Z66" s="7"/>
      <c r="AA66" s="7"/>
      <c r="AB66" s="190" t="str">
        <f>IF(R66="-","-",VLOOKUP(R66,'PPI USA'!$S:$T,2,FALSE))</f>
        <v>-</v>
      </c>
      <c r="AC66" s="190" t="str">
        <f>IF(S66="-","-",VLOOKUP(S66,'PPI USA'!$S:$T,2,FALSE))</f>
        <v>-</v>
      </c>
      <c r="AD66" s="190" t="str">
        <f>IF(T66="-","-",VLOOKUP(T66,'PPI USA'!$S:$T,2,FALSE))</f>
        <v>-</v>
      </c>
      <c r="AE66" s="7"/>
      <c r="AF66" s="7"/>
      <c r="AG66" s="190" t="str">
        <f t="shared" ref="AG66:AI66" si="182">IF(W66="-","-",(AT66*$B$2/W66+(1-AT66)*AVERAGE($B$2,$B$3)/AVERAGE(W66,AB66)))</f>
        <v>-</v>
      </c>
      <c r="AH66" s="190" t="str">
        <f t="shared" si="182"/>
        <v>-</v>
      </c>
      <c r="AI66" s="190" t="str">
        <f t="shared" si="182"/>
        <v>-</v>
      </c>
      <c r="AJ66" s="7"/>
      <c r="AK66" s="7"/>
      <c r="AL66" s="190" t="str">
        <f t="shared" ref="AL66:AN66" si="183">IF(W66="-","-",(AY66*$B$2/W66+(1-AY66)*AVERAGE($B$2,$B$3)/AVERAGE(W66,AB66)))</f>
        <v>-</v>
      </c>
      <c r="AM66" s="190" t="str">
        <f t="shared" si="183"/>
        <v>-</v>
      </c>
      <c r="AN66" s="190" t="str">
        <f t="shared" si="183"/>
        <v>-</v>
      </c>
      <c r="AO66" s="7"/>
      <c r="AP66" s="7"/>
      <c r="AQ66" s="7"/>
      <c r="AR66" s="7"/>
      <c r="AS66" s="7"/>
      <c r="AT66" s="242" t="str">
        <f>IF(R66="-","-",VLOOKUP(R66,'CPI USA'!$T:$V,3,FALSE))</f>
        <v>-</v>
      </c>
      <c r="AU66" s="242" t="str">
        <f>IF(S66="-","-",VLOOKUP(S66,'CPI USA'!$T:$V,3,FALSE))</f>
        <v>-</v>
      </c>
      <c r="AV66" s="242" t="str">
        <f>IF(T66="-","-",VLOOKUP(T66,'CPI USA'!$T:$V,3,FALSE))</f>
        <v>-</v>
      </c>
      <c r="AW66" s="7"/>
      <c r="AX66" s="7"/>
      <c r="AY66" s="242" t="str">
        <f>IF(R66="-","-",VLOOKUP(R66,'CPI USA'!$T:$X,5,FALSE))</f>
        <v>-</v>
      </c>
      <c r="AZ66" s="242" t="str">
        <f>IF(S66="-","-",VLOOKUP(S66,'CPI USA'!$T:$X,5,FALSE))</f>
        <v>-</v>
      </c>
      <c r="BA66" s="242" t="str">
        <f>IF(T66="-","-",VLOOKUP(T66,'CPI USA'!$T:$X,5,FALSE))</f>
        <v>-</v>
      </c>
      <c r="BB66" s="7"/>
    </row>
    <row r="67" spans="1:54" ht="15.75" customHeight="1">
      <c r="A67" s="185" t="s">
        <v>390</v>
      </c>
      <c r="B67" s="185" t="s">
        <v>391</v>
      </c>
      <c r="C67" s="239">
        <f>+'Empresas 21-23'!J62</f>
        <v>0</v>
      </c>
      <c r="D67" s="239">
        <f>VLOOKUP(A67,'FERC 2021'!$A$3:$BE$221,57,0)</f>
        <v>484275868</v>
      </c>
      <c r="E67" s="239">
        <f>VLOOKUP(A67,'FERC 2021'!$A$3:$BF$221,58,0)</f>
        <v>33111655</v>
      </c>
      <c r="F67" s="239">
        <f>VLOOKUP(A67,'FERC 2022'!$A$3:$BE$220,57,0)</f>
        <v>493361861</v>
      </c>
      <c r="G67" s="239">
        <f>VLOOKUP(A67,'FERC 2022'!$A$3:$BF$220,58,0)</f>
        <v>35401211</v>
      </c>
      <c r="H67" s="239">
        <f>VLOOKUP(A67,'FERC 2023'!$A$3:$BE$221,57,0)</f>
        <v>482577280</v>
      </c>
      <c r="I67" s="239">
        <f>VLOOKUP(A67,'FERC 2023'!$A$3:$BF$221,58,0)</f>
        <v>37897633</v>
      </c>
      <c r="J67" s="7"/>
      <c r="K67" s="7"/>
      <c r="L67" s="7"/>
      <c r="M67" s="187">
        <f t="shared" si="0"/>
        <v>14.625541006633465</v>
      </c>
      <c r="N67" s="187">
        <f t="shared" si="1"/>
        <v>13.936298987060075</v>
      </c>
      <c r="O67" s="187">
        <f t="shared" si="2"/>
        <v>12.733705031129517</v>
      </c>
      <c r="P67" s="7"/>
      <c r="Q67" s="240">
        <f t="shared" si="3"/>
        <v>13.765181674941019</v>
      </c>
      <c r="R67" s="189" t="str">
        <f t="shared" ref="R67:T67" si="184">IF(ISERROR(R$5-365*$Q67),"-",MONTH(R$5-365*$Q67)&amp;"_"&amp;YEAR(R$5-365*$Q67))</f>
        <v>3_2008</v>
      </c>
      <c r="S67" s="189" t="str">
        <f t="shared" si="184"/>
        <v>3_2009</v>
      </c>
      <c r="T67" s="189" t="str">
        <f t="shared" si="184"/>
        <v>3_2010</v>
      </c>
      <c r="U67" s="7"/>
      <c r="V67" s="7"/>
      <c r="W67" s="190">
        <f>IF(R67="-","-",VLOOKUP(R67,'CPI USA'!$T:$U,2,FALSE))</f>
        <v>215.303</v>
      </c>
      <c r="X67" s="190">
        <f>IF(S67="-","-",VLOOKUP(S67,'CPI USA'!$T:$U,2,FALSE))</f>
        <v>214.53700000000001</v>
      </c>
      <c r="Y67" s="190">
        <f>IF(T67="-","-",VLOOKUP(T67,'CPI USA'!$T:$U,2,FALSE))</f>
        <v>218.05600000000001</v>
      </c>
      <c r="Z67" s="7"/>
      <c r="AA67" s="7"/>
      <c r="AB67" s="190">
        <f>IF(R67="-","-",VLOOKUP(R67,'PPI USA'!$S:$T,2,FALSE))</f>
        <v>159.30000000000001</v>
      </c>
      <c r="AC67" s="190">
        <f>IF(S67="-","-",VLOOKUP(S67,'PPI USA'!$S:$T,2,FALSE))</f>
        <v>159.1</v>
      </c>
      <c r="AD67" s="190">
        <f>IF(T67="-","-",VLOOKUP(T67,'PPI USA'!$S:$T,2,FALSE))</f>
        <v>160.80000000000001</v>
      </c>
      <c r="AE67" s="7"/>
      <c r="AF67" s="7"/>
      <c r="AG67" s="190">
        <f t="shared" ref="AG67:AI67" si="185">IF(W67="-","-",(AT67*$B$2/W67+(1-AT67)*AVERAGE($B$2,$B$3)/AVERAGE(W67,AB67)))</f>
        <v>1.4884333659448254</v>
      </c>
      <c r="AH67" s="190">
        <f t="shared" si="185"/>
        <v>1.4932638886873792</v>
      </c>
      <c r="AI67" s="190">
        <f t="shared" si="185"/>
        <v>1.4703278680244813</v>
      </c>
      <c r="AJ67" s="7"/>
      <c r="AK67" s="7"/>
      <c r="AL67" s="190">
        <f t="shared" ref="AL67:AN67" si="186">IF(W67="-","-",(AY67*$B$2/W67+(1-AY67)*AVERAGE($B$2,$B$3)/AVERAGE(W67,AB67)))</f>
        <v>1.5036496327119213</v>
      </c>
      <c r="AM67" s="190">
        <f t="shared" si="186"/>
        <v>1.5082750176818205</v>
      </c>
      <c r="AN67" s="190">
        <f t="shared" si="186"/>
        <v>1.4857204383544427</v>
      </c>
      <c r="AO67" s="7"/>
      <c r="AP67" s="7"/>
      <c r="AQ67" s="7"/>
      <c r="AR67" s="7"/>
      <c r="AS67" s="7"/>
      <c r="AT67" s="242">
        <f>IF(R67="-","-",VLOOKUP(R67,'CPI USA'!$T:$V,3,FALSE))</f>
        <v>0.67018812038291731</v>
      </c>
      <c r="AU67" s="242">
        <f>IF(S67="-","-",VLOOKUP(S67,'CPI USA'!$T:$V,3,FALSE))</f>
        <v>0.66997101349938215</v>
      </c>
      <c r="AV67" s="242">
        <f>IF(T67="-","-",VLOOKUP(T67,'CPI USA'!$T:$V,3,FALSE))</f>
        <v>0.67050107279443949</v>
      </c>
      <c r="AW67" s="7"/>
      <c r="AX67" s="7"/>
      <c r="AY67" s="242">
        <f>IF(R67="-","-",VLOOKUP(R67,'CPI USA'!$T:$X,5,FALSE))</f>
        <v>0.49838492968660258</v>
      </c>
      <c r="AZ67" s="242">
        <f>IF(S67="-","-",VLOOKUP(S67,'CPI USA'!$T:$X,5,FALSE))</f>
        <v>0.49813941766071862</v>
      </c>
      <c r="BA67" s="242">
        <f>IF(T67="-","-",VLOOKUP(T67,'CPI USA'!$T:$X,5,FALSE))</f>
        <v>0.4987389730136107</v>
      </c>
      <c r="BB67" s="7"/>
    </row>
    <row r="68" spans="1:54" ht="15.75" customHeight="1">
      <c r="A68" s="185" t="s">
        <v>393</v>
      </c>
      <c r="B68" s="185" t="s">
        <v>394</v>
      </c>
      <c r="C68" s="239">
        <f>+'Empresas 21-23'!J63</f>
        <v>0</v>
      </c>
      <c r="D68" s="239">
        <f>VLOOKUP(A68,'FERC 2021'!$A$3:$BE$221,57,0)</f>
        <v>1310910835</v>
      </c>
      <c r="E68" s="239">
        <f>VLOOKUP(A68,'FERC 2021'!$A$3:$BF$221,58,0)</f>
        <v>68118111</v>
      </c>
      <c r="F68" s="239">
        <f>VLOOKUP(A68,'FERC 2022'!$A$3:$BE$220,57,0)</f>
        <v>1266531921</v>
      </c>
      <c r="G68" s="239">
        <f>VLOOKUP(A68,'FERC 2022'!$A$3:$BF$220,58,0)</f>
        <v>73327882</v>
      </c>
      <c r="H68" s="239">
        <f>VLOOKUP(A68,'FERC 2023'!$A$3:$BE$221,57,0)</f>
        <v>1194092680</v>
      </c>
      <c r="I68" s="239">
        <f>VLOOKUP(A68,'FERC 2023'!$A$3:$BF$221,58,0)</f>
        <v>79562526</v>
      </c>
      <c r="J68" s="7"/>
      <c r="K68" s="7"/>
      <c r="L68" s="7"/>
      <c r="M68" s="187">
        <f t="shared" si="0"/>
        <v>19.244673931137051</v>
      </c>
      <c r="N68" s="187">
        <f t="shared" si="1"/>
        <v>17.272173782409261</v>
      </c>
      <c r="O68" s="187">
        <f t="shared" si="2"/>
        <v>15.008229879478689</v>
      </c>
      <c r="P68" s="7"/>
      <c r="Q68" s="240">
        <f t="shared" si="3"/>
        <v>17.175025864341666</v>
      </c>
      <c r="R68" s="189" t="str">
        <f t="shared" ref="R68:T68" si="187">IF(ISERROR(R$5-365*$Q68),"-",MONTH(R$5-365*$Q68)&amp;"_"&amp;YEAR(R$5-365*$Q68))</f>
        <v>11_2004</v>
      </c>
      <c r="S68" s="189" t="str">
        <f t="shared" si="187"/>
        <v>11_2005</v>
      </c>
      <c r="T68" s="189" t="str">
        <f t="shared" si="187"/>
        <v>11_2006</v>
      </c>
      <c r="U68" s="7"/>
      <c r="V68" s="7"/>
      <c r="W68" s="190">
        <f>IF(R68="-","-",VLOOKUP(R68,'CPI USA'!$T:$U,2,FALSE))</f>
        <v>188.9</v>
      </c>
      <c r="X68" s="190">
        <f>IF(S68="-","-",VLOOKUP(S68,'CPI USA'!$T:$U,2,FALSE))</f>
        <v>195.3</v>
      </c>
      <c r="Y68" s="190">
        <f>IF(T68="-","-",VLOOKUP(T68,'CPI USA'!$T:$U,2,FALSE))</f>
        <v>201.6</v>
      </c>
      <c r="Z68" s="7"/>
      <c r="AA68" s="7"/>
      <c r="AB68" s="190">
        <f>IF(R68="-","-",VLOOKUP(R68,'PPI USA'!$S:$T,2,FALSE))</f>
        <v>123.7</v>
      </c>
      <c r="AC68" s="190">
        <f>IF(S68="-","-",VLOOKUP(S68,'PPI USA'!$S:$T,2,FALSE))</f>
        <v>131.30000000000001</v>
      </c>
      <c r="AD68" s="190">
        <f>IF(T68="-","-",VLOOKUP(T68,'PPI USA'!$S:$T,2,FALSE))</f>
        <v>145.30000000000001</v>
      </c>
      <c r="AE68" s="7"/>
      <c r="AF68" s="7"/>
      <c r="AG68" s="190">
        <f t="shared" ref="AG68:AI68" si="188">IF(W68="-","-",(AT68*$B$2/W68+(1-AT68)*AVERAGE($B$2,$B$3)/AVERAGE(W68,AB68)))</f>
        <v>1.7242718973721483</v>
      </c>
      <c r="AH68" s="190">
        <f t="shared" si="188"/>
        <v>1.6621774217199745</v>
      </c>
      <c r="AI68" s="190">
        <f t="shared" si="188"/>
        <v>1.595396421204319</v>
      </c>
      <c r="AJ68" s="7"/>
      <c r="AK68" s="7"/>
      <c r="AL68" s="190">
        <f t="shared" ref="AL68:AN68" si="189">IF(W68="-","-",(AY68*$B$2/W68+(1-AY68)*AVERAGE($B$2,$B$3)/AVERAGE(W68,AB68)))</f>
        <v>1.7568944717328012</v>
      </c>
      <c r="AM68" s="190">
        <f t="shared" si="189"/>
        <v>1.6905992787819408</v>
      </c>
      <c r="AN68" s="190">
        <f t="shared" si="189"/>
        <v>1.6147712829199015</v>
      </c>
      <c r="AO68" s="7"/>
      <c r="AP68" s="7"/>
      <c r="AQ68" s="7"/>
      <c r="AR68" s="7"/>
      <c r="AS68" s="7"/>
      <c r="AT68" s="242">
        <f>IF(R68="-","-",VLOOKUP(R68,'CPI USA'!$T:$V,3,FALSE))</f>
        <v>0.68116912558338294</v>
      </c>
      <c r="AU68" s="242">
        <f>IF(S68="-","-",VLOOKUP(S68,'CPI USA'!$T:$V,3,FALSE))</f>
        <v>0.67888602568792966</v>
      </c>
      <c r="AV68" s="242">
        <f>IF(T68="-","-",VLOOKUP(T68,'CPI USA'!$T:$V,3,FALSE))</f>
        <v>0.67263024008352756</v>
      </c>
      <c r="AW68" s="7"/>
      <c r="AX68" s="7"/>
      <c r="AY68" s="242">
        <f>IF(R68="-","-",VLOOKUP(R68,'CPI USA'!$T:$X,5,FALSE))</f>
        <v>0.51091164550905577</v>
      </c>
      <c r="AZ68" s="242">
        <f>IF(S68="-","-",VLOOKUP(S68,'CPI USA'!$T:$X,5,FALSE))</f>
        <v>0.50828944385363772</v>
      </c>
      <c r="BA68" s="242">
        <f>IF(T68="-","-",VLOOKUP(T68,'CPI USA'!$T:$X,5,FALSE))</f>
        <v>0.50115228263529643</v>
      </c>
      <c r="BB68" s="7"/>
    </row>
    <row r="69" spans="1:54" ht="15.75" customHeight="1">
      <c r="A69" s="185" t="s">
        <v>396</v>
      </c>
      <c r="B69" s="185" t="s">
        <v>397</v>
      </c>
      <c r="C69" s="239">
        <f>+'Empresas 21-23'!J64</f>
        <v>0</v>
      </c>
      <c r="D69" s="239">
        <f>VLOOKUP(A69,'FERC 2021'!$A$3:$BE$221,57,0)</f>
        <v>686873398</v>
      </c>
      <c r="E69" s="239">
        <f>VLOOKUP(A69,'FERC 2021'!$A$3:$BF$221,58,0)</f>
        <v>45252952</v>
      </c>
      <c r="F69" s="239">
        <f>VLOOKUP(A69,'FERC 2022'!$A$3:$BE$220,57,0)</f>
        <v>698514955</v>
      </c>
      <c r="G69" s="239">
        <f>VLOOKUP(A69,'FERC 2022'!$A$3:$BF$220,58,0)</f>
        <v>45595429</v>
      </c>
      <c r="H69" s="239">
        <f>VLOOKUP(A69,'FERC 2023'!$A$3:$BE$221,57,0)</f>
        <v>722571735</v>
      </c>
      <c r="I69" s="239">
        <f>VLOOKUP(A69,'FERC 2023'!$A$3:$BF$221,58,0)</f>
        <v>50525692</v>
      </c>
      <c r="J69" s="7"/>
      <c r="K69" s="7"/>
      <c r="L69" s="7"/>
      <c r="M69" s="187">
        <f t="shared" si="0"/>
        <v>15.178532397179305</v>
      </c>
      <c r="N69" s="187">
        <f t="shared" si="1"/>
        <v>15.319846096853261</v>
      </c>
      <c r="O69" s="187">
        <f t="shared" si="2"/>
        <v>14.30107548056937</v>
      </c>
      <c r="P69" s="7"/>
      <c r="Q69" s="240">
        <f t="shared" si="3"/>
        <v>14.93315132486731</v>
      </c>
      <c r="R69" s="189" t="str">
        <f t="shared" ref="R69:T69" si="190">IF(ISERROR(R$5-365*$Q69),"-",MONTH(R$5-365*$Q69)&amp;"_"&amp;YEAR(R$5-365*$Q69))</f>
        <v>1_2007</v>
      </c>
      <c r="S69" s="189" t="str">
        <f t="shared" si="190"/>
        <v>1_2008</v>
      </c>
      <c r="T69" s="189" t="str">
        <f t="shared" si="190"/>
        <v>1_2009</v>
      </c>
      <c r="U69" s="7"/>
      <c r="V69" s="7"/>
      <c r="W69" s="190">
        <f>IF(R69="-","-",VLOOKUP(R69,'CPI USA'!$T:$U,2,FALSE))</f>
        <v>207.34200000000001</v>
      </c>
      <c r="X69" s="190">
        <f>IF(S69="-","-",VLOOKUP(S69,'CPI USA'!$T:$U,2,FALSE))</f>
        <v>215.303</v>
      </c>
      <c r="Y69" s="190">
        <f>IF(T69="-","-",VLOOKUP(T69,'CPI USA'!$T:$U,2,FALSE))</f>
        <v>214.53700000000001</v>
      </c>
      <c r="Z69" s="7"/>
      <c r="AA69" s="7"/>
      <c r="AB69" s="190">
        <f>IF(R69="-","-",VLOOKUP(R69,'PPI USA'!$S:$T,2,FALSE))</f>
        <v>151.69999999999999</v>
      </c>
      <c r="AC69" s="190">
        <f>IF(S69="-","-",VLOOKUP(S69,'PPI USA'!$S:$T,2,FALSE))</f>
        <v>159.30000000000001</v>
      </c>
      <c r="AD69" s="190">
        <f>IF(T69="-","-",VLOOKUP(T69,'PPI USA'!$S:$T,2,FALSE))</f>
        <v>159.1</v>
      </c>
      <c r="AE69" s="7"/>
      <c r="AF69" s="7"/>
      <c r="AG69" s="190">
        <f t="shared" ref="AG69:AI69" si="191">IF(W69="-","-",(AT69*$B$2/W69+(1-AT69)*AVERAGE($B$2,$B$3)/AVERAGE(W69,AB69)))</f>
        <v>1.5480022216582647</v>
      </c>
      <c r="AH69" s="190">
        <f t="shared" si="191"/>
        <v>1.4884333659448254</v>
      </c>
      <c r="AI69" s="190">
        <f t="shared" si="191"/>
        <v>1.4932638886873792</v>
      </c>
      <c r="AJ69" s="7"/>
      <c r="AK69" s="7"/>
      <c r="AL69" s="190">
        <f t="shared" ref="AL69:AN69" si="192">IF(W69="-","-",(AY69*$B$2/W69+(1-AY69)*AVERAGE($B$2,$B$3)/AVERAGE(W69,AB69)))</f>
        <v>1.5651038394149617</v>
      </c>
      <c r="AM69" s="190">
        <f t="shared" si="192"/>
        <v>1.5036496327119213</v>
      </c>
      <c r="AN69" s="190">
        <f t="shared" si="192"/>
        <v>1.5082750176818205</v>
      </c>
      <c r="AO69" s="7"/>
      <c r="AP69" s="7"/>
      <c r="AQ69" s="7"/>
      <c r="AR69" s="7"/>
      <c r="AS69" s="7"/>
      <c r="AT69" s="242">
        <f>IF(R69="-","-",VLOOKUP(R69,'CPI USA'!$T:$V,3,FALSE))</f>
        <v>0.67123734379962852</v>
      </c>
      <c r="AU69" s="242">
        <f>IF(S69="-","-",VLOOKUP(S69,'CPI USA'!$T:$V,3,FALSE))</f>
        <v>0.67018812038291731</v>
      </c>
      <c r="AV69" s="242">
        <f>IF(T69="-","-",VLOOKUP(T69,'CPI USA'!$T:$V,3,FALSE))</f>
        <v>0.66997101349938215</v>
      </c>
      <c r="AW69" s="7"/>
      <c r="AX69" s="7"/>
      <c r="AY69" s="242">
        <f>IF(R69="-","-",VLOOKUP(R69,'CPI USA'!$T:$X,5,FALSE))</f>
        <v>0.49957259686190569</v>
      </c>
      <c r="AZ69" s="242">
        <f>IF(S69="-","-",VLOOKUP(S69,'CPI USA'!$T:$X,5,FALSE))</f>
        <v>0.49838492968660258</v>
      </c>
      <c r="BA69" s="242">
        <f>IF(T69="-","-",VLOOKUP(T69,'CPI USA'!$T:$X,5,FALSE))</f>
        <v>0.49813941766071862</v>
      </c>
      <c r="BB69" s="7"/>
    </row>
    <row r="70" spans="1:54" ht="15.75" customHeight="1">
      <c r="A70" s="185" t="s">
        <v>399</v>
      </c>
      <c r="B70" s="185" t="s">
        <v>400</v>
      </c>
      <c r="C70" s="243">
        <f>+'Empresas 21-23'!J65</f>
        <v>0</v>
      </c>
      <c r="D70" s="239">
        <f>VLOOKUP(A70,'FERC 2021'!$A$3:$BE$221,57,0)</f>
        <v>0</v>
      </c>
      <c r="E70" s="239">
        <f>VLOOKUP(A70,'FERC 2021'!$A$3:$BF$221,58,0)</f>
        <v>0</v>
      </c>
      <c r="F70" s="239">
        <f>VLOOKUP(A70,'FERC 2022'!$A$3:$BE$220,57,0)</f>
        <v>0</v>
      </c>
      <c r="G70" s="239">
        <f>VLOOKUP(A70,'FERC 2022'!$A$3:$BF$220,58,0)</f>
        <v>0</v>
      </c>
      <c r="H70" s="239">
        <f>VLOOKUP(A70,'FERC 2023'!$A$3:$BE$221,57,0)</f>
        <v>0</v>
      </c>
      <c r="I70" s="239">
        <f>VLOOKUP(A70,'FERC 2023'!$A$3:$BF$221,58,0)</f>
        <v>0</v>
      </c>
      <c r="J70" s="7"/>
      <c r="K70" s="7"/>
      <c r="L70" s="7"/>
      <c r="M70" s="187" t="str">
        <f t="shared" si="0"/>
        <v/>
      </c>
      <c r="N70" s="187" t="str">
        <f t="shared" si="1"/>
        <v/>
      </c>
      <c r="O70" s="187" t="str">
        <f t="shared" si="2"/>
        <v/>
      </c>
      <c r="P70" s="7"/>
      <c r="Q70" s="240" t="str">
        <f t="shared" si="3"/>
        <v>-</v>
      </c>
      <c r="R70" s="189" t="str">
        <f t="shared" ref="R70:T70" si="193">IF(ISERROR(R$5-365*$Q70),"-",MONTH(R$5-365*$Q70)&amp;"_"&amp;YEAR(R$5-365*$Q70))</f>
        <v>-</v>
      </c>
      <c r="S70" s="189" t="str">
        <f t="shared" si="193"/>
        <v>-</v>
      </c>
      <c r="T70" s="189" t="str">
        <f t="shared" si="193"/>
        <v>-</v>
      </c>
      <c r="U70" s="7"/>
      <c r="V70" s="7"/>
      <c r="W70" s="190" t="str">
        <f>IF(R70="-","-",VLOOKUP(R70,'CPI USA'!$T:$U,2,FALSE))</f>
        <v>-</v>
      </c>
      <c r="X70" s="190" t="str">
        <f>IF(S70="-","-",VLOOKUP(S70,'CPI USA'!$T:$U,2,FALSE))</f>
        <v>-</v>
      </c>
      <c r="Y70" s="190" t="str">
        <f>IF(T70="-","-",VLOOKUP(T70,'CPI USA'!$T:$U,2,FALSE))</f>
        <v>-</v>
      </c>
      <c r="Z70" s="7"/>
      <c r="AA70" s="7"/>
      <c r="AB70" s="190" t="str">
        <f>IF(R70="-","-",VLOOKUP(R70,'PPI USA'!$S:$T,2,FALSE))</f>
        <v>-</v>
      </c>
      <c r="AC70" s="190" t="str">
        <f>IF(S70="-","-",VLOOKUP(S70,'PPI USA'!$S:$T,2,FALSE))</f>
        <v>-</v>
      </c>
      <c r="AD70" s="190" t="str">
        <f>IF(T70="-","-",VLOOKUP(T70,'PPI USA'!$S:$T,2,FALSE))</f>
        <v>-</v>
      </c>
      <c r="AE70" s="7"/>
      <c r="AF70" s="7"/>
      <c r="AG70" s="190" t="str">
        <f t="shared" ref="AG70:AI70" si="194">IF(W70="-","-",(AT70*$B$2/W70+(1-AT70)*AVERAGE($B$2,$B$3)/AVERAGE(W70,AB70)))</f>
        <v>-</v>
      </c>
      <c r="AH70" s="190" t="str">
        <f t="shared" si="194"/>
        <v>-</v>
      </c>
      <c r="AI70" s="190" t="str">
        <f t="shared" si="194"/>
        <v>-</v>
      </c>
      <c r="AJ70" s="7"/>
      <c r="AK70" s="7"/>
      <c r="AL70" s="190" t="str">
        <f t="shared" ref="AL70:AN70" si="195">IF(W70="-","-",(AY70*$B$2/W70+(1-AY70)*AVERAGE($B$2,$B$3)/AVERAGE(W70,AB70)))</f>
        <v>-</v>
      </c>
      <c r="AM70" s="190" t="str">
        <f t="shared" si="195"/>
        <v>-</v>
      </c>
      <c r="AN70" s="190" t="str">
        <f t="shared" si="195"/>
        <v>-</v>
      </c>
      <c r="AO70" s="7"/>
      <c r="AP70" s="7"/>
      <c r="AQ70" s="7"/>
      <c r="AR70" s="7"/>
      <c r="AS70" s="7"/>
      <c r="AT70" s="242" t="str">
        <f>IF(R70="-","-",VLOOKUP(R70,'CPI USA'!$T:$V,3,FALSE))</f>
        <v>-</v>
      </c>
      <c r="AU70" s="242" t="str">
        <f>IF(S70="-","-",VLOOKUP(S70,'CPI USA'!$T:$V,3,FALSE))</f>
        <v>-</v>
      </c>
      <c r="AV70" s="242" t="str">
        <f>IF(T70="-","-",VLOOKUP(T70,'CPI USA'!$T:$V,3,FALSE))</f>
        <v>-</v>
      </c>
      <c r="AW70" s="7"/>
      <c r="AX70" s="7"/>
      <c r="AY70" s="242" t="str">
        <f>IF(R70="-","-",VLOOKUP(R70,'CPI USA'!$T:$X,5,FALSE))</f>
        <v>-</v>
      </c>
      <c r="AZ70" s="242" t="str">
        <f>IF(S70="-","-",VLOOKUP(S70,'CPI USA'!$T:$X,5,FALSE))</f>
        <v>-</v>
      </c>
      <c r="BA70" s="242" t="str">
        <f>IF(T70="-","-",VLOOKUP(T70,'CPI USA'!$T:$X,5,FALSE))</f>
        <v>-</v>
      </c>
      <c r="BB70" s="7"/>
    </row>
    <row r="71" spans="1:54" ht="15.75" customHeight="1">
      <c r="A71" s="185" t="s">
        <v>402</v>
      </c>
      <c r="B71" s="185" t="s">
        <v>403</v>
      </c>
      <c r="C71" s="239">
        <f>+'Empresas 21-23'!J66</f>
        <v>0</v>
      </c>
      <c r="D71" s="239">
        <f>VLOOKUP(A71,'FERC 2021'!$A$3:$BE$221,57,0)</f>
        <v>3515739153</v>
      </c>
      <c r="E71" s="239">
        <f>VLOOKUP(A71,'FERC 2021'!$A$3:$BF$221,58,0)</f>
        <v>317767256</v>
      </c>
      <c r="F71" s="239">
        <f>VLOOKUP(A71,'FERC 2022'!$A$3:$BE$220,57,0)</f>
        <v>3709959102</v>
      </c>
      <c r="G71" s="239">
        <f>VLOOKUP(A71,'FERC 2022'!$A$3:$BF$220,58,0)</f>
        <v>353103729</v>
      </c>
      <c r="H71" s="239">
        <f>VLOOKUP(A71,'FERC 2023'!$A$3:$BE$221,57,0)</f>
        <v>3953158673</v>
      </c>
      <c r="I71" s="239">
        <f>VLOOKUP(A71,'FERC 2023'!$A$3:$BF$221,58,0)</f>
        <v>402402145</v>
      </c>
      <c r="J71" s="7"/>
      <c r="K71" s="7"/>
      <c r="L71" s="7"/>
      <c r="M71" s="187">
        <f t="shared" si="0"/>
        <v>11.063881147653552</v>
      </c>
      <c r="N71" s="187">
        <f t="shared" si="1"/>
        <v>10.50671176004488</v>
      </c>
      <c r="O71" s="187">
        <f t="shared" si="2"/>
        <v>9.823900598243581</v>
      </c>
      <c r="P71" s="7"/>
      <c r="Q71" s="240">
        <f t="shared" si="3"/>
        <v>10.464831168647338</v>
      </c>
      <c r="R71" s="189" t="str">
        <f t="shared" ref="R71:T71" si="196">IF(ISERROR(R$5-365*$Q71),"-",MONTH(R$5-365*$Q71)&amp;"_"&amp;YEAR(R$5-365*$Q71))</f>
        <v>7_2011</v>
      </c>
      <c r="S71" s="189" t="str">
        <f t="shared" si="196"/>
        <v>7_2012</v>
      </c>
      <c r="T71" s="189" t="str">
        <f t="shared" si="196"/>
        <v>7_2013</v>
      </c>
      <c r="U71" s="7"/>
      <c r="V71" s="7"/>
      <c r="W71" s="190">
        <f>IF(R71="-","-",VLOOKUP(R71,'CPI USA'!$T:$U,2,FALSE))</f>
        <v>224.93899999999999</v>
      </c>
      <c r="X71" s="190">
        <f>IF(S71="-","-",VLOOKUP(S71,'CPI USA'!$T:$U,2,FALSE))</f>
        <v>229.59399999999999</v>
      </c>
      <c r="Y71" s="190">
        <f>IF(T71="-","-",VLOOKUP(T71,'CPI USA'!$T:$U,2,FALSE))</f>
        <v>233.596</v>
      </c>
      <c r="Z71" s="7"/>
      <c r="AA71" s="7"/>
      <c r="AB71" s="190">
        <f>IF(R71="-","-",VLOOKUP(R71,'PPI USA'!$S:$T,2,FALSE))</f>
        <v>169.6</v>
      </c>
      <c r="AC71" s="190">
        <f>IF(S71="-","-",VLOOKUP(S71,'PPI USA'!$S:$T,2,FALSE))</f>
        <v>175.1</v>
      </c>
      <c r="AD71" s="190">
        <f>IF(T71="-","-",VLOOKUP(T71,'PPI USA'!$S:$T,2,FALSE))</f>
        <v>176</v>
      </c>
      <c r="AE71" s="7"/>
      <c r="AF71" s="7"/>
      <c r="AG71" s="190">
        <f t="shared" ref="AG71:AI71" si="197">IF(W71="-","-",(AT71*$B$2/W71+(1-AT71)*AVERAGE($B$2,$B$3)/AVERAGE(W71,AB71)))</f>
        <v>1.4208751760332547</v>
      </c>
      <c r="AH71" s="190">
        <f t="shared" si="197"/>
        <v>1.3897894616766442</v>
      </c>
      <c r="AI71" s="190">
        <f t="shared" si="197"/>
        <v>1.3680354489709332</v>
      </c>
      <c r="AJ71" s="7"/>
      <c r="AK71" s="7"/>
      <c r="AL71" s="190">
        <f t="shared" ref="AL71:AN71" si="198">IF(W71="-","-",(AY71*$B$2/W71+(1-AY71)*AVERAGE($B$2,$B$3)/AVERAGE(W71,AB71)))</f>
        <v>1.4334111417560953</v>
      </c>
      <c r="AM71" s="190">
        <f t="shared" si="198"/>
        <v>1.4008620811189902</v>
      </c>
      <c r="AN71" s="190">
        <f t="shared" si="198"/>
        <v>1.3801391301464276</v>
      </c>
      <c r="AO71" s="7"/>
      <c r="AP71" s="7"/>
      <c r="AQ71" s="7"/>
      <c r="AR71" s="7"/>
      <c r="AS71" s="7"/>
      <c r="AT71" s="242">
        <f>IF(R71="-","-",VLOOKUP(R71,'CPI USA'!$T:$V,3,FALSE))</f>
        <v>0.6684022975047168</v>
      </c>
      <c r="AU71" s="242">
        <f>IF(S71="-","-",VLOOKUP(S71,'CPI USA'!$T:$V,3,FALSE))</f>
        <v>0.66730871354337351</v>
      </c>
      <c r="AV71" s="242">
        <f>IF(T71="-","-",VLOOKUP(T71,'CPI USA'!$T:$V,3,FALSE))</f>
        <v>0.67305131835944076</v>
      </c>
      <c r="AW71" s="7"/>
      <c r="AX71" s="7"/>
      <c r="AY71" s="242">
        <f>IF(R71="-","-",VLOOKUP(R71,'CPI USA'!$T:$X,5,FALSE))</f>
        <v>0.49636791791307899</v>
      </c>
      <c r="AZ71" s="242">
        <f>IF(S71="-","-",VLOOKUP(S71,'CPI USA'!$T:$X,5,FALSE))</f>
        <v>0.49513551903851311</v>
      </c>
      <c r="BA71" s="242">
        <f>IF(T71="-","-",VLOOKUP(T71,'CPI USA'!$T:$X,5,FALSE))</f>
        <v>0.50163050295255052</v>
      </c>
      <c r="BB71" s="7"/>
    </row>
    <row r="72" spans="1:54" ht="15.75" customHeight="1">
      <c r="A72" s="185" t="s">
        <v>405</v>
      </c>
      <c r="B72" s="185" t="s">
        <v>406</v>
      </c>
      <c r="C72" s="239">
        <f>+'Empresas 21-23'!J67</f>
        <v>0</v>
      </c>
      <c r="D72" s="239">
        <f>VLOOKUP(A72,'FERC 2021'!$A$3:$BE$221,57,0)</f>
        <v>774713200</v>
      </c>
      <c r="E72" s="239">
        <f>VLOOKUP(A72,'FERC 2021'!$A$3:$BF$221,58,0)</f>
        <v>59253928</v>
      </c>
      <c r="F72" s="239">
        <f>VLOOKUP(A72,'FERC 2022'!$A$3:$BE$220,57,0)</f>
        <v>817886377</v>
      </c>
      <c r="G72" s="239">
        <f>VLOOKUP(A72,'FERC 2022'!$A$3:$BF$220,58,0)</f>
        <v>61898675</v>
      </c>
      <c r="H72" s="239">
        <f>VLOOKUP(A72,'FERC 2023'!$A$3:$BE$221,57,0)</f>
        <v>875087017</v>
      </c>
      <c r="I72" s="239">
        <f>VLOOKUP(A72,'FERC 2023'!$A$3:$BF$221,58,0)</f>
        <v>68138343</v>
      </c>
      <c r="J72" s="7"/>
      <c r="K72" s="7"/>
      <c r="L72" s="7"/>
      <c r="M72" s="187">
        <f t="shared" si="0"/>
        <v>13.074461493928302</v>
      </c>
      <c r="N72" s="187">
        <f t="shared" si="1"/>
        <v>13.213309929493644</v>
      </c>
      <c r="O72" s="187">
        <f t="shared" si="2"/>
        <v>12.842798613403323</v>
      </c>
      <c r="P72" s="7"/>
      <c r="Q72" s="240">
        <f t="shared" si="3"/>
        <v>13.043523345608422</v>
      </c>
      <c r="R72" s="189" t="str">
        <f t="shared" ref="R72:T72" si="199">IF(ISERROR(R$5-365*$Q72),"-",MONTH(R$5-365*$Q72)&amp;"_"&amp;YEAR(R$5-365*$Q72))</f>
        <v>12_2008</v>
      </c>
      <c r="S72" s="189" t="str">
        <f t="shared" si="199"/>
        <v>12_2009</v>
      </c>
      <c r="T72" s="189" t="str">
        <f t="shared" si="199"/>
        <v>12_2010</v>
      </c>
      <c r="U72" s="7"/>
      <c r="V72" s="7"/>
      <c r="W72" s="190">
        <f>IF(R72="-","-",VLOOKUP(R72,'CPI USA'!$T:$U,2,FALSE))</f>
        <v>215.303</v>
      </c>
      <c r="X72" s="190">
        <f>IF(S72="-","-",VLOOKUP(S72,'CPI USA'!$T:$U,2,FALSE))</f>
        <v>214.53700000000001</v>
      </c>
      <c r="Y72" s="190">
        <f>IF(T72="-","-",VLOOKUP(T72,'CPI USA'!$T:$U,2,FALSE))</f>
        <v>218.05600000000001</v>
      </c>
      <c r="Z72" s="7"/>
      <c r="AA72" s="7"/>
      <c r="AB72" s="190">
        <f>IF(R72="-","-",VLOOKUP(R72,'PPI USA'!$S:$T,2,FALSE))</f>
        <v>159.30000000000001</v>
      </c>
      <c r="AC72" s="190">
        <f>IF(S72="-","-",VLOOKUP(S72,'PPI USA'!$S:$T,2,FALSE))</f>
        <v>159.1</v>
      </c>
      <c r="AD72" s="190">
        <f>IF(T72="-","-",VLOOKUP(T72,'PPI USA'!$S:$T,2,FALSE))</f>
        <v>160.80000000000001</v>
      </c>
      <c r="AE72" s="7"/>
      <c r="AF72" s="7"/>
      <c r="AG72" s="190">
        <f t="shared" ref="AG72:AI72" si="200">IF(W72="-","-",(AT72*$B$2/W72+(1-AT72)*AVERAGE($B$2,$B$3)/AVERAGE(W72,AB72)))</f>
        <v>1.4884333659448254</v>
      </c>
      <c r="AH72" s="190">
        <f t="shared" si="200"/>
        <v>1.4932638886873792</v>
      </c>
      <c r="AI72" s="190">
        <f t="shared" si="200"/>
        <v>1.4703278680244813</v>
      </c>
      <c r="AJ72" s="7"/>
      <c r="AK72" s="7"/>
      <c r="AL72" s="190">
        <f t="shared" ref="AL72:AN72" si="201">IF(W72="-","-",(AY72*$B$2/W72+(1-AY72)*AVERAGE($B$2,$B$3)/AVERAGE(W72,AB72)))</f>
        <v>1.5036496327119213</v>
      </c>
      <c r="AM72" s="190">
        <f t="shared" si="201"/>
        <v>1.5082750176818205</v>
      </c>
      <c r="AN72" s="190">
        <f t="shared" si="201"/>
        <v>1.4857204383544427</v>
      </c>
      <c r="AO72" s="7"/>
      <c r="AP72" s="7"/>
      <c r="AQ72" s="7"/>
      <c r="AR72" s="7"/>
      <c r="AS72" s="7"/>
      <c r="AT72" s="242">
        <f>IF(R72="-","-",VLOOKUP(R72,'CPI USA'!$T:$V,3,FALSE))</f>
        <v>0.67018812038291731</v>
      </c>
      <c r="AU72" s="242">
        <f>IF(S72="-","-",VLOOKUP(S72,'CPI USA'!$T:$V,3,FALSE))</f>
        <v>0.66997101349938215</v>
      </c>
      <c r="AV72" s="242">
        <f>IF(T72="-","-",VLOOKUP(T72,'CPI USA'!$T:$V,3,FALSE))</f>
        <v>0.67050107279443949</v>
      </c>
      <c r="AW72" s="7"/>
      <c r="AX72" s="7"/>
      <c r="AY72" s="242">
        <f>IF(R72="-","-",VLOOKUP(R72,'CPI USA'!$T:$X,5,FALSE))</f>
        <v>0.49838492968660258</v>
      </c>
      <c r="AZ72" s="242">
        <f>IF(S72="-","-",VLOOKUP(S72,'CPI USA'!$T:$X,5,FALSE))</f>
        <v>0.49813941766071862</v>
      </c>
      <c r="BA72" s="242">
        <f>IF(T72="-","-",VLOOKUP(T72,'CPI USA'!$T:$X,5,FALSE))</f>
        <v>0.4987389730136107</v>
      </c>
      <c r="BB72" s="7"/>
    </row>
    <row r="73" spans="1:54" ht="15.75" customHeight="1">
      <c r="A73" s="185" t="s">
        <v>408</v>
      </c>
      <c r="B73" s="185" t="s">
        <v>409</v>
      </c>
      <c r="C73" s="239">
        <f>+'Empresas 21-23'!J68</f>
        <v>0</v>
      </c>
      <c r="D73" s="239">
        <f>VLOOKUP(A73,'FERC 2021'!$A$3:$BE$221,57,0)</f>
        <v>875545600</v>
      </c>
      <c r="E73" s="239">
        <f>VLOOKUP(A73,'FERC 2021'!$A$3:$BF$221,58,0)</f>
        <v>73191684</v>
      </c>
      <c r="F73" s="239">
        <f>VLOOKUP(A73,'FERC 2022'!$A$3:$BE$220,57,0)</f>
        <v>935612261</v>
      </c>
      <c r="G73" s="239">
        <f>VLOOKUP(A73,'FERC 2022'!$A$3:$BF$220,58,0)</f>
        <v>76501108</v>
      </c>
      <c r="H73" s="239">
        <f>VLOOKUP(A73,'FERC 2023'!$A$3:$BE$221,57,0)</f>
        <v>1010035824</v>
      </c>
      <c r="I73" s="239">
        <f>VLOOKUP(A73,'FERC 2023'!$A$3:$BF$221,58,0)</f>
        <v>81474563</v>
      </c>
      <c r="J73" s="7"/>
      <c r="K73" s="7"/>
      <c r="L73" s="7"/>
      <c r="M73" s="187">
        <f t="shared" si="0"/>
        <v>11.96236446752612</v>
      </c>
      <c r="N73" s="187">
        <f t="shared" si="1"/>
        <v>12.2300484981211</v>
      </c>
      <c r="O73" s="187">
        <f t="shared" si="2"/>
        <v>12.396946811485199</v>
      </c>
      <c r="P73" s="7"/>
      <c r="Q73" s="240">
        <f t="shared" si="3"/>
        <v>12.196453259044141</v>
      </c>
      <c r="R73" s="189" t="str">
        <f t="shared" ref="R73:T73" si="202">IF(ISERROR(R$5-365*$Q73),"-",MONTH(R$5-365*$Q73)&amp;"_"&amp;YEAR(R$5-365*$Q73))</f>
        <v>10_2009</v>
      </c>
      <c r="S73" s="189" t="str">
        <f t="shared" si="202"/>
        <v>10_2010</v>
      </c>
      <c r="T73" s="189" t="str">
        <f t="shared" si="202"/>
        <v>10_2011</v>
      </c>
      <c r="U73" s="7"/>
      <c r="V73" s="7"/>
      <c r="W73" s="190">
        <f>IF(R73="-","-",VLOOKUP(R73,'CPI USA'!$T:$U,2,FALSE))</f>
        <v>214.53700000000001</v>
      </c>
      <c r="X73" s="190">
        <f>IF(S73="-","-",VLOOKUP(S73,'CPI USA'!$T:$U,2,FALSE))</f>
        <v>218.05600000000001</v>
      </c>
      <c r="Y73" s="190">
        <f>IF(T73="-","-",VLOOKUP(T73,'CPI USA'!$T:$U,2,FALSE))</f>
        <v>224.93899999999999</v>
      </c>
      <c r="Z73" s="7"/>
      <c r="AA73" s="7"/>
      <c r="AB73" s="190">
        <f>IF(R73="-","-",VLOOKUP(R73,'PPI USA'!$S:$T,2,FALSE))</f>
        <v>159.1</v>
      </c>
      <c r="AC73" s="190">
        <f>IF(S73="-","-",VLOOKUP(S73,'PPI USA'!$S:$T,2,FALSE))</f>
        <v>160.80000000000001</v>
      </c>
      <c r="AD73" s="190">
        <f>IF(T73="-","-",VLOOKUP(T73,'PPI USA'!$S:$T,2,FALSE))</f>
        <v>169.6</v>
      </c>
      <c r="AE73" s="7"/>
      <c r="AF73" s="7"/>
      <c r="AG73" s="190">
        <f t="shared" ref="AG73:AI73" si="203">IF(W73="-","-",(AT73*$B$2/W73+(1-AT73)*AVERAGE($B$2,$B$3)/AVERAGE(W73,AB73)))</f>
        <v>1.4932638886873792</v>
      </c>
      <c r="AH73" s="190">
        <f t="shared" si="203"/>
        <v>1.4703278680244813</v>
      </c>
      <c r="AI73" s="190">
        <f t="shared" si="203"/>
        <v>1.4208751760332547</v>
      </c>
      <c r="AJ73" s="7"/>
      <c r="AK73" s="7"/>
      <c r="AL73" s="190">
        <f t="shared" ref="AL73:AN73" si="204">IF(W73="-","-",(AY73*$B$2/W73+(1-AY73)*AVERAGE($B$2,$B$3)/AVERAGE(W73,AB73)))</f>
        <v>1.5082750176818205</v>
      </c>
      <c r="AM73" s="190">
        <f t="shared" si="204"/>
        <v>1.4857204383544427</v>
      </c>
      <c r="AN73" s="190">
        <f t="shared" si="204"/>
        <v>1.4334111417560953</v>
      </c>
      <c r="AO73" s="7"/>
      <c r="AP73" s="7"/>
      <c r="AQ73" s="7"/>
      <c r="AR73" s="7"/>
      <c r="AS73" s="7"/>
      <c r="AT73" s="242">
        <f>IF(R73="-","-",VLOOKUP(R73,'CPI USA'!$T:$V,3,FALSE))</f>
        <v>0.66997101349938215</v>
      </c>
      <c r="AU73" s="242">
        <f>IF(S73="-","-",VLOOKUP(S73,'CPI USA'!$T:$V,3,FALSE))</f>
        <v>0.67050107279443949</v>
      </c>
      <c r="AV73" s="242">
        <f>IF(T73="-","-",VLOOKUP(T73,'CPI USA'!$T:$V,3,FALSE))</f>
        <v>0.6684022975047168</v>
      </c>
      <c r="AW73" s="7"/>
      <c r="AX73" s="7"/>
      <c r="AY73" s="242">
        <f>IF(R73="-","-",VLOOKUP(R73,'CPI USA'!$T:$X,5,FALSE))</f>
        <v>0.49813941766071862</v>
      </c>
      <c r="AZ73" s="242">
        <f>IF(S73="-","-",VLOOKUP(S73,'CPI USA'!$T:$X,5,FALSE))</f>
        <v>0.4987389730136107</v>
      </c>
      <c r="BA73" s="242">
        <f>IF(T73="-","-",VLOOKUP(T73,'CPI USA'!$T:$X,5,FALSE))</f>
        <v>0.49636791791307899</v>
      </c>
      <c r="BB73" s="7"/>
    </row>
    <row r="74" spans="1:54" ht="15.75" customHeight="1">
      <c r="A74" s="185" t="s">
        <v>411</v>
      </c>
      <c r="B74" s="185" t="s">
        <v>412</v>
      </c>
      <c r="C74" s="239">
        <f>+'Empresas 21-23'!J69</f>
        <v>0</v>
      </c>
      <c r="D74" s="239">
        <f>VLOOKUP(A74,'FERC 2021'!$A$3:$BE$221,57,0)</f>
        <v>3176203911</v>
      </c>
      <c r="E74" s="239">
        <f>VLOOKUP(A74,'FERC 2021'!$A$3:$BF$221,58,0)</f>
        <v>194173509</v>
      </c>
      <c r="F74" s="239">
        <f>VLOOKUP(A74,'FERC 2022'!$A$3:$BE$220,57,0)</f>
        <v>3284133869</v>
      </c>
      <c r="G74" s="239">
        <f>VLOOKUP(A74,'FERC 2022'!$A$3:$BF$220,58,0)</f>
        <v>193470414</v>
      </c>
      <c r="H74" s="239">
        <f>VLOOKUP(A74,'FERC 2023'!$A$3:$BE$221,57,0)</f>
        <v>3383430383</v>
      </c>
      <c r="I74" s="239">
        <f>VLOOKUP(A74,'FERC 2023'!$A$3:$BF$221,58,0)</f>
        <v>210688354</v>
      </c>
      <c r="J74" s="7"/>
      <c r="K74" s="7"/>
      <c r="L74" s="7"/>
      <c r="M74" s="187">
        <f t="shared" si="0"/>
        <v>16.357555298647871</v>
      </c>
      <c r="N74" s="187">
        <f t="shared" si="1"/>
        <v>16.974863500317934</v>
      </c>
      <c r="O74" s="187">
        <f t="shared" si="2"/>
        <v>16.058934054798303</v>
      </c>
      <c r="P74" s="7"/>
      <c r="Q74" s="240">
        <f t="shared" si="3"/>
        <v>16.463784284588034</v>
      </c>
      <c r="R74" s="189" t="str">
        <f t="shared" ref="R74:T74" si="205">IF(ISERROR(R$5-365*$Q74),"-",MONTH(R$5-365*$Q74)&amp;"_"&amp;YEAR(R$5-365*$Q74))</f>
        <v>7_2005</v>
      </c>
      <c r="S74" s="189" t="str">
        <f t="shared" si="205"/>
        <v>7_2006</v>
      </c>
      <c r="T74" s="189" t="str">
        <f t="shared" si="205"/>
        <v>7_2007</v>
      </c>
      <c r="U74" s="7"/>
      <c r="V74" s="7"/>
      <c r="W74" s="190">
        <f>IF(R74="-","-",VLOOKUP(R74,'CPI USA'!$T:$U,2,FALSE))</f>
        <v>195.3</v>
      </c>
      <c r="X74" s="190">
        <f>IF(S74="-","-",VLOOKUP(S74,'CPI USA'!$T:$U,2,FALSE))</f>
        <v>201.6</v>
      </c>
      <c r="Y74" s="190">
        <f>IF(T74="-","-",VLOOKUP(T74,'CPI USA'!$T:$U,2,FALSE))</f>
        <v>207.34200000000001</v>
      </c>
      <c r="Z74" s="7"/>
      <c r="AA74" s="7"/>
      <c r="AB74" s="190">
        <f>IF(R74="-","-",VLOOKUP(R74,'PPI USA'!$S:$T,2,FALSE))</f>
        <v>131.30000000000001</v>
      </c>
      <c r="AC74" s="190">
        <f>IF(S74="-","-",VLOOKUP(S74,'PPI USA'!$S:$T,2,FALSE))</f>
        <v>145.30000000000001</v>
      </c>
      <c r="AD74" s="190">
        <f>IF(T74="-","-",VLOOKUP(T74,'PPI USA'!$S:$T,2,FALSE))</f>
        <v>151.69999999999999</v>
      </c>
      <c r="AE74" s="7"/>
      <c r="AF74" s="7"/>
      <c r="AG74" s="190">
        <f t="shared" ref="AG74:AI74" si="206">IF(W74="-","-",(AT74*$B$2/W74+(1-AT74)*AVERAGE($B$2,$B$3)/AVERAGE(W74,AB74)))</f>
        <v>1.6621774217199745</v>
      </c>
      <c r="AH74" s="190">
        <f t="shared" si="206"/>
        <v>1.595396421204319</v>
      </c>
      <c r="AI74" s="190">
        <f t="shared" si="206"/>
        <v>1.5480022216582647</v>
      </c>
      <c r="AJ74" s="7"/>
      <c r="AK74" s="7"/>
      <c r="AL74" s="190">
        <f t="shared" ref="AL74:AN74" si="207">IF(W74="-","-",(AY74*$B$2/W74+(1-AY74)*AVERAGE($B$2,$B$3)/AVERAGE(W74,AB74)))</f>
        <v>1.6905992787819408</v>
      </c>
      <c r="AM74" s="190">
        <f t="shared" si="207"/>
        <v>1.6147712829199015</v>
      </c>
      <c r="AN74" s="190">
        <f t="shared" si="207"/>
        <v>1.5651038394149617</v>
      </c>
      <c r="AO74" s="7"/>
      <c r="AP74" s="7"/>
      <c r="AQ74" s="7"/>
      <c r="AR74" s="7"/>
      <c r="AS74" s="7"/>
      <c r="AT74" s="242">
        <f>IF(R74="-","-",VLOOKUP(R74,'CPI USA'!$T:$V,3,FALSE))</f>
        <v>0.67888602568792966</v>
      </c>
      <c r="AU74" s="242">
        <f>IF(S74="-","-",VLOOKUP(S74,'CPI USA'!$T:$V,3,FALSE))</f>
        <v>0.67263024008352756</v>
      </c>
      <c r="AV74" s="242">
        <f>IF(T74="-","-",VLOOKUP(T74,'CPI USA'!$T:$V,3,FALSE))</f>
        <v>0.67123734379962852</v>
      </c>
      <c r="AW74" s="7"/>
      <c r="AX74" s="7"/>
      <c r="AY74" s="242">
        <f>IF(R74="-","-",VLOOKUP(R74,'CPI USA'!$T:$X,5,FALSE))</f>
        <v>0.50828944385363772</v>
      </c>
      <c r="AZ74" s="242">
        <f>IF(S74="-","-",VLOOKUP(S74,'CPI USA'!$T:$X,5,FALSE))</f>
        <v>0.50115228263529643</v>
      </c>
      <c r="BA74" s="242">
        <f>IF(T74="-","-",VLOOKUP(T74,'CPI USA'!$T:$X,5,FALSE))</f>
        <v>0.49957259686190569</v>
      </c>
      <c r="BB74" s="7"/>
    </row>
    <row r="75" spans="1:54" ht="15.75" customHeight="1">
      <c r="A75" s="185" t="s">
        <v>414</v>
      </c>
      <c r="B75" s="185" t="s">
        <v>415</v>
      </c>
      <c r="C75" s="239">
        <f>+'Empresas 21-23'!J70</f>
        <v>0</v>
      </c>
      <c r="D75" s="239">
        <f>VLOOKUP(A75,'FERC 2021'!$A$3:$BE$221,57,0)</f>
        <v>3389404852</v>
      </c>
      <c r="E75" s="239">
        <f>VLOOKUP(A75,'FERC 2021'!$A$3:$BF$221,58,0)</f>
        <v>246767836</v>
      </c>
      <c r="F75" s="239">
        <f>VLOOKUP(A75,'FERC 2022'!$A$3:$BE$220,57,0)</f>
        <v>3535955792</v>
      </c>
      <c r="G75" s="239">
        <f>VLOOKUP(A75,'FERC 2022'!$A$3:$BF$220,58,0)</f>
        <v>255506170</v>
      </c>
      <c r="H75" s="239">
        <f>VLOOKUP(A75,'FERC 2023'!$A$3:$BE$221,57,0)</f>
        <v>3688983192</v>
      </c>
      <c r="I75" s="239">
        <f>VLOOKUP(A75,'FERC 2023'!$A$3:$BF$221,58,0)</f>
        <v>255633562</v>
      </c>
      <c r="J75" s="7"/>
      <c r="K75" s="7"/>
      <c r="L75" s="7"/>
      <c r="M75" s="187">
        <f t="shared" si="0"/>
        <v>13.735197045696021</v>
      </c>
      <c r="N75" s="187">
        <f t="shared" si="1"/>
        <v>13.839023112435994</v>
      </c>
      <c r="O75" s="187">
        <f t="shared" si="2"/>
        <v>14.430746742088584</v>
      </c>
      <c r="P75" s="7"/>
      <c r="Q75" s="240">
        <f t="shared" si="3"/>
        <v>14.001655633406864</v>
      </c>
      <c r="R75" s="189" t="str">
        <f t="shared" ref="R75:T75" si="208">IF(ISERROR(R$5-365*$Q75),"-",MONTH(R$5-365*$Q75)&amp;"_"&amp;YEAR(R$5-365*$Q75))</f>
        <v>1_2008</v>
      </c>
      <c r="S75" s="189" t="str">
        <f t="shared" si="208"/>
        <v>1_2009</v>
      </c>
      <c r="T75" s="189" t="str">
        <f t="shared" si="208"/>
        <v>1_2010</v>
      </c>
      <c r="U75" s="7"/>
      <c r="V75" s="7"/>
      <c r="W75" s="190">
        <f>IF(R75="-","-",VLOOKUP(R75,'CPI USA'!$T:$U,2,FALSE))</f>
        <v>215.303</v>
      </c>
      <c r="X75" s="190">
        <f>IF(S75="-","-",VLOOKUP(S75,'CPI USA'!$T:$U,2,FALSE))</f>
        <v>214.53700000000001</v>
      </c>
      <c r="Y75" s="190">
        <f>IF(T75="-","-",VLOOKUP(T75,'CPI USA'!$T:$U,2,FALSE))</f>
        <v>218.05600000000001</v>
      </c>
      <c r="Z75" s="7"/>
      <c r="AA75" s="7"/>
      <c r="AB75" s="190">
        <f>IF(R75="-","-",VLOOKUP(R75,'PPI USA'!$S:$T,2,FALSE))</f>
        <v>159.30000000000001</v>
      </c>
      <c r="AC75" s="190">
        <f>IF(S75="-","-",VLOOKUP(S75,'PPI USA'!$S:$T,2,FALSE))</f>
        <v>159.1</v>
      </c>
      <c r="AD75" s="190">
        <f>IF(T75="-","-",VLOOKUP(T75,'PPI USA'!$S:$T,2,FALSE))</f>
        <v>160.80000000000001</v>
      </c>
      <c r="AE75" s="7"/>
      <c r="AF75" s="7"/>
      <c r="AG75" s="190">
        <f t="shared" ref="AG75:AI75" si="209">IF(W75="-","-",(AT75*$B$2/W75+(1-AT75)*AVERAGE($B$2,$B$3)/AVERAGE(W75,AB75)))</f>
        <v>1.4884333659448254</v>
      </c>
      <c r="AH75" s="190">
        <f t="shared" si="209"/>
        <v>1.4932638886873792</v>
      </c>
      <c r="AI75" s="190">
        <f t="shared" si="209"/>
        <v>1.4703278680244813</v>
      </c>
      <c r="AJ75" s="7"/>
      <c r="AK75" s="7"/>
      <c r="AL75" s="190">
        <f t="shared" ref="AL75:AN75" si="210">IF(W75="-","-",(AY75*$B$2/W75+(1-AY75)*AVERAGE($B$2,$B$3)/AVERAGE(W75,AB75)))</f>
        <v>1.5036496327119213</v>
      </c>
      <c r="AM75" s="190">
        <f t="shared" si="210"/>
        <v>1.5082750176818205</v>
      </c>
      <c r="AN75" s="190">
        <f t="shared" si="210"/>
        <v>1.4857204383544427</v>
      </c>
      <c r="AO75" s="7"/>
      <c r="AP75" s="7"/>
      <c r="AQ75" s="7"/>
      <c r="AR75" s="7"/>
      <c r="AS75" s="7"/>
      <c r="AT75" s="242">
        <f>IF(R75="-","-",VLOOKUP(R75,'CPI USA'!$T:$V,3,FALSE))</f>
        <v>0.67018812038291731</v>
      </c>
      <c r="AU75" s="242">
        <f>IF(S75="-","-",VLOOKUP(S75,'CPI USA'!$T:$V,3,FALSE))</f>
        <v>0.66997101349938215</v>
      </c>
      <c r="AV75" s="242">
        <f>IF(T75="-","-",VLOOKUP(T75,'CPI USA'!$T:$V,3,FALSE))</f>
        <v>0.67050107279443949</v>
      </c>
      <c r="AW75" s="7"/>
      <c r="AX75" s="7"/>
      <c r="AY75" s="242">
        <f>IF(R75="-","-",VLOOKUP(R75,'CPI USA'!$T:$X,5,FALSE))</f>
        <v>0.49838492968660258</v>
      </c>
      <c r="AZ75" s="242">
        <f>IF(S75="-","-",VLOOKUP(S75,'CPI USA'!$T:$X,5,FALSE))</f>
        <v>0.49813941766071862</v>
      </c>
      <c r="BA75" s="242">
        <f>IF(T75="-","-",VLOOKUP(T75,'CPI USA'!$T:$X,5,FALSE))</f>
        <v>0.4987389730136107</v>
      </c>
      <c r="BB75" s="7"/>
    </row>
    <row r="76" spans="1:54" ht="15.75" customHeight="1">
      <c r="A76" s="185" t="s">
        <v>417</v>
      </c>
      <c r="B76" s="185" t="s">
        <v>418</v>
      </c>
      <c r="C76" s="243">
        <f>+'Empresas 21-23'!J71</f>
        <v>0</v>
      </c>
      <c r="D76" s="239">
        <f>VLOOKUP(A76,'FERC 2021'!$A$3:$BE$221,57,0)</f>
        <v>0</v>
      </c>
      <c r="E76" s="239">
        <f>VLOOKUP(A76,'FERC 2021'!$A$3:$BF$221,58,0)</f>
        <v>0</v>
      </c>
      <c r="F76" s="239">
        <f>VLOOKUP(A76,'FERC 2022'!$A$3:$BE$220,57,0)</f>
        <v>0</v>
      </c>
      <c r="G76" s="239">
        <f>VLOOKUP(A76,'FERC 2022'!$A$3:$BF$220,58,0)</f>
        <v>0</v>
      </c>
      <c r="H76" s="239">
        <f>VLOOKUP(A76,'FERC 2023'!$A$3:$BE$221,57,0)</f>
        <v>0</v>
      </c>
      <c r="I76" s="239">
        <f>VLOOKUP(A76,'FERC 2023'!$A$3:$BF$221,58,0)</f>
        <v>0</v>
      </c>
      <c r="J76" s="7"/>
      <c r="K76" s="7"/>
      <c r="L76" s="7"/>
      <c r="M76" s="187" t="str">
        <f t="shared" si="0"/>
        <v/>
      </c>
      <c r="N76" s="187" t="str">
        <f t="shared" si="1"/>
        <v/>
      </c>
      <c r="O76" s="187" t="str">
        <f t="shared" si="2"/>
        <v/>
      </c>
      <c r="P76" s="7"/>
      <c r="Q76" s="240" t="str">
        <f t="shared" si="3"/>
        <v>-</v>
      </c>
      <c r="R76" s="189" t="str">
        <f t="shared" ref="R76:T76" si="211">IF(ISERROR(R$5-365*$Q76),"-",MONTH(R$5-365*$Q76)&amp;"_"&amp;YEAR(R$5-365*$Q76))</f>
        <v>-</v>
      </c>
      <c r="S76" s="189" t="str">
        <f t="shared" si="211"/>
        <v>-</v>
      </c>
      <c r="T76" s="189" t="str">
        <f t="shared" si="211"/>
        <v>-</v>
      </c>
      <c r="U76" s="7"/>
      <c r="V76" s="7"/>
      <c r="W76" s="190" t="str">
        <f>IF(R76="-","-",VLOOKUP(R76,'CPI USA'!$T:$U,2,FALSE))</f>
        <v>-</v>
      </c>
      <c r="X76" s="190" t="str">
        <f>IF(S76="-","-",VLOOKUP(S76,'CPI USA'!$T:$U,2,FALSE))</f>
        <v>-</v>
      </c>
      <c r="Y76" s="190" t="str">
        <f>IF(T76="-","-",VLOOKUP(T76,'CPI USA'!$T:$U,2,FALSE))</f>
        <v>-</v>
      </c>
      <c r="Z76" s="7"/>
      <c r="AA76" s="7"/>
      <c r="AB76" s="190" t="str">
        <f>IF(R76="-","-",VLOOKUP(R76,'PPI USA'!$S:$T,2,FALSE))</f>
        <v>-</v>
      </c>
      <c r="AC76" s="190" t="str">
        <f>IF(S76="-","-",VLOOKUP(S76,'PPI USA'!$S:$T,2,FALSE))</f>
        <v>-</v>
      </c>
      <c r="AD76" s="190" t="str">
        <f>IF(T76="-","-",VLOOKUP(T76,'PPI USA'!$S:$T,2,FALSE))</f>
        <v>-</v>
      </c>
      <c r="AE76" s="7"/>
      <c r="AF76" s="7"/>
      <c r="AG76" s="190" t="str">
        <f t="shared" ref="AG76:AI76" si="212">IF(W76="-","-",(AT76*$B$2/W76+(1-AT76)*AVERAGE($B$2,$B$3)/AVERAGE(W76,AB76)))</f>
        <v>-</v>
      </c>
      <c r="AH76" s="190" t="str">
        <f t="shared" si="212"/>
        <v>-</v>
      </c>
      <c r="AI76" s="190" t="str">
        <f t="shared" si="212"/>
        <v>-</v>
      </c>
      <c r="AJ76" s="7"/>
      <c r="AK76" s="7"/>
      <c r="AL76" s="190" t="str">
        <f t="shared" ref="AL76:AN76" si="213">IF(W76="-","-",(AY76*$B$2/W76+(1-AY76)*AVERAGE($B$2,$B$3)/AVERAGE(W76,AB76)))</f>
        <v>-</v>
      </c>
      <c r="AM76" s="190" t="str">
        <f t="shared" si="213"/>
        <v>-</v>
      </c>
      <c r="AN76" s="190" t="str">
        <f t="shared" si="213"/>
        <v>-</v>
      </c>
      <c r="AO76" s="7"/>
      <c r="AP76" s="7"/>
      <c r="AQ76" s="7"/>
      <c r="AR76" s="7"/>
      <c r="AS76" s="7"/>
      <c r="AT76" s="242" t="str">
        <f>IF(R76="-","-",VLOOKUP(R76,'CPI USA'!$T:$V,3,FALSE))</f>
        <v>-</v>
      </c>
      <c r="AU76" s="242" t="str">
        <f>IF(S76="-","-",VLOOKUP(S76,'CPI USA'!$T:$V,3,FALSE))</f>
        <v>-</v>
      </c>
      <c r="AV76" s="242" t="str">
        <f>IF(T76="-","-",VLOOKUP(T76,'CPI USA'!$T:$V,3,FALSE))</f>
        <v>-</v>
      </c>
      <c r="AW76" s="7"/>
      <c r="AX76" s="7"/>
      <c r="AY76" s="242" t="str">
        <f>IF(R76="-","-",VLOOKUP(R76,'CPI USA'!$T:$X,5,FALSE))</f>
        <v>-</v>
      </c>
      <c r="AZ76" s="242" t="str">
        <f>IF(S76="-","-",VLOOKUP(S76,'CPI USA'!$T:$X,5,FALSE))</f>
        <v>-</v>
      </c>
      <c r="BA76" s="242" t="str">
        <f>IF(T76="-","-",VLOOKUP(T76,'CPI USA'!$T:$X,5,FALSE))</f>
        <v>-</v>
      </c>
      <c r="BB76" s="7"/>
    </row>
    <row r="77" spans="1:54" ht="15.75" customHeight="1">
      <c r="A77" s="185" t="s">
        <v>420</v>
      </c>
      <c r="B77" s="185" t="s">
        <v>421</v>
      </c>
      <c r="C77" s="239">
        <f>+'Empresas 21-23'!J72</f>
        <v>0</v>
      </c>
      <c r="D77" s="239">
        <f>VLOOKUP(A77,'FERC 2021'!$A$3:$BE$221,57,0)</f>
        <v>366373478</v>
      </c>
      <c r="E77" s="239">
        <f>VLOOKUP(A77,'FERC 2021'!$A$3:$BF$221,58,0)</f>
        <v>41017812</v>
      </c>
      <c r="F77" s="239">
        <f>VLOOKUP(A77,'FERC 2022'!$A$3:$BE$220,57,0)</f>
        <v>366804352</v>
      </c>
      <c r="G77" s="239">
        <f>VLOOKUP(A77,'FERC 2022'!$A$3:$BF$220,58,0)</f>
        <v>42817355</v>
      </c>
      <c r="H77" s="239">
        <f>VLOOKUP(A77,'FERC 2023'!$A$3:$BE$221,57,0)</f>
        <v>362711540</v>
      </c>
      <c r="I77" s="239">
        <f>VLOOKUP(A77,'FERC 2023'!$A$3:$BF$221,58,0)</f>
        <v>44438320</v>
      </c>
      <c r="J77" s="7"/>
      <c r="K77" s="7"/>
      <c r="L77" s="7"/>
      <c r="M77" s="187">
        <f t="shared" si="0"/>
        <v>8.9320580532184408</v>
      </c>
      <c r="N77" s="187">
        <f t="shared" si="1"/>
        <v>8.5667214147160653</v>
      </c>
      <c r="O77" s="187">
        <f t="shared" si="2"/>
        <v>8.1621343921192349</v>
      </c>
      <c r="P77" s="7"/>
      <c r="Q77" s="240">
        <f t="shared" si="3"/>
        <v>8.553637953351247</v>
      </c>
      <c r="R77" s="189" t="str">
        <f t="shared" ref="R77:T77" si="214">IF(ISERROR(R$5-365*$Q77),"-",MONTH(R$5-365*$Q77)&amp;"_"&amp;YEAR(R$5-365*$Q77))</f>
        <v>6_2013</v>
      </c>
      <c r="S77" s="189" t="str">
        <f t="shared" si="214"/>
        <v>6_2014</v>
      </c>
      <c r="T77" s="189" t="str">
        <f t="shared" si="214"/>
        <v>6_2015</v>
      </c>
      <c r="U77" s="7"/>
      <c r="V77" s="7"/>
      <c r="W77" s="190">
        <f>IF(R77="-","-",VLOOKUP(R77,'CPI USA'!$T:$U,2,FALSE))</f>
        <v>233.50399999999999</v>
      </c>
      <c r="X77" s="190">
        <f>IF(S77="-","-",VLOOKUP(S77,'CPI USA'!$T:$U,2,FALSE))</f>
        <v>238.34299999999999</v>
      </c>
      <c r="Y77" s="190">
        <f>IF(T77="-","-",VLOOKUP(T77,'CPI USA'!$T:$U,2,FALSE))</f>
        <v>238.63800000000001</v>
      </c>
      <c r="Z77" s="7"/>
      <c r="AA77" s="7"/>
      <c r="AB77" s="190">
        <f>IF(R77="-","-",VLOOKUP(R77,'PPI USA'!$S:$T,2,FALSE))</f>
        <v>176.6</v>
      </c>
      <c r="AC77" s="190">
        <f>IF(S77="-","-",VLOOKUP(S77,'PPI USA'!$S:$T,2,FALSE))</f>
        <v>186.8</v>
      </c>
      <c r="AD77" s="190">
        <f>IF(T77="-","-",VLOOKUP(T77,'PPI USA'!$S:$T,2,FALSE))</f>
        <v>197.8</v>
      </c>
      <c r="AE77" s="7"/>
      <c r="AF77" s="7"/>
      <c r="AG77" s="190">
        <f t="shared" ref="AG77:AI77" si="215">IF(W77="-","-",(AT77*$B$2/W77+(1-AT77)*AVERAGE($B$2,$B$3)/AVERAGE(W77,AB77)))</f>
        <v>1.3678188100959208</v>
      </c>
      <c r="AH77" s="190">
        <f t="shared" si="215"/>
        <v>1.3333321386506967</v>
      </c>
      <c r="AI77" s="190">
        <f t="shared" si="215"/>
        <v>1.3205066343366378</v>
      </c>
      <c r="AJ77" s="7"/>
      <c r="AK77" s="7"/>
      <c r="AL77" s="190">
        <f t="shared" ref="AL77:AN77" si="216">IF(W77="-","-",(AY77*$B$2/W77+(1-AY77)*AVERAGE($B$2,$B$3)/AVERAGE(W77,AB77)))</f>
        <v>1.3795310735227622</v>
      </c>
      <c r="AM77" s="190">
        <f t="shared" si="216"/>
        <v>1.3411868456226204</v>
      </c>
      <c r="AN77" s="190">
        <f t="shared" si="216"/>
        <v>1.3225655828737524</v>
      </c>
      <c r="AO77" s="7"/>
      <c r="AP77" s="7"/>
      <c r="AQ77" s="7"/>
      <c r="AR77" s="7"/>
      <c r="AS77" s="7"/>
      <c r="AT77" s="242">
        <f>IF(R77="-","-",VLOOKUP(R77,'CPI USA'!$T:$V,3,FALSE))</f>
        <v>0.67305131835944076</v>
      </c>
      <c r="AU77" s="242">
        <f>IF(S77="-","-",VLOOKUP(S77,'CPI USA'!$T:$V,3,FALSE))</f>
        <v>0.66756601812039096</v>
      </c>
      <c r="AV77" s="242">
        <f>IF(T77="-","-",VLOOKUP(T77,'CPI USA'!$T:$V,3,FALSE))</f>
        <v>0.6679408278919865</v>
      </c>
      <c r="AW77" s="7"/>
      <c r="AX77" s="7"/>
      <c r="AY77" s="242">
        <f>IF(R77="-","-",VLOOKUP(R77,'CPI USA'!$T:$X,5,FALSE))</f>
        <v>0.50163050295255052</v>
      </c>
      <c r="AZ77" s="242">
        <f>IF(S77="-","-",VLOOKUP(S77,'CPI USA'!$T:$X,5,FALSE))</f>
        <v>0.49542529667095003</v>
      </c>
      <c r="BA77" s="242">
        <f>IF(T77="-","-",VLOOKUP(T77,'CPI USA'!$T:$X,5,FALSE))</f>
        <v>0.49584761624008583</v>
      </c>
      <c r="BB77" s="7"/>
    </row>
    <row r="78" spans="1:54" ht="15.75" customHeight="1">
      <c r="A78" s="185" t="s">
        <v>423</v>
      </c>
      <c r="B78" s="185" t="s">
        <v>424</v>
      </c>
      <c r="C78" s="239">
        <f>+'Empresas 21-23'!J73</f>
        <v>0</v>
      </c>
      <c r="D78" s="239">
        <f>VLOOKUP(A78,'FERC 2021'!$A$3:$BE$221,57,0)</f>
        <v>1624993029</v>
      </c>
      <c r="E78" s="239">
        <f>VLOOKUP(A78,'FERC 2021'!$A$3:$BF$221,58,0)</f>
        <v>131510668</v>
      </c>
      <c r="F78" s="239">
        <f>VLOOKUP(A78,'FERC 2022'!$A$3:$BE$220,57,0)</f>
        <v>1649791644</v>
      </c>
      <c r="G78" s="239">
        <f>VLOOKUP(A78,'FERC 2022'!$A$3:$BF$220,58,0)</f>
        <v>147607096</v>
      </c>
      <c r="H78" s="239">
        <f>VLOOKUP(A78,'FERC 2023'!$A$3:$BE$221,57,0)</f>
        <v>1719469951</v>
      </c>
      <c r="I78" s="239">
        <f>VLOOKUP(A78,'FERC 2023'!$A$3:$BF$221,58,0)</f>
        <v>161326564</v>
      </c>
      <c r="J78" s="7"/>
      <c r="K78" s="7"/>
      <c r="L78" s="7"/>
      <c r="M78" s="187">
        <f t="shared" si="0"/>
        <v>12.356359021763923</v>
      </c>
      <c r="N78" s="187">
        <f t="shared" si="1"/>
        <v>11.176912822673511</v>
      </c>
      <c r="O78" s="187">
        <f t="shared" si="2"/>
        <v>10.658318806070897</v>
      </c>
      <c r="P78" s="7"/>
      <c r="Q78" s="240">
        <f t="shared" si="3"/>
        <v>11.397196883502778</v>
      </c>
      <c r="R78" s="189" t="str">
        <f t="shared" ref="R78:T78" si="217">IF(ISERROR(R$5-365*$Q78),"-",MONTH(R$5-365*$Q78)&amp;"_"&amp;YEAR(R$5-365*$Q78))</f>
        <v>8_2010</v>
      </c>
      <c r="S78" s="189" t="str">
        <f t="shared" si="217"/>
        <v>8_2011</v>
      </c>
      <c r="T78" s="189" t="str">
        <f t="shared" si="217"/>
        <v>8_2012</v>
      </c>
      <c r="U78" s="7"/>
      <c r="V78" s="7"/>
      <c r="W78" s="190">
        <f>IF(R78="-","-",VLOOKUP(R78,'CPI USA'!$T:$U,2,FALSE))</f>
        <v>218.05600000000001</v>
      </c>
      <c r="X78" s="190">
        <f>IF(S78="-","-",VLOOKUP(S78,'CPI USA'!$T:$U,2,FALSE))</f>
        <v>224.93899999999999</v>
      </c>
      <c r="Y78" s="190">
        <f>IF(T78="-","-",VLOOKUP(T78,'CPI USA'!$T:$U,2,FALSE))</f>
        <v>229.59399999999999</v>
      </c>
      <c r="Z78" s="7"/>
      <c r="AA78" s="7"/>
      <c r="AB78" s="190">
        <f>IF(R78="-","-",VLOOKUP(R78,'PPI USA'!$S:$T,2,FALSE))</f>
        <v>160.80000000000001</v>
      </c>
      <c r="AC78" s="190">
        <f>IF(S78="-","-",VLOOKUP(S78,'PPI USA'!$S:$T,2,FALSE))</f>
        <v>169.6</v>
      </c>
      <c r="AD78" s="190">
        <f>IF(T78="-","-",VLOOKUP(T78,'PPI USA'!$S:$T,2,FALSE))</f>
        <v>175.1</v>
      </c>
      <c r="AE78" s="7"/>
      <c r="AF78" s="7"/>
      <c r="AG78" s="190">
        <f t="shared" ref="AG78:AI78" si="218">IF(W78="-","-",(AT78*$B$2/W78+(1-AT78)*AVERAGE($B$2,$B$3)/AVERAGE(W78,AB78)))</f>
        <v>1.4703278680244813</v>
      </c>
      <c r="AH78" s="190">
        <f t="shared" si="218"/>
        <v>1.4208751760332547</v>
      </c>
      <c r="AI78" s="190">
        <f t="shared" si="218"/>
        <v>1.3897894616766442</v>
      </c>
      <c r="AJ78" s="7"/>
      <c r="AK78" s="7"/>
      <c r="AL78" s="190">
        <f t="shared" ref="AL78:AN78" si="219">IF(W78="-","-",(AY78*$B$2/W78+(1-AY78)*AVERAGE($B$2,$B$3)/AVERAGE(W78,AB78)))</f>
        <v>1.4857204383544427</v>
      </c>
      <c r="AM78" s="190">
        <f t="shared" si="219"/>
        <v>1.4334111417560953</v>
      </c>
      <c r="AN78" s="190">
        <f t="shared" si="219"/>
        <v>1.4008620811189902</v>
      </c>
      <c r="AO78" s="7"/>
      <c r="AP78" s="7"/>
      <c r="AQ78" s="7"/>
      <c r="AR78" s="7"/>
      <c r="AS78" s="7"/>
      <c r="AT78" s="242">
        <f>IF(R78="-","-",VLOOKUP(R78,'CPI USA'!$T:$V,3,FALSE))</f>
        <v>0.67050107279443949</v>
      </c>
      <c r="AU78" s="242">
        <f>IF(S78="-","-",VLOOKUP(S78,'CPI USA'!$T:$V,3,FALSE))</f>
        <v>0.6684022975047168</v>
      </c>
      <c r="AV78" s="242">
        <f>IF(T78="-","-",VLOOKUP(T78,'CPI USA'!$T:$V,3,FALSE))</f>
        <v>0.66730871354337351</v>
      </c>
      <c r="AW78" s="7"/>
      <c r="AX78" s="7"/>
      <c r="AY78" s="242">
        <f>IF(R78="-","-",VLOOKUP(R78,'CPI USA'!$T:$X,5,FALSE))</f>
        <v>0.4987389730136107</v>
      </c>
      <c r="AZ78" s="242">
        <f>IF(S78="-","-",VLOOKUP(S78,'CPI USA'!$T:$X,5,FALSE))</f>
        <v>0.49636791791307899</v>
      </c>
      <c r="BA78" s="242">
        <f>IF(T78="-","-",VLOOKUP(T78,'CPI USA'!$T:$X,5,FALSE))</f>
        <v>0.49513551903851311</v>
      </c>
      <c r="BB78" s="7"/>
    </row>
    <row r="79" spans="1:54" ht="15.75" customHeight="1">
      <c r="A79" s="185" t="s">
        <v>426</v>
      </c>
      <c r="B79" s="185" t="s">
        <v>427</v>
      </c>
      <c r="C79" s="239">
        <f>+'Empresas 21-23'!J74</f>
        <v>0</v>
      </c>
      <c r="D79" s="239">
        <f>VLOOKUP(A79,'FERC 2021'!$A$3:$BE$221,57,0)</f>
        <v>538358269</v>
      </c>
      <c r="E79" s="239">
        <f>VLOOKUP(A79,'FERC 2021'!$A$3:$BF$221,58,0)</f>
        <v>38939095</v>
      </c>
      <c r="F79" s="239">
        <f>VLOOKUP(A79,'FERC 2022'!$A$3:$BE$220,57,0)</f>
        <v>565862013</v>
      </c>
      <c r="G79" s="239">
        <f>VLOOKUP(A79,'FERC 2022'!$A$3:$BF$220,58,0)</f>
        <v>38215317</v>
      </c>
      <c r="H79" s="239">
        <f>VLOOKUP(A79,'FERC 2023'!$A$3:$BE$221,57,0)</f>
        <v>595405663</v>
      </c>
      <c r="I79" s="239">
        <f>VLOOKUP(A79,'FERC 2023'!$A$3:$BF$221,58,0)</f>
        <v>41532881</v>
      </c>
      <c r="J79" s="7"/>
      <c r="K79" s="7"/>
      <c r="L79" s="7"/>
      <c r="M79" s="187">
        <f t="shared" si="0"/>
        <v>13.825649235042571</v>
      </c>
      <c r="N79" s="187">
        <f t="shared" si="1"/>
        <v>14.807204477722898</v>
      </c>
      <c r="O79" s="187">
        <f t="shared" si="2"/>
        <v>14.335765992250815</v>
      </c>
      <c r="P79" s="7"/>
      <c r="Q79" s="240">
        <f t="shared" si="3"/>
        <v>14.322873235005426</v>
      </c>
      <c r="R79" s="189" t="str">
        <f t="shared" ref="R79:T79" si="220">IF(ISERROR(R$5-365*$Q79),"-",MONTH(R$5-365*$Q79)&amp;"_"&amp;YEAR(R$5-365*$Q79))</f>
        <v>9_2007</v>
      </c>
      <c r="S79" s="189" t="str">
        <f t="shared" si="220"/>
        <v>9_2008</v>
      </c>
      <c r="T79" s="189" t="str">
        <f t="shared" si="220"/>
        <v>9_2009</v>
      </c>
      <c r="U79" s="7"/>
      <c r="V79" s="7"/>
      <c r="W79" s="190">
        <f>IF(R79="-","-",VLOOKUP(R79,'CPI USA'!$T:$U,2,FALSE))</f>
        <v>207.34200000000001</v>
      </c>
      <c r="X79" s="190">
        <f>IF(S79="-","-",VLOOKUP(S79,'CPI USA'!$T:$U,2,FALSE))</f>
        <v>215.303</v>
      </c>
      <c r="Y79" s="190">
        <f>IF(T79="-","-",VLOOKUP(T79,'CPI USA'!$T:$U,2,FALSE))</f>
        <v>214.53700000000001</v>
      </c>
      <c r="Z79" s="7"/>
      <c r="AA79" s="7"/>
      <c r="AB79" s="190">
        <f>IF(R79="-","-",VLOOKUP(R79,'PPI USA'!$S:$T,2,FALSE))</f>
        <v>151.69999999999999</v>
      </c>
      <c r="AC79" s="190">
        <f>IF(S79="-","-",VLOOKUP(S79,'PPI USA'!$S:$T,2,FALSE))</f>
        <v>159.30000000000001</v>
      </c>
      <c r="AD79" s="190">
        <f>IF(T79="-","-",VLOOKUP(T79,'PPI USA'!$S:$T,2,FALSE))</f>
        <v>159.1</v>
      </c>
      <c r="AE79" s="7"/>
      <c r="AF79" s="7"/>
      <c r="AG79" s="190">
        <f t="shared" ref="AG79:AI79" si="221">IF(W79="-","-",(AT79*$B$2/W79+(1-AT79)*AVERAGE($B$2,$B$3)/AVERAGE(W79,AB79)))</f>
        <v>1.5480022216582647</v>
      </c>
      <c r="AH79" s="190">
        <f t="shared" si="221"/>
        <v>1.4884333659448254</v>
      </c>
      <c r="AI79" s="190">
        <f t="shared" si="221"/>
        <v>1.4932638886873792</v>
      </c>
      <c r="AJ79" s="7"/>
      <c r="AK79" s="7"/>
      <c r="AL79" s="190">
        <f t="shared" ref="AL79:AN79" si="222">IF(W79="-","-",(AY79*$B$2/W79+(1-AY79)*AVERAGE($B$2,$B$3)/AVERAGE(W79,AB79)))</f>
        <v>1.5651038394149617</v>
      </c>
      <c r="AM79" s="190">
        <f t="shared" si="222"/>
        <v>1.5036496327119213</v>
      </c>
      <c r="AN79" s="190">
        <f t="shared" si="222"/>
        <v>1.5082750176818205</v>
      </c>
      <c r="AO79" s="7"/>
      <c r="AP79" s="7"/>
      <c r="AQ79" s="7"/>
      <c r="AR79" s="7"/>
      <c r="AS79" s="7"/>
      <c r="AT79" s="242">
        <f>IF(R79="-","-",VLOOKUP(R79,'CPI USA'!$T:$V,3,FALSE))</f>
        <v>0.67123734379962852</v>
      </c>
      <c r="AU79" s="242">
        <f>IF(S79="-","-",VLOOKUP(S79,'CPI USA'!$T:$V,3,FALSE))</f>
        <v>0.67018812038291731</v>
      </c>
      <c r="AV79" s="242">
        <f>IF(T79="-","-",VLOOKUP(T79,'CPI USA'!$T:$V,3,FALSE))</f>
        <v>0.66997101349938215</v>
      </c>
      <c r="AW79" s="7"/>
      <c r="AX79" s="7"/>
      <c r="AY79" s="242">
        <f>IF(R79="-","-",VLOOKUP(R79,'CPI USA'!$T:$X,5,FALSE))</f>
        <v>0.49957259686190569</v>
      </c>
      <c r="AZ79" s="242">
        <f>IF(S79="-","-",VLOOKUP(S79,'CPI USA'!$T:$X,5,FALSE))</f>
        <v>0.49838492968660258</v>
      </c>
      <c r="BA79" s="242">
        <f>IF(T79="-","-",VLOOKUP(T79,'CPI USA'!$T:$X,5,FALSE))</f>
        <v>0.49813941766071862</v>
      </c>
      <c r="BB79" s="7"/>
    </row>
    <row r="80" spans="1:54" ht="15.75" customHeight="1">
      <c r="A80" s="185" t="s">
        <v>429</v>
      </c>
      <c r="B80" s="185" t="s">
        <v>430</v>
      </c>
      <c r="C80" s="239">
        <f>+'Empresas 21-23'!J75</f>
        <v>0</v>
      </c>
      <c r="D80" s="239">
        <f>VLOOKUP(A80,'FERC 2021'!$A$3:$BE$221,57,0)</f>
        <v>1806660671</v>
      </c>
      <c r="E80" s="239">
        <f>VLOOKUP(A80,'FERC 2021'!$A$3:$BF$221,58,0)</f>
        <v>130117822</v>
      </c>
      <c r="F80" s="239">
        <f>VLOOKUP(A80,'FERC 2022'!$A$3:$BE$220,57,0)</f>
        <v>1880626988</v>
      </c>
      <c r="G80" s="239">
        <f>VLOOKUP(A80,'FERC 2022'!$A$3:$BF$220,58,0)</f>
        <v>139806785</v>
      </c>
      <c r="H80" s="239">
        <f>VLOOKUP(A80,'FERC 2023'!$A$3:$BE$221,57,0)</f>
        <v>1983268682</v>
      </c>
      <c r="I80" s="239">
        <f>VLOOKUP(A80,'FERC 2023'!$A$3:$BF$221,58,0)</f>
        <v>169980520</v>
      </c>
      <c r="J80" s="7"/>
      <c r="K80" s="7"/>
      <c r="L80" s="7"/>
      <c r="M80" s="187">
        <f t="shared" si="0"/>
        <v>13.884805657137422</v>
      </c>
      <c r="N80" s="187">
        <f t="shared" si="1"/>
        <v>13.451614583655578</v>
      </c>
      <c r="O80" s="187">
        <f t="shared" si="2"/>
        <v>11.667623337074154</v>
      </c>
      <c r="P80" s="7"/>
      <c r="Q80" s="240">
        <f t="shared" si="3"/>
        <v>13.00134785928905</v>
      </c>
      <c r="R80" s="189" t="str">
        <f t="shared" ref="R80:T80" si="223">IF(ISERROR(R$5-365*$Q80),"-",MONTH(R$5-365*$Q80)&amp;"_"&amp;YEAR(R$5-365*$Q80))</f>
        <v>1_2009</v>
      </c>
      <c r="S80" s="189" t="str">
        <f t="shared" si="223"/>
        <v>1_2010</v>
      </c>
      <c r="T80" s="189" t="str">
        <f t="shared" si="223"/>
        <v>1_2011</v>
      </c>
      <c r="U80" s="7"/>
      <c r="V80" s="7"/>
      <c r="W80" s="190">
        <f>IF(R80="-","-",VLOOKUP(R80,'CPI USA'!$T:$U,2,FALSE))</f>
        <v>214.53700000000001</v>
      </c>
      <c r="X80" s="190">
        <f>IF(S80="-","-",VLOOKUP(S80,'CPI USA'!$T:$U,2,FALSE))</f>
        <v>218.05600000000001</v>
      </c>
      <c r="Y80" s="190">
        <f>IF(T80="-","-",VLOOKUP(T80,'CPI USA'!$T:$U,2,FALSE))</f>
        <v>224.93899999999999</v>
      </c>
      <c r="Z80" s="7"/>
      <c r="AA80" s="7"/>
      <c r="AB80" s="190">
        <f>IF(R80="-","-",VLOOKUP(R80,'PPI USA'!$S:$T,2,FALSE))</f>
        <v>159.1</v>
      </c>
      <c r="AC80" s="190">
        <f>IF(S80="-","-",VLOOKUP(S80,'PPI USA'!$S:$T,2,FALSE))</f>
        <v>160.80000000000001</v>
      </c>
      <c r="AD80" s="190">
        <f>IF(T80="-","-",VLOOKUP(T80,'PPI USA'!$S:$T,2,FALSE))</f>
        <v>169.6</v>
      </c>
      <c r="AE80" s="7"/>
      <c r="AF80" s="7"/>
      <c r="AG80" s="190">
        <f t="shared" ref="AG80:AI80" si="224">IF(W80="-","-",(AT80*$B$2/W80+(1-AT80)*AVERAGE($B$2,$B$3)/AVERAGE(W80,AB80)))</f>
        <v>1.4932638886873792</v>
      </c>
      <c r="AH80" s="190">
        <f t="shared" si="224"/>
        <v>1.4703278680244813</v>
      </c>
      <c r="AI80" s="190">
        <f t="shared" si="224"/>
        <v>1.4208751760332547</v>
      </c>
      <c r="AJ80" s="7"/>
      <c r="AK80" s="7"/>
      <c r="AL80" s="190">
        <f t="shared" ref="AL80:AN80" si="225">IF(W80="-","-",(AY80*$B$2/W80+(1-AY80)*AVERAGE($B$2,$B$3)/AVERAGE(W80,AB80)))</f>
        <v>1.5082750176818205</v>
      </c>
      <c r="AM80" s="190">
        <f t="shared" si="225"/>
        <v>1.4857204383544427</v>
      </c>
      <c r="AN80" s="190">
        <f t="shared" si="225"/>
        <v>1.4334111417560953</v>
      </c>
      <c r="AO80" s="7"/>
      <c r="AP80" s="7"/>
      <c r="AQ80" s="7"/>
      <c r="AR80" s="7"/>
      <c r="AS80" s="7"/>
      <c r="AT80" s="242">
        <f>IF(R80="-","-",VLOOKUP(R80,'CPI USA'!$T:$V,3,FALSE))</f>
        <v>0.66997101349938215</v>
      </c>
      <c r="AU80" s="242">
        <f>IF(S80="-","-",VLOOKUP(S80,'CPI USA'!$T:$V,3,FALSE))</f>
        <v>0.67050107279443949</v>
      </c>
      <c r="AV80" s="242">
        <f>IF(T80="-","-",VLOOKUP(T80,'CPI USA'!$T:$V,3,FALSE))</f>
        <v>0.6684022975047168</v>
      </c>
      <c r="AW80" s="7"/>
      <c r="AX80" s="7"/>
      <c r="AY80" s="242">
        <f>IF(R80="-","-",VLOOKUP(R80,'CPI USA'!$T:$X,5,FALSE))</f>
        <v>0.49813941766071862</v>
      </c>
      <c r="AZ80" s="242">
        <f>IF(S80="-","-",VLOOKUP(S80,'CPI USA'!$T:$X,5,FALSE))</f>
        <v>0.4987389730136107</v>
      </c>
      <c r="BA80" s="242">
        <f>IF(T80="-","-",VLOOKUP(T80,'CPI USA'!$T:$X,5,FALSE))</f>
        <v>0.49636791791307899</v>
      </c>
      <c r="BB80" s="7"/>
    </row>
    <row r="81" spans="1:54" ht="15.75" customHeight="1">
      <c r="A81" s="185" t="s">
        <v>432</v>
      </c>
      <c r="B81" s="185" t="s">
        <v>433</v>
      </c>
      <c r="C81" s="239">
        <f>+'Empresas 21-23'!J76</f>
        <v>0</v>
      </c>
      <c r="D81" s="239">
        <f>VLOOKUP(A81,'FERC 2021'!$A$3:$BE$221,57,0)</f>
        <v>403654371</v>
      </c>
      <c r="E81" s="239">
        <f>VLOOKUP(A81,'FERC 2021'!$A$3:$BF$221,58,0)</f>
        <v>42701996</v>
      </c>
      <c r="F81" s="239">
        <f>VLOOKUP(A81,'FERC 2022'!$A$3:$BE$220,57,0)</f>
        <v>426427779</v>
      </c>
      <c r="G81" s="239">
        <f>VLOOKUP(A81,'FERC 2022'!$A$3:$BF$220,58,0)</f>
        <v>46134179</v>
      </c>
      <c r="H81" s="239">
        <f>VLOOKUP(A81,'FERC 2023'!$A$3:$BE$221,57,0)</f>
        <v>447106369</v>
      </c>
      <c r="I81" s="239">
        <f>VLOOKUP(A81,'FERC 2023'!$A$3:$BF$221,58,0)</f>
        <v>50696712</v>
      </c>
      <c r="J81" s="7"/>
      <c r="K81" s="7"/>
      <c r="L81" s="7"/>
      <c r="M81" s="187">
        <f t="shared" si="0"/>
        <v>9.4528220882227618</v>
      </c>
      <c r="N81" s="187">
        <f t="shared" si="1"/>
        <v>9.2432072758897483</v>
      </c>
      <c r="O81" s="187">
        <f t="shared" si="2"/>
        <v>8.8192380010758882</v>
      </c>
      <c r="P81" s="7"/>
      <c r="Q81" s="240">
        <f t="shared" si="3"/>
        <v>9.1717557883961334</v>
      </c>
      <c r="R81" s="189" t="str">
        <f t="shared" ref="R81:T81" si="226">IF(ISERROR(R$5-365*$Q81),"-",MONTH(R$5-365*$Q81)&amp;"_"&amp;YEAR(R$5-365*$Q81))</f>
        <v>10_2012</v>
      </c>
      <c r="S81" s="189" t="str">
        <f t="shared" si="226"/>
        <v>10_2013</v>
      </c>
      <c r="T81" s="189" t="str">
        <f t="shared" si="226"/>
        <v>10_2014</v>
      </c>
      <c r="U81" s="7"/>
      <c r="V81" s="7"/>
      <c r="W81" s="190">
        <f>IF(R81="-","-",VLOOKUP(R81,'CPI USA'!$T:$U,2,FALSE))</f>
        <v>229.59399999999999</v>
      </c>
      <c r="X81" s="190">
        <f>IF(S81="-","-",VLOOKUP(S81,'CPI USA'!$T:$U,2,FALSE))</f>
        <v>233.54599999999999</v>
      </c>
      <c r="Y81" s="190">
        <f>IF(T81="-","-",VLOOKUP(T81,'CPI USA'!$T:$U,2,FALSE))</f>
        <v>237.43299999999999</v>
      </c>
      <c r="Z81" s="7"/>
      <c r="AA81" s="7"/>
      <c r="AB81" s="190">
        <f>IF(R81="-","-",VLOOKUP(R81,'PPI USA'!$S:$T,2,FALSE))</f>
        <v>175.1</v>
      </c>
      <c r="AC81" s="190">
        <f>IF(S81="-","-",VLOOKUP(S81,'PPI USA'!$S:$T,2,FALSE))</f>
        <v>167.8</v>
      </c>
      <c r="AD81" s="190">
        <f>IF(T81="-","-",VLOOKUP(T81,'PPI USA'!$S:$T,2,FALSE))</f>
        <v>181.3</v>
      </c>
      <c r="AE81" s="7"/>
      <c r="AF81" s="7"/>
      <c r="AG81" s="190">
        <f t="shared" ref="AG81:AI81" si="227">IF(W81="-","-",(AT81*$B$2/W81+(1-AT81)*AVERAGE($B$2,$B$3)/AVERAGE(W81,AB81)))</f>
        <v>1.3897894616766442</v>
      </c>
      <c r="AH81" s="190">
        <f t="shared" si="227"/>
        <v>1.3777427925278192</v>
      </c>
      <c r="AI81" s="190">
        <f t="shared" si="227"/>
        <v>1.3436449732207416</v>
      </c>
      <c r="AJ81" s="7"/>
      <c r="AK81" s="7"/>
      <c r="AL81" s="190">
        <f t="shared" ref="AL81:AN81" si="228">IF(W81="-","-",(AY81*$B$2/W81+(1-AY81)*AVERAGE($B$2,$B$3)/AVERAGE(W81,AB81)))</f>
        <v>1.4008620811189902</v>
      </c>
      <c r="AM81" s="190">
        <f t="shared" si="228"/>
        <v>1.3947851130840843</v>
      </c>
      <c r="AN81" s="190">
        <f t="shared" si="228"/>
        <v>1.3542238044000909</v>
      </c>
      <c r="AO81" s="7"/>
      <c r="AP81" s="7"/>
      <c r="AQ81" s="7"/>
      <c r="AR81" s="7"/>
      <c r="AS81" s="7"/>
      <c r="AT81" s="242">
        <f>IF(R81="-","-",VLOOKUP(R81,'CPI USA'!$T:$V,3,FALSE))</f>
        <v>0.66730871354337351</v>
      </c>
      <c r="AU81" s="242">
        <f>IF(S81="-","-",VLOOKUP(S81,'CPI USA'!$T:$V,3,FALSE))</f>
        <v>0.67305131835944076</v>
      </c>
      <c r="AV81" s="242">
        <f>IF(T81="-","-",VLOOKUP(T81,'CPI USA'!$T:$V,3,FALSE))</f>
        <v>0.66756601812039096</v>
      </c>
      <c r="AW81" s="7"/>
      <c r="AX81" s="7"/>
      <c r="AY81" s="242">
        <f>IF(R81="-","-",VLOOKUP(R81,'CPI USA'!$T:$X,5,FALSE))</f>
        <v>0.49513551903851311</v>
      </c>
      <c r="AZ81" s="242">
        <f>IF(S81="-","-",VLOOKUP(S81,'CPI USA'!$T:$X,5,FALSE))</f>
        <v>0.50163050295255052</v>
      </c>
      <c r="BA81" s="242">
        <f>IF(T81="-","-",VLOOKUP(T81,'CPI USA'!$T:$X,5,FALSE))</f>
        <v>0.49542529667095003</v>
      </c>
      <c r="BB81" s="7"/>
    </row>
    <row r="82" spans="1:54" ht="15.75" customHeight="1">
      <c r="A82" s="185" t="s">
        <v>435</v>
      </c>
      <c r="B82" s="185" t="s">
        <v>436</v>
      </c>
      <c r="C82" s="239">
        <f>+'Empresas 21-23'!J77</f>
        <v>0</v>
      </c>
      <c r="D82" s="239">
        <f>VLOOKUP(A82,'FERC 2021'!$A$3:$BE$221,57,0)</f>
        <v>537611780</v>
      </c>
      <c r="E82" s="239">
        <f>VLOOKUP(A82,'FERC 2021'!$A$3:$BF$221,58,0)</f>
        <v>75219007</v>
      </c>
      <c r="F82" s="239">
        <f>VLOOKUP(A82,'FERC 2022'!$A$3:$BE$220,57,0)</f>
        <v>593875779</v>
      </c>
      <c r="G82" s="239">
        <f>VLOOKUP(A82,'FERC 2022'!$A$3:$BF$220,58,0)</f>
        <v>83189191</v>
      </c>
      <c r="H82" s="239">
        <f>VLOOKUP(A82,'FERC 2023'!$A$3:$BE$221,57,0)</f>
        <v>635278286</v>
      </c>
      <c r="I82" s="239">
        <f>VLOOKUP(A82,'FERC 2023'!$A$3:$BF$221,58,0)</f>
        <v>95655432</v>
      </c>
      <c r="J82" s="7"/>
      <c r="K82" s="7"/>
      <c r="L82" s="7"/>
      <c r="M82" s="187">
        <f t="shared" si="0"/>
        <v>7.1472863235219259</v>
      </c>
      <c r="N82" s="187">
        <f t="shared" si="1"/>
        <v>7.1388574869059616</v>
      </c>
      <c r="O82" s="187">
        <f t="shared" si="2"/>
        <v>6.6413195018553681</v>
      </c>
      <c r="P82" s="7"/>
      <c r="Q82" s="240">
        <f t="shared" si="3"/>
        <v>6.9758211040944182</v>
      </c>
      <c r="R82" s="189" t="str">
        <f t="shared" ref="R82:T82" si="229">IF(ISERROR(R$5-365*$Q82),"-",MONTH(R$5-365*$Q82)&amp;"_"&amp;YEAR(R$5-365*$Q82))</f>
        <v>1_2015</v>
      </c>
      <c r="S82" s="189" t="str">
        <f t="shared" si="229"/>
        <v>1_2016</v>
      </c>
      <c r="T82" s="189" t="str">
        <f t="shared" si="229"/>
        <v>1_2017</v>
      </c>
      <c r="U82" s="7"/>
      <c r="V82" s="7"/>
      <c r="W82" s="190">
        <f>IF(R82="-","-",VLOOKUP(R82,'CPI USA'!$T:$U,2,FALSE))</f>
        <v>233.70699999999999</v>
      </c>
      <c r="X82" s="190">
        <f>IF(S82="-","-",VLOOKUP(S82,'CPI USA'!$T:$U,2,FALSE))</f>
        <v>236.916</v>
      </c>
      <c r="Y82" s="190">
        <f>IF(T82="-","-",VLOOKUP(T82,'CPI USA'!$T:$U,2,FALSE))</f>
        <v>242.839</v>
      </c>
      <c r="Z82" s="7"/>
      <c r="AA82" s="7"/>
      <c r="AB82" s="190">
        <f>IF(R82="-","-",VLOOKUP(R82,'PPI USA'!$S:$T,2,FALSE))</f>
        <v>185.9</v>
      </c>
      <c r="AC82" s="190">
        <f>IF(S82="-","-",VLOOKUP(S82,'PPI USA'!$S:$T,2,FALSE))</f>
        <v>171</v>
      </c>
      <c r="AD82" s="190">
        <f>IF(T82="-","-",VLOOKUP(T82,'PPI USA'!$S:$T,2,FALSE))</f>
        <v>193.8</v>
      </c>
      <c r="AE82" s="7"/>
      <c r="AF82" s="7"/>
      <c r="AG82" s="190">
        <f t="shared" ref="AG82:AI82" si="230">IF(W82="-","-",(AT82*$B$2/W82+(1-AT82)*AVERAGE($B$2,$B$3)/AVERAGE(W82,AB82)))</f>
        <v>1.3567551675445788</v>
      </c>
      <c r="AH82" s="190">
        <f t="shared" si="230"/>
        <v>1.3574220468024145</v>
      </c>
      <c r="AI82" s="190">
        <f t="shared" si="230"/>
        <v>1.3052922111247434</v>
      </c>
      <c r="AJ82" s="7"/>
      <c r="AK82" s="7"/>
      <c r="AL82" s="190">
        <f t="shared" ref="AL82:AN82" si="231">IF(W82="-","-",(AY82*$B$2/W82+(1-AY82)*AVERAGE($B$2,$B$3)/AVERAGE(W82,AB82)))</f>
        <v>1.3632042482651483</v>
      </c>
      <c r="AM82" s="190">
        <f t="shared" si="231"/>
        <v>1.3737782272163577</v>
      </c>
      <c r="AN82" s="190">
        <f t="shared" si="231"/>
        <v>1.311189955387182</v>
      </c>
      <c r="AO82" s="7"/>
      <c r="AP82" s="7"/>
      <c r="AQ82" s="7"/>
      <c r="AR82" s="7"/>
      <c r="AS82" s="7"/>
      <c r="AT82" s="242">
        <f>IF(R82="-","-",VLOOKUP(R82,'CPI USA'!$T:$V,3,FALSE))</f>
        <v>0.6679408278919865</v>
      </c>
      <c r="AU82" s="242">
        <f>IF(S82="-","-",VLOOKUP(S82,'CPI USA'!$T:$V,3,FALSE))</f>
        <v>0.67131212484522451</v>
      </c>
      <c r="AV82" s="242">
        <f>IF(T82="-","-",VLOOKUP(T82,'CPI USA'!$T:$V,3,FALSE))</f>
        <v>0.66204311420409623</v>
      </c>
      <c r="AW82" s="7"/>
      <c r="AX82" s="7"/>
      <c r="AY82" s="242">
        <f>IF(R82="-","-",VLOOKUP(R82,'CPI USA'!$T:$X,5,FALSE))</f>
        <v>0.49584761624008583</v>
      </c>
      <c r="AZ82" s="242">
        <f>IF(S82="-","-",VLOOKUP(S82,'CPI USA'!$T:$X,5,FALSE))</f>
        <v>0.49965731919331663</v>
      </c>
      <c r="BA82" s="242">
        <f>IF(T82="-","-",VLOOKUP(T82,'CPI USA'!$T:$X,5,FALSE))</f>
        <v>0.48923067262022524</v>
      </c>
      <c r="BB82" s="7"/>
    </row>
    <row r="83" spans="1:54" ht="15.75" customHeight="1">
      <c r="A83" s="185" t="s">
        <v>438</v>
      </c>
      <c r="B83" s="185" t="s">
        <v>439</v>
      </c>
      <c r="C83" s="243">
        <f>+'Empresas 21-23'!J78</f>
        <v>0</v>
      </c>
      <c r="D83" s="239">
        <f>VLOOKUP(A83,'FERC 2021'!$A$3:$BE$221,57,0)</f>
        <v>0</v>
      </c>
      <c r="E83" s="239">
        <f>VLOOKUP(A83,'FERC 2021'!$A$3:$BF$221,58,0)</f>
        <v>0</v>
      </c>
      <c r="F83" s="239">
        <f>VLOOKUP(A83,'FERC 2022'!$A$3:$BE$220,57,0)</f>
        <v>0</v>
      </c>
      <c r="G83" s="239">
        <f>VLOOKUP(A83,'FERC 2022'!$A$3:$BF$220,58,0)</f>
        <v>0</v>
      </c>
      <c r="H83" s="239">
        <f>VLOOKUP(A83,'FERC 2023'!$A$3:$BE$221,57,0)</f>
        <v>0</v>
      </c>
      <c r="I83" s="239">
        <f>VLOOKUP(A83,'FERC 2023'!$A$3:$BF$221,58,0)</f>
        <v>0</v>
      </c>
      <c r="J83" s="7"/>
      <c r="K83" s="7"/>
      <c r="L83" s="7"/>
      <c r="M83" s="187" t="str">
        <f t="shared" si="0"/>
        <v/>
      </c>
      <c r="N83" s="187" t="str">
        <f t="shared" si="1"/>
        <v/>
      </c>
      <c r="O83" s="187" t="str">
        <f t="shared" si="2"/>
        <v/>
      </c>
      <c r="P83" s="7"/>
      <c r="Q83" s="240" t="str">
        <f t="shared" si="3"/>
        <v>-</v>
      </c>
      <c r="R83" s="189" t="str">
        <f t="shared" ref="R83:T83" si="232">IF(ISERROR(R$5-365*$Q83),"-",MONTH(R$5-365*$Q83)&amp;"_"&amp;YEAR(R$5-365*$Q83))</f>
        <v>-</v>
      </c>
      <c r="S83" s="189" t="str">
        <f t="shared" si="232"/>
        <v>-</v>
      </c>
      <c r="T83" s="189" t="str">
        <f t="shared" si="232"/>
        <v>-</v>
      </c>
      <c r="U83" s="7"/>
      <c r="V83" s="7"/>
      <c r="W83" s="190" t="str">
        <f>IF(R83="-","-",VLOOKUP(R83,'CPI USA'!$T:$U,2,FALSE))</f>
        <v>-</v>
      </c>
      <c r="X83" s="190" t="str">
        <f>IF(S83="-","-",VLOOKUP(S83,'CPI USA'!$T:$U,2,FALSE))</f>
        <v>-</v>
      </c>
      <c r="Y83" s="190" t="str">
        <f>IF(T83="-","-",VLOOKUP(T83,'CPI USA'!$T:$U,2,FALSE))</f>
        <v>-</v>
      </c>
      <c r="Z83" s="7"/>
      <c r="AA83" s="7"/>
      <c r="AB83" s="190" t="str">
        <f>IF(R83="-","-",VLOOKUP(R83,'PPI USA'!$S:$T,2,FALSE))</f>
        <v>-</v>
      </c>
      <c r="AC83" s="190" t="str">
        <f>IF(S83="-","-",VLOOKUP(S83,'PPI USA'!$S:$T,2,FALSE))</f>
        <v>-</v>
      </c>
      <c r="AD83" s="190" t="str">
        <f>IF(T83="-","-",VLOOKUP(T83,'PPI USA'!$S:$T,2,FALSE))</f>
        <v>-</v>
      </c>
      <c r="AE83" s="7"/>
      <c r="AF83" s="7"/>
      <c r="AG83" s="190" t="str">
        <f t="shared" ref="AG83:AI83" si="233">IF(W83="-","-",(AT83*$B$2/W83+(1-AT83)*AVERAGE($B$2,$B$3)/AVERAGE(W83,AB83)))</f>
        <v>-</v>
      </c>
      <c r="AH83" s="190" t="str">
        <f t="shared" si="233"/>
        <v>-</v>
      </c>
      <c r="AI83" s="190" t="str">
        <f t="shared" si="233"/>
        <v>-</v>
      </c>
      <c r="AJ83" s="7"/>
      <c r="AK83" s="7"/>
      <c r="AL83" s="190" t="str">
        <f t="shared" ref="AL83:AN83" si="234">IF(W83="-","-",(AY83*$B$2/W83+(1-AY83)*AVERAGE($B$2,$B$3)/AVERAGE(W83,AB83)))</f>
        <v>-</v>
      </c>
      <c r="AM83" s="190" t="str">
        <f t="shared" si="234"/>
        <v>-</v>
      </c>
      <c r="AN83" s="190" t="str">
        <f t="shared" si="234"/>
        <v>-</v>
      </c>
      <c r="AO83" s="7"/>
      <c r="AP83" s="7"/>
      <c r="AQ83" s="7"/>
      <c r="AR83" s="7"/>
      <c r="AS83" s="7"/>
      <c r="AT83" s="242" t="str">
        <f>IF(R83="-","-",VLOOKUP(R83,'CPI USA'!$T:$V,3,FALSE))</f>
        <v>-</v>
      </c>
      <c r="AU83" s="242" t="str">
        <f>IF(S83="-","-",VLOOKUP(S83,'CPI USA'!$T:$V,3,FALSE))</f>
        <v>-</v>
      </c>
      <c r="AV83" s="242" t="str">
        <f>IF(T83="-","-",VLOOKUP(T83,'CPI USA'!$T:$V,3,FALSE))</f>
        <v>-</v>
      </c>
      <c r="AW83" s="7"/>
      <c r="AX83" s="7"/>
      <c r="AY83" s="242" t="str">
        <f>IF(R83="-","-",VLOOKUP(R83,'CPI USA'!$T:$X,5,FALSE))</f>
        <v>-</v>
      </c>
      <c r="AZ83" s="242" t="str">
        <f>IF(S83="-","-",VLOOKUP(S83,'CPI USA'!$T:$X,5,FALSE))</f>
        <v>-</v>
      </c>
      <c r="BA83" s="242" t="str">
        <f>IF(T83="-","-",VLOOKUP(T83,'CPI USA'!$T:$X,5,FALSE))</f>
        <v>-</v>
      </c>
      <c r="BB83" s="7"/>
    </row>
    <row r="84" spans="1:54" ht="15.75" customHeight="1">
      <c r="A84" s="185" t="s">
        <v>441</v>
      </c>
      <c r="B84" s="185" t="s">
        <v>442</v>
      </c>
      <c r="C84" s="243">
        <f>+'Empresas 21-23'!J79</f>
        <v>0</v>
      </c>
      <c r="D84" s="239">
        <f>VLOOKUP(A84,'FERC 2021'!$A$3:$BE$221,57,0)</f>
        <v>0</v>
      </c>
      <c r="E84" s="239">
        <f>VLOOKUP(A84,'FERC 2021'!$A$3:$BF$221,58,0)</f>
        <v>0</v>
      </c>
      <c r="F84" s="239">
        <f>VLOOKUP(A84,'FERC 2022'!$A$3:$BE$220,57,0)</f>
        <v>0</v>
      </c>
      <c r="G84" s="239">
        <f>VLOOKUP(A84,'FERC 2022'!$A$3:$BF$220,58,0)</f>
        <v>0</v>
      </c>
      <c r="H84" s="239">
        <f>VLOOKUP(A84,'FERC 2023'!$A$3:$BE$221,57,0)</f>
        <v>0</v>
      </c>
      <c r="I84" s="239">
        <f>VLOOKUP(A84,'FERC 2023'!$A$3:$BF$221,58,0)</f>
        <v>0</v>
      </c>
      <c r="J84" s="7"/>
      <c r="K84" s="7"/>
      <c r="L84" s="7"/>
      <c r="M84" s="187" t="str">
        <f t="shared" si="0"/>
        <v/>
      </c>
      <c r="N84" s="187" t="str">
        <f t="shared" si="1"/>
        <v/>
      </c>
      <c r="O84" s="187" t="str">
        <f t="shared" si="2"/>
        <v/>
      </c>
      <c r="P84" s="7"/>
      <c r="Q84" s="240" t="str">
        <f t="shared" si="3"/>
        <v>-</v>
      </c>
      <c r="R84" s="189" t="str">
        <f t="shared" ref="R84:T84" si="235">IF(ISERROR(R$5-365*$Q84),"-",MONTH(R$5-365*$Q84)&amp;"_"&amp;YEAR(R$5-365*$Q84))</f>
        <v>-</v>
      </c>
      <c r="S84" s="189" t="str">
        <f t="shared" si="235"/>
        <v>-</v>
      </c>
      <c r="T84" s="189" t="str">
        <f t="shared" si="235"/>
        <v>-</v>
      </c>
      <c r="U84" s="7"/>
      <c r="V84" s="7"/>
      <c r="W84" s="190" t="str">
        <f>IF(R84="-","-",VLOOKUP(R84,'CPI USA'!$T:$U,2,FALSE))</f>
        <v>-</v>
      </c>
      <c r="X84" s="190" t="str">
        <f>IF(S84="-","-",VLOOKUP(S84,'CPI USA'!$T:$U,2,FALSE))</f>
        <v>-</v>
      </c>
      <c r="Y84" s="190" t="str">
        <f>IF(T84="-","-",VLOOKUP(T84,'CPI USA'!$T:$U,2,FALSE))</f>
        <v>-</v>
      </c>
      <c r="Z84" s="7"/>
      <c r="AA84" s="7"/>
      <c r="AB84" s="190" t="str">
        <f>IF(R84="-","-",VLOOKUP(R84,'PPI USA'!$S:$T,2,FALSE))</f>
        <v>-</v>
      </c>
      <c r="AC84" s="190" t="str">
        <f>IF(S84="-","-",VLOOKUP(S84,'PPI USA'!$S:$T,2,FALSE))</f>
        <v>-</v>
      </c>
      <c r="AD84" s="190" t="str">
        <f>IF(T84="-","-",VLOOKUP(T84,'PPI USA'!$S:$T,2,FALSE))</f>
        <v>-</v>
      </c>
      <c r="AE84" s="7"/>
      <c r="AF84" s="7"/>
      <c r="AG84" s="190" t="str">
        <f t="shared" ref="AG84:AI84" si="236">IF(W84="-","-",(AT84*$B$2/W84+(1-AT84)*AVERAGE($B$2,$B$3)/AVERAGE(W84,AB84)))</f>
        <v>-</v>
      </c>
      <c r="AH84" s="190" t="str">
        <f t="shared" si="236"/>
        <v>-</v>
      </c>
      <c r="AI84" s="190" t="str">
        <f t="shared" si="236"/>
        <v>-</v>
      </c>
      <c r="AJ84" s="7"/>
      <c r="AK84" s="7"/>
      <c r="AL84" s="190" t="str">
        <f t="shared" ref="AL84:AN84" si="237">IF(W84="-","-",(AY84*$B$2/W84+(1-AY84)*AVERAGE($B$2,$B$3)/AVERAGE(W84,AB84)))</f>
        <v>-</v>
      </c>
      <c r="AM84" s="190" t="str">
        <f t="shared" si="237"/>
        <v>-</v>
      </c>
      <c r="AN84" s="190" t="str">
        <f t="shared" si="237"/>
        <v>-</v>
      </c>
      <c r="AO84" s="7"/>
      <c r="AP84" s="7"/>
      <c r="AQ84" s="7"/>
      <c r="AR84" s="7"/>
      <c r="AS84" s="7"/>
      <c r="AT84" s="242" t="str">
        <f>IF(R84="-","-",VLOOKUP(R84,'CPI USA'!$T:$V,3,FALSE))</f>
        <v>-</v>
      </c>
      <c r="AU84" s="242" t="str">
        <f>IF(S84="-","-",VLOOKUP(S84,'CPI USA'!$T:$V,3,FALSE))</f>
        <v>-</v>
      </c>
      <c r="AV84" s="242" t="str">
        <f>IF(T84="-","-",VLOOKUP(T84,'CPI USA'!$T:$V,3,FALSE))</f>
        <v>-</v>
      </c>
      <c r="AW84" s="7"/>
      <c r="AX84" s="7"/>
      <c r="AY84" s="242" t="str">
        <f>IF(R84="-","-",VLOOKUP(R84,'CPI USA'!$T:$X,5,FALSE))</f>
        <v>-</v>
      </c>
      <c r="AZ84" s="242" t="str">
        <f>IF(S84="-","-",VLOOKUP(S84,'CPI USA'!$T:$X,5,FALSE))</f>
        <v>-</v>
      </c>
      <c r="BA84" s="242" t="str">
        <f>IF(T84="-","-",VLOOKUP(T84,'CPI USA'!$T:$X,5,FALSE))</f>
        <v>-</v>
      </c>
      <c r="BB84" s="7"/>
    </row>
    <row r="85" spans="1:54" ht="15.75" customHeight="1">
      <c r="A85" s="185" t="s">
        <v>444</v>
      </c>
      <c r="B85" s="185" t="s">
        <v>445</v>
      </c>
      <c r="C85" s="239">
        <f>+'Empresas 21-23'!J80</f>
        <v>0</v>
      </c>
      <c r="D85" s="239">
        <f>VLOOKUP(A85,'FERC 2021'!$A$3:$BE$221,57,0)</f>
        <v>746684064</v>
      </c>
      <c r="E85" s="239">
        <f>VLOOKUP(A85,'FERC 2021'!$A$3:$BF$221,58,0)</f>
        <v>66218197</v>
      </c>
      <c r="F85" s="239">
        <f>VLOOKUP(A85,'FERC 2022'!$A$3:$BE$220,57,0)</f>
        <v>785925155</v>
      </c>
      <c r="G85" s="239">
        <f>VLOOKUP(A85,'FERC 2022'!$A$3:$BF$220,58,0)</f>
        <v>70945704</v>
      </c>
      <c r="H85" s="239">
        <f>VLOOKUP(A85,'FERC 2023'!$A$3:$BE$221,57,0)</f>
        <v>819708892</v>
      </c>
      <c r="I85" s="239">
        <f>VLOOKUP(A85,'FERC 2023'!$A$3:$BF$221,58,0)</f>
        <v>73444015</v>
      </c>
      <c r="J85" s="7"/>
      <c r="K85" s="7"/>
      <c r="L85" s="7"/>
      <c r="M85" s="187">
        <f t="shared" si="0"/>
        <v>11.276115899078315</v>
      </c>
      <c r="N85" s="187">
        <f t="shared" si="1"/>
        <v>11.077839963361276</v>
      </c>
      <c r="O85" s="187">
        <f t="shared" si="2"/>
        <v>11.161003275760455</v>
      </c>
      <c r="P85" s="7"/>
      <c r="Q85" s="240">
        <f t="shared" si="3"/>
        <v>11.171653046066682</v>
      </c>
      <c r="R85" s="189" t="str">
        <f t="shared" ref="R85:T85" si="238">IF(ISERROR(R$5-365*$Q85),"-",MONTH(R$5-365*$Q85)&amp;"_"&amp;YEAR(R$5-365*$Q85))</f>
        <v>11_2010</v>
      </c>
      <c r="S85" s="189" t="str">
        <f t="shared" si="238"/>
        <v>11_2011</v>
      </c>
      <c r="T85" s="189" t="str">
        <f t="shared" si="238"/>
        <v>10_2012</v>
      </c>
      <c r="U85" s="7"/>
      <c r="V85" s="7"/>
      <c r="W85" s="190">
        <f>IF(R85="-","-",VLOOKUP(R85,'CPI USA'!$T:$U,2,FALSE))</f>
        <v>218.05600000000001</v>
      </c>
      <c r="X85" s="190">
        <f>IF(S85="-","-",VLOOKUP(S85,'CPI USA'!$T:$U,2,FALSE))</f>
        <v>224.93899999999999</v>
      </c>
      <c r="Y85" s="190">
        <f>IF(T85="-","-",VLOOKUP(T85,'CPI USA'!$T:$U,2,FALSE))</f>
        <v>229.59399999999999</v>
      </c>
      <c r="Z85" s="7"/>
      <c r="AA85" s="7"/>
      <c r="AB85" s="190">
        <f>IF(R85="-","-",VLOOKUP(R85,'PPI USA'!$S:$T,2,FALSE))</f>
        <v>160.80000000000001</v>
      </c>
      <c r="AC85" s="190">
        <f>IF(S85="-","-",VLOOKUP(S85,'PPI USA'!$S:$T,2,FALSE))</f>
        <v>169.6</v>
      </c>
      <c r="AD85" s="190">
        <f>IF(T85="-","-",VLOOKUP(T85,'PPI USA'!$S:$T,2,FALSE))</f>
        <v>175.1</v>
      </c>
      <c r="AE85" s="7"/>
      <c r="AF85" s="7"/>
      <c r="AG85" s="190">
        <f t="shared" ref="AG85:AI85" si="239">IF(W85="-","-",(AT85*$B$2/W85+(1-AT85)*AVERAGE($B$2,$B$3)/AVERAGE(W85,AB85)))</f>
        <v>1.4703278680244813</v>
      </c>
      <c r="AH85" s="190">
        <f t="shared" si="239"/>
        <v>1.4208751760332547</v>
      </c>
      <c r="AI85" s="190">
        <f t="shared" si="239"/>
        <v>1.3897894616766442</v>
      </c>
      <c r="AJ85" s="7"/>
      <c r="AK85" s="7"/>
      <c r="AL85" s="190">
        <f t="shared" ref="AL85:AN85" si="240">IF(W85="-","-",(AY85*$B$2/W85+(1-AY85)*AVERAGE($B$2,$B$3)/AVERAGE(W85,AB85)))</f>
        <v>1.4857204383544427</v>
      </c>
      <c r="AM85" s="190">
        <f t="shared" si="240"/>
        <v>1.4334111417560953</v>
      </c>
      <c r="AN85" s="190">
        <f t="shared" si="240"/>
        <v>1.4008620811189902</v>
      </c>
      <c r="AO85" s="7"/>
      <c r="AP85" s="7"/>
      <c r="AQ85" s="7"/>
      <c r="AR85" s="7"/>
      <c r="AS85" s="7"/>
      <c r="AT85" s="242">
        <f>IF(R85="-","-",VLOOKUP(R85,'CPI USA'!$T:$V,3,FALSE))</f>
        <v>0.67050107279443949</v>
      </c>
      <c r="AU85" s="242">
        <f>IF(S85="-","-",VLOOKUP(S85,'CPI USA'!$T:$V,3,FALSE))</f>
        <v>0.6684022975047168</v>
      </c>
      <c r="AV85" s="242">
        <f>IF(T85="-","-",VLOOKUP(T85,'CPI USA'!$T:$V,3,FALSE))</f>
        <v>0.66730871354337351</v>
      </c>
      <c r="AW85" s="7"/>
      <c r="AX85" s="7"/>
      <c r="AY85" s="242">
        <f>IF(R85="-","-",VLOOKUP(R85,'CPI USA'!$T:$X,5,FALSE))</f>
        <v>0.4987389730136107</v>
      </c>
      <c r="AZ85" s="242">
        <f>IF(S85="-","-",VLOOKUP(S85,'CPI USA'!$T:$X,5,FALSE))</f>
        <v>0.49636791791307899</v>
      </c>
      <c r="BA85" s="242">
        <f>IF(T85="-","-",VLOOKUP(T85,'CPI USA'!$T:$X,5,FALSE))</f>
        <v>0.49513551903851311</v>
      </c>
      <c r="BB85" s="7"/>
    </row>
    <row r="86" spans="1:54" ht="15.75" customHeight="1">
      <c r="A86" s="185" t="s">
        <v>447</v>
      </c>
      <c r="B86" s="185" t="s">
        <v>448</v>
      </c>
      <c r="C86" s="239">
        <f>+'Empresas 21-23'!J81</f>
        <v>0</v>
      </c>
      <c r="D86" s="239">
        <f>VLOOKUP(A86,'FERC 2021'!$A$3:$BE$221,57,0)</f>
        <v>698073548</v>
      </c>
      <c r="E86" s="239">
        <f>VLOOKUP(A86,'FERC 2021'!$A$3:$BF$221,58,0)</f>
        <v>49541424</v>
      </c>
      <c r="F86" s="239">
        <f>VLOOKUP(A86,'FERC 2022'!$A$3:$BE$220,57,0)</f>
        <v>724689618</v>
      </c>
      <c r="G86" s="239">
        <f>VLOOKUP(A86,'FERC 2022'!$A$3:$BF$220,58,0)</f>
        <v>51603993</v>
      </c>
      <c r="H86" s="239">
        <f>VLOOKUP(A86,'FERC 2023'!$A$3:$BE$221,57,0)</f>
        <v>752490377</v>
      </c>
      <c r="I86" s="239">
        <f>VLOOKUP(A86,'FERC 2023'!$A$3:$BF$221,58,0)</f>
        <v>53609612</v>
      </c>
      <c r="J86" s="7"/>
      <c r="K86" s="7"/>
      <c r="L86" s="7"/>
      <c r="M86" s="187">
        <f t="shared" si="0"/>
        <v>14.090704134786275</v>
      </c>
      <c r="N86" s="187">
        <f t="shared" si="1"/>
        <v>14.043285720157353</v>
      </c>
      <c r="O86" s="187">
        <f t="shared" si="2"/>
        <v>14.036482431546045</v>
      </c>
      <c r="P86" s="7"/>
      <c r="Q86" s="240">
        <f t="shared" si="3"/>
        <v>14.056824095496557</v>
      </c>
      <c r="R86" s="189" t="str">
        <f t="shared" ref="R86:T86" si="241">IF(ISERROR(R$5-365*$Q86),"-",MONTH(R$5-365*$Q86)&amp;"_"&amp;YEAR(R$5-365*$Q86))</f>
        <v>12_2007</v>
      </c>
      <c r="S86" s="189" t="str">
        <f t="shared" si="241"/>
        <v>12_2008</v>
      </c>
      <c r="T86" s="189" t="str">
        <f t="shared" si="241"/>
        <v>12_2009</v>
      </c>
      <c r="U86" s="7"/>
      <c r="V86" s="7"/>
      <c r="W86" s="190">
        <f>IF(R86="-","-",VLOOKUP(R86,'CPI USA'!$T:$U,2,FALSE))</f>
        <v>207.34200000000001</v>
      </c>
      <c r="X86" s="190">
        <f>IF(S86="-","-",VLOOKUP(S86,'CPI USA'!$T:$U,2,FALSE))</f>
        <v>215.303</v>
      </c>
      <c r="Y86" s="190">
        <f>IF(T86="-","-",VLOOKUP(T86,'CPI USA'!$T:$U,2,FALSE))</f>
        <v>214.53700000000001</v>
      </c>
      <c r="Z86" s="7"/>
      <c r="AA86" s="7"/>
      <c r="AB86" s="190">
        <f>IF(R86="-","-",VLOOKUP(R86,'PPI USA'!$S:$T,2,FALSE))</f>
        <v>151.69999999999999</v>
      </c>
      <c r="AC86" s="190">
        <f>IF(S86="-","-",VLOOKUP(S86,'PPI USA'!$S:$T,2,FALSE))</f>
        <v>159.30000000000001</v>
      </c>
      <c r="AD86" s="190">
        <f>IF(T86="-","-",VLOOKUP(T86,'PPI USA'!$S:$T,2,FALSE))</f>
        <v>159.1</v>
      </c>
      <c r="AE86" s="7"/>
      <c r="AF86" s="7"/>
      <c r="AG86" s="190">
        <f t="shared" ref="AG86:AI86" si="242">IF(W86="-","-",(AT86*$B$2/W86+(1-AT86)*AVERAGE($B$2,$B$3)/AVERAGE(W86,AB86)))</f>
        <v>1.5480022216582647</v>
      </c>
      <c r="AH86" s="190">
        <f t="shared" si="242"/>
        <v>1.4884333659448254</v>
      </c>
      <c r="AI86" s="190">
        <f t="shared" si="242"/>
        <v>1.4932638886873792</v>
      </c>
      <c r="AJ86" s="7"/>
      <c r="AK86" s="7"/>
      <c r="AL86" s="190">
        <f t="shared" ref="AL86:AN86" si="243">IF(W86="-","-",(AY86*$B$2/W86+(1-AY86)*AVERAGE($B$2,$B$3)/AVERAGE(W86,AB86)))</f>
        <v>1.5651038394149617</v>
      </c>
      <c r="AM86" s="190">
        <f t="shared" si="243"/>
        <v>1.5036496327119213</v>
      </c>
      <c r="AN86" s="190">
        <f t="shared" si="243"/>
        <v>1.5082750176818205</v>
      </c>
      <c r="AO86" s="7"/>
      <c r="AP86" s="7"/>
      <c r="AQ86" s="7"/>
      <c r="AR86" s="7"/>
      <c r="AS86" s="7"/>
      <c r="AT86" s="242">
        <f>IF(R86="-","-",VLOOKUP(R86,'CPI USA'!$T:$V,3,FALSE))</f>
        <v>0.67123734379962852</v>
      </c>
      <c r="AU86" s="242">
        <f>IF(S86="-","-",VLOOKUP(S86,'CPI USA'!$T:$V,3,FALSE))</f>
        <v>0.67018812038291731</v>
      </c>
      <c r="AV86" s="242">
        <f>IF(T86="-","-",VLOOKUP(T86,'CPI USA'!$T:$V,3,FALSE))</f>
        <v>0.66997101349938215</v>
      </c>
      <c r="AW86" s="7"/>
      <c r="AX86" s="7"/>
      <c r="AY86" s="242">
        <f>IF(R86="-","-",VLOOKUP(R86,'CPI USA'!$T:$X,5,FALSE))</f>
        <v>0.49957259686190569</v>
      </c>
      <c r="AZ86" s="242">
        <f>IF(S86="-","-",VLOOKUP(S86,'CPI USA'!$T:$X,5,FALSE))</f>
        <v>0.49838492968660258</v>
      </c>
      <c r="BA86" s="242">
        <f>IF(T86="-","-",VLOOKUP(T86,'CPI USA'!$T:$X,5,FALSE))</f>
        <v>0.49813941766071862</v>
      </c>
      <c r="BB86" s="7"/>
    </row>
    <row r="87" spans="1:54" ht="15.75" customHeight="1">
      <c r="A87" s="185" t="s">
        <v>450</v>
      </c>
      <c r="B87" s="185" t="s">
        <v>451</v>
      </c>
      <c r="C87" s="243">
        <f>+'Empresas 21-23'!J82</f>
        <v>0</v>
      </c>
      <c r="D87" s="239">
        <f>VLOOKUP(A87,'FERC 2021'!$A$3:$BE$221,57,0)</f>
        <v>0</v>
      </c>
      <c r="E87" s="239">
        <f>VLOOKUP(A87,'FERC 2021'!$A$3:$BF$221,58,0)</f>
        <v>0</v>
      </c>
      <c r="F87" s="239">
        <f>VLOOKUP(A87,'FERC 2022'!$A$3:$BE$220,57,0)</f>
        <v>0</v>
      </c>
      <c r="G87" s="239">
        <f>VLOOKUP(A87,'FERC 2022'!$A$3:$BF$220,58,0)</f>
        <v>0</v>
      </c>
      <c r="H87" s="239">
        <f>VLOOKUP(A87,'FERC 2023'!$A$3:$BE$221,57,0)</f>
        <v>0</v>
      </c>
      <c r="I87" s="239">
        <f>VLOOKUP(A87,'FERC 2023'!$A$3:$BF$221,58,0)</f>
        <v>0</v>
      </c>
      <c r="J87" s="7"/>
      <c r="K87" s="7"/>
      <c r="L87" s="7"/>
      <c r="M87" s="187" t="str">
        <f t="shared" si="0"/>
        <v/>
      </c>
      <c r="N87" s="187" t="str">
        <f t="shared" si="1"/>
        <v/>
      </c>
      <c r="O87" s="187" t="str">
        <f t="shared" si="2"/>
        <v/>
      </c>
      <c r="P87" s="7"/>
      <c r="Q87" s="240" t="str">
        <f t="shared" si="3"/>
        <v>-</v>
      </c>
      <c r="R87" s="189" t="str">
        <f t="shared" ref="R87:T87" si="244">IF(ISERROR(R$5-365*$Q87),"-",MONTH(R$5-365*$Q87)&amp;"_"&amp;YEAR(R$5-365*$Q87))</f>
        <v>-</v>
      </c>
      <c r="S87" s="189" t="str">
        <f t="shared" si="244"/>
        <v>-</v>
      </c>
      <c r="T87" s="189" t="str">
        <f t="shared" si="244"/>
        <v>-</v>
      </c>
      <c r="U87" s="7"/>
      <c r="V87" s="7"/>
      <c r="W87" s="190" t="str">
        <f>IF(R87="-","-",VLOOKUP(R87,'CPI USA'!$T:$U,2,FALSE))</f>
        <v>-</v>
      </c>
      <c r="X87" s="190" t="str">
        <f>IF(S87="-","-",VLOOKUP(S87,'CPI USA'!$T:$U,2,FALSE))</f>
        <v>-</v>
      </c>
      <c r="Y87" s="190" t="str">
        <f>IF(T87="-","-",VLOOKUP(T87,'CPI USA'!$T:$U,2,FALSE))</f>
        <v>-</v>
      </c>
      <c r="Z87" s="7"/>
      <c r="AA87" s="7"/>
      <c r="AB87" s="190" t="str">
        <f>IF(R87="-","-",VLOOKUP(R87,'PPI USA'!$S:$T,2,FALSE))</f>
        <v>-</v>
      </c>
      <c r="AC87" s="190" t="str">
        <f>IF(S87="-","-",VLOOKUP(S87,'PPI USA'!$S:$T,2,FALSE))</f>
        <v>-</v>
      </c>
      <c r="AD87" s="190" t="str">
        <f>IF(T87="-","-",VLOOKUP(T87,'PPI USA'!$S:$T,2,FALSE))</f>
        <v>-</v>
      </c>
      <c r="AE87" s="7"/>
      <c r="AF87" s="7"/>
      <c r="AG87" s="190" t="str">
        <f t="shared" ref="AG87:AI87" si="245">IF(W87="-","-",(AT87*$B$2/W87+(1-AT87)*AVERAGE($B$2,$B$3)/AVERAGE(W87,AB87)))</f>
        <v>-</v>
      </c>
      <c r="AH87" s="190" t="str">
        <f t="shared" si="245"/>
        <v>-</v>
      </c>
      <c r="AI87" s="190" t="str">
        <f t="shared" si="245"/>
        <v>-</v>
      </c>
      <c r="AJ87" s="7"/>
      <c r="AK87" s="7"/>
      <c r="AL87" s="190" t="str">
        <f t="shared" ref="AL87:AN87" si="246">IF(W87="-","-",(AY87*$B$2/W87+(1-AY87)*AVERAGE($B$2,$B$3)/AVERAGE(W87,AB87)))</f>
        <v>-</v>
      </c>
      <c r="AM87" s="190" t="str">
        <f t="shared" si="246"/>
        <v>-</v>
      </c>
      <c r="AN87" s="190" t="str">
        <f t="shared" si="246"/>
        <v>-</v>
      </c>
      <c r="AO87" s="7"/>
      <c r="AP87" s="7"/>
      <c r="AQ87" s="7"/>
      <c r="AR87" s="7"/>
      <c r="AS87" s="7"/>
      <c r="AT87" s="242" t="str">
        <f>IF(R87="-","-",VLOOKUP(R87,'CPI USA'!$T:$V,3,FALSE))</f>
        <v>-</v>
      </c>
      <c r="AU87" s="242" t="str">
        <f>IF(S87="-","-",VLOOKUP(S87,'CPI USA'!$T:$V,3,FALSE))</f>
        <v>-</v>
      </c>
      <c r="AV87" s="242" t="str">
        <f>IF(T87="-","-",VLOOKUP(T87,'CPI USA'!$T:$V,3,FALSE))</f>
        <v>-</v>
      </c>
      <c r="AW87" s="7"/>
      <c r="AX87" s="7"/>
      <c r="AY87" s="242" t="str">
        <f>IF(R87="-","-",VLOOKUP(R87,'CPI USA'!$T:$X,5,FALSE))</f>
        <v>-</v>
      </c>
      <c r="AZ87" s="242" t="str">
        <f>IF(S87="-","-",VLOOKUP(S87,'CPI USA'!$T:$X,5,FALSE))</f>
        <v>-</v>
      </c>
      <c r="BA87" s="242" t="str">
        <f>IF(T87="-","-",VLOOKUP(T87,'CPI USA'!$T:$X,5,FALSE))</f>
        <v>-</v>
      </c>
      <c r="BB87" s="7"/>
    </row>
    <row r="88" spans="1:54" ht="15.75" customHeight="1">
      <c r="A88" s="185" t="s">
        <v>453</v>
      </c>
      <c r="B88" s="185" t="s">
        <v>454</v>
      </c>
      <c r="C88" s="239">
        <f>+'Empresas 21-23'!J83</f>
        <v>0</v>
      </c>
      <c r="D88" s="239">
        <f>VLOOKUP(A88,'FERC 2021'!$A$3:$BE$221,57,0)</f>
        <v>782040940</v>
      </c>
      <c r="E88" s="239">
        <f>VLOOKUP(A88,'FERC 2021'!$A$3:$BF$221,58,0)</f>
        <v>47475342</v>
      </c>
      <c r="F88" s="239">
        <f>VLOOKUP(A88,'FERC 2022'!$A$3:$BE$220,57,0)</f>
        <v>798932714</v>
      </c>
      <c r="G88" s="239">
        <f>VLOOKUP(A88,'FERC 2022'!$A$3:$BF$220,58,0)</f>
        <v>42277310</v>
      </c>
      <c r="H88" s="239">
        <f>VLOOKUP(A88,'FERC 2023'!$A$3:$BE$221,57,0)</f>
        <v>818920535</v>
      </c>
      <c r="I88" s="239">
        <f>VLOOKUP(A88,'FERC 2023'!$A$3:$BF$221,58,0)</f>
        <v>45476417</v>
      </c>
      <c r="J88" s="7"/>
      <c r="K88" s="7"/>
      <c r="L88" s="7"/>
      <c r="M88" s="187">
        <f t="shared" si="0"/>
        <v>16.472570961152844</v>
      </c>
      <c r="N88" s="187">
        <f t="shared" si="1"/>
        <v>18.897434912486155</v>
      </c>
      <c r="O88" s="187">
        <f t="shared" si="2"/>
        <v>18.007586987338954</v>
      </c>
      <c r="P88" s="7"/>
      <c r="Q88" s="240">
        <f t="shared" si="3"/>
        <v>17.79253095365932</v>
      </c>
      <c r="R88" s="189" t="str">
        <f t="shared" ref="R88:T88" si="247">IF(ISERROR(R$5-365*$Q88),"-",MONTH(R$5-365*$Q88)&amp;"_"&amp;YEAR(R$5-365*$Q88))</f>
        <v>3_2004</v>
      </c>
      <c r="S88" s="189" t="str">
        <f t="shared" si="247"/>
        <v>3_2005</v>
      </c>
      <c r="T88" s="189" t="str">
        <f t="shared" si="247"/>
        <v>3_2006</v>
      </c>
      <c r="U88" s="7"/>
      <c r="V88" s="7"/>
      <c r="W88" s="190">
        <f>IF(R88="-","-",VLOOKUP(R88,'CPI USA'!$T:$U,2,FALSE))</f>
        <v>188.9</v>
      </c>
      <c r="X88" s="190">
        <f>IF(S88="-","-",VLOOKUP(S88,'CPI USA'!$T:$U,2,FALSE))</f>
        <v>195.3</v>
      </c>
      <c r="Y88" s="190">
        <f>IF(T88="-","-",VLOOKUP(T88,'CPI USA'!$T:$U,2,FALSE))</f>
        <v>201.6</v>
      </c>
      <c r="Z88" s="7"/>
      <c r="AA88" s="7"/>
      <c r="AB88" s="190">
        <f>IF(R88="-","-",VLOOKUP(R88,'PPI USA'!$S:$T,2,FALSE))</f>
        <v>123.7</v>
      </c>
      <c r="AC88" s="190">
        <f>IF(S88="-","-",VLOOKUP(S88,'PPI USA'!$S:$T,2,FALSE))</f>
        <v>131.30000000000001</v>
      </c>
      <c r="AD88" s="190">
        <f>IF(T88="-","-",VLOOKUP(T88,'PPI USA'!$S:$T,2,FALSE))</f>
        <v>145.30000000000001</v>
      </c>
      <c r="AE88" s="7"/>
      <c r="AF88" s="7"/>
      <c r="AG88" s="190">
        <f t="shared" ref="AG88:AI88" si="248">IF(W88="-","-",(AT88*$B$2/W88+(1-AT88)*AVERAGE($B$2,$B$3)/AVERAGE(W88,AB88)))</f>
        <v>1.7242718973721483</v>
      </c>
      <c r="AH88" s="190">
        <f t="shared" si="248"/>
        <v>1.6621774217199745</v>
      </c>
      <c r="AI88" s="190">
        <f t="shared" si="248"/>
        <v>1.595396421204319</v>
      </c>
      <c r="AJ88" s="7"/>
      <c r="AK88" s="7"/>
      <c r="AL88" s="190">
        <f t="shared" ref="AL88:AN88" si="249">IF(W88="-","-",(AY88*$B$2/W88+(1-AY88)*AVERAGE($B$2,$B$3)/AVERAGE(W88,AB88)))</f>
        <v>1.7568944717328012</v>
      </c>
      <c r="AM88" s="190">
        <f t="shared" si="249"/>
        <v>1.6905992787819408</v>
      </c>
      <c r="AN88" s="190">
        <f t="shared" si="249"/>
        <v>1.6147712829199015</v>
      </c>
      <c r="AO88" s="7"/>
      <c r="AP88" s="7"/>
      <c r="AQ88" s="7"/>
      <c r="AR88" s="7"/>
      <c r="AS88" s="7"/>
      <c r="AT88" s="242">
        <f>IF(R88="-","-",VLOOKUP(R88,'CPI USA'!$T:$V,3,FALSE))</f>
        <v>0.68116912558338294</v>
      </c>
      <c r="AU88" s="242">
        <f>IF(S88="-","-",VLOOKUP(S88,'CPI USA'!$T:$V,3,FALSE))</f>
        <v>0.67888602568792966</v>
      </c>
      <c r="AV88" s="242">
        <f>IF(T88="-","-",VLOOKUP(T88,'CPI USA'!$T:$V,3,FALSE))</f>
        <v>0.67263024008352756</v>
      </c>
      <c r="AW88" s="7"/>
      <c r="AX88" s="7"/>
      <c r="AY88" s="242">
        <f>IF(R88="-","-",VLOOKUP(R88,'CPI USA'!$T:$X,5,FALSE))</f>
        <v>0.51091164550905577</v>
      </c>
      <c r="AZ88" s="242">
        <f>IF(S88="-","-",VLOOKUP(S88,'CPI USA'!$T:$X,5,FALSE))</f>
        <v>0.50828944385363772</v>
      </c>
      <c r="BA88" s="242">
        <f>IF(T88="-","-",VLOOKUP(T88,'CPI USA'!$T:$X,5,FALSE))</f>
        <v>0.50115228263529643</v>
      </c>
      <c r="BB88" s="7"/>
    </row>
    <row r="89" spans="1:54" ht="15.75" customHeight="1">
      <c r="A89" s="185" t="s">
        <v>456</v>
      </c>
      <c r="B89" s="185" t="s">
        <v>457</v>
      </c>
      <c r="C89" s="243">
        <f>+'Empresas 21-23'!J84</f>
        <v>1</v>
      </c>
      <c r="D89" s="239">
        <f>VLOOKUP(A89,'FERC 2021'!$A$3:$BE$221,57,0)</f>
        <v>84386975</v>
      </c>
      <c r="E89" s="239">
        <f>VLOOKUP(A89,'FERC 2021'!$A$3:$BF$221,58,0)</f>
        <v>7662362</v>
      </c>
      <c r="F89" s="239">
        <f>VLOOKUP(A89,'FERC 2022'!$A$3:$BE$220,57,0)</f>
        <v>92107317</v>
      </c>
      <c r="G89" s="239">
        <f>VLOOKUP(A89,'FERC 2022'!$A$3:$BF$220,58,0)</f>
        <v>8870153</v>
      </c>
      <c r="H89" s="239">
        <f>VLOOKUP(A89,'FERC 2023'!$A$3:$BE$221,57,0)</f>
        <v>86147293</v>
      </c>
      <c r="I89" s="239">
        <f>VLOOKUP(A89,'FERC 2023'!$A$3:$BF$221,58,0)</f>
        <v>9647201</v>
      </c>
      <c r="J89" s="7"/>
      <c r="K89" s="7"/>
      <c r="L89" s="7"/>
      <c r="M89" s="187">
        <f t="shared" si="0"/>
        <v>11.013180400508356</v>
      </c>
      <c r="N89" s="187">
        <f t="shared" si="1"/>
        <v>10.383960344314241</v>
      </c>
      <c r="O89" s="187">
        <f t="shared" si="2"/>
        <v>8.9297707179522856</v>
      </c>
      <c r="P89" s="7"/>
      <c r="Q89" s="240">
        <f t="shared" si="3"/>
        <v>10.108970487591627</v>
      </c>
      <c r="R89" s="189" t="str">
        <f t="shared" ref="R89:T89" si="250">IF(ISERROR(R$5-365*$Q89),"-",MONTH(R$5-365*$Q89)&amp;"_"&amp;YEAR(R$5-365*$Q89))</f>
        <v>11_2011</v>
      </c>
      <c r="S89" s="189" t="str">
        <f t="shared" si="250"/>
        <v>11_2012</v>
      </c>
      <c r="T89" s="189" t="str">
        <f t="shared" si="250"/>
        <v>11_2013</v>
      </c>
      <c r="U89" s="7"/>
      <c r="V89" s="7"/>
      <c r="W89" s="190">
        <f>IF(R89="-","-",VLOOKUP(R89,'CPI USA'!$T:$U,2,FALSE))</f>
        <v>224.93899999999999</v>
      </c>
      <c r="X89" s="190">
        <f>IF(S89="-","-",VLOOKUP(S89,'CPI USA'!$T:$U,2,FALSE))</f>
        <v>229.59399999999999</v>
      </c>
      <c r="Y89" s="190">
        <f>IF(T89="-","-",VLOOKUP(T89,'CPI USA'!$T:$U,2,FALSE))</f>
        <v>233.06899999999999</v>
      </c>
      <c r="Z89" s="7"/>
      <c r="AA89" s="7"/>
      <c r="AB89" s="190">
        <f>IF(R89="-","-",VLOOKUP(R89,'PPI USA'!$S:$T,2,FALSE))</f>
        <v>169.6</v>
      </c>
      <c r="AC89" s="190">
        <f>IF(S89="-","-",VLOOKUP(S89,'PPI USA'!$S:$T,2,FALSE))</f>
        <v>175.1</v>
      </c>
      <c r="AD89" s="190">
        <f>IF(T89="-","-",VLOOKUP(T89,'PPI USA'!$S:$T,2,FALSE))</f>
        <v>166</v>
      </c>
      <c r="AE89" s="7"/>
      <c r="AF89" s="7"/>
      <c r="AG89" s="190">
        <f t="shared" ref="AG89:AI89" si="251">IF(W89="-","-",(AT89*$B$2/W89+(1-AT89)*AVERAGE($B$2,$B$3)/AVERAGE(W89,AB89)))</f>
        <v>1.4208751760332547</v>
      </c>
      <c r="AH89" s="190">
        <f t="shared" si="251"/>
        <v>1.3897894616766442</v>
      </c>
      <c r="AI89" s="190">
        <f t="shared" si="251"/>
        <v>1.3822908196671626</v>
      </c>
      <c r="AJ89" s="7"/>
      <c r="AK89" s="7"/>
      <c r="AL89" s="190">
        <f t="shared" ref="AL89:AN89" si="252">IF(W89="-","-",(AY89*$B$2/W89+(1-AY89)*AVERAGE($B$2,$B$3)/AVERAGE(W89,AB89)))</f>
        <v>1.4334111417560953</v>
      </c>
      <c r="AM89" s="190">
        <f t="shared" si="252"/>
        <v>1.4008620811189902</v>
      </c>
      <c r="AN89" s="190">
        <f t="shared" si="252"/>
        <v>1.400274192630873</v>
      </c>
      <c r="AO89" s="7"/>
      <c r="AP89" s="7"/>
      <c r="AQ89" s="7"/>
      <c r="AR89" s="7"/>
      <c r="AS89" s="7"/>
      <c r="AT89" s="242">
        <f>IF(R89="-","-",VLOOKUP(R89,'CPI USA'!$T:$V,3,FALSE))</f>
        <v>0.6684022975047168</v>
      </c>
      <c r="AU89" s="242">
        <f>IF(S89="-","-",VLOOKUP(S89,'CPI USA'!$T:$V,3,FALSE))</f>
        <v>0.66730871354337351</v>
      </c>
      <c r="AV89" s="242">
        <f>IF(T89="-","-",VLOOKUP(T89,'CPI USA'!$T:$V,3,FALSE))</f>
        <v>0.67305131835944076</v>
      </c>
      <c r="AW89" s="7"/>
      <c r="AX89" s="7"/>
      <c r="AY89" s="242">
        <f>IF(R89="-","-",VLOOKUP(R89,'CPI USA'!$T:$X,5,FALSE))</f>
        <v>0.49636791791307899</v>
      </c>
      <c r="AZ89" s="242">
        <f>IF(S89="-","-",VLOOKUP(S89,'CPI USA'!$T:$X,5,FALSE))</f>
        <v>0.49513551903851311</v>
      </c>
      <c r="BA89" s="242">
        <f>IF(T89="-","-",VLOOKUP(T89,'CPI USA'!$T:$X,5,FALSE))</f>
        <v>0.50163050295255052</v>
      </c>
      <c r="BB89" s="7"/>
    </row>
    <row r="90" spans="1:54" ht="15.75" customHeight="1">
      <c r="A90" s="185" t="s">
        <v>459</v>
      </c>
      <c r="B90" s="185" t="s">
        <v>460</v>
      </c>
      <c r="C90" s="239">
        <f>+'Empresas 21-23'!J85</f>
        <v>0</v>
      </c>
      <c r="D90" s="239">
        <f>VLOOKUP(A90,'FERC 2021'!$A$3:$BE$221,57,0)</f>
        <v>350369582</v>
      </c>
      <c r="E90" s="239">
        <f>VLOOKUP(A90,'FERC 2021'!$A$3:$BF$221,58,0)</f>
        <v>26692821</v>
      </c>
      <c r="F90" s="239">
        <f>VLOOKUP(A90,'FERC 2022'!$A$3:$BE$220,57,0)</f>
        <v>372802425</v>
      </c>
      <c r="G90" s="239">
        <f>VLOOKUP(A90,'FERC 2022'!$A$3:$BF$220,58,0)</f>
        <v>28036509</v>
      </c>
      <c r="H90" s="239">
        <f>VLOOKUP(A90,'FERC 2023'!$A$3:$BE$221,57,0)</f>
        <v>397489810</v>
      </c>
      <c r="I90" s="239">
        <f>VLOOKUP(A90,'FERC 2023'!$A$3:$BF$221,58,0)</f>
        <v>30306768</v>
      </c>
      <c r="J90" s="7"/>
      <c r="K90" s="7"/>
      <c r="L90" s="7"/>
      <c r="M90" s="187">
        <f t="shared" si="0"/>
        <v>13.125985522474377</v>
      </c>
      <c r="N90" s="187">
        <f t="shared" si="1"/>
        <v>13.29703441323597</v>
      </c>
      <c r="O90" s="187">
        <f t="shared" si="2"/>
        <v>13.115546006093425</v>
      </c>
      <c r="P90" s="7"/>
      <c r="Q90" s="240">
        <f t="shared" si="3"/>
        <v>13.179521980601256</v>
      </c>
      <c r="R90" s="189" t="str">
        <f t="shared" ref="R90:T90" si="253">IF(ISERROR(R$5-365*$Q90),"-",MONTH(R$5-365*$Q90)&amp;"_"&amp;YEAR(R$5-365*$Q90))</f>
        <v>10_2008</v>
      </c>
      <c r="S90" s="189" t="str">
        <f t="shared" si="253"/>
        <v>10_2009</v>
      </c>
      <c r="T90" s="189" t="str">
        <f t="shared" si="253"/>
        <v>10_2010</v>
      </c>
      <c r="U90" s="7"/>
      <c r="V90" s="7"/>
      <c r="W90" s="190">
        <f>IF(R90="-","-",VLOOKUP(R90,'CPI USA'!$T:$U,2,FALSE))</f>
        <v>215.303</v>
      </c>
      <c r="X90" s="190">
        <f>IF(S90="-","-",VLOOKUP(S90,'CPI USA'!$T:$U,2,FALSE))</f>
        <v>214.53700000000001</v>
      </c>
      <c r="Y90" s="190">
        <f>IF(T90="-","-",VLOOKUP(T90,'CPI USA'!$T:$U,2,FALSE))</f>
        <v>218.05600000000001</v>
      </c>
      <c r="Z90" s="7"/>
      <c r="AA90" s="7"/>
      <c r="AB90" s="190">
        <f>IF(R90="-","-",VLOOKUP(R90,'PPI USA'!$S:$T,2,FALSE))</f>
        <v>159.30000000000001</v>
      </c>
      <c r="AC90" s="190">
        <f>IF(S90="-","-",VLOOKUP(S90,'PPI USA'!$S:$T,2,FALSE))</f>
        <v>159.1</v>
      </c>
      <c r="AD90" s="190">
        <f>IF(T90="-","-",VLOOKUP(T90,'PPI USA'!$S:$T,2,FALSE))</f>
        <v>160.80000000000001</v>
      </c>
      <c r="AE90" s="7"/>
      <c r="AF90" s="7"/>
      <c r="AG90" s="190">
        <f t="shared" ref="AG90:AI90" si="254">IF(W90="-","-",(AT90*$B$2/W90+(1-AT90)*AVERAGE($B$2,$B$3)/AVERAGE(W90,AB90)))</f>
        <v>1.4884333659448254</v>
      </c>
      <c r="AH90" s="190">
        <f t="shared" si="254"/>
        <v>1.4932638886873792</v>
      </c>
      <c r="AI90" s="190">
        <f t="shared" si="254"/>
        <v>1.4703278680244813</v>
      </c>
      <c r="AJ90" s="7"/>
      <c r="AK90" s="7"/>
      <c r="AL90" s="190">
        <f t="shared" ref="AL90:AN90" si="255">IF(W90="-","-",(AY90*$B$2/W90+(1-AY90)*AVERAGE($B$2,$B$3)/AVERAGE(W90,AB90)))</f>
        <v>1.5036496327119213</v>
      </c>
      <c r="AM90" s="190">
        <f t="shared" si="255"/>
        <v>1.5082750176818205</v>
      </c>
      <c r="AN90" s="190">
        <f t="shared" si="255"/>
        <v>1.4857204383544427</v>
      </c>
      <c r="AO90" s="7"/>
      <c r="AP90" s="7"/>
      <c r="AQ90" s="7"/>
      <c r="AR90" s="7"/>
      <c r="AS90" s="7"/>
      <c r="AT90" s="242">
        <f>IF(R90="-","-",VLOOKUP(R90,'CPI USA'!$T:$V,3,FALSE))</f>
        <v>0.67018812038291731</v>
      </c>
      <c r="AU90" s="242">
        <f>IF(S90="-","-",VLOOKUP(S90,'CPI USA'!$T:$V,3,FALSE))</f>
        <v>0.66997101349938215</v>
      </c>
      <c r="AV90" s="242">
        <f>IF(T90="-","-",VLOOKUP(T90,'CPI USA'!$T:$V,3,FALSE))</f>
        <v>0.67050107279443949</v>
      </c>
      <c r="AW90" s="7"/>
      <c r="AX90" s="7"/>
      <c r="AY90" s="242">
        <f>IF(R90="-","-",VLOOKUP(R90,'CPI USA'!$T:$X,5,FALSE))</f>
        <v>0.49838492968660258</v>
      </c>
      <c r="AZ90" s="242">
        <f>IF(S90="-","-",VLOOKUP(S90,'CPI USA'!$T:$X,5,FALSE))</f>
        <v>0.49813941766071862</v>
      </c>
      <c r="BA90" s="242">
        <f>IF(T90="-","-",VLOOKUP(T90,'CPI USA'!$T:$X,5,FALSE))</f>
        <v>0.4987389730136107</v>
      </c>
      <c r="BB90" s="7"/>
    </row>
    <row r="91" spans="1:54" ht="15.75" customHeight="1">
      <c r="A91" s="185" t="s">
        <v>462</v>
      </c>
      <c r="B91" s="185" t="s">
        <v>463</v>
      </c>
      <c r="C91" s="239">
        <f>+'Empresas 21-23'!J86</f>
        <v>0</v>
      </c>
      <c r="D91" s="239">
        <f>VLOOKUP(A91,'FERC 2021'!$A$3:$BE$221,57,0)</f>
        <v>1166335393</v>
      </c>
      <c r="E91" s="239">
        <f>VLOOKUP(A91,'FERC 2021'!$A$3:$BF$221,58,0)</f>
        <v>178223107</v>
      </c>
      <c r="F91" s="239">
        <f>VLOOKUP(A91,'FERC 2022'!$A$3:$BE$220,57,0)</f>
        <v>1090320327</v>
      </c>
      <c r="G91" s="239">
        <f>VLOOKUP(A91,'FERC 2022'!$A$3:$BF$220,58,0)</f>
        <v>184522991</v>
      </c>
      <c r="H91" s="239">
        <f>VLOOKUP(A91,'FERC 2023'!$A$3:$BE$221,57,0)</f>
        <v>1057704845</v>
      </c>
      <c r="I91" s="239">
        <f>VLOOKUP(A91,'FERC 2023'!$A$3:$BF$221,58,0)</f>
        <v>192206944</v>
      </c>
      <c r="J91" s="7"/>
      <c r="K91" s="7"/>
      <c r="L91" s="7"/>
      <c r="M91" s="187">
        <f t="shared" si="0"/>
        <v>6.5442434072255287</v>
      </c>
      <c r="N91" s="187">
        <f t="shared" si="1"/>
        <v>5.9088589508068399</v>
      </c>
      <c r="O91" s="187">
        <f t="shared" si="2"/>
        <v>5.5029481401046576</v>
      </c>
      <c r="P91" s="7"/>
      <c r="Q91" s="240">
        <f t="shared" si="3"/>
        <v>5.9853501660456745</v>
      </c>
      <c r="R91" s="189" t="str">
        <f t="shared" ref="R91:T91" si="256">IF(ISERROR(R$5-365*$Q91),"-",MONTH(R$5-365*$Q91)&amp;"_"&amp;YEAR(R$5-365*$Q91))</f>
        <v>1_2016</v>
      </c>
      <c r="S91" s="189" t="str">
        <f t="shared" si="256"/>
        <v>1_2017</v>
      </c>
      <c r="T91" s="189" t="str">
        <f t="shared" si="256"/>
        <v>1_2018</v>
      </c>
      <c r="U91" s="7"/>
      <c r="V91" s="7"/>
      <c r="W91" s="190">
        <f>IF(R91="-","-",VLOOKUP(R91,'CPI USA'!$T:$U,2,FALSE))</f>
        <v>236.916</v>
      </c>
      <c r="X91" s="190">
        <f>IF(S91="-","-",VLOOKUP(S91,'CPI USA'!$T:$U,2,FALSE))</f>
        <v>242.839</v>
      </c>
      <c r="Y91" s="190">
        <f>IF(T91="-","-",VLOOKUP(T91,'CPI USA'!$T:$U,2,FALSE))</f>
        <v>247.86699999999999</v>
      </c>
      <c r="Z91" s="7"/>
      <c r="AA91" s="7"/>
      <c r="AB91" s="190">
        <f>IF(R91="-","-",VLOOKUP(R91,'PPI USA'!$S:$T,2,FALSE))</f>
        <v>171</v>
      </c>
      <c r="AC91" s="190">
        <f>IF(S91="-","-",VLOOKUP(S91,'PPI USA'!$S:$T,2,FALSE))</f>
        <v>193.8</v>
      </c>
      <c r="AD91" s="190">
        <f>IF(T91="-","-",VLOOKUP(T91,'PPI USA'!$S:$T,2,FALSE))</f>
        <v>203.5</v>
      </c>
      <c r="AE91" s="7"/>
      <c r="AF91" s="7"/>
      <c r="AG91" s="190">
        <f t="shared" ref="AG91:AI91" si="257">IF(W91="-","-",(AT91*$B$2/W91+(1-AT91)*AVERAGE($B$2,$B$3)/AVERAGE(W91,AB91)))</f>
        <v>1.3574220468024145</v>
      </c>
      <c r="AH91" s="190">
        <f t="shared" si="257"/>
        <v>1.3052922111247434</v>
      </c>
      <c r="AI91" s="190">
        <f t="shared" si="257"/>
        <v>1.2732677101377043</v>
      </c>
      <c r="AJ91" s="7"/>
      <c r="AK91" s="7"/>
      <c r="AL91" s="190">
        <f t="shared" ref="AL91:AN91" si="258">IF(W91="-","-",(AY91*$B$2/W91+(1-AY91)*AVERAGE($B$2,$B$3)/AVERAGE(W91,AB91)))</f>
        <v>1.3737782272163577</v>
      </c>
      <c r="AM91" s="190">
        <f t="shared" si="258"/>
        <v>1.311189955387182</v>
      </c>
      <c r="AN91" s="190">
        <f t="shared" si="258"/>
        <v>1.2762122370491569</v>
      </c>
      <c r="AO91" s="7"/>
      <c r="AP91" s="7"/>
      <c r="AQ91" s="7"/>
      <c r="AR91" s="7"/>
      <c r="AS91" s="7"/>
      <c r="AT91" s="242">
        <f>IF(R91="-","-",VLOOKUP(R91,'CPI USA'!$T:$V,3,FALSE))</f>
        <v>0.67131212484522451</v>
      </c>
      <c r="AU91" s="242">
        <f>IF(S91="-","-",VLOOKUP(S91,'CPI USA'!$T:$V,3,FALSE))</f>
        <v>0.66204311420409623</v>
      </c>
      <c r="AV91" s="242">
        <f>IF(T91="-","-",VLOOKUP(T91,'CPI USA'!$T:$V,3,FALSE))</f>
        <v>0.66243304941135561</v>
      </c>
      <c r="AW91" s="7"/>
      <c r="AX91" s="7"/>
      <c r="AY91" s="242">
        <f>IF(R91="-","-",VLOOKUP(R91,'CPI USA'!$T:$X,5,FALSE))</f>
        <v>0.49965731919331663</v>
      </c>
      <c r="AZ91" s="242">
        <f>IF(S91="-","-",VLOOKUP(S91,'CPI USA'!$T:$X,5,FALSE))</f>
        <v>0.48923067262022524</v>
      </c>
      <c r="BA91" s="242">
        <f>IF(T91="-","-",VLOOKUP(T91,'CPI USA'!$T:$X,5,FALSE))</f>
        <v>0.48966629901144693</v>
      </c>
      <c r="BB91" s="7"/>
    </row>
    <row r="92" spans="1:54" ht="15.75" customHeight="1">
      <c r="A92" s="185" t="s">
        <v>465</v>
      </c>
      <c r="B92" s="185" t="s">
        <v>466</v>
      </c>
      <c r="C92" s="239">
        <f>+'Empresas 21-23'!J87</f>
        <v>0</v>
      </c>
      <c r="D92" s="239">
        <f>VLOOKUP(A92,'FERC 2021'!$A$3:$BE$221,57,0)</f>
        <v>549592208</v>
      </c>
      <c r="E92" s="239">
        <f>VLOOKUP(A92,'FERC 2021'!$A$3:$BF$221,58,0)</f>
        <v>71316722</v>
      </c>
      <c r="F92" s="239">
        <f>VLOOKUP(A92,'FERC 2022'!$A$3:$BE$220,57,0)</f>
        <v>537621199</v>
      </c>
      <c r="G92" s="239">
        <f>VLOOKUP(A92,'FERC 2022'!$A$3:$BF$220,58,0)</f>
        <v>73232201</v>
      </c>
      <c r="H92" s="239">
        <f>VLOOKUP(A92,'FERC 2023'!$A$3:$BE$221,57,0)</f>
        <v>568392374</v>
      </c>
      <c r="I92" s="239">
        <f>VLOOKUP(A92,'FERC 2023'!$A$3:$BF$221,58,0)</f>
        <v>76794735</v>
      </c>
      <c r="J92" s="7"/>
      <c r="K92" s="7"/>
      <c r="L92" s="7"/>
      <c r="M92" s="187">
        <f t="shared" si="0"/>
        <v>7.7063582367120018</v>
      </c>
      <c r="N92" s="187">
        <f t="shared" si="1"/>
        <v>7.3413224190817372</v>
      </c>
      <c r="O92" s="187">
        <f t="shared" si="2"/>
        <v>7.4014497738679612</v>
      </c>
      <c r="P92" s="7"/>
      <c r="Q92" s="240">
        <f t="shared" si="3"/>
        <v>7.4830434765538998</v>
      </c>
      <c r="R92" s="189" t="str">
        <f t="shared" ref="R92:T92" si="259">IF(ISERROR(R$5-365*$Q92),"-",MONTH(R$5-365*$Q92)&amp;"_"&amp;YEAR(R$5-365*$Q92))</f>
        <v>7_2014</v>
      </c>
      <c r="S92" s="189" t="str">
        <f t="shared" si="259"/>
        <v>7_2015</v>
      </c>
      <c r="T92" s="189" t="str">
        <f t="shared" si="259"/>
        <v>7_2016</v>
      </c>
      <c r="U92" s="7"/>
      <c r="V92" s="7"/>
      <c r="W92" s="190">
        <f>IF(R92="-","-",VLOOKUP(R92,'CPI USA'!$T:$U,2,FALSE))</f>
        <v>238.25</v>
      </c>
      <c r="X92" s="190">
        <f>IF(S92="-","-",VLOOKUP(S92,'CPI USA'!$T:$U,2,FALSE))</f>
        <v>238.654</v>
      </c>
      <c r="Y92" s="190">
        <f>IF(T92="-","-",VLOOKUP(T92,'CPI USA'!$T:$U,2,FALSE))</f>
        <v>240.62799999999999</v>
      </c>
      <c r="Z92" s="7"/>
      <c r="AA92" s="7"/>
      <c r="AB92" s="190">
        <f>IF(R92="-","-",VLOOKUP(R92,'PPI USA'!$S:$T,2,FALSE))</f>
        <v>189.8</v>
      </c>
      <c r="AC92" s="190">
        <f>IF(S92="-","-",VLOOKUP(S92,'PPI USA'!$S:$T,2,FALSE))</f>
        <v>197.7</v>
      </c>
      <c r="AD92" s="190">
        <f>IF(T92="-","-",VLOOKUP(T92,'PPI USA'!$S:$T,2,FALSE))</f>
        <v>188.3</v>
      </c>
      <c r="AE92" s="7"/>
      <c r="AF92" s="7"/>
      <c r="AG92" s="190">
        <f t="shared" ref="AG92:AI92" si="260">IF(W92="-","-",(AT92*$B$2/W92+(1-AT92)*AVERAGE($B$2,$B$3)/AVERAGE(W92,AB92)))</f>
        <v>1.3305966659194053</v>
      </c>
      <c r="AH92" s="190">
        <f t="shared" si="260"/>
        <v>1.3205326005639353</v>
      </c>
      <c r="AI92" s="190">
        <f t="shared" si="260"/>
        <v>1.3208026060159446</v>
      </c>
      <c r="AJ92" s="7"/>
      <c r="AK92" s="7"/>
      <c r="AL92" s="190">
        <f t="shared" ref="AL92:AN92" si="261">IF(W92="-","-",(AY92*$B$2/W92+(1-AY92)*AVERAGE($B$2,$B$3)/AVERAGE(W92,AB92)))</f>
        <v>1.3367684536017217</v>
      </c>
      <c r="AM92" s="190">
        <f t="shared" si="261"/>
        <v>1.3226507501026812</v>
      </c>
      <c r="AN92" s="190">
        <f t="shared" si="261"/>
        <v>1.3287180000631127</v>
      </c>
      <c r="AO92" s="7"/>
      <c r="AP92" s="7"/>
      <c r="AQ92" s="7"/>
      <c r="AR92" s="7"/>
      <c r="AS92" s="7"/>
      <c r="AT92" s="242">
        <f>IF(R92="-","-",VLOOKUP(R92,'CPI USA'!$T:$V,3,FALSE))</f>
        <v>0.66756601812039096</v>
      </c>
      <c r="AU92" s="242">
        <f>IF(S92="-","-",VLOOKUP(S92,'CPI USA'!$T:$V,3,FALSE))</f>
        <v>0.6679408278919865</v>
      </c>
      <c r="AV92" s="242">
        <f>IF(T92="-","-",VLOOKUP(T92,'CPI USA'!$T:$V,3,FALSE))</f>
        <v>0.67131212484522451</v>
      </c>
      <c r="AW92" s="7"/>
      <c r="AX92" s="7"/>
      <c r="AY92" s="242">
        <f>IF(R92="-","-",VLOOKUP(R92,'CPI USA'!$T:$X,5,FALSE))</f>
        <v>0.49542529667095003</v>
      </c>
      <c r="AZ92" s="242">
        <f>IF(S92="-","-",VLOOKUP(S92,'CPI USA'!$T:$X,5,FALSE))</f>
        <v>0.49584761624008583</v>
      </c>
      <c r="BA92" s="242">
        <f>IF(T92="-","-",VLOOKUP(T92,'CPI USA'!$T:$X,5,FALSE))</f>
        <v>0.49965731919331663</v>
      </c>
      <c r="BB92" s="7"/>
    </row>
    <row r="93" spans="1:54" ht="15.75" customHeight="1">
      <c r="A93" s="185" t="s">
        <v>468</v>
      </c>
      <c r="B93" s="185" t="s">
        <v>469</v>
      </c>
      <c r="C93" s="239">
        <f>+'Empresas 21-23'!J88</f>
        <v>0</v>
      </c>
      <c r="D93" s="239">
        <f>VLOOKUP(A93,'FERC 2021'!$A$3:$BE$221,57,0)</f>
        <v>270264631</v>
      </c>
      <c r="E93" s="239">
        <f>VLOOKUP(A93,'FERC 2021'!$A$3:$BF$221,58,0)</f>
        <v>26464717</v>
      </c>
      <c r="F93" s="239">
        <f>VLOOKUP(A93,'FERC 2022'!$A$3:$BE$220,57,0)</f>
        <v>285032816</v>
      </c>
      <c r="G93" s="239">
        <f>VLOOKUP(A93,'FERC 2022'!$A$3:$BF$220,58,0)</f>
        <v>28206400</v>
      </c>
      <c r="H93" s="239">
        <f>VLOOKUP(A93,'FERC 2023'!$A$3:$BE$221,57,0)</f>
        <v>301392617</v>
      </c>
      <c r="I93" s="239">
        <f>VLOOKUP(A93,'FERC 2023'!$A$3:$BF$221,58,0)</f>
        <v>29642116</v>
      </c>
      <c r="J93" s="7"/>
      <c r="K93" s="7"/>
      <c r="L93" s="7"/>
      <c r="M93" s="187">
        <f t="shared" si="0"/>
        <v>10.212262273577307</v>
      </c>
      <c r="N93" s="187">
        <f t="shared" si="1"/>
        <v>10.10525327585229</v>
      </c>
      <c r="O93" s="187">
        <f t="shared" si="2"/>
        <v>10.167715995713666</v>
      </c>
      <c r="P93" s="7"/>
      <c r="Q93" s="240">
        <f t="shared" si="3"/>
        <v>10.161743848381088</v>
      </c>
      <c r="R93" s="189" t="str">
        <f t="shared" ref="R93:T93" si="262">IF(ISERROR(R$5-365*$Q93),"-",MONTH(R$5-365*$Q93)&amp;"_"&amp;YEAR(R$5-365*$Q93))</f>
        <v>11_2011</v>
      </c>
      <c r="S93" s="189" t="str">
        <f t="shared" si="262"/>
        <v>11_2012</v>
      </c>
      <c r="T93" s="189" t="str">
        <f t="shared" si="262"/>
        <v>11_2013</v>
      </c>
      <c r="U93" s="7"/>
      <c r="V93" s="7"/>
      <c r="W93" s="190">
        <f>IF(R93="-","-",VLOOKUP(R93,'CPI USA'!$T:$U,2,FALSE))</f>
        <v>224.93899999999999</v>
      </c>
      <c r="X93" s="190">
        <f>IF(S93="-","-",VLOOKUP(S93,'CPI USA'!$T:$U,2,FALSE))</f>
        <v>229.59399999999999</v>
      </c>
      <c r="Y93" s="190">
        <f>IF(T93="-","-",VLOOKUP(T93,'CPI USA'!$T:$U,2,FALSE))</f>
        <v>233.06899999999999</v>
      </c>
      <c r="Z93" s="7"/>
      <c r="AA93" s="7"/>
      <c r="AB93" s="190">
        <f>IF(R93="-","-",VLOOKUP(R93,'PPI USA'!$S:$T,2,FALSE))</f>
        <v>169.6</v>
      </c>
      <c r="AC93" s="190">
        <f>IF(S93="-","-",VLOOKUP(S93,'PPI USA'!$S:$T,2,FALSE))</f>
        <v>175.1</v>
      </c>
      <c r="AD93" s="190">
        <f>IF(T93="-","-",VLOOKUP(T93,'PPI USA'!$S:$T,2,FALSE))</f>
        <v>166</v>
      </c>
      <c r="AE93" s="7"/>
      <c r="AF93" s="7"/>
      <c r="AG93" s="190">
        <f t="shared" ref="AG93:AI93" si="263">IF(W93="-","-",(AT93*$B$2/W93+(1-AT93)*AVERAGE($B$2,$B$3)/AVERAGE(W93,AB93)))</f>
        <v>1.4208751760332547</v>
      </c>
      <c r="AH93" s="190">
        <f t="shared" si="263"/>
        <v>1.3897894616766442</v>
      </c>
      <c r="AI93" s="190">
        <f t="shared" si="263"/>
        <v>1.3822908196671626</v>
      </c>
      <c r="AJ93" s="7"/>
      <c r="AK93" s="7"/>
      <c r="AL93" s="190">
        <f t="shared" ref="AL93:AN93" si="264">IF(W93="-","-",(AY93*$B$2/W93+(1-AY93)*AVERAGE($B$2,$B$3)/AVERAGE(W93,AB93)))</f>
        <v>1.4334111417560953</v>
      </c>
      <c r="AM93" s="190">
        <f t="shared" si="264"/>
        <v>1.4008620811189902</v>
      </c>
      <c r="AN93" s="190">
        <f t="shared" si="264"/>
        <v>1.400274192630873</v>
      </c>
      <c r="AO93" s="7"/>
      <c r="AP93" s="7"/>
      <c r="AQ93" s="7"/>
      <c r="AR93" s="7"/>
      <c r="AS93" s="7"/>
      <c r="AT93" s="242">
        <f>IF(R93="-","-",VLOOKUP(R93,'CPI USA'!$T:$V,3,FALSE))</f>
        <v>0.6684022975047168</v>
      </c>
      <c r="AU93" s="242">
        <f>IF(S93="-","-",VLOOKUP(S93,'CPI USA'!$T:$V,3,FALSE))</f>
        <v>0.66730871354337351</v>
      </c>
      <c r="AV93" s="242">
        <f>IF(T93="-","-",VLOOKUP(T93,'CPI USA'!$T:$V,3,FALSE))</f>
        <v>0.67305131835944076</v>
      </c>
      <c r="AW93" s="7"/>
      <c r="AX93" s="7"/>
      <c r="AY93" s="242">
        <f>IF(R93="-","-",VLOOKUP(R93,'CPI USA'!$T:$X,5,FALSE))</f>
        <v>0.49636791791307899</v>
      </c>
      <c r="AZ93" s="242">
        <f>IF(S93="-","-",VLOOKUP(S93,'CPI USA'!$T:$X,5,FALSE))</f>
        <v>0.49513551903851311</v>
      </c>
      <c r="BA93" s="242">
        <f>IF(T93="-","-",VLOOKUP(T93,'CPI USA'!$T:$X,5,FALSE))</f>
        <v>0.50163050295255052</v>
      </c>
      <c r="BB93" s="7"/>
    </row>
    <row r="94" spans="1:54" ht="15.75" customHeight="1">
      <c r="A94" s="185" t="s">
        <v>471</v>
      </c>
      <c r="B94" s="185" t="s">
        <v>472</v>
      </c>
      <c r="C94" s="239">
        <f>+'Empresas 21-23'!J89</f>
        <v>0</v>
      </c>
      <c r="D94" s="239">
        <f>VLOOKUP(A94,'FERC 2021'!$A$3:$BE$221,57,0)</f>
        <v>5995333901</v>
      </c>
      <c r="E94" s="239">
        <f>VLOOKUP(A94,'FERC 2021'!$A$3:$BF$221,58,0)</f>
        <v>537274017</v>
      </c>
      <c r="F94" s="239">
        <f>VLOOKUP(A94,'FERC 2022'!$A$3:$BE$220,57,0)</f>
        <v>6370914575</v>
      </c>
      <c r="G94" s="239">
        <f>VLOOKUP(A94,'FERC 2022'!$A$3:$BF$220,58,0)</f>
        <v>653660923</v>
      </c>
      <c r="H94" s="239">
        <f>VLOOKUP(A94,'FERC 2023'!$A$3:$BE$221,57,0)</f>
        <v>6590729588</v>
      </c>
      <c r="I94" s="239">
        <f>VLOOKUP(A94,'FERC 2023'!$A$3:$BF$221,58,0)</f>
        <v>713564739</v>
      </c>
      <c r="J94" s="7"/>
      <c r="K94" s="7"/>
      <c r="L94" s="7"/>
      <c r="M94" s="187">
        <f t="shared" si="0"/>
        <v>11.158801116935457</v>
      </c>
      <c r="N94" s="187">
        <f t="shared" si="1"/>
        <v>9.7465128338412246</v>
      </c>
      <c r="O94" s="187">
        <f t="shared" si="2"/>
        <v>9.2363442695281499</v>
      </c>
      <c r="P94" s="7"/>
      <c r="Q94" s="240">
        <f t="shared" si="3"/>
        <v>10.047219406768276</v>
      </c>
      <c r="R94" s="189" t="str">
        <f t="shared" ref="R94:T94" si="265">IF(ISERROR(R$5-365*$Q94),"-",MONTH(R$5-365*$Q94)&amp;"_"&amp;YEAR(R$5-365*$Q94))</f>
        <v>12_2011</v>
      </c>
      <c r="S94" s="189" t="str">
        <f t="shared" si="265"/>
        <v>12_2012</v>
      </c>
      <c r="T94" s="189" t="str">
        <f t="shared" si="265"/>
        <v>12_2013</v>
      </c>
      <c r="U94" s="7"/>
      <c r="V94" s="7"/>
      <c r="W94" s="190">
        <f>IF(R94="-","-",VLOOKUP(R94,'CPI USA'!$T:$U,2,FALSE))</f>
        <v>224.93899999999999</v>
      </c>
      <c r="X94" s="190">
        <f>IF(S94="-","-",VLOOKUP(S94,'CPI USA'!$T:$U,2,FALSE))</f>
        <v>229.59399999999999</v>
      </c>
      <c r="Y94" s="190">
        <f>IF(T94="-","-",VLOOKUP(T94,'CPI USA'!$T:$U,2,FALSE))</f>
        <v>233.04900000000001</v>
      </c>
      <c r="Z94" s="7"/>
      <c r="AA94" s="7"/>
      <c r="AB94" s="190">
        <f>IF(R94="-","-",VLOOKUP(R94,'PPI USA'!$S:$T,2,FALSE))</f>
        <v>169.6</v>
      </c>
      <c r="AC94" s="190">
        <f>IF(S94="-","-",VLOOKUP(S94,'PPI USA'!$S:$T,2,FALSE))</f>
        <v>175.1</v>
      </c>
      <c r="AD94" s="190">
        <f>IF(T94="-","-",VLOOKUP(T94,'PPI USA'!$S:$T,2,FALSE))</f>
        <v>167.2</v>
      </c>
      <c r="AE94" s="7"/>
      <c r="AF94" s="7"/>
      <c r="AG94" s="190">
        <f t="shared" ref="AG94:AI94" si="266">IF(W94="-","-",(AT94*$B$2/W94+(1-AT94)*AVERAGE($B$2,$B$3)/AVERAGE(W94,AB94)))</f>
        <v>1.4208751760332547</v>
      </c>
      <c r="AH94" s="190">
        <f t="shared" si="266"/>
        <v>1.3897894616766442</v>
      </c>
      <c r="AI94" s="190">
        <f t="shared" si="266"/>
        <v>1.3809682329132076</v>
      </c>
      <c r="AJ94" s="7"/>
      <c r="AK94" s="7"/>
      <c r="AL94" s="190">
        <f t="shared" ref="AL94:AN94" si="267">IF(W94="-","-",(AY94*$B$2/W94+(1-AY94)*AVERAGE($B$2,$B$3)/AVERAGE(W94,AB94)))</f>
        <v>1.4334111417560953</v>
      </c>
      <c r="AM94" s="190">
        <f t="shared" si="267"/>
        <v>1.4008620811189902</v>
      </c>
      <c r="AN94" s="190">
        <f t="shared" si="267"/>
        <v>1.3981975138665637</v>
      </c>
      <c r="AO94" s="7"/>
      <c r="AP94" s="7"/>
      <c r="AQ94" s="7"/>
      <c r="AR94" s="7"/>
      <c r="AS94" s="7"/>
      <c r="AT94" s="242">
        <f>IF(R94="-","-",VLOOKUP(R94,'CPI USA'!$T:$V,3,FALSE))</f>
        <v>0.6684022975047168</v>
      </c>
      <c r="AU94" s="242">
        <f>IF(S94="-","-",VLOOKUP(S94,'CPI USA'!$T:$V,3,FALSE))</f>
        <v>0.66730871354337351</v>
      </c>
      <c r="AV94" s="242">
        <f>IF(T94="-","-",VLOOKUP(T94,'CPI USA'!$T:$V,3,FALSE))</f>
        <v>0.67305131835944076</v>
      </c>
      <c r="AW94" s="7"/>
      <c r="AX94" s="7"/>
      <c r="AY94" s="242">
        <f>IF(R94="-","-",VLOOKUP(R94,'CPI USA'!$T:$X,5,FALSE))</f>
        <v>0.49636791791307899</v>
      </c>
      <c r="AZ94" s="242">
        <f>IF(S94="-","-",VLOOKUP(S94,'CPI USA'!$T:$X,5,FALSE))</f>
        <v>0.49513551903851311</v>
      </c>
      <c r="BA94" s="242">
        <f>IF(T94="-","-",VLOOKUP(T94,'CPI USA'!$T:$X,5,FALSE))</f>
        <v>0.50163050295255052</v>
      </c>
      <c r="BB94" s="7"/>
    </row>
    <row r="95" spans="1:54" ht="15.75" customHeight="1">
      <c r="A95" s="185" t="s">
        <v>474</v>
      </c>
      <c r="B95" s="185" t="s">
        <v>475</v>
      </c>
      <c r="C95" s="239">
        <f>+'Empresas 21-23'!J90</f>
        <v>0</v>
      </c>
      <c r="D95" s="239">
        <f>VLOOKUP(A95,'FERC 2021'!$A$3:$BE$221,57,0)</f>
        <v>2575345508</v>
      </c>
      <c r="E95" s="239">
        <f>VLOOKUP(A95,'FERC 2021'!$A$3:$BF$221,58,0)</f>
        <v>166782890</v>
      </c>
      <c r="F95" s="239">
        <f>VLOOKUP(A95,'FERC 2022'!$A$3:$BE$220,57,0)</f>
        <v>2668189517</v>
      </c>
      <c r="G95" s="239">
        <f>VLOOKUP(A95,'FERC 2022'!$A$3:$BF$220,58,0)</f>
        <v>174703487</v>
      </c>
      <c r="H95" s="239">
        <f>VLOOKUP(A95,'FERC 2023'!$A$3:$BE$221,57,0)</f>
        <v>2719335568</v>
      </c>
      <c r="I95" s="239">
        <f>VLOOKUP(A95,'FERC 2023'!$A$3:$BF$221,58,0)</f>
        <v>182259483</v>
      </c>
      <c r="J95" s="7"/>
      <c r="K95" s="7"/>
      <c r="L95" s="7"/>
      <c r="M95" s="187">
        <f t="shared" si="0"/>
        <v>15.441305208226096</v>
      </c>
      <c r="N95" s="187">
        <f t="shared" si="1"/>
        <v>15.272674649018311</v>
      </c>
      <c r="O95" s="187">
        <f t="shared" si="2"/>
        <v>14.92013212832388</v>
      </c>
      <c r="P95" s="7"/>
      <c r="Q95" s="240">
        <f t="shared" si="3"/>
        <v>15.211370661856096</v>
      </c>
      <c r="R95" s="189" t="str">
        <f t="shared" ref="R95:T95" si="268">IF(ISERROR(R$5-365*$Q95),"-",MONTH(R$5-365*$Q95)&amp;"_"&amp;YEAR(R$5-365*$Q95))</f>
        <v>10_2006</v>
      </c>
      <c r="S95" s="189" t="str">
        <f t="shared" si="268"/>
        <v>10_2007</v>
      </c>
      <c r="T95" s="189" t="str">
        <f t="shared" si="268"/>
        <v>10_2008</v>
      </c>
      <c r="U95" s="7"/>
      <c r="V95" s="7"/>
      <c r="W95" s="190">
        <f>IF(R95="-","-",VLOOKUP(R95,'CPI USA'!$T:$U,2,FALSE))</f>
        <v>201.6</v>
      </c>
      <c r="X95" s="190">
        <f>IF(S95="-","-",VLOOKUP(S95,'CPI USA'!$T:$U,2,FALSE))</f>
        <v>207.34200000000001</v>
      </c>
      <c r="Y95" s="190">
        <f>IF(T95="-","-",VLOOKUP(T95,'CPI USA'!$T:$U,2,FALSE))</f>
        <v>215.303</v>
      </c>
      <c r="Z95" s="7"/>
      <c r="AA95" s="7"/>
      <c r="AB95" s="190">
        <f>IF(R95="-","-",VLOOKUP(R95,'PPI USA'!$S:$T,2,FALSE))</f>
        <v>145.30000000000001</v>
      </c>
      <c r="AC95" s="190">
        <f>IF(S95="-","-",VLOOKUP(S95,'PPI USA'!$S:$T,2,FALSE))</f>
        <v>151.69999999999999</v>
      </c>
      <c r="AD95" s="190">
        <f>IF(T95="-","-",VLOOKUP(T95,'PPI USA'!$S:$T,2,FALSE))</f>
        <v>159.30000000000001</v>
      </c>
      <c r="AE95" s="7"/>
      <c r="AF95" s="7"/>
      <c r="AG95" s="190">
        <f t="shared" ref="AG95:AI95" si="269">IF(W95="-","-",(AT95*$B$2/W95+(1-AT95)*AVERAGE($B$2,$B$3)/AVERAGE(W95,AB95)))</f>
        <v>1.595396421204319</v>
      </c>
      <c r="AH95" s="190">
        <f t="shared" si="269"/>
        <v>1.5480022216582647</v>
      </c>
      <c r="AI95" s="190">
        <f t="shared" si="269"/>
        <v>1.4884333659448254</v>
      </c>
      <c r="AJ95" s="7"/>
      <c r="AK95" s="7"/>
      <c r="AL95" s="190">
        <f t="shared" ref="AL95:AN95" si="270">IF(W95="-","-",(AY95*$B$2/W95+(1-AY95)*AVERAGE($B$2,$B$3)/AVERAGE(W95,AB95)))</f>
        <v>1.6147712829199015</v>
      </c>
      <c r="AM95" s="190">
        <f t="shared" si="270"/>
        <v>1.5651038394149617</v>
      </c>
      <c r="AN95" s="190">
        <f t="shared" si="270"/>
        <v>1.5036496327119213</v>
      </c>
      <c r="AO95" s="7"/>
      <c r="AP95" s="7"/>
      <c r="AQ95" s="7"/>
      <c r="AR95" s="7"/>
      <c r="AS95" s="7"/>
      <c r="AT95" s="242">
        <f>IF(R95="-","-",VLOOKUP(R95,'CPI USA'!$T:$V,3,FALSE))</f>
        <v>0.67263024008352756</v>
      </c>
      <c r="AU95" s="242">
        <f>IF(S95="-","-",VLOOKUP(S95,'CPI USA'!$T:$V,3,FALSE))</f>
        <v>0.67123734379962852</v>
      </c>
      <c r="AV95" s="242">
        <f>IF(T95="-","-",VLOOKUP(T95,'CPI USA'!$T:$V,3,FALSE))</f>
        <v>0.67018812038291731</v>
      </c>
      <c r="AW95" s="7"/>
      <c r="AX95" s="7"/>
      <c r="AY95" s="242">
        <f>IF(R95="-","-",VLOOKUP(R95,'CPI USA'!$T:$X,5,FALSE))</f>
        <v>0.50115228263529643</v>
      </c>
      <c r="AZ95" s="242">
        <f>IF(S95="-","-",VLOOKUP(S95,'CPI USA'!$T:$X,5,FALSE))</f>
        <v>0.49957259686190569</v>
      </c>
      <c r="BA95" s="242">
        <f>IF(T95="-","-",VLOOKUP(T95,'CPI USA'!$T:$X,5,FALSE))</f>
        <v>0.49838492968660258</v>
      </c>
      <c r="BB95" s="7"/>
    </row>
    <row r="96" spans="1:54" ht="15.75" customHeight="1">
      <c r="A96" s="185" t="s">
        <v>477</v>
      </c>
      <c r="B96" s="185" t="s">
        <v>478</v>
      </c>
      <c r="C96" s="239">
        <f>+'Empresas 21-23'!J91</f>
        <v>0</v>
      </c>
      <c r="D96" s="239">
        <f>VLOOKUP(A96,'FERC 2021'!$A$3:$BE$221,57,0)</f>
        <v>468995922</v>
      </c>
      <c r="E96" s="239">
        <f>VLOOKUP(A96,'FERC 2021'!$A$3:$BF$221,58,0)</f>
        <v>35108422</v>
      </c>
      <c r="F96" s="239">
        <f>VLOOKUP(A96,'FERC 2022'!$A$3:$BE$220,57,0)</f>
        <v>480352627</v>
      </c>
      <c r="G96" s="239">
        <f>VLOOKUP(A96,'FERC 2022'!$A$3:$BF$220,58,0)</f>
        <v>36585086</v>
      </c>
      <c r="H96" s="239">
        <f>VLOOKUP(A96,'FERC 2023'!$A$3:$BE$221,57,0)</f>
        <v>505249565</v>
      </c>
      <c r="I96" s="239">
        <f>VLOOKUP(A96,'FERC 2023'!$A$3:$BF$221,58,0)</f>
        <v>38148142</v>
      </c>
      <c r="J96" s="7"/>
      <c r="K96" s="7"/>
      <c r="L96" s="7"/>
      <c r="M96" s="187">
        <f t="shared" si="0"/>
        <v>13.358501900199331</v>
      </c>
      <c r="N96" s="187">
        <f t="shared" si="1"/>
        <v>13.129738905082798</v>
      </c>
      <c r="O96" s="187">
        <f t="shared" si="2"/>
        <v>13.244408207351226</v>
      </c>
      <c r="P96" s="7"/>
      <c r="Q96" s="240">
        <f t="shared" si="3"/>
        <v>13.244216337544451</v>
      </c>
      <c r="R96" s="189" t="str">
        <f t="shared" ref="R96:T96" si="271">IF(ISERROR(R$5-365*$Q96),"-",MONTH(R$5-365*$Q96)&amp;"_"&amp;YEAR(R$5-365*$Q96))</f>
        <v>10_2008</v>
      </c>
      <c r="S96" s="189" t="str">
        <f t="shared" si="271"/>
        <v>10_2009</v>
      </c>
      <c r="T96" s="189" t="str">
        <f t="shared" si="271"/>
        <v>10_2010</v>
      </c>
      <c r="U96" s="7"/>
      <c r="V96" s="7"/>
      <c r="W96" s="190">
        <f>IF(R96="-","-",VLOOKUP(R96,'CPI USA'!$T:$U,2,FALSE))</f>
        <v>215.303</v>
      </c>
      <c r="X96" s="190">
        <f>IF(S96="-","-",VLOOKUP(S96,'CPI USA'!$T:$U,2,FALSE))</f>
        <v>214.53700000000001</v>
      </c>
      <c r="Y96" s="190">
        <f>IF(T96="-","-",VLOOKUP(T96,'CPI USA'!$T:$U,2,FALSE))</f>
        <v>218.05600000000001</v>
      </c>
      <c r="Z96" s="7"/>
      <c r="AA96" s="7"/>
      <c r="AB96" s="190">
        <f>IF(R96="-","-",VLOOKUP(R96,'PPI USA'!$S:$T,2,FALSE))</f>
        <v>159.30000000000001</v>
      </c>
      <c r="AC96" s="190">
        <f>IF(S96="-","-",VLOOKUP(S96,'PPI USA'!$S:$T,2,FALSE))</f>
        <v>159.1</v>
      </c>
      <c r="AD96" s="190">
        <f>IF(T96="-","-",VLOOKUP(T96,'PPI USA'!$S:$T,2,FALSE))</f>
        <v>160.80000000000001</v>
      </c>
      <c r="AE96" s="7"/>
      <c r="AF96" s="7"/>
      <c r="AG96" s="190">
        <f t="shared" ref="AG96:AI96" si="272">IF(W96="-","-",(AT96*$B$2/W96+(1-AT96)*AVERAGE($B$2,$B$3)/AVERAGE(W96,AB96)))</f>
        <v>1.4884333659448254</v>
      </c>
      <c r="AH96" s="190">
        <f t="shared" si="272"/>
        <v>1.4932638886873792</v>
      </c>
      <c r="AI96" s="190">
        <f t="shared" si="272"/>
        <v>1.4703278680244813</v>
      </c>
      <c r="AJ96" s="7"/>
      <c r="AK96" s="7"/>
      <c r="AL96" s="190">
        <f t="shared" ref="AL96:AN96" si="273">IF(W96="-","-",(AY96*$B$2/W96+(1-AY96)*AVERAGE($B$2,$B$3)/AVERAGE(W96,AB96)))</f>
        <v>1.5036496327119213</v>
      </c>
      <c r="AM96" s="190">
        <f t="shared" si="273"/>
        <v>1.5082750176818205</v>
      </c>
      <c r="AN96" s="190">
        <f t="shared" si="273"/>
        <v>1.4857204383544427</v>
      </c>
      <c r="AO96" s="7"/>
      <c r="AP96" s="7"/>
      <c r="AQ96" s="7"/>
      <c r="AR96" s="7"/>
      <c r="AS96" s="7"/>
      <c r="AT96" s="242">
        <f>IF(R96="-","-",VLOOKUP(R96,'CPI USA'!$T:$V,3,FALSE))</f>
        <v>0.67018812038291731</v>
      </c>
      <c r="AU96" s="242">
        <f>IF(S96="-","-",VLOOKUP(S96,'CPI USA'!$T:$V,3,FALSE))</f>
        <v>0.66997101349938215</v>
      </c>
      <c r="AV96" s="242">
        <f>IF(T96="-","-",VLOOKUP(T96,'CPI USA'!$T:$V,3,FALSE))</f>
        <v>0.67050107279443949</v>
      </c>
      <c r="AW96" s="7"/>
      <c r="AX96" s="7"/>
      <c r="AY96" s="242">
        <f>IF(R96="-","-",VLOOKUP(R96,'CPI USA'!$T:$X,5,FALSE))</f>
        <v>0.49838492968660258</v>
      </c>
      <c r="AZ96" s="242">
        <f>IF(S96="-","-",VLOOKUP(S96,'CPI USA'!$T:$X,5,FALSE))</f>
        <v>0.49813941766071862</v>
      </c>
      <c r="BA96" s="242">
        <f>IF(T96="-","-",VLOOKUP(T96,'CPI USA'!$T:$X,5,FALSE))</f>
        <v>0.4987389730136107</v>
      </c>
      <c r="BB96" s="7"/>
    </row>
    <row r="97" spans="1:54" ht="15.75" customHeight="1">
      <c r="A97" s="185" t="s">
        <v>480</v>
      </c>
      <c r="B97" s="185" t="s">
        <v>481</v>
      </c>
      <c r="C97" s="239">
        <f>+'Empresas 21-23'!J92</f>
        <v>0</v>
      </c>
      <c r="D97" s="239">
        <f>VLOOKUP(A97,'FERC 2021'!$A$3:$BE$221,57,0)</f>
        <v>2291154531</v>
      </c>
      <c r="E97" s="239">
        <f>VLOOKUP(A97,'FERC 2021'!$A$3:$BF$221,58,0)</f>
        <v>132833930</v>
      </c>
      <c r="F97" s="239">
        <f>VLOOKUP(A97,'FERC 2022'!$A$3:$BE$220,57,0)</f>
        <v>2402299018</v>
      </c>
      <c r="G97" s="239">
        <f>VLOOKUP(A97,'FERC 2022'!$A$3:$BF$220,58,0)</f>
        <v>129933888</v>
      </c>
      <c r="H97" s="239">
        <f>VLOOKUP(A97,'FERC 2023'!$A$3:$BE$221,57,0)</f>
        <v>2513948231</v>
      </c>
      <c r="I97" s="239">
        <f>VLOOKUP(A97,'FERC 2023'!$A$3:$BF$221,58,0)</f>
        <v>137175623</v>
      </c>
      <c r="J97" s="7"/>
      <c r="K97" s="7"/>
      <c r="L97" s="7"/>
      <c r="M97" s="187">
        <f t="shared" si="0"/>
        <v>17.248262781956388</v>
      </c>
      <c r="N97" s="187">
        <f t="shared" si="1"/>
        <v>18.488625677082794</v>
      </c>
      <c r="O97" s="187">
        <f t="shared" si="2"/>
        <v>18.326493993761559</v>
      </c>
      <c r="P97" s="7"/>
      <c r="Q97" s="240">
        <f t="shared" si="3"/>
        <v>18.021127484266913</v>
      </c>
      <c r="R97" s="189" t="str">
        <f t="shared" ref="R97:T97" si="274">IF(ISERROR(R$5-365*$Q97),"-",MONTH(R$5-365*$Q97)&amp;"_"&amp;YEAR(R$5-365*$Q97))</f>
        <v>12_2003</v>
      </c>
      <c r="S97" s="189" t="str">
        <f t="shared" si="274"/>
        <v>12_2004</v>
      </c>
      <c r="T97" s="189" t="str">
        <f t="shared" si="274"/>
        <v>12_2005</v>
      </c>
      <c r="U97" s="7"/>
      <c r="V97" s="7"/>
      <c r="W97" s="190">
        <f>IF(R97="-","-",VLOOKUP(R97,'CPI USA'!$T:$U,2,FALSE))</f>
        <v>184</v>
      </c>
      <c r="X97" s="190">
        <f>IF(S97="-","-",VLOOKUP(S97,'CPI USA'!$T:$U,2,FALSE))</f>
        <v>188.9</v>
      </c>
      <c r="Y97" s="190">
        <f>IF(T97="-","-",VLOOKUP(T97,'CPI USA'!$T:$U,2,FALSE))</f>
        <v>195.3</v>
      </c>
      <c r="Z97" s="7"/>
      <c r="AA97" s="7"/>
      <c r="AB97" s="190">
        <f>IF(R97="-","-",VLOOKUP(R97,'PPI USA'!$S:$T,2,FALSE))</f>
        <v>122.6</v>
      </c>
      <c r="AC97" s="190">
        <f>IF(S97="-","-",VLOOKUP(S97,'PPI USA'!$S:$T,2,FALSE))</f>
        <v>123.7</v>
      </c>
      <c r="AD97" s="190">
        <f>IF(T97="-","-",VLOOKUP(T97,'PPI USA'!$S:$T,2,FALSE))</f>
        <v>131.30000000000001</v>
      </c>
      <c r="AE97" s="7"/>
      <c r="AF97" s="7"/>
      <c r="AG97" s="190">
        <f t="shared" ref="AG97:AI97" si="275">IF(W97="-","-",(AT97*$B$2/W97+(1-AT97)*AVERAGE($B$2,$B$3)/AVERAGE(W97,AB97)))</f>
        <v>1.7662899637984153</v>
      </c>
      <c r="AH97" s="190">
        <f t="shared" si="275"/>
        <v>1.7242718973721483</v>
      </c>
      <c r="AI97" s="190">
        <f t="shared" si="275"/>
        <v>1.6621774217199745</v>
      </c>
      <c r="AJ97" s="7"/>
      <c r="AK97" s="7"/>
      <c r="AL97" s="190">
        <f t="shared" ref="AL97:AN97" si="276">IF(W97="-","-",(AY97*$B$2/W97+(1-AY97)*AVERAGE($B$2,$B$3)/AVERAGE(W97,AB97)))</f>
        <v>1.7975926193363585</v>
      </c>
      <c r="AM97" s="190">
        <f t="shared" si="276"/>
        <v>1.7568944717328012</v>
      </c>
      <c r="AN97" s="190">
        <f t="shared" si="276"/>
        <v>1.6905992787819408</v>
      </c>
      <c r="AO97" s="7"/>
      <c r="AP97" s="7"/>
      <c r="AQ97" s="7"/>
      <c r="AR97" s="7"/>
      <c r="AS97" s="7"/>
      <c r="AT97" s="242">
        <f>IF(R97="-","-",VLOOKUP(R97,'CPI USA'!$T:$V,3,FALSE))</f>
        <v>0.67966838867333434</v>
      </c>
      <c r="AU97" s="242">
        <f>IF(S97="-","-",VLOOKUP(S97,'CPI USA'!$T:$V,3,FALSE))</f>
        <v>0.68116912558338294</v>
      </c>
      <c r="AV97" s="242">
        <f>IF(T97="-","-",VLOOKUP(T97,'CPI USA'!$T:$V,3,FALSE))</f>
        <v>0.67888602568792966</v>
      </c>
      <c r="AW97" s="7"/>
      <c r="AX97" s="7"/>
      <c r="AY97" s="242">
        <f>IF(R97="-","-",VLOOKUP(R97,'CPI USA'!$T:$X,5,FALSE))</f>
        <v>0.509186952863521</v>
      </c>
      <c r="AZ97" s="242">
        <f>IF(S97="-","-",VLOOKUP(S97,'CPI USA'!$T:$X,5,FALSE))</f>
        <v>0.51091164550905577</v>
      </c>
      <c r="BA97" s="242">
        <f>IF(T97="-","-",VLOOKUP(T97,'CPI USA'!$T:$X,5,FALSE))</f>
        <v>0.50828944385363772</v>
      </c>
      <c r="BB97" s="7"/>
    </row>
    <row r="98" spans="1:54" ht="15.75" customHeight="1">
      <c r="A98" s="185" t="s">
        <v>483</v>
      </c>
      <c r="B98" s="185" t="s">
        <v>484</v>
      </c>
      <c r="C98" s="239">
        <f>+'Empresas 21-23'!J93</f>
        <v>0</v>
      </c>
      <c r="D98" s="239">
        <f>VLOOKUP(A98,'FERC 2021'!$A$3:$BE$221,57,0)</f>
        <v>1295009151</v>
      </c>
      <c r="E98" s="239">
        <f>VLOOKUP(A98,'FERC 2021'!$A$3:$BF$221,58,0)</f>
        <v>89214097</v>
      </c>
      <c r="F98" s="239">
        <f>VLOOKUP(A98,'FERC 2022'!$A$3:$BE$220,57,0)</f>
        <v>1341602232</v>
      </c>
      <c r="G98" s="239">
        <f>VLOOKUP(A98,'FERC 2022'!$A$3:$BF$220,58,0)</f>
        <v>89893603</v>
      </c>
      <c r="H98" s="239">
        <f>VLOOKUP(A98,'FERC 2023'!$A$3:$BE$221,57,0)</f>
        <v>1392373011</v>
      </c>
      <c r="I98" s="239">
        <f>VLOOKUP(A98,'FERC 2023'!$A$3:$BF$221,58,0)</f>
        <v>95386551</v>
      </c>
      <c r="J98" s="7"/>
      <c r="K98" s="7"/>
      <c r="L98" s="7"/>
      <c r="M98" s="187">
        <f t="shared" si="0"/>
        <v>14.515745768294892</v>
      </c>
      <c r="N98" s="187">
        <f t="shared" si="1"/>
        <v>14.924334849499802</v>
      </c>
      <c r="O98" s="187">
        <f t="shared" si="2"/>
        <v>14.597162769833243</v>
      </c>
      <c r="P98" s="7"/>
      <c r="Q98" s="240">
        <f t="shared" si="3"/>
        <v>14.679081129209314</v>
      </c>
      <c r="R98" s="189" t="str">
        <f t="shared" ref="R98:T98" si="277">IF(ISERROR(R$5-365*$Q98),"-",MONTH(R$5-365*$Q98)&amp;"_"&amp;YEAR(R$5-365*$Q98))</f>
        <v>5_2007</v>
      </c>
      <c r="S98" s="189" t="str">
        <f t="shared" si="277"/>
        <v>4_2008</v>
      </c>
      <c r="T98" s="189" t="str">
        <f t="shared" si="277"/>
        <v>4_2009</v>
      </c>
      <c r="U98" s="7"/>
      <c r="V98" s="7"/>
      <c r="W98" s="190">
        <f>IF(R98="-","-",VLOOKUP(R98,'CPI USA'!$T:$U,2,FALSE))</f>
        <v>207.34200000000001</v>
      </c>
      <c r="X98" s="190">
        <f>IF(S98="-","-",VLOOKUP(S98,'CPI USA'!$T:$U,2,FALSE))</f>
        <v>215.303</v>
      </c>
      <c r="Y98" s="190">
        <f>IF(T98="-","-",VLOOKUP(T98,'CPI USA'!$T:$U,2,FALSE))</f>
        <v>214.53700000000001</v>
      </c>
      <c r="Z98" s="7"/>
      <c r="AA98" s="7"/>
      <c r="AB98" s="190">
        <f>IF(R98="-","-",VLOOKUP(R98,'PPI USA'!$S:$T,2,FALSE))</f>
        <v>151.69999999999999</v>
      </c>
      <c r="AC98" s="190">
        <f>IF(S98="-","-",VLOOKUP(S98,'PPI USA'!$S:$T,2,FALSE))</f>
        <v>159.30000000000001</v>
      </c>
      <c r="AD98" s="190">
        <f>IF(T98="-","-",VLOOKUP(T98,'PPI USA'!$S:$T,2,FALSE))</f>
        <v>159.1</v>
      </c>
      <c r="AE98" s="7"/>
      <c r="AF98" s="7"/>
      <c r="AG98" s="190">
        <f t="shared" ref="AG98:AI98" si="278">IF(W98="-","-",(AT98*$B$2/W98+(1-AT98)*AVERAGE($B$2,$B$3)/AVERAGE(W98,AB98)))</f>
        <v>1.5480022216582647</v>
      </c>
      <c r="AH98" s="190">
        <f t="shared" si="278"/>
        <v>1.4884333659448254</v>
      </c>
      <c r="AI98" s="190">
        <f t="shared" si="278"/>
        <v>1.4932638886873792</v>
      </c>
      <c r="AJ98" s="7"/>
      <c r="AK98" s="7"/>
      <c r="AL98" s="190">
        <f t="shared" ref="AL98:AN98" si="279">IF(W98="-","-",(AY98*$B$2/W98+(1-AY98)*AVERAGE($B$2,$B$3)/AVERAGE(W98,AB98)))</f>
        <v>1.5651038394149617</v>
      </c>
      <c r="AM98" s="190">
        <f t="shared" si="279"/>
        <v>1.5036496327119213</v>
      </c>
      <c r="AN98" s="190">
        <f t="shared" si="279"/>
        <v>1.5082750176818205</v>
      </c>
      <c r="AO98" s="7"/>
      <c r="AP98" s="7"/>
      <c r="AQ98" s="7"/>
      <c r="AR98" s="7"/>
      <c r="AS98" s="7"/>
      <c r="AT98" s="242">
        <f>IF(R98="-","-",VLOOKUP(R98,'CPI USA'!$T:$V,3,FALSE))</f>
        <v>0.67123734379962852</v>
      </c>
      <c r="AU98" s="242">
        <f>IF(S98="-","-",VLOOKUP(S98,'CPI USA'!$T:$V,3,FALSE))</f>
        <v>0.67018812038291731</v>
      </c>
      <c r="AV98" s="242">
        <f>IF(T98="-","-",VLOOKUP(T98,'CPI USA'!$T:$V,3,FALSE))</f>
        <v>0.66997101349938215</v>
      </c>
      <c r="AW98" s="7"/>
      <c r="AX98" s="7"/>
      <c r="AY98" s="242">
        <f>IF(R98="-","-",VLOOKUP(R98,'CPI USA'!$T:$X,5,FALSE))</f>
        <v>0.49957259686190569</v>
      </c>
      <c r="AZ98" s="242">
        <f>IF(S98="-","-",VLOOKUP(S98,'CPI USA'!$T:$X,5,FALSE))</f>
        <v>0.49838492968660258</v>
      </c>
      <c r="BA98" s="242">
        <f>IF(T98="-","-",VLOOKUP(T98,'CPI USA'!$T:$X,5,FALSE))</f>
        <v>0.49813941766071862</v>
      </c>
      <c r="BB98" s="7"/>
    </row>
    <row r="99" spans="1:54" ht="15.75" customHeight="1">
      <c r="A99" s="185" t="s">
        <v>486</v>
      </c>
      <c r="B99" s="185" t="s">
        <v>487</v>
      </c>
      <c r="C99" s="239">
        <f>+'Empresas 21-23'!J94</f>
        <v>0</v>
      </c>
      <c r="D99" s="239">
        <f>VLOOKUP(A99,'FERC 2021'!$A$3:$BE$221,57,0)</f>
        <v>18730887</v>
      </c>
      <c r="E99" s="239">
        <f>VLOOKUP(A99,'FERC 2021'!$A$3:$BF$221,58,0)</f>
        <v>943524</v>
      </c>
      <c r="F99" s="239">
        <f>VLOOKUP(A99,'FERC 2022'!$A$3:$BE$220,57,0)</f>
        <v>19659082</v>
      </c>
      <c r="G99" s="239">
        <f>VLOOKUP(A99,'FERC 2022'!$A$3:$BF$220,58,0)</f>
        <v>989793</v>
      </c>
      <c r="H99" s="239">
        <f>VLOOKUP(A99,'FERC 2023'!$A$3:$BE$221,57,0)</f>
        <v>20577909</v>
      </c>
      <c r="I99" s="239">
        <f>VLOOKUP(A99,'FERC 2023'!$A$3:$BF$221,58,0)</f>
        <v>1041413</v>
      </c>
      <c r="J99" s="7"/>
      <c r="K99" s="7"/>
      <c r="L99" s="7"/>
      <c r="M99" s="187">
        <f t="shared" si="0"/>
        <v>19.852051458150509</v>
      </c>
      <c r="N99" s="187">
        <f t="shared" si="1"/>
        <v>19.86181151008342</v>
      </c>
      <c r="O99" s="187">
        <f t="shared" si="2"/>
        <v>19.759604498887569</v>
      </c>
      <c r="P99" s="7"/>
      <c r="Q99" s="240">
        <f t="shared" si="3"/>
        <v>19.824489155707166</v>
      </c>
      <c r="R99" s="189" t="str">
        <f t="shared" ref="R99:T99" si="280">IF(ISERROR(R$5-365*$Q99),"-",MONTH(R$5-365*$Q99)&amp;"_"&amp;YEAR(R$5-365*$Q99))</f>
        <v>3_2002</v>
      </c>
      <c r="S99" s="189" t="str">
        <f t="shared" si="280"/>
        <v>3_2003</v>
      </c>
      <c r="T99" s="189" t="str">
        <f t="shared" si="280"/>
        <v>3_2004</v>
      </c>
      <c r="U99" s="7"/>
      <c r="V99" s="7"/>
      <c r="W99" s="190">
        <f>IF(R99="-","-",VLOOKUP(R99,'CPI USA'!$T:$U,2,FALSE))</f>
        <v>179.9</v>
      </c>
      <c r="X99" s="190">
        <f>IF(S99="-","-",VLOOKUP(S99,'CPI USA'!$T:$U,2,FALSE))</f>
        <v>184</v>
      </c>
      <c r="Y99" s="190">
        <f>IF(T99="-","-",VLOOKUP(T99,'CPI USA'!$T:$U,2,FALSE))</f>
        <v>188.9</v>
      </c>
      <c r="Z99" s="7"/>
      <c r="AA99" s="7"/>
      <c r="AB99" s="190">
        <f>IF(R99="-","-",VLOOKUP(R99,'PPI USA'!$S:$T,2,FALSE))</f>
        <v>117.7</v>
      </c>
      <c r="AC99" s="190">
        <f>IF(S99="-","-",VLOOKUP(S99,'PPI USA'!$S:$T,2,FALSE))</f>
        <v>122.6</v>
      </c>
      <c r="AD99" s="190">
        <f>IF(T99="-","-",VLOOKUP(T99,'PPI USA'!$S:$T,2,FALSE))</f>
        <v>123.7</v>
      </c>
      <c r="AE99" s="7"/>
      <c r="AF99" s="7"/>
      <c r="AG99" s="190">
        <f t="shared" ref="AG99:AI99" si="281">IF(W99="-","-",(AT99*$B$2/W99+(1-AT99)*AVERAGE($B$2,$B$3)/AVERAGE(W99,AB99)))</f>
        <v>1.8107397595358932</v>
      </c>
      <c r="AH99" s="190">
        <f t="shared" si="281"/>
        <v>1.7662899637984153</v>
      </c>
      <c r="AI99" s="190">
        <f t="shared" si="281"/>
        <v>1.7242718973721483</v>
      </c>
      <c r="AJ99" s="7"/>
      <c r="AK99" s="7"/>
      <c r="AL99" s="190">
        <f t="shared" ref="AL99:AN99" si="282">IF(W99="-","-",(AY99*$B$2/W99+(1-AY99)*AVERAGE($B$2,$B$3)/AVERAGE(W99,AB99)))</f>
        <v>1.8451105665988905</v>
      </c>
      <c r="AM99" s="190">
        <f t="shared" si="282"/>
        <v>1.7975926193363585</v>
      </c>
      <c r="AN99" s="190">
        <f t="shared" si="282"/>
        <v>1.7568944717328012</v>
      </c>
      <c r="AO99" s="7"/>
      <c r="AP99" s="7"/>
      <c r="AQ99" s="7"/>
      <c r="AR99" s="7"/>
      <c r="AS99" s="7"/>
      <c r="AT99" s="242">
        <f>IF(R99="-","-",VLOOKUP(R99,'CPI USA'!$T:$V,3,FALSE))</f>
        <v>0.68124675757695474</v>
      </c>
      <c r="AU99" s="242">
        <f>IF(S99="-","-",VLOOKUP(S99,'CPI USA'!$T:$V,3,FALSE))</f>
        <v>0.67966838867333434</v>
      </c>
      <c r="AV99" s="242">
        <f>IF(T99="-","-",VLOOKUP(T99,'CPI USA'!$T:$V,3,FALSE))</f>
        <v>0.68116912558338294</v>
      </c>
      <c r="AW99" s="7"/>
      <c r="AX99" s="7"/>
      <c r="AY99" s="242">
        <f>IF(R99="-","-",VLOOKUP(R99,'CPI USA'!$T:$X,5,FALSE))</f>
        <v>0.51100097296585234</v>
      </c>
      <c r="AZ99" s="242">
        <f>IF(S99="-","-",VLOOKUP(S99,'CPI USA'!$T:$X,5,FALSE))</f>
        <v>0.509186952863521</v>
      </c>
      <c r="BA99" s="242">
        <f>IF(T99="-","-",VLOOKUP(T99,'CPI USA'!$T:$X,5,FALSE))</f>
        <v>0.51091164550905577</v>
      </c>
      <c r="BB99" s="7"/>
    </row>
    <row r="100" spans="1:54" ht="15.75" customHeight="1">
      <c r="A100" s="185" t="s">
        <v>490</v>
      </c>
      <c r="B100" s="185" t="s">
        <v>491</v>
      </c>
      <c r="C100" s="239">
        <f>+'Empresas 21-23'!J95</f>
        <v>0</v>
      </c>
      <c r="D100" s="239">
        <f>VLOOKUP(A100,'FERC 2021'!$A$3:$BE$221,57,0)</f>
        <v>967276393</v>
      </c>
      <c r="E100" s="239">
        <f>VLOOKUP(A100,'FERC 2021'!$A$3:$BF$221,58,0)</f>
        <v>72503486</v>
      </c>
      <c r="F100" s="239">
        <f>VLOOKUP(A100,'FERC 2022'!$A$3:$BE$220,57,0)</f>
        <v>988189201</v>
      </c>
      <c r="G100" s="239">
        <f>VLOOKUP(A100,'FERC 2022'!$A$3:$BF$220,58,0)</f>
        <v>79630403</v>
      </c>
      <c r="H100" s="239">
        <f>VLOOKUP(A100,'FERC 2023'!$A$3:$BE$221,57,0)</f>
        <v>1008906179</v>
      </c>
      <c r="I100" s="239">
        <f>VLOOKUP(A100,'FERC 2023'!$A$3:$BF$221,58,0)</f>
        <v>86306530</v>
      </c>
      <c r="J100" s="7"/>
      <c r="K100" s="7"/>
      <c r="L100" s="7"/>
      <c r="M100" s="187">
        <f t="shared" si="0"/>
        <v>13.341101874742961</v>
      </c>
      <c r="N100" s="187">
        <f t="shared" si="1"/>
        <v>12.409697348888212</v>
      </c>
      <c r="O100" s="187">
        <f t="shared" si="2"/>
        <v>11.689801212028801</v>
      </c>
      <c r="P100" s="7"/>
      <c r="Q100" s="240">
        <f t="shared" si="3"/>
        <v>12.480200145219991</v>
      </c>
      <c r="R100" s="189" t="str">
        <f t="shared" ref="R100:T100" si="283">IF(ISERROR(R$5-365*$Q100),"-",MONTH(R$5-365*$Q100)&amp;"_"&amp;YEAR(R$5-365*$Q100))</f>
        <v>7_2009</v>
      </c>
      <c r="S100" s="189" t="str">
        <f t="shared" si="283"/>
        <v>7_2010</v>
      </c>
      <c r="T100" s="189" t="str">
        <f t="shared" si="283"/>
        <v>7_2011</v>
      </c>
      <c r="U100" s="7"/>
      <c r="V100" s="7"/>
      <c r="W100" s="190">
        <f>IF(R100="-","-",VLOOKUP(R100,'CPI USA'!$T:$U,2,FALSE))</f>
        <v>214.53700000000001</v>
      </c>
      <c r="X100" s="190">
        <f>IF(S100="-","-",VLOOKUP(S100,'CPI USA'!$T:$U,2,FALSE))</f>
        <v>218.05600000000001</v>
      </c>
      <c r="Y100" s="190">
        <f>IF(T100="-","-",VLOOKUP(T100,'CPI USA'!$T:$U,2,FALSE))</f>
        <v>224.93899999999999</v>
      </c>
      <c r="Z100" s="7"/>
      <c r="AA100" s="7"/>
      <c r="AB100" s="190">
        <f>IF(R100="-","-",VLOOKUP(R100,'PPI USA'!$S:$T,2,FALSE))</f>
        <v>159.1</v>
      </c>
      <c r="AC100" s="190">
        <f>IF(S100="-","-",VLOOKUP(S100,'PPI USA'!$S:$T,2,FALSE))</f>
        <v>160.80000000000001</v>
      </c>
      <c r="AD100" s="190">
        <f>IF(T100="-","-",VLOOKUP(T100,'PPI USA'!$S:$T,2,FALSE))</f>
        <v>169.6</v>
      </c>
      <c r="AE100" s="7"/>
      <c r="AF100" s="7"/>
      <c r="AG100" s="190">
        <f t="shared" ref="AG100:AI100" si="284">IF(W100="-","-",(AT100*$B$2/W100+(1-AT100)*AVERAGE($B$2,$B$3)/AVERAGE(W100,AB100)))</f>
        <v>1.4932638886873792</v>
      </c>
      <c r="AH100" s="190">
        <f t="shared" si="284"/>
        <v>1.4703278680244813</v>
      </c>
      <c r="AI100" s="190">
        <f t="shared" si="284"/>
        <v>1.4208751760332547</v>
      </c>
      <c r="AJ100" s="7"/>
      <c r="AK100" s="7"/>
      <c r="AL100" s="190">
        <f t="shared" ref="AL100:AN100" si="285">IF(W100="-","-",(AY100*$B$2/W100+(1-AY100)*AVERAGE($B$2,$B$3)/AVERAGE(W100,AB100)))</f>
        <v>1.5082750176818205</v>
      </c>
      <c r="AM100" s="190">
        <f t="shared" si="285"/>
        <v>1.4857204383544427</v>
      </c>
      <c r="AN100" s="190">
        <f t="shared" si="285"/>
        <v>1.4334111417560953</v>
      </c>
      <c r="AO100" s="7"/>
      <c r="AP100" s="7"/>
      <c r="AQ100" s="7"/>
      <c r="AR100" s="7"/>
      <c r="AS100" s="7"/>
      <c r="AT100" s="242">
        <f>IF(R100="-","-",VLOOKUP(R100,'CPI USA'!$T:$V,3,FALSE))</f>
        <v>0.66997101349938215</v>
      </c>
      <c r="AU100" s="242">
        <f>IF(S100="-","-",VLOOKUP(S100,'CPI USA'!$T:$V,3,FALSE))</f>
        <v>0.67050107279443949</v>
      </c>
      <c r="AV100" s="242">
        <f>IF(T100="-","-",VLOOKUP(T100,'CPI USA'!$T:$V,3,FALSE))</f>
        <v>0.6684022975047168</v>
      </c>
      <c r="AW100" s="7"/>
      <c r="AX100" s="7"/>
      <c r="AY100" s="242">
        <f>IF(R100="-","-",VLOOKUP(R100,'CPI USA'!$T:$X,5,FALSE))</f>
        <v>0.49813941766071862</v>
      </c>
      <c r="AZ100" s="242">
        <f>IF(S100="-","-",VLOOKUP(S100,'CPI USA'!$T:$X,5,FALSE))</f>
        <v>0.4987389730136107</v>
      </c>
      <c r="BA100" s="242">
        <f>IF(T100="-","-",VLOOKUP(T100,'CPI USA'!$T:$X,5,FALSE))</f>
        <v>0.49636791791307899</v>
      </c>
      <c r="BB100" s="7"/>
    </row>
    <row r="101" spans="1:54" ht="15.75" customHeight="1">
      <c r="A101" s="185" t="s">
        <v>493</v>
      </c>
      <c r="B101" s="185" t="s">
        <v>494</v>
      </c>
      <c r="C101" s="239">
        <f>+'Empresas 21-23'!J96</f>
        <v>0</v>
      </c>
      <c r="D101" s="239">
        <f>VLOOKUP(A101,'FERC 2021'!$A$3:$BE$221,57,0)</f>
        <v>621603469</v>
      </c>
      <c r="E101" s="239">
        <f>VLOOKUP(A101,'FERC 2021'!$A$3:$BF$221,58,0)</f>
        <v>49598746</v>
      </c>
      <c r="F101" s="239">
        <f>VLOOKUP(A101,'FERC 2022'!$A$3:$BE$220,57,0)</f>
        <v>638171944</v>
      </c>
      <c r="G101" s="239">
        <f>VLOOKUP(A101,'FERC 2022'!$A$3:$BF$220,58,0)</f>
        <v>54562883</v>
      </c>
      <c r="H101" s="239">
        <f>VLOOKUP(A101,'FERC 2023'!$A$3:$BE$221,57,0)</f>
        <v>672464494</v>
      </c>
      <c r="I101" s="239">
        <f>VLOOKUP(A101,'FERC 2023'!$A$3:$BF$221,58,0)</f>
        <v>63624971</v>
      </c>
      <c r="J101" s="7"/>
      <c r="K101" s="7"/>
      <c r="L101" s="7"/>
      <c r="M101" s="187">
        <f t="shared" si="0"/>
        <v>12.532644857593779</v>
      </c>
      <c r="N101" s="187">
        <f t="shared" si="1"/>
        <v>11.69608182177617</v>
      </c>
      <c r="O101" s="187">
        <f t="shared" si="2"/>
        <v>10.5691913635607</v>
      </c>
      <c r="P101" s="7"/>
      <c r="Q101" s="240">
        <f t="shared" si="3"/>
        <v>11.599306014310216</v>
      </c>
      <c r="R101" s="189" t="str">
        <f t="shared" ref="R101:T101" si="286">IF(ISERROR(R$5-365*$Q101),"-",MONTH(R$5-365*$Q101)&amp;"_"&amp;YEAR(R$5-365*$Q101))</f>
        <v>5_2010</v>
      </c>
      <c r="S101" s="189" t="str">
        <f t="shared" si="286"/>
        <v>5_2011</v>
      </c>
      <c r="T101" s="189" t="str">
        <f t="shared" si="286"/>
        <v>5_2012</v>
      </c>
      <c r="U101" s="7"/>
      <c r="V101" s="7"/>
      <c r="W101" s="190">
        <f>IF(R101="-","-",VLOOKUP(R101,'CPI USA'!$T:$U,2,FALSE))</f>
        <v>218.05600000000001</v>
      </c>
      <c r="X101" s="190">
        <f>IF(S101="-","-",VLOOKUP(S101,'CPI USA'!$T:$U,2,FALSE))</f>
        <v>224.93899999999999</v>
      </c>
      <c r="Y101" s="190">
        <f>IF(T101="-","-",VLOOKUP(T101,'CPI USA'!$T:$U,2,FALSE))</f>
        <v>229.59399999999999</v>
      </c>
      <c r="Z101" s="7"/>
      <c r="AA101" s="7"/>
      <c r="AB101" s="190">
        <f>IF(R101="-","-",VLOOKUP(R101,'PPI USA'!$S:$T,2,FALSE))</f>
        <v>160.80000000000001</v>
      </c>
      <c r="AC101" s="190">
        <f>IF(S101="-","-",VLOOKUP(S101,'PPI USA'!$S:$T,2,FALSE))</f>
        <v>169.6</v>
      </c>
      <c r="AD101" s="190">
        <f>IF(T101="-","-",VLOOKUP(T101,'PPI USA'!$S:$T,2,FALSE))</f>
        <v>175.1</v>
      </c>
      <c r="AE101" s="7"/>
      <c r="AF101" s="7"/>
      <c r="AG101" s="190">
        <f t="shared" ref="AG101:AI101" si="287">IF(W101="-","-",(AT101*$B$2/W101+(1-AT101)*AVERAGE($B$2,$B$3)/AVERAGE(W101,AB101)))</f>
        <v>1.4703278680244813</v>
      </c>
      <c r="AH101" s="190">
        <f t="shared" si="287"/>
        <v>1.4208751760332547</v>
      </c>
      <c r="AI101" s="190">
        <f t="shared" si="287"/>
        <v>1.3897894616766442</v>
      </c>
      <c r="AJ101" s="7"/>
      <c r="AK101" s="7"/>
      <c r="AL101" s="190">
        <f t="shared" ref="AL101:AN101" si="288">IF(W101="-","-",(AY101*$B$2/W101+(1-AY101)*AVERAGE($B$2,$B$3)/AVERAGE(W101,AB101)))</f>
        <v>1.4857204383544427</v>
      </c>
      <c r="AM101" s="190">
        <f t="shared" si="288"/>
        <v>1.4334111417560953</v>
      </c>
      <c r="AN101" s="190">
        <f t="shared" si="288"/>
        <v>1.4008620811189902</v>
      </c>
      <c r="AO101" s="7"/>
      <c r="AP101" s="7"/>
      <c r="AQ101" s="7"/>
      <c r="AR101" s="7"/>
      <c r="AS101" s="7"/>
      <c r="AT101" s="242">
        <f>IF(R101="-","-",VLOOKUP(R101,'CPI USA'!$T:$V,3,FALSE))</f>
        <v>0.67050107279443949</v>
      </c>
      <c r="AU101" s="242">
        <f>IF(S101="-","-",VLOOKUP(S101,'CPI USA'!$T:$V,3,FALSE))</f>
        <v>0.6684022975047168</v>
      </c>
      <c r="AV101" s="242">
        <f>IF(T101="-","-",VLOOKUP(T101,'CPI USA'!$T:$V,3,FALSE))</f>
        <v>0.66730871354337351</v>
      </c>
      <c r="AW101" s="7"/>
      <c r="AX101" s="7"/>
      <c r="AY101" s="242">
        <f>IF(R101="-","-",VLOOKUP(R101,'CPI USA'!$T:$X,5,FALSE))</f>
        <v>0.4987389730136107</v>
      </c>
      <c r="AZ101" s="242">
        <f>IF(S101="-","-",VLOOKUP(S101,'CPI USA'!$T:$X,5,FALSE))</f>
        <v>0.49636791791307899</v>
      </c>
      <c r="BA101" s="242">
        <f>IF(T101="-","-",VLOOKUP(T101,'CPI USA'!$T:$X,5,FALSE))</f>
        <v>0.49513551903851311</v>
      </c>
      <c r="BB101" s="7"/>
    </row>
    <row r="102" spans="1:54" ht="15.75" customHeight="1">
      <c r="A102" s="185" t="s">
        <v>496</v>
      </c>
      <c r="B102" s="185" t="s">
        <v>497</v>
      </c>
      <c r="C102" s="243">
        <f>+'Empresas 21-23'!J97</f>
        <v>0</v>
      </c>
      <c r="D102" s="239">
        <f>VLOOKUP(A102,'FERC 2021'!$A$3:$BE$221,57,0)</f>
        <v>0</v>
      </c>
      <c r="E102" s="239">
        <f>VLOOKUP(A102,'FERC 2021'!$A$3:$BF$221,58,0)</f>
        <v>0</v>
      </c>
      <c r="F102" s="239">
        <f>VLOOKUP(A102,'FERC 2022'!$A$3:$BE$220,57,0)</f>
        <v>0</v>
      </c>
      <c r="G102" s="239">
        <f>VLOOKUP(A102,'FERC 2022'!$A$3:$BF$220,58,0)</f>
        <v>0</v>
      </c>
      <c r="H102" s="239">
        <f>VLOOKUP(A102,'FERC 2023'!$A$3:$BE$221,57,0)</f>
        <v>0</v>
      </c>
      <c r="I102" s="239">
        <f>VLOOKUP(A102,'FERC 2023'!$A$3:$BF$221,58,0)</f>
        <v>0</v>
      </c>
      <c r="J102" s="7"/>
      <c r="K102" s="7"/>
      <c r="L102" s="7"/>
      <c r="M102" s="187" t="str">
        <f t="shared" si="0"/>
        <v/>
      </c>
      <c r="N102" s="187" t="str">
        <f t="shared" si="1"/>
        <v/>
      </c>
      <c r="O102" s="187" t="str">
        <f t="shared" si="2"/>
        <v/>
      </c>
      <c r="P102" s="7"/>
      <c r="Q102" s="240" t="str">
        <f t="shared" si="3"/>
        <v>-</v>
      </c>
      <c r="R102" s="189" t="str">
        <f t="shared" ref="R102:T102" si="289">IF(ISERROR(R$5-365*$Q102),"-",MONTH(R$5-365*$Q102)&amp;"_"&amp;YEAR(R$5-365*$Q102))</f>
        <v>-</v>
      </c>
      <c r="S102" s="189" t="str">
        <f t="shared" si="289"/>
        <v>-</v>
      </c>
      <c r="T102" s="189" t="str">
        <f t="shared" si="289"/>
        <v>-</v>
      </c>
      <c r="U102" s="7"/>
      <c r="V102" s="7"/>
      <c r="W102" s="190" t="str">
        <f>IF(R102="-","-",VLOOKUP(R102,'CPI USA'!$T:$U,2,FALSE))</f>
        <v>-</v>
      </c>
      <c r="X102" s="190" t="str">
        <f>IF(S102="-","-",VLOOKUP(S102,'CPI USA'!$T:$U,2,FALSE))</f>
        <v>-</v>
      </c>
      <c r="Y102" s="190" t="str">
        <f>IF(T102="-","-",VLOOKUP(T102,'CPI USA'!$T:$U,2,FALSE))</f>
        <v>-</v>
      </c>
      <c r="Z102" s="7"/>
      <c r="AA102" s="7"/>
      <c r="AB102" s="190" t="str">
        <f>IF(R102="-","-",VLOOKUP(R102,'PPI USA'!$S:$T,2,FALSE))</f>
        <v>-</v>
      </c>
      <c r="AC102" s="190" t="str">
        <f>IF(S102="-","-",VLOOKUP(S102,'PPI USA'!$S:$T,2,FALSE))</f>
        <v>-</v>
      </c>
      <c r="AD102" s="190" t="str">
        <f>IF(T102="-","-",VLOOKUP(T102,'PPI USA'!$S:$T,2,FALSE))</f>
        <v>-</v>
      </c>
      <c r="AE102" s="7"/>
      <c r="AF102" s="7"/>
      <c r="AG102" s="190" t="str">
        <f t="shared" ref="AG102:AI102" si="290">IF(W102="-","-",(AT102*$B$2/W102+(1-AT102)*AVERAGE($B$2,$B$3)/AVERAGE(W102,AB102)))</f>
        <v>-</v>
      </c>
      <c r="AH102" s="190" t="str">
        <f t="shared" si="290"/>
        <v>-</v>
      </c>
      <c r="AI102" s="190" t="str">
        <f t="shared" si="290"/>
        <v>-</v>
      </c>
      <c r="AJ102" s="7"/>
      <c r="AK102" s="7"/>
      <c r="AL102" s="190" t="str">
        <f t="shared" ref="AL102:AN102" si="291">IF(W102="-","-",(AY102*$B$2/W102+(1-AY102)*AVERAGE($B$2,$B$3)/AVERAGE(W102,AB102)))</f>
        <v>-</v>
      </c>
      <c r="AM102" s="190" t="str">
        <f t="shared" si="291"/>
        <v>-</v>
      </c>
      <c r="AN102" s="190" t="str">
        <f t="shared" si="291"/>
        <v>-</v>
      </c>
      <c r="AO102" s="7"/>
      <c r="AP102" s="7"/>
      <c r="AQ102" s="7"/>
      <c r="AR102" s="7"/>
      <c r="AS102" s="7"/>
      <c r="AT102" s="242" t="str">
        <f>IF(R102="-","-",VLOOKUP(R102,'CPI USA'!$T:$V,3,FALSE))</f>
        <v>-</v>
      </c>
      <c r="AU102" s="242" t="str">
        <f>IF(S102="-","-",VLOOKUP(S102,'CPI USA'!$T:$V,3,FALSE))</f>
        <v>-</v>
      </c>
      <c r="AV102" s="242" t="str">
        <f>IF(T102="-","-",VLOOKUP(T102,'CPI USA'!$T:$V,3,FALSE))</f>
        <v>-</v>
      </c>
      <c r="AW102" s="7"/>
      <c r="AX102" s="7"/>
      <c r="AY102" s="242" t="str">
        <f>IF(R102="-","-",VLOOKUP(R102,'CPI USA'!$T:$X,5,FALSE))</f>
        <v>-</v>
      </c>
      <c r="AZ102" s="242" t="str">
        <f>IF(S102="-","-",VLOOKUP(S102,'CPI USA'!$T:$X,5,FALSE))</f>
        <v>-</v>
      </c>
      <c r="BA102" s="242" t="str">
        <f>IF(T102="-","-",VLOOKUP(T102,'CPI USA'!$T:$X,5,FALSE))</f>
        <v>-</v>
      </c>
      <c r="BB102" s="7"/>
    </row>
    <row r="103" spans="1:54" ht="15.75" customHeight="1">
      <c r="A103" s="185" t="s">
        <v>499</v>
      </c>
      <c r="B103" s="185" t="s">
        <v>500</v>
      </c>
      <c r="C103" s="239">
        <f>+'Empresas 21-23'!J98</f>
        <v>0</v>
      </c>
      <c r="D103" s="239">
        <f>VLOOKUP(A103,'FERC 2021'!$A$3:$BE$221,57,0)</f>
        <v>553305614</v>
      </c>
      <c r="E103" s="239">
        <f>VLOOKUP(A103,'FERC 2021'!$A$3:$BF$221,58,0)</f>
        <v>38727669</v>
      </c>
      <c r="F103" s="239">
        <f>VLOOKUP(A103,'FERC 2022'!$A$3:$BE$220,57,0)</f>
        <v>569666706</v>
      </c>
      <c r="G103" s="239">
        <f>VLOOKUP(A103,'FERC 2022'!$A$3:$BF$220,58,0)</f>
        <v>41333044</v>
      </c>
      <c r="H103" s="239">
        <f>VLOOKUP(A103,'FERC 2023'!$A$3:$BE$221,57,0)</f>
        <v>577607761</v>
      </c>
      <c r="I103" s="239">
        <f>VLOOKUP(A103,'FERC 2023'!$A$3:$BF$221,58,0)</f>
        <v>48157515</v>
      </c>
      <c r="J103" s="7"/>
      <c r="K103" s="7"/>
      <c r="L103" s="7"/>
      <c r="M103" s="187">
        <f t="shared" si="0"/>
        <v>14.287087973200762</v>
      </c>
      <c r="N103" s="187">
        <f t="shared" si="1"/>
        <v>13.78235549261748</v>
      </c>
      <c r="O103" s="187">
        <f t="shared" si="2"/>
        <v>11.994135515505732</v>
      </c>
      <c r="P103" s="7"/>
      <c r="Q103" s="240">
        <f t="shared" si="3"/>
        <v>13.35452632710799</v>
      </c>
      <c r="R103" s="189" t="str">
        <f t="shared" ref="R103:T103" si="292">IF(ISERROR(R$5-365*$Q103),"-",MONTH(R$5-365*$Q103)&amp;"_"&amp;YEAR(R$5-365*$Q103))</f>
        <v>8_2008</v>
      </c>
      <c r="S103" s="189" t="str">
        <f t="shared" si="292"/>
        <v>8_2009</v>
      </c>
      <c r="T103" s="189" t="str">
        <f t="shared" si="292"/>
        <v>8_2010</v>
      </c>
      <c r="U103" s="7"/>
      <c r="V103" s="7"/>
      <c r="W103" s="190">
        <f>IF(R103="-","-",VLOOKUP(R103,'CPI USA'!$T:$U,2,FALSE))</f>
        <v>215.303</v>
      </c>
      <c r="X103" s="190">
        <f>IF(S103="-","-",VLOOKUP(S103,'CPI USA'!$T:$U,2,FALSE))</f>
        <v>214.53700000000001</v>
      </c>
      <c r="Y103" s="190">
        <f>IF(T103="-","-",VLOOKUP(T103,'CPI USA'!$T:$U,2,FALSE))</f>
        <v>218.05600000000001</v>
      </c>
      <c r="Z103" s="7"/>
      <c r="AA103" s="7"/>
      <c r="AB103" s="190">
        <f>IF(R103="-","-",VLOOKUP(R103,'PPI USA'!$S:$T,2,FALSE))</f>
        <v>159.30000000000001</v>
      </c>
      <c r="AC103" s="190">
        <f>IF(S103="-","-",VLOOKUP(S103,'PPI USA'!$S:$T,2,FALSE))</f>
        <v>159.1</v>
      </c>
      <c r="AD103" s="190">
        <f>IF(T103="-","-",VLOOKUP(T103,'PPI USA'!$S:$T,2,FALSE))</f>
        <v>160.80000000000001</v>
      </c>
      <c r="AE103" s="7"/>
      <c r="AF103" s="7"/>
      <c r="AG103" s="190">
        <f t="shared" ref="AG103:AI103" si="293">IF(W103="-","-",(AT103*$B$2/W103+(1-AT103)*AVERAGE($B$2,$B$3)/AVERAGE(W103,AB103)))</f>
        <v>1.4884333659448254</v>
      </c>
      <c r="AH103" s="190">
        <f t="shared" si="293"/>
        <v>1.4932638886873792</v>
      </c>
      <c r="AI103" s="190">
        <f t="shared" si="293"/>
        <v>1.4703278680244813</v>
      </c>
      <c r="AJ103" s="7"/>
      <c r="AK103" s="7"/>
      <c r="AL103" s="190">
        <f t="shared" ref="AL103:AN103" si="294">IF(W103="-","-",(AY103*$B$2/W103+(1-AY103)*AVERAGE($B$2,$B$3)/AVERAGE(W103,AB103)))</f>
        <v>1.5036496327119213</v>
      </c>
      <c r="AM103" s="190">
        <f t="shared" si="294"/>
        <v>1.5082750176818205</v>
      </c>
      <c r="AN103" s="190">
        <f t="shared" si="294"/>
        <v>1.4857204383544427</v>
      </c>
      <c r="AO103" s="7"/>
      <c r="AP103" s="7"/>
      <c r="AQ103" s="7"/>
      <c r="AR103" s="7"/>
      <c r="AS103" s="7"/>
      <c r="AT103" s="242">
        <f>IF(R103="-","-",VLOOKUP(R103,'CPI USA'!$T:$V,3,FALSE))</f>
        <v>0.67018812038291731</v>
      </c>
      <c r="AU103" s="242">
        <f>IF(S103="-","-",VLOOKUP(S103,'CPI USA'!$T:$V,3,FALSE))</f>
        <v>0.66997101349938215</v>
      </c>
      <c r="AV103" s="242">
        <f>IF(T103="-","-",VLOOKUP(T103,'CPI USA'!$T:$V,3,FALSE))</f>
        <v>0.67050107279443949</v>
      </c>
      <c r="AW103" s="7"/>
      <c r="AX103" s="7"/>
      <c r="AY103" s="242">
        <f>IF(R103="-","-",VLOOKUP(R103,'CPI USA'!$T:$X,5,FALSE))</f>
        <v>0.49838492968660258</v>
      </c>
      <c r="AZ103" s="242">
        <f>IF(S103="-","-",VLOOKUP(S103,'CPI USA'!$T:$X,5,FALSE))</f>
        <v>0.49813941766071862</v>
      </c>
      <c r="BA103" s="242">
        <f>IF(T103="-","-",VLOOKUP(T103,'CPI USA'!$T:$X,5,FALSE))</f>
        <v>0.4987389730136107</v>
      </c>
      <c r="BB103" s="7"/>
    </row>
    <row r="104" spans="1:54" ht="15.75" customHeight="1">
      <c r="A104" s="185" t="s">
        <v>502</v>
      </c>
      <c r="B104" s="185" t="s">
        <v>503</v>
      </c>
      <c r="C104" s="239">
        <f>+'Empresas 21-23'!J99</f>
        <v>0</v>
      </c>
      <c r="D104" s="239">
        <f>VLOOKUP(A104,'FERC 2021'!$A$3:$BE$221,57,0)</f>
        <v>298008833</v>
      </c>
      <c r="E104" s="239">
        <f>VLOOKUP(A104,'FERC 2021'!$A$3:$BF$221,58,0)*2</f>
        <v>15113130</v>
      </c>
      <c r="F104" s="239">
        <f>VLOOKUP(A104,'FERC 2022'!$A$3:$BE$220,57,0)</f>
        <v>296714047</v>
      </c>
      <c r="G104" s="239">
        <f>VLOOKUP(A104,'FERC 2022'!$A$3:$BF$220,58,0)*2</f>
        <v>15477242</v>
      </c>
      <c r="H104" s="239">
        <f>VLOOKUP(A104,'FERC 2023'!$A$3:$BE$221,57,0)</f>
        <v>299840046</v>
      </c>
      <c r="I104" s="239">
        <f>VLOOKUP(A104,'FERC 2023'!$A$3:$BF$221,58,0)*2</f>
        <v>16213204</v>
      </c>
      <c r="J104" s="7"/>
      <c r="K104" s="7"/>
      <c r="L104" s="7"/>
      <c r="M104" s="187">
        <f t="shared" si="0"/>
        <v>19.718538317343924</v>
      </c>
      <c r="N104" s="187">
        <f t="shared" si="1"/>
        <v>19.170989702170452</v>
      </c>
      <c r="O104" s="187">
        <f t="shared" si="2"/>
        <v>18.493571412535115</v>
      </c>
      <c r="P104" s="7"/>
      <c r="Q104" s="245">
        <f t="shared" si="3"/>
        <v>19.127699810683165</v>
      </c>
      <c r="R104" s="189" t="str">
        <f t="shared" ref="R104:T104" si="295">IF(ISERROR(R$5-365*$Q104),"-",MONTH(R$5-365*$Q104)&amp;"_"&amp;YEAR(R$5-365*$Q104))</f>
        <v>11_2002</v>
      </c>
      <c r="S104" s="189" t="str">
        <f t="shared" si="295"/>
        <v>11_2003</v>
      </c>
      <c r="T104" s="189" t="str">
        <f t="shared" si="295"/>
        <v>11_2004</v>
      </c>
      <c r="U104" s="7"/>
      <c r="V104" s="7"/>
      <c r="W104" s="190">
        <f>IF(R104="-","-",VLOOKUP(R104,'CPI USA'!$T:$U,2,FALSE))</f>
        <v>179.9</v>
      </c>
      <c r="X104" s="190">
        <f>IF(S104="-","-",VLOOKUP(S104,'CPI USA'!$T:$U,2,FALSE))</f>
        <v>184</v>
      </c>
      <c r="Y104" s="190">
        <f>IF(T104="-","-",VLOOKUP(T104,'CPI USA'!$T:$U,2,FALSE))</f>
        <v>188.9</v>
      </c>
      <c r="Z104" s="7"/>
      <c r="AA104" s="7"/>
      <c r="AB104" s="190">
        <f>IF(R104="-","-",VLOOKUP(R104,'PPI USA'!$S:$T,2,FALSE))</f>
        <v>117.7</v>
      </c>
      <c r="AC104" s="190">
        <f>IF(S104="-","-",VLOOKUP(S104,'PPI USA'!$S:$T,2,FALSE))</f>
        <v>122.6</v>
      </c>
      <c r="AD104" s="190">
        <f>IF(T104="-","-",VLOOKUP(T104,'PPI USA'!$S:$T,2,FALSE))</f>
        <v>123.7</v>
      </c>
      <c r="AE104" s="7"/>
      <c r="AF104" s="7"/>
      <c r="AG104" s="190">
        <f t="shared" ref="AG104:AI104" si="296">IF(W104="-","-",(AT104*$B$2/W104+(1-AT104)*AVERAGE($B$2,$B$3)/AVERAGE(W104,AB104)))</f>
        <v>1.8107397595358932</v>
      </c>
      <c r="AH104" s="190">
        <f t="shared" si="296"/>
        <v>1.7662899637984153</v>
      </c>
      <c r="AI104" s="190">
        <f t="shared" si="296"/>
        <v>1.7242718973721483</v>
      </c>
      <c r="AJ104" s="7"/>
      <c r="AK104" s="7"/>
      <c r="AL104" s="190">
        <f t="shared" ref="AL104:AN104" si="297">IF(W104="-","-",(AY104*$B$2/W104+(1-AY104)*AVERAGE($B$2,$B$3)/AVERAGE(W104,AB104)))</f>
        <v>1.8451105665988905</v>
      </c>
      <c r="AM104" s="190">
        <f t="shared" si="297"/>
        <v>1.7975926193363585</v>
      </c>
      <c r="AN104" s="190">
        <f t="shared" si="297"/>
        <v>1.7568944717328012</v>
      </c>
      <c r="AO104" s="7"/>
      <c r="AP104" s="7"/>
      <c r="AQ104" s="7"/>
      <c r="AR104" s="7"/>
      <c r="AS104" s="7"/>
      <c r="AT104" s="242">
        <f>IF(R104="-","-",VLOOKUP(R104,'CPI USA'!$T:$V,3,FALSE))</f>
        <v>0.68124675757695474</v>
      </c>
      <c r="AU104" s="242">
        <f>IF(S104="-","-",VLOOKUP(S104,'CPI USA'!$T:$V,3,FALSE))</f>
        <v>0.67966838867333434</v>
      </c>
      <c r="AV104" s="242">
        <f>IF(T104="-","-",VLOOKUP(T104,'CPI USA'!$T:$V,3,FALSE))</f>
        <v>0.68116912558338294</v>
      </c>
      <c r="AW104" s="7"/>
      <c r="AX104" s="7"/>
      <c r="AY104" s="242">
        <f>IF(R104="-","-",VLOOKUP(R104,'CPI USA'!$T:$X,5,FALSE))</f>
        <v>0.51100097296585234</v>
      </c>
      <c r="AZ104" s="242">
        <f>IF(S104="-","-",VLOOKUP(S104,'CPI USA'!$T:$X,5,FALSE))</f>
        <v>0.509186952863521</v>
      </c>
      <c r="BA104" s="242">
        <f>IF(T104="-","-",VLOOKUP(T104,'CPI USA'!$T:$X,5,FALSE))</f>
        <v>0.51091164550905577</v>
      </c>
      <c r="BB104" s="7"/>
    </row>
    <row r="105" spans="1:54" ht="15.75" customHeight="1">
      <c r="A105" s="185" t="s">
        <v>505</v>
      </c>
      <c r="B105" s="185" t="s">
        <v>506</v>
      </c>
      <c r="C105" s="243">
        <f>+'Empresas 21-23'!J100</f>
        <v>0</v>
      </c>
      <c r="D105" s="239">
        <f>VLOOKUP(A105,'FERC 2021'!$A$3:$BE$221,57,0)</f>
        <v>35789343</v>
      </c>
      <c r="E105" s="239">
        <f>VLOOKUP(A105,'FERC 2021'!$A$3:$BF$221,58,0)</f>
        <v>3327002</v>
      </c>
      <c r="F105" s="239">
        <f>VLOOKUP(A105,'FERC 2022'!$A$3:$BE$220,57,0)</f>
        <v>37795553</v>
      </c>
      <c r="G105" s="239">
        <f>VLOOKUP(A105,'FERC 2022'!$A$3:$BF$220,58,0)</f>
        <v>3636111</v>
      </c>
      <c r="H105" s="239">
        <f>VLOOKUP(A105,'FERC 2023'!$A$3:$BE$221,57,0)</f>
        <v>40521181</v>
      </c>
      <c r="I105" s="239">
        <f>VLOOKUP(A105,'FERC 2023'!$A$3:$BF$221,58,0)</f>
        <v>3918261</v>
      </c>
      <c r="J105" s="7"/>
      <c r="K105" s="7"/>
      <c r="L105" s="7"/>
      <c r="M105" s="187">
        <f t="shared" si="0"/>
        <v>10.757235192524682</v>
      </c>
      <c r="N105" s="187">
        <f t="shared" si="1"/>
        <v>10.394499232834201</v>
      </c>
      <c r="O105" s="187">
        <f t="shared" si="2"/>
        <v>10.341623745840311</v>
      </c>
      <c r="P105" s="7"/>
      <c r="Q105" s="240">
        <f t="shared" si="3"/>
        <v>10.497786057066397</v>
      </c>
      <c r="R105" s="189" t="str">
        <f t="shared" ref="R105:T105" si="298">IF(ISERROR(R$5-365*$Q105),"-",MONTH(R$5-365*$Q105)&amp;"_"&amp;YEAR(R$5-365*$Q105))</f>
        <v>7_2011</v>
      </c>
      <c r="S105" s="189" t="str">
        <f t="shared" si="298"/>
        <v>7_2012</v>
      </c>
      <c r="T105" s="189" t="str">
        <f t="shared" si="298"/>
        <v>7_2013</v>
      </c>
      <c r="U105" s="7"/>
      <c r="V105" s="7"/>
      <c r="W105" s="190">
        <f>IF(R105="-","-",VLOOKUP(R105,'CPI USA'!$T:$U,2,FALSE))</f>
        <v>224.93899999999999</v>
      </c>
      <c r="X105" s="190">
        <f>IF(S105="-","-",VLOOKUP(S105,'CPI USA'!$T:$U,2,FALSE))</f>
        <v>229.59399999999999</v>
      </c>
      <c r="Y105" s="190">
        <f>IF(T105="-","-",VLOOKUP(T105,'CPI USA'!$T:$U,2,FALSE))</f>
        <v>233.596</v>
      </c>
      <c r="Z105" s="7"/>
      <c r="AA105" s="7"/>
      <c r="AB105" s="190">
        <f>IF(R105="-","-",VLOOKUP(R105,'PPI USA'!$S:$T,2,FALSE))</f>
        <v>169.6</v>
      </c>
      <c r="AC105" s="190">
        <f>IF(S105="-","-",VLOOKUP(S105,'PPI USA'!$S:$T,2,FALSE))</f>
        <v>175.1</v>
      </c>
      <c r="AD105" s="190">
        <f>IF(T105="-","-",VLOOKUP(T105,'PPI USA'!$S:$T,2,FALSE))</f>
        <v>176</v>
      </c>
      <c r="AE105" s="7"/>
      <c r="AF105" s="7"/>
      <c r="AG105" s="190">
        <f t="shared" ref="AG105:AI105" si="299">IF(W105="-","-",(AT105*$B$2/W105+(1-AT105)*AVERAGE($B$2,$B$3)/AVERAGE(W105,AB105)))</f>
        <v>1.4208751760332547</v>
      </c>
      <c r="AH105" s="190">
        <f t="shared" si="299"/>
        <v>1.3897894616766442</v>
      </c>
      <c r="AI105" s="190">
        <f t="shared" si="299"/>
        <v>1.3680354489709332</v>
      </c>
      <c r="AJ105" s="7"/>
      <c r="AK105" s="7"/>
      <c r="AL105" s="190">
        <f t="shared" ref="AL105:AN105" si="300">IF(W105="-","-",(AY105*$B$2/W105+(1-AY105)*AVERAGE($B$2,$B$3)/AVERAGE(W105,AB105)))</f>
        <v>1.4334111417560953</v>
      </c>
      <c r="AM105" s="190">
        <f t="shared" si="300"/>
        <v>1.4008620811189902</v>
      </c>
      <c r="AN105" s="190">
        <f t="shared" si="300"/>
        <v>1.3801391301464276</v>
      </c>
      <c r="AO105" s="7"/>
      <c r="AP105" s="7"/>
      <c r="AQ105" s="7"/>
      <c r="AR105" s="7"/>
      <c r="AS105" s="7"/>
      <c r="AT105" s="242">
        <f>IF(R105="-","-",VLOOKUP(R105,'CPI USA'!$T:$V,3,FALSE))</f>
        <v>0.6684022975047168</v>
      </c>
      <c r="AU105" s="242">
        <f>IF(S105="-","-",VLOOKUP(S105,'CPI USA'!$T:$V,3,FALSE))</f>
        <v>0.66730871354337351</v>
      </c>
      <c r="AV105" s="242">
        <f>IF(T105="-","-",VLOOKUP(T105,'CPI USA'!$T:$V,3,FALSE))</f>
        <v>0.67305131835944076</v>
      </c>
      <c r="AW105" s="7"/>
      <c r="AX105" s="7"/>
      <c r="AY105" s="242">
        <f>IF(R105="-","-",VLOOKUP(R105,'CPI USA'!$T:$X,5,FALSE))</f>
        <v>0.49636791791307899</v>
      </c>
      <c r="AZ105" s="242">
        <f>IF(S105="-","-",VLOOKUP(S105,'CPI USA'!$T:$X,5,FALSE))</f>
        <v>0.49513551903851311</v>
      </c>
      <c r="BA105" s="242">
        <f>IF(T105="-","-",VLOOKUP(T105,'CPI USA'!$T:$X,5,FALSE))</f>
        <v>0.50163050295255052</v>
      </c>
      <c r="BB105" s="7"/>
    </row>
    <row r="106" spans="1:54" ht="15.75" customHeight="1">
      <c r="A106" s="185" t="s">
        <v>508</v>
      </c>
      <c r="B106" s="185" t="s">
        <v>509</v>
      </c>
      <c r="C106" s="239">
        <f>+'Empresas 21-23'!J101</f>
        <v>0</v>
      </c>
      <c r="D106" s="239">
        <f>VLOOKUP(A106,'FERC 2021'!$A$3:$BE$221,57,0)</f>
        <v>2659443203</v>
      </c>
      <c r="E106" s="239">
        <f>VLOOKUP(A106,'FERC 2021'!$A$3:$BF$221,58,0)</f>
        <v>247985586</v>
      </c>
      <c r="F106" s="239">
        <f>VLOOKUP(A106,'FERC 2022'!$A$3:$BE$220,57,0)</f>
        <v>2813658620</v>
      </c>
      <c r="G106" s="239">
        <f>VLOOKUP(A106,'FERC 2022'!$A$3:$BF$220,58,0)</f>
        <v>257769144</v>
      </c>
      <c r="H106" s="239">
        <f>VLOOKUP(A106,'FERC 2023'!$A$3:$BE$221,57,0)</f>
        <v>2855798108</v>
      </c>
      <c r="I106" s="239">
        <f>VLOOKUP(A106,'FERC 2023'!$A$3:$BF$221,58,0)</f>
        <v>263882536</v>
      </c>
      <c r="J106" s="7"/>
      <c r="K106" s="7"/>
      <c r="L106" s="7"/>
      <c r="M106" s="187">
        <f t="shared" si="0"/>
        <v>10.724184602406689</v>
      </c>
      <c r="N106" s="187">
        <f t="shared" si="1"/>
        <v>10.915420582690068</v>
      </c>
      <c r="O106" s="187">
        <f t="shared" si="2"/>
        <v>10.822232313244102</v>
      </c>
      <c r="P106" s="7"/>
      <c r="Q106" s="240">
        <f t="shared" si="3"/>
        <v>10.820612499446952</v>
      </c>
      <c r="R106" s="189" t="str">
        <f t="shared" ref="R106:T106" si="301">IF(ISERROR(R$5-365*$Q106),"-",MONTH(R$5-365*$Q106)&amp;"_"&amp;YEAR(R$5-365*$Q106))</f>
        <v>3_2011</v>
      </c>
      <c r="S106" s="189" t="str">
        <f t="shared" si="301"/>
        <v>3_2012</v>
      </c>
      <c r="T106" s="189" t="str">
        <f t="shared" si="301"/>
        <v>3_2013</v>
      </c>
      <c r="U106" s="7"/>
      <c r="V106" s="7"/>
      <c r="W106" s="190">
        <f>IF(R106="-","-",VLOOKUP(R106,'CPI USA'!$T:$U,2,FALSE))</f>
        <v>224.93899999999999</v>
      </c>
      <c r="X106" s="190">
        <f>IF(S106="-","-",VLOOKUP(S106,'CPI USA'!$T:$U,2,FALSE))</f>
        <v>229.59399999999999</v>
      </c>
      <c r="Y106" s="190">
        <f>IF(T106="-","-",VLOOKUP(T106,'CPI USA'!$T:$U,2,FALSE))</f>
        <v>232.773</v>
      </c>
      <c r="Z106" s="7"/>
      <c r="AA106" s="7"/>
      <c r="AB106" s="190">
        <f>IF(R106="-","-",VLOOKUP(R106,'PPI USA'!$S:$T,2,FALSE))</f>
        <v>169.6</v>
      </c>
      <c r="AC106" s="190">
        <f>IF(S106="-","-",VLOOKUP(S106,'PPI USA'!$S:$T,2,FALSE))</f>
        <v>175.1</v>
      </c>
      <c r="AD106" s="190">
        <f>IF(T106="-","-",VLOOKUP(T106,'PPI USA'!$S:$T,2,FALSE))</f>
        <v>166</v>
      </c>
      <c r="AE106" s="7"/>
      <c r="AF106" s="7"/>
      <c r="AG106" s="190">
        <f t="shared" ref="AG106:AI106" si="302">IF(W106="-","-",(AT106*$B$2/W106+(1-AT106)*AVERAGE($B$2,$B$3)/AVERAGE(W106,AB106)))</f>
        <v>1.4208751760332547</v>
      </c>
      <c r="AH106" s="190">
        <f t="shared" si="302"/>
        <v>1.3897894616766442</v>
      </c>
      <c r="AI106" s="190">
        <f t="shared" si="302"/>
        <v>1.3837971226169852</v>
      </c>
      <c r="AJ106" s="7"/>
      <c r="AK106" s="7"/>
      <c r="AL106" s="190">
        <f t="shared" ref="AL106:AN106" si="303">IF(W106="-","-",(AY106*$B$2/W106+(1-AY106)*AVERAGE($B$2,$B$3)/AVERAGE(W106,AB106)))</f>
        <v>1.4334111417560953</v>
      </c>
      <c r="AM106" s="190">
        <f t="shared" si="303"/>
        <v>1.4008620811189902</v>
      </c>
      <c r="AN106" s="190">
        <f t="shared" si="303"/>
        <v>1.4016715257319334</v>
      </c>
      <c r="AO106" s="7"/>
      <c r="AP106" s="7"/>
      <c r="AQ106" s="7"/>
      <c r="AR106" s="7"/>
      <c r="AS106" s="7"/>
      <c r="AT106" s="242">
        <f>IF(R106="-","-",VLOOKUP(R106,'CPI USA'!$T:$V,3,FALSE))</f>
        <v>0.6684022975047168</v>
      </c>
      <c r="AU106" s="242">
        <f>IF(S106="-","-",VLOOKUP(S106,'CPI USA'!$T:$V,3,FALSE))</f>
        <v>0.66730871354337351</v>
      </c>
      <c r="AV106" s="242">
        <f>IF(T106="-","-",VLOOKUP(T106,'CPI USA'!$T:$V,3,FALSE))</f>
        <v>0.67305131835944076</v>
      </c>
      <c r="AW106" s="7"/>
      <c r="AX106" s="7"/>
      <c r="AY106" s="242">
        <f>IF(R106="-","-",VLOOKUP(R106,'CPI USA'!$T:$X,5,FALSE))</f>
        <v>0.49636791791307899</v>
      </c>
      <c r="AZ106" s="242">
        <f>IF(S106="-","-",VLOOKUP(S106,'CPI USA'!$T:$X,5,FALSE))</f>
        <v>0.49513551903851311</v>
      </c>
      <c r="BA106" s="242">
        <f>IF(T106="-","-",VLOOKUP(T106,'CPI USA'!$T:$X,5,FALSE))</f>
        <v>0.50163050295255052</v>
      </c>
      <c r="BB106" s="7"/>
    </row>
    <row r="107" spans="1:54" ht="15.75" customHeight="1">
      <c r="A107" s="185" t="s">
        <v>511</v>
      </c>
      <c r="B107" s="185" t="s">
        <v>512</v>
      </c>
      <c r="C107" s="239">
        <f>+'Empresas 21-23'!J102</f>
        <v>0</v>
      </c>
      <c r="D107" s="239">
        <f>VLOOKUP(A107,'FERC 2021'!$A$3:$BE$221,57,0)</f>
        <v>729454578</v>
      </c>
      <c r="E107" s="239">
        <f>VLOOKUP(A107,'FERC 2021'!$A$3:$BF$221,58,0)</f>
        <v>44972569</v>
      </c>
      <c r="F107" s="239">
        <f>VLOOKUP(A107,'FERC 2022'!$A$3:$BE$220,57,0)</f>
        <v>738658772</v>
      </c>
      <c r="G107" s="239">
        <f>VLOOKUP(A107,'FERC 2022'!$A$3:$BF$220,58,0)</f>
        <v>47508236</v>
      </c>
      <c r="H107" s="239">
        <f>VLOOKUP(A107,'FERC 2023'!$A$3:$BE$221,57,0)</f>
        <v>756154255</v>
      </c>
      <c r="I107" s="239">
        <f>VLOOKUP(A107,'FERC 2023'!$A$3:$BF$221,58,0)</f>
        <v>50764143</v>
      </c>
      <c r="J107" s="7"/>
      <c r="K107" s="7"/>
      <c r="L107" s="7"/>
      <c r="M107" s="187">
        <f t="shared" si="0"/>
        <v>16.219989078231222</v>
      </c>
      <c r="N107" s="187">
        <f t="shared" si="1"/>
        <v>15.548015127313926</v>
      </c>
      <c r="O107" s="187">
        <f t="shared" si="2"/>
        <v>14.895440173194689</v>
      </c>
      <c r="P107" s="7"/>
      <c r="Q107" s="240">
        <f t="shared" si="3"/>
        <v>15.554481459579947</v>
      </c>
      <c r="R107" s="189" t="str">
        <f t="shared" ref="R107:T107" si="304">IF(ISERROR(R$5-365*$Q107),"-",MONTH(R$5-365*$Q107)&amp;"_"&amp;YEAR(R$5-365*$Q107))</f>
        <v>6_2006</v>
      </c>
      <c r="S107" s="189" t="str">
        <f t="shared" si="304"/>
        <v>6_2007</v>
      </c>
      <c r="T107" s="189" t="str">
        <f t="shared" si="304"/>
        <v>6_2008</v>
      </c>
      <c r="U107" s="7"/>
      <c r="V107" s="7"/>
      <c r="W107" s="190">
        <f>IF(R107="-","-",VLOOKUP(R107,'CPI USA'!$T:$U,2,FALSE))</f>
        <v>201.6</v>
      </c>
      <c r="X107" s="190">
        <f>IF(S107="-","-",VLOOKUP(S107,'CPI USA'!$T:$U,2,FALSE))</f>
        <v>207.34200000000001</v>
      </c>
      <c r="Y107" s="190">
        <f>IF(T107="-","-",VLOOKUP(T107,'CPI USA'!$T:$U,2,FALSE))</f>
        <v>215.303</v>
      </c>
      <c r="Z107" s="7"/>
      <c r="AA107" s="7"/>
      <c r="AB107" s="190">
        <f>IF(R107="-","-",VLOOKUP(R107,'PPI USA'!$S:$T,2,FALSE))</f>
        <v>145.30000000000001</v>
      </c>
      <c r="AC107" s="190">
        <f>IF(S107="-","-",VLOOKUP(S107,'PPI USA'!$S:$T,2,FALSE))</f>
        <v>151.69999999999999</v>
      </c>
      <c r="AD107" s="190">
        <f>IF(T107="-","-",VLOOKUP(T107,'PPI USA'!$S:$T,2,FALSE))</f>
        <v>159.30000000000001</v>
      </c>
      <c r="AE107" s="7"/>
      <c r="AF107" s="7"/>
      <c r="AG107" s="190">
        <f t="shared" ref="AG107:AI107" si="305">IF(W107="-","-",(AT107*$B$2/W107+(1-AT107)*AVERAGE($B$2,$B$3)/AVERAGE(W107,AB107)))</f>
        <v>1.595396421204319</v>
      </c>
      <c r="AH107" s="190">
        <f t="shared" si="305"/>
        <v>1.5480022216582647</v>
      </c>
      <c r="AI107" s="190">
        <f t="shared" si="305"/>
        <v>1.4884333659448254</v>
      </c>
      <c r="AJ107" s="7"/>
      <c r="AK107" s="7"/>
      <c r="AL107" s="190">
        <f t="shared" ref="AL107:AN107" si="306">IF(W107="-","-",(AY107*$B$2/W107+(1-AY107)*AVERAGE($B$2,$B$3)/AVERAGE(W107,AB107)))</f>
        <v>1.6147712829199015</v>
      </c>
      <c r="AM107" s="190">
        <f t="shared" si="306"/>
        <v>1.5651038394149617</v>
      </c>
      <c r="AN107" s="190">
        <f t="shared" si="306"/>
        <v>1.5036496327119213</v>
      </c>
      <c r="AO107" s="7"/>
      <c r="AP107" s="7"/>
      <c r="AQ107" s="7"/>
      <c r="AR107" s="7"/>
      <c r="AS107" s="7"/>
      <c r="AT107" s="242">
        <f>IF(R107="-","-",VLOOKUP(R107,'CPI USA'!$T:$V,3,FALSE))</f>
        <v>0.67263024008352756</v>
      </c>
      <c r="AU107" s="242">
        <f>IF(S107="-","-",VLOOKUP(S107,'CPI USA'!$T:$V,3,FALSE))</f>
        <v>0.67123734379962852</v>
      </c>
      <c r="AV107" s="242">
        <f>IF(T107="-","-",VLOOKUP(T107,'CPI USA'!$T:$V,3,FALSE))</f>
        <v>0.67018812038291731</v>
      </c>
      <c r="AW107" s="7"/>
      <c r="AX107" s="7"/>
      <c r="AY107" s="242">
        <f>IF(R107="-","-",VLOOKUP(R107,'CPI USA'!$T:$X,5,FALSE))</f>
        <v>0.50115228263529643</v>
      </c>
      <c r="AZ107" s="242">
        <f>IF(S107="-","-",VLOOKUP(S107,'CPI USA'!$T:$X,5,FALSE))</f>
        <v>0.49957259686190569</v>
      </c>
      <c r="BA107" s="242">
        <f>IF(T107="-","-",VLOOKUP(T107,'CPI USA'!$T:$X,5,FALSE))</f>
        <v>0.49838492968660258</v>
      </c>
      <c r="BB107" s="7"/>
    </row>
    <row r="108" spans="1:54" ht="15.75" customHeight="1">
      <c r="A108" s="185" t="s">
        <v>514</v>
      </c>
      <c r="B108" s="185" t="s">
        <v>515</v>
      </c>
      <c r="C108" s="239">
        <f>+'Empresas 21-23'!J103</f>
        <v>0</v>
      </c>
      <c r="D108" s="239">
        <f>VLOOKUP(A108,'FERC 2021'!$A$3:$BE$221,57,0)</f>
        <v>74186935</v>
      </c>
      <c r="E108" s="239">
        <f>VLOOKUP(A108,'FERC 2021'!$A$3:$BF$221,58,0)</f>
        <v>6696054</v>
      </c>
      <c r="F108" s="239">
        <f>VLOOKUP(A108,'FERC 2022'!$A$3:$BE$220,57,0)</f>
        <v>79110936</v>
      </c>
      <c r="G108" s="239">
        <f>VLOOKUP(A108,'FERC 2022'!$A$3:$BF$220,58,0)</f>
        <v>7104549</v>
      </c>
      <c r="H108" s="239">
        <f>VLOOKUP(A108,'FERC 2023'!$A$3:$BE$221,57,0)</f>
        <v>84223066</v>
      </c>
      <c r="I108" s="239">
        <f>VLOOKUP(A108,'FERC 2023'!$A$3:$BF$221,58,0)</f>
        <v>7529283</v>
      </c>
      <c r="J108" s="7"/>
      <c r="K108" s="7"/>
      <c r="L108" s="7"/>
      <c r="M108" s="187">
        <f t="shared" si="0"/>
        <v>11.079202019577501</v>
      </c>
      <c r="N108" s="187">
        <f t="shared" si="1"/>
        <v>11.135250949778797</v>
      </c>
      <c r="O108" s="187">
        <f t="shared" si="2"/>
        <v>11.186067252353245</v>
      </c>
      <c r="P108" s="7"/>
      <c r="Q108" s="240">
        <f t="shared" si="3"/>
        <v>11.133506740569848</v>
      </c>
      <c r="R108" s="189" t="str">
        <f t="shared" ref="R108:T108" si="307">IF(ISERROR(R$5-365*$Q108),"-",MONTH(R$5-365*$Q108)&amp;"_"&amp;YEAR(R$5-365*$Q108))</f>
        <v>11_2010</v>
      </c>
      <c r="S108" s="189" t="str">
        <f t="shared" si="307"/>
        <v>11_2011</v>
      </c>
      <c r="T108" s="189" t="str">
        <f t="shared" si="307"/>
        <v>11_2012</v>
      </c>
      <c r="U108" s="7"/>
      <c r="V108" s="7"/>
      <c r="W108" s="190">
        <f>IF(R108="-","-",VLOOKUP(R108,'CPI USA'!$T:$U,2,FALSE))</f>
        <v>218.05600000000001</v>
      </c>
      <c r="X108" s="190">
        <f>IF(S108="-","-",VLOOKUP(S108,'CPI USA'!$T:$U,2,FALSE))</f>
        <v>224.93899999999999</v>
      </c>
      <c r="Y108" s="190">
        <f>IF(T108="-","-",VLOOKUP(T108,'CPI USA'!$T:$U,2,FALSE))</f>
        <v>229.59399999999999</v>
      </c>
      <c r="Z108" s="7"/>
      <c r="AA108" s="7"/>
      <c r="AB108" s="190">
        <f>IF(R108="-","-",VLOOKUP(R108,'PPI USA'!$S:$T,2,FALSE))</f>
        <v>160.80000000000001</v>
      </c>
      <c r="AC108" s="190">
        <f>IF(S108="-","-",VLOOKUP(S108,'PPI USA'!$S:$T,2,FALSE))</f>
        <v>169.6</v>
      </c>
      <c r="AD108" s="190">
        <f>IF(T108="-","-",VLOOKUP(T108,'PPI USA'!$S:$T,2,FALSE))</f>
        <v>175.1</v>
      </c>
      <c r="AE108" s="7"/>
      <c r="AF108" s="7"/>
      <c r="AG108" s="190">
        <f t="shared" ref="AG108:AI108" si="308">IF(W108="-","-",(AT108*$B$2/W108+(1-AT108)*AVERAGE($B$2,$B$3)/AVERAGE(W108,AB108)))</f>
        <v>1.4703278680244813</v>
      </c>
      <c r="AH108" s="190">
        <f t="shared" si="308"/>
        <v>1.4208751760332547</v>
      </c>
      <c r="AI108" s="190">
        <f t="shared" si="308"/>
        <v>1.3897894616766442</v>
      </c>
      <c r="AJ108" s="7"/>
      <c r="AK108" s="7"/>
      <c r="AL108" s="190">
        <f t="shared" ref="AL108:AN108" si="309">IF(W108="-","-",(AY108*$B$2/W108+(1-AY108)*AVERAGE($B$2,$B$3)/AVERAGE(W108,AB108)))</f>
        <v>1.4857204383544427</v>
      </c>
      <c r="AM108" s="190">
        <f t="shared" si="309"/>
        <v>1.4334111417560953</v>
      </c>
      <c r="AN108" s="190">
        <f t="shared" si="309"/>
        <v>1.4008620811189902</v>
      </c>
      <c r="AO108" s="7"/>
      <c r="AP108" s="7"/>
      <c r="AQ108" s="7"/>
      <c r="AR108" s="7"/>
      <c r="AS108" s="7"/>
      <c r="AT108" s="242">
        <f>IF(R108="-","-",VLOOKUP(R108,'CPI USA'!$T:$V,3,FALSE))</f>
        <v>0.67050107279443949</v>
      </c>
      <c r="AU108" s="242">
        <f>IF(S108="-","-",VLOOKUP(S108,'CPI USA'!$T:$V,3,FALSE))</f>
        <v>0.6684022975047168</v>
      </c>
      <c r="AV108" s="242">
        <f>IF(T108="-","-",VLOOKUP(T108,'CPI USA'!$T:$V,3,FALSE))</f>
        <v>0.66730871354337351</v>
      </c>
      <c r="AW108" s="7"/>
      <c r="AX108" s="7"/>
      <c r="AY108" s="242">
        <f>IF(R108="-","-",VLOOKUP(R108,'CPI USA'!$T:$X,5,FALSE))</f>
        <v>0.4987389730136107</v>
      </c>
      <c r="AZ108" s="242">
        <f>IF(S108="-","-",VLOOKUP(S108,'CPI USA'!$T:$X,5,FALSE))</f>
        <v>0.49636791791307899</v>
      </c>
      <c r="BA108" s="242">
        <f>IF(T108="-","-",VLOOKUP(T108,'CPI USA'!$T:$X,5,FALSE))</f>
        <v>0.49513551903851311</v>
      </c>
      <c r="BB108" s="7"/>
    </row>
    <row r="109" spans="1:54" ht="15.75" customHeight="1">
      <c r="A109" s="185" t="s">
        <v>517</v>
      </c>
      <c r="B109" s="185" t="s">
        <v>518</v>
      </c>
      <c r="C109" s="239">
        <f>+'Empresas 21-23'!J104</f>
        <v>0</v>
      </c>
      <c r="D109" s="239">
        <f>VLOOKUP(A109,'FERC 2021'!$A$3:$BE$221,57,0)</f>
        <v>126752132</v>
      </c>
      <c r="E109" s="239">
        <f>VLOOKUP(A109,'FERC 2021'!$A$3:$BF$221,58,0)</f>
        <v>12756914</v>
      </c>
      <c r="F109" s="239">
        <f>VLOOKUP(A109,'FERC 2022'!$A$3:$BE$220,57,0)</f>
        <v>133816480</v>
      </c>
      <c r="G109" s="239">
        <f>VLOOKUP(A109,'FERC 2022'!$A$3:$BF$220,58,0)</f>
        <v>11417102</v>
      </c>
      <c r="H109" s="239">
        <f>VLOOKUP(A109,'FERC 2023'!$A$3:$BE$221,57,0)</f>
        <v>138411629</v>
      </c>
      <c r="I109" s="239">
        <f>VLOOKUP(A109,'FERC 2023'!$A$3:$BF$221,58,0)</f>
        <v>11904303</v>
      </c>
      <c r="J109" s="7"/>
      <c r="K109" s="7"/>
      <c r="L109" s="7"/>
      <c r="M109" s="187">
        <f t="shared" si="0"/>
        <v>9.9359556707837022</v>
      </c>
      <c r="N109" s="187">
        <f t="shared" si="1"/>
        <v>11.720704606125093</v>
      </c>
      <c r="O109" s="187">
        <f t="shared" si="2"/>
        <v>11.627025034561033</v>
      </c>
      <c r="P109" s="7"/>
      <c r="Q109" s="240">
        <f t="shared" si="3"/>
        <v>11.094561770489941</v>
      </c>
      <c r="R109" s="189" t="str">
        <f t="shared" ref="R109:T109" si="310">IF(ISERROR(R$5-365*$Q109),"-",MONTH(R$5-365*$Q109)&amp;"_"&amp;YEAR(R$5-365*$Q109))</f>
        <v>11_2010</v>
      </c>
      <c r="S109" s="189" t="str">
        <f t="shared" si="310"/>
        <v>11_2011</v>
      </c>
      <c r="T109" s="189" t="str">
        <f t="shared" si="310"/>
        <v>11_2012</v>
      </c>
      <c r="U109" s="7"/>
      <c r="V109" s="7"/>
      <c r="W109" s="190">
        <f>IF(R109="-","-",VLOOKUP(R109,'CPI USA'!$T:$U,2,FALSE))</f>
        <v>218.05600000000001</v>
      </c>
      <c r="X109" s="190">
        <f>IF(S109="-","-",VLOOKUP(S109,'CPI USA'!$T:$U,2,FALSE))</f>
        <v>224.93899999999999</v>
      </c>
      <c r="Y109" s="190">
        <f>IF(T109="-","-",VLOOKUP(T109,'CPI USA'!$T:$U,2,FALSE))</f>
        <v>229.59399999999999</v>
      </c>
      <c r="Z109" s="7"/>
      <c r="AA109" s="7"/>
      <c r="AB109" s="190">
        <f>IF(R109="-","-",VLOOKUP(R109,'PPI USA'!$S:$T,2,FALSE))</f>
        <v>160.80000000000001</v>
      </c>
      <c r="AC109" s="190">
        <f>IF(S109="-","-",VLOOKUP(S109,'PPI USA'!$S:$T,2,FALSE))</f>
        <v>169.6</v>
      </c>
      <c r="AD109" s="190">
        <f>IF(T109="-","-",VLOOKUP(T109,'PPI USA'!$S:$T,2,FALSE))</f>
        <v>175.1</v>
      </c>
      <c r="AE109" s="7"/>
      <c r="AF109" s="7"/>
      <c r="AG109" s="190">
        <f t="shared" ref="AG109:AI109" si="311">IF(W109="-","-",(AT109*$B$2/W109+(1-AT109)*AVERAGE($B$2,$B$3)/AVERAGE(W109,AB109)))</f>
        <v>1.4703278680244813</v>
      </c>
      <c r="AH109" s="190">
        <f t="shared" si="311"/>
        <v>1.4208751760332547</v>
      </c>
      <c r="AI109" s="190">
        <f t="shared" si="311"/>
        <v>1.3897894616766442</v>
      </c>
      <c r="AJ109" s="7"/>
      <c r="AK109" s="7"/>
      <c r="AL109" s="190">
        <f t="shared" ref="AL109:AN109" si="312">IF(W109="-","-",(AY109*$B$2/W109+(1-AY109)*AVERAGE($B$2,$B$3)/AVERAGE(W109,AB109)))</f>
        <v>1.4857204383544427</v>
      </c>
      <c r="AM109" s="190">
        <f t="shared" si="312"/>
        <v>1.4334111417560953</v>
      </c>
      <c r="AN109" s="190">
        <f t="shared" si="312"/>
        <v>1.4008620811189902</v>
      </c>
      <c r="AO109" s="7"/>
      <c r="AP109" s="7"/>
      <c r="AQ109" s="7"/>
      <c r="AR109" s="7"/>
      <c r="AS109" s="7"/>
      <c r="AT109" s="242">
        <f>IF(R109="-","-",VLOOKUP(R109,'CPI USA'!$T:$V,3,FALSE))</f>
        <v>0.67050107279443949</v>
      </c>
      <c r="AU109" s="242">
        <f>IF(S109="-","-",VLOOKUP(S109,'CPI USA'!$T:$V,3,FALSE))</f>
        <v>0.6684022975047168</v>
      </c>
      <c r="AV109" s="242">
        <f>IF(T109="-","-",VLOOKUP(T109,'CPI USA'!$T:$V,3,FALSE))</f>
        <v>0.66730871354337351</v>
      </c>
      <c r="AW109" s="7"/>
      <c r="AX109" s="7"/>
      <c r="AY109" s="242">
        <f>IF(R109="-","-",VLOOKUP(R109,'CPI USA'!$T:$X,5,FALSE))</f>
        <v>0.4987389730136107</v>
      </c>
      <c r="AZ109" s="242">
        <f>IF(S109="-","-",VLOOKUP(S109,'CPI USA'!$T:$X,5,FALSE))</f>
        <v>0.49636791791307899</v>
      </c>
      <c r="BA109" s="242">
        <f>IF(T109="-","-",VLOOKUP(T109,'CPI USA'!$T:$X,5,FALSE))</f>
        <v>0.49513551903851311</v>
      </c>
      <c r="BB109" s="7"/>
    </row>
    <row r="110" spans="1:54" ht="15.75" customHeight="1">
      <c r="A110" s="185" t="s">
        <v>520</v>
      </c>
      <c r="B110" s="185" t="s">
        <v>521</v>
      </c>
      <c r="C110" s="239">
        <f>+'Empresas 21-23'!J105</f>
        <v>0</v>
      </c>
      <c r="D110" s="239">
        <f>VLOOKUP(A110,'FERC 2021'!$A$3:$BE$221,57,0)</f>
        <v>2014713354</v>
      </c>
      <c r="E110" s="239">
        <f>VLOOKUP(A110,'FERC 2021'!$A$3:$BF$221,58,0)</f>
        <v>157763596</v>
      </c>
      <c r="F110" s="239">
        <f>VLOOKUP(A110,'FERC 2022'!$A$3:$BE$220,57,0)</f>
        <v>2122553270</v>
      </c>
      <c r="G110" s="239">
        <f>VLOOKUP(A110,'FERC 2022'!$A$3:$BF$220,58,0)</f>
        <v>160811545</v>
      </c>
      <c r="H110" s="239">
        <f>VLOOKUP(A110,'FERC 2023'!$A$3:$BE$221,57,0)</f>
        <v>2246447895</v>
      </c>
      <c r="I110" s="239">
        <f>VLOOKUP(A110,'FERC 2023'!$A$3:$BF$221,58,0)</f>
        <v>156790926</v>
      </c>
      <c r="J110" s="7"/>
      <c r="K110" s="7"/>
      <c r="L110" s="7"/>
      <c r="M110" s="187">
        <f t="shared" si="0"/>
        <v>12.770457856449976</v>
      </c>
      <c r="N110" s="187">
        <f t="shared" si="1"/>
        <v>13.1990104939294</v>
      </c>
      <c r="O110" s="187">
        <f t="shared" si="2"/>
        <v>14.32766520557446</v>
      </c>
      <c r="P110" s="7"/>
      <c r="Q110" s="240">
        <f t="shared" si="3"/>
        <v>13.432377851984612</v>
      </c>
      <c r="R110" s="189" t="str">
        <f t="shared" ref="R110:T110" si="313">IF(ISERROR(R$5-365*$Q110),"-",MONTH(R$5-365*$Q110)&amp;"_"&amp;YEAR(R$5-365*$Q110))</f>
        <v>7_2008</v>
      </c>
      <c r="S110" s="189" t="str">
        <f t="shared" si="313"/>
        <v>7_2009</v>
      </c>
      <c r="T110" s="189" t="str">
        <f t="shared" si="313"/>
        <v>7_2010</v>
      </c>
      <c r="U110" s="7"/>
      <c r="V110" s="7"/>
      <c r="W110" s="190">
        <f>IF(R110="-","-",VLOOKUP(R110,'CPI USA'!$T:$U,2,FALSE))</f>
        <v>215.303</v>
      </c>
      <c r="X110" s="190">
        <f>IF(S110="-","-",VLOOKUP(S110,'CPI USA'!$T:$U,2,FALSE))</f>
        <v>214.53700000000001</v>
      </c>
      <c r="Y110" s="190">
        <f>IF(T110="-","-",VLOOKUP(T110,'CPI USA'!$T:$U,2,FALSE))</f>
        <v>218.05600000000001</v>
      </c>
      <c r="Z110" s="7"/>
      <c r="AA110" s="7"/>
      <c r="AB110" s="190">
        <f>IF(R110="-","-",VLOOKUP(R110,'PPI USA'!$S:$T,2,FALSE))</f>
        <v>159.30000000000001</v>
      </c>
      <c r="AC110" s="190">
        <f>IF(S110="-","-",VLOOKUP(S110,'PPI USA'!$S:$T,2,FALSE))</f>
        <v>159.1</v>
      </c>
      <c r="AD110" s="190">
        <f>IF(T110="-","-",VLOOKUP(T110,'PPI USA'!$S:$T,2,FALSE))</f>
        <v>160.80000000000001</v>
      </c>
      <c r="AE110" s="7"/>
      <c r="AF110" s="7"/>
      <c r="AG110" s="190">
        <f t="shared" ref="AG110:AI110" si="314">IF(W110="-","-",(AT110*$B$2/W110+(1-AT110)*AVERAGE($B$2,$B$3)/AVERAGE(W110,AB110)))</f>
        <v>1.4884333659448254</v>
      </c>
      <c r="AH110" s="190">
        <f t="shared" si="314"/>
        <v>1.4932638886873792</v>
      </c>
      <c r="AI110" s="190">
        <f t="shared" si="314"/>
        <v>1.4703278680244813</v>
      </c>
      <c r="AJ110" s="7"/>
      <c r="AK110" s="7"/>
      <c r="AL110" s="190">
        <f t="shared" ref="AL110:AN110" si="315">IF(W110="-","-",(AY110*$B$2/W110+(1-AY110)*AVERAGE($B$2,$B$3)/AVERAGE(W110,AB110)))</f>
        <v>1.5036496327119213</v>
      </c>
      <c r="AM110" s="190">
        <f t="shared" si="315"/>
        <v>1.5082750176818205</v>
      </c>
      <c r="AN110" s="190">
        <f t="shared" si="315"/>
        <v>1.4857204383544427</v>
      </c>
      <c r="AO110" s="7"/>
      <c r="AP110" s="7"/>
      <c r="AQ110" s="7"/>
      <c r="AR110" s="7"/>
      <c r="AS110" s="7"/>
      <c r="AT110" s="242">
        <f>IF(R110="-","-",VLOOKUP(R110,'CPI USA'!$T:$V,3,FALSE))</f>
        <v>0.67018812038291731</v>
      </c>
      <c r="AU110" s="242">
        <f>IF(S110="-","-",VLOOKUP(S110,'CPI USA'!$T:$V,3,FALSE))</f>
        <v>0.66997101349938215</v>
      </c>
      <c r="AV110" s="242">
        <f>IF(T110="-","-",VLOOKUP(T110,'CPI USA'!$T:$V,3,FALSE))</f>
        <v>0.67050107279443949</v>
      </c>
      <c r="AW110" s="7"/>
      <c r="AX110" s="7"/>
      <c r="AY110" s="242">
        <f>IF(R110="-","-",VLOOKUP(R110,'CPI USA'!$T:$X,5,FALSE))</f>
        <v>0.49838492968660258</v>
      </c>
      <c r="AZ110" s="242">
        <f>IF(S110="-","-",VLOOKUP(S110,'CPI USA'!$T:$X,5,FALSE))</f>
        <v>0.49813941766071862</v>
      </c>
      <c r="BA110" s="242">
        <f>IF(T110="-","-",VLOOKUP(T110,'CPI USA'!$T:$X,5,FALSE))</f>
        <v>0.4987389730136107</v>
      </c>
      <c r="BB110" s="7"/>
    </row>
    <row r="111" spans="1:54" ht="15.75" customHeight="1">
      <c r="A111" s="185" t="s">
        <v>523</v>
      </c>
      <c r="B111" s="185" t="s">
        <v>524</v>
      </c>
      <c r="C111" s="243">
        <f>+'Empresas 21-23'!J106</f>
        <v>0</v>
      </c>
      <c r="D111" s="239">
        <f>VLOOKUP(A111,'FERC 2021'!$A$3:$BE$221,57,0)</f>
        <v>0</v>
      </c>
      <c r="E111" s="239">
        <f>VLOOKUP(A111,'FERC 2021'!$A$3:$BF$221,58,0)</f>
        <v>0</v>
      </c>
      <c r="F111" s="239">
        <f>VLOOKUP(A111,'FERC 2022'!$A$3:$BE$220,57,0)</f>
        <v>0</v>
      </c>
      <c r="G111" s="239">
        <f>VLOOKUP(A111,'FERC 2022'!$A$3:$BF$220,58,0)</f>
        <v>0</v>
      </c>
      <c r="H111" s="239">
        <f>VLOOKUP(A111,'FERC 2023'!$A$3:$BE$221,57,0)</f>
        <v>0</v>
      </c>
      <c r="I111" s="239">
        <f>VLOOKUP(A111,'FERC 2023'!$A$3:$BF$221,58,0)</f>
        <v>0</v>
      </c>
      <c r="J111" s="7"/>
      <c r="K111" s="7"/>
      <c r="L111" s="7"/>
      <c r="M111" s="187" t="str">
        <f t="shared" si="0"/>
        <v/>
      </c>
      <c r="N111" s="187" t="str">
        <f t="shared" si="1"/>
        <v/>
      </c>
      <c r="O111" s="187" t="str">
        <f t="shared" si="2"/>
        <v/>
      </c>
      <c r="P111" s="7"/>
      <c r="Q111" s="240" t="str">
        <f t="shared" si="3"/>
        <v>-</v>
      </c>
      <c r="R111" s="189" t="str">
        <f t="shared" ref="R111:T111" si="316">IF(ISERROR(R$5-365*$Q111),"-",MONTH(R$5-365*$Q111)&amp;"_"&amp;YEAR(R$5-365*$Q111))</f>
        <v>-</v>
      </c>
      <c r="S111" s="189" t="str">
        <f t="shared" si="316"/>
        <v>-</v>
      </c>
      <c r="T111" s="189" t="str">
        <f t="shared" si="316"/>
        <v>-</v>
      </c>
      <c r="U111" s="7"/>
      <c r="V111" s="7"/>
      <c r="W111" s="190" t="str">
        <f>IF(R111="-","-",VLOOKUP(R111,'CPI USA'!$T:$U,2,FALSE))</f>
        <v>-</v>
      </c>
      <c r="X111" s="190" t="str">
        <f>IF(S111="-","-",VLOOKUP(S111,'CPI USA'!$T:$U,2,FALSE))</f>
        <v>-</v>
      </c>
      <c r="Y111" s="190" t="str">
        <f>IF(T111="-","-",VLOOKUP(T111,'CPI USA'!$T:$U,2,FALSE))</f>
        <v>-</v>
      </c>
      <c r="Z111" s="7"/>
      <c r="AA111" s="7"/>
      <c r="AB111" s="190" t="str">
        <f>IF(R111="-","-",VLOOKUP(R111,'PPI USA'!$S:$T,2,FALSE))</f>
        <v>-</v>
      </c>
      <c r="AC111" s="190" t="str">
        <f>IF(S111="-","-",VLOOKUP(S111,'PPI USA'!$S:$T,2,FALSE))</f>
        <v>-</v>
      </c>
      <c r="AD111" s="190" t="str">
        <f>IF(T111="-","-",VLOOKUP(T111,'PPI USA'!$S:$T,2,FALSE))</f>
        <v>-</v>
      </c>
      <c r="AE111" s="7"/>
      <c r="AF111" s="7"/>
      <c r="AG111" s="190" t="str">
        <f t="shared" ref="AG111:AI111" si="317">IF(W111="-","-",(AT111*$B$2/W111+(1-AT111)*AVERAGE($B$2,$B$3)/AVERAGE(W111,AB111)))</f>
        <v>-</v>
      </c>
      <c r="AH111" s="190" t="str">
        <f t="shared" si="317"/>
        <v>-</v>
      </c>
      <c r="AI111" s="190" t="str">
        <f t="shared" si="317"/>
        <v>-</v>
      </c>
      <c r="AJ111" s="7"/>
      <c r="AK111" s="7"/>
      <c r="AL111" s="190" t="str">
        <f t="shared" ref="AL111:AN111" si="318">IF(W111="-","-",(AY111*$B$2/W111+(1-AY111)*AVERAGE($B$2,$B$3)/AVERAGE(W111,AB111)))</f>
        <v>-</v>
      </c>
      <c r="AM111" s="190" t="str">
        <f t="shared" si="318"/>
        <v>-</v>
      </c>
      <c r="AN111" s="190" t="str">
        <f t="shared" si="318"/>
        <v>-</v>
      </c>
      <c r="AO111" s="7"/>
      <c r="AP111" s="7"/>
      <c r="AQ111" s="7"/>
      <c r="AR111" s="7"/>
      <c r="AS111" s="7"/>
      <c r="AT111" s="242" t="str">
        <f>IF(R111="-","-",VLOOKUP(R111,'CPI USA'!$T:$V,3,FALSE))</f>
        <v>-</v>
      </c>
      <c r="AU111" s="242" t="str">
        <f>IF(S111="-","-",VLOOKUP(S111,'CPI USA'!$T:$V,3,FALSE))</f>
        <v>-</v>
      </c>
      <c r="AV111" s="242" t="str">
        <f>IF(T111="-","-",VLOOKUP(T111,'CPI USA'!$T:$V,3,FALSE))</f>
        <v>-</v>
      </c>
      <c r="AW111" s="7"/>
      <c r="AX111" s="7"/>
      <c r="AY111" s="242" t="str">
        <f>IF(R111="-","-",VLOOKUP(R111,'CPI USA'!$T:$X,5,FALSE))</f>
        <v>-</v>
      </c>
      <c r="AZ111" s="242" t="str">
        <f>IF(S111="-","-",VLOOKUP(S111,'CPI USA'!$T:$X,5,FALSE))</f>
        <v>-</v>
      </c>
      <c r="BA111" s="242" t="str">
        <f>IF(T111="-","-",VLOOKUP(T111,'CPI USA'!$T:$X,5,FALSE))</f>
        <v>-</v>
      </c>
      <c r="BB111" s="7"/>
    </row>
    <row r="112" spans="1:54" ht="15.75" customHeight="1">
      <c r="A112" s="185" t="s">
        <v>526</v>
      </c>
      <c r="B112" s="185" t="s">
        <v>527</v>
      </c>
      <c r="C112" s="243">
        <f>+'Empresas 21-23'!J107</f>
        <v>0</v>
      </c>
      <c r="D112" s="239">
        <f>VLOOKUP(A112,'FERC 2021'!$A$3:$BE$221,57,0)</f>
        <v>0</v>
      </c>
      <c r="E112" s="239">
        <f>VLOOKUP(A112,'FERC 2021'!$A$3:$BF$221,58,0)</f>
        <v>0</v>
      </c>
      <c r="F112" s="239">
        <f>VLOOKUP(A112,'FERC 2022'!$A$3:$BE$220,57,0)</f>
        <v>0</v>
      </c>
      <c r="G112" s="239">
        <f>VLOOKUP(A112,'FERC 2022'!$A$3:$BF$220,58,0)</f>
        <v>0</v>
      </c>
      <c r="H112" s="239">
        <f>VLOOKUP(A112,'FERC 2023'!$A$3:$BE$221,57,0)</f>
        <v>0</v>
      </c>
      <c r="I112" s="239">
        <f>VLOOKUP(A112,'FERC 2023'!$A$3:$BF$221,58,0)</f>
        <v>0</v>
      </c>
      <c r="J112" s="7"/>
      <c r="K112" s="7"/>
      <c r="L112" s="7"/>
      <c r="M112" s="187" t="str">
        <f t="shared" si="0"/>
        <v/>
      </c>
      <c r="N112" s="187" t="str">
        <f t="shared" si="1"/>
        <v/>
      </c>
      <c r="O112" s="187" t="str">
        <f t="shared" si="2"/>
        <v/>
      </c>
      <c r="P112" s="7"/>
      <c r="Q112" s="240" t="str">
        <f t="shared" si="3"/>
        <v>-</v>
      </c>
      <c r="R112" s="189" t="str">
        <f t="shared" ref="R112:T112" si="319">IF(ISERROR(R$5-365*$Q112),"-",MONTH(R$5-365*$Q112)&amp;"_"&amp;YEAR(R$5-365*$Q112))</f>
        <v>-</v>
      </c>
      <c r="S112" s="189" t="str">
        <f t="shared" si="319"/>
        <v>-</v>
      </c>
      <c r="T112" s="189" t="str">
        <f t="shared" si="319"/>
        <v>-</v>
      </c>
      <c r="U112" s="7"/>
      <c r="V112" s="7"/>
      <c r="W112" s="190" t="str">
        <f>IF(R112="-","-",VLOOKUP(R112,'CPI USA'!$T:$U,2,FALSE))</f>
        <v>-</v>
      </c>
      <c r="X112" s="190" t="str">
        <f>IF(S112="-","-",VLOOKUP(S112,'CPI USA'!$T:$U,2,FALSE))</f>
        <v>-</v>
      </c>
      <c r="Y112" s="190" t="str">
        <f>IF(T112="-","-",VLOOKUP(T112,'CPI USA'!$T:$U,2,FALSE))</f>
        <v>-</v>
      </c>
      <c r="Z112" s="7"/>
      <c r="AA112" s="7"/>
      <c r="AB112" s="190" t="str">
        <f>IF(R112="-","-",VLOOKUP(R112,'PPI USA'!$S:$T,2,FALSE))</f>
        <v>-</v>
      </c>
      <c r="AC112" s="190" t="str">
        <f>IF(S112="-","-",VLOOKUP(S112,'PPI USA'!$S:$T,2,FALSE))</f>
        <v>-</v>
      </c>
      <c r="AD112" s="190" t="str">
        <f>IF(T112="-","-",VLOOKUP(T112,'PPI USA'!$S:$T,2,FALSE))</f>
        <v>-</v>
      </c>
      <c r="AE112" s="7"/>
      <c r="AF112" s="7"/>
      <c r="AG112" s="190" t="str">
        <f t="shared" ref="AG112:AI112" si="320">IF(W112="-","-",(AT112*$B$2/W112+(1-AT112)*AVERAGE($B$2,$B$3)/AVERAGE(W112,AB112)))</f>
        <v>-</v>
      </c>
      <c r="AH112" s="190" t="str">
        <f t="shared" si="320"/>
        <v>-</v>
      </c>
      <c r="AI112" s="190" t="str">
        <f t="shared" si="320"/>
        <v>-</v>
      </c>
      <c r="AJ112" s="7"/>
      <c r="AK112" s="7"/>
      <c r="AL112" s="190" t="str">
        <f t="shared" ref="AL112:AN112" si="321">IF(W112="-","-",(AY112*$B$2/W112+(1-AY112)*AVERAGE($B$2,$B$3)/AVERAGE(W112,AB112)))</f>
        <v>-</v>
      </c>
      <c r="AM112" s="190" t="str">
        <f t="shared" si="321"/>
        <v>-</v>
      </c>
      <c r="AN112" s="190" t="str">
        <f t="shared" si="321"/>
        <v>-</v>
      </c>
      <c r="AO112" s="7"/>
      <c r="AP112" s="7"/>
      <c r="AQ112" s="7"/>
      <c r="AR112" s="7"/>
      <c r="AS112" s="7"/>
      <c r="AT112" s="242" t="str">
        <f>IF(R112="-","-",VLOOKUP(R112,'CPI USA'!$T:$V,3,FALSE))</f>
        <v>-</v>
      </c>
      <c r="AU112" s="242" t="str">
        <f>IF(S112="-","-",VLOOKUP(S112,'CPI USA'!$T:$V,3,FALSE))</f>
        <v>-</v>
      </c>
      <c r="AV112" s="242" t="str">
        <f>IF(T112="-","-",VLOOKUP(T112,'CPI USA'!$T:$V,3,FALSE))</f>
        <v>-</v>
      </c>
      <c r="AW112" s="7"/>
      <c r="AX112" s="7"/>
      <c r="AY112" s="242" t="str">
        <f>IF(R112="-","-",VLOOKUP(R112,'CPI USA'!$T:$X,5,FALSE))</f>
        <v>-</v>
      </c>
      <c r="AZ112" s="242" t="str">
        <f>IF(S112="-","-",VLOOKUP(S112,'CPI USA'!$T:$X,5,FALSE))</f>
        <v>-</v>
      </c>
      <c r="BA112" s="242" t="str">
        <f>IF(T112="-","-",VLOOKUP(T112,'CPI USA'!$T:$X,5,FALSE))</f>
        <v>-</v>
      </c>
      <c r="BB112" s="7"/>
    </row>
    <row r="113" spans="1:54" ht="15.75" customHeight="1">
      <c r="A113" s="185" t="s">
        <v>529</v>
      </c>
      <c r="B113" s="185" t="s">
        <v>530</v>
      </c>
      <c r="C113" s="239">
        <f>+'Empresas 21-23'!J108</f>
        <v>0</v>
      </c>
      <c r="D113" s="239">
        <f>VLOOKUP(A113,'FERC 2021'!$A$3:$BE$221,57,0)</f>
        <v>0</v>
      </c>
      <c r="E113" s="239">
        <f>VLOOKUP(A113,'FERC 2021'!$A$3:$BF$221,58,0)</f>
        <v>0</v>
      </c>
      <c r="F113" s="239">
        <f>VLOOKUP(A113,'FERC 2022'!$A$3:$BE$220,57,0)</f>
        <v>0</v>
      </c>
      <c r="G113" s="239">
        <f>VLOOKUP(A113,'FERC 2022'!$A$3:$BF$220,58,0)</f>
        <v>0</v>
      </c>
      <c r="H113" s="239">
        <f>VLOOKUP(A113,'FERC 2023'!$A$3:$BE$221,57,0)</f>
        <v>0</v>
      </c>
      <c r="I113" s="239">
        <f>VLOOKUP(A113,'FERC 2023'!$A$3:$BF$221,58,0)</f>
        <v>0</v>
      </c>
      <c r="J113" s="7"/>
      <c r="K113" s="7"/>
      <c r="L113" s="7"/>
      <c r="M113" s="187" t="str">
        <f t="shared" si="0"/>
        <v/>
      </c>
      <c r="N113" s="187" t="str">
        <f t="shared" si="1"/>
        <v/>
      </c>
      <c r="O113" s="187" t="str">
        <f t="shared" si="2"/>
        <v/>
      </c>
      <c r="P113" s="7"/>
      <c r="Q113" s="240" t="str">
        <f t="shared" si="3"/>
        <v>-</v>
      </c>
      <c r="R113" s="189" t="str">
        <f t="shared" ref="R113:T113" si="322">IF(ISERROR(R$5-365*$Q113),"-",MONTH(R$5-365*$Q113)&amp;"_"&amp;YEAR(R$5-365*$Q113))</f>
        <v>-</v>
      </c>
      <c r="S113" s="189" t="str">
        <f t="shared" si="322"/>
        <v>-</v>
      </c>
      <c r="T113" s="189" t="str">
        <f t="shared" si="322"/>
        <v>-</v>
      </c>
      <c r="U113" s="7"/>
      <c r="V113" s="7"/>
      <c r="W113" s="190" t="str">
        <f>IF(R113="-","-",VLOOKUP(R113,'CPI USA'!$T:$U,2,FALSE))</f>
        <v>-</v>
      </c>
      <c r="X113" s="190" t="str">
        <f>IF(S113="-","-",VLOOKUP(S113,'CPI USA'!$T:$U,2,FALSE))</f>
        <v>-</v>
      </c>
      <c r="Y113" s="190" t="str">
        <f>IF(T113="-","-",VLOOKUP(T113,'CPI USA'!$T:$U,2,FALSE))</f>
        <v>-</v>
      </c>
      <c r="Z113" s="7"/>
      <c r="AA113" s="7"/>
      <c r="AB113" s="190" t="str">
        <f>IF(R113="-","-",VLOOKUP(R113,'PPI USA'!$S:$T,2,FALSE))</f>
        <v>-</v>
      </c>
      <c r="AC113" s="190" t="str">
        <f>IF(S113="-","-",VLOOKUP(S113,'PPI USA'!$S:$T,2,FALSE))</f>
        <v>-</v>
      </c>
      <c r="AD113" s="190" t="str">
        <f>IF(T113="-","-",VLOOKUP(T113,'PPI USA'!$S:$T,2,FALSE))</f>
        <v>-</v>
      </c>
      <c r="AE113" s="7"/>
      <c r="AF113" s="7"/>
      <c r="AG113" s="190" t="str">
        <f t="shared" ref="AG113:AI113" si="323">IF(W113="-","-",(AT113*$B$2/W113+(1-AT113)*AVERAGE($B$2,$B$3)/AVERAGE(W113,AB113)))</f>
        <v>-</v>
      </c>
      <c r="AH113" s="190" t="str">
        <f t="shared" si="323"/>
        <v>-</v>
      </c>
      <c r="AI113" s="190" t="str">
        <f t="shared" si="323"/>
        <v>-</v>
      </c>
      <c r="AJ113" s="7"/>
      <c r="AK113" s="7"/>
      <c r="AL113" s="190" t="str">
        <f t="shared" ref="AL113:AN113" si="324">IF(W113="-","-",(AY113*$B$2/W113+(1-AY113)*AVERAGE($B$2,$B$3)/AVERAGE(W113,AB113)))</f>
        <v>-</v>
      </c>
      <c r="AM113" s="190" t="str">
        <f t="shared" si="324"/>
        <v>-</v>
      </c>
      <c r="AN113" s="190" t="str">
        <f t="shared" si="324"/>
        <v>-</v>
      </c>
      <c r="AO113" s="7"/>
      <c r="AP113" s="7"/>
      <c r="AQ113" s="7"/>
      <c r="AR113" s="7"/>
      <c r="AS113" s="7"/>
      <c r="AT113" s="242" t="str">
        <f>IF(R113="-","-",VLOOKUP(R113,'CPI USA'!$T:$V,3,FALSE))</f>
        <v>-</v>
      </c>
      <c r="AU113" s="242" t="str">
        <f>IF(S113="-","-",VLOOKUP(S113,'CPI USA'!$T:$V,3,FALSE))</f>
        <v>-</v>
      </c>
      <c r="AV113" s="242" t="str">
        <f>IF(T113="-","-",VLOOKUP(T113,'CPI USA'!$T:$V,3,FALSE))</f>
        <v>-</v>
      </c>
      <c r="AW113" s="7"/>
      <c r="AX113" s="7"/>
      <c r="AY113" s="242" t="str">
        <f>IF(R113="-","-",VLOOKUP(R113,'CPI USA'!$T:$X,5,FALSE))</f>
        <v>-</v>
      </c>
      <c r="AZ113" s="242" t="str">
        <f>IF(S113="-","-",VLOOKUP(S113,'CPI USA'!$T:$X,5,FALSE))</f>
        <v>-</v>
      </c>
      <c r="BA113" s="242" t="str">
        <f>IF(T113="-","-",VLOOKUP(T113,'CPI USA'!$T:$X,5,FALSE))</f>
        <v>-</v>
      </c>
      <c r="BB113" s="7"/>
    </row>
    <row r="114" spans="1:54" ht="15.75" customHeight="1">
      <c r="A114" s="185" t="s">
        <v>532</v>
      </c>
      <c r="B114" s="185" t="s">
        <v>533</v>
      </c>
      <c r="C114" s="239">
        <f>+'Empresas 21-23'!J109</f>
        <v>0</v>
      </c>
      <c r="D114" s="239">
        <f>VLOOKUP(A114,'FERC 2021'!$A$3:$BE$221,57,0)</f>
        <v>245092169</v>
      </c>
      <c r="E114" s="239">
        <f>VLOOKUP(A114,'FERC 2021'!$A$3:$BF$221,58,0)</f>
        <v>12971040</v>
      </c>
      <c r="F114" s="239">
        <f>VLOOKUP(A114,'FERC 2022'!$A$3:$BE$220,57,0)</f>
        <v>254418516</v>
      </c>
      <c r="G114" s="239">
        <f>VLOOKUP(A114,'FERC 2022'!$A$3:$BF$220,58,0)</f>
        <v>13814230</v>
      </c>
      <c r="H114" s="239">
        <f>VLOOKUP(A114,'FERC 2023'!$A$3:$BE$221,57,0)</f>
        <v>264237617</v>
      </c>
      <c r="I114" s="239">
        <f>VLOOKUP(A114,'FERC 2023'!$A$3:$BF$221,58,0)</f>
        <v>14840562</v>
      </c>
      <c r="J114" s="7"/>
      <c r="K114" s="7"/>
      <c r="L114" s="7"/>
      <c r="M114" s="187">
        <f t="shared" si="0"/>
        <v>18.895336765594742</v>
      </c>
      <c r="N114" s="187">
        <f t="shared" si="1"/>
        <v>18.417133347280306</v>
      </c>
      <c r="O114" s="187">
        <f t="shared" si="2"/>
        <v>17.805095049634915</v>
      </c>
      <c r="P114" s="7"/>
      <c r="Q114" s="240">
        <f t="shared" si="3"/>
        <v>18.372521720836655</v>
      </c>
      <c r="R114" s="189" t="str">
        <f t="shared" ref="R114:T114" si="325">IF(ISERROR(R$5-365*$Q114),"-",MONTH(R$5-365*$Q114)&amp;"_"&amp;YEAR(R$5-365*$Q114))</f>
        <v>8_2003</v>
      </c>
      <c r="S114" s="189" t="str">
        <f t="shared" si="325"/>
        <v>8_2004</v>
      </c>
      <c r="T114" s="189" t="str">
        <f t="shared" si="325"/>
        <v>8_2005</v>
      </c>
      <c r="U114" s="7"/>
      <c r="V114" s="7"/>
      <c r="W114" s="190">
        <f>IF(R114="-","-",VLOOKUP(R114,'CPI USA'!$T:$U,2,FALSE))</f>
        <v>184</v>
      </c>
      <c r="X114" s="190">
        <f>IF(S114="-","-",VLOOKUP(S114,'CPI USA'!$T:$U,2,FALSE))</f>
        <v>188.9</v>
      </c>
      <c r="Y114" s="190">
        <f>IF(T114="-","-",VLOOKUP(T114,'CPI USA'!$T:$U,2,FALSE))</f>
        <v>195.3</v>
      </c>
      <c r="Z114" s="7"/>
      <c r="AA114" s="7"/>
      <c r="AB114" s="190">
        <f>IF(R114="-","-",VLOOKUP(R114,'PPI USA'!$S:$T,2,FALSE))</f>
        <v>122.6</v>
      </c>
      <c r="AC114" s="190">
        <f>IF(S114="-","-",VLOOKUP(S114,'PPI USA'!$S:$T,2,FALSE))</f>
        <v>123.7</v>
      </c>
      <c r="AD114" s="190">
        <f>IF(T114="-","-",VLOOKUP(T114,'PPI USA'!$S:$T,2,FALSE))</f>
        <v>131.30000000000001</v>
      </c>
      <c r="AE114" s="7"/>
      <c r="AF114" s="7"/>
      <c r="AG114" s="190">
        <f t="shared" ref="AG114:AI114" si="326">IF(W114="-","-",(AT114*$B$2/W114+(1-AT114)*AVERAGE($B$2,$B$3)/AVERAGE(W114,AB114)))</f>
        <v>1.7662899637984153</v>
      </c>
      <c r="AH114" s="190">
        <f t="shared" si="326"/>
        <v>1.7242718973721483</v>
      </c>
      <c r="AI114" s="190">
        <f t="shared" si="326"/>
        <v>1.6621774217199745</v>
      </c>
      <c r="AJ114" s="7"/>
      <c r="AK114" s="7"/>
      <c r="AL114" s="190">
        <f t="shared" ref="AL114:AN114" si="327">IF(W114="-","-",(AY114*$B$2/W114+(1-AY114)*AVERAGE($B$2,$B$3)/AVERAGE(W114,AB114)))</f>
        <v>1.7975926193363585</v>
      </c>
      <c r="AM114" s="190">
        <f t="shared" si="327"/>
        <v>1.7568944717328012</v>
      </c>
      <c r="AN114" s="190">
        <f t="shared" si="327"/>
        <v>1.6905992787819408</v>
      </c>
      <c r="AO114" s="7"/>
      <c r="AP114" s="7"/>
      <c r="AQ114" s="7"/>
      <c r="AR114" s="7"/>
      <c r="AS114" s="7"/>
      <c r="AT114" s="242">
        <f>IF(R114="-","-",VLOOKUP(R114,'CPI USA'!$T:$V,3,FALSE))</f>
        <v>0.67966838867333434</v>
      </c>
      <c r="AU114" s="242">
        <f>IF(S114="-","-",VLOOKUP(S114,'CPI USA'!$T:$V,3,FALSE))</f>
        <v>0.68116912558338294</v>
      </c>
      <c r="AV114" s="242">
        <f>IF(T114="-","-",VLOOKUP(T114,'CPI USA'!$T:$V,3,FALSE))</f>
        <v>0.67888602568792966</v>
      </c>
      <c r="AW114" s="7"/>
      <c r="AX114" s="7"/>
      <c r="AY114" s="242">
        <f>IF(R114="-","-",VLOOKUP(R114,'CPI USA'!$T:$X,5,FALSE))</f>
        <v>0.509186952863521</v>
      </c>
      <c r="AZ114" s="242">
        <f>IF(S114="-","-",VLOOKUP(S114,'CPI USA'!$T:$X,5,FALSE))</f>
        <v>0.51091164550905577</v>
      </c>
      <c r="BA114" s="242">
        <f>IF(T114="-","-",VLOOKUP(T114,'CPI USA'!$T:$X,5,FALSE))</f>
        <v>0.50828944385363772</v>
      </c>
      <c r="BB114" s="7"/>
    </row>
    <row r="115" spans="1:54" ht="15.75" customHeight="1">
      <c r="A115" s="185" t="s">
        <v>535</v>
      </c>
      <c r="B115" s="185" t="s">
        <v>536</v>
      </c>
      <c r="C115" s="243">
        <f>+'Empresas 21-23'!J110</f>
        <v>0</v>
      </c>
      <c r="D115" s="239">
        <f>VLOOKUP(A115,'FERC 2021'!$A$3:$BE$221,57,0)</f>
        <v>31630496</v>
      </c>
      <c r="E115" s="239">
        <f>VLOOKUP(A115,'FERC 2021'!$A$3:$BF$221,58,0)</f>
        <v>2490683</v>
      </c>
      <c r="F115" s="239">
        <f>VLOOKUP(A115,'FERC 2022'!$A$3:$BE$220,57,0)</f>
        <v>34183551</v>
      </c>
      <c r="G115" s="239">
        <f>VLOOKUP(A115,'FERC 2022'!$A$3:$BF$220,58,0)</f>
        <v>2553055</v>
      </c>
      <c r="H115" s="239">
        <f>VLOOKUP(A115,'FERC 2023'!$A$3:$BE$221,57,0)</f>
        <v>36563691</v>
      </c>
      <c r="I115" s="239">
        <f>VLOOKUP(A115,'FERC 2023'!$A$3:$BF$221,58,0)</f>
        <v>2692453</v>
      </c>
      <c r="J115" s="7"/>
      <c r="K115" s="7"/>
      <c r="L115" s="7"/>
      <c r="M115" s="187">
        <f t="shared" si="0"/>
        <v>12.699526997213214</v>
      </c>
      <c r="N115" s="187">
        <f t="shared" si="1"/>
        <v>13.389273243232127</v>
      </c>
      <c r="O115" s="187">
        <f t="shared" si="2"/>
        <v>13.580066578692367</v>
      </c>
      <c r="P115" s="7"/>
      <c r="Q115" s="240">
        <f t="shared" si="3"/>
        <v>13.222955606379236</v>
      </c>
      <c r="R115" s="189" t="str">
        <f t="shared" ref="R115:T115" si="328">IF(ISERROR(R$5-365*$Q115),"-",MONTH(R$5-365*$Q115)&amp;"_"&amp;YEAR(R$5-365*$Q115))</f>
        <v>10_2008</v>
      </c>
      <c r="S115" s="189" t="str">
        <f t="shared" si="328"/>
        <v>10_2009</v>
      </c>
      <c r="T115" s="189" t="str">
        <f t="shared" si="328"/>
        <v>10_2010</v>
      </c>
      <c r="U115" s="7"/>
      <c r="V115" s="7"/>
      <c r="W115" s="190">
        <f>IF(R115="-","-",VLOOKUP(R115,'CPI USA'!$T:$U,2,FALSE))</f>
        <v>215.303</v>
      </c>
      <c r="X115" s="190">
        <f>IF(S115="-","-",VLOOKUP(S115,'CPI USA'!$T:$U,2,FALSE))</f>
        <v>214.53700000000001</v>
      </c>
      <c r="Y115" s="190">
        <f>IF(T115="-","-",VLOOKUP(T115,'CPI USA'!$T:$U,2,FALSE))</f>
        <v>218.05600000000001</v>
      </c>
      <c r="Z115" s="7"/>
      <c r="AA115" s="7"/>
      <c r="AB115" s="190">
        <f>IF(R115="-","-",VLOOKUP(R115,'PPI USA'!$S:$T,2,FALSE))</f>
        <v>159.30000000000001</v>
      </c>
      <c r="AC115" s="190">
        <f>IF(S115="-","-",VLOOKUP(S115,'PPI USA'!$S:$T,2,FALSE))</f>
        <v>159.1</v>
      </c>
      <c r="AD115" s="190">
        <f>IF(T115="-","-",VLOOKUP(T115,'PPI USA'!$S:$T,2,FALSE))</f>
        <v>160.80000000000001</v>
      </c>
      <c r="AE115" s="7"/>
      <c r="AF115" s="7"/>
      <c r="AG115" s="190">
        <f t="shared" ref="AG115:AI115" si="329">IF(W115="-","-",(AT115*$B$2/W115+(1-AT115)*AVERAGE($B$2,$B$3)/AVERAGE(W115,AB115)))</f>
        <v>1.4884333659448254</v>
      </c>
      <c r="AH115" s="190">
        <f t="shared" si="329"/>
        <v>1.4932638886873792</v>
      </c>
      <c r="AI115" s="190">
        <f t="shared" si="329"/>
        <v>1.4703278680244813</v>
      </c>
      <c r="AJ115" s="7"/>
      <c r="AK115" s="7"/>
      <c r="AL115" s="190">
        <f t="shared" ref="AL115:AN115" si="330">IF(W115="-","-",(AY115*$B$2/W115+(1-AY115)*AVERAGE($B$2,$B$3)/AVERAGE(W115,AB115)))</f>
        <v>1.5036496327119213</v>
      </c>
      <c r="AM115" s="190">
        <f t="shared" si="330"/>
        <v>1.5082750176818205</v>
      </c>
      <c r="AN115" s="190">
        <f t="shared" si="330"/>
        <v>1.4857204383544427</v>
      </c>
      <c r="AO115" s="7"/>
      <c r="AP115" s="7"/>
      <c r="AQ115" s="7"/>
      <c r="AR115" s="7"/>
      <c r="AS115" s="7"/>
      <c r="AT115" s="242">
        <f>IF(R115="-","-",VLOOKUP(R115,'CPI USA'!$T:$V,3,FALSE))</f>
        <v>0.67018812038291731</v>
      </c>
      <c r="AU115" s="242">
        <f>IF(S115="-","-",VLOOKUP(S115,'CPI USA'!$T:$V,3,FALSE))</f>
        <v>0.66997101349938215</v>
      </c>
      <c r="AV115" s="242">
        <f>IF(T115="-","-",VLOOKUP(T115,'CPI USA'!$T:$V,3,FALSE))</f>
        <v>0.67050107279443949</v>
      </c>
      <c r="AW115" s="7"/>
      <c r="AX115" s="7"/>
      <c r="AY115" s="242">
        <f>IF(R115="-","-",VLOOKUP(R115,'CPI USA'!$T:$X,5,FALSE))</f>
        <v>0.49838492968660258</v>
      </c>
      <c r="AZ115" s="242">
        <f>IF(S115="-","-",VLOOKUP(S115,'CPI USA'!$T:$X,5,FALSE))</f>
        <v>0.49813941766071862</v>
      </c>
      <c r="BA115" s="242">
        <f>IF(T115="-","-",VLOOKUP(T115,'CPI USA'!$T:$X,5,FALSE))</f>
        <v>0.4987389730136107</v>
      </c>
      <c r="BB115" s="7"/>
    </row>
    <row r="116" spans="1:54" ht="15.75" customHeight="1">
      <c r="A116" s="185" t="s">
        <v>538</v>
      </c>
      <c r="B116" s="185" t="s">
        <v>539</v>
      </c>
      <c r="C116" s="243">
        <f>+'Empresas 21-23'!J111</f>
        <v>0</v>
      </c>
      <c r="D116" s="239">
        <f>VLOOKUP(A116,'FERC 2021'!$A$3:$BE$221,57,0)</f>
        <v>8411138</v>
      </c>
      <c r="E116" s="239">
        <f>VLOOKUP(A116,'FERC 2021'!$A$3:$BF$221,58,0)</f>
        <v>292219</v>
      </c>
      <c r="F116" s="239">
        <f>VLOOKUP(A116,'FERC 2022'!$A$3:$BE$220,57,0)</f>
        <v>8388960</v>
      </c>
      <c r="G116" s="239">
        <f>VLOOKUP(A116,'FERC 2022'!$A$3:$BF$220,58,0)</f>
        <v>15137</v>
      </c>
      <c r="H116" s="239">
        <f>VLOOKUP(A116,'FERC 2023'!$A$3:$BE$221,57,0)</f>
        <v>8373827</v>
      </c>
      <c r="I116" s="239">
        <f>VLOOKUP(A116,'FERC 2023'!$A$3:$BF$221,58,0)</f>
        <v>15132</v>
      </c>
      <c r="J116" s="7"/>
      <c r="K116" s="7"/>
      <c r="L116" s="7"/>
      <c r="M116" s="187">
        <f t="shared" si="0"/>
        <v>28.783679363764847</v>
      </c>
      <c r="N116" s="187">
        <f t="shared" si="1"/>
        <v>554.20228578978663</v>
      </c>
      <c r="O116" s="187">
        <f t="shared" si="2"/>
        <v>553.38534232090933</v>
      </c>
      <c r="P116" s="7"/>
      <c r="Q116" s="240">
        <f t="shared" si="3"/>
        <v>378.79043582482024</v>
      </c>
      <c r="R116" s="189" t="e">
        <f t="shared" ref="R116:T116" si="331">IF(ISERROR(R$5-365*$Q116),"-",MONTH(R$5-365*$Q116)&amp;"_"&amp;YEAR(R$5-365*$Q116))</f>
        <v>#NUM!</v>
      </c>
      <c r="S116" s="189" t="e">
        <f t="shared" si="331"/>
        <v>#NUM!</v>
      </c>
      <c r="T116" s="189" t="e">
        <f t="shared" si="331"/>
        <v>#NUM!</v>
      </c>
      <c r="U116" s="7"/>
      <c r="V116" s="7"/>
      <c r="W116" s="190" t="e">
        <f>IF(R116="-","-",VLOOKUP(R116,'CPI USA'!$T:$U,2,FALSE))</f>
        <v>#NUM!</v>
      </c>
      <c r="X116" s="190" t="e">
        <f>IF(S116="-","-",VLOOKUP(S116,'CPI USA'!$T:$U,2,FALSE))</f>
        <v>#NUM!</v>
      </c>
      <c r="Y116" s="190" t="e">
        <f>IF(T116="-","-",VLOOKUP(T116,'CPI USA'!$T:$U,2,FALSE))</f>
        <v>#NUM!</v>
      </c>
      <c r="Z116" s="7"/>
      <c r="AA116" s="7"/>
      <c r="AB116" s="190" t="e">
        <f>IF(R116="-","-",VLOOKUP(R116,'PPI USA'!$S:$T,2,FALSE))</f>
        <v>#NUM!</v>
      </c>
      <c r="AC116" s="190" t="e">
        <f>IF(S116="-","-",VLOOKUP(S116,'PPI USA'!$S:$T,2,FALSE))</f>
        <v>#NUM!</v>
      </c>
      <c r="AD116" s="190" t="e">
        <f>IF(T116="-","-",VLOOKUP(T116,'PPI USA'!$S:$T,2,FALSE))</f>
        <v>#NUM!</v>
      </c>
      <c r="AE116" s="7"/>
      <c r="AF116" s="7"/>
      <c r="AG116" s="190" t="e">
        <f t="shared" ref="AG116:AI116" si="332">IF(W116="-","-",(AT116*$B$2/W116+(1-AT116)*AVERAGE($B$2,$B$3)/AVERAGE(W116,AB116)))</f>
        <v>#NUM!</v>
      </c>
      <c r="AH116" s="190" t="e">
        <f t="shared" si="332"/>
        <v>#NUM!</v>
      </c>
      <c r="AI116" s="190" t="e">
        <f t="shared" si="332"/>
        <v>#NUM!</v>
      </c>
      <c r="AJ116" s="7"/>
      <c r="AK116" s="7"/>
      <c r="AL116" s="190" t="e">
        <f t="shared" ref="AL116:AN116" si="333">IF(W116="-","-",(AY116*$B$2/W116+(1-AY116)*AVERAGE($B$2,$B$3)/AVERAGE(W116,AB116)))</f>
        <v>#NUM!</v>
      </c>
      <c r="AM116" s="190" t="e">
        <f t="shared" si="333"/>
        <v>#NUM!</v>
      </c>
      <c r="AN116" s="190" t="e">
        <f t="shared" si="333"/>
        <v>#NUM!</v>
      </c>
      <c r="AO116" s="7"/>
      <c r="AP116" s="7"/>
      <c r="AQ116" s="7"/>
      <c r="AR116" s="7"/>
      <c r="AS116" s="7"/>
      <c r="AT116" s="242" t="e">
        <f>IF(R116="-","-",VLOOKUP(R116,'CPI USA'!$T:$V,3,FALSE))</f>
        <v>#NUM!</v>
      </c>
      <c r="AU116" s="242" t="e">
        <f>IF(S116="-","-",VLOOKUP(S116,'CPI USA'!$T:$V,3,FALSE))</f>
        <v>#NUM!</v>
      </c>
      <c r="AV116" s="242" t="e">
        <f>IF(T116="-","-",VLOOKUP(T116,'CPI USA'!$T:$V,3,FALSE))</f>
        <v>#NUM!</v>
      </c>
      <c r="AW116" s="7"/>
      <c r="AX116" s="7"/>
      <c r="AY116" s="242" t="e">
        <f>IF(R116="-","-",VLOOKUP(R116,'CPI USA'!$T:$X,5,FALSE))</f>
        <v>#NUM!</v>
      </c>
      <c r="AZ116" s="242" t="e">
        <f>IF(S116="-","-",VLOOKUP(S116,'CPI USA'!$T:$X,5,FALSE))</f>
        <v>#NUM!</v>
      </c>
      <c r="BA116" s="242" t="e">
        <f>IF(T116="-","-",VLOOKUP(T116,'CPI USA'!$T:$X,5,FALSE))</f>
        <v>#NUM!</v>
      </c>
      <c r="BB116" s="7"/>
    </row>
    <row r="117" spans="1:54" ht="15.75" customHeight="1">
      <c r="A117" s="185" t="s">
        <v>541</v>
      </c>
      <c r="B117" s="185" t="s">
        <v>542</v>
      </c>
      <c r="C117" s="239">
        <f>+'Empresas 21-23'!J112</f>
        <v>0</v>
      </c>
      <c r="D117" s="239">
        <f>VLOOKUP(A117,'FERC 2021'!$A$3:$BE$221,57,0)</f>
        <v>2376078490</v>
      </c>
      <c r="E117" s="239">
        <f>VLOOKUP(A117,'FERC 2021'!$A$3:$BF$221,58,0)</f>
        <v>176159099</v>
      </c>
      <c r="F117" s="239">
        <f>VLOOKUP(A117,'FERC 2022'!$A$3:$BE$220,57,0)</f>
        <v>2479476620</v>
      </c>
      <c r="G117" s="239">
        <f>VLOOKUP(A117,'FERC 2022'!$A$3:$BF$220,58,0)</f>
        <v>193994612</v>
      </c>
      <c r="H117" s="239">
        <f>VLOOKUP(A117,'FERC 2023'!$A$3:$BE$221,57,0)</f>
        <v>2504485393</v>
      </c>
      <c r="I117" s="239">
        <f>VLOOKUP(A117,'FERC 2023'!$A$3:$BF$221,58,0)</f>
        <v>192970762</v>
      </c>
      <c r="J117" s="7"/>
      <c r="K117" s="7"/>
      <c r="L117" s="7"/>
      <c r="M117" s="187">
        <f t="shared" si="0"/>
        <v>13.488252968414649</v>
      </c>
      <c r="N117" s="187">
        <f t="shared" si="1"/>
        <v>12.781162293311528</v>
      </c>
      <c r="O117" s="187">
        <f t="shared" si="2"/>
        <v>12.978574407038927</v>
      </c>
      <c r="P117" s="7"/>
      <c r="Q117" s="240">
        <f t="shared" si="3"/>
        <v>13.082663222921701</v>
      </c>
      <c r="R117" s="189" t="str">
        <f t="shared" ref="R117:T117" si="334">IF(ISERROR(R$5-365*$Q117),"-",MONTH(R$5-365*$Q117)&amp;"_"&amp;YEAR(R$5-365*$Q117))</f>
        <v>12_2008</v>
      </c>
      <c r="S117" s="189" t="str">
        <f t="shared" si="334"/>
        <v>12_2009</v>
      </c>
      <c r="T117" s="189" t="str">
        <f t="shared" si="334"/>
        <v>12_2010</v>
      </c>
      <c r="U117" s="7"/>
      <c r="V117" s="7"/>
      <c r="W117" s="190">
        <f>IF(R117="-","-",VLOOKUP(R117,'CPI USA'!$T:$U,2,FALSE))</f>
        <v>215.303</v>
      </c>
      <c r="X117" s="190">
        <f>IF(S117="-","-",VLOOKUP(S117,'CPI USA'!$T:$U,2,FALSE))</f>
        <v>214.53700000000001</v>
      </c>
      <c r="Y117" s="190">
        <f>IF(T117="-","-",VLOOKUP(T117,'CPI USA'!$T:$U,2,FALSE))</f>
        <v>218.05600000000001</v>
      </c>
      <c r="Z117" s="7"/>
      <c r="AA117" s="7"/>
      <c r="AB117" s="190">
        <f>IF(R117="-","-",VLOOKUP(R117,'PPI USA'!$S:$T,2,FALSE))</f>
        <v>159.30000000000001</v>
      </c>
      <c r="AC117" s="190">
        <f>IF(S117="-","-",VLOOKUP(S117,'PPI USA'!$S:$T,2,FALSE))</f>
        <v>159.1</v>
      </c>
      <c r="AD117" s="190">
        <f>IF(T117="-","-",VLOOKUP(T117,'PPI USA'!$S:$T,2,FALSE))</f>
        <v>160.80000000000001</v>
      </c>
      <c r="AE117" s="7"/>
      <c r="AF117" s="7"/>
      <c r="AG117" s="190">
        <f t="shared" ref="AG117:AI117" si="335">IF(W117="-","-",(AT117*$B$2/W117+(1-AT117)*AVERAGE($B$2,$B$3)/AVERAGE(W117,AB117)))</f>
        <v>1.4884333659448254</v>
      </c>
      <c r="AH117" s="190">
        <f t="shared" si="335"/>
        <v>1.4932638886873792</v>
      </c>
      <c r="AI117" s="190">
        <f t="shared" si="335"/>
        <v>1.4703278680244813</v>
      </c>
      <c r="AJ117" s="7"/>
      <c r="AK117" s="7"/>
      <c r="AL117" s="190">
        <f t="shared" ref="AL117:AN117" si="336">IF(W117="-","-",(AY117*$B$2/W117+(1-AY117)*AVERAGE($B$2,$B$3)/AVERAGE(W117,AB117)))</f>
        <v>1.5036496327119213</v>
      </c>
      <c r="AM117" s="190">
        <f t="shared" si="336"/>
        <v>1.5082750176818205</v>
      </c>
      <c r="AN117" s="190">
        <f t="shared" si="336"/>
        <v>1.4857204383544427</v>
      </c>
      <c r="AO117" s="7"/>
      <c r="AP117" s="7"/>
      <c r="AQ117" s="7"/>
      <c r="AR117" s="7"/>
      <c r="AS117" s="7"/>
      <c r="AT117" s="242">
        <f>IF(R117="-","-",VLOOKUP(R117,'CPI USA'!$T:$V,3,FALSE))</f>
        <v>0.67018812038291731</v>
      </c>
      <c r="AU117" s="242">
        <f>IF(S117="-","-",VLOOKUP(S117,'CPI USA'!$T:$V,3,FALSE))</f>
        <v>0.66997101349938215</v>
      </c>
      <c r="AV117" s="242">
        <f>IF(T117="-","-",VLOOKUP(T117,'CPI USA'!$T:$V,3,FALSE))</f>
        <v>0.67050107279443949</v>
      </c>
      <c r="AW117" s="7"/>
      <c r="AX117" s="7"/>
      <c r="AY117" s="242">
        <f>IF(R117="-","-",VLOOKUP(R117,'CPI USA'!$T:$X,5,FALSE))</f>
        <v>0.49838492968660258</v>
      </c>
      <c r="AZ117" s="242">
        <f>IF(S117="-","-",VLOOKUP(S117,'CPI USA'!$T:$X,5,FALSE))</f>
        <v>0.49813941766071862</v>
      </c>
      <c r="BA117" s="242">
        <f>IF(T117="-","-",VLOOKUP(T117,'CPI USA'!$T:$X,5,FALSE))</f>
        <v>0.4987389730136107</v>
      </c>
      <c r="BB117" s="7"/>
    </row>
    <row r="118" spans="1:54" ht="15.75" customHeight="1">
      <c r="A118" s="185" t="s">
        <v>544</v>
      </c>
      <c r="B118" s="185" t="s">
        <v>545</v>
      </c>
      <c r="C118" s="239">
        <f>+'Empresas 21-23'!J113</f>
        <v>0</v>
      </c>
      <c r="D118" s="239">
        <f>VLOOKUP(A118,'FERC 2021'!$A$3:$BE$221,57,0)</f>
        <v>108866028</v>
      </c>
      <c r="E118" s="239">
        <f>VLOOKUP(A118,'FERC 2021'!$A$3:$BF$221,58,0)</f>
        <v>9086813</v>
      </c>
      <c r="F118" s="239">
        <f>VLOOKUP(A118,'FERC 2022'!$A$3:$BE$220,57,0)</f>
        <v>103876090</v>
      </c>
      <c r="G118" s="239">
        <f>VLOOKUP(A118,'FERC 2022'!$A$3:$BF$220,58,0)</f>
        <v>9707115</v>
      </c>
      <c r="H118" s="239">
        <f>VLOOKUP(A118,'FERC 2023'!$A$3:$BE$221,57,0)</f>
        <v>111617789</v>
      </c>
      <c r="I118" s="239">
        <f>VLOOKUP(A118,'FERC 2023'!$A$3:$BF$221,58,0)</f>
        <v>10610384</v>
      </c>
      <c r="J118" s="7"/>
      <c r="K118" s="7"/>
      <c r="L118" s="7"/>
      <c r="M118" s="187">
        <f t="shared" si="0"/>
        <v>11.980661206519821</v>
      </c>
      <c r="N118" s="187">
        <f t="shared" si="1"/>
        <v>10.701026000001031</v>
      </c>
      <c r="O118" s="187">
        <f t="shared" si="2"/>
        <v>10.519674782741134</v>
      </c>
      <c r="P118" s="7"/>
      <c r="Q118" s="240">
        <f t="shared" si="3"/>
        <v>11.067120663087328</v>
      </c>
      <c r="R118" s="189" t="str">
        <f t="shared" ref="R118:T118" si="337">IF(ISERROR(R$5-365*$Q118),"-",MONTH(R$5-365*$Q118)&amp;"_"&amp;YEAR(R$5-365*$Q118))</f>
        <v>12_2010</v>
      </c>
      <c r="S118" s="189" t="str">
        <f t="shared" si="337"/>
        <v>12_2011</v>
      </c>
      <c r="T118" s="189" t="str">
        <f t="shared" si="337"/>
        <v>12_2012</v>
      </c>
      <c r="U118" s="7"/>
      <c r="V118" s="7"/>
      <c r="W118" s="190">
        <f>IF(R118="-","-",VLOOKUP(R118,'CPI USA'!$T:$U,2,FALSE))</f>
        <v>218.05600000000001</v>
      </c>
      <c r="X118" s="190">
        <f>IF(S118="-","-",VLOOKUP(S118,'CPI USA'!$T:$U,2,FALSE))</f>
        <v>224.93899999999999</v>
      </c>
      <c r="Y118" s="190">
        <f>IF(T118="-","-",VLOOKUP(T118,'CPI USA'!$T:$U,2,FALSE))</f>
        <v>229.59399999999999</v>
      </c>
      <c r="Z118" s="7"/>
      <c r="AA118" s="7"/>
      <c r="AB118" s="190">
        <f>IF(R118="-","-",VLOOKUP(R118,'PPI USA'!$S:$T,2,FALSE))</f>
        <v>160.80000000000001</v>
      </c>
      <c r="AC118" s="190">
        <f>IF(S118="-","-",VLOOKUP(S118,'PPI USA'!$S:$T,2,FALSE))</f>
        <v>169.6</v>
      </c>
      <c r="AD118" s="190">
        <f>IF(T118="-","-",VLOOKUP(T118,'PPI USA'!$S:$T,2,FALSE))</f>
        <v>175.1</v>
      </c>
      <c r="AE118" s="7"/>
      <c r="AF118" s="7"/>
      <c r="AG118" s="190">
        <f t="shared" ref="AG118:AI118" si="338">IF(W118="-","-",(AT118*$B$2/W118+(1-AT118)*AVERAGE($B$2,$B$3)/AVERAGE(W118,AB118)))</f>
        <v>1.4703278680244813</v>
      </c>
      <c r="AH118" s="190">
        <f t="shared" si="338"/>
        <v>1.4208751760332547</v>
      </c>
      <c r="AI118" s="190">
        <f t="shared" si="338"/>
        <v>1.3897894616766442</v>
      </c>
      <c r="AJ118" s="7"/>
      <c r="AK118" s="7"/>
      <c r="AL118" s="190">
        <f t="shared" ref="AL118:AN118" si="339">IF(W118="-","-",(AY118*$B$2/W118+(1-AY118)*AVERAGE($B$2,$B$3)/AVERAGE(W118,AB118)))</f>
        <v>1.4857204383544427</v>
      </c>
      <c r="AM118" s="190">
        <f t="shared" si="339"/>
        <v>1.4334111417560953</v>
      </c>
      <c r="AN118" s="190">
        <f t="shared" si="339"/>
        <v>1.4008620811189902</v>
      </c>
      <c r="AO118" s="7"/>
      <c r="AP118" s="7"/>
      <c r="AQ118" s="7"/>
      <c r="AR118" s="7"/>
      <c r="AS118" s="7"/>
      <c r="AT118" s="242">
        <f>IF(R118="-","-",VLOOKUP(R118,'CPI USA'!$T:$V,3,FALSE))</f>
        <v>0.67050107279443949</v>
      </c>
      <c r="AU118" s="242">
        <f>IF(S118="-","-",VLOOKUP(S118,'CPI USA'!$T:$V,3,FALSE))</f>
        <v>0.6684022975047168</v>
      </c>
      <c r="AV118" s="242">
        <f>IF(T118="-","-",VLOOKUP(T118,'CPI USA'!$T:$V,3,FALSE))</f>
        <v>0.66730871354337351</v>
      </c>
      <c r="AW118" s="7"/>
      <c r="AX118" s="7"/>
      <c r="AY118" s="242">
        <f>IF(R118="-","-",VLOOKUP(R118,'CPI USA'!$T:$X,5,FALSE))</f>
        <v>0.4987389730136107</v>
      </c>
      <c r="AZ118" s="242">
        <f>IF(S118="-","-",VLOOKUP(S118,'CPI USA'!$T:$X,5,FALSE))</f>
        <v>0.49636791791307899</v>
      </c>
      <c r="BA118" s="242">
        <f>IF(T118="-","-",VLOOKUP(T118,'CPI USA'!$T:$X,5,FALSE))</f>
        <v>0.49513551903851311</v>
      </c>
      <c r="BB118" s="7"/>
    </row>
    <row r="119" spans="1:54" ht="15.75" customHeight="1">
      <c r="A119" s="185" t="s">
        <v>547</v>
      </c>
      <c r="B119" s="185" t="s">
        <v>548</v>
      </c>
      <c r="C119" s="239">
        <f>+'Empresas 21-23'!J114</f>
        <v>0</v>
      </c>
      <c r="D119" s="239">
        <f>VLOOKUP(A119,'FERC 2021'!$A$3:$BE$221,57,0)</f>
        <v>1936451298</v>
      </c>
      <c r="E119" s="239">
        <f>VLOOKUP(A119,'FERC 2021'!$A$3:$BF$221,58,0)</f>
        <v>148600400</v>
      </c>
      <c r="F119" s="239">
        <f>VLOOKUP(A119,'FERC 2022'!$A$3:$BE$220,57,0)</f>
        <v>2025429734</v>
      </c>
      <c r="G119" s="239">
        <f>VLOOKUP(A119,'FERC 2022'!$A$3:$BF$220,58,0)</f>
        <v>155171557</v>
      </c>
      <c r="H119" s="239">
        <f>VLOOKUP(A119,'FERC 2023'!$A$3:$BE$221,57,0)</f>
        <v>2066774379</v>
      </c>
      <c r="I119" s="239">
        <f>VLOOKUP(A119,'FERC 2023'!$A$3:$BF$221,58,0)</f>
        <v>159354982</v>
      </c>
      <c r="J119" s="7"/>
      <c r="K119" s="7"/>
      <c r="L119" s="7"/>
      <c r="M119" s="187">
        <f t="shared" si="0"/>
        <v>13.031265716646793</v>
      </c>
      <c r="N119" s="187">
        <f t="shared" si="1"/>
        <v>13.052841468878217</v>
      </c>
      <c r="O119" s="187">
        <f t="shared" si="2"/>
        <v>12.96962512913465</v>
      </c>
      <c r="P119" s="7"/>
      <c r="Q119" s="240">
        <f t="shared" si="3"/>
        <v>13.01791077155322</v>
      </c>
      <c r="R119" s="189" t="str">
        <f t="shared" ref="R119:T119" si="340">IF(ISERROR(R$5-365*$Q119),"-",MONTH(R$5-365*$Q119)&amp;"_"&amp;YEAR(R$5-365*$Q119))</f>
        <v>12_2008</v>
      </c>
      <c r="S119" s="189" t="str">
        <f t="shared" si="340"/>
        <v>12_2009</v>
      </c>
      <c r="T119" s="189" t="str">
        <f t="shared" si="340"/>
        <v>12_2010</v>
      </c>
      <c r="U119" s="7"/>
      <c r="V119" s="7"/>
      <c r="W119" s="190">
        <f>IF(R119="-","-",VLOOKUP(R119,'CPI USA'!$T:$U,2,FALSE))</f>
        <v>215.303</v>
      </c>
      <c r="X119" s="190">
        <f>IF(S119="-","-",VLOOKUP(S119,'CPI USA'!$T:$U,2,FALSE))</f>
        <v>214.53700000000001</v>
      </c>
      <c r="Y119" s="190">
        <f>IF(T119="-","-",VLOOKUP(T119,'CPI USA'!$T:$U,2,FALSE))</f>
        <v>218.05600000000001</v>
      </c>
      <c r="Z119" s="7"/>
      <c r="AA119" s="7"/>
      <c r="AB119" s="190">
        <f>IF(R119="-","-",VLOOKUP(R119,'PPI USA'!$S:$T,2,FALSE))</f>
        <v>159.30000000000001</v>
      </c>
      <c r="AC119" s="190">
        <f>IF(S119="-","-",VLOOKUP(S119,'PPI USA'!$S:$T,2,FALSE))</f>
        <v>159.1</v>
      </c>
      <c r="AD119" s="190">
        <f>IF(T119="-","-",VLOOKUP(T119,'PPI USA'!$S:$T,2,FALSE))</f>
        <v>160.80000000000001</v>
      </c>
      <c r="AE119" s="7"/>
      <c r="AF119" s="7"/>
      <c r="AG119" s="190">
        <f t="shared" ref="AG119:AI119" si="341">IF(W119="-","-",(AT119*$B$2/W119+(1-AT119)*AVERAGE($B$2,$B$3)/AVERAGE(W119,AB119)))</f>
        <v>1.4884333659448254</v>
      </c>
      <c r="AH119" s="190">
        <f t="shared" si="341"/>
        <v>1.4932638886873792</v>
      </c>
      <c r="AI119" s="190">
        <f t="shared" si="341"/>
        <v>1.4703278680244813</v>
      </c>
      <c r="AJ119" s="7"/>
      <c r="AK119" s="7"/>
      <c r="AL119" s="190">
        <f t="shared" ref="AL119:AN119" si="342">IF(W119="-","-",(AY119*$B$2/W119+(1-AY119)*AVERAGE($B$2,$B$3)/AVERAGE(W119,AB119)))</f>
        <v>1.5036496327119213</v>
      </c>
      <c r="AM119" s="190">
        <f t="shared" si="342"/>
        <v>1.5082750176818205</v>
      </c>
      <c r="AN119" s="190">
        <f t="shared" si="342"/>
        <v>1.4857204383544427</v>
      </c>
      <c r="AO119" s="7"/>
      <c r="AP119" s="7"/>
      <c r="AQ119" s="7"/>
      <c r="AR119" s="7"/>
      <c r="AS119" s="7"/>
      <c r="AT119" s="242">
        <f>IF(R119="-","-",VLOOKUP(R119,'CPI USA'!$T:$V,3,FALSE))</f>
        <v>0.67018812038291731</v>
      </c>
      <c r="AU119" s="242">
        <f>IF(S119="-","-",VLOOKUP(S119,'CPI USA'!$T:$V,3,FALSE))</f>
        <v>0.66997101349938215</v>
      </c>
      <c r="AV119" s="242">
        <f>IF(T119="-","-",VLOOKUP(T119,'CPI USA'!$T:$V,3,FALSE))</f>
        <v>0.67050107279443949</v>
      </c>
      <c r="AW119" s="7"/>
      <c r="AX119" s="7"/>
      <c r="AY119" s="242">
        <f>IF(R119="-","-",VLOOKUP(R119,'CPI USA'!$T:$X,5,FALSE))</f>
        <v>0.49838492968660258</v>
      </c>
      <c r="AZ119" s="242">
        <f>IF(S119="-","-",VLOOKUP(S119,'CPI USA'!$T:$X,5,FALSE))</f>
        <v>0.49813941766071862</v>
      </c>
      <c r="BA119" s="242">
        <f>IF(T119="-","-",VLOOKUP(T119,'CPI USA'!$T:$X,5,FALSE))</f>
        <v>0.4987389730136107</v>
      </c>
      <c r="BB119" s="7"/>
    </row>
    <row r="120" spans="1:54" ht="15.75" customHeight="1">
      <c r="A120" s="185" t="s">
        <v>550</v>
      </c>
      <c r="B120" s="185" t="s">
        <v>551</v>
      </c>
      <c r="C120" s="239">
        <f>+'Empresas 21-23'!J115</f>
        <v>0</v>
      </c>
      <c r="D120" s="239">
        <f>VLOOKUP(A120,'FERC 2021'!$A$3:$BE$221,57,0)</f>
        <v>755166463</v>
      </c>
      <c r="E120" s="239">
        <f>VLOOKUP(A120,'FERC 2021'!$A$3:$BF$221,58,0)</f>
        <v>61213972</v>
      </c>
      <c r="F120" s="239">
        <f>VLOOKUP(A120,'FERC 2022'!$A$3:$BE$220,57,0)</f>
        <v>794651338</v>
      </c>
      <c r="G120" s="239">
        <f>VLOOKUP(A120,'FERC 2022'!$A$3:$BF$220,58,0)</f>
        <v>64176554</v>
      </c>
      <c r="H120" s="239">
        <f>VLOOKUP(A120,'FERC 2023'!$A$3:$BE$221,57,0)</f>
        <v>791886745</v>
      </c>
      <c r="I120" s="239">
        <f>VLOOKUP(A120,'FERC 2023'!$A$3:$BF$221,58,0)</f>
        <v>65503710</v>
      </c>
      <c r="J120" s="7"/>
      <c r="K120" s="7"/>
      <c r="L120" s="7"/>
      <c r="M120" s="187">
        <f t="shared" si="0"/>
        <v>12.33650485872735</v>
      </c>
      <c r="N120" s="187">
        <f t="shared" si="1"/>
        <v>12.382268733219924</v>
      </c>
      <c r="O120" s="187">
        <f t="shared" si="2"/>
        <v>12.089189223022634</v>
      </c>
      <c r="P120" s="7"/>
      <c r="Q120" s="240">
        <f t="shared" si="3"/>
        <v>12.269320938323304</v>
      </c>
      <c r="R120" s="189" t="str">
        <f t="shared" ref="R120:T120" si="343">IF(ISERROR(R$5-365*$Q120),"-",MONTH(R$5-365*$Q120)&amp;"_"&amp;YEAR(R$5-365*$Q120))</f>
        <v>9_2009</v>
      </c>
      <c r="S120" s="189" t="str">
        <f t="shared" si="343"/>
        <v>9_2010</v>
      </c>
      <c r="T120" s="189" t="str">
        <f t="shared" si="343"/>
        <v>9_2011</v>
      </c>
      <c r="U120" s="7"/>
      <c r="V120" s="7"/>
      <c r="W120" s="190">
        <f>IF(R120="-","-",VLOOKUP(R120,'CPI USA'!$T:$U,2,FALSE))</f>
        <v>214.53700000000001</v>
      </c>
      <c r="X120" s="190">
        <f>IF(S120="-","-",VLOOKUP(S120,'CPI USA'!$T:$U,2,FALSE))</f>
        <v>218.05600000000001</v>
      </c>
      <c r="Y120" s="190">
        <f>IF(T120="-","-",VLOOKUP(T120,'CPI USA'!$T:$U,2,FALSE))</f>
        <v>224.93899999999999</v>
      </c>
      <c r="Z120" s="7"/>
      <c r="AA120" s="7"/>
      <c r="AB120" s="190">
        <f>IF(R120="-","-",VLOOKUP(R120,'PPI USA'!$S:$T,2,FALSE))</f>
        <v>159.1</v>
      </c>
      <c r="AC120" s="190">
        <f>IF(S120="-","-",VLOOKUP(S120,'PPI USA'!$S:$T,2,FALSE))</f>
        <v>160.80000000000001</v>
      </c>
      <c r="AD120" s="190">
        <f>IF(T120="-","-",VLOOKUP(T120,'PPI USA'!$S:$T,2,FALSE))</f>
        <v>169.6</v>
      </c>
      <c r="AE120" s="7"/>
      <c r="AF120" s="7"/>
      <c r="AG120" s="190">
        <f t="shared" ref="AG120:AI120" si="344">IF(W120="-","-",(AT120*$B$2/W120+(1-AT120)*AVERAGE($B$2,$B$3)/AVERAGE(W120,AB120)))</f>
        <v>1.4932638886873792</v>
      </c>
      <c r="AH120" s="190">
        <f t="shared" si="344"/>
        <v>1.4703278680244813</v>
      </c>
      <c r="AI120" s="190">
        <f t="shared" si="344"/>
        <v>1.4208751760332547</v>
      </c>
      <c r="AJ120" s="7"/>
      <c r="AK120" s="7"/>
      <c r="AL120" s="190">
        <f t="shared" ref="AL120:AN120" si="345">IF(W120="-","-",(AY120*$B$2/W120+(1-AY120)*AVERAGE($B$2,$B$3)/AVERAGE(W120,AB120)))</f>
        <v>1.5082750176818205</v>
      </c>
      <c r="AM120" s="190">
        <f t="shared" si="345"/>
        <v>1.4857204383544427</v>
      </c>
      <c r="AN120" s="190">
        <f t="shared" si="345"/>
        <v>1.4334111417560953</v>
      </c>
      <c r="AO120" s="7"/>
      <c r="AP120" s="7"/>
      <c r="AQ120" s="7"/>
      <c r="AR120" s="7"/>
      <c r="AS120" s="7"/>
      <c r="AT120" s="242">
        <f>IF(R120="-","-",VLOOKUP(R120,'CPI USA'!$T:$V,3,FALSE))</f>
        <v>0.66997101349938215</v>
      </c>
      <c r="AU120" s="242">
        <f>IF(S120="-","-",VLOOKUP(S120,'CPI USA'!$T:$V,3,FALSE))</f>
        <v>0.67050107279443949</v>
      </c>
      <c r="AV120" s="242">
        <f>IF(T120="-","-",VLOOKUP(T120,'CPI USA'!$T:$V,3,FALSE))</f>
        <v>0.6684022975047168</v>
      </c>
      <c r="AW120" s="7"/>
      <c r="AX120" s="7"/>
      <c r="AY120" s="242">
        <f>IF(R120="-","-",VLOOKUP(R120,'CPI USA'!$T:$X,5,FALSE))</f>
        <v>0.49813941766071862</v>
      </c>
      <c r="AZ120" s="242">
        <f>IF(S120="-","-",VLOOKUP(S120,'CPI USA'!$T:$X,5,FALSE))</f>
        <v>0.4987389730136107</v>
      </c>
      <c r="BA120" s="242">
        <f>IF(T120="-","-",VLOOKUP(T120,'CPI USA'!$T:$X,5,FALSE))</f>
        <v>0.49636791791307899</v>
      </c>
      <c r="BB120" s="7"/>
    </row>
    <row r="121" spans="1:54" ht="15.75" customHeight="1">
      <c r="A121" s="185" t="s">
        <v>553</v>
      </c>
      <c r="B121" s="185" t="s">
        <v>554</v>
      </c>
      <c r="C121" s="239">
        <f>+'Empresas 21-23'!J116</f>
        <v>0</v>
      </c>
      <c r="D121" s="239">
        <f>VLOOKUP(A121,'FERC 2021'!$A$3:$BE$221,57,0)</f>
        <v>1187188290</v>
      </c>
      <c r="E121" s="239">
        <f>VLOOKUP(A121,'FERC 2021'!$A$3:$BF$221,58,0)</f>
        <v>45649458</v>
      </c>
      <c r="F121" s="239">
        <f>VLOOKUP(A121,'FERC 2022'!$A$3:$BE$220,57,0)</f>
        <v>1176782630</v>
      </c>
      <c r="G121" s="239">
        <f>VLOOKUP(A121,'FERC 2022'!$A$3:$BF$220,58,0)</f>
        <v>53119730</v>
      </c>
      <c r="H121" s="239">
        <f>VLOOKUP(A121,'FERC 2023'!$A$3:$BE$221,57,0)</f>
        <v>1210091518</v>
      </c>
      <c r="I121" s="239">
        <f>VLOOKUP(A121,'FERC 2023'!$A$3:$BF$221,58,0)</f>
        <v>61615539</v>
      </c>
      <c r="J121" s="7"/>
      <c r="K121" s="7"/>
      <c r="L121" s="7"/>
      <c r="M121" s="187">
        <f t="shared" si="0"/>
        <v>26.006623999785496</v>
      </c>
      <c r="N121" s="187">
        <f t="shared" si="1"/>
        <v>22.153400064345206</v>
      </c>
      <c r="O121" s="187">
        <f t="shared" si="2"/>
        <v>19.639388661357</v>
      </c>
      <c r="P121" s="7"/>
      <c r="Q121" s="240">
        <f t="shared" si="3"/>
        <v>22.599804241829233</v>
      </c>
      <c r="R121" s="189" t="str">
        <f t="shared" ref="R121:T121" si="346">IF(ISERROR(R$5-365*$Q121),"-",MONTH(R$5-365*$Q121)&amp;"_"&amp;YEAR(R$5-365*$Q121))</f>
        <v>6_1999</v>
      </c>
      <c r="S121" s="189" t="str">
        <f t="shared" si="346"/>
        <v>5_2000</v>
      </c>
      <c r="T121" s="189" t="str">
        <f t="shared" si="346"/>
        <v>5_2001</v>
      </c>
      <c r="U121" s="7"/>
      <c r="V121" s="7"/>
      <c r="W121" s="190">
        <f>IF(R121="-","-",VLOOKUP(R121,'CPI USA'!$T:$U,2,FALSE))</f>
        <v>166.6</v>
      </c>
      <c r="X121" s="190">
        <f>IF(S121="-","-",VLOOKUP(S121,'CPI USA'!$T:$U,2,FALSE))</f>
        <v>172.2</v>
      </c>
      <c r="Y121" s="190">
        <f>IF(T121="-","-",VLOOKUP(T121,'CPI USA'!$T:$U,2,FALSE))</f>
        <v>177.1</v>
      </c>
      <c r="Z121" s="7"/>
      <c r="AA121" s="7"/>
      <c r="AB121" s="190">
        <f>IF(R121="-","-",VLOOKUP(R121,'PPI USA'!$S:$T,2,FALSE))</f>
        <v>108.4</v>
      </c>
      <c r="AC121" s="190">
        <f>IF(S121="-","-",VLOOKUP(S121,'PPI USA'!$S:$T,2,FALSE))</f>
        <v>110.6</v>
      </c>
      <c r="AD121" s="190">
        <f>IF(T121="-","-",VLOOKUP(T121,'PPI USA'!$S:$T,2,FALSE))</f>
        <v>118.7</v>
      </c>
      <c r="AE121" s="7"/>
      <c r="AF121" s="7"/>
      <c r="AG121" s="190">
        <f t="shared" ref="AG121:AI121" si="347">IF(W121="-","-",(AT121*$B$2/W121+(1-AT121)*AVERAGE($B$2,$B$3)/AVERAGE(W121,AB121)))</f>
        <v>1.9566489114506975</v>
      </c>
      <c r="AH121" s="190">
        <f t="shared" si="347"/>
        <v>1.8960832185075638</v>
      </c>
      <c r="AI121" s="190">
        <f t="shared" si="347"/>
        <v>1.833718090784568</v>
      </c>
      <c r="AJ121" s="7"/>
      <c r="AK121" s="7"/>
      <c r="AL121" s="190">
        <f t="shared" ref="AL121:AN121" si="348">IF(W121="-","-",(AY121*$B$2/W121+(1-AY121)*AVERAGE($B$2,$B$3)/AVERAGE(W121,AB121)))</f>
        <v>1.994527155423238</v>
      </c>
      <c r="AM121" s="190">
        <f t="shared" si="348"/>
        <v>1.9344637103543829</v>
      </c>
      <c r="AN121" s="190">
        <f t="shared" si="348"/>
        <v>1.8654646098078655</v>
      </c>
      <c r="AO121" s="7"/>
      <c r="AP121" s="7"/>
      <c r="AQ121" s="7"/>
      <c r="AR121" s="7"/>
      <c r="AS121" s="7"/>
      <c r="AT121" s="242">
        <f>IF(R121="-","-",VLOOKUP(R121,'CPI USA'!$T:$V,3,FALSE))</f>
        <v>0.68171861002498191</v>
      </c>
      <c r="AU121" s="242">
        <f>IF(S121="-","-",VLOOKUP(S121,'CPI USA'!$T:$V,3,FALSE))</f>
        <v>0.68282244560590366</v>
      </c>
      <c r="AV121" s="242">
        <f>IF(T121="-","-",VLOOKUP(T121,'CPI USA'!$T:$V,3,FALSE))</f>
        <v>0.67915417987956239</v>
      </c>
      <c r="AW121" s="7"/>
      <c r="AX121" s="7"/>
      <c r="AY121" s="242">
        <f>IF(R121="-","-",VLOOKUP(R121,'CPI USA'!$T:$X,5,FALSE))</f>
        <v>0.51154414520416192</v>
      </c>
      <c r="AZ121" s="242">
        <f>IF(S121="-","-",VLOOKUP(S121,'CPI USA'!$T:$X,5,FALSE))</f>
        <v>0.51281639554415048</v>
      </c>
      <c r="BA121" s="242">
        <f>IF(T121="-","-",VLOOKUP(T121,'CPI USA'!$T:$X,5,FALSE))</f>
        <v>0.50859694042773451</v>
      </c>
      <c r="BB121" s="7"/>
    </row>
    <row r="122" spans="1:54" ht="15.75" customHeight="1">
      <c r="A122" s="185" t="s">
        <v>556</v>
      </c>
      <c r="B122" s="185" t="s">
        <v>557</v>
      </c>
      <c r="C122" s="239">
        <f>+'Empresas 21-23'!J117</f>
        <v>0</v>
      </c>
      <c r="D122" s="239">
        <f>VLOOKUP(A122,'FERC 2021'!$A$3:$BE$221,57,0)</f>
        <v>1818350207</v>
      </c>
      <c r="E122" s="239">
        <f>VLOOKUP(A122,'FERC 2021'!$A$3:$BF$221,58,0)</f>
        <v>139872775</v>
      </c>
      <c r="F122" s="239">
        <f>VLOOKUP(A122,'FERC 2022'!$A$3:$BE$220,57,0)</f>
        <v>1909699254</v>
      </c>
      <c r="G122" s="239">
        <f>VLOOKUP(A122,'FERC 2022'!$A$3:$BF$220,58,0)</f>
        <v>146116638</v>
      </c>
      <c r="H122" s="239">
        <f>VLOOKUP(A122,'FERC 2023'!$A$3:$BE$221,57,0)</f>
        <v>2015980110</v>
      </c>
      <c r="I122" s="239">
        <f>VLOOKUP(A122,'FERC 2023'!$A$3:$BF$221,58,0)</f>
        <v>163224340</v>
      </c>
      <c r="J122" s="7"/>
      <c r="K122" s="7"/>
      <c r="L122" s="7"/>
      <c r="M122" s="187">
        <f t="shared" si="0"/>
        <v>13.000029541131218</v>
      </c>
      <c r="N122" s="187">
        <f t="shared" si="1"/>
        <v>13.069690626196861</v>
      </c>
      <c r="O122" s="187">
        <f t="shared" si="2"/>
        <v>12.350977250084147</v>
      </c>
      <c r="P122" s="7"/>
      <c r="Q122" s="240">
        <f t="shared" si="3"/>
        <v>12.806899139137409</v>
      </c>
      <c r="R122" s="189" t="str">
        <f t="shared" ref="R122:T122" si="349">IF(ISERROR(R$5-365*$Q122),"-",MONTH(R$5-365*$Q122)&amp;"_"&amp;YEAR(R$5-365*$Q122))</f>
        <v>3_2009</v>
      </c>
      <c r="S122" s="189" t="str">
        <f t="shared" si="349"/>
        <v>3_2010</v>
      </c>
      <c r="T122" s="189" t="str">
        <f t="shared" si="349"/>
        <v>3_2011</v>
      </c>
      <c r="U122" s="7"/>
      <c r="V122" s="7"/>
      <c r="W122" s="190">
        <f>IF(R122="-","-",VLOOKUP(R122,'CPI USA'!$T:$U,2,FALSE))</f>
        <v>214.53700000000001</v>
      </c>
      <c r="X122" s="190">
        <f>IF(S122="-","-",VLOOKUP(S122,'CPI USA'!$T:$U,2,FALSE))</f>
        <v>218.05600000000001</v>
      </c>
      <c r="Y122" s="190">
        <f>IF(T122="-","-",VLOOKUP(T122,'CPI USA'!$T:$U,2,FALSE))</f>
        <v>224.93899999999999</v>
      </c>
      <c r="Z122" s="7"/>
      <c r="AA122" s="7"/>
      <c r="AB122" s="190">
        <f>IF(R122="-","-",VLOOKUP(R122,'PPI USA'!$S:$T,2,FALSE))</f>
        <v>159.1</v>
      </c>
      <c r="AC122" s="190">
        <f>IF(S122="-","-",VLOOKUP(S122,'PPI USA'!$S:$T,2,FALSE))</f>
        <v>160.80000000000001</v>
      </c>
      <c r="AD122" s="190">
        <f>IF(T122="-","-",VLOOKUP(T122,'PPI USA'!$S:$T,2,FALSE))</f>
        <v>169.6</v>
      </c>
      <c r="AE122" s="7"/>
      <c r="AF122" s="7"/>
      <c r="AG122" s="190">
        <f t="shared" ref="AG122:AI122" si="350">IF(W122="-","-",(AT122*$B$2/W122+(1-AT122)*AVERAGE($B$2,$B$3)/AVERAGE(W122,AB122)))</f>
        <v>1.4932638886873792</v>
      </c>
      <c r="AH122" s="190">
        <f t="shared" si="350"/>
        <v>1.4703278680244813</v>
      </c>
      <c r="AI122" s="190">
        <f t="shared" si="350"/>
        <v>1.4208751760332547</v>
      </c>
      <c r="AJ122" s="7"/>
      <c r="AK122" s="7"/>
      <c r="AL122" s="190">
        <f t="shared" ref="AL122:AN122" si="351">IF(W122="-","-",(AY122*$B$2/W122+(1-AY122)*AVERAGE($B$2,$B$3)/AVERAGE(W122,AB122)))</f>
        <v>1.5082750176818205</v>
      </c>
      <c r="AM122" s="190">
        <f t="shared" si="351"/>
        <v>1.4857204383544427</v>
      </c>
      <c r="AN122" s="190">
        <f t="shared" si="351"/>
        <v>1.4334111417560953</v>
      </c>
      <c r="AO122" s="7"/>
      <c r="AP122" s="7"/>
      <c r="AQ122" s="7"/>
      <c r="AR122" s="7"/>
      <c r="AS122" s="7"/>
      <c r="AT122" s="242">
        <f>IF(R122="-","-",VLOOKUP(R122,'CPI USA'!$T:$V,3,FALSE))</f>
        <v>0.66997101349938215</v>
      </c>
      <c r="AU122" s="242">
        <f>IF(S122="-","-",VLOOKUP(S122,'CPI USA'!$T:$V,3,FALSE))</f>
        <v>0.67050107279443949</v>
      </c>
      <c r="AV122" s="242">
        <f>IF(T122="-","-",VLOOKUP(T122,'CPI USA'!$T:$V,3,FALSE))</f>
        <v>0.6684022975047168</v>
      </c>
      <c r="AW122" s="7"/>
      <c r="AX122" s="7"/>
      <c r="AY122" s="242">
        <f>IF(R122="-","-",VLOOKUP(R122,'CPI USA'!$T:$X,5,FALSE))</f>
        <v>0.49813941766071862</v>
      </c>
      <c r="AZ122" s="242">
        <f>IF(S122="-","-",VLOOKUP(S122,'CPI USA'!$T:$X,5,FALSE))</f>
        <v>0.4987389730136107</v>
      </c>
      <c r="BA122" s="242">
        <f>IF(T122="-","-",VLOOKUP(T122,'CPI USA'!$T:$X,5,FALSE))</f>
        <v>0.49636791791307899</v>
      </c>
      <c r="BB122" s="7"/>
    </row>
    <row r="123" spans="1:54" ht="15.75" customHeight="1">
      <c r="A123" s="185" t="s">
        <v>559</v>
      </c>
      <c r="B123" s="185" t="s">
        <v>560</v>
      </c>
      <c r="C123" s="243">
        <f>+'Empresas 21-23'!J118</f>
        <v>0</v>
      </c>
      <c r="D123" s="239">
        <f>VLOOKUP(A123,'FERC 2021'!$A$3:$BE$221,57,0)</f>
        <v>0</v>
      </c>
      <c r="E123" s="239">
        <f>VLOOKUP(A123,'FERC 2021'!$A$3:$BF$221,58,0)</f>
        <v>0</v>
      </c>
      <c r="F123" s="239">
        <f>VLOOKUP(A123,'FERC 2022'!$A$3:$BE$220,57,0)</f>
        <v>0</v>
      </c>
      <c r="G123" s="239">
        <f>VLOOKUP(A123,'FERC 2022'!$A$3:$BF$220,58,0)</f>
        <v>0</v>
      </c>
      <c r="H123" s="239">
        <f>VLOOKUP(A123,'FERC 2023'!$A$3:$BE$221,57,0)</f>
        <v>0</v>
      </c>
      <c r="I123" s="239">
        <f>VLOOKUP(A123,'FERC 2023'!$A$3:$BF$221,58,0)</f>
        <v>0</v>
      </c>
      <c r="J123" s="7"/>
      <c r="K123" s="7"/>
      <c r="L123" s="7"/>
      <c r="M123" s="187" t="str">
        <f t="shared" si="0"/>
        <v/>
      </c>
      <c r="N123" s="187" t="str">
        <f t="shared" si="1"/>
        <v/>
      </c>
      <c r="O123" s="187" t="str">
        <f t="shared" si="2"/>
        <v/>
      </c>
      <c r="P123" s="7"/>
      <c r="Q123" s="240" t="str">
        <f t="shared" si="3"/>
        <v>-</v>
      </c>
      <c r="R123" s="189" t="str">
        <f t="shared" ref="R123:T123" si="352">IF(ISERROR(R$5-365*$Q123),"-",MONTH(R$5-365*$Q123)&amp;"_"&amp;YEAR(R$5-365*$Q123))</f>
        <v>-</v>
      </c>
      <c r="S123" s="189" t="str">
        <f t="shared" si="352"/>
        <v>-</v>
      </c>
      <c r="T123" s="189" t="str">
        <f t="shared" si="352"/>
        <v>-</v>
      </c>
      <c r="U123" s="7"/>
      <c r="V123" s="7"/>
      <c r="W123" s="190" t="str">
        <f>IF(R123="-","-",VLOOKUP(R123,'CPI USA'!$T:$U,2,FALSE))</f>
        <v>-</v>
      </c>
      <c r="X123" s="190" t="str">
        <f>IF(S123="-","-",VLOOKUP(S123,'CPI USA'!$T:$U,2,FALSE))</f>
        <v>-</v>
      </c>
      <c r="Y123" s="190" t="str">
        <f>IF(T123="-","-",VLOOKUP(T123,'CPI USA'!$T:$U,2,FALSE))</f>
        <v>-</v>
      </c>
      <c r="Z123" s="7"/>
      <c r="AA123" s="7"/>
      <c r="AB123" s="190" t="str">
        <f>IF(R123="-","-",VLOOKUP(R123,'PPI USA'!$S:$T,2,FALSE))</f>
        <v>-</v>
      </c>
      <c r="AC123" s="190" t="str">
        <f>IF(S123="-","-",VLOOKUP(S123,'PPI USA'!$S:$T,2,FALSE))</f>
        <v>-</v>
      </c>
      <c r="AD123" s="190" t="str">
        <f>IF(T123="-","-",VLOOKUP(T123,'PPI USA'!$S:$T,2,FALSE))</f>
        <v>-</v>
      </c>
      <c r="AE123" s="7"/>
      <c r="AF123" s="7"/>
      <c r="AG123" s="190" t="str">
        <f t="shared" ref="AG123:AI123" si="353">IF(W123="-","-",(AT123*$B$2/W123+(1-AT123)*AVERAGE($B$2,$B$3)/AVERAGE(W123,AB123)))</f>
        <v>-</v>
      </c>
      <c r="AH123" s="190" t="str">
        <f t="shared" si="353"/>
        <v>-</v>
      </c>
      <c r="AI123" s="190" t="str">
        <f t="shared" si="353"/>
        <v>-</v>
      </c>
      <c r="AJ123" s="7"/>
      <c r="AK123" s="7"/>
      <c r="AL123" s="190" t="str">
        <f t="shared" ref="AL123:AN123" si="354">IF(W123="-","-",(AY123*$B$2/W123+(1-AY123)*AVERAGE($B$2,$B$3)/AVERAGE(W123,AB123)))</f>
        <v>-</v>
      </c>
      <c r="AM123" s="190" t="str">
        <f t="shared" si="354"/>
        <v>-</v>
      </c>
      <c r="AN123" s="190" t="str">
        <f t="shared" si="354"/>
        <v>-</v>
      </c>
      <c r="AO123" s="7"/>
      <c r="AP123" s="7"/>
      <c r="AQ123" s="7"/>
      <c r="AR123" s="7"/>
      <c r="AS123" s="7"/>
      <c r="AT123" s="242" t="str">
        <f>IF(R123="-","-",VLOOKUP(R123,'CPI USA'!$T:$V,3,FALSE))</f>
        <v>-</v>
      </c>
      <c r="AU123" s="242" t="str">
        <f>IF(S123="-","-",VLOOKUP(S123,'CPI USA'!$T:$V,3,FALSE))</f>
        <v>-</v>
      </c>
      <c r="AV123" s="242" t="str">
        <f>IF(T123="-","-",VLOOKUP(T123,'CPI USA'!$T:$V,3,FALSE))</f>
        <v>-</v>
      </c>
      <c r="AW123" s="7"/>
      <c r="AX123" s="7"/>
      <c r="AY123" s="242" t="str">
        <f>IF(R123="-","-",VLOOKUP(R123,'CPI USA'!$T:$X,5,FALSE))</f>
        <v>-</v>
      </c>
      <c r="AZ123" s="242" t="str">
        <f>IF(S123="-","-",VLOOKUP(S123,'CPI USA'!$T:$X,5,FALSE))</f>
        <v>-</v>
      </c>
      <c r="BA123" s="242" t="str">
        <f>IF(T123="-","-",VLOOKUP(T123,'CPI USA'!$T:$X,5,FALSE))</f>
        <v>-</v>
      </c>
      <c r="BB123" s="7"/>
    </row>
    <row r="124" spans="1:54" ht="15.75" customHeight="1">
      <c r="A124" s="185" t="s">
        <v>562</v>
      </c>
      <c r="B124" s="185" t="s">
        <v>563</v>
      </c>
      <c r="C124" s="243">
        <f>+'Empresas 21-23'!J119</f>
        <v>0</v>
      </c>
      <c r="D124" s="239">
        <f>VLOOKUP(A124,'FERC 2021'!$A$3:$BE$221,57,0)</f>
        <v>4469628</v>
      </c>
      <c r="E124" s="239">
        <f>VLOOKUP(A124,'FERC 2021'!$A$3:$BF$221,58,0)</f>
        <v>103974</v>
      </c>
      <c r="F124" s="239">
        <f>VLOOKUP(A124,'FERC 2022'!$A$3:$BE$220,57,0)</f>
        <v>4569773</v>
      </c>
      <c r="G124" s="239">
        <f>VLOOKUP(A124,'FERC 2022'!$A$3:$BF$220,58,0)</f>
        <v>100145</v>
      </c>
      <c r="H124" s="239">
        <f>VLOOKUP(A124,'FERC 2023'!$A$3:$BE$221,57,0)</f>
        <v>4669585</v>
      </c>
      <c r="I124" s="239">
        <f>VLOOKUP(A124,'FERC 2023'!$A$3:$BF$221,58,0)</f>
        <v>99812</v>
      </c>
      <c r="J124" s="7"/>
      <c r="K124" s="7"/>
      <c r="L124" s="7"/>
      <c r="M124" s="187">
        <f t="shared" si="0"/>
        <v>42.987939292515435</v>
      </c>
      <c r="N124" s="187">
        <f t="shared" si="1"/>
        <v>45.631564231863798</v>
      </c>
      <c r="O124" s="187">
        <f t="shared" si="2"/>
        <v>46.783803550675266</v>
      </c>
      <c r="P124" s="7"/>
      <c r="Q124" s="240">
        <f t="shared" si="3"/>
        <v>45.134435691684835</v>
      </c>
      <c r="R124" s="189" t="str">
        <f t="shared" ref="R124:T124" si="355">IF(ISERROR(R$5-365*$Q124),"-",MONTH(R$5-365*$Q124)&amp;"_"&amp;YEAR(R$5-365*$Q124))</f>
        <v>11_1976</v>
      </c>
      <c r="S124" s="189" t="str">
        <f t="shared" si="355"/>
        <v>11_1977</v>
      </c>
      <c r="T124" s="189" t="str">
        <f t="shared" si="355"/>
        <v>11_1978</v>
      </c>
      <c r="U124" s="7"/>
      <c r="V124" s="7"/>
      <c r="W124" s="190" t="e">
        <f>IF(R124="-","-",VLOOKUP(R124,'CPI USA'!$T:$U,2,FALSE))</f>
        <v>#N/A</v>
      </c>
      <c r="X124" s="190" t="e">
        <f>IF(S124="-","-",VLOOKUP(S124,'CPI USA'!$T:$U,2,FALSE))</f>
        <v>#N/A</v>
      </c>
      <c r="Y124" s="190" t="e">
        <f>IF(T124="-","-",VLOOKUP(T124,'CPI USA'!$T:$U,2,FALSE))</f>
        <v>#N/A</v>
      </c>
      <c r="Z124" s="7"/>
      <c r="AA124" s="7"/>
      <c r="AB124" s="190" t="e">
        <f>IF(R124="-","-",VLOOKUP(R124,'PPI USA'!$S:$T,2,FALSE))</f>
        <v>#N/A</v>
      </c>
      <c r="AC124" s="190" t="e">
        <f>IF(S124="-","-",VLOOKUP(S124,'PPI USA'!$S:$T,2,FALSE))</f>
        <v>#N/A</v>
      </c>
      <c r="AD124" s="190" t="e">
        <f>IF(T124="-","-",VLOOKUP(T124,'PPI USA'!$S:$T,2,FALSE))</f>
        <v>#N/A</v>
      </c>
      <c r="AE124" s="7"/>
      <c r="AF124" s="7"/>
      <c r="AG124" s="190" t="e">
        <f t="shared" ref="AG124:AI124" si="356">IF(W124="-","-",(AT124*$B$2/W124+(1-AT124)*AVERAGE($B$2,$B$3)/AVERAGE(W124,AB124)))</f>
        <v>#N/A</v>
      </c>
      <c r="AH124" s="190" t="e">
        <f t="shared" si="356"/>
        <v>#N/A</v>
      </c>
      <c r="AI124" s="190" t="e">
        <f t="shared" si="356"/>
        <v>#N/A</v>
      </c>
      <c r="AJ124" s="7"/>
      <c r="AK124" s="7"/>
      <c r="AL124" s="190" t="e">
        <f t="shared" ref="AL124:AN124" si="357">IF(W124="-","-",(AY124*$B$2/W124+(1-AY124)*AVERAGE($B$2,$B$3)/AVERAGE(W124,AB124)))</f>
        <v>#N/A</v>
      </c>
      <c r="AM124" s="190" t="e">
        <f t="shared" si="357"/>
        <v>#N/A</v>
      </c>
      <c r="AN124" s="190" t="e">
        <f t="shared" si="357"/>
        <v>#N/A</v>
      </c>
      <c r="AO124" s="7"/>
      <c r="AP124" s="7"/>
      <c r="AQ124" s="7"/>
      <c r="AR124" s="7"/>
      <c r="AS124" s="7"/>
      <c r="AT124" s="242" t="e">
        <f>IF(R124="-","-",VLOOKUP(R124,'CPI USA'!$T:$V,3,FALSE))</f>
        <v>#N/A</v>
      </c>
      <c r="AU124" s="242" t="e">
        <f>IF(S124="-","-",VLOOKUP(S124,'CPI USA'!$T:$V,3,FALSE))</f>
        <v>#N/A</v>
      </c>
      <c r="AV124" s="242" t="e">
        <f>IF(T124="-","-",VLOOKUP(T124,'CPI USA'!$T:$V,3,FALSE))</f>
        <v>#N/A</v>
      </c>
      <c r="AW124" s="7"/>
      <c r="AX124" s="7"/>
      <c r="AY124" s="242" t="e">
        <f>IF(R124="-","-",VLOOKUP(R124,'CPI USA'!$T:$X,5,FALSE))</f>
        <v>#N/A</v>
      </c>
      <c r="AZ124" s="242" t="e">
        <f>IF(S124="-","-",VLOOKUP(S124,'CPI USA'!$T:$X,5,FALSE))</f>
        <v>#N/A</v>
      </c>
      <c r="BA124" s="242" t="e">
        <f>IF(T124="-","-",VLOOKUP(T124,'CPI USA'!$T:$X,5,FALSE))</f>
        <v>#N/A</v>
      </c>
      <c r="BB124" s="7"/>
    </row>
    <row r="125" spans="1:54" ht="15.75" customHeight="1">
      <c r="A125" s="185" t="s">
        <v>565</v>
      </c>
      <c r="B125" s="185" t="s">
        <v>566</v>
      </c>
      <c r="C125" s="243">
        <f>+'Empresas 21-23'!J120</f>
        <v>0</v>
      </c>
      <c r="D125" s="239">
        <f>VLOOKUP(A125,'FERC 2021'!$A$3:$BE$221,57,0)</f>
        <v>0</v>
      </c>
      <c r="E125" s="239">
        <f>VLOOKUP(A125,'FERC 2021'!$A$3:$BF$221,58,0)</f>
        <v>0</v>
      </c>
      <c r="F125" s="239">
        <f>VLOOKUP(A125,'FERC 2022'!$A$3:$BE$220,57,0)</f>
        <v>0</v>
      </c>
      <c r="G125" s="239">
        <f>VLOOKUP(A125,'FERC 2022'!$A$3:$BF$220,58,0)</f>
        <v>0</v>
      </c>
      <c r="H125" s="239">
        <f>VLOOKUP(A125,'FERC 2023'!$A$3:$BE$221,57,0)</f>
        <v>0</v>
      </c>
      <c r="I125" s="239">
        <f>VLOOKUP(A125,'FERC 2023'!$A$3:$BF$221,58,0)</f>
        <v>0</v>
      </c>
      <c r="J125" s="7"/>
      <c r="K125" s="7"/>
      <c r="L125" s="7"/>
      <c r="M125" s="187" t="str">
        <f t="shared" si="0"/>
        <v/>
      </c>
      <c r="N125" s="187" t="str">
        <f t="shared" si="1"/>
        <v/>
      </c>
      <c r="O125" s="187" t="str">
        <f t="shared" si="2"/>
        <v/>
      </c>
      <c r="P125" s="7"/>
      <c r="Q125" s="240" t="str">
        <f t="shared" si="3"/>
        <v>-</v>
      </c>
      <c r="R125" s="189" t="str">
        <f t="shared" ref="R125:T125" si="358">IF(ISERROR(R$5-365*$Q125),"-",MONTH(R$5-365*$Q125)&amp;"_"&amp;YEAR(R$5-365*$Q125))</f>
        <v>-</v>
      </c>
      <c r="S125" s="189" t="str">
        <f t="shared" si="358"/>
        <v>-</v>
      </c>
      <c r="T125" s="189" t="str">
        <f t="shared" si="358"/>
        <v>-</v>
      </c>
      <c r="U125" s="7"/>
      <c r="V125" s="7"/>
      <c r="W125" s="190" t="str">
        <f>IF(R125="-","-",VLOOKUP(R125,'CPI USA'!$T:$U,2,FALSE))</f>
        <v>-</v>
      </c>
      <c r="X125" s="190" t="str">
        <f>IF(S125="-","-",VLOOKUP(S125,'CPI USA'!$T:$U,2,FALSE))</f>
        <v>-</v>
      </c>
      <c r="Y125" s="190" t="str">
        <f>IF(T125="-","-",VLOOKUP(T125,'CPI USA'!$T:$U,2,FALSE))</f>
        <v>-</v>
      </c>
      <c r="Z125" s="7"/>
      <c r="AA125" s="7"/>
      <c r="AB125" s="190" t="str">
        <f>IF(R125="-","-",VLOOKUP(R125,'PPI USA'!$S:$T,2,FALSE))</f>
        <v>-</v>
      </c>
      <c r="AC125" s="190" t="str">
        <f>IF(S125="-","-",VLOOKUP(S125,'PPI USA'!$S:$T,2,FALSE))</f>
        <v>-</v>
      </c>
      <c r="AD125" s="190" t="str">
        <f>IF(T125="-","-",VLOOKUP(T125,'PPI USA'!$S:$T,2,FALSE))</f>
        <v>-</v>
      </c>
      <c r="AE125" s="7"/>
      <c r="AF125" s="7"/>
      <c r="AG125" s="190" t="str">
        <f t="shared" ref="AG125:AI125" si="359">IF(W125="-","-",(AT125*$B$2/W125+(1-AT125)*AVERAGE($B$2,$B$3)/AVERAGE(W125,AB125)))</f>
        <v>-</v>
      </c>
      <c r="AH125" s="190" t="str">
        <f t="shared" si="359"/>
        <v>-</v>
      </c>
      <c r="AI125" s="190" t="str">
        <f t="shared" si="359"/>
        <v>-</v>
      </c>
      <c r="AJ125" s="7"/>
      <c r="AK125" s="7"/>
      <c r="AL125" s="190" t="str">
        <f t="shared" ref="AL125:AN125" si="360">IF(W125="-","-",(AY125*$B$2/W125+(1-AY125)*AVERAGE($B$2,$B$3)/AVERAGE(W125,AB125)))</f>
        <v>-</v>
      </c>
      <c r="AM125" s="190" t="str">
        <f t="shared" si="360"/>
        <v>-</v>
      </c>
      <c r="AN125" s="190" t="str">
        <f t="shared" si="360"/>
        <v>-</v>
      </c>
      <c r="AO125" s="7"/>
      <c r="AP125" s="7"/>
      <c r="AQ125" s="7"/>
      <c r="AR125" s="7"/>
      <c r="AS125" s="7"/>
      <c r="AT125" s="242" t="str">
        <f>IF(R125="-","-",VLOOKUP(R125,'CPI USA'!$T:$V,3,FALSE))</f>
        <v>-</v>
      </c>
      <c r="AU125" s="242" t="str">
        <f>IF(S125="-","-",VLOOKUP(S125,'CPI USA'!$T:$V,3,FALSE))</f>
        <v>-</v>
      </c>
      <c r="AV125" s="242" t="str">
        <f>IF(T125="-","-",VLOOKUP(T125,'CPI USA'!$T:$V,3,FALSE))</f>
        <v>-</v>
      </c>
      <c r="AW125" s="7"/>
      <c r="AX125" s="7"/>
      <c r="AY125" s="242" t="str">
        <f>IF(R125="-","-",VLOOKUP(R125,'CPI USA'!$T:$X,5,FALSE))</f>
        <v>-</v>
      </c>
      <c r="AZ125" s="242" t="str">
        <f>IF(S125="-","-",VLOOKUP(S125,'CPI USA'!$T:$X,5,FALSE))</f>
        <v>-</v>
      </c>
      <c r="BA125" s="242" t="str">
        <f>IF(T125="-","-",VLOOKUP(T125,'CPI USA'!$T:$X,5,FALSE))</f>
        <v>-</v>
      </c>
      <c r="BB125" s="7"/>
    </row>
    <row r="126" spans="1:54" ht="15.75" customHeight="1">
      <c r="A126" s="185" t="s">
        <v>568</v>
      </c>
      <c r="B126" s="185" t="s">
        <v>569</v>
      </c>
      <c r="C126" s="239">
        <f>+'Empresas 21-23'!J121</f>
        <v>0</v>
      </c>
      <c r="D126" s="239">
        <f>VLOOKUP(A126,'FERC 2021'!$A$3:$BE$221,57,0)</f>
        <v>949672944</v>
      </c>
      <c r="E126" s="239">
        <f>VLOOKUP(A126,'FERC 2021'!$A$3:$BF$221,58,0)</f>
        <v>94066495</v>
      </c>
      <c r="F126" s="239">
        <f>VLOOKUP(A126,'FERC 2022'!$A$3:$BE$220,57,0)</f>
        <v>1010875039</v>
      </c>
      <c r="G126" s="239">
        <f>VLOOKUP(A126,'FERC 2022'!$A$3:$BF$220,58,0)</f>
        <v>98242688</v>
      </c>
      <c r="H126" s="239">
        <f>VLOOKUP(A126,'FERC 2023'!$A$3:$BE$221,57,0)</f>
        <v>1077061430</v>
      </c>
      <c r="I126" s="239">
        <f>VLOOKUP(A126,'FERC 2023'!$A$3:$BF$221,58,0)</f>
        <v>105144306</v>
      </c>
      <c r="J126" s="7"/>
      <c r="K126" s="7"/>
      <c r="L126" s="7"/>
      <c r="M126" s="187">
        <f t="shared" si="0"/>
        <v>10.095761981989442</v>
      </c>
      <c r="N126" s="187">
        <f t="shared" si="1"/>
        <v>10.289570242622027</v>
      </c>
      <c r="O126" s="187">
        <f t="shared" si="2"/>
        <v>10.243649618078225</v>
      </c>
      <c r="P126" s="7"/>
      <c r="Q126" s="240">
        <f t="shared" si="3"/>
        <v>10.209660614229897</v>
      </c>
      <c r="R126" s="189" t="str">
        <f t="shared" ref="R126:T126" si="361">IF(ISERROR(R$5-365*$Q126),"-",MONTH(R$5-365*$Q126)&amp;"_"&amp;YEAR(R$5-365*$Q126))</f>
        <v>10_2011</v>
      </c>
      <c r="S126" s="189" t="str">
        <f t="shared" si="361"/>
        <v>10_2012</v>
      </c>
      <c r="T126" s="189" t="str">
        <f t="shared" si="361"/>
        <v>10_2013</v>
      </c>
      <c r="U126" s="7"/>
      <c r="V126" s="7"/>
      <c r="W126" s="190">
        <f>IF(R126="-","-",VLOOKUP(R126,'CPI USA'!$T:$U,2,FALSE))</f>
        <v>224.93899999999999</v>
      </c>
      <c r="X126" s="190">
        <f>IF(S126="-","-",VLOOKUP(S126,'CPI USA'!$T:$U,2,FALSE))</f>
        <v>229.59399999999999</v>
      </c>
      <c r="Y126" s="190">
        <f>IF(T126="-","-",VLOOKUP(T126,'CPI USA'!$T:$U,2,FALSE))</f>
        <v>233.54599999999999</v>
      </c>
      <c r="Z126" s="7"/>
      <c r="AA126" s="7"/>
      <c r="AB126" s="190">
        <f>IF(R126="-","-",VLOOKUP(R126,'PPI USA'!$S:$T,2,FALSE))</f>
        <v>169.6</v>
      </c>
      <c r="AC126" s="190">
        <f>IF(S126="-","-",VLOOKUP(S126,'PPI USA'!$S:$T,2,FALSE))</f>
        <v>175.1</v>
      </c>
      <c r="AD126" s="190">
        <f>IF(T126="-","-",VLOOKUP(T126,'PPI USA'!$S:$T,2,FALSE))</f>
        <v>167.8</v>
      </c>
      <c r="AE126" s="7"/>
      <c r="AF126" s="7"/>
      <c r="AG126" s="190">
        <f t="shared" ref="AG126:AI126" si="362">IF(W126="-","-",(AT126*$B$2/W126+(1-AT126)*AVERAGE($B$2,$B$3)/AVERAGE(W126,AB126)))</f>
        <v>1.4208751760332547</v>
      </c>
      <c r="AH126" s="190">
        <f t="shared" si="362"/>
        <v>1.3897894616766442</v>
      </c>
      <c r="AI126" s="190">
        <f t="shared" si="362"/>
        <v>1.3777427925278192</v>
      </c>
      <c r="AJ126" s="7"/>
      <c r="AK126" s="7"/>
      <c r="AL126" s="190">
        <f t="shared" ref="AL126:AN126" si="363">IF(W126="-","-",(AY126*$B$2/W126+(1-AY126)*AVERAGE($B$2,$B$3)/AVERAGE(W126,AB126)))</f>
        <v>1.4334111417560953</v>
      </c>
      <c r="AM126" s="190">
        <f t="shared" si="363"/>
        <v>1.4008620811189902</v>
      </c>
      <c r="AN126" s="190">
        <f t="shared" si="363"/>
        <v>1.3947851130840843</v>
      </c>
      <c r="AO126" s="7"/>
      <c r="AP126" s="7"/>
      <c r="AQ126" s="7"/>
      <c r="AR126" s="7"/>
      <c r="AS126" s="7"/>
      <c r="AT126" s="242">
        <f>IF(R126="-","-",VLOOKUP(R126,'CPI USA'!$T:$V,3,FALSE))</f>
        <v>0.6684022975047168</v>
      </c>
      <c r="AU126" s="242">
        <f>IF(S126="-","-",VLOOKUP(S126,'CPI USA'!$T:$V,3,FALSE))</f>
        <v>0.66730871354337351</v>
      </c>
      <c r="AV126" s="242">
        <f>IF(T126="-","-",VLOOKUP(T126,'CPI USA'!$T:$V,3,FALSE))</f>
        <v>0.67305131835944076</v>
      </c>
      <c r="AW126" s="7"/>
      <c r="AX126" s="7"/>
      <c r="AY126" s="242">
        <f>IF(R126="-","-",VLOOKUP(R126,'CPI USA'!$T:$X,5,FALSE))</f>
        <v>0.49636791791307899</v>
      </c>
      <c r="AZ126" s="242">
        <f>IF(S126="-","-",VLOOKUP(S126,'CPI USA'!$T:$X,5,FALSE))</f>
        <v>0.49513551903851311</v>
      </c>
      <c r="BA126" s="242">
        <f>IF(T126="-","-",VLOOKUP(T126,'CPI USA'!$T:$X,5,FALSE))</f>
        <v>0.50163050295255052</v>
      </c>
      <c r="BB126" s="7"/>
    </row>
    <row r="127" spans="1:54" ht="15.75" customHeight="1">
      <c r="A127" s="185" t="s">
        <v>571</v>
      </c>
      <c r="B127" s="185" t="s">
        <v>572</v>
      </c>
      <c r="C127" s="239">
        <f>+'Empresas 21-23'!J122</f>
        <v>0</v>
      </c>
      <c r="D127" s="239">
        <f>VLOOKUP(A127,'FERC 2021'!$A$3:$BE$221,57,0)</f>
        <v>159225441</v>
      </c>
      <c r="E127" s="239">
        <f>VLOOKUP(A127,'FERC 2021'!$A$3:$BF$221,58,0)</f>
        <v>12987018</v>
      </c>
      <c r="F127" s="239">
        <f>VLOOKUP(A127,'FERC 2022'!$A$3:$BE$220,57,0)</f>
        <v>165500500</v>
      </c>
      <c r="G127" s="239">
        <f>VLOOKUP(A127,'FERC 2022'!$A$3:$BF$220,58,0)</f>
        <v>13548812</v>
      </c>
      <c r="H127" s="239">
        <f>VLOOKUP(A127,'FERC 2023'!$A$3:$BE$221,57,0)</f>
        <v>172715899</v>
      </c>
      <c r="I127" s="239">
        <f>VLOOKUP(A127,'FERC 2023'!$A$3:$BF$221,58,0)</f>
        <v>14194293</v>
      </c>
      <c r="J127" s="7"/>
      <c r="K127" s="7"/>
      <c r="L127" s="7"/>
      <c r="M127" s="187">
        <f t="shared" si="0"/>
        <v>12.260354224503269</v>
      </c>
      <c r="N127" s="187">
        <f t="shared" si="1"/>
        <v>12.215130005494208</v>
      </c>
      <c r="O127" s="187">
        <f t="shared" si="2"/>
        <v>12.167981807899837</v>
      </c>
      <c r="P127" s="7"/>
      <c r="Q127" s="240">
        <f t="shared" si="3"/>
        <v>12.214488679299103</v>
      </c>
      <c r="R127" s="189" t="str">
        <f t="shared" ref="R127:T127" si="364">IF(ISERROR(R$5-365*$Q127),"-",MONTH(R$5-365*$Q127)&amp;"_"&amp;YEAR(R$5-365*$Q127))</f>
        <v>10_2009</v>
      </c>
      <c r="S127" s="189" t="str">
        <f t="shared" si="364"/>
        <v>10_2010</v>
      </c>
      <c r="T127" s="189" t="str">
        <f t="shared" si="364"/>
        <v>10_2011</v>
      </c>
      <c r="U127" s="7"/>
      <c r="V127" s="7"/>
      <c r="W127" s="190">
        <f>IF(R127="-","-",VLOOKUP(R127,'CPI USA'!$T:$U,2,FALSE))</f>
        <v>214.53700000000001</v>
      </c>
      <c r="X127" s="190">
        <f>IF(S127="-","-",VLOOKUP(S127,'CPI USA'!$T:$U,2,FALSE))</f>
        <v>218.05600000000001</v>
      </c>
      <c r="Y127" s="190">
        <f>IF(T127="-","-",VLOOKUP(T127,'CPI USA'!$T:$U,2,FALSE))</f>
        <v>224.93899999999999</v>
      </c>
      <c r="Z127" s="7"/>
      <c r="AA127" s="7"/>
      <c r="AB127" s="190">
        <f>IF(R127="-","-",VLOOKUP(R127,'PPI USA'!$S:$T,2,FALSE))</f>
        <v>159.1</v>
      </c>
      <c r="AC127" s="190">
        <f>IF(S127="-","-",VLOOKUP(S127,'PPI USA'!$S:$T,2,FALSE))</f>
        <v>160.80000000000001</v>
      </c>
      <c r="AD127" s="190">
        <f>IF(T127="-","-",VLOOKUP(T127,'PPI USA'!$S:$T,2,FALSE))</f>
        <v>169.6</v>
      </c>
      <c r="AE127" s="7"/>
      <c r="AF127" s="7"/>
      <c r="AG127" s="190">
        <f t="shared" ref="AG127:AI127" si="365">IF(W127="-","-",(AT127*$B$2/W127+(1-AT127)*AVERAGE($B$2,$B$3)/AVERAGE(W127,AB127)))</f>
        <v>1.4932638886873792</v>
      </c>
      <c r="AH127" s="190">
        <f t="shared" si="365"/>
        <v>1.4703278680244813</v>
      </c>
      <c r="AI127" s="190">
        <f t="shared" si="365"/>
        <v>1.4208751760332547</v>
      </c>
      <c r="AJ127" s="7"/>
      <c r="AK127" s="7"/>
      <c r="AL127" s="190">
        <f t="shared" ref="AL127:AN127" si="366">IF(W127="-","-",(AY127*$B$2/W127+(1-AY127)*AVERAGE($B$2,$B$3)/AVERAGE(W127,AB127)))</f>
        <v>1.5082750176818205</v>
      </c>
      <c r="AM127" s="190">
        <f t="shared" si="366"/>
        <v>1.4857204383544427</v>
      </c>
      <c r="AN127" s="190">
        <f t="shared" si="366"/>
        <v>1.4334111417560953</v>
      </c>
      <c r="AO127" s="7"/>
      <c r="AP127" s="7"/>
      <c r="AQ127" s="7"/>
      <c r="AR127" s="7"/>
      <c r="AS127" s="7"/>
      <c r="AT127" s="242">
        <f>IF(R127="-","-",VLOOKUP(R127,'CPI USA'!$T:$V,3,FALSE))</f>
        <v>0.66997101349938215</v>
      </c>
      <c r="AU127" s="242">
        <f>IF(S127="-","-",VLOOKUP(S127,'CPI USA'!$T:$V,3,FALSE))</f>
        <v>0.67050107279443949</v>
      </c>
      <c r="AV127" s="242">
        <f>IF(T127="-","-",VLOOKUP(T127,'CPI USA'!$T:$V,3,FALSE))</f>
        <v>0.6684022975047168</v>
      </c>
      <c r="AW127" s="7"/>
      <c r="AX127" s="7"/>
      <c r="AY127" s="242">
        <f>IF(R127="-","-",VLOOKUP(R127,'CPI USA'!$T:$X,5,FALSE))</f>
        <v>0.49813941766071862</v>
      </c>
      <c r="AZ127" s="242">
        <f>IF(S127="-","-",VLOOKUP(S127,'CPI USA'!$T:$X,5,FALSE))</f>
        <v>0.4987389730136107</v>
      </c>
      <c r="BA127" s="242">
        <f>IF(T127="-","-",VLOOKUP(T127,'CPI USA'!$T:$X,5,FALSE))</f>
        <v>0.49636791791307899</v>
      </c>
      <c r="BB127" s="7"/>
    </row>
    <row r="128" spans="1:54" ht="15.75" customHeight="1">
      <c r="A128" s="185" t="s">
        <v>574</v>
      </c>
      <c r="B128" s="185" t="s">
        <v>575</v>
      </c>
      <c r="C128" s="239">
        <f>+'Empresas 21-23'!J123</f>
        <v>0</v>
      </c>
      <c r="D128" s="239">
        <f>VLOOKUP(A128,'FERC 2021'!$A$3:$BE$221,57,0)</f>
        <v>1986357026</v>
      </c>
      <c r="E128" s="239">
        <f>VLOOKUP(A128,'FERC 2021'!$A$3:$BF$221,58,0)</f>
        <v>165994243</v>
      </c>
      <c r="F128" s="239">
        <f>VLOOKUP(A128,'FERC 2022'!$A$3:$BE$220,57,0)</f>
        <v>2111569076</v>
      </c>
      <c r="G128" s="239">
        <f>VLOOKUP(A128,'FERC 2022'!$A$3:$BF$220,58,0)</f>
        <v>189083520</v>
      </c>
      <c r="H128" s="239">
        <f>VLOOKUP(A128,'FERC 2023'!$A$3:$BE$221,57,0)</f>
        <v>2219240503</v>
      </c>
      <c r="I128" s="239">
        <f>VLOOKUP(A128,'FERC 2023'!$A$3:$BF$221,58,0)</f>
        <v>200242531</v>
      </c>
      <c r="J128" s="7"/>
      <c r="K128" s="7"/>
      <c r="L128" s="7"/>
      <c r="M128" s="187">
        <f t="shared" si="0"/>
        <v>11.966421184860007</v>
      </c>
      <c r="N128" s="187">
        <f t="shared" si="1"/>
        <v>11.167388231401658</v>
      </c>
      <c r="O128" s="187">
        <f t="shared" si="2"/>
        <v>11.082762947098386</v>
      </c>
      <c r="P128" s="7"/>
      <c r="Q128" s="240">
        <f t="shared" si="3"/>
        <v>11.405524121120017</v>
      </c>
      <c r="R128" s="189" t="str">
        <f t="shared" ref="R128:T128" si="367">IF(ISERROR(R$5-365*$Q128),"-",MONTH(R$5-365*$Q128)&amp;"_"&amp;YEAR(R$5-365*$Q128))</f>
        <v>8_2010</v>
      </c>
      <c r="S128" s="189" t="str">
        <f t="shared" si="367"/>
        <v>8_2011</v>
      </c>
      <c r="T128" s="189" t="str">
        <f t="shared" si="367"/>
        <v>8_2012</v>
      </c>
      <c r="U128" s="7"/>
      <c r="V128" s="7"/>
      <c r="W128" s="190">
        <f>IF(R128="-","-",VLOOKUP(R128,'CPI USA'!$T:$U,2,FALSE))</f>
        <v>218.05600000000001</v>
      </c>
      <c r="X128" s="190">
        <f>IF(S128="-","-",VLOOKUP(S128,'CPI USA'!$T:$U,2,FALSE))</f>
        <v>224.93899999999999</v>
      </c>
      <c r="Y128" s="190">
        <f>IF(T128="-","-",VLOOKUP(T128,'CPI USA'!$T:$U,2,FALSE))</f>
        <v>229.59399999999999</v>
      </c>
      <c r="Z128" s="7"/>
      <c r="AA128" s="7"/>
      <c r="AB128" s="190">
        <f>IF(R128="-","-",VLOOKUP(R128,'PPI USA'!$S:$T,2,FALSE))</f>
        <v>160.80000000000001</v>
      </c>
      <c r="AC128" s="190">
        <f>IF(S128="-","-",VLOOKUP(S128,'PPI USA'!$S:$T,2,FALSE))</f>
        <v>169.6</v>
      </c>
      <c r="AD128" s="190">
        <f>IF(T128="-","-",VLOOKUP(T128,'PPI USA'!$S:$T,2,FALSE))</f>
        <v>175.1</v>
      </c>
      <c r="AE128" s="7"/>
      <c r="AF128" s="7"/>
      <c r="AG128" s="190">
        <f t="shared" ref="AG128:AI128" si="368">IF(W128="-","-",(AT128*$B$2/W128+(1-AT128)*AVERAGE($B$2,$B$3)/AVERAGE(W128,AB128)))</f>
        <v>1.4703278680244813</v>
      </c>
      <c r="AH128" s="190">
        <f t="shared" si="368"/>
        <v>1.4208751760332547</v>
      </c>
      <c r="AI128" s="190">
        <f t="shared" si="368"/>
        <v>1.3897894616766442</v>
      </c>
      <c r="AJ128" s="7"/>
      <c r="AK128" s="7"/>
      <c r="AL128" s="190">
        <f t="shared" ref="AL128:AN128" si="369">IF(W128="-","-",(AY128*$B$2/W128+(1-AY128)*AVERAGE($B$2,$B$3)/AVERAGE(W128,AB128)))</f>
        <v>1.4857204383544427</v>
      </c>
      <c r="AM128" s="190">
        <f t="shared" si="369"/>
        <v>1.4334111417560953</v>
      </c>
      <c r="AN128" s="190">
        <f t="shared" si="369"/>
        <v>1.4008620811189902</v>
      </c>
      <c r="AO128" s="7"/>
      <c r="AP128" s="7"/>
      <c r="AQ128" s="7"/>
      <c r="AR128" s="7"/>
      <c r="AS128" s="7"/>
      <c r="AT128" s="242">
        <f>IF(R128="-","-",VLOOKUP(R128,'CPI USA'!$T:$V,3,FALSE))</f>
        <v>0.67050107279443949</v>
      </c>
      <c r="AU128" s="242">
        <f>IF(S128="-","-",VLOOKUP(S128,'CPI USA'!$T:$V,3,FALSE))</f>
        <v>0.6684022975047168</v>
      </c>
      <c r="AV128" s="242">
        <f>IF(T128="-","-",VLOOKUP(T128,'CPI USA'!$T:$V,3,FALSE))</f>
        <v>0.66730871354337351</v>
      </c>
      <c r="AW128" s="7"/>
      <c r="AX128" s="7"/>
      <c r="AY128" s="242">
        <f>IF(R128="-","-",VLOOKUP(R128,'CPI USA'!$T:$X,5,FALSE))</f>
        <v>0.4987389730136107</v>
      </c>
      <c r="AZ128" s="242">
        <f>IF(S128="-","-",VLOOKUP(S128,'CPI USA'!$T:$X,5,FALSE))</f>
        <v>0.49636791791307899</v>
      </c>
      <c r="BA128" s="242">
        <f>IF(T128="-","-",VLOOKUP(T128,'CPI USA'!$T:$X,5,FALSE))</f>
        <v>0.49513551903851311</v>
      </c>
      <c r="BB128" s="7"/>
    </row>
    <row r="129" spans="1:54" ht="15.75" customHeight="1">
      <c r="A129" s="185" t="s">
        <v>577</v>
      </c>
      <c r="B129" s="185" t="s">
        <v>578</v>
      </c>
      <c r="C129" s="243">
        <f>+'Empresas 21-23'!J124</f>
        <v>0</v>
      </c>
      <c r="D129" s="239">
        <f>VLOOKUP(A129,'FERC 2021'!$A$3:$BE$221,57,0)</f>
        <v>0</v>
      </c>
      <c r="E129" s="239">
        <f>VLOOKUP(A129,'FERC 2021'!$A$3:$BF$221,58,0)</f>
        <v>0</v>
      </c>
      <c r="F129" s="239">
        <f>VLOOKUP(A129,'FERC 2022'!$A$3:$BE$220,57,0)</f>
        <v>0</v>
      </c>
      <c r="G129" s="239">
        <f>VLOOKUP(A129,'FERC 2022'!$A$3:$BF$220,58,0)</f>
        <v>0</v>
      </c>
      <c r="H129" s="239">
        <f>VLOOKUP(A129,'FERC 2023'!$A$3:$BE$221,57,0)</f>
        <v>0</v>
      </c>
      <c r="I129" s="239">
        <f>VLOOKUP(A129,'FERC 2023'!$A$3:$BF$221,58,0)</f>
        <v>0</v>
      </c>
      <c r="J129" s="7"/>
      <c r="K129" s="7"/>
      <c r="L129" s="7"/>
      <c r="M129" s="187" t="str">
        <f t="shared" si="0"/>
        <v/>
      </c>
      <c r="N129" s="187" t="str">
        <f t="shared" si="1"/>
        <v/>
      </c>
      <c r="O129" s="187" t="str">
        <f t="shared" si="2"/>
        <v/>
      </c>
      <c r="P129" s="7"/>
      <c r="Q129" s="240" t="str">
        <f t="shared" si="3"/>
        <v>-</v>
      </c>
      <c r="R129" s="189" t="str">
        <f t="shared" ref="R129:T129" si="370">IF(ISERROR(R$5-365*$Q129),"-",MONTH(R$5-365*$Q129)&amp;"_"&amp;YEAR(R$5-365*$Q129))</f>
        <v>-</v>
      </c>
      <c r="S129" s="189" t="str">
        <f t="shared" si="370"/>
        <v>-</v>
      </c>
      <c r="T129" s="189" t="str">
        <f t="shared" si="370"/>
        <v>-</v>
      </c>
      <c r="U129" s="7"/>
      <c r="V129" s="7"/>
      <c r="W129" s="190" t="str">
        <f>IF(R129="-","-",VLOOKUP(R129,'CPI USA'!$T:$U,2,FALSE))</f>
        <v>-</v>
      </c>
      <c r="X129" s="190" t="str">
        <f>IF(S129="-","-",VLOOKUP(S129,'CPI USA'!$T:$U,2,FALSE))</f>
        <v>-</v>
      </c>
      <c r="Y129" s="190" t="str">
        <f>IF(T129="-","-",VLOOKUP(T129,'CPI USA'!$T:$U,2,FALSE))</f>
        <v>-</v>
      </c>
      <c r="Z129" s="7"/>
      <c r="AA129" s="7"/>
      <c r="AB129" s="190" t="str">
        <f>IF(R129="-","-",VLOOKUP(R129,'PPI USA'!$S:$T,2,FALSE))</f>
        <v>-</v>
      </c>
      <c r="AC129" s="190" t="str">
        <f>IF(S129="-","-",VLOOKUP(S129,'PPI USA'!$S:$T,2,FALSE))</f>
        <v>-</v>
      </c>
      <c r="AD129" s="190" t="str">
        <f>IF(T129="-","-",VLOOKUP(T129,'PPI USA'!$S:$T,2,FALSE))</f>
        <v>-</v>
      </c>
      <c r="AE129" s="7"/>
      <c r="AF129" s="7"/>
      <c r="AG129" s="190" t="str">
        <f t="shared" ref="AG129:AI129" si="371">IF(W129="-","-",(AT129*$B$2/W129+(1-AT129)*AVERAGE($B$2,$B$3)/AVERAGE(W129,AB129)))</f>
        <v>-</v>
      </c>
      <c r="AH129" s="190" t="str">
        <f t="shared" si="371"/>
        <v>-</v>
      </c>
      <c r="AI129" s="190" t="str">
        <f t="shared" si="371"/>
        <v>-</v>
      </c>
      <c r="AJ129" s="7"/>
      <c r="AK129" s="7"/>
      <c r="AL129" s="190" t="str">
        <f t="shared" ref="AL129:AN129" si="372">IF(W129="-","-",(AY129*$B$2/W129+(1-AY129)*AVERAGE($B$2,$B$3)/AVERAGE(W129,AB129)))</f>
        <v>-</v>
      </c>
      <c r="AM129" s="190" t="str">
        <f t="shared" si="372"/>
        <v>-</v>
      </c>
      <c r="AN129" s="190" t="str">
        <f t="shared" si="372"/>
        <v>-</v>
      </c>
      <c r="AO129" s="7"/>
      <c r="AP129" s="7"/>
      <c r="AQ129" s="7"/>
      <c r="AR129" s="7"/>
      <c r="AS129" s="7"/>
      <c r="AT129" s="242" t="str">
        <f>IF(R129="-","-",VLOOKUP(R129,'CPI USA'!$T:$V,3,FALSE))</f>
        <v>-</v>
      </c>
      <c r="AU129" s="242" t="str">
        <f>IF(S129="-","-",VLOOKUP(S129,'CPI USA'!$T:$V,3,FALSE))</f>
        <v>-</v>
      </c>
      <c r="AV129" s="242" t="str">
        <f>IF(T129="-","-",VLOOKUP(T129,'CPI USA'!$T:$V,3,FALSE))</f>
        <v>-</v>
      </c>
      <c r="AW129" s="7"/>
      <c r="AX129" s="7"/>
      <c r="AY129" s="242" t="str">
        <f>IF(R129="-","-",VLOOKUP(R129,'CPI USA'!$T:$X,5,FALSE))</f>
        <v>-</v>
      </c>
      <c r="AZ129" s="242" t="str">
        <f>IF(S129="-","-",VLOOKUP(S129,'CPI USA'!$T:$X,5,FALSE))</f>
        <v>-</v>
      </c>
      <c r="BA129" s="242" t="str">
        <f>IF(T129="-","-",VLOOKUP(T129,'CPI USA'!$T:$X,5,FALSE))</f>
        <v>-</v>
      </c>
      <c r="BB129" s="7"/>
    </row>
    <row r="130" spans="1:54" ht="15.75" customHeight="1">
      <c r="A130" s="185" t="s">
        <v>580</v>
      </c>
      <c r="B130" s="185" t="s">
        <v>581</v>
      </c>
      <c r="C130" s="243">
        <f>+'Empresas 21-23'!J125</f>
        <v>0</v>
      </c>
      <c r="D130" s="239">
        <f>VLOOKUP(A130,'FERC 2021'!$A$3:$BE$221,57,0)</f>
        <v>0</v>
      </c>
      <c r="E130" s="239">
        <f>VLOOKUP(A130,'FERC 2021'!$A$3:$BF$221,58,0)</f>
        <v>0</v>
      </c>
      <c r="F130" s="239">
        <f>VLOOKUP(A130,'FERC 2022'!$A$3:$BE$220,57,0)</f>
        <v>0</v>
      </c>
      <c r="G130" s="239">
        <f>VLOOKUP(A130,'FERC 2022'!$A$3:$BF$220,58,0)</f>
        <v>0</v>
      </c>
      <c r="H130" s="239">
        <f>VLOOKUP(A130,'FERC 2023'!$A$3:$BE$221,57,0)</f>
        <v>0</v>
      </c>
      <c r="I130" s="239">
        <f>VLOOKUP(A130,'FERC 2023'!$A$3:$BF$221,58,0)</f>
        <v>0</v>
      </c>
      <c r="J130" s="7"/>
      <c r="K130" s="7"/>
      <c r="L130" s="7"/>
      <c r="M130" s="187" t="str">
        <f t="shared" si="0"/>
        <v/>
      </c>
      <c r="N130" s="187" t="str">
        <f t="shared" si="1"/>
        <v/>
      </c>
      <c r="O130" s="187" t="str">
        <f t="shared" si="2"/>
        <v/>
      </c>
      <c r="P130" s="7"/>
      <c r="Q130" s="240" t="str">
        <f t="shared" si="3"/>
        <v>-</v>
      </c>
      <c r="R130" s="189" t="str">
        <f t="shared" ref="R130:T130" si="373">IF(ISERROR(R$5-365*$Q130),"-",MONTH(R$5-365*$Q130)&amp;"_"&amp;YEAR(R$5-365*$Q130))</f>
        <v>-</v>
      </c>
      <c r="S130" s="189" t="str">
        <f t="shared" si="373"/>
        <v>-</v>
      </c>
      <c r="T130" s="189" t="str">
        <f t="shared" si="373"/>
        <v>-</v>
      </c>
      <c r="U130" s="7"/>
      <c r="V130" s="7"/>
      <c r="W130" s="190" t="str">
        <f>IF(R130="-","-",VLOOKUP(R130,'CPI USA'!$T:$U,2,FALSE))</f>
        <v>-</v>
      </c>
      <c r="X130" s="190" t="str">
        <f>IF(S130="-","-",VLOOKUP(S130,'CPI USA'!$T:$U,2,FALSE))</f>
        <v>-</v>
      </c>
      <c r="Y130" s="190" t="str">
        <f>IF(T130="-","-",VLOOKUP(T130,'CPI USA'!$T:$U,2,FALSE))</f>
        <v>-</v>
      </c>
      <c r="Z130" s="7"/>
      <c r="AA130" s="7"/>
      <c r="AB130" s="190" t="str">
        <f>IF(R130="-","-",VLOOKUP(R130,'PPI USA'!$S:$T,2,FALSE))</f>
        <v>-</v>
      </c>
      <c r="AC130" s="190" t="str">
        <f>IF(S130="-","-",VLOOKUP(S130,'PPI USA'!$S:$T,2,FALSE))</f>
        <v>-</v>
      </c>
      <c r="AD130" s="190" t="str">
        <f>IF(T130="-","-",VLOOKUP(T130,'PPI USA'!$S:$T,2,FALSE))</f>
        <v>-</v>
      </c>
      <c r="AE130" s="7"/>
      <c r="AF130" s="7"/>
      <c r="AG130" s="190" t="str">
        <f t="shared" ref="AG130:AI130" si="374">IF(W130="-","-",(AT130*$B$2/W130+(1-AT130)*AVERAGE($B$2,$B$3)/AVERAGE(W130,AB130)))</f>
        <v>-</v>
      </c>
      <c r="AH130" s="190" t="str">
        <f t="shared" si="374"/>
        <v>-</v>
      </c>
      <c r="AI130" s="190" t="str">
        <f t="shared" si="374"/>
        <v>-</v>
      </c>
      <c r="AJ130" s="7"/>
      <c r="AK130" s="7"/>
      <c r="AL130" s="190" t="str">
        <f t="shared" ref="AL130:AN130" si="375">IF(W130="-","-",(AY130*$B$2/W130+(1-AY130)*AVERAGE($B$2,$B$3)/AVERAGE(W130,AB130)))</f>
        <v>-</v>
      </c>
      <c r="AM130" s="190" t="str">
        <f t="shared" si="375"/>
        <v>-</v>
      </c>
      <c r="AN130" s="190" t="str">
        <f t="shared" si="375"/>
        <v>-</v>
      </c>
      <c r="AO130" s="7"/>
      <c r="AP130" s="7"/>
      <c r="AQ130" s="7"/>
      <c r="AR130" s="7"/>
      <c r="AS130" s="7"/>
      <c r="AT130" s="242" t="str">
        <f>IF(R130="-","-",VLOOKUP(R130,'CPI USA'!$T:$V,3,FALSE))</f>
        <v>-</v>
      </c>
      <c r="AU130" s="242" t="str">
        <f>IF(S130="-","-",VLOOKUP(S130,'CPI USA'!$T:$V,3,FALSE))</f>
        <v>-</v>
      </c>
      <c r="AV130" s="242" t="str">
        <f>IF(T130="-","-",VLOOKUP(T130,'CPI USA'!$T:$V,3,FALSE))</f>
        <v>-</v>
      </c>
      <c r="AW130" s="7"/>
      <c r="AX130" s="7"/>
      <c r="AY130" s="242" t="str">
        <f>IF(R130="-","-",VLOOKUP(R130,'CPI USA'!$T:$X,5,FALSE))</f>
        <v>-</v>
      </c>
      <c r="AZ130" s="242" t="str">
        <f>IF(S130="-","-",VLOOKUP(S130,'CPI USA'!$T:$X,5,FALSE))</f>
        <v>-</v>
      </c>
      <c r="BA130" s="242" t="str">
        <f>IF(T130="-","-",VLOOKUP(T130,'CPI USA'!$T:$X,5,FALSE))</f>
        <v>-</v>
      </c>
      <c r="BB130" s="7"/>
    </row>
    <row r="131" spans="1:54" ht="15.75" customHeight="1">
      <c r="A131" s="185" t="s">
        <v>583</v>
      </c>
      <c r="B131" s="185" t="s">
        <v>584</v>
      </c>
      <c r="C131" s="239">
        <f>+'Empresas 21-23'!J126</f>
        <v>0</v>
      </c>
      <c r="D131" s="239">
        <f>VLOOKUP(A131,'FERC 2021'!$A$3:$BE$221,57,0)</f>
        <v>66076374</v>
      </c>
      <c r="E131" s="239">
        <f>VLOOKUP(A131,'FERC 2021'!$A$3:$BF$221,58,0)</f>
        <v>6461710</v>
      </c>
      <c r="F131" s="239">
        <f>VLOOKUP(A131,'FERC 2022'!$A$3:$BE$220,57,0)</f>
        <v>70555578</v>
      </c>
      <c r="G131" s="239">
        <f>VLOOKUP(A131,'FERC 2022'!$A$3:$BF$220,58,0)</f>
        <v>7377608</v>
      </c>
      <c r="H131" s="239">
        <f>VLOOKUP(A131,'FERC 2023'!$A$3:$BE$221,57,0)</f>
        <v>76028846</v>
      </c>
      <c r="I131" s="239">
        <f>VLOOKUP(A131,'FERC 2023'!$A$3:$BF$221,58,0)</f>
        <v>7653125</v>
      </c>
      <c r="J131" s="7"/>
      <c r="K131" s="7"/>
      <c r="L131" s="7"/>
      <c r="M131" s="187">
        <f t="shared" si="0"/>
        <v>10.225834028453768</v>
      </c>
      <c r="N131" s="187">
        <f t="shared" si="1"/>
        <v>9.5634761293904482</v>
      </c>
      <c r="O131" s="187">
        <f t="shared" si="2"/>
        <v>9.9343530910575737</v>
      </c>
      <c r="P131" s="7"/>
      <c r="Q131" s="240">
        <f t="shared" si="3"/>
        <v>9.9078877496339306</v>
      </c>
      <c r="R131" s="189" t="str">
        <f t="shared" ref="R131:T131" si="376">IF(ISERROR(R$5-365*$Q131),"-",MONTH(R$5-365*$Q131)&amp;"_"&amp;YEAR(R$5-365*$Q131))</f>
        <v>2_2012</v>
      </c>
      <c r="S131" s="189" t="str">
        <f t="shared" si="376"/>
        <v>2_2013</v>
      </c>
      <c r="T131" s="189" t="str">
        <f t="shared" si="376"/>
        <v>2_2014</v>
      </c>
      <c r="U131" s="7"/>
      <c r="V131" s="7"/>
      <c r="W131" s="190">
        <f>IF(R131="-","-",VLOOKUP(R131,'CPI USA'!$T:$U,2,FALSE))</f>
        <v>229.59399999999999</v>
      </c>
      <c r="X131" s="190">
        <f>IF(S131="-","-",VLOOKUP(S131,'CPI USA'!$T:$U,2,FALSE))</f>
        <v>232.166</v>
      </c>
      <c r="Y131" s="190">
        <f>IF(T131="-","-",VLOOKUP(T131,'CPI USA'!$T:$U,2,FALSE))</f>
        <v>234.78100000000001</v>
      </c>
      <c r="Z131" s="7"/>
      <c r="AA131" s="7"/>
      <c r="AB131" s="190">
        <f>IF(R131="-","-",VLOOKUP(R131,'PPI USA'!$S:$T,2,FALSE))</f>
        <v>175.1</v>
      </c>
      <c r="AC131" s="190">
        <f>IF(S131="-","-",VLOOKUP(S131,'PPI USA'!$S:$T,2,FALSE))</f>
        <v>166.3</v>
      </c>
      <c r="AD131" s="190">
        <f>IF(T131="-","-",VLOOKUP(T131,'PPI USA'!$S:$T,2,FALSE))</f>
        <v>178.9</v>
      </c>
      <c r="AE131" s="7"/>
      <c r="AF131" s="7"/>
      <c r="AG131" s="190">
        <f t="shared" ref="AG131:AI131" si="377">IF(W131="-","-",(AT131*$B$2/W131+(1-AT131)*AVERAGE($B$2,$B$3)/AVERAGE(W131,AB131)))</f>
        <v>1.3897894616766442</v>
      </c>
      <c r="AH131" s="190">
        <f t="shared" si="377"/>
        <v>1.3865384530154934</v>
      </c>
      <c r="AI131" s="190">
        <f t="shared" si="377"/>
        <v>1.3592442498168091</v>
      </c>
      <c r="AJ131" s="7"/>
      <c r="AK131" s="7"/>
      <c r="AL131" s="190">
        <f t="shared" ref="AL131:AN131" si="378">IF(W131="-","-",(AY131*$B$2/W131+(1-AY131)*AVERAGE($B$2,$B$3)/AVERAGE(W131,AB131)))</f>
        <v>1.4008620811189902</v>
      </c>
      <c r="AM131" s="190">
        <f t="shared" si="378"/>
        <v>1.4039999731910067</v>
      </c>
      <c r="AN131" s="190">
        <f t="shared" si="378"/>
        <v>1.370161072621193</v>
      </c>
      <c r="AO131" s="7"/>
      <c r="AP131" s="7"/>
      <c r="AQ131" s="7"/>
      <c r="AR131" s="7"/>
      <c r="AS131" s="7"/>
      <c r="AT131" s="242">
        <f>IF(R131="-","-",VLOOKUP(R131,'CPI USA'!$T:$V,3,FALSE))</f>
        <v>0.66730871354337351</v>
      </c>
      <c r="AU131" s="242">
        <f>IF(S131="-","-",VLOOKUP(S131,'CPI USA'!$T:$V,3,FALSE))</f>
        <v>0.67305131835944076</v>
      </c>
      <c r="AV131" s="242">
        <f>IF(T131="-","-",VLOOKUP(T131,'CPI USA'!$T:$V,3,FALSE))</f>
        <v>0.66756601812039096</v>
      </c>
      <c r="AW131" s="7"/>
      <c r="AX131" s="7"/>
      <c r="AY131" s="242">
        <f>IF(R131="-","-",VLOOKUP(R131,'CPI USA'!$T:$X,5,FALSE))</f>
        <v>0.49513551903851311</v>
      </c>
      <c r="AZ131" s="242">
        <f>IF(S131="-","-",VLOOKUP(S131,'CPI USA'!$T:$X,5,FALSE))</f>
        <v>0.50163050295255052</v>
      </c>
      <c r="BA131" s="242">
        <f>IF(T131="-","-",VLOOKUP(T131,'CPI USA'!$T:$X,5,FALSE))</f>
        <v>0.49542529667095003</v>
      </c>
      <c r="BB131" s="7"/>
    </row>
    <row r="132" spans="1:54" ht="15.75" customHeight="1">
      <c r="A132" s="185" t="s">
        <v>586</v>
      </c>
      <c r="B132" s="185" t="s">
        <v>587</v>
      </c>
      <c r="C132" s="239">
        <f>+'Empresas 21-23'!J127</f>
        <v>0</v>
      </c>
      <c r="D132" s="239">
        <f>VLOOKUP(A132,'FERC 2021'!$A$3:$BE$221,57,0)</f>
        <v>2791453418</v>
      </c>
      <c r="E132" s="239">
        <f>VLOOKUP(A132,'FERC 2021'!$A$3:$BF$221,58,0)</f>
        <v>200172948</v>
      </c>
      <c r="F132" s="239">
        <f>VLOOKUP(A132,'FERC 2022'!$A$3:$BE$220,57,0)</f>
        <v>2929622297</v>
      </c>
      <c r="G132" s="239">
        <f>VLOOKUP(A132,'FERC 2022'!$A$3:$BF$220,58,0)</f>
        <v>211213663</v>
      </c>
      <c r="H132" s="239">
        <f>VLOOKUP(A132,'FERC 2023'!$A$3:$BE$221,57,0)</f>
        <v>3068816485</v>
      </c>
      <c r="I132" s="239">
        <f>VLOOKUP(A132,'FERC 2023'!$A$3:$BF$221,58,0)</f>
        <v>223053126</v>
      </c>
      <c r="J132" s="7"/>
      <c r="K132" s="7"/>
      <c r="L132" s="7"/>
      <c r="M132" s="187">
        <f t="shared" si="0"/>
        <v>13.945208110738321</v>
      </c>
      <c r="N132" s="187">
        <f t="shared" si="1"/>
        <v>13.870420385635754</v>
      </c>
      <c r="O132" s="187">
        <f t="shared" si="2"/>
        <v>13.758231234114154</v>
      </c>
      <c r="P132" s="7"/>
      <c r="Q132" s="240">
        <f t="shared" si="3"/>
        <v>13.857953243496077</v>
      </c>
      <c r="R132" s="189" t="str">
        <f t="shared" ref="R132:T132" si="379">IF(ISERROR(R$5-365*$Q132),"-",MONTH(R$5-365*$Q132)&amp;"_"&amp;YEAR(R$5-365*$Q132))</f>
        <v>2_2008</v>
      </c>
      <c r="S132" s="189" t="str">
        <f t="shared" si="379"/>
        <v>2_2009</v>
      </c>
      <c r="T132" s="189" t="str">
        <f t="shared" si="379"/>
        <v>2_2010</v>
      </c>
      <c r="U132" s="7"/>
      <c r="V132" s="7"/>
      <c r="W132" s="190">
        <f>IF(R132="-","-",VLOOKUP(R132,'CPI USA'!$T:$U,2,FALSE))</f>
        <v>215.303</v>
      </c>
      <c r="X132" s="190">
        <f>IF(S132="-","-",VLOOKUP(S132,'CPI USA'!$T:$U,2,FALSE))</f>
        <v>214.53700000000001</v>
      </c>
      <c r="Y132" s="190">
        <f>IF(T132="-","-",VLOOKUP(T132,'CPI USA'!$T:$U,2,FALSE))</f>
        <v>218.05600000000001</v>
      </c>
      <c r="Z132" s="7"/>
      <c r="AA132" s="7"/>
      <c r="AB132" s="190">
        <f>IF(R132="-","-",VLOOKUP(R132,'PPI USA'!$S:$T,2,FALSE))</f>
        <v>159.30000000000001</v>
      </c>
      <c r="AC132" s="190">
        <f>IF(S132="-","-",VLOOKUP(S132,'PPI USA'!$S:$T,2,FALSE))</f>
        <v>159.1</v>
      </c>
      <c r="AD132" s="190">
        <f>IF(T132="-","-",VLOOKUP(T132,'PPI USA'!$S:$T,2,FALSE))</f>
        <v>160.80000000000001</v>
      </c>
      <c r="AE132" s="7"/>
      <c r="AF132" s="7"/>
      <c r="AG132" s="190">
        <f t="shared" ref="AG132:AI132" si="380">IF(W132="-","-",(AT132*$B$2/W132+(1-AT132)*AVERAGE($B$2,$B$3)/AVERAGE(W132,AB132)))</f>
        <v>1.4884333659448254</v>
      </c>
      <c r="AH132" s="190">
        <f t="shared" si="380"/>
        <v>1.4932638886873792</v>
      </c>
      <c r="AI132" s="190">
        <f t="shared" si="380"/>
        <v>1.4703278680244813</v>
      </c>
      <c r="AJ132" s="7"/>
      <c r="AK132" s="7"/>
      <c r="AL132" s="190">
        <f t="shared" ref="AL132:AN132" si="381">IF(W132="-","-",(AY132*$B$2/W132+(1-AY132)*AVERAGE($B$2,$B$3)/AVERAGE(W132,AB132)))</f>
        <v>1.5036496327119213</v>
      </c>
      <c r="AM132" s="190">
        <f t="shared" si="381"/>
        <v>1.5082750176818205</v>
      </c>
      <c r="AN132" s="190">
        <f t="shared" si="381"/>
        <v>1.4857204383544427</v>
      </c>
      <c r="AO132" s="7"/>
      <c r="AP132" s="7"/>
      <c r="AQ132" s="7"/>
      <c r="AR132" s="7"/>
      <c r="AS132" s="7"/>
      <c r="AT132" s="242">
        <f>IF(R132="-","-",VLOOKUP(R132,'CPI USA'!$T:$V,3,FALSE))</f>
        <v>0.67018812038291731</v>
      </c>
      <c r="AU132" s="242">
        <f>IF(S132="-","-",VLOOKUP(S132,'CPI USA'!$T:$V,3,FALSE))</f>
        <v>0.66997101349938215</v>
      </c>
      <c r="AV132" s="242">
        <f>IF(T132="-","-",VLOOKUP(T132,'CPI USA'!$T:$V,3,FALSE))</f>
        <v>0.67050107279443949</v>
      </c>
      <c r="AW132" s="7"/>
      <c r="AX132" s="7"/>
      <c r="AY132" s="242">
        <f>IF(R132="-","-",VLOOKUP(R132,'CPI USA'!$T:$X,5,FALSE))</f>
        <v>0.49838492968660258</v>
      </c>
      <c r="AZ132" s="242">
        <f>IF(S132="-","-",VLOOKUP(S132,'CPI USA'!$T:$X,5,FALSE))</f>
        <v>0.49813941766071862</v>
      </c>
      <c r="BA132" s="242">
        <f>IF(T132="-","-",VLOOKUP(T132,'CPI USA'!$T:$X,5,FALSE))</f>
        <v>0.4987389730136107</v>
      </c>
      <c r="BB132" s="7"/>
    </row>
    <row r="133" spans="1:54" ht="15.75" customHeight="1">
      <c r="A133" s="185" t="s">
        <v>589</v>
      </c>
      <c r="B133" s="185" t="s">
        <v>590</v>
      </c>
      <c r="C133" s="239">
        <f>+'Empresas 21-23'!J128</f>
        <v>0</v>
      </c>
      <c r="D133" s="239">
        <f>VLOOKUP(A133,'FERC 2021'!$A$3:$BE$221,57,0)</f>
        <v>703506540</v>
      </c>
      <c r="E133" s="239">
        <f>VLOOKUP(A133,'FERC 2021'!$A$3:$BF$221,58,0)</f>
        <v>75062381</v>
      </c>
      <c r="F133" s="239">
        <f>VLOOKUP(A133,'FERC 2022'!$A$3:$BE$220,57,0)</f>
        <v>759198514</v>
      </c>
      <c r="G133" s="239">
        <f>VLOOKUP(A133,'FERC 2022'!$A$3:$BF$220,58,0)</f>
        <v>84911410</v>
      </c>
      <c r="H133" s="239">
        <f>VLOOKUP(A133,'FERC 2023'!$A$3:$BE$221,57,0)</f>
        <v>811529534</v>
      </c>
      <c r="I133" s="239">
        <f>VLOOKUP(A133,'FERC 2023'!$A$3:$BF$221,58,0)</f>
        <v>90044259</v>
      </c>
      <c r="J133" s="7"/>
      <c r="K133" s="7"/>
      <c r="L133" s="7"/>
      <c r="M133" s="187">
        <f t="shared" si="0"/>
        <v>9.3722918275134379</v>
      </c>
      <c r="N133" s="187">
        <f t="shared" si="1"/>
        <v>8.9410659179961804</v>
      </c>
      <c r="O133" s="187">
        <f t="shared" si="2"/>
        <v>9.0125627442833416</v>
      </c>
      <c r="P133" s="7"/>
      <c r="Q133" s="240">
        <f t="shared" si="3"/>
        <v>9.1086401632643206</v>
      </c>
      <c r="R133" s="189" t="str">
        <f t="shared" ref="R133:T133" si="382">IF(ISERROR(R$5-365*$Q133),"-",MONTH(R$5-365*$Q133)&amp;"_"&amp;YEAR(R$5-365*$Q133))</f>
        <v>11_2012</v>
      </c>
      <c r="S133" s="189" t="str">
        <f t="shared" si="382"/>
        <v>11_2013</v>
      </c>
      <c r="T133" s="189" t="str">
        <f t="shared" si="382"/>
        <v>11_2014</v>
      </c>
      <c r="U133" s="7"/>
      <c r="V133" s="7"/>
      <c r="W133" s="190">
        <f>IF(R133="-","-",VLOOKUP(R133,'CPI USA'!$T:$U,2,FALSE))</f>
        <v>229.59399999999999</v>
      </c>
      <c r="X133" s="190">
        <f>IF(S133="-","-",VLOOKUP(S133,'CPI USA'!$T:$U,2,FALSE))</f>
        <v>233.06899999999999</v>
      </c>
      <c r="Y133" s="190">
        <f>IF(T133="-","-",VLOOKUP(T133,'CPI USA'!$T:$U,2,FALSE))</f>
        <v>236.15100000000001</v>
      </c>
      <c r="Z133" s="7"/>
      <c r="AA133" s="7"/>
      <c r="AB133" s="190">
        <f>IF(R133="-","-",VLOOKUP(R133,'PPI USA'!$S:$T,2,FALSE))</f>
        <v>175.1</v>
      </c>
      <c r="AC133" s="190">
        <f>IF(S133="-","-",VLOOKUP(S133,'PPI USA'!$S:$T,2,FALSE))</f>
        <v>166</v>
      </c>
      <c r="AD133" s="190">
        <f>IF(T133="-","-",VLOOKUP(T133,'PPI USA'!$S:$T,2,FALSE))</f>
        <v>176</v>
      </c>
      <c r="AE133" s="7"/>
      <c r="AF133" s="7"/>
      <c r="AG133" s="190">
        <f t="shared" ref="AG133:AI133" si="383">IF(W133="-","-",(AT133*$B$2/W133+(1-AT133)*AVERAGE($B$2,$B$3)/AVERAGE(W133,AB133)))</f>
        <v>1.3897894616766442</v>
      </c>
      <c r="AH133" s="190">
        <f t="shared" si="383"/>
        <v>1.3822908196671626</v>
      </c>
      <c r="AI133" s="190">
        <f t="shared" si="383"/>
        <v>1.3557914675979239</v>
      </c>
      <c r="AJ133" s="7"/>
      <c r="AK133" s="7"/>
      <c r="AL133" s="190">
        <f t="shared" ref="AL133:AN133" si="384">IF(W133="-","-",(AY133*$B$2/W133+(1-AY133)*AVERAGE($B$2,$B$3)/AVERAGE(W133,AB133)))</f>
        <v>1.4008620811189902</v>
      </c>
      <c r="AM133" s="190">
        <f t="shared" si="384"/>
        <v>1.400274192630873</v>
      </c>
      <c r="AN133" s="190">
        <f t="shared" si="384"/>
        <v>1.3689402955589707</v>
      </c>
      <c r="AO133" s="7"/>
      <c r="AP133" s="7"/>
      <c r="AQ133" s="7"/>
      <c r="AR133" s="7"/>
      <c r="AS133" s="7"/>
      <c r="AT133" s="242">
        <f>IF(R133="-","-",VLOOKUP(R133,'CPI USA'!$T:$V,3,FALSE))</f>
        <v>0.66730871354337351</v>
      </c>
      <c r="AU133" s="242">
        <f>IF(S133="-","-",VLOOKUP(S133,'CPI USA'!$T:$V,3,FALSE))</f>
        <v>0.67305131835944076</v>
      </c>
      <c r="AV133" s="242">
        <f>IF(T133="-","-",VLOOKUP(T133,'CPI USA'!$T:$V,3,FALSE))</f>
        <v>0.66756601812039096</v>
      </c>
      <c r="AW133" s="7"/>
      <c r="AX133" s="7"/>
      <c r="AY133" s="242">
        <f>IF(R133="-","-",VLOOKUP(R133,'CPI USA'!$T:$X,5,FALSE))</f>
        <v>0.49513551903851311</v>
      </c>
      <c r="AZ133" s="242">
        <f>IF(S133="-","-",VLOOKUP(S133,'CPI USA'!$T:$X,5,FALSE))</f>
        <v>0.50163050295255052</v>
      </c>
      <c r="BA133" s="242">
        <f>IF(T133="-","-",VLOOKUP(T133,'CPI USA'!$T:$X,5,FALSE))</f>
        <v>0.49542529667095003</v>
      </c>
      <c r="BB133" s="7"/>
    </row>
    <row r="134" spans="1:54" ht="15.75" customHeight="1">
      <c r="A134" s="185" t="s">
        <v>592</v>
      </c>
      <c r="B134" s="185" t="s">
        <v>593</v>
      </c>
      <c r="C134" s="239">
        <f>+'Empresas 21-23'!J129</f>
        <v>0</v>
      </c>
      <c r="D134" s="239">
        <f>VLOOKUP(A134,'FERC 2021'!$A$3:$BE$221,57,0)</f>
        <v>633895749</v>
      </c>
      <c r="E134" s="239">
        <f>VLOOKUP(A134,'FERC 2021'!$A$3:$BF$221,58,0)</f>
        <v>86975746</v>
      </c>
      <c r="F134" s="239">
        <f>VLOOKUP(A134,'FERC 2022'!$A$3:$BE$220,57,0)</f>
        <v>688019348</v>
      </c>
      <c r="G134" s="239">
        <f>VLOOKUP(A134,'FERC 2022'!$A$3:$BF$220,58,0)</f>
        <v>92379675</v>
      </c>
      <c r="H134" s="239">
        <f>VLOOKUP(A134,'FERC 2023'!$A$3:$BE$221,57,0)</f>
        <v>722275740</v>
      </c>
      <c r="I134" s="239">
        <f>VLOOKUP(A134,'FERC 2023'!$A$3:$BF$221,58,0)</f>
        <v>96267699</v>
      </c>
      <c r="J134" s="7"/>
      <c r="K134" s="7"/>
      <c r="L134" s="7"/>
      <c r="M134" s="187">
        <f t="shared" si="0"/>
        <v>7.2881898477766436</v>
      </c>
      <c r="N134" s="187">
        <f t="shared" si="1"/>
        <v>7.4477350997392016</v>
      </c>
      <c r="O134" s="187">
        <f t="shared" si="2"/>
        <v>7.5027838776950508</v>
      </c>
      <c r="P134" s="7"/>
      <c r="Q134" s="240">
        <f t="shared" si="3"/>
        <v>7.4129029417369656</v>
      </c>
      <c r="R134" s="189" t="str">
        <f t="shared" ref="R134:T134" si="385">IF(ISERROR(R$5-365*$Q134),"-",MONTH(R$5-365*$Q134)&amp;"_"&amp;YEAR(R$5-365*$Q134))</f>
        <v>8_2014</v>
      </c>
      <c r="S134" s="189" t="str">
        <f t="shared" si="385"/>
        <v>8_2015</v>
      </c>
      <c r="T134" s="189" t="str">
        <f t="shared" si="385"/>
        <v>8_2016</v>
      </c>
      <c r="U134" s="7"/>
      <c r="V134" s="7"/>
      <c r="W134" s="190">
        <f>IF(R134="-","-",VLOOKUP(R134,'CPI USA'!$T:$U,2,FALSE))</f>
        <v>237.852</v>
      </c>
      <c r="X134" s="190">
        <f>IF(S134="-","-",VLOOKUP(S134,'CPI USA'!$T:$U,2,FALSE))</f>
        <v>238.316</v>
      </c>
      <c r="Y134" s="190">
        <f>IF(T134="-","-",VLOOKUP(T134,'CPI USA'!$T:$U,2,FALSE))</f>
        <v>240.84899999999999</v>
      </c>
      <c r="Z134" s="7"/>
      <c r="AA134" s="7"/>
      <c r="AB134" s="190">
        <f>IF(R134="-","-",VLOOKUP(R134,'PPI USA'!$S:$T,2,FALSE))</f>
        <v>190</v>
      </c>
      <c r="AC134" s="190">
        <f>IF(S134="-","-",VLOOKUP(S134,'PPI USA'!$S:$T,2,FALSE))</f>
        <v>197.3</v>
      </c>
      <c r="AD134" s="190">
        <f>IF(T134="-","-",VLOOKUP(T134,'PPI USA'!$S:$T,2,FALSE))</f>
        <v>189.2</v>
      </c>
      <c r="AE134" s="7"/>
      <c r="AF134" s="7"/>
      <c r="AG134" s="190">
        <f t="shared" ref="AG134:AI134" si="386">IF(W134="-","-",(AT134*$B$2/W134+(1-AT134)*AVERAGE($B$2,$B$3)/AVERAGE(W134,AB134)))</f>
        <v>1.3322780725835981</v>
      </c>
      <c r="AH134" s="190">
        <f t="shared" si="386"/>
        <v>1.3225272117779445</v>
      </c>
      <c r="AI134" s="190">
        <f t="shared" si="386"/>
        <v>1.3188401793974869</v>
      </c>
      <c r="AJ134" s="7"/>
      <c r="AK134" s="7"/>
      <c r="AL134" s="190">
        <f t="shared" ref="AL134:AN134" si="387">IF(W134="-","-",(AY134*$B$2/W134+(1-AY134)*AVERAGE($B$2,$B$3)/AVERAGE(W134,AB134)))</f>
        <v>1.3381779277547703</v>
      </c>
      <c r="AM134" s="190">
        <f t="shared" si="387"/>
        <v>1.3247114479798394</v>
      </c>
      <c r="AN134" s="190">
        <f t="shared" si="387"/>
        <v>1.3263563804629017</v>
      </c>
      <c r="AO134" s="7"/>
      <c r="AP134" s="7"/>
      <c r="AQ134" s="7"/>
      <c r="AR134" s="7"/>
      <c r="AS134" s="7"/>
      <c r="AT134" s="242">
        <f>IF(R134="-","-",VLOOKUP(R134,'CPI USA'!$T:$V,3,FALSE))</f>
        <v>0.66756601812039096</v>
      </c>
      <c r="AU134" s="242">
        <f>IF(S134="-","-",VLOOKUP(S134,'CPI USA'!$T:$V,3,FALSE))</f>
        <v>0.6679408278919865</v>
      </c>
      <c r="AV134" s="242">
        <f>IF(T134="-","-",VLOOKUP(T134,'CPI USA'!$T:$V,3,FALSE))</f>
        <v>0.67131212484522451</v>
      </c>
      <c r="AW134" s="7"/>
      <c r="AX134" s="7"/>
      <c r="AY134" s="242">
        <f>IF(R134="-","-",VLOOKUP(R134,'CPI USA'!$T:$X,5,FALSE))</f>
        <v>0.49542529667095003</v>
      </c>
      <c r="AZ134" s="242">
        <f>IF(S134="-","-",VLOOKUP(S134,'CPI USA'!$T:$X,5,FALSE))</f>
        <v>0.49584761624008583</v>
      </c>
      <c r="BA134" s="242">
        <f>IF(T134="-","-",VLOOKUP(T134,'CPI USA'!$T:$X,5,FALSE))</f>
        <v>0.49965731919331663</v>
      </c>
      <c r="BB134" s="7"/>
    </row>
    <row r="135" spans="1:54" ht="15.75" customHeight="1">
      <c r="A135" s="185" t="s">
        <v>595</v>
      </c>
      <c r="B135" s="185" t="s">
        <v>596</v>
      </c>
      <c r="C135" s="243">
        <f>+'Empresas 21-23'!J130</f>
        <v>0</v>
      </c>
      <c r="D135" s="239">
        <f>VLOOKUP(A135,'FERC 2021'!$A$3:$BE$221,57,0)</f>
        <v>6041101704</v>
      </c>
      <c r="E135" s="239">
        <f>VLOOKUP(A135,'FERC 2021'!$A$3:$BF$221,58,0)</f>
        <v>376929755</v>
      </c>
      <c r="F135" s="239">
        <f>VLOOKUP(A135,'FERC 2022'!$A$3:$BE$220,57,0)</f>
        <v>6177414326</v>
      </c>
      <c r="G135" s="239">
        <f>VLOOKUP(A135,'FERC 2022'!$A$3:$BF$220,58,0)</f>
        <v>405887022</v>
      </c>
      <c r="H135" s="239">
        <f>VLOOKUP(A135,'FERC 2023'!$A$3:$BE$221,57,0)</f>
        <v>6408826940</v>
      </c>
      <c r="I135" s="239">
        <f>VLOOKUP(A135,'FERC 2023'!$A$3:$BF$221,58,0)</f>
        <v>468832535</v>
      </c>
      <c r="J135" s="7"/>
      <c r="K135" s="7"/>
      <c r="L135" s="7"/>
      <c r="M135" s="187">
        <f t="shared" si="0"/>
        <v>16.027128725881564</v>
      </c>
      <c r="N135" s="187">
        <f t="shared" si="1"/>
        <v>15.21954137769894</v>
      </c>
      <c r="O135" s="187">
        <f t="shared" si="2"/>
        <v>13.669757240717093</v>
      </c>
      <c r="P135" s="7"/>
      <c r="Q135" s="240">
        <f t="shared" si="3"/>
        <v>14.9721424480992</v>
      </c>
      <c r="R135" s="189" t="str">
        <f t="shared" ref="R135:T135" si="388">IF(ISERROR(R$5-365*$Q135),"-",MONTH(R$5-365*$Q135)&amp;"_"&amp;YEAR(R$5-365*$Q135))</f>
        <v>1_2007</v>
      </c>
      <c r="S135" s="189" t="str">
        <f t="shared" si="388"/>
        <v>1_2008</v>
      </c>
      <c r="T135" s="189" t="str">
        <f t="shared" si="388"/>
        <v>1_2009</v>
      </c>
      <c r="U135" s="7"/>
      <c r="V135" s="7"/>
      <c r="W135" s="190">
        <f>IF(R135="-","-",VLOOKUP(R135,'CPI USA'!$T:$U,2,FALSE))</f>
        <v>207.34200000000001</v>
      </c>
      <c r="X135" s="190">
        <f>IF(S135="-","-",VLOOKUP(S135,'CPI USA'!$T:$U,2,FALSE))</f>
        <v>215.303</v>
      </c>
      <c r="Y135" s="190">
        <f>IF(T135="-","-",VLOOKUP(T135,'CPI USA'!$T:$U,2,FALSE))</f>
        <v>214.53700000000001</v>
      </c>
      <c r="Z135" s="7"/>
      <c r="AA135" s="7"/>
      <c r="AB135" s="190">
        <f>IF(R135="-","-",VLOOKUP(R135,'PPI USA'!$S:$T,2,FALSE))</f>
        <v>151.69999999999999</v>
      </c>
      <c r="AC135" s="190">
        <f>IF(S135="-","-",VLOOKUP(S135,'PPI USA'!$S:$T,2,FALSE))</f>
        <v>159.30000000000001</v>
      </c>
      <c r="AD135" s="190">
        <f>IF(T135="-","-",VLOOKUP(T135,'PPI USA'!$S:$T,2,FALSE))</f>
        <v>159.1</v>
      </c>
      <c r="AE135" s="7"/>
      <c r="AF135" s="7"/>
      <c r="AG135" s="190">
        <f t="shared" ref="AG135:AI135" si="389">IF(W135="-","-",(AT135*$B$2/W135+(1-AT135)*AVERAGE($B$2,$B$3)/AVERAGE(W135,AB135)))</f>
        <v>1.5480022216582647</v>
      </c>
      <c r="AH135" s="190">
        <f t="shared" si="389"/>
        <v>1.4884333659448254</v>
      </c>
      <c r="AI135" s="190">
        <f t="shared" si="389"/>
        <v>1.4932638886873792</v>
      </c>
      <c r="AJ135" s="7"/>
      <c r="AK135" s="7"/>
      <c r="AL135" s="190">
        <f t="shared" ref="AL135:AN135" si="390">IF(W135="-","-",(AY135*$B$2/W135+(1-AY135)*AVERAGE($B$2,$B$3)/AVERAGE(W135,AB135)))</f>
        <v>1.5651038394149617</v>
      </c>
      <c r="AM135" s="190">
        <f t="shared" si="390"/>
        <v>1.5036496327119213</v>
      </c>
      <c r="AN135" s="190">
        <f t="shared" si="390"/>
        <v>1.5082750176818205</v>
      </c>
      <c r="AO135" s="7"/>
      <c r="AP135" s="7"/>
      <c r="AQ135" s="7"/>
      <c r="AR135" s="7"/>
      <c r="AS135" s="7"/>
      <c r="AT135" s="242">
        <f>IF(R135="-","-",VLOOKUP(R135,'CPI USA'!$T:$V,3,FALSE))</f>
        <v>0.67123734379962852</v>
      </c>
      <c r="AU135" s="242">
        <f>IF(S135="-","-",VLOOKUP(S135,'CPI USA'!$T:$V,3,FALSE))</f>
        <v>0.67018812038291731</v>
      </c>
      <c r="AV135" s="242">
        <f>IF(T135="-","-",VLOOKUP(T135,'CPI USA'!$T:$V,3,FALSE))</f>
        <v>0.66997101349938215</v>
      </c>
      <c r="AW135" s="7"/>
      <c r="AX135" s="7"/>
      <c r="AY135" s="242">
        <f>IF(R135="-","-",VLOOKUP(R135,'CPI USA'!$T:$X,5,FALSE))</f>
        <v>0.49957259686190569</v>
      </c>
      <c r="AZ135" s="242">
        <f>IF(S135="-","-",VLOOKUP(S135,'CPI USA'!$T:$X,5,FALSE))</f>
        <v>0.49838492968660258</v>
      </c>
      <c r="BA135" s="242">
        <f>IF(T135="-","-",VLOOKUP(T135,'CPI USA'!$T:$X,5,FALSE))</f>
        <v>0.49813941766071862</v>
      </c>
      <c r="BB135" s="7"/>
    </row>
    <row r="136" spans="1:54" ht="15.75" customHeight="1">
      <c r="A136" s="185" t="s">
        <v>598</v>
      </c>
      <c r="B136" s="185" t="s">
        <v>599</v>
      </c>
      <c r="C136" s="239">
        <f>+'Empresas 21-23'!J131</f>
        <v>0</v>
      </c>
      <c r="D136" s="239">
        <f>VLOOKUP(A136,'FERC 2021'!$A$3:$BE$221,57,0)</f>
        <v>2661261628</v>
      </c>
      <c r="E136" s="239">
        <f>VLOOKUP(A136,'FERC 2021'!$A$3:$BF$221,58,0)</f>
        <v>214960576</v>
      </c>
      <c r="F136" s="239">
        <f>VLOOKUP(A136,'FERC 2022'!$A$3:$BE$220,57,0)</f>
        <v>2704364027</v>
      </c>
      <c r="G136" s="239">
        <f>VLOOKUP(A136,'FERC 2022'!$A$3:$BF$220,58,0)</f>
        <v>227718528</v>
      </c>
      <c r="H136" s="239">
        <f>VLOOKUP(A136,'FERC 2023'!$A$3:$BE$221,57,0)</f>
        <v>2841178849</v>
      </c>
      <c r="I136" s="239">
        <f>VLOOKUP(A136,'FERC 2023'!$A$3:$BF$221,58,0)</f>
        <v>299943502</v>
      </c>
      <c r="J136" s="7"/>
      <c r="K136" s="7"/>
      <c r="L136" s="7"/>
      <c r="M136" s="187">
        <f t="shared" si="0"/>
        <v>12.380231191788395</v>
      </c>
      <c r="N136" s="187">
        <f t="shared" si="1"/>
        <v>11.875906851988786</v>
      </c>
      <c r="O136" s="187">
        <f t="shared" si="2"/>
        <v>9.4723800650963934</v>
      </c>
      <c r="P136" s="7"/>
      <c r="Q136" s="240">
        <f t="shared" si="3"/>
        <v>11.242839369624525</v>
      </c>
      <c r="R136" s="189" t="str">
        <f t="shared" ref="R136:T136" si="391">IF(ISERROR(R$5-365*$Q136),"-",MONTH(R$5-365*$Q136)&amp;"_"&amp;YEAR(R$5-365*$Q136))</f>
        <v>10_2010</v>
      </c>
      <c r="S136" s="189" t="str">
        <f t="shared" si="391"/>
        <v>10_2011</v>
      </c>
      <c r="T136" s="189" t="str">
        <f t="shared" si="391"/>
        <v>10_2012</v>
      </c>
      <c r="U136" s="7"/>
      <c r="V136" s="7"/>
      <c r="W136" s="190">
        <f>IF(R136="-","-",VLOOKUP(R136,'CPI USA'!$T:$U,2,FALSE))</f>
        <v>218.05600000000001</v>
      </c>
      <c r="X136" s="190">
        <f>IF(S136="-","-",VLOOKUP(S136,'CPI USA'!$T:$U,2,FALSE))</f>
        <v>224.93899999999999</v>
      </c>
      <c r="Y136" s="190">
        <f>IF(T136="-","-",VLOOKUP(T136,'CPI USA'!$T:$U,2,FALSE))</f>
        <v>229.59399999999999</v>
      </c>
      <c r="Z136" s="7"/>
      <c r="AA136" s="7"/>
      <c r="AB136" s="190">
        <f>IF(R136="-","-",VLOOKUP(R136,'PPI USA'!$S:$T,2,FALSE))</f>
        <v>160.80000000000001</v>
      </c>
      <c r="AC136" s="190">
        <f>IF(S136="-","-",VLOOKUP(S136,'PPI USA'!$S:$T,2,FALSE))</f>
        <v>169.6</v>
      </c>
      <c r="AD136" s="190">
        <f>IF(T136="-","-",VLOOKUP(T136,'PPI USA'!$S:$T,2,FALSE))</f>
        <v>175.1</v>
      </c>
      <c r="AE136" s="7"/>
      <c r="AF136" s="7"/>
      <c r="AG136" s="190">
        <f t="shared" ref="AG136:AI136" si="392">IF(W136="-","-",(AT136*$B$2/W136+(1-AT136)*AVERAGE($B$2,$B$3)/AVERAGE(W136,AB136)))</f>
        <v>1.4703278680244813</v>
      </c>
      <c r="AH136" s="190">
        <f t="shared" si="392"/>
        <v>1.4208751760332547</v>
      </c>
      <c r="AI136" s="190">
        <f t="shared" si="392"/>
        <v>1.3897894616766442</v>
      </c>
      <c r="AJ136" s="7"/>
      <c r="AK136" s="7"/>
      <c r="AL136" s="190">
        <f t="shared" ref="AL136:AN136" si="393">IF(W136="-","-",(AY136*$B$2/W136+(1-AY136)*AVERAGE($B$2,$B$3)/AVERAGE(W136,AB136)))</f>
        <v>1.4857204383544427</v>
      </c>
      <c r="AM136" s="190">
        <f t="shared" si="393"/>
        <v>1.4334111417560953</v>
      </c>
      <c r="AN136" s="190">
        <f t="shared" si="393"/>
        <v>1.4008620811189902</v>
      </c>
      <c r="AO136" s="7"/>
      <c r="AP136" s="7"/>
      <c r="AQ136" s="7"/>
      <c r="AR136" s="7"/>
      <c r="AS136" s="7"/>
      <c r="AT136" s="242">
        <f>IF(R136="-","-",VLOOKUP(R136,'CPI USA'!$T:$V,3,FALSE))</f>
        <v>0.67050107279443949</v>
      </c>
      <c r="AU136" s="242">
        <f>IF(S136="-","-",VLOOKUP(S136,'CPI USA'!$T:$V,3,FALSE))</f>
        <v>0.6684022975047168</v>
      </c>
      <c r="AV136" s="242">
        <f>IF(T136="-","-",VLOOKUP(T136,'CPI USA'!$T:$V,3,FALSE))</f>
        <v>0.66730871354337351</v>
      </c>
      <c r="AW136" s="7"/>
      <c r="AX136" s="7"/>
      <c r="AY136" s="242">
        <f>IF(R136="-","-",VLOOKUP(R136,'CPI USA'!$T:$X,5,FALSE))</f>
        <v>0.4987389730136107</v>
      </c>
      <c r="AZ136" s="242">
        <f>IF(S136="-","-",VLOOKUP(S136,'CPI USA'!$T:$X,5,FALSE))</f>
        <v>0.49636791791307899</v>
      </c>
      <c r="BA136" s="242">
        <f>IF(T136="-","-",VLOOKUP(T136,'CPI USA'!$T:$X,5,FALSE))</f>
        <v>0.49513551903851311</v>
      </c>
      <c r="BB136" s="7"/>
    </row>
    <row r="137" spans="1:54" ht="15.75" customHeight="1">
      <c r="A137" s="185" t="s">
        <v>601</v>
      </c>
      <c r="B137" s="185" t="s">
        <v>602</v>
      </c>
      <c r="C137" s="239">
        <f>+'Empresas 21-23'!J132</f>
        <v>0</v>
      </c>
      <c r="D137" s="239">
        <f>VLOOKUP(A137,'FERC 2021'!$A$3:$BE$221,57,0)</f>
        <v>3414749512</v>
      </c>
      <c r="E137" s="239">
        <f>VLOOKUP(A137,'FERC 2021'!$A$3:$BF$221,58,0)</f>
        <v>322622015</v>
      </c>
      <c r="F137" s="239">
        <f>VLOOKUP(A137,'FERC 2022'!$A$3:$BE$220,57,0)</f>
        <v>3495034087</v>
      </c>
      <c r="G137" s="239">
        <f>VLOOKUP(A137,'FERC 2022'!$A$3:$BF$220,58,0)</f>
        <v>348073979</v>
      </c>
      <c r="H137" s="239">
        <f>VLOOKUP(A137,'FERC 2023'!$A$3:$BE$221,57,0)</f>
        <v>3610995972</v>
      </c>
      <c r="I137" s="239">
        <f>VLOOKUP(A137,'FERC 2023'!$A$3:$BF$221,58,0)</f>
        <v>416801980</v>
      </c>
      <c r="J137" s="7"/>
      <c r="K137" s="7"/>
      <c r="L137" s="7"/>
      <c r="M137" s="187">
        <f t="shared" si="0"/>
        <v>10.584366079295611</v>
      </c>
      <c r="N137" s="187">
        <f t="shared" si="1"/>
        <v>10.041066835967074</v>
      </c>
      <c r="O137" s="187">
        <f t="shared" si="2"/>
        <v>8.6635768189009088</v>
      </c>
      <c r="P137" s="7"/>
      <c r="Q137" s="240">
        <f t="shared" si="3"/>
        <v>9.7630032447211974</v>
      </c>
      <c r="R137" s="189" t="str">
        <f t="shared" ref="R137:T137" si="394">IF(ISERROR(R$5-365*$Q137),"-",MONTH(R$5-365*$Q137)&amp;"_"&amp;YEAR(R$5-365*$Q137))</f>
        <v>3_2012</v>
      </c>
      <c r="S137" s="189" t="str">
        <f t="shared" si="394"/>
        <v>3_2013</v>
      </c>
      <c r="T137" s="189" t="str">
        <f t="shared" si="394"/>
        <v>3_2014</v>
      </c>
      <c r="U137" s="7"/>
      <c r="V137" s="7"/>
      <c r="W137" s="190">
        <f>IF(R137="-","-",VLOOKUP(R137,'CPI USA'!$T:$U,2,FALSE))</f>
        <v>229.59399999999999</v>
      </c>
      <c r="X137" s="190">
        <f>IF(S137="-","-",VLOOKUP(S137,'CPI USA'!$T:$U,2,FALSE))</f>
        <v>232.773</v>
      </c>
      <c r="Y137" s="190">
        <f>IF(T137="-","-",VLOOKUP(T137,'CPI USA'!$T:$U,2,FALSE))</f>
        <v>236.29300000000001</v>
      </c>
      <c r="Z137" s="7"/>
      <c r="AA137" s="7"/>
      <c r="AB137" s="190">
        <f>IF(R137="-","-",VLOOKUP(R137,'PPI USA'!$S:$T,2,FALSE))</f>
        <v>175.1</v>
      </c>
      <c r="AC137" s="190">
        <f>IF(S137="-","-",VLOOKUP(S137,'PPI USA'!$S:$T,2,FALSE))</f>
        <v>166</v>
      </c>
      <c r="AD137" s="190">
        <f>IF(T137="-","-",VLOOKUP(T137,'PPI USA'!$S:$T,2,FALSE))</f>
        <v>179.3</v>
      </c>
      <c r="AE137" s="7"/>
      <c r="AF137" s="7"/>
      <c r="AG137" s="190">
        <f t="shared" ref="AG137:AI137" si="395">IF(W137="-","-",(AT137*$B$2/W137+(1-AT137)*AVERAGE($B$2,$B$3)/AVERAGE(W137,AB137)))</f>
        <v>1.3897894616766442</v>
      </c>
      <c r="AH137" s="190">
        <f t="shared" si="395"/>
        <v>1.3837971226169852</v>
      </c>
      <c r="AI137" s="190">
        <f t="shared" si="395"/>
        <v>1.3513845009008025</v>
      </c>
      <c r="AJ137" s="7"/>
      <c r="AK137" s="7"/>
      <c r="AL137" s="190">
        <f t="shared" ref="AL137:AN137" si="396">IF(W137="-","-",(AY137*$B$2/W137+(1-AY137)*AVERAGE($B$2,$B$3)/AVERAGE(W137,AB137)))</f>
        <v>1.4008620811189902</v>
      </c>
      <c r="AM137" s="190">
        <f t="shared" si="396"/>
        <v>1.4016715257319334</v>
      </c>
      <c r="AN137" s="190">
        <f t="shared" si="396"/>
        <v>1.362665313909166</v>
      </c>
      <c r="AO137" s="7"/>
      <c r="AP137" s="7"/>
      <c r="AQ137" s="7"/>
      <c r="AR137" s="7"/>
      <c r="AS137" s="7"/>
      <c r="AT137" s="242">
        <f>IF(R137="-","-",VLOOKUP(R137,'CPI USA'!$T:$V,3,FALSE))</f>
        <v>0.66730871354337351</v>
      </c>
      <c r="AU137" s="242">
        <f>IF(S137="-","-",VLOOKUP(S137,'CPI USA'!$T:$V,3,FALSE))</f>
        <v>0.67305131835944076</v>
      </c>
      <c r="AV137" s="242">
        <f>IF(T137="-","-",VLOOKUP(T137,'CPI USA'!$T:$V,3,FALSE))</f>
        <v>0.66756601812039096</v>
      </c>
      <c r="AW137" s="7"/>
      <c r="AX137" s="7"/>
      <c r="AY137" s="242">
        <f>IF(R137="-","-",VLOOKUP(R137,'CPI USA'!$T:$X,5,FALSE))</f>
        <v>0.49513551903851311</v>
      </c>
      <c r="AZ137" s="242">
        <f>IF(S137="-","-",VLOOKUP(S137,'CPI USA'!$T:$X,5,FALSE))</f>
        <v>0.50163050295255052</v>
      </c>
      <c r="BA137" s="242">
        <f>IF(T137="-","-",VLOOKUP(T137,'CPI USA'!$T:$X,5,FALSE))</f>
        <v>0.49542529667095003</v>
      </c>
      <c r="BB137" s="7"/>
    </row>
    <row r="138" spans="1:54" ht="15.75" customHeight="1">
      <c r="A138" s="185" t="s">
        <v>604</v>
      </c>
      <c r="B138" s="185" t="s">
        <v>605</v>
      </c>
      <c r="C138" s="239">
        <f>+'Empresas 21-23'!J133</f>
        <v>0</v>
      </c>
      <c r="D138" s="239">
        <f>VLOOKUP(A138,'FERC 2021'!$A$3:$BE$221,57,0)</f>
        <v>542817872</v>
      </c>
      <c r="E138" s="239">
        <f>VLOOKUP(A138,'FERC 2021'!$A$3:$BF$221,58,0)</f>
        <v>54321911</v>
      </c>
      <c r="F138" s="244" t="e">
        <f>VLOOKUP(A138,'FERC 2022'!$A$3:$BE$220,57,0)</f>
        <v>#N/A</v>
      </c>
      <c r="G138" s="244" t="e">
        <f>VLOOKUP(A138,'FERC 2022'!$A$3:$BF$220,58,0)</f>
        <v>#N/A</v>
      </c>
      <c r="H138" s="244" t="e">
        <f>VLOOKUP(A138,'FERC 2023'!$A$3:$BE$221,57,0)</f>
        <v>#N/A</v>
      </c>
      <c r="I138" s="244" t="e">
        <f>VLOOKUP(A138,'FERC 2023'!$A$3:$BF$221,58,0)</f>
        <v>#N/A</v>
      </c>
      <c r="J138" s="7"/>
      <c r="K138" s="7"/>
      <c r="L138" s="7"/>
      <c r="M138" s="187">
        <f t="shared" si="0"/>
        <v>9.9926136987338321</v>
      </c>
      <c r="N138" s="187" t="str">
        <f t="shared" si="1"/>
        <v/>
      </c>
      <c r="O138" s="187" t="str">
        <f t="shared" si="2"/>
        <v/>
      </c>
      <c r="P138" s="7"/>
      <c r="Q138" s="240">
        <f t="shared" si="3"/>
        <v>9.9926136987338321</v>
      </c>
      <c r="R138" s="189" t="str">
        <f t="shared" ref="R138:T138" si="397">IF(ISERROR(R$5-365*$Q138),"-",MONTH(R$5-365*$Q138)&amp;"_"&amp;YEAR(R$5-365*$Q138))</f>
        <v>1_2012</v>
      </c>
      <c r="S138" s="189" t="str">
        <f t="shared" si="397"/>
        <v>1_2013</v>
      </c>
      <c r="T138" s="189" t="str">
        <f t="shared" si="397"/>
        <v>1_2014</v>
      </c>
      <c r="U138" s="7"/>
      <c r="V138" s="7"/>
      <c r="W138" s="190">
        <f>IF(R138="-","-",VLOOKUP(R138,'CPI USA'!$T:$U,2,FALSE))</f>
        <v>229.59399999999999</v>
      </c>
      <c r="X138" s="190">
        <f>IF(S138="-","-",VLOOKUP(S138,'CPI USA'!$T:$U,2,FALSE))</f>
        <v>230.28</v>
      </c>
      <c r="Y138" s="190">
        <f>IF(T138="-","-",VLOOKUP(T138,'CPI USA'!$T:$U,2,FALSE))</f>
        <v>233.916</v>
      </c>
      <c r="Z138" s="7"/>
      <c r="AA138" s="7"/>
      <c r="AB138" s="190">
        <f>IF(R138="-","-",VLOOKUP(R138,'PPI USA'!$S:$T,2,FALSE))</f>
        <v>175.1</v>
      </c>
      <c r="AC138" s="190">
        <f>IF(S138="-","-",VLOOKUP(S138,'PPI USA'!$S:$T,2,FALSE))</f>
        <v>166.2</v>
      </c>
      <c r="AD138" s="190">
        <f>IF(T138="-","-",VLOOKUP(T138,'PPI USA'!$S:$T,2,FALSE))</f>
        <v>179.5</v>
      </c>
      <c r="AE138" s="7"/>
      <c r="AF138" s="7"/>
      <c r="AG138" s="190">
        <f t="shared" ref="AG138:AI138" si="398">IF(W138="-","-",(AT138*$B$2/W138+(1-AT138)*AVERAGE($B$2,$B$3)/AVERAGE(W138,AB138)))</f>
        <v>1.3897894616766442</v>
      </c>
      <c r="AH138" s="190">
        <f t="shared" si="398"/>
        <v>1.3963809315743387</v>
      </c>
      <c r="AI138" s="190">
        <f t="shared" si="398"/>
        <v>1.3628462972447253</v>
      </c>
      <c r="AJ138" s="7"/>
      <c r="AK138" s="7"/>
      <c r="AL138" s="190">
        <f t="shared" ref="AL138:AN138" si="399">IF(W138="-","-",(AY138*$B$2/W138+(1-AY138)*AVERAGE($B$2,$B$3)/AVERAGE(W138,AB138)))</f>
        <v>1.4008620811189902</v>
      </c>
      <c r="AM138" s="190">
        <f t="shared" si="399"/>
        <v>1.4131920249632246</v>
      </c>
      <c r="AN138" s="190">
        <f t="shared" si="399"/>
        <v>1.3730659524137003</v>
      </c>
      <c r="AO138" s="7"/>
      <c r="AP138" s="7"/>
      <c r="AQ138" s="7"/>
      <c r="AR138" s="7"/>
      <c r="AS138" s="7"/>
      <c r="AT138" s="242">
        <f>IF(R138="-","-",VLOOKUP(R138,'CPI USA'!$T:$V,3,FALSE))</f>
        <v>0.66730871354337351</v>
      </c>
      <c r="AU138" s="242">
        <f>IF(S138="-","-",VLOOKUP(S138,'CPI USA'!$T:$V,3,FALSE))</f>
        <v>0.67305131835944076</v>
      </c>
      <c r="AV138" s="242">
        <f>IF(T138="-","-",VLOOKUP(T138,'CPI USA'!$T:$V,3,FALSE))</f>
        <v>0.66756601812039096</v>
      </c>
      <c r="AW138" s="7"/>
      <c r="AX138" s="7"/>
      <c r="AY138" s="242">
        <f>IF(R138="-","-",VLOOKUP(R138,'CPI USA'!$T:$X,5,FALSE))</f>
        <v>0.49513551903851311</v>
      </c>
      <c r="AZ138" s="242">
        <f>IF(S138="-","-",VLOOKUP(S138,'CPI USA'!$T:$X,5,FALSE))</f>
        <v>0.50163050295255052</v>
      </c>
      <c r="BA138" s="242">
        <f>IF(T138="-","-",VLOOKUP(T138,'CPI USA'!$T:$X,5,FALSE))</f>
        <v>0.49542529667095003</v>
      </c>
      <c r="BB138" s="7"/>
    </row>
    <row r="139" spans="1:54" ht="15.75" customHeight="1">
      <c r="A139" s="185" t="s">
        <v>607</v>
      </c>
      <c r="B139" s="185" t="s">
        <v>608</v>
      </c>
      <c r="C139" s="239">
        <f>+'Empresas 21-23'!J134</f>
        <v>0</v>
      </c>
      <c r="D139" s="239">
        <f>VLOOKUP(A139,'FERC 2021'!$A$3:$BE$221,57,0)</f>
        <v>449337631</v>
      </c>
      <c r="E139" s="239">
        <f>VLOOKUP(A139,'FERC 2021'!$A$3:$BF$221,58,0)</f>
        <v>41590358</v>
      </c>
      <c r="F139" s="239">
        <f>VLOOKUP(A139,'FERC 2022'!$A$3:$BE$220,57,0)</f>
        <v>467622308</v>
      </c>
      <c r="G139" s="239">
        <f>VLOOKUP(A139,'FERC 2022'!$A$3:$BF$220,58,0)</f>
        <v>44147594</v>
      </c>
      <c r="H139" s="239">
        <f>VLOOKUP(A139,'FERC 2023'!$A$3:$BE$221,57,0)</f>
        <v>493571423</v>
      </c>
      <c r="I139" s="239">
        <f>VLOOKUP(A139,'FERC 2023'!$A$3:$BF$221,58,0)</f>
        <v>47583835</v>
      </c>
      <c r="J139" s="7"/>
      <c r="K139" s="7"/>
      <c r="L139" s="7"/>
      <c r="M139" s="187">
        <f t="shared" si="0"/>
        <v>10.80388947361309</v>
      </c>
      <c r="N139" s="187">
        <f t="shared" si="1"/>
        <v>10.592248990964265</v>
      </c>
      <c r="O139" s="187">
        <f t="shared" si="2"/>
        <v>10.372670109502524</v>
      </c>
      <c r="P139" s="7"/>
      <c r="Q139" s="240">
        <f t="shared" si="3"/>
        <v>10.589602858026625</v>
      </c>
      <c r="R139" s="189" t="str">
        <f t="shared" ref="R139:T139" si="400">IF(ISERROR(R$5-365*$Q139),"-",MONTH(R$5-365*$Q139)&amp;"_"&amp;YEAR(R$5-365*$Q139))</f>
        <v>6_2011</v>
      </c>
      <c r="S139" s="189" t="str">
        <f t="shared" si="400"/>
        <v>5_2012</v>
      </c>
      <c r="T139" s="189" t="str">
        <f t="shared" si="400"/>
        <v>5_2013</v>
      </c>
      <c r="U139" s="7"/>
      <c r="V139" s="7"/>
      <c r="W139" s="190">
        <f>IF(R139="-","-",VLOOKUP(R139,'CPI USA'!$T:$U,2,FALSE))</f>
        <v>224.93899999999999</v>
      </c>
      <c r="X139" s="190">
        <f>IF(S139="-","-",VLOOKUP(S139,'CPI USA'!$T:$U,2,FALSE))</f>
        <v>229.59399999999999</v>
      </c>
      <c r="Y139" s="190">
        <f>IF(T139="-","-",VLOOKUP(T139,'CPI USA'!$T:$U,2,FALSE))</f>
        <v>232.94499999999999</v>
      </c>
      <c r="Z139" s="7"/>
      <c r="AA139" s="7"/>
      <c r="AB139" s="190">
        <f>IF(R139="-","-",VLOOKUP(R139,'PPI USA'!$S:$T,2,FALSE))</f>
        <v>169.6</v>
      </c>
      <c r="AC139" s="190">
        <f>IF(S139="-","-",VLOOKUP(S139,'PPI USA'!$S:$T,2,FALSE))</f>
        <v>175.1</v>
      </c>
      <c r="AD139" s="190">
        <f>IF(T139="-","-",VLOOKUP(T139,'PPI USA'!$S:$T,2,FALSE))</f>
        <v>169.7</v>
      </c>
      <c r="AE139" s="7"/>
      <c r="AF139" s="7"/>
      <c r="AG139" s="190">
        <f t="shared" ref="AG139:AI139" si="401">IF(W139="-","-",(AT139*$B$2/W139+(1-AT139)*AVERAGE($B$2,$B$3)/AVERAGE(W139,AB139)))</f>
        <v>1.4208751760332547</v>
      </c>
      <c r="AH139" s="190">
        <f t="shared" si="401"/>
        <v>1.3897894616766442</v>
      </c>
      <c r="AI139" s="190">
        <f t="shared" si="401"/>
        <v>1.3785549584693351</v>
      </c>
      <c r="AJ139" s="7"/>
      <c r="AK139" s="7"/>
      <c r="AL139" s="190">
        <f t="shared" ref="AL139:AN139" si="402">IF(W139="-","-",(AY139*$B$2/W139+(1-AY139)*AVERAGE($B$2,$B$3)/AVERAGE(W139,AB139)))</f>
        <v>1.4334111417560953</v>
      </c>
      <c r="AM139" s="190">
        <f t="shared" si="402"/>
        <v>1.4008620811189902</v>
      </c>
      <c r="AN139" s="190">
        <f t="shared" si="402"/>
        <v>1.3942033830519249</v>
      </c>
      <c r="AO139" s="7"/>
      <c r="AP139" s="7"/>
      <c r="AQ139" s="7"/>
      <c r="AR139" s="7"/>
      <c r="AS139" s="7"/>
      <c r="AT139" s="242">
        <f>IF(R139="-","-",VLOOKUP(R139,'CPI USA'!$T:$V,3,FALSE))</f>
        <v>0.6684022975047168</v>
      </c>
      <c r="AU139" s="242">
        <f>IF(S139="-","-",VLOOKUP(S139,'CPI USA'!$T:$V,3,FALSE))</f>
        <v>0.66730871354337351</v>
      </c>
      <c r="AV139" s="242">
        <f>IF(T139="-","-",VLOOKUP(T139,'CPI USA'!$T:$V,3,FALSE))</f>
        <v>0.67305131835944076</v>
      </c>
      <c r="AW139" s="7"/>
      <c r="AX139" s="7"/>
      <c r="AY139" s="242">
        <f>IF(R139="-","-",VLOOKUP(R139,'CPI USA'!$T:$X,5,FALSE))</f>
        <v>0.49636791791307899</v>
      </c>
      <c r="AZ139" s="242">
        <f>IF(S139="-","-",VLOOKUP(S139,'CPI USA'!$T:$X,5,FALSE))</f>
        <v>0.49513551903851311</v>
      </c>
      <c r="BA139" s="242">
        <f>IF(T139="-","-",VLOOKUP(T139,'CPI USA'!$T:$X,5,FALSE))</f>
        <v>0.50163050295255052</v>
      </c>
      <c r="BB139" s="7"/>
    </row>
    <row r="140" spans="1:54" ht="15.75" customHeight="1">
      <c r="A140" s="185" t="s">
        <v>610</v>
      </c>
      <c r="B140" s="185" t="s">
        <v>611</v>
      </c>
      <c r="C140" s="243">
        <f>+'Empresas 21-23'!J135</f>
        <v>0</v>
      </c>
      <c r="D140" s="239">
        <f>VLOOKUP(A140,'FERC 2021'!$A$3:$BE$221,57,0)</f>
        <v>0</v>
      </c>
      <c r="E140" s="239">
        <f>VLOOKUP(A140,'FERC 2021'!$A$3:$BF$221,58,0)</f>
        <v>0</v>
      </c>
      <c r="F140" s="239">
        <f>VLOOKUP(A140,'FERC 2022'!$A$3:$BE$220,57,0)</f>
        <v>0</v>
      </c>
      <c r="G140" s="239">
        <f>VLOOKUP(A140,'FERC 2022'!$A$3:$BF$220,58,0)</f>
        <v>0</v>
      </c>
      <c r="H140" s="239">
        <f>VLOOKUP(A140,'FERC 2023'!$A$3:$BE$221,57,0)</f>
        <v>0</v>
      </c>
      <c r="I140" s="239">
        <f>VLOOKUP(A140,'FERC 2023'!$A$3:$BF$221,58,0)</f>
        <v>0</v>
      </c>
      <c r="J140" s="7"/>
      <c r="K140" s="7"/>
      <c r="L140" s="7"/>
      <c r="M140" s="187" t="str">
        <f t="shared" si="0"/>
        <v/>
      </c>
      <c r="N140" s="187" t="str">
        <f t="shared" si="1"/>
        <v/>
      </c>
      <c r="O140" s="187" t="str">
        <f t="shared" si="2"/>
        <v/>
      </c>
      <c r="P140" s="7"/>
      <c r="Q140" s="240" t="str">
        <f t="shared" si="3"/>
        <v>-</v>
      </c>
      <c r="R140" s="189" t="str">
        <f t="shared" ref="R140:T140" si="403">IF(ISERROR(R$5-365*$Q140),"-",MONTH(R$5-365*$Q140)&amp;"_"&amp;YEAR(R$5-365*$Q140))</f>
        <v>-</v>
      </c>
      <c r="S140" s="189" t="str">
        <f t="shared" si="403"/>
        <v>-</v>
      </c>
      <c r="T140" s="189" t="str">
        <f t="shared" si="403"/>
        <v>-</v>
      </c>
      <c r="U140" s="7"/>
      <c r="V140" s="7"/>
      <c r="W140" s="190" t="str">
        <f>IF(R140="-","-",VLOOKUP(R140,'CPI USA'!$T:$U,2,FALSE))</f>
        <v>-</v>
      </c>
      <c r="X140" s="190" t="str">
        <f>IF(S140="-","-",VLOOKUP(S140,'CPI USA'!$T:$U,2,FALSE))</f>
        <v>-</v>
      </c>
      <c r="Y140" s="190" t="str">
        <f>IF(T140="-","-",VLOOKUP(T140,'CPI USA'!$T:$U,2,FALSE))</f>
        <v>-</v>
      </c>
      <c r="Z140" s="7"/>
      <c r="AA140" s="7"/>
      <c r="AB140" s="190" t="str">
        <f>IF(R140="-","-",VLOOKUP(R140,'PPI USA'!$S:$T,2,FALSE))</f>
        <v>-</v>
      </c>
      <c r="AC140" s="190" t="str">
        <f>IF(S140="-","-",VLOOKUP(S140,'PPI USA'!$S:$T,2,FALSE))</f>
        <v>-</v>
      </c>
      <c r="AD140" s="190" t="str">
        <f>IF(T140="-","-",VLOOKUP(T140,'PPI USA'!$S:$T,2,FALSE))</f>
        <v>-</v>
      </c>
      <c r="AE140" s="7"/>
      <c r="AF140" s="7"/>
      <c r="AG140" s="190" t="str">
        <f t="shared" ref="AG140:AI140" si="404">IF(W140="-","-",(AT140*$B$2/W140+(1-AT140)*AVERAGE($B$2,$B$3)/AVERAGE(W140,AB140)))</f>
        <v>-</v>
      </c>
      <c r="AH140" s="190" t="str">
        <f t="shared" si="404"/>
        <v>-</v>
      </c>
      <c r="AI140" s="190" t="str">
        <f t="shared" si="404"/>
        <v>-</v>
      </c>
      <c r="AJ140" s="7"/>
      <c r="AK140" s="7"/>
      <c r="AL140" s="190" t="str">
        <f t="shared" ref="AL140:AN140" si="405">IF(W140="-","-",(AY140*$B$2/W140+(1-AY140)*AVERAGE($B$2,$B$3)/AVERAGE(W140,AB140)))</f>
        <v>-</v>
      </c>
      <c r="AM140" s="190" t="str">
        <f t="shared" si="405"/>
        <v>-</v>
      </c>
      <c r="AN140" s="190" t="str">
        <f t="shared" si="405"/>
        <v>-</v>
      </c>
      <c r="AO140" s="7"/>
      <c r="AP140" s="7"/>
      <c r="AQ140" s="7"/>
      <c r="AR140" s="7"/>
      <c r="AS140" s="7"/>
      <c r="AT140" s="242" t="str">
        <f>IF(R140="-","-",VLOOKUP(R140,'CPI USA'!$T:$V,3,FALSE))</f>
        <v>-</v>
      </c>
      <c r="AU140" s="242" t="str">
        <f>IF(S140="-","-",VLOOKUP(S140,'CPI USA'!$T:$V,3,FALSE))</f>
        <v>-</v>
      </c>
      <c r="AV140" s="242" t="str">
        <f>IF(T140="-","-",VLOOKUP(T140,'CPI USA'!$T:$V,3,FALSE))</f>
        <v>-</v>
      </c>
      <c r="AW140" s="7"/>
      <c r="AX140" s="7"/>
      <c r="AY140" s="242" t="str">
        <f>IF(R140="-","-",VLOOKUP(R140,'CPI USA'!$T:$X,5,FALSE))</f>
        <v>-</v>
      </c>
      <c r="AZ140" s="242" t="str">
        <f>IF(S140="-","-",VLOOKUP(S140,'CPI USA'!$T:$X,5,FALSE))</f>
        <v>-</v>
      </c>
      <c r="BA140" s="242" t="str">
        <f>IF(T140="-","-",VLOOKUP(T140,'CPI USA'!$T:$X,5,FALSE))</f>
        <v>-</v>
      </c>
      <c r="BB140" s="7"/>
    </row>
    <row r="141" spans="1:54" ht="15.75" customHeight="1">
      <c r="A141" s="185" t="s">
        <v>613</v>
      </c>
      <c r="B141" s="185" t="s">
        <v>614</v>
      </c>
      <c r="C141" s="239">
        <f>+'Empresas 21-23'!J136</f>
        <v>0</v>
      </c>
      <c r="D141" s="239">
        <f>VLOOKUP(A141,'FERC 2021'!$A$3:$BE$221,57,0)</f>
        <v>491346698</v>
      </c>
      <c r="E141" s="239">
        <f>VLOOKUP(A141,'FERC 2021'!$A$3:$BF$221,58,0)</f>
        <v>53812637</v>
      </c>
      <c r="F141" s="239">
        <f>VLOOKUP(A141,'FERC 2022'!$A$3:$BE$220,57,0)</f>
        <v>525979121</v>
      </c>
      <c r="G141" s="239">
        <f>VLOOKUP(A141,'FERC 2022'!$A$3:$BF$220,58,0)</f>
        <v>55145617</v>
      </c>
      <c r="H141" s="239">
        <f>VLOOKUP(A141,'FERC 2023'!$A$3:$BE$221,57,0)</f>
        <v>564762381</v>
      </c>
      <c r="I141" s="239">
        <f>VLOOKUP(A141,'FERC 2023'!$A$3:$BF$221,58,0)</f>
        <v>56869252</v>
      </c>
      <c r="J141" s="7"/>
      <c r="K141" s="7"/>
      <c r="L141" s="7"/>
      <c r="M141" s="187">
        <f t="shared" si="0"/>
        <v>9.1306935580949133</v>
      </c>
      <c r="N141" s="187">
        <f t="shared" si="1"/>
        <v>9.538004099219707</v>
      </c>
      <c r="O141" s="187">
        <f t="shared" si="2"/>
        <v>9.9308916705990793</v>
      </c>
      <c r="P141" s="7"/>
      <c r="Q141" s="240">
        <f t="shared" si="3"/>
        <v>9.5331964426378999</v>
      </c>
      <c r="R141" s="189" t="str">
        <f t="shared" ref="R141:T141" si="406">IF(ISERROR(R$5-365*$Q141),"-",MONTH(R$5-365*$Q141)&amp;"_"&amp;YEAR(R$5-365*$Q141))</f>
        <v>6_2012</v>
      </c>
      <c r="S141" s="189" t="str">
        <f t="shared" si="406"/>
        <v>6_2013</v>
      </c>
      <c r="T141" s="189" t="str">
        <f t="shared" si="406"/>
        <v>6_2014</v>
      </c>
      <c r="U141" s="7"/>
      <c r="V141" s="7"/>
      <c r="W141" s="190">
        <f>IF(R141="-","-",VLOOKUP(R141,'CPI USA'!$T:$U,2,FALSE))</f>
        <v>229.59399999999999</v>
      </c>
      <c r="X141" s="190">
        <f>IF(S141="-","-",VLOOKUP(S141,'CPI USA'!$T:$U,2,FALSE))</f>
        <v>233.50399999999999</v>
      </c>
      <c r="Y141" s="190">
        <f>IF(T141="-","-",VLOOKUP(T141,'CPI USA'!$T:$U,2,FALSE))</f>
        <v>238.34299999999999</v>
      </c>
      <c r="Z141" s="7"/>
      <c r="AA141" s="7"/>
      <c r="AB141" s="190">
        <f>IF(R141="-","-",VLOOKUP(R141,'PPI USA'!$S:$T,2,FALSE))</f>
        <v>175.1</v>
      </c>
      <c r="AC141" s="190">
        <f>IF(S141="-","-",VLOOKUP(S141,'PPI USA'!$S:$T,2,FALSE))</f>
        <v>176.6</v>
      </c>
      <c r="AD141" s="190">
        <f>IF(T141="-","-",VLOOKUP(T141,'PPI USA'!$S:$T,2,FALSE))</f>
        <v>186.8</v>
      </c>
      <c r="AE141" s="7"/>
      <c r="AF141" s="7"/>
      <c r="AG141" s="190">
        <f t="shared" ref="AG141:AI141" si="407">IF(W141="-","-",(AT141*$B$2/W141+(1-AT141)*AVERAGE($B$2,$B$3)/AVERAGE(W141,AB141)))</f>
        <v>1.3897894616766442</v>
      </c>
      <c r="AH141" s="190">
        <f t="shared" si="407"/>
        <v>1.3678188100959208</v>
      </c>
      <c r="AI141" s="190">
        <f t="shared" si="407"/>
        <v>1.3333321386506967</v>
      </c>
      <c r="AJ141" s="7"/>
      <c r="AK141" s="7"/>
      <c r="AL141" s="190">
        <f t="shared" ref="AL141:AN141" si="408">IF(W141="-","-",(AY141*$B$2/W141+(1-AY141)*AVERAGE($B$2,$B$3)/AVERAGE(W141,AB141)))</f>
        <v>1.4008620811189902</v>
      </c>
      <c r="AM141" s="190">
        <f t="shared" si="408"/>
        <v>1.3795310735227622</v>
      </c>
      <c r="AN141" s="190">
        <f t="shared" si="408"/>
        <v>1.3411868456226204</v>
      </c>
      <c r="AO141" s="7"/>
      <c r="AP141" s="7"/>
      <c r="AQ141" s="7"/>
      <c r="AR141" s="7"/>
      <c r="AS141" s="7"/>
      <c r="AT141" s="242">
        <f>IF(R141="-","-",VLOOKUP(R141,'CPI USA'!$T:$V,3,FALSE))</f>
        <v>0.66730871354337351</v>
      </c>
      <c r="AU141" s="242">
        <f>IF(S141="-","-",VLOOKUP(S141,'CPI USA'!$T:$V,3,FALSE))</f>
        <v>0.67305131835944076</v>
      </c>
      <c r="AV141" s="242">
        <f>IF(T141="-","-",VLOOKUP(T141,'CPI USA'!$T:$V,3,FALSE))</f>
        <v>0.66756601812039096</v>
      </c>
      <c r="AW141" s="7"/>
      <c r="AX141" s="7"/>
      <c r="AY141" s="242">
        <f>IF(R141="-","-",VLOOKUP(R141,'CPI USA'!$T:$X,5,FALSE))</f>
        <v>0.49513551903851311</v>
      </c>
      <c r="AZ141" s="242">
        <f>IF(S141="-","-",VLOOKUP(S141,'CPI USA'!$T:$X,5,FALSE))</f>
        <v>0.50163050295255052</v>
      </c>
      <c r="BA141" s="242">
        <f>IF(T141="-","-",VLOOKUP(T141,'CPI USA'!$T:$X,5,FALSE))</f>
        <v>0.49542529667095003</v>
      </c>
      <c r="BB141" s="7"/>
    </row>
    <row r="142" spans="1:54" ht="15.75" customHeight="1">
      <c r="A142" s="185" t="s">
        <v>616</v>
      </c>
      <c r="B142" s="185" t="s">
        <v>617</v>
      </c>
      <c r="C142" s="239">
        <f>+'Empresas 21-23'!J137</f>
        <v>0</v>
      </c>
      <c r="D142" s="239">
        <f>VLOOKUP(A142,'FERC 2021'!$A$3:$BE$221,57,0)</f>
        <v>591561575</v>
      </c>
      <c r="E142" s="239">
        <f>VLOOKUP(A142,'FERC 2021'!$A$3:$BF$221,58,0)</f>
        <v>32907186</v>
      </c>
      <c r="F142" s="239">
        <f>VLOOKUP(A142,'FERC 2022'!$A$3:$BE$220,57,0)</f>
        <v>610652060</v>
      </c>
      <c r="G142" s="239">
        <f>VLOOKUP(A142,'FERC 2022'!$A$3:$BF$220,58,0)</f>
        <v>35632714</v>
      </c>
      <c r="H142" s="239">
        <f>VLOOKUP(A142,'FERC 2023'!$A$3:$BE$221,57,0)</f>
        <v>627830617</v>
      </c>
      <c r="I142" s="239">
        <f>VLOOKUP(A142,'FERC 2023'!$A$3:$BF$221,58,0)</f>
        <v>48081817</v>
      </c>
      <c r="J142" s="7"/>
      <c r="K142" s="7"/>
      <c r="L142" s="7"/>
      <c r="M142" s="187">
        <f t="shared" si="0"/>
        <v>17.976668530697218</v>
      </c>
      <c r="N142" s="187">
        <f t="shared" si="1"/>
        <v>17.137399637872097</v>
      </c>
      <c r="O142" s="187">
        <f t="shared" si="2"/>
        <v>13.057547658816638</v>
      </c>
      <c r="P142" s="7"/>
      <c r="Q142" s="240">
        <f t="shared" si="3"/>
        <v>16.057205275795319</v>
      </c>
      <c r="R142" s="189" t="str">
        <f t="shared" ref="R142:T142" si="409">IF(ISERROR(R$5-365*$Q142),"-",MONTH(R$5-365*$Q142)&amp;"_"&amp;YEAR(R$5-365*$Q142))</f>
        <v>12_2005</v>
      </c>
      <c r="S142" s="189" t="str">
        <f t="shared" si="409"/>
        <v>12_2006</v>
      </c>
      <c r="T142" s="189" t="str">
        <f t="shared" si="409"/>
        <v>12_2007</v>
      </c>
      <c r="U142" s="7"/>
      <c r="V142" s="7"/>
      <c r="W142" s="190">
        <f>IF(R142="-","-",VLOOKUP(R142,'CPI USA'!$T:$U,2,FALSE))</f>
        <v>195.3</v>
      </c>
      <c r="X142" s="190">
        <f>IF(S142="-","-",VLOOKUP(S142,'CPI USA'!$T:$U,2,FALSE))</f>
        <v>201.6</v>
      </c>
      <c r="Y142" s="190">
        <f>IF(T142="-","-",VLOOKUP(T142,'CPI USA'!$T:$U,2,FALSE))</f>
        <v>207.34200000000001</v>
      </c>
      <c r="Z142" s="7"/>
      <c r="AA142" s="7"/>
      <c r="AB142" s="190">
        <f>IF(R142="-","-",VLOOKUP(R142,'PPI USA'!$S:$T,2,FALSE))</f>
        <v>131.30000000000001</v>
      </c>
      <c r="AC142" s="190">
        <f>IF(S142="-","-",VLOOKUP(S142,'PPI USA'!$S:$T,2,FALSE))</f>
        <v>145.30000000000001</v>
      </c>
      <c r="AD142" s="190">
        <f>IF(T142="-","-",VLOOKUP(T142,'PPI USA'!$S:$T,2,FALSE))</f>
        <v>151.69999999999999</v>
      </c>
      <c r="AE142" s="7"/>
      <c r="AF142" s="7"/>
      <c r="AG142" s="190">
        <f t="shared" ref="AG142:AI142" si="410">IF(W142="-","-",(AT142*$B$2/W142+(1-AT142)*AVERAGE($B$2,$B$3)/AVERAGE(W142,AB142)))</f>
        <v>1.6621774217199745</v>
      </c>
      <c r="AH142" s="190">
        <f t="shared" si="410"/>
        <v>1.595396421204319</v>
      </c>
      <c r="AI142" s="190">
        <f t="shared" si="410"/>
        <v>1.5480022216582647</v>
      </c>
      <c r="AJ142" s="7"/>
      <c r="AK142" s="7"/>
      <c r="AL142" s="190">
        <f t="shared" ref="AL142:AN142" si="411">IF(W142="-","-",(AY142*$B$2/W142+(1-AY142)*AVERAGE($B$2,$B$3)/AVERAGE(W142,AB142)))</f>
        <v>1.6905992787819408</v>
      </c>
      <c r="AM142" s="190">
        <f t="shared" si="411"/>
        <v>1.6147712829199015</v>
      </c>
      <c r="AN142" s="190">
        <f t="shared" si="411"/>
        <v>1.5651038394149617</v>
      </c>
      <c r="AO142" s="7"/>
      <c r="AP142" s="7"/>
      <c r="AQ142" s="7"/>
      <c r="AR142" s="7"/>
      <c r="AS142" s="7"/>
      <c r="AT142" s="242">
        <f>IF(R142="-","-",VLOOKUP(R142,'CPI USA'!$T:$V,3,FALSE))</f>
        <v>0.67888602568792966</v>
      </c>
      <c r="AU142" s="242">
        <f>IF(S142="-","-",VLOOKUP(S142,'CPI USA'!$T:$V,3,FALSE))</f>
        <v>0.67263024008352756</v>
      </c>
      <c r="AV142" s="242">
        <f>IF(T142="-","-",VLOOKUP(T142,'CPI USA'!$T:$V,3,FALSE))</f>
        <v>0.67123734379962852</v>
      </c>
      <c r="AW142" s="7"/>
      <c r="AX142" s="7"/>
      <c r="AY142" s="242">
        <f>IF(R142="-","-",VLOOKUP(R142,'CPI USA'!$T:$X,5,FALSE))</f>
        <v>0.50828944385363772</v>
      </c>
      <c r="AZ142" s="242">
        <f>IF(S142="-","-",VLOOKUP(S142,'CPI USA'!$T:$X,5,FALSE))</f>
        <v>0.50115228263529643</v>
      </c>
      <c r="BA142" s="242">
        <f>IF(T142="-","-",VLOOKUP(T142,'CPI USA'!$T:$X,5,FALSE))</f>
        <v>0.49957259686190569</v>
      </c>
      <c r="BB142" s="7"/>
    </row>
    <row r="143" spans="1:54" ht="15.75" customHeight="1">
      <c r="A143" s="185" t="s">
        <v>619</v>
      </c>
      <c r="B143" s="185" t="s">
        <v>620</v>
      </c>
      <c r="C143" s="239">
        <f>+'Empresas 21-23'!J138</f>
        <v>0</v>
      </c>
      <c r="D143" s="239">
        <f>VLOOKUP(A143,'FERC 2021'!$A$3:$BE$221,57,0)</f>
        <v>1381253439</v>
      </c>
      <c r="E143" s="239">
        <f>VLOOKUP(A143,'FERC 2021'!$A$3:$BF$221,58,0)</f>
        <v>91070037</v>
      </c>
      <c r="F143" s="239">
        <f>VLOOKUP(A143,'FERC 2022'!$A$3:$BE$220,57,0)</f>
        <v>1443576910</v>
      </c>
      <c r="G143" s="239">
        <f>VLOOKUP(A143,'FERC 2022'!$A$3:$BF$220,58,0)</f>
        <v>95312755</v>
      </c>
      <c r="H143" s="239">
        <f>VLOOKUP(A143,'FERC 2023'!$A$3:$BE$221,57,0)</f>
        <v>1518036271</v>
      </c>
      <c r="I143" s="239">
        <f>VLOOKUP(A143,'FERC 2023'!$A$3:$BF$221,58,0)</f>
        <v>101277191</v>
      </c>
      <c r="J143" s="7"/>
      <c r="K143" s="7"/>
      <c r="L143" s="7"/>
      <c r="M143" s="187">
        <f t="shared" si="0"/>
        <v>15.166936179020109</v>
      </c>
      <c r="N143" s="187">
        <f t="shared" si="1"/>
        <v>15.145684436463934</v>
      </c>
      <c r="O143" s="187">
        <f t="shared" si="2"/>
        <v>14.98892550248555</v>
      </c>
      <c r="P143" s="7"/>
      <c r="Q143" s="240">
        <f t="shared" si="3"/>
        <v>15.100515372656531</v>
      </c>
      <c r="R143" s="189" t="str">
        <f t="shared" ref="R143:T143" si="412">IF(ISERROR(R$5-365*$Q143),"-",MONTH(R$5-365*$Q143)&amp;"_"&amp;YEAR(R$5-365*$Q143))</f>
        <v>11_2006</v>
      </c>
      <c r="S143" s="189" t="str">
        <f t="shared" si="412"/>
        <v>11_2007</v>
      </c>
      <c r="T143" s="189" t="str">
        <f t="shared" si="412"/>
        <v>11_2008</v>
      </c>
      <c r="U143" s="7"/>
      <c r="V143" s="7"/>
      <c r="W143" s="190">
        <f>IF(R143="-","-",VLOOKUP(R143,'CPI USA'!$T:$U,2,FALSE))</f>
        <v>201.6</v>
      </c>
      <c r="X143" s="190">
        <f>IF(S143="-","-",VLOOKUP(S143,'CPI USA'!$T:$U,2,FALSE))</f>
        <v>207.34200000000001</v>
      </c>
      <c r="Y143" s="190">
        <f>IF(T143="-","-",VLOOKUP(T143,'CPI USA'!$T:$U,2,FALSE))</f>
        <v>215.303</v>
      </c>
      <c r="Z143" s="7"/>
      <c r="AA143" s="7"/>
      <c r="AB143" s="190">
        <f>IF(R143="-","-",VLOOKUP(R143,'PPI USA'!$S:$T,2,FALSE))</f>
        <v>145.30000000000001</v>
      </c>
      <c r="AC143" s="190">
        <f>IF(S143="-","-",VLOOKUP(S143,'PPI USA'!$S:$T,2,FALSE))</f>
        <v>151.69999999999999</v>
      </c>
      <c r="AD143" s="190">
        <f>IF(T143="-","-",VLOOKUP(T143,'PPI USA'!$S:$T,2,FALSE))</f>
        <v>159.30000000000001</v>
      </c>
      <c r="AE143" s="7"/>
      <c r="AF143" s="7"/>
      <c r="AG143" s="190">
        <f t="shared" ref="AG143:AI143" si="413">IF(W143="-","-",(AT143*$B$2/W143+(1-AT143)*AVERAGE($B$2,$B$3)/AVERAGE(W143,AB143)))</f>
        <v>1.595396421204319</v>
      </c>
      <c r="AH143" s="190">
        <f t="shared" si="413"/>
        <v>1.5480022216582647</v>
      </c>
      <c r="AI143" s="190">
        <f t="shared" si="413"/>
        <v>1.4884333659448254</v>
      </c>
      <c r="AJ143" s="7"/>
      <c r="AK143" s="7"/>
      <c r="AL143" s="190">
        <f t="shared" ref="AL143:AN143" si="414">IF(W143="-","-",(AY143*$B$2/W143+(1-AY143)*AVERAGE($B$2,$B$3)/AVERAGE(W143,AB143)))</f>
        <v>1.6147712829199015</v>
      </c>
      <c r="AM143" s="190">
        <f t="shared" si="414"/>
        <v>1.5651038394149617</v>
      </c>
      <c r="AN143" s="190">
        <f t="shared" si="414"/>
        <v>1.5036496327119213</v>
      </c>
      <c r="AO143" s="7"/>
      <c r="AP143" s="7"/>
      <c r="AQ143" s="7"/>
      <c r="AR143" s="7"/>
      <c r="AS143" s="7"/>
      <c r="AT143" s="242">
        <f>IF(R143="-","-",VLOOKUP(R143,'CPI USA'!$T:$V,3,FALSE))</f>
        <v>0.67263024008352756</v>
      </c>
      <c r="AU143" s="242">
        <f>IF(S143="-","-",VLOOKUP(S143,'CPI USA'!$T:$V,3,FALSE))</f>
        <v>0.67123734379962852</v>
      </c>
      <c r="AV143" s="242">
        <f>IF(T143="-","-",VLOOKUP(T143,'CPI USA'!$T:$V,3,FALSE))</f>
        <v>0.67018812038291731</v>
      </c>
      <c r="AW143" s="7"/>
      <c r="AX143" s="7"/>
      <c r="AY143" s="242">
        <f>IF(R143="-","-",VLOOKUP(R143,'CPI USA'!$T:$X,5,FALSE))</f>
        <v>0.50115228263529643</v>
      </c>
      <c r="AZ143" s="242">
        <f>IF(S143="-","-",VLOOKUP(S143,'CPI USA'!$T:$X,5,FALSE))</f>
        <v>0.49957259686190569</v>
      </c>
      <c r="BA143" s="242">
        <f>IF(T143="-","-",VLOOKUP(T143,'CPI USA'!$T:$X,5,FALSE))</f>
        <v>0.49838492968660258</v>
      </c>
      <c r="BB143" s="7"/>
    </row>
    <row r="144" spans="1:54" ht="15.75" customHeight="1">
      <c r="A144" s="185" t="s">
        <v>622</v>
      </c>
      <c r="B144" s="185" t="s">
        <v>623</v>
      </c>
      <c r="C144" s="239">
        <f>+'Empresas 21-23'!J139</f>
        <v>0</v>
      </c>
      <c r="D144" s="239">
        <f>VLOOKUP(A144,'FERC 2021'!$A$3:$BE$221,57,0)</f>
        <v>3144745016</v>
      </c>
      <c r="E144" s="239">
        <f>VLOOKUP(A144,'FERC 2021'!$A$3:$BF$221,58,0)</f>
        <v>195020683</v>
      </c>
      <c r="F144" s="239">
        <f>VLOOKUP(A144,'FERC 2022'!$A$3:$BE$220,57,0)</f>
        <v>3236081637</v>
      </c>
      <c r="G144" s="239">
        <f>VLOOKUP(A144,'FERC 2022'!$A$3:$BF$220,58,0)</f>
        <v>204800954</v>
      </c>
      <c r="H144" s="239">
        <f>VLOOKUP(A144,'FERC 2023'!$A$3:$BE$221,57,0)</f>
        <v>3343822119</v>
      </c>
      <c r="I144" s="239">
        <f>VLOOKUP(A144,'FERC 2023'!$A$3:$BF$221,58,0)</f>
        <v>216914160</v>
      </c>
      <c r="J144" s="7"/>
      <c r="K144" s="7"/>
      <c r="L144" s="7"/>
      <c r="M144" s="187">
        <f t="shared" si="0"/>
        <v>16.125187173095892</v>
      </c>
      <c r="N144" s="187">
        <f t="shared" si="1"/>
        <v>15.801106263401488</v>
      </c>
      <c r="O144" s="187">
        <f t="shared" si="2"/>
        <v>15.415416490099124</v>
      </c>
      <c r="P144" s="7"/>
      <c r="Q144" s="240">
        <f t="shared" si="3"/>
        <v>15.780569975532169</v>
      </c>
      <c r="R144" s="189" t="str">
        <f t="shared" ref="R144:T144" si="415">IF(ISERROR(R$5-365*$Q144),"-",MONTH(R$5-365*$Q144)&amp;"_"&amp;YEAR(R$5-365*$Q144))</f>
        <v>3_2006</v>
      </c>
      <c r="S144" s="189" t="str">
        <f t="shared" si="415"/>
        <v>3_2007</v>
      </c>
      <c r="T144" s="189" t="str">
        <f t="shared" si="415"/>
        <v>3_2008</v>
      </c>
      <c r="U144" s="7"/>
      <c r="V144" s="7"/>
      <c r="W144" s="190">
        <f>IF(R144="-","-",VLOOKUP(R144,'CPI USA'!$T:$U,2,FALSE))</f>
        <v>201.6</v>
      </c>
      <c r="X144" s="190">
        <f>IF(S144="-","-",VLOOKUP(S144,'CPI USA'!$T:$U,2,FALSE))</f>
        <v>207.34200000000001</v>
      </c>
      <c r="Y144" s="190">
        <f>IF(T144="-","-",VLOOKUP(T144,'CPI USA'!$T:$U,2,FALSE))</f>
        <v>215.303</v>
      </c>
      <c r="Z144" s="7"/>
      <c r="AA144" s="7"/>
      <c r="AB144" s="190">
        <f>IF(R144="-","-",VLOOKUP(R144,'PPI USA'!$S:$T,2,FALSE))</f>
        <v>145.30000000000001</v>
      </c>
      <c r="AC144" s="190">
        <f>IF(S144="-","-",VLOOKUP(S144,'PPI USA'!$S:$T,2,FALSE))</f>
        <v>151.69999999999999</v>
      </c>
      <c r="AD144" s="190">
        <f>IF(T144="-","-",VLOOKUP(T144,'PPI USA'!$S:$T,2,FALSE))</f>
        <v>159.30000000000001</v>
      </c>
      <c r="AE144" s="7"/>
      <c r="AF144" s="7"/>
      <c r="AG144" s="190">
        <f t="shared" ref="AG144:AI144" si="416">IF(W144="-","-",(AT144*$B$2/W144+(1-AT144)*AVERAGE($B$2,$B$3)/AVERAGE(W144,AB144)))</f>
        <v>1.595396421204319</v>
      </c>
      <c r="AH144" s="190">
        <f t="shared" si="416"/>
        <v>1.5480022216582647</v>
      </c>
      <c r="AI144" s="190">
        <f t="shared" si="416"/>
        <v>1.4884333659448254</v>
      </c>
      <c r="AJ144" s="7"/>
      <c r="AK144" s="7"/>
      <c r="AL144" s="190">
        <f t="shared" ref="AL144:AN144" si="417">IF(W144="-","-",(AY144*$B$2/W144+(1-AY144)*AVERAGE($B$2,$B$3)/AVERAGE(W144,AB144)))</f>
        <v>1.6147712829199015</v>
      </c>
      <c r="AM144" s="190">
        <f t="shared" si="417"/>
        <v>1.5651038394149617</v>
      </c>
      <c r="AN144" s="190">
        <f t="shared" si="417"/>
        <v>1.5036496327119213</v>
      </c>
      <c r="AO144" s="7"/>
      <c r="AP144" s="7"/>
      <c r="AQ144" s="7"/>
      <c r="AR144" s="7"/>
      <c r="AS144" s="7"/>
      <c r="AT144" s="242">
        <f>IF(R144="-","-",VLOOKUP(R144,'CPI USA'!$T:$V,3,FALSE))</f>
        <v>0.67263024008352756</v>
      </c>
      <c r="AU144" s="242">
        <f>IF(S144="-","-",VLOOKUP(S144,'CPI USA'!$T:$V,3,FALSE))</f>
        <v>0.67123734379962852</v>
      </c>
      <c r="AV144" s="242">
        <f>IF(T144="-","-",VLOOKUP(T144,'CPI USA'!$T:$V,3,FALSE))</f>
        <v>0.67018812038291731</v>
      </c>
      <c r="AW144" s="7"/>
      <c r="AX144" s="7"/>
      <c r="AY144" s="242">
        <f>IF(R144="-","-",VLOOKUP(R144,'CPI USA'!$T:$X,5,FALSE))</f>
        <v>0.50115228263529643</v>
      </c>
      <c r="AZ144" s="242">
        <f>IF(S144="-","-",VLOOKUP(S144,'CPI USA'!$T:$X,5,FALSE))</f>
        <v>0.49957259686190569</v>
      </c>
      <c r="BA144" s="242">
        <f>IF(T144="-","-",VLOOKUP(T144,'CPI USA'!$T:$X,5,FALSE))</f>
        <v>0.49838492968660258</v>
      </c>
      <c r="BB144" s="7"/>
    </row>
    <row r="145" spans="1:54" ht="15.75" customHeight="1">
      <c r="A145" s="185" t="s">
        <v>625</v>
      </c>
      <c r="B145" s="185" t="s">
        <v>626</v>
      </c>
      <c r="C145" s="243">
        <f>+'Empresas 21-23'!J140</f>
        <v>0</v>
      </c>
      <c r="D145" s="239">
        <f>VLOOKUP(A145,'FERC 2021'!$A$3:$BE$221,57,0)</f>
        <v>0</v>
      </c>
      <c r="E145" s="239">
        <f>VLOOKUP(A145,'FERC 2021'!$A$3:$BF$221,58,0)</f>
        <v>0</v>
      </c>
      <c r="F145" s="239">
        <f>VLOOKUP(A145,'FERC 2022'!$A$3:$BE$220,57,0)</f>
        <v>0</v>
      </c>
      <c r="G145" s="239">
        <f>VLOOKUP(A145,'FERC 2022'!$A$3:$BF$220,58,0)</f>
        <v>0</v>
      </c>
      <c r="H145" s="239">
        <f>VLOOKUP(A145,'FERC 2023'!$A$3:$BE$221,57,0)</f>
        <v>0</v>
      </c>
      <c r="I145" s="239">
        <f>VLOOKUP(A145,'FERC 2023'!$A$3:$BF$221,58,0)</f>
        <v>0</v>
      </c>
      <c r="J145" s="7"/>
      <c r="K145" s="7"/>
      <c r="L145" s="7"/>
      <c r="M145" s="187" t="str">
        <f t="shared" si="0"/>
        <v/>
      </c>
      <c r="N145" s="187" t="str">
        <f t="shared" si="1"/>
        <v/>
      </c>
      <c r="O145" s="187" t="str">
        <f t="shared" si="2"/>
        <v/>
      </c>
      <c r="P145" s="7"/>
      <c r="Q145" s="240" t="str">
        <f t="shared" si="3"/>
        <v>-</v>
      </c>
      <c r="R145" s="189" t="str">
        <f t="shared" ref="R145:T145" si="418">IF(ISERROR(R$5-365*$Q145),"-",MONTH(R$5-365*$Q145)&amp;"_"&amp;YEAR(R$5-365*$Q145))</f>
        <v>-</v>
      </c>
      <c r="S145" s="189" t="str">
        <f t="shared" si="418"/>
        <v>-</v>
      </c>
      <c r="T145" s="189" t="str">
        <f t="shared" si="418"/>
        <v>-</v>
      </c>
      <c r="U145" s="7"/>
      <c r="V145" s="7"/>
      <c r="W145" s="190" t="str">
        <f>IF(R145="-","-",VLOOKUP(R145,'CPI USA'!$T:$U,2,FALSE))</f>
        <v>-</v>
      </c>
      <c r="X145" s="190" t="str">
        <f>IF(S145="-","-",VLOOKUP(S145,'CPI USA'!$T:$U,2,FALSE))</f>
        <v>-</v>
      </c>
      <c r="Y145" s="190" t="str">
        <f>IF(T145="-","-",VLOOKUP(T145,'CPI USA'!$T:$U,2,FALSE))</f>
        <v>-</v>
      </c>
      <c r="Z145" s="7"/>
      <c r="AA145" s="7"/>
      <c r="AB145" s="190" t="str">
        <f>IF(R145="-","-",VLOOKUP(R145,'PPI USA'!$S:$T,2,FALSE))</f>
        <v>-</v>
      </c>
      <c r="AC145" s="190" t="str">
        <f>IF(S145="-","-",VLOOKUP(S145,'PPI USA'!$S:$T,2,FALSE))</f>
        <v>-</v>
      </c>
      <c r="AD145" s="190" t="str">
        <f>IF(T145="-","-",VLOOKUP(T145,'PPI USA'!$S:$T,2,FALSE))</f>
        <v>-</v>
      </c>
      <c r="AE145" s="7"/>
      <c r="AF145" s="7"/>
      <c r="AG145" s="190" t="str">
        <f t="shared" ref="AG145:AI145" si="419">IF(W145="-","-",(AT145*$B$2/W145+(1-AT145)*AVERAGE($B$2,$B$3)/AVERAGE(W145,AB145)))</f>
        <v>-</v>
      </c>
      <c r="AH145" s="190" t="str">
        <f t="shared" si="419"/>
        <v>-</v>
      </c>
      <c r="AI145" s="190" t="str">
        <f t="shared" si="419"/>
        <v>-</v>
      </c>
      <c r="AJ145" s="7"/>
      <c r="AK145" s="7"/>
      <c r="AL145" s="190" t="str">
        <f t="shared" ref="AL145:AN145" si="420">IF(W145="-","-",(AY145*$B$2/W145+(1-AY145)*AVERAGE($B$2,$B$3)/AVERAGE(W145,AB145)))</f>
        <v>-</v>
      </c>
      <c r="AM145" s="190" t="str">
        <f t="shared" si="420"/>
        <v>-</v>
      </c>
      <c r="AN145" s="190" t="str">
        <f t="shared" si="420"/>
        <v>-</v>
      </c>
      <c r="AO145" s="7"/>
      <c r="AP145" s="7"/>
      <c r="AQ145" s="7"/>
      <c r="AR145" s="7"/>
      <c r="AS145" s="7"/>
      <c r="AT145" s="242" t="str">
        <f>IF(R145="-","-",VLOOKUP(R145,'CPI USA'!$T:$V,3,FALSE))</f>
        <v>-</v>
      </c>
      <c r="AU145" s="242" t="str">
        <f>IF(S145="-","-",VLOOKUP(S145,'CPI USA'!$T:$V,3,FALSE))</f>
        <v>-</v>
      </c>
      <c r="AV145" s="242" t="str">
        <f>IF(T145="-","-",VLOOKUP(T145,'CPI USA'!$T:$V,3,FALSE))</f>
        <v>-</v>
      </c>
      <c r="AW145" s="7"/>
      <c r="AX145" s="7"/>
      <c r="AY145" s="242" t="str">
        <f>IF(R145="-","-",VLOOKUP(R145,'CPI USA'!$T:$X,5,FALSE))</f>
        <v>-</v>
      </c>
      <c r="AZ145" s="242" t="str">
        <f>IF(S145="-","-",VLOOKUP(S145,'CPI USA'!$T:$X,5,FALSE))</f>
        <v>-</v>
      </c>
      <c r="BA145" s="242" t="str">
        <f>IF(T145="-","-",VLOOKUP(T145,'CPI USA'!$T:$X,5,FALSE))</f>
        <v>-</v>
      </c>
      <c r="BB145" s="7"/>
    </row>
    <row r="146" spans="1:54" ht="15.75" customHeight="1">
      <c r="A146" s="185" t="s">
        <v>628</v>
      </c>
      <c r="B146" s="185" t="s">
        <v>629</v>
      </c>
      <c r="C146" s="243">
        <f>+'Empresas 21-23'!J141</f>
        <v>0</v>
      </c>
      <c r="D146" s="239">
        <f>VLOOKUP(A146,'FERC 2021'!$A$3:$BE$221,57,0)</f>
        <v>0</v>
      </c>
      <c r="E146" s="239">
        <f>VLOOKUP(A146,'FERC 2021'!$A$3:$BF$221,58,0)</f>
        <v>0</v>
      </c>
      <c r="F146" s="239">
        <f>VLOOKUP(A146,'FERC 2022'!$A$3:$BE$220,57,0)</f>
        <v>0</v>
      </c>
      <c r="G146" s="239">
        <f>VLOOKUP(A146,'FERC 2022'!$A$3:$BF$220,58,0)</f>
        <v>0</v>
      </c>
      <c r="H146" s="239">
        <f>VLOOKUP(A146,'FERC 2023'!$A$3:$BE$221,57,0)</f>
        <v>0</v>
      </c>
      <c r="I146" s="239">
        <f>VLOOKUP(A146,'FERC 2023'!$A$3:$BF$221,58,0)</f>
        <v>0</v>
      </c>
      <c r="J146" s="7"/>
      <c r="K146" s="7"/>
      <c r="L146" s="7"/>
      <c r="M146" s="187" t="str">
        <f t="shared" si="0"/>
        <v/>
      </c>
      <c r="N146" s="187" t="str">
        <f t="shared" si="1"/>
        <v/>
      </c>
      <c r="O146" s="187" t="str">
        <f t="shared" si="2"/>
        <v/>
      </c>
      <c r="P146" s="7"/>
      <c r="Q146" s="240" t="str">
        <f t="shared" si="3"/>
        <v>-</v>
      </c>
      <c r="R146" s="189" t="str">
        <f t="shared" ref="R146:T146" si="421">IF(ISERROR(R$5-365*$Q146),"-",MONTH(R$5-365*$Q146)&amp;"_"&amp;YEAR(R$5-365*$Q146))</f>
        <v>-</v>
      </c>
      <c r="S146" s="189" t="str">
        <f t="shared" si="421"/>
        <v>-</v>
      </c>
      <c r="T146" s="189" t="str">
        <f t="shared" si="421"/>
        <v>-</v>
      </c>
      <c r="U146" s="7"/>
      <c r="V146" s="7"/>
      <c r="W146" s="190" t="str">
        <f>IF(R146="-","-",VLOOKUP(R146,'CPI USA'!$T:$U,2,FALSE))</f>
        <v>-</v>
      </c>
      <c r="X146" s="190" t="str">
        <f>IF(S146="-","-",VLOOKUP(S146,'CPI USA'!$T:$U,2,FALSE))</f>
        <v>-</v>
      </c>
      <c r="Y146" s="190" t="str">
        <f>IF(T146="-","-",VLOOKUP(T146,'CPI USA'!$T:$U,2,FALSE))</f>
        <v>-</v>
      </c>
      <c r="Z146" s="7"/>
      <c r="AA146" s="7"/>
      <c r="AB146" s="190" t="str">
        <f>IF(R146="-","-",VLOOKUP(R146,'PPI USA'!$S:$T,2,FALSE))</f>
        <v>-</v>
      </c>
      <c r="AC146" s="190" t="str">
        <f>IF(S146="-","-",VLOOKUP(S146,'PPI USA'!$S:$T,2,FALSE))</f>
        <v>-</v>
      </c>
      <c r="AD146" s="190" t="str">
        <f>IF(T146="-","-",VLOOKUP(T146,'PPI USA'!$S:$T,2,FALSE))</f>
        <v>-</v>
      </c>
      <c r="AE146" s="7"/>
      <c r="AF146" s="7"/>
      <c r="AG146" s="190" t="str">
        <f t="shared" ref="AG146:AI146" si="422">IF(W146="-","-",(AT146*$B$2/W146+(1-AT146)*AVERAGE($B$2,$B$3)/AVERAGE(W146,AB146)))</f>
        <v>-</v>
      </c>
      <c r="AH146" s="190" t="str">
        <f t="shared" si="422"/>
        <v>-</v>
      </c>
      <c r="AI146" s="190" t="str">
        <f t="shared" si="422"/>
        <v>-</v>
      </c>
      <c r="AJ146" s="7"/>
      <c r="AK146" s="7"/>
      <c r="AL146" s="190" t="str">
        <f t="shared" ref="AL146:AN146" si="423">IF(W146="-","-",(AY146*$B$2/W146+(1-AY146)*AVERAGE($B$2,$B$3)/AVERAGE(W146,AB146)))</f>
        <v>-</v>
      </c>
      <c r="AM146" s="190" t="str">
        <f t="shared" si="423"/>
        <v>-</v>
      </c>
      <c r="AN146" s="190" t="str">
        <f t="shared" si="423"/>
        <v>-</v>
      </c>
      <c r="AO146" s="7"/>
      <c r="AP146" s="7"/>
      <c r="AQ146" s="7"/>
      <c r="AR146" s="7"/>
      <c r="AS146" s="7"/>
      <c r="AT146" s="242" t="str">
        <f>IF(R146="-","-",VLOOKUP(R146,'CPI USA'!$T:$V,3,FALSE))</f>
        <v>-</v>
      </c>
      <c r="AU146" s="242" t="str">
        <f>IF(S146="-","-",VLOOKUP(S146,'CPI USA'!$T:$V,3,FALSE))</f>
        <v>-</v>
      </c>
      <c r="AV146" s="242" t="str">
        <f>IF(T146="-","-",VLOOKUP(T146,'CPI USA'!$T:$V,3,FALSE))</f>
        <v>-</v>
      </c>
      <c r="AW146" s="7"/>
      <c r="AX146" s="7"/>
      <c r="AY146" s="242" t="str">
        <f>IF(R146="-","-",VLOOKUP(R146,'CPI USA'!$T:$X,5,FALSE))</f>
        <v>-</v>
      </c>
      <c r="AZ146" s="242" t="str">
        <f>IF(S146="-","-",VLOOKUP(S146,'CPI USA'!$T:$X,5,FALSE))</f>
        <v>-</v>
      </c>
      <c r="BA146" s="242" t="str">
        <f>IF(T146="-","-",VLOOKUP(T146,'CPI USA'!$T:$X,5,FALSE))</f>
        <v>-</v>
      </c>
      <c r="BB146" s="7"/>
    </row>
    <row r="147" spans="1:54" ht="15.75" customHeight="1">
      <c r="A147" s="185" t="s">
        <v>631</v>
      </c>
      <c r="B147" s="185" t="s">
        <v>632</v>
      </c>
      <c r="C147" s="243">
        <f>+'Empresas 21-23'!J142</f>
        <v>0</v>
      </c>
      <c r="D147" s="239">
        <f>VLOOKUP(A147,'FERC 2021'!$A$3:$BE$221,57,0)</f>
        <v>0</v>
      </c>
      <c r="E147" s="239">
        <f>VLOOKUP(A147,'FERC 2021'!$A$3:$BF$221,58,0)</f>
        <v>0</v>
      </c>
      <c r="F147" s="239">
        <f>VLOOKUP(A147,'FERC 2022'!$A$3:$BE$220,57,0)</f>
        <v>0</v>
      </c>
      <c r="G147" s="239">
        <f>VLOOKUP(A147,'FERC 2022'!$A$3:$BF$220,58,0)</f>
        <v>0</v>
      </c>
      <c r="H147" s="239">
        <f>VLOOKUP(A147,'FERC 2023'!$A$3:$BE$221,57,0)</f>
        <v>0</v>
      </c>
      <c r="I147" s="239">
        <f>VLOOKUP(A147,'FERC 2023'!$A$3:$BF$221,58,0)</f>
        <v>0</v>
      </c>
      <c r="J147" s="7"/>
      <c r="K147" s="7"/>
      <c r="L147" s="7"/>
      <c r="M147" s="187" t="str">
        <f t="shared" si="0"/>
        <v/>
      </c>
      <c r="N147" s="187" t="str">
        <f t="shared" si="1"/>
        <v/>
      </c>
      <c r="O147" s="187" t="str">
        <f t="shared" si="2"/>
        <v/>
      </c>
      <c r="P147" s="7"/>
      <c r="Q147" s="240" t="str">
        <f t="shared" si="3"/>
        <v>-</v>
      </c>
      <c r="R147" s="189" t="str">
        <f t="shared" ref="R147:T147" si="424">IF(ISERROR(R$5-365*$Q147),"-",MONTH(R$5-365*$Q147)&amp;"_"&amp;YEAR(R$5-365*$Q147))</f>
        <v>-</v>
      </c>
      <c r="S147" s="189" t="str">
        <f t="shared" si="424"/>
        <v>-</v>
      </c>
      <c r="T147" s="189" t="str">
        <f t="shared" si="424"/>
        <v>-</v>
      </c>
      <c r="U147" s="7"/>
      <c r="V147" s="7"/>
      <c r="W147" s="190" t="str">
        <f>IF(R147="-","-",VLOOKUP(R147,'CPI USA'!$T:$U,2,FALSE))</f>
        <v>-</v>
      </c>
      <c r="X147" s="190" t="str">
        <f>IF(S147="-","-",VLOOKUP(S147,'CPI USA'!$T:$U,2,FALSE))</f>
        <v>-</v>
      </c>
      <c r="Y147" s="190" t="str">
        <f>IF(T147="-","-",VLOOKUP(T147,'CPI USA'!$T:$U,2,FALSE))</f>
        <v>-</v>
      </c>
      <c r="Z147" s="7"/>
      <c r="AA147" s="7"/>
      <c r="AB147" s="190" t="str">
        <f>IF(R147="-","-",VLOOKUP(R147,'PPI USA'!$S:$T,2,FALSE))</f>
        <v>-</v>
      </c>
      <c r="AC147" s="190" t="str">
        <f>IF(S147="-","-",VLOOKUP(S147,'PPI USA'!$S:$T,2,FALSE))</f>
        <v>-</v>
      </c>
      <c r="AD147" s="190" t="str">
        <f>IF(T147="-","-",VLOOKUP(T147,'PPI USA'!$S:$T,2,FALSE))</f>
        <v>-</v>
      </c>
      <c r="AE147" s="7"/>
      <c r="AF147" s="7"/>
      <c r="AG147" s="190" t="str">
        <f t="shared" ref="AG147:AI147" si="425">IF(W147="-","-",(AT147*$B$2/W147+(1-AT147)*AVERAGE($B$2,$B$3)/AVERAGE(W147,AB147)))</f>
        <v>-</v>
      </c>
      <c r="AH147" s="190" t="str">
        <f t="shared" si="425"/>
        <v>-</v>
      </c>
      <c r="AI147" s="190" t="str">
        <f t="shared" si="425"/>
        <v>-</v>
      </c>
      <c r="AJ147" s="7"/>
      <c r="AK147" s="7"/>
      <c r="AL147" s="190" t="str">
        <f t="shared" ref="AL147:AN147" si="426">IF(W147="-","-",(AY147*$B$2/W147+(1-AY147)*AVERAGE($B$2,$B$3)/AVERAGE(W147,AB147)))</f>
        <v>-</v>
      </c>
      <c r="AM147" s="190" t="str">
        <f t="shared" si="426"/>
        <v>-</v>
      </c>
      <c r="AN147" s="190" t="str">
        <f t="shared" si="426"/>
        <v>-</v>
      </c>
      <c r="AO147" s="7"/>
      <c r="AP147" s="7"/>
      <c r="AQ147" s="7"/>
      <c r="AR147" s="7"/>
      <c r="AS147" s="7"/>
      <c r="AT147" s="242" t="str">
        <f>IF(R147="-","-",VLOOKUP(R147,'CPI USA'!$T:$V,3,FALSE))</f>
        <v>-</v>
      </c>
      <c r="AU147" s="242" t="str">
        <f>IF(S147="-","-",VLOOKUP(S147,'CPI USA'!$T:$V,3,FALSE))</f>
        <v>-</v>
      </c>
      <c r="AV147" s="242" t="str">
        <f>IF(T147="-","-",VLOOKUP(T147,'CPI USA'!$T:$V,3,FALSE))</f>
        <v>-</v>
      </c>
      <c r="AW147" s="7"/>
      <c r="AX147" s="7"/>
      <c r="AY147" s="242" t="str">
        <f>IF(R147="-","-",VLOOKUP(R147,'CPI USA'!$T:$X,5,FALSE))</f>
        <v>-</v>
      </c>
      <c r="AZ147" s="242" t="str">
        <f>IF(S147="-","-",VLOOKUP(S147,'CPI USA'!$T:$X,5,FALSE))</f>
        <v>-</v>
      </c>
      <c r="BA147" s="242" t="str">
        <f>IF(T147="-","-",VLOOKUP(T147,'CPI USA'!$T:$X,5,FALSE))</f>
        <v>-</v>
      </c>
      <c r="BB147" s="7"/>
    </row>
    <row r="148" spans="1:54" ht="15.75" customHeight="1">
      <c r="A148" s="185" t="s">
        <v>634</v>
      </c>
      <c r="B148" s="185" t="s">
        <v>635</v>
      </c>
      <c r="C148" s="239">
        <f>+'Empresas 21-23'!J143</f>
        <v>0</v>
      </c>
      <c r="D148" s="239">
        <f>VLOOKUP(A148,'FERC 2021'!$A$3:$BE$221,57,0)</f>
        <v>317739191</v>
      </c>
      <c r="E148" s="239">
        <f>VLOOKUP(A148,'FERC 2021'!$A$3:$BF$221,58,0)</f>
        <v>22194751</v>
      </c>
      <c r="F148" s="239">
        <f>VLOOKUP(A148,'FERC 2022'!$A$3:$BE$220,57,0)</f>
        <v>330918118</v>
      </c>
      <c r="G148" s="239">
        <f>VLOOKUP(A148,'FERC 2022'!$A$3:$BF$220,58,0)</f>
        <v>23215901</v>
      </c>
      <c r="H148" s="239">
        <f>VLOOKUP(A148,'FERC 2023'!$A$3:$BE$221,57,0)</f>
        <v>346449436</v>
      </c>
      <c r="I148" s="239">
        <f>VLOOKUP(A148,'FERC 2023'!$A$3:$BF$221,58,0)</f>
        <v>24546598</v>
      </c>
      <c r="J148" s="7"/>
      <c r="K148" s="7"/>
      <c r="L148" s="7"/>
      <c r="M148" s="187">
        <f t="shared" si="0"/>
        <v>14.315961057639258</v>
      </c>
      <c r="N148" s="187">
        <f t="shared" si="1"/>
        <v>14.253942502597681</v>
      </c>
      <c r="O148" s="187">
        <f t="shared" si="2"/>
        <v>14.113949150916962</v>
      </c>
      <c r="P148" s="7"/>
      <c r="Q148" s="240">
        <f t="shared" si="3"/>
        <v>14.227950903717968</v>
      </c>
      <c r="R148" s="189" t="str">
        <f t="shared" ref="R148:T148" si="427">IF(ISERROR(R$5-365*$Q148),"-",MONTH(R$5-365*$Q148)&amp;"_"&amp;YEAR(R$5-365*$Q148))</f>
        <v>10_2007</v>
      </c>
      <c r="S148" s="189" t="str">
        <f t="shared" si="427"/>
        <v>10_2008</v>
      </c>
      <c r="T148" s="189" t="str">
        <f t="shared" si="427"/>
        <v>10_2009</v>
      </c>
      <c r="U148" s="7"/>
      <c r="V148" s="7"/>
      <c r="W148" s="190">
        <f>IF(R148="-","-",VLOOKUP(R148,'CPI USA'!$T:$U,2,FALSE))</f>
        <v>207.34200000000001</v>
      </c>
      <c r="X148" s="190">
        <f>IF(S148="-","-",VLOOKUP(S148,'CPI USA'!$T:$U,2,FALSE))</f>
        <v>215.303</v>
      </c>
      <c r="Y148" s="190">
        <f>IF(T148="-","-",VLOOKUP(T148,'CPI USA'!$T:$U,2,FALSE))</f>
        <v>214.53700000000001</v>
      </c>
      <c r="Z148" s="7"/>
      <c r="AA148" s="7"/>
      <c r="AB148" s="190">
        <f>IF(R148="-","-",VLOOKUP(R148,'PPI USA'!$S:$T,2,FALSE))</f>
        <v>151.69999999999999</v>
      </c>
      <c r="AC148" s="190">
        <f>IF(S148="-","-",VLOOKUP(S148,'PPI USA'!$S:$T,2,FALSE))</f>
        <v>159.30000000000001</v>
      </c>
      <c r="AD148" s="190">
        <f>IF(T148="-","-",VLOOKUP(T148,'PPI USA'!$S:$T,2,FALSE))</f>
        <v>159.1</v>
      </c>
      <c r="AE148" s="7"/>
      <c r="AF148" s="7"/>
      <c r="AG148" s="190">
        <f t="shared" ref="AG148:AI148" si="428">IF(W148="-","-",(AT148*$B$2/W148+(1-AT148)*AVERAGE($B$2,$B$3)/AVERAGE(W148,AB148)))</f>
        <v>1.5480022216582647</v>
      </c>
      <c r="AH148" s="190">
        <f t="shared" si="428"/>
        <v>1.4884333659448254</v>
      </c>
      <c r="AI148" s="190">
        <f t="shared" si="428"/>
        <v>1.4932638886873792</v>
      </c>
      <c r="AJ148" s="7"/>
      <c r="AK148" s="7"/>
      <c r="AL148" s="190">
        <f t="shared" ref="AL148:AN148" si="429">IF(W148="-","-",(AY148*$B$2/W148+(1-AY148)*AVERAGE($B$2,$B$3)/AVERAGE(W148,AB148)))</f>
        <v>1.5651038394149617</v>
      </c>
      <c r="AM148" s="190">
        <f t="shared" si="429"/>
        <v>1.5036496327119213</v>
      </c>
      <c r="AN148" s="190">
        <f t="shared" si="429"/>
        <v>1.5082750176818205</v>
      </c>
      <c r="AO148" s="7"/>
      <c r="AP148" s="7"/>
      <c r="AQ148" s="7"/>
      <c r="AR148" s="7"/>
      <c r="AS148" s="7"/>
      <c r="AT148" s="242">
        <f>IF(R148="-","-",VLOOKUP(R148,'CPI USA'!$T:$V,3,FALSE))</f>
        <v>0.67123734379962852</v>
      </c>
      <c r="AU148" s="242">
        <f>IF(S148="-","-",VLOOKUP(S148,'CPI USA'!$T:$V,3,FALSE))</f>
        <v>0.67018812038291731</v>
      </c>
      <c r="AV148" s="242">
        <f>IF(T148="-","-",VLOOKUP(T148,'CPI USA'!$T:$V,3,FALSE))</f>
        <v>0.66997101349938215</v>
      </c>
      <c r="AW148" s="7"/>
      <c r="AX148" s="7"/>
      <c r="AY148" s="242">
        <f>IF(R148="-","-",VLOOKUP(R148,'CPI USA'!$T:$X,5,FALSE))</f>
        <v>0.49957259686190569</v>
      </c>
      <c r="AZ148" s="242">
        <f>IF(S148="-","-",VLOOKUP(S148,'CPI USA'!$T:$X,5,FALSE))</f>
        <v>0.49838492968660258</v>
      </c>
      <c r="BA148" s="242">
        <f>IF(T148="-","-",VLOOKUP(T148,'CPI USA'!$T:$X,5,FALSE))</f>
        <v>0.49813941766071862</v>
      </c>
      <c r="BB148" s="7"/>
    </row>
    <row r="149" spans="1:54" ht="15.75" customHeight="1">
      <c r="A149" s="185" t="s">
        <v>637</v>
      </c>
      <c r="B149" s="185" t="s">
        <v>638</v>
      </c>
      <c r="C149" s="243">
        <f>+'Empresas 21-23'!J144</f>
        <v>0</v>
      </c>
      <c r="D149" s="239">
        <f>VLOOKUP(A149,'FERC 2021'!$A$3:$BE$221,57,0)</f>
        <v>0</v>
      </c>
      <c r="E149" s="239">
        <f>VLOOKUP(A149,'FERC 2021'!$A$3:$BF$221,58,0)</f>
        <v>0</v>
      </c>
      <c r="F149" s="239">
        <f>VLOOKUP(A149,'FERC 2022'!$A$3:$BE$220,57,0)</f>
        <v>0</v>
      </c>
      <c r="G149" s="239">
        <f>VLOOKUP(A149,'FERC 2022'!$A$3:$BF$220,58,0)</f>
        <v>0</v>
      </c>
      <c r="H149" s="239">
        <f>VLOOKUP(A149,'FERC 2023'!$A$3:$BE$221,57,0)</f>
        <v>0</v>
      </c>
      <c r="I149" s="239">
        <f>VLOOKUP(A149,'FERC 2023'!$A$3:$BF$221,58,0)</f>
        <v>0</v>
      </c>
      <c r="J149" s="7"/>
      <c r="K149" s="7"/>
      <c r="L149" s="7"/>
      <c r="M149" s="187" t="str">
        <f t="shared" si="0"/>
        <v/>
      </c>
      <c r="N149" s="187" t="str">
        <f t="shared" si="1"/>
        <v/>
      </c>
      <c r="O149" s="187" t="str">
        <f t="shared" si="2"/>
        <v/>
      </c>
      <c r="P149" s="7"/>
      <c r="Q149" s="240" t="str">
        <f t="shared" si="3"/>
        <v>-</v>
      </c>
      <c r="R149" s="189" t="str">
        <f t="shared" ref="R149:T149" si="430">IF(ISERROR(R$5-365*$Q149),"-",MONTH(R$5-365*$Q149)&amp;"_"&amp;YEAR(R$5-365*$Q149))</f>
        <v>-</v>
      </c>
      <c r="S149" s="189" t="str">
        <f t="shared" si="430"/>
        <v>-</v>
      </c>
      <c r="T149" s="189" t="str">
        <f t="shared" si="430"/>
        <v>-</v>
      </c>
      <c r="U149" s="7"/>
      <c r="V149" s="7"/>
      <c r="W149" s="190" t="str">
        <f>IF(R149="-","-",VLOOKUP(R149,'CPI USA'!$T:$U,2,FALSE))</f>
        <v>-</v>
      </c>
      <c r="X149" s="190" t="str">
        <f>IF(S149="-","-",VLOOKUP(S149,'CPI USA'!$T:$U,2,FALSE))</f>
        <v>-</v>
      </c>
      <c r="Y149" s="190" t="str">
        <f>IF(T149="-","-",VLOOKUP(T149,'CPI USA'!$T:$U,2,FALSE))</f>
        <v>-</v>
      </c>
      <c r="Z149" s="7"/>
      <c r="AA149" s="7"/>
      <c r="AB149" s="190" t="str">
        <f>IF(R149="-","-",VLOOKUP(R149,'PPI USA'!$S:$T,2,FALSE))</f>
        <v>-</v>
      </c>
      <c r="AC149" s="190" t="str">
        <f>IF(S149="-","-",VLOOKUP(S149,'PPI USA'!$S:$T,2,FALSE))</f>
        <v>-</v>
      </c>
      <c r="AD149" s="190" t="str">
        <f>IF(T149="-","-",VLOOKUP(T149,'PPI USA'!$S:$T,2,FALSE))</f>
        <v>-</v>
      </c>
      <c r="AE149" s="7"/>
      <c r="AF149" s="7"/>
      <c r="AG149" s="190" t="str">
        <f t="shared" ref="AG149:AI149" si="431">IF(W149="-","-",(AT149*$B$2/W149+(1-AT149)*AVERAGE($B$2,$B$3)/AVERAGE(W149,AB149)))</f>
        <v>-</v>
      </c>
      <c r="AH149" s="190" t="str">
        <f t="shared" si="431"/>
        <v>-</v>
      </c>
      <c r="AI149" s="190" t="str">
        <f t="shared" si="431"/>
        <v>-</v>
      </c>
      <c r="AJ149" s="7"/>
      <c r="AK149" s="7"/>
      <c r="AL149" s="190" t="str">
        <f t="shared" ref="AL149:AN149" si="432">IF(W149="-","-",(AY149*$B$2/W149+(1-AY149)*AVERAGE($B$2,$B$3)/AVERAGE(W149,AB149)))</f>
        <v>-</v>
      </c>
      <c r="AM149" s="190" t="str">
        <f t="shared" si="432"/>
        <v>-</v>
      </c>
      <c r="AN149" s="190" t="str">
        <f t="shared" si="432"/>
        <v>-</v>
      </c>
      <c r="AO149" s="7"/>
      <c r="AP149" s="7"/>
      <c r="AQ149" s="7"/>
      <c r="AR149" s="7"/>
      <c r="AS149" s="7"/>
      <c r="AT149" s="242" t="str">
        <f>IF(R149="-","-",VLOOKUP(R149,'CPI USA'!$T:$V,3,FALSE))</f>
        <v>-</v>
      </c>
      <c r="AU149" s="242" t="str">
        <f>IF(S149="-","-",VLOOKUP(S149,'CPI USA'!$T:$V,3,FALSE))</f>
        <v>-</v>
      </c>
      <c r="AV149" s="242" t="str">
        <f>IF(T149="-","-",VLOOKUP(T149,'CPI USA'!$T:$V,3,FALSE))</f>
        <v>-</v>
      </c>
      <c r="AW149" s="7"/>
      <c r="AX149" s="7"/>
      <c r="AY149" s="242" t="str">
        <f>IF(R149="-","-",VLOOKUP(R149,'CPI USA'!$T:$X,5,FALSE))</f>
        <v>-</v>
      </c>
      <c r="AZ149" s="242" t="str">
        <f>IF(S149="-","-",VLOOKUP(S149,'CPI USA'!$T:$X,5,FALSE))</f>
        <v>-</v>
      </c>
      <c r="BA149" s="242" t="str">
        <f>IF(T149="-","-",VLOOKUP(T149,'CPI USA'!$T:$X,5,FALSE))</f>
        <v>-</v>
      </c>
      <c r="BB149" s="7"/>
    </row>
    <row r="150" spans="1:54" ht="15.75" customHeight="1">
      <c r="A150" s="185" t="s">
        <v>640</v>
      </c>
      <c r="B150" s="185" t="s">
        <v>641</v>
      </c>
      <c r="C150" s="239">
        <f>+'Empresas 21-23'!J145</f>
        <v>0</v>
      </c>
      <c r="D150" s="239">
        <f>VLOOKUP(A150,'FERC 2021'!$A$3:$BE$221,57,0)</f>
        <v>152587038</v>
      </c>
      <c r="E150" s="239">
        <f>VLOOKUP(A150,'FERC 2021'!$A$3:$BF$221,58,0)</f>
        <v>8675225</v>
      </c>
      <c r="F150" s="239">
        <f>VLOOKUP(A150,'FERC 2022'!$A$3:$BE$220,57,0)</f>
        <v>156335881</v>
      </c>
      <c r="G150" s="239">
        <f>VLOOKUP(A150,'FERC 2022'!$A$3:$BF$220,58,0)</f>
        <v>9055730</v>
      </c>
      <c r="H150" s="239">
        <f>VLOOKUP(A150,'FERC 2023'!$A$3:$BE$221,57,0)</f>
        <v>163933250</v>
      </c>
      <c r="I150" s="239">
        <f>VLOOKUP(A150,'FERC 2023'!$A$3:$BF$221,58,0)</f>
        <v>9653710</v>
      </c>
      <c r="J150" s="7"/>
      <c r="K150" s="7"/>
      <c r="L150" s="7"/>
      <c r="M150" s="187">
        <f t="shared" si="0"/>
        <v>17.588827724929324</v>
      </c>
      <c r="N150" s="187">
        <f t="shared" si="1"/>
        <v>17.263752452866857</v>
      </c>
      <c r="O150" s="187">
        <f t="shared" si="2"/>
        <v>16.981372964383642</v>
      </c>
      <c r="P150" s="7"/>
      <c r="Q150" s="240">
        <f t="shared" si="3"/>
        <v>17.277984380726608</v>
      </c>
      <c r="R150" s="189" t="str">
        <f t="shared" ref="R150:T150" si="433">IF(ISERROR(R$5-365*$Q150),"-",MONTH(R$5-365*$Q150)&amp;"_"&amp;YEAR(R$5-365*$Q150))</f>
        <v>9_2004</v>
      </c>
      <c r="S150" s="189" t="str">
        <f t="shared" si="433"/>
        <v>9_2005</v>
      </c>
      <c r="T150" s="189" t="str">
        <f t="shared" si="433"/>
        <v>9_2006</v>
      </c>
      <c r="U150" s="7"/>
      <c r="V150" s="7"/>
      <c r="W150" s="190">
        <f>IF(R150="-","-",VLOOKUP(R150,'CPI USA'!$T:$U,2,FALSE))</f>
        <v>188.9</v>
      </c>
      <c r="X150" s="190">
        <f>IF(S150="-","-",VLOOKUP(S150,'CPI USA'!$T:$U,2,FALSE))</f>
        <v>195.3</v>
      </c>
      <c r="Y150" s="190">
        <f>IF(T150="-","-",VLOOKUP(T150,'CPI USA'!$T:$U,2,FALSE))</f>
        <v>201.6</v>
      </c>
      <c r="Z150" s="7"/>
      <c r="AA150" s="7"/>
      <c r="AB150" s="190">
        <f>IF(R150="-","-",VLOOKUP(R150,'PPI USA'!$S:$T,2,FALSE))</f>
        <v>123.7</v>
      </c>
      <c r="AC150" s="190">
        <f>IF(S150="-","-",VLOOKUP(S150,'PPI USA'!$S:$T,2,FALSE))</f>
        <v>131.30000000000001</v>
      </c>
      <c r="AD150" s="190">
        <f>IF(T150="-","-",VLOOKUP(T150,'PPI USA'!$S:$T,2,FALSE))</f>
        <v>145.30000000000001</v>
      </c>
      <c r="AE150" s="7"/>
      <c r="AF150" s="7"/>
      <c r="AG150" s="190">
        <f t="shared" ref="AG150:AI150" si="434">IF(W150="-","-",(AT150*$B$2/W150+(1-AT150)*AVERAGE($B$2,$B$3)/AVERAGE(W150,AB150)))</f>
        <v>1.7242718973721483</v>
      </c>
      <c r="AH150" s="190">
        <f t="shared" si="434"/>
        <v>1.6621774217199745</v>
      </c>
      <c r="AI150" s="190">
        <f t="shared" si="434"/>
        <v>1.595396421204319</v>
      </c>
      <c r="AJ150" s="7"/>
      <c r="AK150" s="7"/>
      <c r="AL150" s="190">
        <f t="shared" ref="AL150:AN150" si="435">IF(W150="-","-",(AY150*$B$2/W150+(1-AY150)*AVERAGE($B$2,$B$3)/AVERAGE(W150,AB150)))</f>
        <v>1.7568944717328012</v>
      </c>
      <c r="AM150" s="190">
        <f t="shared" si="435"/>
        <v>1.6905992787819408</v>
      </c>
      <c r="AN150" s="190">
        <f t="shared" si="435"/>
        <v>1.6147712829199015</v>
      </c>
      <c r="AO150" s="7"/>
      <c r="AP150" s="7"/>
      <c r="AQ150" s="7"/>
      <c r="AR150" s="7"/>
      <c r="AS150" s="7"/>
      <c r="AT150" s="242">
        <f>IF(R150="-","-",VLOOKUP(R150,'CPI USA'!$T:$V,3,FALSE))</f>
        <v>0.68116912558338294</v>
      </c>
      <c r="AU150" s="242">
        <f>IF(S150="-","-",VLOOKUP(S150,'CPI USA'!$T:$V,3,FALSE))</f>
        <v>0.67888602568792966</v>
      </c>
      <c r="AV150" s="242">
        <f>IF(T150="-","-",VLOOKUP(T150,'CPI USA'!$T:$V,3,FALSE))</f>
        <v>0.67263024008352756</v>
      </c>
      <c r="AW150" s="7"/>
      <c r="AX150" s="7"/>
      <c r="AY150" s="242">
        <f>IF(R150="-","-",VLOOKUP(R150,'CPI USA'!$T:$X,5,FALSE))</f>
        <v>0.51091164550905577</v>
      </c>
      <c r="AZ150" s="242">
        <f>IF(S150="-","-",VLOOKUP(S150,'CPI USA'!$T:$X,5,FALSE))</f>
        <v>0.50828944385363772</v>
      </c>
      <c r="BA150" s="242">
        <f>IF(T150="-","-",VLOOKUP(T150,'CPI USA'!$T:$X,5,FALSE))</f>
        <v>0.50115228263529643</v>
      </c>
      <c r="BB150" s="7"/>
    </row>
    <row r="151" spans="1:54" ht="15.75" customHeight="1">
      <c r="A151" s="185" t="s">
        <v>643</v>
      </c>
      <c r="B151" s="185" t="s">
        <v>644</v>
      </c>
      <c r="C151" s="243">
        <f>+'Empresas 21-23'!J146</f>
        <v>0</v>
      </c>
      <c r="D151" s="239">
        <f>VLOOKUP(A151,'FERC 2021'!$A$3:$BE$221,57,0)</f>
        <v>0</v>
      </c>
      <c r="E151" s="239">
        <f>VLOOKUP(A151,'FERC 2021'!$A$3:$BF$221,58,0)</f>
        <v>0</v>
      </c>
      <c r="F151" s="239">
        <f>VLOOKUP(A151,'FERC 2022'!$A$3:$BE$220,57,0)</f>
        <v>0</v>
      </c>
      <c r="G151" s="239">
        <f>VLOOKUP(A151,'FERC 2022'!$A$3:$BF$220,58,0)</f>
        <v>0</v>
      </c>
      <c r="H151" s="239">
        <f>VLOOKUP(A151,'FERC 2023'!$A$3:$BE$221,57,0)</f>
        <v>0</v>
      </c>
      <c r="I151" s="239">
        <f>VLOOKUP(A151,'FERC 2023'!$A$3:$BF$221,58,0)</f>
        <v>0</v>
      </c>
      <c r="J151" s="7"/>
      <c r="K151" s="7"/>
      <c r="L151" s="7"/>
      <c r="M151" s="187" t="str">
        <f t="shared" si="0"/>
        <v/>
      </c>
      <c r="N151" s="187" t="str">
        <f t="shared" si="1"/>
        <v/>
      </c>
      <c r="O151" s="187" t="str">
        <f t="shared" si="2"/>
        <v/>
      </c>
      <c r="P151" s="7"/>
      <c r="Q151" s="240" t="str">
        <f t="shared" si="3"/>
        <v>-</v>
      </c>
      <c r="R151" s="189" t="str">
        <f t="shared" ref="R151:T151" si="436">IF(ISERROR(R$5-365*$Q151),"-",MONTH(R$5-365*$Q151)&amp;"_"&amp;YEAR(R$5-365*$Q151))</f>
        <v>-</v>
      </c>
      <c r="S151" s="189" t="str">
        <f t="shared" si="436"/>
        <v>-</v>
      </c>
      <c r="T151" s="189" t="str">
        <f t="shared" si="436"/>
        <v>-</v>
      </c>
      <c r="U151" s="7"/>
      <c r="V151" s="7"/>
      <c r="W151" s="190" t="str">
        <f>IF(R151="-","-",VLOOKUP(R151,'CPI USA'!$T:$U,2,FALSE))</f>
        <v>-</v>
      </c>
      <c r="X151" s="190" t="str">
        <f>IF(S151="-","-",VLOOKUP(S151,'CPI USA'!$T:$U,2,FALSE))</f>
        <v>-</v>
      </c>
      <c r="Y151" s="190" t="str">
        <f>IF(T151="-","-",VLOOKUP(T151,'CPI USA'!$T:$U,2,FALSE))</f>
        <v>-</v>
      </c>
      <c r="Z151" s="7"/>
      <c r="AA151" s="7"/>
      <c r="AB151" s="190" t="str">
        <f>IF(R151="-","-",VLOOKUP(R151,'PPI USA'!$S:$T,2,FALSE))</f>
        <v>-</v>
      </c>
      <c r="AC151" s="190" t="str">
        <f>IF(S151="-","-",VLOOKUP(S151,'PPI USA'!$S:$T,2,FALSE))</f>
        <v>-</v>
      </c>
      <c r="AD151" s="190" t="str">
        <f>IF(T151="-","-",VLOOKUP(T151,'PPI USA'!$S:$T,2,FALSE))</f>
        <v>-</v>
      </c>
      <c r="AE151" s="7"/>
      <c r="AF151" s="7"/>
      <c r="AG151" s="190" t="str">
        <f t="shared" ref="AG151:AI151" si="437">IF(W151="-","-",(AT151*$B$2/W151+(1-AT151)*AVERAGE($B$2,$B$3)/AVERAGE(W151,AB151)))</f>
        <v>-</v>
      </c>
      <c r="AH151" s="190" t="str">
        <f t="shared" si="437"/>
        <v>-</v>
      </c>
      <c r="AI151" s="190" t="str">
        <f t="shared" si="437"/>
        <v>-</v>
      </c>
      <c r="AJ151" s="7"/>
      <c r="AK151" s="7"/>
      <c r="AL151" s="190" t="str">
        <f t="shared" ref="AL151:AN151" si="438">IF(W151="-","-",(AY151*$B$2/W151+(1-AY151)*AVERAGE($B$2,$B$3)/AVERAGE(W151,AB151)))</f>
        <v>-</v>
      </c>
      <c r="AM151" s="190" t="str">
        <f t="shared" si="438"/>
        <v>-</v>
      </c>
      <c r="AN151" s="190" t="str">
        <f t="shared" si="438"/>
        <v>-</v>
      </c>
      <c r="AO151" s="7"/>
      <c r="AP151" s="7"/>
      <c r="AQ151" s="7"/>
      <c r="AR151" s="7"/>
      <c r="AS151" s="7"/>
      <c r="AT151" s="242" t="str">
        <f>IF(R151="-","-",VLOOKUP(R151,'CPI USA'!$T:$V,3,FALSE))</f>
        <v>-</v>
      </c>
      <c r="AU151" s="242" t="str">
        <f>IF(S151="-","-",VLOOKUP(S151,'CPI USA'!$T:$V,3,FALSE))</f>
        <v>-</v>
      </c>
      <c r="AV151" s="242" t="str">
        <f>IF(T151="-","-",VLOOKUP(T151,'CPI USA'!$T:$V,3,FALSE))</f>
        <v>-</v>
      </c>
      <c r="AW151" s="7"/>
      <c r="AX151" s="7"/>
      <c r="AY151" s="242" t="str">
        <f>IF(R151="-","-",VLOOKUP(R151,'CPI USA'!$T:$X,5,FALSE))</f>
        <v>-</v>
      </c>
      <c r="AZ151" s="242" t="str">
        <f>IF(S151="-","-",VLOOKUP(S151,'CPI USA'!$T:$X,5,FALSE))</f>
        <v>-</v>
      </c>
      <c r="BA151" s="242" t="str">
        <f>IF(T151="-","-",VLOOKUP(T151,'CPI USA'!$T:$X,5,FALSE))</f>
        <v>-</v>
      </c>
      <c r="BB151" s="7"/>
    </row>
    <row r="152" spans="1:54" ht="15.75" customHeight="1">
      <c r="A152" s="185" t="s">
        <v>646</v>
      </c>
      <c r="B152" s="185" t="s">
        <v>647</v>
      </c>
      <c r="C152" s="243">
        <f>+'Empresas 21-23'!J147</f>
        <v>0</v>
      </c>
      <c r="D152" s="239">
        <f>VLOOKUP(A152,'FERC 2021'!$A$3:$BE$221,57,0)</f>
        <v>366333</v>
      </c>
      <c r="E152" s="239">
        <f>VLOOKUP(A152,'FERC 2021'!$A$3:$BF$221,58,0)</f>
        <v>28813</v>
      </c>
      <c r="F152" s="239">
        <f>VLOOKUP(A152,'FERC 2022'!$A$3:$BE$220,57,0)</f>
        <v>393900</v>
      </c>
      <c r="G152" s="239">
        <f>VLOOKUP(A152,'FERC 2022'!$A$3:$BF$220,58,0)</f>
        <v>27575</v>
      </c>
      <c r="H152" s="239">
        <f>VLOOKUP(A152,'FERC 2023'!$A$3:$BE$221,57,0)</f>
        <v>412558</v>
      </c>
      <c r="I152" s="239">
        <f>VLOOKUP(A152,'FERC 2023'!$A$3:$BF$221,58,0)</f>
        <v>18659</v>
      </c>
      <c r="J152" s="7"/>
      <c r="K152" s="7"/>
      <c r="L152" s="7"/>
      <c r="M152" s="187">
        <f t="shared" si="0"/>
        <v>12.714156804220318</v>
      </c>
      <c r="N152" s="187">
        <f t="shared" si="1"/>
        <v>14.284678150498641</v>
      </c>
      <c r="O152" s="187">
        <f t="shared" si="2"/>
        <v>22.110402486735623</v>
      </c>
      <c r="P152" s="7"/>
      <c r="Q152" s="240">
        <f t="shared" si="3"/>
        <v>16.369745813818195</v>
      </c>
      <c r="R152" s="189" t="str">
        <f t="shared" ref="R152:T152" si="439">IF(ISERROR(R$5-365*$Q152),"-",MONTH(R$5-365*$Q152)&amp;"_"&amp;YEAR(R$5-365*$Q152))</f>
        <v>8_2005</v>
      </c>
      <c r="S152" s="189" t="str">
        <f t="shared" si="439"/>
        <v>8_2006</v>
      </c>
      <c r="T152" s="189" t="str">
        <f t="shared" si="439"/>
        <v>8_2007</v>
      </c>
      <c r="U152" s="7"/>
      <c r="V152" s="7"/>
      <c r="W152" s="190">
        <f>IF(R152="-","-",VLOOKUP(R152,'CPI USA'!$T:$U,2,FALSE))</f>
        <v>195.3</v>
      </c>
      <c r="X152" s="190">
        <f>IF(S152="-","-",VLOOKUP(S152,'CPI USA'!$T:$U,2,FALSE))</f>
        <v>201.6</v>
      </c>
      <c r="Y152" s="190">
        <f>IF(T152="-","-",VLOOKUP(T152,'CPI USA'!$T:$U,2,FALSE))</f>
        <v>207.34200000000001</v>
      </c>
      <c r="Z152" s="7"/>
      <c r="AA152" s="7"/>
      <c r="AB152" s="190">
        <f>IF(R152="-","-",VLOOKUP(R152,'PPI USA'!$S:$T,2,FALSE))</f>
        <v>131.30000000000001</v>
      </c>
      <c r="AC152" s="190">
        <f>IF(S152="-","-",VLOOKUP(S152,'PPI USA'!$S:$T,2,FALSE))</f>
        <v>145.30000000000001</v>
      </c>
      <c r="AD152" s="190">
        <f>IF(T152="-","-",VLOOKUP(T152,'PPI USA'!$S:$T,2,FALSE))</f>
        <v>151.69999999999999</v>
      </c>
      <c r="AE152" s="7"/>
      <c r="AF152" s="7"/>
      <c r="AG152" s="190">
        <f t="shared" ref="AG152:AI152" si="440">IF(W152="-","-",(AT152*$B$2/W152+(1-AT152)*AVERAGE($B$2,$B$3)/AVERAGE(W152,AB152)))</f>
        <v>1.6621774217199745</v>
      </c>
      <c r="AH152" s="190">
        <f t="shared" si="440"/>
        <v>1.595396421204319</v>
      </c>
      <c r="AI152" s="190">
        <f t="shared" si="440"/>
        <v>1.5480022216582647</v>
      </c>
      <c r="AJ152" s="7"/>
      <c r="AK152" s="7"/>
      <c r="AL152" s="190">
        <f t="shared" ref="AL152:AN152" si="441">IF(W152="-","-",(AY152*$B$2/W152+(1-AY152)*AVERAGE($B$2,$B$3)/AVERAGE(W152,AB152)))</f>
        <v>1.6905992787819408</v>
      </c>
      <c r="AM152" s="190">
        <f t="shared" si="441"/>
        <v>1.6147712829199015</v>
      </c>
      <c r="AN152" s="190">
        <f t="shared" si="441"/>
        <v>1.5651038394149617</v>
      </c>
      <c r="AO152" s="7"/>
      <c r="AP152" s="7"/>
      <c r="AQ152" s="7"/>
      <c r="AR152" s="7"/>
      <c r="AS152" s="7"/>
      <c r="AT152" s="242">
        <f>IF(R152="-","-",VLOOKUP(R152,'CPI USA'!$T:$V,3,FALSE))</f>
        <v>0.67888602568792966</v>
      </c>
      <c r="AU152" s="242">
        <f>IF(S152="-","-",VLOOKUP(S152,'CPI USA'!$T:$V,3,FALSE))</f>
        <v>0.67263024008352756</v>
      </c>
      <c r="AV152" s="242">
        <f>IF(T152="-","-",VLOOKUP(T152,'CPI USA'!$T:$V,3,FALSE))</f>
        <v>0.67123734379962852</v>
      </c>
      <c r="AW152" s="7"/>
      <c r="AX152" s="7"/>
      <c r="AY152" s="242">
        <f>IF(R152="-","-",VLOOKUP(R152,'CPI USA'!$T:$X,5,FALSE))</f>
        <v>0.50828944385363772</v>
      </c>
      <c r="AZ152" s="242">
        <f>IF(S152="-","-",VLOOKUP(S152,'CPI USA'!$T:$X,5,FALSE))</f>
        <v>0.50115228263529643</v>
      </c>
      <c r="BA152" s="242">
        <f>IF(T152="-","-",VLOOKUP(T152,'CPI USA'!$T:$X,5,FALSE))</f>
        <v>0.49957259686190569</v>
      </c>
      <c r="BB152" s="7"/>
    </row>
    <row r="153" spans="1:54" ht="15.75" customHeight="1">
      <c r="A153" s="185" t="s">
        <v>649</v>
      </c>
      <c r="B153" s="185" t="s">
        <v>650</v>
      </c>
      <c r="C153" s="239">
        <f>+'Empresas 21-23'!J148</f>
        <v>0</v>
      </c>
      <c r="D153" s="239">
        <f>VLOOKUP(A153,'FERC 2021'!$A$3:$BE$221,57,0)</f>
        <v>344020972</v>
      </c>
      <c r="E153" s="239">
        <f>VLOOKUP(A153,'FERC 2021'!$A$3:$BF$221,58,0)</f>
        <v>23794392</v>
      </c>
      <c r="F153" s="239">
        <f>VLOOKUP(A153,'FERC 2022'!$A$3:$BE$220,57,0)</f>
        <v>360931368</v>
      </c>
      <c r="G153" s="239">
        <f>VLOOKUP(A153,'FERC 2022'!$A$3:$BF$220,58,0)</f>
        <v>25011480</v>
      </c>
      <c r="H153" s="239">
        <f>VLOOKUP(A153,'FERC 2023'!$A$3:$BE$221,57,0)</f>
        <v>370371414</v>
      </c>
      <c r="I153" s="239">
        <f>VLOOKUP(A153,'FERC 2023'!$A$3:$BF$221,58,0)</f>
        <v>26299931</v>
      </c>
      <c r="J153" s="7"/>
      <c r="K153" s="7"/>
      <c r="L153" s="7"/>
      <c r="M153" s="187">
        <f t="shared" si="0"/>
        <v>14.458069447624466</v>
      </c>
      <c r="N153" s="187">
        <f t="shared" si="1"/>
        <v>14.430628175541791</v>
      </c>
      <c r="O153" s="187">
        <f t="shared" si="2"/>
        <v>14.082600216707792</v>
      </c>
      <c r="P153" s="7"/>
      <c r="Q153" s="240">
        <f t="shared" si="3"/>
        <v>14.323765946624684</v>
      </c>
      <c r="R153" s="189" t="str">
        <f t="shared" ref="R153:T153" si="442">IF(ISERROR(R$5-365*$Q153),"-",MONTH(R$5-365*$Q153)&amp;"_"&amp;YEAR(R$5-365*$Q153))</f>
        <v>9_2007</v>
      </c>
      <c r="S153" s="189" t="str">
        <f t="shared" si="442"/>
        <v>9_2008</v>
      </c>
      <c r="T153" s="189" t="str">
        <f t="shared" si="442"/>
        <v>9_2009</v>
      </c>
      <c r="U153" s="7"/>
      <c r="V153" s="7"/>
      <c r="W153" s="190">
        <f>IF(R153="-","-",VLOOKUP(R153,'CPI USA'!$T:$U,2,FALSE))</f>
        <v>207.34200000000001</v>
      </c>
      <c r="X153" s="190">
        <f>IF(S153="-","-",VLOOKUP(S153,'CPI USA'!$T:$U,2,FALSE))</f>
        <v>215.303</v>
      </c>
      <c r="Y153" s="190">
        <f>IF(T153="-","-",VLOOKUP(T153,'CPI USA'!$T:$U,2,FALSE))</f>
        <v>214.53700000000001</v>
      </c>
      <c r="Z153" s="7"/>
      <c r="AA153" s="7"/>
      <c r="AB153" s="190">
        <f>IF(R153="-","-",VLOOKUP(R153,'PPI USA'!$S:$T,2,FALSE))</f>
        <v>151.69999999999999</v>
      </c>
      <c r="AC153" s="190">
        <f>IF(S153="-","-",VLOOKUP(S153,'PPI USA'!$S:$T,2,FALSE))</f>
        <v>159.30000000000001</v>
      </c>
      <c r="AD153" s="190">
        <f>IF(T153="-","-",VLOOKUP(T153,'PPI USA'!$S:$T,2,FALSE))</f>
        <v>159.1</v>
      </c>
      <c r="AE153" s="7"/>
      <c r="AF153" s="7"/>
      <c r="AG153" s="190">
        <f t="shared" ref="AG153:AI153" si="443">IF(W153="-","-",(AT153*$B$2/W153+(1-AT153)*AVERAGE($B$2,$B$3)/AVERAGE(W153,AB153)))</f>
        <v>1.5480022216582647</v>
      </c>
      <c r="AH153" s="190">
        <f t="shared" si="443"/>
        <v>1.4884333659448254</v>
      </c>
      <c r="AI153" s="190">
        <f t="shared" si="443"/>
        <v>1.4932638886873792</v>
      </c>
      <c r="AJ153" s="7"/>
      <c r="AK153" s="7"/>
      <c r="AL153" s="190">
        <f t="shared" ref="AL153:AN153" si="444">IF(W153="-","-",(AY153*$B$2/W153+(1-AY153)*AVERAGE($B$2,$B$3)/AVERAGE(W153,AB153)))</f>
        <v>1.5651038394149617</v>
      </c>
      <c r="AM153" s="190">
        <f t="shared" si="444"/>
        <v>1.5036496327119213</v>
      </c>
      <c r="AN153" s="190">
        <f t="shared" si="444"/>
        <v>1.5082750176818205</v>
      </c>
      <c r="AO153" s="7"/>
      <c r="AP153" s="7"/>
      <c r="AQ153" s="7"/>
      <c r="AR153" s="7"/>
      <c r="AS153" s="7"/>
      <c r="AT153" s="242">
        <f>IF(R153="-","-",VLOOKUP(R153,'CPI USA'!$T:$V,3,FALSE))</f>
        <v>0.67123734379962852</v>
      </c>
      <c r="AU153" s="242">
        <f>IF(S153="-","-",VLOOKUP(S153,'CPI USA'!$T:$V,3,FALSE))</f>
        <v>0.67018812038291731</v>
      </c>
      <c r="AV153" s="242">
        <f>IF(T153="-","-",VLOOKUP(T153,'CPI USA'!$T:$V,3,FALSE))</f>
        <v>0.66997101349938215</v>
      </c>
      <c r="AW153" s="7"/>
      <c r="AX153" s="7"/>
      <c r="AY153" s="242">
        <f>IF(R153="-","-",VLOOKUP(R153,'CPI USA'!$T:$X,5,FALSE))</f>
        <v>0.49957259686190569</v>
      </c>
      <c r="AZ153" s="242">
        <f>IF(S153="-","-",VLOOKUP(S153,'CPI USA'!$T:$X,5,FALSE))</f>
        <v>0.49838492968660258</v>
      </c>
      <c r="BA153" s="242">
        <f>IF(T153="-","-",VLOOKUP(T153,'CPI USA'!$T:$X,5,FALSE))</f>
        <v>0.49813941766071862</v>
      </c>
      <c r="BB153" s="7"/>
    </row>
    <row r="154" spans="1:54" ht="15.75" customHeight="1">
      <c r="A154" s="185" t="s">
        <v>652</v>
      </c>
      <c r="B154" s="185" t="s">
        <v>653</v>
      </c>
      <c r="C154" s="239">
        <f>+'Empresas 21-23'!J149</f>
        <v>0</v>
      </c>
      <c r="D154" s="239">
        <f>VLOOKUP(A154,'FERC 2021'!$A$3:$BE$221,57,0)</f>
        <v>1570749015</v>
      </c>
      <c r="E154" s="239">
        <f>VLOOKUP(A154,'FERC 2021'!$A$3:$BF$221,58,0)</f>
        <v>134490390</v>
      </c>
      <c r="F154" s="239">
        <f>VLOOKUP(A154,'FERC 2022'!$A$3:$BE$220,57,0)</f>
        <v>1597144690</v>
      </c>
      <c r="G154" s="239">
        <f>VLOOKUP(A154,'FERC 2022'!$A$3:$BF$220,58,0)</f>
        <v>144203917</v>
      </c>
      <c r="H154" s="239">
        <f>VLOOKUP(A154,'FERC 2023'!$A$3:$BE$221,57,0)</f>
        <v>1618629414</v>
      </c>
      <c r="I154" s="239">
        <f>VLOOKUP(A154,'FERC 2023'!$A$3:$BF$221,58,0)</f>
        <v>155521492</v>
      </c>
      <c r="J154" s="7"/>
      <c r="K154" s="7"/>
      <c r="L154" s="7"/>
      <c r="M154" s="187">
        <f t="shared" si="0"/>
        <v>11.679265819661911</v>
      </c>
      <c r="N154" s="187">
        <f t="shared" si="1"/>
        <v>11.07559852205679</v>
      </c>
      <c r="O154" s="187">
        <f t="shared" si="2"/>
        <v>10.407753894233474</v>
      </c>
      <c r="P154" s="7"/>
      <c r="Q154" s="240">
        <f t="shared" si="3"/>
        <v>11.054206078650724</v>
      </c>
      <c r="R154" s="189" t="str">
        <f t="shared" ref="R154:T154" si="445">IF(ISERROR(R$5-365*$Q154),"-",MONTH(R$5-365*$Q154)&amp;"_"&amp;YEAR(R$5-365*$Q154))</f>
        <v>12_2010</v>
      </c>
      <c r="S154" s="189" t="str">
        <f t="shared" si="445"/>
        <v>12_2011</v>
      </c>
      <c r="T154" s="189" t="str">
        <f t="shared" si="445"/>
        <v>12_2012</v>
      </c>
      <c r="U154" s="7"/>
      <c r="V154" s="7"/>
      <c r="W154" s="190">
        <f>IF(R154="-","-",VLOOKUP(R154,'CPI USA'!$T:$U,2,FALSE))</f>
        <v>218.05600000000001</v>
      </c>
      <c r="X154" s="190">
        <f>IF(S154="-","-",VLOOKUP(S154,'CPI USA'!$T:$U,2,FALSE))</f>
        <v>224.93899999999999</v>
      </c>
      <c r="Y154" s="190">
        <f>IF(T154="-","-",VLOOKUP(T154,'CPI USA'!$T:$U,2,FALSE))</f>
        <v>229.59399999999999</v>
      </c>
      <c r="Z154" s="7"/>
      <c r="AA154" s="7"/>
      <c r="AB154" s="190">
        <f>IF(R154="-","-",VLOOKUP(R154,'PPI USA'!$S:$T,2,FALSE))</f>
        <v>160.80000000000001</v>
      </c>
      <c r="AC154" s="190">
        <f>IF(S154="-","-",VLOOKUP(S154,'PPI USA'!$S:$T,2,FALSE))</f>
        <v>169.6</v>
      </c>
      <c r="AD154" s="190">
        <f>IF(T154="-","-",VLOOKUP(T154,'PPI USA'!$S:$T,2,FALSE))</f>
        <v>175.1</v>
      </c>
      <c r="AE154" s="7"/>
      <c r="AF154" s="7"/>
      <c r="AG154" s="190">
        <f t="shared" ref="AG154:AI154" si="446">IF(W154="-","-",(AT154*$B$2/W154+(1-AT154)*AVERAGE($B$2,$B$3)/AVERAGE(W154,AB154)))</f>
        <v>1.4703278680244813</v>
      </c>
      <c r="AH154" s="190">
        <f t="shared" si="446"/>
        <v>1.4208751760332547</v>
      </c>
      <c r="AI154" s="190">
        <f t="shared" si="446"/>
        <v>1.3897894616766442</v>
      </c>
      <c r="AJ154" s="7"/>
      <c r="AK154" s="7"/>
      <c r="AL154" s="190">
        <f t="shared" ref="AL154:AN154" si="447">IF(W154="-","-",(AY154*$B$2/W154+(1-AY154)*AVERAGE($B$2,$B$3)/AVERAGE(W154,AB154)))</f>
        <v>1.4857204383544427</v>
      </c>
      <c r="AM154" s="190">
        <f t="shared" si="447"/>
        <v>1.4334111417560953</v>
      </c>
      <c r="AN154" s="190">
        <f t="shared" si="447"/>
        <v>1.4008620811189902</v>
      </c>
      <c r="AO154" s="7"/>
      <c r="AP154" s="7"/>
      <c r="AQ154" s="7"/>
      <c r="AR154" s="7"/>
      <c r="AS154" s="7"/>
      <c r="AT154" s="242">
        <f>IF(R154="-","-",VLOOKUP(R154,'CPI USA'!$T:$V,3,FALSE))</f>
        <v>0.67050107279443949</v>
      </c>
      <c r="AU154" s="242">
        <f>IF(S154="-","-",VLOOKUP(S154,'CPI USA'!$T:$V,3,FALSE))</f>
        <v>0.6684022975047168</v>
      </c>
      <c r="AV154" s="242">
        <f>IF(T154="-","-",VLOOKUP(T154,'CPI USA'!$T:$V,3,FALSE))</f>
        <v>0.66730871354337351</v>
      </c>
      <c r="AW154" s="7"/>
      <c r="AX154" s="7"/>
      <c r="AY154" s="242">
        <f>IF(R154="-","-",VLOOKUP(R154,'CPI USA'!$T:$X,5,FALSE))</f>
        <v>0.4987389730136107</v>
      </c>
      <c r="AZ154" s="242">
        <f>IF(S154="-","-",VLOOKUP(S154,'CPI USA'!$T:$X,5,FALSE))</f>
        <v>0.49636791791307899</v>
      </c>
      <c r="BA154" s="242">
        <f>IF(T154="-","-",VLOOKUP(T154,'CPI USA'!$T:$X,5,FALSE))</f>
        <v>0.49513551903851311</v>
      </c>
      <c r="BB154" s="7"/>
    </row>
    <row r="155" spans="1:54" ht="15.75" customHeight="1">
      <c r="A155" s="185" t="s">
        <v>655</v>
      </c>
      <c r="B155" s="185" t="s">
        <v>656</v>
      </c>
      <c r="C155" s="239">
        <f>+'Empresas 21-23'!J150</f>
        <v>0</v>
      </c>
      <c r="D155" s="239">
        <f>VLOOKUP(A155,'FERC 2021'!$A$3:$BE$221,57,0)</f>
        <v>876364764</v>
      </c>
      <c r="E155" s="239">
        <f>VLOOKUP(A155,'FERC 2021'!$A$3:$BF$221,58,0)</f>
        <v>56848499</v>
      </c>
      <c r="F155" s="239">
        <f>VLOOKUP(A155,'FERC 2022'!$A$3:$BE$220,57,0)</f>
        <v>912728089</v>
      </c>
      <c r="G155" s="239">
        <f>VLOOKUP(A155,'FERC 2022'!$A$3:$BF$220,58,0)</f>
        <v>60164686</v>
      </c>
      <c r="H155" s="239">
        <f>VLOOKUP(A155,'FERC 2023'!$A$3:$BE$221,57,0)</f>
        <v>946719166</v>
      </c>
      <c r="I155" s="239">
        <f>VLOOKUP(A155,'FERC 2023'!$A$3:$BF$221,58,0)</f>
        <v>64527020</v>
      </c>
      <c r="J155" s="7"/>
      <c r="K155" s="7"/>
      <c r="L155" s="7"/>
      <c r="M155" s="187">
        <f t="shared" si="0"/>
        <v>15.415794249906229</v>
      </c>
      <c r="N155" s="187">
        <f t="shared" si="1"/>
        <v>15.170495346722161</v>
      </c>
      <c r="O155" s="187">
        <f t="shared" si="2"/>
        <v>14.671670348328499</v>
      </c>
      <c r="P155" s="7"/>
      <c r="Q155" s="240">
        <f t="shared" si="3"/>
        <v>15.085986648318963</v>
      </c>
      <c r="R155" s="189" t="str">
        <f t="shared" ref="R155:T155" si="448">IF(ISERROR(R$5-365*$Q155),"-",MONTH(R$5-365*$Q155)&amp;"_"&amp;YEAR(R$5-365*$Q155))</f>
        <v>12_2006</v>
      </c>
      <c r="S155" s="189" t="str">
        <f t="shared" si="448"/>
        <v>12_2007</v>
      </c>
      <c r="T155" s="189" t="str">
        <f t="shared" si="448"/>
        <v>12_2008</v>
      </c>
      <c r="U155" s="7"/>
      <c r="V155" s="7"/>
      <c r="W155" s="190">
        <f>IF(R155="-","-",VLOOKUP(R155,'CPI USA'!$T:$U,2,FALSE))</f>
        <v>201.6</v>
      </c>
      <c r="X155" s="190">
        <f>IF(S155="-","-",VLOOKUP(S155,'CPI USA'!$T:$U,2,FALSE))</f>
        <v>207.34200000000001</v>
      </c>
      <c r="Y155" s="190">
        <f>IF(T155="-","-",VLOOKUP(T155,'CPI USA'!$T:$U,2,FALSE))</f>
        <v>215.303</v>
      </c>
      <c r="Z155" s="7"/>
      <c r="AA155" s="7"/>
      <c r="AB155" s="190">
        <f>IF(R155="-","-",VLOOKUP(R155,'PPI USA'!$S:$T,2,FALSE))</f>
        <v>145.30000000000001</v>
      </c>
      <c r="AC155" s="190">
        <f>IF(S155="-","-",VLOOKUP(S155,'PPI USA'!$S:$T,2,FALSE))</f>
        <v>151.69999999999999</v>
      </c>
      <c r="AD155" s="190">
        <f>IF(T155="-","-",VLOOKUP(T155,'PPI USA'!$S:$T,2,FALSE))</f>
        <v>159.30000000000001</v>
      </c>
      <c r="AE155" s="7"/>
      <c r="AF155" s="7"/>
      <c r="AG155" s="190">
        <f t="shared" ref="AG155:AI155" si="449">IF(W155="-","-",(AT155*$B$2/W155+(1-AT155)*AVERAGE($B$2,$B$3)/AVERAGE(W155,AB155)))</f>
        <v>1.595396421204319</v>
      </c>
      <c r="AH155" s="190">
        <f t="shared" si="449"/>
        <v>1.5480022216582647</v>
      </c>
      <c r="AI155" s="190">
        <f t="shared" si="449"/>
        <v>1.4884333659448254</v>
      </c>
      <c r="AJ155" s="7"/>
      <c r="AK155" s="7"/>
      <c r="AL155" s="190">
        <f t="shared" ref="AL155:AN155" si="450">IF(W155="-","-",(AY155*$B$2/W155+(1-AY155)*AVERAGE($B$2,$B$3)/AVERAGE(W155,AB155)))</f>
        <v>1.6147712829199015</v>
      </c>
      <c r="AM155" s="190">
        <f t="shared" si="450"/>
        <v>1.5651038394149617</v>
      </c>
      <c r="AN155" s="190">
        <f t="shared" si="450"/>
        <v>1.5036496327119213</v>
      </c>
      <c r="AO155" s="7"/>
      <c r="AP155" s="7"/>
      <c r="AQ155" s="7"/>
      <c r="AR155" s="7"/>
      <c r="AS155" s="7"/>
      <c r="AT155" s="242">
        <f>IF(R155="-","-",VLOOKUP(R155,'CPI USA'!$T:$V,3,FALSE))</f>
        <v>0.67263024008352756</v>
      </c>
      <c r="AU155" s="242">
        <f>IF(S155="-","-",VLOOKUP(S155,'CPI USA'!$T:$V,3,FALSE))</f>
        <v>0.67123734379962852</v>
      </c>
      <c r="AV155" s="242">
        <f>IF(T155="-","-",VLOOKUP(T155,'CPI USA'!$T:$V,3,FALSE))</f>
        <v>0.67018812038291731</v>
      </c>
      <c r="AW155" s="7"/>
      <c r="AX155" s="7"/>
      <c r="AY155" s="242">
        <f>IF(R155="-","-",VLOOKUP(R155,'CPI USA'!$T:$X,5,FALSE))</f>
        <v>0.50115228263529643</v>
      </c>
      <c r="AZ155" s="242">
        <f>IF(S155="-","-",VLOOKUP(S155,'CPI USA'!$T:$X,5,FALSE))</f>
        <v>0.49957259686190569</v>
      </c>
      <c r="BA155" s="242">
        <f>IF(T155="-","-",VLOOKUP(T155,'CPI USA'!$T:$X,5,FALSE))</f>
        <v>0.49838492968660258</v>
      </c>
      <c r="BB155" s="7"/>
    </row>
    <row r="156" spans="1:54" ht="15.75" customHeight="1">
      <c r="A156" s="185" t="s">
        <v>658</v>
      </c>
      <c r="B156" s="185" t="s">
        <v>659</v>
      </c>
      <c r="C156" s="243">
        <f>+'Empresas 21-23'!J151</f>
        <v>0</v>
      </c>
      <c r="D156" s="239">
        <f>VLOOKUP(A156,'FERC 2021'!$A$3:$BE$221,57,0)</f>
        <v>2965112647</v>
      </c>
      <c r="E156" s="239">
        <f>VLOOKUP(A156,'FERC 2021'!$A$3:$BF$221,58,0)</f>
        <v>254153797</v>
      </c>
      <c r="F156" s="239">
        <f>VLOOKUP(A156,'FERC 2022'!$A$3:$BE$220,57,0)</f>
        <v>3018748992</v>
      </c>
      <c r="G156" s="239">
        <f>VLOOKUP(A156,'FERC 2022'!$A$3:$BF$220,58,0)</f>
        <v>273884800</v>
      </c>
      <c r="H156" s="239">
        <f>VLOOKUP(A156,'FERC 2023'!$A$3:$BE$221,57,0)</f>
        <v>3076782306</v>
      </c>
      <c r="I156" s="239">
        <f>VLOOKUP(A156,'FERC 2023'!$A$3:$BF$221,58,0)</f>
        <v>301647884</v>
      </c>
      <c r="J156" s="7"/>
      <c r="K156" s="7"/>
      <c r="L156" s="7"/>
      <c r="M156" s="187">
        <f t="shared" si="0"/>
        <v>11.666607707615716</v>
      </c>
      <c r="N156" s="187">
        <f t="shared" si="1"/>
        <v>11.021966140508709</v>
      </c>
      <c r="O156" s="187">
        <f t="shared" si="2"/>
        <v>10.199913439472361</v>
      </c>
      <c r="P156" s="7"/>
      <c r="Q156" s="240">
        <f t="shared" si="3"/>
        <v>10.962829095865596</v>
      </c>
      <c r="R156" s="189" t="str">
        <f t="shared" ref="R156:T156" si="451">IF(ISERROR(R$5-365*$Q156),"-",MONTH(R$5-365*$Q156)&amp;"_"&amp;YEAR(R$5-365*$Q156))</f>
        <v>1_2011</v>
      </c>
      <c r="S156" s="189" t="str">
        <f t="shared" si="451"/>
        <v>1_2012</v>
      </c>
      <c r="T156" s="189" t="str">
        <f t="shared" si="451"/>
        <v>1_2013</v>
      </c>
      <c r="U156" s="7"/>
      <c r="V156" s="7"/>
      <c r="W156" s="190">
        <f>IF(R156="-","-",VLOOKUP(R156,'CPI USA'!$T:$U,2,FALSE))</f>
        <v>224.93899999999999</v>
      </c>
      <c r="X156" s="190">
        <f>IF(S156="-","-",VLOOKUP(S156,'CPI USA'!$T:$U,2,FALSE))</f>
        <v>229.59399999999999</v>
      </c>
      <c r="Y156" s="190">
        <f>IF(T156="-","-",VLOOKUP(T156,'CPI USA'!$T:$U,2,FALSE))</f>
        <v>230.28</v>
      </c>
      <c r="Z156" s="7"/>
      <c r="AA156" s="7"/>
      <c r="AB156" s="190">
        <f>IF(R156="-","-",VLOOKUP(R156,'PPI USA'!$S:$T,2,FALSE))</f>
        <v>169.6</v>
      </c>
      <c r="AC156" s="190">
        <f>IF(S156="-","-",VLOOKUP(S156,'PPI USA'!$S:$T,2,FALSE))</f>
        <v>175.1</v>
      </c>
      <c r="AD156" s="190">
        <f>IF(T156="-","-",VLOOKUP(T156,'PPI USA'!$S:$T,2,FALSE))</f>
        <v>166.2</v>
      </c>
      <c r="AE156" s="7"/>
      <c r="AF156" s="7"/>
      <c r="AG156" s="190">
        <f t="shared" ref="AG156:AI156" si="452">IF(W156="-","-",(AT156*$B$2/W156+(1-AT156)*AVERAGE($B$2,$B$3)/AVERAGE(W156,AB156)))</f>
        <v>1.4208751760332547</v>
      </c>
      <c r="AH156" s="190">
        <f t="shared" si="452"/>
        <v>1.3897894616766442</v>
      </c>
      <c r="AI156" s="190">
        <f t="shared" si="452"/>
        <v>1.3963809315743387</v>
      </c>
      <c r="AJ156" s="7"/>
      <c r="AK156" s="7"/>
      <c r="AL156" s="190">
        <f t="shared" ref="AL156:AN156" si="453">IF(W156="-","-",(AY156*$B$2/W156+(1-AY156)*AVERAGE($B$2,$B$3)/AVERAGE(W156,AB156)))</f>
        <v>1.4334111417560953</v>
      </c>
      <c r="AM156" s="190">
        <f t="shared" si="453"/>
        <v>1.4008620811189902</v>
      </c>
      <c r="AN156" s="190">
        <f t="shared" si="453"/>
        <v>1.4131920249632246</v>
      </c>
      <c r="AO156" s="7"/>
      <c r="AP156" s="7"/>
      <c r="AQ156" s="7"/>
      <c r="AR156" s="7"/>
      <c r="AS156" s="7"/>
      <c r="AT156" s="242">
        <f>IF(R156="-","-",VLOOKUP(R156,'CPI USA'!$T:$V,3,FALSE))</f>
        <v>0.6684022975047168</v>
      </c>
      <c r="AU156" s="242">
        <f>IF(S156="-","-",VLOOKUP(S156,'CPI USA'!$T:$V,3,FALSE))</f>
        <v>0.66730871354337351</v>
      </c>
      <c r="AV156" s="242">
        <f>IF(T156="-","-",VLOOKUP(T156,'CPI USA'!$T:$V,3,FALSE))</f>
        <v>0.67305131835944076</v>
      </c>
      <c r="AW156" s="7"/>
      <c r="AX156" s="7"/>
      <c r="AY156" s="242">
        <f>IF(R156="-","-",VLOOKUP(R156,'CPI USA'!$T:$X,5,FALSE))</f>
        <v>0.49636791791307899</v>
      </c>
      <c r="AZ156" s="242">
        <f>IF(S156="-","-",VLOOKUP(S156,'CPI USA'!$T:$X,5,FALSE))</f>
        <v>0.49513551903851311</v>
      </c>
      <c r="BA156" s="242">
        <f>IF(T156="-","-",VLOOKUP(T156,'CPI USA'!$T:$X,5,FALSE))</f>
        <v>0.50163050295255052</v>
      </c>
      <c r="BB156" s="7"/>
    </row>
    <row r="157" spans="1:54" ht="15.75" customHeight="1">
      <c r="A157" s="185" t="s">
        <v>661</v>
      </c>
      <c r="B157" s="185" t="s">
        <v>662</v>
      </c>
      <c r="C157" s="239">
        <f>+'Empresas 21-23'!J152</f>
        <v>0</v>
      </c>
      <c r="D157" s="239">
        <f>VLOOKUP(A157,'FERC 2021'!$A$3:$BE$221,57,0)</f>
        <v>156618153</v>
      </c>
      <c r="E157" s="239">
        <f>VLOOKUP(A157,'FERC 2021'!$A$3:$BF$221,58,0)</f>
        <v>11122003</v>
      </c>
      <c r="F157" s="239">
        <f>VLOOKUP(A157,'FERC 2022'!$A$3:$BE$220,57,0)</f>
        <v>165719531</v>
      </c>
      <c r="G157" s="239">
        <f>VLOOKUP(A157,'FERC 2022'!$A$3:$BF$220,58,0)</f>
        <v>11444179</v>
      </c>
      <c r="H157" s="239">
        <f>VLOOKUP(A157,'FERC 2023'!$A$3:$BE$221,57,0)</f>
        <v>170036915</v>
      </c>
      <c r="I157" s="239">
        <f>VLOOKUP(A157,'FERC 2023'!$A$3:$BF$221,58,0)</f>
        <v>11357248</v>
      </c>
      <c r="J157" s="7"/>
      <c r="K157" s="7"/>
      <c r="L157" s="7"/>
      <c r="M157" s="187">
        <f t="shared" si="0"/>
        <v>14.081829774726728</v>
      </c>
      <c r="N157" s="187">
        <f t="shared" si="1"/>
        <v>14.480683236429629</v>
      </c>
      <c r="O157" s="187">
        <f t="shared" si="2"/>
        <v>14.971665230872832</v>
      </c>
      <c r="P157" s="7"/>
      <c r="Q157" s="240">
        <f t="shared" si="3"/>
        <v>14.511392747343061</v>
      </c>
      <c r="R157" s="189" t="str">
        <f t="shared" ref="R157:T157" si="454">IF(ISERROR(R$5-365*$Q157),"-",MONTH(R$5-365*$Q157)&amp;"_"&amp;YEAR(R$5-365*$Q157))</f>
        <v>7_2007</v>
      </c>
      <c r="S157" s="189" t="str">
        <f t="shared" si="454"/>
        <v>6_2008</v>
      </c>
      <c r="T157" s="189" t="str">
        <f t="shared" si="454"/>
        <v>6_2009</v>
      </c>
      <c r="U157" s="7"/>
      <c r="V157" s="7"/>
      <c r="W157" s="190">
        <f>IF(R157="-","-",VLOOKUP(R157,'CPI USA'!$T:$U,2,FALSE))</f>
        <v>207.34200000000001</v>
      </c>
      <c r="X157" s="190">
        <f>IF(S157="-","-",VLOOKUP(S157,'CPI USA'!$T:$U,2,FALSE))</f>
        <v>215.303</v>
      </c>
      <c r="Y157" s="190">
        <f>IF(T157="-","-",VLOOKUP(T157,'CPI USA'!$T:$U,2,FALSE))</f>
        <v>214.53700000000001</v>
      </c>
      <c r="Z157" s="7"/>
      <c r="AA157" s="7"/>
      <c r="AB157" s="190">
        <f>IF(R157="-","-",VLOOKUP(R157,'PPI USA'!$S:$T,2,FALSE))</f>
        <v>151.69999999999999</v>
      </c>
      <c r="AC157" s="190">
        <f>IF(S157="-","-",VLOOKUP(S157,'PPI USA'!$S:$T,2,FALSE))</f>
        <v>159.30000000000001</v>
      </c>
      <c r="AD157" s="190">
        <f>IF(T157="-","-",VLOOKUP(T157,'PPI USA'!$S:$T,2,FALSE))</f>
        <v>159.1</v>
      </c>
      <c r="AE157" s="7"/>
      <c r="AF157" s="7"/>
      <c r="AG157" s="190">
        <f t="shared" ref="AG157:AI157" si="455">IF(W157="-","-",(AT157*$B$2/W157+(1-AT157)*AVERAGE($B$2,$B$3)/AVERAGE(W157,AB157)))</f>
        <v>1.5480022216582647</v>
      </c>
      <c r="AH157" s="190">
        <f t="shared" si="455"/>
        <v>1.4884333659448254</v>
      </c>
      <c r="AI157" s="190">
        <f t="shared" si="455"/>
        <v>1.4932638886873792</v>
      </c>
      <c r="AJ157" s="7"/>
      <c r="AK157" s="7"/>
      <c r="AL157" s="190">
        <f t="shared" ref="AL157:AN157" si="456">IF(W157="-","-",(AY157*$B$2/W157+(1-AY157)*AVERAGE($B$2,$B$3)/AVERAGE(W157,AB157)))</f>
        <v>1.5651038394149617</v>
      </c>
      <c r="AM157" s="190">
        <f t="shared" si="456"/>
        <v>1.5036496327119213</v>
      </c>
      <c r="AN157" s="190">
        <f t="shared" si="456"/>
        <v>1.5082750176818205</v>
      </c>
      <c r="AO157" s="7"/>
      <c r="AP157" s="7"/>
      <c r="AQ157" s="7"/>
      <c r="AR157" s="7"/>
      <c r="AS157" s="7"/>
      <c r="AT157" s="242">
        <f>IF(R157="-","-",VLOOKUP(R157,'CPI USA'!$T:$V,3,FALSE))</f>
        <v>0.67123734379962852</v>
      </c>
      <c r="AU157" s="242">
        <f>IF(S157="-","-",VLOOKUP(S157,'CPI USA'!$T:$V,3,FALSE))</f>
        <v>0.67018812038291731</v>
      </c>
      <c r="AV157" s="242">
        <f>IF(T157="-","-",VLOOKUP(T157,'CPI USA'!$T:$V,3,FALSE))</f>
        <v>0.66997101349938215</v>
      </c>
      <c r="AW157" s="7"/>
      <c r="AX157" s="7"/>
      <c r="AY157" s="242">
        <f>IF(R157="-","-",VLOOKUP(R157,'CPI USA'!$T:$X,5,FALSE))</f>
        <v>0.49957259686190569</v>
      </c>
      <c r="AZ157" s="242">
        <f>IF(S157="-","-",VLOOKUP(S157,'CPI USA'!$T:$X,5,FALSE))</f>
        <v>0.49838492968660258</v>
      </c>
      <c r="BA157" s="242">
        <f>IF(T157="-","-",VLOOKUP(T157,'CPI USA'!$T:$X,5,FALSE))</f>
        <v>0.49813941766071862</v>
      </c>
      <c r="BB157" s="7"/>
    </row>
    <row r="158" spans="1:54" ht="15.75" customHeight="1">
      <c r="A158" s="185" t="s">
        <v>664</v>
      </c>
      <c r="B158" s="185" t="s">
        <v>665</v>
      </c>
      <c r="C158" s="243">
        <f>+'Empresas 21-23'!J153</f>
        <v>0</v>
      </c>
      <c r="D158" s="239">
        <f>VLOOKUP(A158,'FERC 2021'!$A$3:$BE$221,57,0)</f>
        <v>0</v>
      </c>
      <c r="E158" s="239">
        <f>VLOOKUP(A158,'FERC 2021'!$A$3:$BF$221,58,0)</f>
        <v>0</v>
      </c>
      <c r="F158" s="239">
        <f>VLOOKUP(A158,'FERC 2022'!$A$3:$BE$220,57,0)</f>
        <v>0</v>
      </c>
      <c r="G158" s="239">
        <f>VLOOKUP(A158,'FERC 2022'!$A$3:$BF$220,58,0)</f>
        <v>0</v>
      </c>
      <c r="H158" s="239">
        <f>VLOOKUP(A158,'FERC 2023'!$A$3:$BE$221,57,0)</f>
        <v>0</v>
      </c>
      <c r="I158" s="239">
        <f>VLOOKUP(A158,'FERC 2023'!$A$3:$BF$221,58,0)</f>
        <v>0</v>
      </c>
      <c r="J158" s="7"/>
      <c r="K158" s="7"/>
      <c r="L158" s="7"/>
      <c r="M158" s="187" t="str">
        <f t="shared" si="0"/>
        <v/>
      </c>
      <c r="N158" s="187" t="str">
        <f t="shared" si="1"/>
        <v/>
      </c>
      <c r="O158" s="187" t="str">
        <f t="shared" si="2"/>
        <v/>
      </c>
      <c r="P158" s="7"/>
      <c r="Q158" s="240" t="str">
        <f t="shared" si="3"/>
        <v>-</v>
      </c>
      <c r="R158" s="189" t="str">
        <f t="shared" ref="R158:T158" si="457">IF(ISERROR(R$5-365*$Q158),"-",MONTH(R$5-365*$Q158)&amp;"_"&amp;YEAR(R$5-365*$Q158))</f>
        <v>-</v>
      </c>
      <c r="S158" s="189" t="str">
        <f t="shared" si="457"/>
        <v>-</v>
      </c>
      <c r="T158" s="189" t="str">
        <f t="shared" si="457"/>
        <v>-</v>
      </c>
      <c r="U158" s="7"/>
      <c r="V158" s="7"/>
      <c r="W158" s="190" t="str">
        <f>IF(R158="-","-",VLOOKUP(R158,'CPI USA'!$T:$U,2,FALSE))</f>
        <v>-</v>
      </c>
      <c r="X158" s="190" t="str">
        <f>IF(S158="-","-",VLOOKUP(S158,'CPI USA'!$T:$U,2,FALSE))</f>
        <v>-</v>
      </c>
      <c r="Y158" s="190" t="str">
        <f>IF(T158="-","-",VLOOKUP(T158,'CPI USA'!$T:$U,2,FALSE))</f>
        <v>-</v>
      </c>
      <c r="Z158" s="7"/>
      <c r="AA158" s="7"/>
      <c r="AB158" s="190" t="str">
        <f>IF(R158="-","-",VLOOKUP(R158,'PPI USA'!$S:$T,2,FALSE))</f>
        <v>-</v>
      </c>
      <c r="AC158" s="190" t="str">
        <f>IF(S158="-","-",VLOOKUP(S158,'PPI USA'!$S:$T,2,FALSE))</f>
        <v>-</v>
      </c>
      <c r="AD158" s="190" t="str">
        <f>IF(T158="-","-",VLOOKUP(T158,'PPI USA'!$S:$T,2,FALSE))</f>
        <v>-</v>
      </c>
      <c r="AE158" s="7"/>
      <c r="AF158" s="7"/>
      <c r="AG158" s="190" t="str">
        <f t="shared" ref="AG158:AI158" si="458">IF(W158="-","-",(AT158*$B$2/W158+(1-AT158)*AVERAGE($B$2,$B$3)/AVERAGE(W158,AB158)))</f>
        <v>-</v>
      </c>
      <c r="AH158" s="190" t="str">
        <f t="shared" si="458"/>
        <v>-</v>
      </c>
      <c r="AI158" s="190" t="str">
        <f t="shared" si="458"/>
        <v>-</v>
      </c>
      <c r="AJ158" s="7"/>
      <c r="AK158" s="7"/>
      <c r="AL158" s="190" t="str">
        <f t="shared" ref="AL158:AN158" si="459">IF(W158="-","-",(AY158*$B$2/W158+(1-AY158)*AVERAGE($B$2,$B$3)/AVERAGE(W158,AB158)))</f>
        <v>-</v>
      </c>
      <c r="AM158" s="190" t="str">
        <f t="shared" si="459"/>
        <v>-</v>
      </c>
      <c r="AN158" s="190" t="str">
        <f t="shared" si="459"/>
        <v>-</v>
      </c>
      <c r="AO158" s="7"/>
      <c r="AP158" s="7"/>
      <c r="AQ158" s="7"/>
      <c r="AR158" s="7"/>
      <c r="AS158" s="7"/>
      <c r="AT158" s="242" t="str">
        <f>IF(R158="-","-",VLOOKUP(R158,'CPI USA'!$T:$V,3,FALSE))</f>
        <v>-</v>
      </c>
      <c r="AU158" s="242" t="str">
        <f>IF(S158="-","-",VLOOKUP(S158,'CPI USA'!$T:$V,3,FALSE))</f>
        <v>-</v>
      </c>
      <c r="AV158" s="242" t="str">
        <f>IF(T158="-","-",VLOOKUP(T158,'CPI USA'!$T:$V,3,FALSE))</f>
        <v>-</v>
      </c>
      <c r="AW158" s="7"/>
      <c r="AX158" s="7"/>
      <c r="AY158" s="242" t="str">
        <f>IF(R158="-","-",VLOOKUP(R158,'CPI USA'!$T:$X,5,FALSE))</f>
        <v>-</v>
      </c>
      <c r="AZ158" s="242" t="str">
        <f>IF(S158="-","-",VLOOKUP(S158,'CPI USA'!$T:$X,5,FALSE))</f>
        <v>-</v>
      </c>
      <c r="BA158" s="242" t="str">
        <f>IF(T158="-","-",VLOOKUP(T158,'CPI USA'!$T:$X,5,FALSE))</f>
        <v>-</v>
      </c>
      <c r="BB158" s="7"/>
    </row>
    <row r="159" spans="1:54" ht="15.75" customHeight="1">
      <c r="A159" s="185" t="s">
        <v>667</v>
      </c>
      <c r="B159" s="185" t="s">
        <v>668</v>
      </c>
      <c r="C159" s="243">
        <f>+'Empresas 21-23'!J154</f>
        <v>0</v>
      </c>
      <c r="D159" s="239">
        <f>VLOOKUP(A159,'FERC 2021'!$A$3:$BE$221,57,0)</f>
        <v>0</v>
      </c>
      <c r="E159" s="239">
        <f>VLOOKUP(A159,'FERC 2021'!$A$3:$BF$221,58,0)</f>
        <v>0</v>
      </c>
      <c r="F159" s="239">
        <f>VLOOKUP(A159,'FERC 2022'!$A$3:$BE$220,57,0)</f>
        <v>0</v>
      </c>
      <c r="G159" s="239">
        <f>VLOOKUP(A159,'FERC 2022'!$A$3:$BF$220,58,0)</f>
        <v>0</v>
      </c>
      <c r="H159" s="239">
        <f>VLOOKUP(A159,'FERC 2023'!$A$3:$BE$221,57,0)</f>
        <v>0</v>
      </c>
      <c r="I159" s="239">
        <f>VLOOKUP(A159,'FERC 2023'!$A$3:$BF$221,58,0)</f>
        <v>0</v>
      </c>
      <c r="J159" s="7"/>
      <c r="K159" s="7"/>
      <c r="L159" s="7"/>
      <c r="M159" s="187" t="str">
        <f t="shared" si="0"/>
        <v/>
      </c>
      <c r="N159" s="187" t="str">
        <f t="shared" si="1"/>
        <v/>
      </c>
      <c r="O159" s="187" t="str">
        <f t="shared" si="2"/>
        <v/>
      </c>
      <c r="P159" s="7"/>
      <c r="Q159" s="240" t="str">
        <f t="shared" si="3"/>
        <v>-</v>
      </c>
      <c r="R159" s="189" t="str">
        <f t="shared" ref="R159:T159" si="460">IF(ISERROR(R$5-365*$Q159),"-",MONTH(R$5-365*$Q159)&amp;"_"&amp;YEAR(R$5-365*$Q159))</f>
        <v>-</v>
      </c>
      <c r="S159" s="189" t="str">
        <f t="shared" si="460"/>
        <v>-</v>
      </c>
      <c r="T159" s="189" t="str">
        <f t="shared" si="460"/>
        <v>-</v>
      </c>
      <c r="U159" s="7"/>
      <c r="V159" s="7"/>
      <c r="W159" s="190" t="str">
        <f>IF(R159="-","-",VLOOKUP(R159,'CPI USA'!$T:$U,2,FALSE))</f>
        <v>-</v>
      </c>
      <c r="X159" s="190" t="str">
        <f>IF(S159="-","-",VLOOKUP(S159,'CPI USA'!$T:$U,2,FALSE))</f>
        <v>-</v>
      </c>
      <c r="Y159" s="190" t="str">
        <f>IF(T159="-","-",VLOOKUP(T159,'CPI USA'!$T:$U,2,FALSE))</f>
        <v>-</v>
      </c>
      <c r="Z159" s="7"/>
      <c r="AA159" s="7"/>
      <c r="AB159" s="190" t="str">
        <f>IF(R159="-","-",VLOOKUP(R159,'PPI USA'!$S:$T,2,FALSE))</f>
        <v>-</v>
      </c>
      <c r="AC159" s="190" t="str">
        <f>IF(S159="-","-",VLOOKUP(S159,'PPI USA'!$S:$T,2,FALSE))</f>
        <v>-</v>
      </c>
      <c r="AD159" s="190" t="str">
        <f>IF(T159="-","-",VLOOKUP(T159,'PPI USA'!$S:$T,2,FALSE))</f>
        <v>-</v>
      </c>
      <c r="AE159" s="7"/>
      <c r="AF159" s="7"/>
      <c r="AG159" s="190" t="str">
        <f t="shared" ref="AG159:AI159" si="461">IF(W159="-","-",(AT159*$B$2/W159+(1-AT159)*AVERAGE($B$2,$B$3)/AVERAGE(W159,AB159)))</f>
        <v>-</v>
      </c>
      <c r="AH159" s="190" t="str">
        <f t="shared" si="461"/>
        <v>-</v>
      </c>
      <c r="AI159" s="190" t="str">
        <f t="shared" si="461"/>
        <v>-</v>
      </c>
      <c r="AJ159" s="7"/>
      <c r="AK159" s="7"/>
      <c r="AL159" s="190" t="str">
        <f t="shared" ref="AL159:AN159" si="462">IF(W159="-","-",(AY159*$B$2/W159+(1-AY159)*AVERAGE($B$2,$B$3)/AVERAGE(W159,AB159)))</f>
        <v>-</v>
      </c>
      <c r="AM159" s="190" t="str">
        <f t="shared" si="462"/>
        <v>-</v>
      </c>
      <c r="AN159" s="190" t="str">
        <f t="shared" si="462"/>
        <v>-</v>
      </c>
      <c r="AO159" s="7"/>
      <c r="AP159" s="7"/>
      <c r="AQ159" s="7"/>
      <c r="AR159" s="7"/>
      <c r="AS159" s="7"/>
      <c r="AT159" s="242" t="str">
        <f>IF(R159="-","-",VLOOKUP(R159,'CPI USA'!$T:$V,3,FALSE))</f>
        <v>-</v>
      </c>
      <c r="AU159" s="242" t="str">
        <f>IF(S159="-","-",VLOOKUP(S159,'CPI USA'!$T:$V,3,FALSE))</f>
        <v>-</v>
      </c>
      <c r="AV159" s="242" t="str">
        <f>IF(T159="-","-",VLOOKUP(T159,'CPI USA'!$T:$V,3,FALSE))</f>
        <v>-</v>
      </c>
      <c r="AW159" s="7"/>
      <c r="AX159" s="7"/>
      <c r="AY159" s="242" t="str">
        <f>IF(R159="-","-",VLOOKUP(R159,'CPI USA'!$T:$X,5,FALSE))</f>
        <v>-</v>
      </c>
      <c r="AZ159" s="242" t="str">
        <f>IF(S159="-","-",VLOOKUP(S159,'CPI USA'!$T:$X,5,FALSE))</f>
        <v>-</v>
      </c>
      <c r="BA159" s="242" t="str">
        <f>IF(T159="-","-",VLOOKUP(T159,'CPI USA'!$T:$X,5,FALSE))</f>
        <v>-</v>
      </c>
      <c r="BB159" s="7"/>
    </row>
    <row r="160" spans="1:54" ht="15.75" customHeight="1">
      <c r="A160" s="185" t="s">
        <v>670</v>
      </c>
      <c r="B160" s="185" t="s">
        <v>671</v>
      </c>
      <c r="C160" s="239">
        <f>+'Empresas 21-23'!J155</f>
        <v>0</v>
      </c>
      <c r="D160" s="239">
        <f>VLOOKUP(A160,'FERC 2021'!$A$3:$BE$221,57,0)</f>
        <v>65733490</v>
      </c>
      <c r="E160" s="239">
        <f>VLOOKUP(A160,'FERC 2021'!$A$3:$BF$221,58,0)</f>
        <v>4726476</v>
      </c>
      <c r="F160" s="239">
        <f>VLOOKUP(A160,'FERC 2022'!$A$3:$BE$220,57,0)</f>
        <v>68641549</v>
      </c>
      <c r="G160" s="239">
        <f>VLOOKUP(A160,'FERC 2022'!$A$3:$BF$220,58,0)</f>
        <v>5174985</v>
      </c>
      <c r="H160" s="239">
        <f>VLOOKUP(A160,'FERC 2023'!$A$3:$BE$221,57,0)</f>
        <v>70682608</v>
      </c>
      <c r="I160" s="239">
        <f>VLOOKUP(A160,'FERC 2023'!$A$3:$BF$221,58,0)</f>
        <v>5398162</v>
      </c>
      <c r="J160" s="7"/>
      <c r="K160" s="7"/>
      <c r="L160" s="7"/>
      <c r="M160" s="187">
        <f t="shared" si="0"/>
        <v>13.907505295700222</v>
      </c>
      <c r="N160" s="187">
        <f t="shared" si="1"/>
        <v>13.264105886297255</v>
      </c>
      <c r="O160" s="187">
        <f t="shared" si="2"/>
        <v>13.09382860314307</v>
      </c>
      <c r="P160" s="7"/>
      <c r="Q160" s="240">
        <f t="shared" si="3"/>
        <v>13.421813261713515</v>
      </c>
      <c r="R160" s="189" t="str">
        <f t="shared" ref="R160:T160" si="463">IF(ISERROR(R$5-365*$Q160),"-",MONTH(R$5-365*$Q160)&amp;"_"&amp;YEAR(R$5-365*$Q160))</f>
        <v>8_2008</v>
      </c>
      <c r="S160" s="189" t="str">
        <f t="shared" si="463"/>
        <v>8_2009</v>
      </c>
      <c r="T160" s="189" t="str">
        <f t="shared" si="463"/>
        <v>8_2010</v>
      </c>
      <c r="U160" s="7"/>
      <c r="V160" s="7"/>
      <c r="W160" s="190">
        <f>IF(R160="-","-",VLOOKUP(R160,'CPI USA'!$T:$U,2,FALSE))</f>
        <v>215.303</v>
      </c>
      <c r="X160" s="190">
        <f>IF(S160="-","-",VLOOKUP(S160,'CPI USA'!$T:$U,2,FALSE))</f>
        <v>214.53700000000001</v>
      </c>
      <c r="Y160" s="190">
        <f>IF(T160="-","-",VLOOKUP(T160,'CPI USA'!$T:$U,2,FALSE))</f>
        <v>218.05600000000001</v>
      </c>
      <c r="Z160" s="7"/>
      <c r="AA160" s="7"/>
      <c r="AB160" s="190">
        <f>IF(R160="-","-",VLOOKUP(R160,'PPI USA'!$S:$T,2,FALSE))</f>
        <v>159.30000000000001</v>
      </c>
      <c r="AC160" s="190">
        <f>IF(S160="-","-",VLOOKUP(S160,'PPI USA'!$S:$T,2,FALSE))</f>
        <v>159.1</v>
      </c>
      <c r="AD160" s="190">
        <f>IF(T160="-","-",VLOOKUP(T160,'PPI USA'!$S:$T,2,FALSE))</f>
        <v>160.80000000000001</v>
      </c>
      <c r="AE160" s="7"/>
      <c r="AF160" s="7"/>
      <c r="AG160" s="190">
        <f t="shared" ref="AG160:AI160" si="464">IF(W160="-","-",(AT160*$B$2/W160+(1-AT160)*AVERAGE($B$2,$B$3)/AVERAGE(W160,AB160)))</f>
        <v>1.4884333659448254</v>
      </c>
      <c r="AH160" s="190">
        <f t="shared" si="464"/>
        <v>1.4932638886873792</v>
      </c>
      <c r="AI160" s="190">
        <f t="shared" si="464"/>
        <v>1.4703278680244813</v>
      </c>
      <c r="AJ160" s="7"/>
      <c r="AK160" s="7"/>
      <c r="AL160" s="190">
        <f t="shared" ref="AL160:AN160" si="465">IF(W160="-","-",(AY160*$B$2/W160+(1-AY160)*AVERAGE($B$2,$B$3)/AVERAGE(W160,AB160)))</f>
        <v>1.5036496327119213</v>
      </c>
      <c r="AM160" s="190">
        <f t="shared" si="465"/>
        <v>1.5082750176818205</v>
      </c>
      <c r="AN160" s="190">
        <f t="shared" si="465"/>
        <v>1.4857204383544427</v>
      </c>
      <c r="AO160" s="7"/>
      <c r="AP160" s="7"/>
      <c r="AQ160" s="7"/>
      <c r="AR160" s="7"/>
      <c r="AS160" s="7"/>
      <c r="AT160" s="242">
        <f>IF(R160="-","-",VLOOKUP(R160,'CPI USA'!$T:$V,3,FALSE))</f>
        <v>0.67018812038291731</v>
      </c>
      <c r="AU160" s="242">
        <f>IF(S160="-","-",VLOOKUP(S160,'CPI USA'!$T:$V,3,FALSE))</f>
        <v>0.66997101349938215</v>
      </c>
      <c r="AV160" s="242">
        <f>IF(T160="-","-",VLOOKUP(T160,'CPI USA'!$T:$V,3,FALSE))</f>
        <v>0.67050107279443949</v>
      </c>
      <c r="AW160" s="7"/>
      <c r="AX160" s="7"/>
      <c r="AY160" s="242">
        <f>IF(R160="-","-",VLOOKUP(R160,'CPI USA'!$T:$X,5,FALSE))</f>
        <v>0.49838492968660258</v>
      </c>
      <c r="AZ160" s="242">
        <f>IF(S160="-","-",VLOOKUP(S160,'CPI USA'!$T:$X,5,FALSE))</f>
        <v>0.49813941766071862</v>
      </c>
      <c r="BA160" s="242">
        <f>IF(T160="-","-",VLOOKUP(T160,'CPI USA'!$T:$X,5,FALSE))</f>
        <v>0.4987389730136107</v>
      </c>
      <c r="BB160" s="7"/>
    </row>
    <row r="161" spans="1:54" ht="15.75" customHeight="1">
      <c r="A161" s="185" t="s">
        <v>673</v>
      </c>
      <c r="B161" s="185" t="s">
        <v>674</v>
      </c>
      <c r="C161" s="243">
        <f>+'Empresas 21-23'!J156</f>
        <v>0</v>
      </c>
      <c r="D161" s="239">
        <f>VLOOKUP(A161,'FERC 2021'!$A$3:$BE$221,57,0)</f>
        <v>0</v>
      </c>
      <c r="E161" s="239">
        <f>VLOOKUP(A161,'FERC 2021'!$A$3:$BF$221,58,0)</f>
        <v>0</v>
      </c>
      <c r="F161" s="239">
        <f>VLOOKUP(A161,'FERC 2022'!$A$3:$BE$220,57,0)</f>
        <v>0</v>
      </c>
      <c r="G161" s="239">
        <f>VLOOKUP(A161,'FERC 2022'!$A$3:$BF$220,58,0)</f>
        <v>0</v>
      </c>
      <c r="H161" s="239">
        <f>VLOOKUP(A161,'FERC 2023'!$A$3:$BE$221,57,0)</f>
        <v>0</v>
      </c>
      <c r="I161" s="239">
        <f>VLOOKUP(A161,'FERC 2023'!$A$3:$BF$221,58,0)</f>
        <v>0</v>
      </c>
      <c r="J161" s="7"/>
      <c r="K161" s="7"/>
      <c r="L161" s="7"/>
      <c r="M161" s="187" t="str">
        <f t="shared" si="0"/>
        <v/>
      </c>
      <c r="N161" s="187" t="str">
        <f t="shared" si="1"/>
        <v/>
      </c>
      <c r="O161" s="187" t="str">
        <f t="shared" si="2"/>
        <v/>
      </c>
      <c r="P161" s="7"/>
      <c r="Q161" s="240" t="str">
        <f t="shared" si="3"/>
        <v>-</v>
      </c>
      <c r="R161" s="189" t="str">
        <f t="shared" ref="R161:T161" si="466">IF(ISERROR(R$5-365*$Q161),"-",MONTH(R$5-365*$Q161)&amp;"_"&amp;YEAR(R$5-365*$Q161))</f>
        <v>-</v>
      </c>
      <c r="S161" s="189" t="str">
        <f t="shared" si="466"/>
        <v>-</v>
      </c>
      <c r="T161" s="189" t="str">
        <f t="shared" si="466"/>
        <v>-</v>
      </c>
      <c r="U161" s="7"/>
      <c r="V161" s="7"/>
      <c r="W161" s="190" t="str">
        <f>IF(R161="-","-",VLOOKUP(R161,'CPI USA'!$T:$U,2,FALSE))</f>
        <v>-</v>
      </c>
      <c r="X161" s="190" t="str">
        <f>IF(S161="-","-",VLOOKUP(S161,'CPI USA'!$T:$U,2,FALSE))</f>
        <v>-</v>
      </c>
      <c r="Y161" s="190" t="str">
        <f>IF(T161="-","-",VLOOKUP(T161,'CPI USA'!$T:$U,2,FALSE))</f>
        <v>-</v>
      </c>
      <c r="Z161" s="7"/>
      <c r="AA161" s="7"/>
      <c r="AB161" s="190" t="str">
        <f>IF(R161="-","-",VLOOKUP(R161,'PPI USA'!$S:$T,2,FALSE))</f>
        <v>-</v>
      </c>
      <c r="AC161" s="190" t="str">
        <f>IF(S161="-","-",VLOOKUP(S161,'PPI USA'!$S:$T,2,FALSE))</f>
        <v>-</v>
      </c>
      <c r="AD161" s="190" t="str">
        <f>IF(T161="-","-",VLOOKUP(T161,'PPI USA'!$S:$T,2,FALSE))</f>
        <v>-</v>
      </c>
      <c r="AE161" s="7"/>
      <c r="AF161" s="7"/>
      <c r="AG161" s="190" t="str">
        <f t="shared" ref="AG161:AI161" si="467">IF(W161="-","-",(AT161*$B$2/W161+(1-AT161)*AVERAGE($B$2,$B$3)/AVERAGE(W161,AB161)))</f>
        <v>-</v>
      </c>
      <c r="AH161" s="190" t="str">
        <f t="shared" si="467"/>
        <v>-</v>
      </c>
      <c r="AI161" s="190" t="str">
        <f t="shared" si="467"/>
        <v>-</v>
      </c>
      <c r="AJ161" s="7"/>
      <c r="AK161" s="7"/>
      <c r="AL161" s="190" t="str">
        <f t="shared" ref="AL161:AN161" si="468">IF(W161="-","-",(AY161*$B$2/W161+(1-AY161)*AVERAGE($B$2,$B$3)/AVERAGE(W161,AB161)))</f>
        <v>-</v>
      </c>
      <c r="AM161" s="190" t="str">
        <f t="shared" si="468"/>
        <v>-</v>
      </c>
      <c r="AN161" s="190" t="str">
        <f t="shared" si="468"/>
        <v>-</v>
      </c>
      <c r="AO161" s="7"/>
      <c r="AP161" s="7"/>
      <c r="AQ161" s="7"/>
      <c r="AR161" s="7"/>
      <c r="AS161" s="7"/>
      <c r="AT161" s="242" t="str">
        <f>IF(R161="-","-",VLOOKUP(R161,'CPI USA'!$T:$V,3,FALSE))</f>
        <v>-</v>
      </c>
      <c r="AU161" s="242" t="str">
        <f>IF(S161="-","-",VLOOKUP(S161,'CPI USA'!$T:$V,3,FALSE))</f>
        <v>-</v>
      </c>
      <c r="AV161" s="242" t="str">
        <f>IF(T161="-","-",VLOOKUP(T161,'CPI USA'!$T:$V,3,FALSE))</f>
        <v>-</v>
      </c>
      <c r="AW161" s="7"/>
      <c r="AX161" s="7"/>
      <c r="AY161" s="242" t="str">
        <f>IF(R161="-","-",VLOOKUP(R161,'CPI USA'!$T:$X,5,FALSE))</f>
        <v>-</v>
      </c>
      <c r="AZ161" s="242" t="str">
        <f>IF(S161="-","-",VLOOKUP(S161,'CPI USA'!$T:$X,5,FALSE))</f>
        <v>-</v>
      </c>
      <c r="BA161" s="242" t="str">
        <f>IF(T161="-","-",VLOOKUP(T161,'CPI USA'!$T:$X,5,FALSE))</f>
        <v>-</v>
      </c>
      <c r="BB161" s="7"/>
    </row>
    <row r="162" spans="1:54" ht="15.75" customHeight="1">
      <c r="A162" s="185" t="s">
        <v>676</v>
      </c>
      <c r="B162" s="185" t="s">
        <v>677</v>
      </c>
      <c r="C162" s="243">
        <f>+'Empresas 21-23'!J157</f>
        <v>0</v>
      </c>
      <c r="D162" s="239">
        <f>VLOOKUP(A162,'FERC 2021'!$A$3:$BE$221,57,0)</f>
        <v>0</v>
      </c>
      <c r="E162" s="239">
        <f>VLOOKUP(A162,'FERC 2021'!$A$3:$BF$221,58,0)</f>
        <v>0</v>
      </c>
      <c r="F162" s="239">
        <f>VLOOKUP(A162,'FERC 2022'!$A$3:$BE$220,57,0)</f>
        <v>0</v>
      </c>
      <c r="G162" s="239">
        <f>VLOOKUP(A162,'FERC 2022'!$A$3:$BF$220,58,0)</f>
        <v>0</v>
      </c>
      <c r="H162" s="239">
        <f>VLOOKUP(A162,'FERC 2023'!$A$3:$BE$221,57,0)</f>
        <v>0</v>
      </c>
      <c r="I162" s="239">
        <f>VLOOKUP(A162,'FERC 2023'!$A$3:$BF$221,58,0)</f>
        <v>0</v>
      </c>
      <c r="J162" s="7"/>
      <c r="K162" s="7"/>
      <c r="L162" s="7"/>
      <c r="M162" s="187" t="str">
        <f t="shared" si="0"/>
        <v/>
      </c>
      <c r="N162" s="187" t="str">
        <f t="shared" si="1"/>
        <v/>
      </c>
      <c r="O162" s="187" t="str">
        <f t="shared" si="2"/>
        <v/>
      </c>
      <c r="P162" s="7"/>
      <c r="Q162" s="240" t="str">
        <f t="shared" si="3"/>
        <v>-</v>
      </c>
      <c r="R162" s="189" t="str">
        <f t="shared" ref="R162:T162" si="469">IF(ISERROR(R$5-365*$Q162),"-",MONTH(R$5-365*$Q162)&amp;"_"&amp;YEAR(R$5-365*$Q162))</f>
        <v>-</v>
      </c>
      <c r="S162" s="189" t="str">
        <f t="shared" si="469"/>
        <v>-</v>
      </c>
      <c r="T162" s="189" t="str">
        <f t="shared" si="469"/>
        <v>-</v>
      </c>
      <c r="U162" s="7"/>
      <c r="V162" s="7"/>
      <c r="W162" s="190" t="str">
        <f>IF(R162="-","-",VLOOKUP(R162,'CPI USA'!$T:$U,2,FALSE))</f>
        <v>-</v>
      </c>
      <c r="X162" s="190" t="str">
        <f>IF(S162="-","-",VLOOKUP(S162,'CPI USA'!$T:$U,2,FALSE))</f>
        <v>-</v>
      </c>
      <c r="Y162" s="190" t="str">
        <f>IF(T162="-","-",VLOOKUP(T162,'CPI USA'!$T:$U,2,FALSE))</f>
        <v>-</v>
      </c>
      <c r="Z162" s="7"/>
      <c r="AA162" s="7"/>
      <c r="AB162" s="190" t="str">
        <f>IF(R162="-","-",VLOOKUP(R162,'PPI USA'!$S:$T,2,FALSE))</f>
        <v>-</v>
      </c>
      <c r="AC162" s="190" t="str">
        <f>IF(S162="-","-",VLOOKUP(S162,'PPI USA'!$S:$T,2,FALSE))</f>
        <v>-</v>
      </c>
      <c r="AD162" s="190" t="str">
        <f>IF(T162="-","-",VLOOKUP(T162,'PPI USA'!$S:$T,2,FALSE))</f>
        <v>-</v>
      </c>
      <c r="AE162" s="7"/>
      <c r="AF162" s="7"/>
      <c r="AG162" s="190" t="str">
        <f t="shared" ref="AG162:AI162" si="470">IF(W162="-","-",(AT162*$B$2/W162+(1-AT162)*AVERAGE($B$2,$B$3)/AVERAGE(W162,AB162)))</f>
        <v>-</v>
      </c>
      <c r="AH162" s="190" t="str">
        <f t="shared" si="470"/>
        <v>-</v>
      </c>
      <c r="AI162" s="190" t="str">
        <f t="shared" si="470"/>
        <v>-</v>
      </c>
      <c r="AJ162" s="7"/>
      <c r="AK162" s="7"/>
      <c r="AL162" s="190" t="str">
        <f t="shared" ref="AL162:AN162" si="471">IF(W162="-","-",(AY162*$B$2/W162+(1-AY162)*AVERAGE($B$2,$B$3)/AVERAGE(W162,AB162)))</f>
        <v>-</v>
      </c>
      <c r="AM162" s="190" t="str">
        <f t="shared" si="471"/>
        <v>-</v>
      </c>
      <c r="AN162" s="190" t="str">
        <f t="shared" si="471"/>
        <v>-</v>
      </c>
      <c r="AO162" s="7"/>
      <c r="AP162" s="7"/>
      <c r="AQ162" s="7"/>
      <c r="AR162" s="7"/>
      <c r="AS162" s="7"/>
      <c r="AT162" s="242" t="str">
        <f>IF(R162="-","-",VLOOKUP(R162,'CPI USA'!$T:$V,3,FALSE))</f>
        <v>-</v>
      </c>
      <c r="AU162" s="242" t="str">
        <f>IF(S162="-","-",VLOOKUP(S162,'CPI USA'!$T:$V,3,FALSE))</f>
        <v>-</v>
      </c>
      <c r="AV162" s="242" t="str">
        <f>IF(T162="-","-",VLOOKUP(T162,'CPI USA'!$T:$V,3,FALSE))</f>
        <v>-</v>
      </c>
      <c r="AW162" s="7"/>
      <c r="AX162" s="7"/>
      <c r="AY162" s="242" t="str">
        <f>IF(R162="-","-",VLOOKUP(R162,'CPI USA'!$T:$X,5,FALSE))</f>
        <v>-</v>
      </c>
      <c r="AZ162" s="242" t="str">
        <f>IF(S162="-","-",VLOOKUP(S162,'CPI USA'!$T:$X,5,FALSE))</f>
        <v>-</v>
      </c>
      <c r="BA162" s="242" t="str">
        <f>IF(T162="-","-",VLOOKUP(T162,'CPI USA'!$T:$X,5,FALSE))</f>
        <v>-</v>
      </c>
      <c r="BB162" s="7"/>
    </row>
    <row r="163" spans="1:54" ht="15.75" customHeight="1">
      <c r="A163" s="185" t="s">
        <v>679</v>
      </c>
      <c r="B163" s="185" t="s">
        <v>680</v>
      </c>
      <c r="C163" s="243">
        <f>+'Empresas 21-23'!J158</f>
        <v>0</v>
      </c>
      <c r="D163" s="239">
        <f>VLOOKUP(A163,'FERC 2021'!$A$3:$BE$221,57,0)</f>
        <v>0</v>
      </c>
      <c r="E163" s="239">
        <f>VLOOKUP(A163,'FERC 2021'!$A$3:$BF$221,58,0)</f>
        <v>0</v>
      </c>
      <c r="F163" s="239">
        <f>VLOOKUP(A163,'FERC 2022'!$A$3:$BE$220,57,0)</f>
        <v>0</v>
      </c>
      <c r="G163" s="239">
        <f>VLOOKUP(A163,'FERC 2022'!$A$3:$BF$220,58,0)</f>
        <v>0</v>
      </c>
      <c r="H163" s="239">
        <f>VLOOKUP(A163,'FERC 2023'!$A$3:$BE$221,57,0)</f>
        <v>0</v>
      </c>
      <c r="I163" s="239">
        <f>VLOOKUP(A163,'FERC 2023'!$A$3:$BF$221,58,0)</f>
        <v>0</v>
      </c>
      <c r="J163" s="7"/>
      <c r="K163" s="7"/>
      <c r="L163" s="7"/>
      <c r="M163" s="187" t="str">
        <f t="shared" si="0"/>
        <v/>
      </c>
      <c r="N163" s="187" t="str">
        <f t="shared" si="1"/>
        <v/>
      </c>
      <c r="O163" s="187" t="str">
        <f t="shared" si="2"/>
        <v/>
      </c>
      <c r="P163" s="7"/>
      <c r="Q163" s="240" t="str">
        <f t="shared" si="3"/>
        <v>-</v>
      </c>
      <c r="R163" s="189" t="str">
        <f t="shared" ref="R163:T163" si="472">IF(ISERROR(R$5-365*$Q163),"-",MONTH(R$5-365*$Q163)&amp;"_"&amp;YEAR(R$5-365*$Q163))</f>
        <v>-</v>
      </c>
      <c r="S163" s="189" t="str">
        <f t="shared" si="472"/>
        <v>-</v>
      </c>
      <c r="T163" s="189" t="str">
        <f t="shared" si="472"/>
        <v>-</v>
      </c>
      <c r="U163" s="7"/>
      <c r="V163" s="7"/>
      <c r="W163" s="190" t="str">
        <f>IF(R163="-","-",VLOOKUP(R163,'CPI USA'!$T:$U,2,FALSE))</f>
        <v>-</v>
      </c>
      <c r="X163" s="190" t="str">
        <f>IF(S163="-","-",VLOOKUP(S163,'CPI USA'!$T:$U,2,FALSE))</f>
        <v>-</v>
      </c>
      <c r="Y163" s="190" t="str">
        <f>IF(T163="-","-",VLOOKUP(T163,'CPI USA'!$T:$U,2,FALSE))</f>
        <v>-</v>
      </c>
      <c r="Z163" s="7"/>
      <c r="AA163" s="7"/>
      <c r="AB163" s="190" t="str">
        <f>IF(R163="-","-",VLOOKUP(R163,'PPI USA'!$S:$T,2,FALSE))</f>
        <v>-</v>
      </c>
      <c r="AC163" s="190" t="str">
        <f>IF(S163="-","-",VLOOKUP(S163,'PPI USA'!$S:$T,2,FALSE))</f>
        <v>-</v>
      </c>
      <c r="AD163" s="190" t="str">
        <f>IF(T163="-","-",VLOOKUP(T163,'PPI USA'!$S:$T,2,FALSE))</f>
        <v>-</v>
      </c>
      <c r="AE163" s="7"/>
      <c r="AF163" s="7"/>
      <c r="AG163" s="190" t="str">
        <f t="shared" ref="AG163:AI163" si="473">IF(W163="-","-",(AT163*$B$2/W163+(1-AT163)*AVERAGE($B$2,$B$3)/AVERAGE(W163,AB163)))</f>
        <v>-</v>
      </c>
      <c r="AH163" s="190" t="str">
        <f t="shared" si="473"/>
        <v>-</v>
      </c>
      <c r="AI163" s="190" t="str">
        <f t="shared" si="473"/>
        <v>-</v>
      </c>
      <c r="AJ163" s="7"/>
      <c r="AK163" s="7"/>
      <c r="AL163" s="190" t="str">
        <f t="shared" ref="AL163:AN163" si="474">IF(W163="-","-",(AY163*$B$2/W163+(1-AY163)*AVERAGE($B$2,$B$3)/AVERAGE(W163,AB163)))</f>
        <v>-</v>
      </c>
      <c r="AM163" s="190" t="str">
        <f t="shared" si="474"/>
        <v>-</v>
      </c>
      <c r="AN163" s="190" t="str">
        <f t="shared" si="474"/>
        <v>-</v>
      </c>
      <c r="AO163" s="7"/>
      <c r="AP163" s="7"/>
      <c r="AQ163" s="7"/>
      <c r="AR163" s="7"/>
      <c r="AS163" s="7"/>
      <c r="AT163" s="242" t="str">
        <f>IF(R163="-","-",VLOOKUP(R163,'CPI USA'!$T:$V,3,FALSE))</f>
        <v>-</v>
      </c>
      <c r="AU163" s="242" t="str">
        <f>IF(S163="-","-",VLOOKUP(S163,'CPI USA'!$T:$V,3,FALSE))</f>
        <v>-</v>
      </c>
      <c r="AV163" s="242" t="str">
        <f>IF(T163="-","-",VLOOKUP(T163,'CPI USA'!$T:$V,3,FALSE))</f>
        <v>-</v>
      </c>
      <c r="AW163" s="7"/>
      <c r="AX163" s="7"/>
      <c r="AY163" s="242" t="str">
        <f>IF(R163="-","-",VLOOKUP(R163,'CPI USA'!$T:$X,5,FALSE))</f>
        <v>-</v>
      </c>
      <c r="AZ163" s="242" t="str">
        <f>IF(S163="-","-",VLOOKUP(S163,'CPI USA'!$T:$X,5,FALSE))</f>
        <v>-</v>
      </c>
      <c r="BA163" s="242" t="str">
        <f>IF(T163="-","-",VLOOKUP(T163,'CPI USA'!$T:$X,5,FALSE))</f>
        <v>-</v>
      </c>
      <c r="BB163" s="7"/>
    </row>
    <row r="164" spans="1:54" ht="15.75" customHeight="1">
      <c r="A164" s="185" t="s">
        <v>682</v>
      </c>
      <c r="B164" s="185" t="s">
        <v>683</v>
      </c>
      <c r="C164" s="243">
        <f>+'Empresas 21-23'!J159</f>
        <v>0</v>
      </c>
      <c r="D164" s="239">
        <f>VLOOKUP(A164,'FERC 2021'!$A$3:$BE$221,57,0)</f>
        <v>0</v>
      </c>
      <c r="E164" s="239">
        <f>VLOOKUP(A164,'FERC 2021'!$A$3:$BF$221,58,0)</f>
        <v>0</v>
      </c>
      <c r="F164" s="239">
        <f>VLOOKUP(A164,'FERC 2022'!$A$3:$BE$220,57,0)</f>
        <v>0</v>
      </c>
      <c r="G164" s="239">
        <f>VLOOKUP(A164,'FERC 2022'!$A$3:$BF$220,58,0)</f>
        <v>0</v>
      </c>
      <c r="H164" s="239">
        <f>VLOOKUP(A164,'FERC 2023'!$A$3:$BE$221,57,0)</f>
        <v>0</v>
      </c>
      <c r="I164" s="239">
        <f>VLOOKUP(A164,'FERC 2023'!$A$3:$BF$221,58,0)</f>
        <v>0</v>
      </c>
      <c r="J164" s="7"/>
      <c r="K164" s="7"/>
      <c r="L164" s="7"/>
      <c r="M164" s="187" t="str">
        <f t="shared" si="0"/>
        <v/>
      </c>
      <c r="N164" s="187" t="str">
        <f t="shared" si="1"/>
        <v/>
      </c>
      <c r="O164" s="187" t="str">
        <f t="shared" si="2"/>
        <v/>
      </c>
      <c r="P164" s="7"/>
      <c r="Q164" s="240" t="str">
        <f t="shared" si="3"/>
        <v>-</v>
      </c>
      <c r="R164" s="189" t="str">
        <f t="shared" ref="R164:T164" si="475">IF(ISERROR(R$5-365*$Q164),"-",MONTH(R$5-365*$Q164)&amp;"_"&amp;YEAR(R$5-365*$Q164))</f>
        <v>-</v>
      </c>
      <c r="S164" s="189" t="str">
        <f t="shared" si="475"/>
        <v>-</v>
      </c>
      <c r="T164" s="189" t="str">
        <f t="shared" si="475"/>
        <v>-</v>
      </c>
      <c r="U164" s="7"/>
      <c r="V164" s="7"/>
      <c r="W164" s="190" t="str">
        <f>IF(R164="-","-",VLOOKUP(R164,'CPI USA'!$T:$U,2,FALSE))</f>
        <v>-</v>
      </c>
      <c r="X164" s="190" t="str">
        <f>IF(S164="-","-",VLOOKUP(S164,'CPI USA'!$T:$U,2,FALSE))</f>
        <v>-</v>
      </c>
      <c r="Y164" s="190" t="str">
        <f>IF(T164="-","-",VLOOKUP(T164,'CPI USA'!$T:$U,2,FALSE))</f>
        <v>-</v>
      </c>
      <c r="Z164" s="7"/>
      <c r="AA164" s="7"/>
      <c r="AB164" s="190" t="str">
        <f>IF(R164="-","-",VLOOKUP(R164,'PPI USA'!$S:$T,2,FALSE))</f>
        <v>-</v>
      </c>
      <c r="AC164" s="190" t="str">
        <f>IF(S164="-","-",VLOOKUP(S164,'PPI USA'!$S:$T,2,FALSE))</f>
        <v>-</v>
      </c>
      <c r="AD164" s="190" t="str">
        <f>IF(T164="-","-",VLOOKUP(T164,'PPI USA'!$S:$T,2,FALSE))</f>
        <v>-</v>
      </c>
      <c r="AE164" s="7"/>
      <c r="AF164" s="7"/>
      <c r="AG164" s="190" t="str">
        <f t="shared" ref="AG164:AI164" si="476">IF(W164="-","-",(AT164*$B$2/W164+(1-AT164)*AVERAGE($B$2,$B$3)/AVERAGE(W164,AB164)))</f>
        <v>-</v>
      </c>
      <c r="AH164" s="190" t="str">
        <f t="shared" si="476"/>
        <v>-</v>
      </c>
      <c r="AI164" s="190" t="str">
        <f t="shared" si="476"/>
        <v>-</v>
      </c>
      <c r="AJ164" s="7"/>
      <c r="AK164" s="7"/>
      <c r="AL164" s="190" t="str">
        <f t="shared" ref="AL164:AN164" si="477">IF(W164="-","-",(AY164*$B$2/W164+(1-AY164)*AVERAGE($B$2,$B$3)/AVERAGE(W164,AB164)))</f>
        <v>-</v>
      </c>
      <c r="AM164" s="190" t="str">
        <f t="shared" si="477"/>
        <v>-</v>
      </c>
      <c r="AN164" s="190" t="str">
        <f t="shared" si="477"/>
        <v>-</v>
      </c>
      <c r="AO164" s="7"/>
      <c r="AP164" s="7"/>
      <c r="AQ164" s="7"/>
      <c r="AR164" s="7"/>
      <c r="AS164" s="7"/>
      <c r="AT164" s="242" t="str">
        <f>IF(R164="-","-",VLOOKUP(R164,'CPI USA'!$T:$V,3,FALSE))</f>
        <v>-</v>
      </c>
      <c r="AU164" s="242" t="str">
        <f>IF(S164="-","-",VLOOKUP(S164,'CPI USA'!$T:$V,3,FALSE))</f>
        <v>-</v>
      </c>
      <c r="AV164" s="242" t="str">
        <f>IF(T164="-","-",VLOOKUP(T164,'CPI USA'!$T:$V,3,FALSE))</f>
        <v>-</v>
      </c>
      <c r="AW164" s="7"/>
      <c r="AX164" s="7"/>
      <c r="AY164" s="242" t="str">
        <f>IF(R164="-","-",VLOOKUP(R164,'CPI USA'!$T:$X,5,FALSE))</f>
        <v>-</v>
      </c>
      <c r="AZ164" s="242" t="str">
        <f>IF(S164="-","-",VLOOKUP(S164,'CPI USA'!$T:$X,5,FALSE))</f>
        <v>-</v>
      </c>
      <c r="BA164" s="242" t="str">
        <f>IF(T164="-","-",VLOOKUP(T164,'CPI USA'!$T:$X,5,FALSE))</f>
        <v>-</v>
      </c>
      <c r="BB164" s="7"/>
    </row>
    <row r="165" spans="1:54" ht="15.75" customHeight="1">
      <c r="A165" s="185" t="s">
        <v>685</v>
      </c>
      <c r="B165" s="185" t="s">
        <v>686</v>
      </c>
      <c r="C165" s="243">
        <f>+'Empresas 21-23'!J160</f>
        <v>0</v>
      </c>
      <c r="D165" s="239">
        <f>VLOOKUP(A165,'FERC 2021'!$A$3:$BE$221,57,0)</f>
        <v>0</v>
      </c>
      <c r="E165" s="239">
        <f>VLOOKUP(A165,'FERC 2021'!$A$3:$BF$221,58,0)</f>
        <v>0</v>
      </c>
      <c r="F165" s="239">
        <f>VLOOKUP(A165,'FERC 2022'!$A$3:$BE$220,57,0)</f>
        <v>0</v>
      </c>
      <c r="G165" s="239">
        <f>VLOOKUP(A165,'FERC 2022'!$A$3:$BF$220,58,0)</f>
        <v>0</v>
      </c>
      <c r="H165" s="239">
        <f>VLOOKUP(A165,'FERC 2023'!$A$3:$BE$221,57,0)</f>
        <v>0</v>
      </c>
      <c r="I165" s="239">
        <f>VLOOKUP(A165,'FERC 2023'!$A$3:$BF$221,58,0)</f>
        <v>0</v>
      </c>
      <c r="J165" s="7"/>
      <c r="K165" s="7"/>
      <c r="L165" s="7"/>
      <c r="M165" s="187" t="str">
        <f t="shared" si="0"/>
        <v/>
      </c>
      <c r="N165" s="187" t="str">
        <f t="shared" si="1"/>
        <v/>
      </c>
      <c r="O165" s="187" t="str">
        <f t="shared" si="2"/>
        <v/>
      </c>
      <c r="P165" s="7"/>
      <c r="Q165" s="240" t="str">
        <f t="shared" si="3"/>
        <v>-</v>
      </c>
      <c r="R165" s="189" t="str">
        <f t="shared" ref="R165:T165" si="478">IF(ISERROR(R$5-365*$Q165),"-",MONTH(R$5-365*$Q165)&amp;"_"&amp;YEAR(R$5-365*$Q165))</f>
        <v>-</v>
      </c>
      <c r="S165" s="189" t="str">
        <f t="shared" si="478"/>
        <v>-</v>
      </c>
      <c r="T165" s="189" t="str">
        <f t="shared" si="478"/>
        <v>-</v>
      </c>
      <c r="U165" s="7"/>
      <c r="V165" s="7"/>
      <c r="W165" s="190" t="str">
        <f>IF(R165="-","-",VLOOKUP(R165,'CPI USA'!$T:$U,2,FALSE))</f>
        <v>-</v>
      </c>
      <c r="X165" s="190" t="str">
        <f>IF(S165="-","-",VLOOKUP(S165,'CPI USA'!$T:$U,2,FALSE))</f>
        <v>-</v>
      </c>
      <c r="Y165" s="190" t="str">
        <f>IF(T165="-","-",VLOOKUP(T165,'CPI USA'!$T:$U,2,FALSE))</f>
        <v>-</v>
      </c>
      <c r="Z165" s="7"/>
      <c r="AA165" s="7"/>
      <c r="AB165" s="190" t="str">
        <f>IF(R165="-","-",VLOOKUP(R165,'PPI USA'!$S:$T,2,FALSE))</f>
        <v>-</v>
      </c>
      <c r="AC165" s="190" t="str">
        <f>IF(S165="-","-",VLOOKUP(S165,'PPI USA'!$S:$T,2,FALSE))</f>
        <v>-</v>
      </c>
      <c r="AD165" s="190" t="str">
        <f>IF(T165="-","-",VLOOKUP(T165,'PPI USA'!$S:$T,2,FALSE))</f>
        <v>-</v>
      </c>
      <c r="AE165" s="7"/>
      <c r="AF165" s="7"/>
      <c r="AG165" s="190" t="str">
        <f t="shared" ref="AG165:AI165" si="479">IF(W165="-","-",(AT165*$B$2/W165+(1-AT165)*AVERAGE($B$2,$B$3)/AVERAGE(W165,AB165)))</f>
        <v>-</v>
      </c>
      <c r="AH165" s="190" t="str">
        <f t="shared" si="479"/>
        <v>-</v>
      </c>
      <c r="AI165" s="190" t="str">
        <f t="shared" si="479"/>
        <v>-</v>
      </c>
      <c r="AJ165" s="7"/>
      <c r="AK165" s="7"/>
      <c r="AL165" s="190" t="str">
        <f t="shared" ref="AL165:AN165" si="480">IF(W165="-","-",(AY165*$B$2/W165+(1-AY165)*AVERAGE($B$2,$B$3)/AVERAGE(W165,AB165)))</f>
        <v>-</v>
      </c>
      <c r="AM165" s="190" t="str">
        <f t="shared" si="480"/>
        <v>-</v>
      </c>
      <c r="AN165" s="190" t="str">
        <f t="shared" si="480"/>
        <v>-</v>
      </c>
      <c r="AO165" s="7"/>
      <c r="AP165" s="7"/>
      <c r="AQ165" s="7"/>
      <c r="AR165" s="7"/>
      <c r="AS165" s="7"/>
      <c r="AT165" s="242" t="str">
        <f>IF(R165="-","-",VLOOKUP(R165,'CPI USA'!$T:$V,3,FALSE))</f>
        <v>-</v>
      </c>
      <c r="AU165" s="242" t="str">
        <f>IF(S165="-","-",VLOOKUP(S165,'CPI USA'!$T:$V,3,FALSE))</f>
        <v>-</v>
      </c>
      <c r="AV165" s="242" t="str">
        <f>IF(T165="-","-",VLOOKUP(T165,'CPI USA'!$T:$V,3,FALSE))</f>
        <v>-</v>
      </c>
      <c r="AW165" s="7"/>
      <c r="AX165" s="7"/>
      <c r="AY165" s="242" t="str">
        <f>IF(R165="-","-",VLOOKUP(R165,'CPI USA'!$T:$X,5,FALSE))</f>
        <v>-</v>
      </c>
      <c r="AZ165" s="242" t="str">
        <f>IF(S165="-","-",VLOOKUP(S165,'CPI USA'!$T:$X,5,FALSE))</f>
        <v>-</v>
      </c>
      <c r="BA165" s="242" t="str">
        <f>IF(T165="-","-",VLOOKUP(T165,'CPI USA'!$T:$X,5,FALSE))</f>
        <v>-</v>
      </c>
      <c r="BB165" s="7"/>
    </row>
    <row r="166" spans="1:54" ht="15.75" customHeight="1">
      <c r="A166" s="185" t="s">
        <v>688</v>
      </c>
      <c r="B166" s="185" t="s">
        <v>689</v>
      </c>
      <c r="C166" s="243">
        <f>+'Empresas 21-23'!J161</f>
        <v>0</v>
      </c>
      <c r="D166" s="239">
        <f>VLOOKUP(A166,'FERC 2021'!$A$3:$BE$221,57,0)</f>
        <v>0</v>
      </c>
      <c r="E166" s="239">
        <f>VLOOKUP(A166,'FERC 2021'!$A$3:$BF$221,58,0)</f>
        <v>0</v>
      </c>
      <c r="F166" s="239">
        <f>VLOOKUP(A166,'FERC 2022'!$A$3:$BE$220,57,0)</f>
        <v>0</v>
      </c>
      <c r="G166" s="239">
        <f>VLOOKUP(A166,'FERC 2022'!$A$3:$BF$220,58,0)</f>
        <v>0</v>
      </c>
      <c r="H166" s="239">
        <f>VLOOKUP(A166,'FERC 2023'!$A$3:$BE$221,57,0)</f>
        <v>0</v>
      </c>
      <c r="I166" s="239">
        <f>VLOOKUP(A166,'FERC 2023'!$A$3:$BF$221,58,0)</f>
        <v>0</v>
      </c>
      <c r="J166" s="7"/>
      <c r="K166" s="7"/>
      <c r="L166" s="7"/>
      <c r="M166" s="187" t="str">
        <f t="shared" si="0"/>
        <v/>
      </c>
      <c r="N166" s="187" t="str">
        <f t="shared" si="1"/>
        <v/>
      </c>
      <c r="O166" s="187" t="str">
        <f t="shared" si="2"/>
        <v/>
      </c>
      <c r="P166" s="7"/>
      <c r="Q166" s="240" t="str">
        <f t="shared" si="3"/>
        <v>-</v>
      </c>
      <c r="R166" s="189" t="str">
        <f t="shared" ref="R166:T166" si="481">IF(ISERROR(R$5-365*$Q166),"-",MONTH(R$5-365*$Q166)&amp;"_"&amp;YEAR(R$5-365*$Q166))</f>
        <v>-</v>
      </c>
      <c r="S166" s="189" t="str">
        <f t="shared" si="481"/>
        <v>-</v>
      </c>
      <c r="T166" s="189" t="str">
        <f t="shared" si="481"/>
        <v>-</v>
      </c>
      <c r="U166" s="7"/>
      <c r="V166" s="7"/>
      <c r="W166" s="190" t="str">
        <f>IF(R166="-","-",VLOOKUP(R166,'CPI USA'!$T:$U,2,FALSE))</f>
        <v>-</v>
      </c>
      <c r="X166" s="190" t="str">
        <f>IF(S166="-","-",VLOOKUP(S166,'CPI USA'!$T:$U,2,FALSE))</f>
        <v>-</v>
      </c>
      <c r="Y166" s="190" t="str">
        <f>IF(T166="-","-",VLOOKUP(T166,'CPI USA'!$T:$U,2,FALSE))</f>
        <v>-</v>
      </c>
      <c r="Z166" s="7"/>
      <c r="AA166" s="7"/>
      <c r="AB166" s="190" t="str">
        <f>IF(R166="-","-",VLOOKUP(R166,'PPI USA'!$S:$T,2,FALSE))</f>
        <v>-</v>
      </c>
      <c r="AC166" s="190" t="str">
        <f>IF(S166="-","-",VLOOKUP(S166,'PPI USA'!$S:$T,2,FALSE))</f>
        <v>-</v>
      </c>
      <c r="AD166" s="190" t="str">
        <f>IF(T166="-","-",VLOOKUP(T166,'PPI USA'!$S:$T,2,FALSE))</f>
        <v>-</v>
      </c>
      <c r="AE166" s="7"/>
      <c r="AF166" s="7"/>
      <c r="AG166" s="190" t="str">
        <f t="shared" ref="AG166:AI166" si="482">IF(W166="-","-",(AT166*$B$2/W166+(1-AT166)*AVERAGE($B$2,$B$3)/AVERAGE(W166,AB166)))</f>
        <v>-</v>
      </c>
      <c r="AH166" s="190" t="str">
        <f t="shared" si="482"/>
        <v>-</v>
      </c>
      <c r="AI166" s="190" t="str">
        <f t="shared" si="482"/>
        <v>-</v>
      </c>
      <c r="AJ166" s="7"/>
      <c r="AK166" s="7"/>
      <c r="AL166" s="190" t="str">
        <f t="shared" ref="AL166:AN166" si="483">IF(W166="-","-",(AY166*$B$2/W166+(1-AY166)*AVERAGE($B$2,$B$3)/AVERAGE(W166,AB166)))</f>
        <v>-</v>
      </c>
      <c r="AM166" s="190" t="str">
        <f t="shared" si="483"/>
        <v>-</v>
      </c>
      <c r="AN166" s="190" t="str">
        <f t="shared" si="483"/>
        <v>-</v>
      </c>
      <c r="AO166" s="7"/>
      <c r="AP166" s="7"/>
      <c r="AQ166" s="7"/>
      <c r="AR166" s="7"/>
      <c r="AS166" s="7"/>
      <c r="AT166" s="242" t="str">
        <f>IF(R166="-","-",VLOOKUP(R166,'CPI USA'!$T:$V,3,FALSE))</f>
        <v>-</v>
      </c>
      <c r="AU166" s="242" t="str">
        <f>IF(S166="-","-",VLOOKUP(S166,'CPI USA'!$T:$V,3,FALSE))</f>
        <v>-</v>
      </c>
      <c r="AV166" s="242" t="str">
        <f>IF(T166="-","-",VLOOKUP(T166,'CPI USA'!$T:$V,3,FALSE))</f>
        <v>-</v>
      </c>
      <c r="AW166" s="7"/>
      <c r="AX166" s="7"/>
      <c r="AY166" s="242" t="str">
        <f>IF(R166="-","-",VLOOKUP(R166,'CPI USA'!$T:$X,5,FALSE))</f>
        <v>-</v>
      </c>
      <c r="AZ166" s="242" t="str">
        <f>IF(S166="-","-",VLOOKUP(S166,'CPI USA'!$T:$X,5,FALSE))</f>
        <v>-</v>
      </c>
      <c r="BA166" s="242" t="str">
        <f>IF(T166="-","-",VLOOKUP(T166,'CPI USA'!$T:$X,5,FALSE))</f>
        <v>-</v>
      </c>
      <c r="BB166" s="7"/>
    </row>
    <row r="167" spans="1:54" ht="15.75" customHeight="1">
      <c r="A167" s="185" t="s">
        <v>691</v>
      </c>
      <c r="B167" s="185" t="s">
        <v>692</v>
      </c>
      <c r="C167" s="243">
        <f>+'Empresas 21-23'!J162</f>
        <v>0</v>
      </c>
      <c r="D167" s="239">
        <f>VLOOKUP(A167,'FERC 2021'!$A$3:$BE$221,57,0)</f>
        <v>0</v>
      </c>
      <c r="E167" s="239">
        <f>VLOOKUP(A167,'FERC 2021'!$A$3:$BF$221,58,0)</f>
        <v>0</v>
      </c>
      <c r="F167" s="239">
        <f>VLOOKUP(A167,'FERC 2022'!$A$3:$BE$220,57,0)</f>
        <v>0</v>
      </c>
      <c r="G167" s="239">
        <f>VLOOKUP(A167,'FERC 2022'!$A$3:$BF$220,58,0)</f>
        <v>0</v>
      </c>
      <c r="H167" s="239">
        <f>VLOOKUP(A167,'FERC 2023'!$A$3:$BE$221,57,0)</f>
        <v>0</v>
      </c>
      <c r="I167" s="239">
        <f>VLOOKUP(A167,'FERC 2023'!$A$3:$BF$221,58,0)</f>
        <v>0</v>
      </c>
      <c r="J167" s="7"/>
      <c r="K167" s="7"/>
      <c r="L167" s="7"/>
      <c r="M167" s="187" t="str">
        <f t="shared" si="0"/>
        <v/>
      </c>
      <c r="N167" s="187" t="str">
        <f t="shared" si="1"/>
        <v/>
      </c>
      <c r="O167" s="187" t="str">
        <f t="shared" si="2"/>
        <v/>
      </c>
      <c r="P167" s="7"/>
      <c r="Q167" s="240" t="str">
        <f t="shared" si="3"/>
        <v>-</v>
      </c>
      <c r="R167" s="189" t="str">
        <f t="shared" ref="R167:T167" si="484">IF(ISERROR(R$5-365*$Q167),"-",MONTH(R$5-365*$Q167)&amp;"_"&amp;YEAR(R$5-365*$Q167))</f>
        <v>-</v>
      </c>
      <c r="S167" s="189" t="str">
        <f t="shared" si="484"/>
        <v>-</v>
      </c>
      <c r="T167" s="189" t="str">
        <f t="shared" si="484"/>
        <v>-</v>
      </c>
      <c r="U167" s="7"/>
      <c r="V167" s="7"/>
      <c r="W167" s="190" t="str">
        <f>IF(R167="-","-",VLOOKUP(R167,'CPI USA'!$T:$U,2,FALSE))</f>
        <v>-</v>
      </c>
      <c r="X167" s="190" t="str">
        <f>IF(S167="-","-",VLOOKUP(S167,'CPI USA'!$T:$U,2,FALSE))</f>
        <v>-</v>
      </c>
      <c r="Y167" s="190" t="str">
        <f>IF(T167="-","-",VLOOKUP(T167,'CPI USA'!$T:$U,2,FALSE))</f>
        <v>-</v>
      </c>
      <c r="Z167" s="7"/>
      <c r="AA167" s="7"/>
      <c r="AB167" s="190" t="str">
        <f>IF(R167="-","-",VLOOKUP(R167,'PPI USA'!$S:$T,2,FALSE))</f>
        <v>-</v>
      </c>
      <c r="AC167" s="190" t="str">
        <f>IF(S167="-","-",VLOOKUP(S167,'PPI USA'!$S:$T,2,FALSE))</f>
        <v>-</v>
      </c>
      <c r="AD167" s="190" t="str">
        <f>IF(T167="-","-",VLOOKUP(T167,'PPI USA'!$S:$T,2,FALSE))</f>
        <v>-</v>
      </c>
      <c r="AE167" s="7"/>
      <c r="AF167" s="7"/>
      <c r="AG167" s="190" t="str">
        <f t="shared" ref="AG167:AI167" si="485">IF(W167="-","-",(AT167*$B$2/W167+(1-AT167)*AVERAGE($B$2,$B$3)/AVERAGE(W167,AB167)))</f>
        <v>-</v>
      </c>
      <c r="AH167" s="190" t="str">
        <f t="shared" si="485"/>
        <v>-</v>
      </c>
      <c r="AI167" s="190" t="str">
        <f t="shared" si="485"/>
        <v>-</v>
      </c>
      <c r="AJ167" s="7"/>
      <c r="AK167" s="7"/>
      <c r="AL167" s="190" t="str">
        <f t="shared" ref="AL167:AN167" si="486">IF(W167="-","-",(AY167*$B$2/W167+(1-AY167)*AVERAGE($B$2,$B$3)/AVERAGE(W167,AB167)))</f>
        <v>-</v>
      </c>
      <c r="AM167" s="190" t="str">
        <f t="shared" si="486"/>
        <v>-</v>
      </c>
      <c r="AN167" s="190" t="str">
        <f t="shared" si="486"/>
        <v>-</v>
      </c>
      <c r="AO167" s="7"/>
      <c r="AP167" s="7"/>
      <c r="AQ167" s="7"/>
      <c r="AR167" s="7"/>
      <c r="AS167" s="7"/>
      <c r="AT167" s="242" t="str">
        <f>IF(R167="-","-",VLOOKUP(R167,'CPI USA'!$T:$V,3,FALSE))</f>
        <v>-</v>
      </c>
      <c r="AU167" s="242" t="str">
        <f>IF(S167="-","-",VLOOKUP(S167,'CPI USA'!$T:$V,3,FALSE))</f>
        <v>-</v>
      </c>
      <c r="AV167" s="242" t="str">
        <f>IF(T167="-","-",VLOOKUP(T167,'CPI USA'!$T:$V,3,FALSE))</f>
        <v>-</v>
      </c>
      <c r="AW167" s="7"/>
      <c r="AX167" s="7"/>
      <c r="AY167" s="242" t="str">
        <f>IF(R167="-","-",VLOOKUP(R167,'CPI USA'!$T:$X,5,FALSE))</f>
        <v>-</v>
      </c>
      <c r="AZ167" s="242" t="str">
        <f>IF(S167="-","-",VLOOKUP(S167,'CPI USA'!$T:$X,5,FALSE))</f>
        <v>-</v>
      </c>
      <c r="BA167" s="242" t="str">
        <f>IF(T167="-","-",VLOOKUP(T167,'CPI USA'!$T:$X,5,FALSE))</f>
        <v>-</v>
      </c>
      <c r="BB167" s="7"/>
    </row>
    <row r="168" spans="1:54" ht="15.75" customHeight="1">
      <c r="A168" s="185" t="s">
        <v>694</v>
      </c>
      <c r="B168" s="185" t="s">
        <v>695</v>
      </c>
      <c r="C168" s="243">
        <f>+'Empresas 21-23'!J163</f>
        <v>0</v>
      </c>
      <c r="D168" s="239">
        <f>VLOOKUP(A168,'FERC 2021'!$A$3:$BE$221,57,0)</f>
        <v>0</v>
      </c>
      <c r="E168" s="239">
        <f>VLOOKUP(A168,'FERC 2021'!$A$3:$BF$221,58,0)</f>
        <v>0</v>
      </c>
      <c r="F168" s="239">
        <f>VLOOKUP(A168,'FERC 2022'!$A$3:$BE$220,57,0)</f>
        <v>0</v>
      </c>
      <c r="G168" s="239">
        <f>VLOOKUP(A168,'FERC 2022'!$A$3:$BF$220,58,0)</f>
        <v>0</v>
      </c>
      <c r="H168" s="239">
        <f>VLOOKUP(A168,'FERC 2023'!$A$3:$BE$221,57,0)</f>
        <v>0</v>
      </c>
      <c r="I168" s="239">
        <f>VLOOKUP(A168,'FERC 2023'!$A$3:$BF$221,58,0)</f>
        <v>0</v>
      </c>
      <c r="J168" s="7"/>
      <c r="K168" s="7"/>
      <c r="L168" s="7"/>
      <c r="M168" s="187" t="str">
        <f t="shared" si="0"/>
        <v/>
      </c>
      <c r="N168" s="187" t="str">
        <f t="shared" si="1"/>
        <v/>
      </c>
      <c r="O168" s="187" t="str">
        <f t="shared" si="2"/>
        <v/>
      </c>
      <c r="P168" s="7"/>
      <c r="Q168" s="240" t="str">
        <f t="shared" si="3"/>
        <v>-</v>
      </c>
      <c r="R168" s="189" t="str">
        <f t="shared" ref="R168:T168" si="487">IF(ISERROR(R$5-365*$Q168),"-",MONTH(R$5-365*$Q168)&amp;"_"&amp;YEAR(R$5-365*$Q168))</f>
        <v>-</v>
      </c>
      <c r="S168" s="189" t="str">
        <f t="shared" si="487"/>
        <v>-</v>
      </c>
      <c r="T168" s="189" t="str">
        <f t="shared" si="487"/>
        <v>-</v>
      </c>
      <c r="U168" s="7"/>
      <c r="V168" s="7"/>
      <c r="W168" s="190" t="str">
        <f>IF(R168="-","-",VLOOKUP(R168,'CPI USA'!$T:$U,2,FALSE))</f>
        <v>-</v>
      </c>
      <c r="X168" s="190" t="str">
        <f>IF(S168="-","-",VLOOKUP(S168,'CPI USA'!$T:$U,2,FALSE))</f>
        <v>-</v>
      </c>
      <c r="Y168" s="190" t="str">
        <f>IF(T168="-","-",VLOOKUP(T168,'CPI USA'!$T:$U,2,FALSE))</f>
        <v>-</v>
      </c>
      <c r="Z168" s="7"/>
      <c r="AA168" s="7"/>
      <c r="AB168" s="190" t="str">
        <f>IF(R168="-","-",VLOOKUP(R168,'PPI USA'!$S:$T,2,FALSE))</f>
        <v>-</v>
      </c>
      <c r="AC168" s="190" t="str">
        <f>IF(S168="-","-",VLOOKUP(S168,'PPI USA'!$S:$T,2,FALSE))</f>
        <v>-</v>
      </c>
      <c r="AD168" s="190" t="str">
        <f>IF(T168="-","-",VLOOKUP(T168,'PPI USA'!$S:$T,2,FALSE))</f>
        <v>-</v>
      </c>
      <c r="AE168" s="7"/>
      <c r="AF168" s="7"/>
      <c r="AG168" s="190" t="str">
        <f t="shared" ref="AG168:AI168" si="488">IF(W168="-","-",(AT168*$B$2/W168+(1-AT168)*AVERAGE($B$2,$B$3)/AVERAGE(W168,AB168)))</f>
        <v>-</v>
      </c>
      <c r="AH168" s="190" t="str">
        <f t="shared" si="488"/>
        <v>-</v>
      </c>
      <c r="AI168" s="190" t="str">
        <f t="shared" si="488"/>
        <v>-</v>
      </c>
      <c r="AJ168" s="7"/>
      <c r="AK168" s="7"/>
      <c r="AL168" s="190" t="str">
        <f t="shared" ref="AL168:AN168" si="489">IF(W168="-","-",(AY168*$B$2/W168+(1-AY168)*AVERAGE($B$2,$B$3)/AVERAGE(W168,AB168)))</f>
        <v>-</v>
      </c>
      <c r="AM168" s="190" t="str">
        <f t="shared" si="489"/>
        <v>-</v>
      </c>
      <c r="AN168" s="190" t="str">
        <f t="shared" si="489"/>
        <v>-</v>
      </c>
      <c r="AO168" s="7"/>
      <c r="AP168" s="7"/>
      <c r="AQ168" s="7"/>
      <c r="AR168" s="7"/>
      <c r="AS168" s="7"/>
      <c r="AT168" s="242" t="str">
        <f>IF(R168="-","-",VLOOKUP(R168,'CPI USA'!$T:$V,3,FALSE))</f>
        <v>-</v>
      </c>
      <c r="AU168" s="242" t="str">
        <f>IF(S168="-","-",VLOOKUP(S168,'CPI USA'!$T:$V,3,FALSE))</f>
        <v>-</v>
      </c>
      <c r="AV168" s="242" t="str">
        <f>IF(T168="-","-",VLOOKUP(T168,'CPI USA'!$T:$V,3,FALSE))</f>
        <v>-</v>
      </c>
      <c r="AW168" s="7"/>
      <c r="AX168" s="7"/>
      <c r="AY168" s="242" t="str">
        <f>IF(R168="-","-",VLOOKUP(R168,'CPI USA'!$T:$X,5,FALSE))</f>
        <v>-</v>
      </c>
      <c r="AZ168" s="242" t="str">
        <f>IF(S168="-","-",VLOOKUP(S168,'CPI USA'!$T:$X,5,FALSE))</f>
        <v>-</v>
      </c>
      <c r="BA168" s="242" t="str">
        <f>IF(T168="-","-",VLOOKUP(T168,'CPI USA'!$T:$X,5,FALSE))</f>
        <v>-</v>
      </c>
      <c r="BB168" s="7"/>
    </row>
    <row r="169" spans="1:54" ht="15.75" customHeight="1">
      <c r="A169" s="185" t="s">
        <v>697</v>
      </c>
      <c r="B169" s="185" t="s">
        <v>698</v>
      </c>
      <c r="C169" s="239">
        <f>+'Empresas 21-23'!J164</f>
        <v>0</v>
      </c>
      <c r="D169" s="239">
        <f>VLOOKUP(A169,'FERC 2021'!$A$3:$BE$221,57,0)</f>
        <v>203644633</v>
      </c>
      <c r="E169" s="239">
        <f>VLOOKUP(A169,'FERC 2021'!$A$3:$BF$221,58,0)</f>
        <v>16467031</v>
      </c>
      <c r="F169" s="239">
        <f>VLOOKUP(A169,'FERC 2022'!$A$3:$BE$220,57,0)</f>
        <v>213824980</v>
      </c>
      <c r="G169" s="239">
        <f>VLOOKUP(A169,'FERC 2022'!$A$3:$BF$220,58,0)</f>
        <v>17194720</v>
      </c>
      <c r="H169" s="239">
        <f>VLOOKUP(A169,'FERC 2023'!$A$3:$BE$221,57,0)</f>
        <v>226198631</v>
      </c>
      <c r="I169" s="239">
        <f>VLOOKUP(A169,'FERC 2023'!$A$3:$BF$221,58,0)</f>
        <v>18261338</v>
      </c>
      <c r="J169" s="7"/>
      <c r="K169" s="7"/>
      <c r="L169" s="7"/>
      <c r="M169" s="187">
        <f t="shared" si="0"/>
        <v>12.366809353793043</v>
      </c>
      <c r="N169" s="187">
        <f t="shared" si="1"/>
        <v>12.435502293727376</v>
      </c>
      <c r="O169" s="187">
        <f t="shared" si="2"/>
        <v>12.386750138461924</v>
      </c>
      <c r="P169" s="7"/>
      <c r="Q169" s="240">
        <f t="shared" si="3"/>
        <v>12.396353928660782</v>
      </c>
      <c r="R169" s="189" t="str">
        <f t="shared" ref="R169:T169" si="490">IF(ISERROR(R$5-365*$Q169),"-",MONTH(R$5-365*$Q169)&amp;"_"&amp;YEAR(R$5-365*$Q169))</f>
        <v>8_2009</v>
      </c>
      <c r="S169" s="189" t="str">
        <f t="shared" si="490"/>
        <v>8_2010</v>
      </c>
      <c r="T169" s="189" t="str">
        <f t="shared" si="490"/>
        <v>8_2011</v>
      </c>
      <c r="U169" s="7"/>
      <c r="V169" s="7"/>
      <c r="W169" s="190">
        <f>IF(R169="-","-",VLOOKUP(R169,'CPI USA'!$T:$U,2,FALSE))</f>
        <v>214.53700000000001</v>
      </c>
      <c r="X169" s="190">
        <f>IF(S169="-","-",VLOOKUP(S169,'CPI USA'!$T:$U,2,FALSE))</f>
        <v>218.05600000000001</v>
      </c>
      <c r="Y169" s="190">
        <f>IF(T169="-","-",VLOOKUP(T169,'CPI USA'!$T:$U,2,FALSE))</f>
        <v>224.93899999999999</v>
      </c>
      <c r="Z169" s="7"/>
      <c r="AA169" s="7"/>
      <c r="AB169" s="190">
        <f>IF(R169="-","-",VLOOKUP(R169,'PPI USA'!$S:$T,2,FALSE))</f>
        <v>159.1</v>
      </c>
      <c r="AC169" s="190">
        <f>IF(S169="-","-",VLOOKUP(S169,'PPI USA'!$S:$T,2,FALSE))</f>
        <v>160.80000000000001</v>
      </c>
      <c r="AD169" s="190">
        <f>IF(T169="-","-",VLOOKUP(T169,'PPI USA'!$S:$T,2,FALSE))</f>
        <v>169.6</v>
      </c>
      <c r="AE169" s="7"/>
      <c r="AF169" s="7"/>
      <c r="AG169" s="190">
        <f t="shared" ref="AG169:AI169" si="491">IF(W169="-","-",(AT169*$B$2/W169+(1-AT169)*AVERAGE($B$2,$B$3)/AVERAGE(W169,AB169)))</f>
        <v>1.4932638886873792</v>
      </c>
      <c r="AH169" s="190">
        <f t="shared" si="491"/>
        <v>1.4703278680244813</v>
      </c>
      <c r="AI169" s="190">
        <f t="shared" si="491"/>
        <v>1.4208751760332547</v>
      </c>
      <c r="AJ169" s="7"/>
      <c r="AK169" s="7"/>
      <c r="AL169" s="190">
        <f t="shared" ref="AL169:AN169" si="492">IF(W169="-","-",(AY169*$B$2/W169+(1-AY169)*AVERAGE($B$2,$B$3)/AVERAGE(W169,AB169)))</f>
        <v>1.5082750176818205</v>
      </c>
      <c r="AM169" s="190">
        <f t="shared" si="492"/>
        <v>1.4857204383544427</v>
      </c>
      <c r="AN169" s="190">
        <f t="shared" si="492"/>
        <v>1.4334111417560953</v>
      </c>
      <c r="AO169" s="7"/>
      <c r="AP169" s="7"/>
      <c r="AQ169" s="7"/>
      <c r="AR169" s="7"/>
      <c r="AS169" s="7"/>
      <c r="AT169" s="242">
        <f>IF(R169="-","-",VLOOKUP(R169,'CPI USA'!$T:$V,3,FALSE))</f>
        <v>0.66997101349938215</v>
      </c>
      <c r="AU169" s="242">
        <f>IF(S169="-","-",VLOOKUP(S169,'CPI USA'!$T:$V,3,FALSE))</f>
        <v>0.67050107279443949</v>
      </c>
      <c r="AV169" s="242">
        <f>IF(T169="-","-",VLOOKUP(T169,'CPI USA'!$T:$V,3,FALSE))</f>
        <v>0.6684022975047168</v>
      </c>
      <c r="AW169" s="7"/>
      <c r="AX169" s="7"/>
      <c r="AY169" s="242">
        <f>IF(R169="-","-",VLOOKUP(R169,'CPI USA'!$T:$X,5,FALSE))</f>
        <v>0.49813941766071862</v>
      </c>
      <c r="AZ169" s="242">
        <f>IF(S169="-","-",VLOOKUP(S169,'CPI USA'!$T:$X,5,FALSE))</f>
        <v>0.4987389730136107</v>
      </c>
      <c r="BA169" s="242">
        <f>IF(T169="-","-",VLOOKUP(T169,'CPI USA'!$T:$X,5,FALSE))</f>
        <v>0.49636791791307899</v>
      </c>
      <c r="BB169" s="7"/>
    </row>
    <row r="170" spans="1:54" ht="15.75" customHeight="1">
      <c r="A170" s="185" t="s">
        <v>700</v>
      </c>
      <c r="B170" s="185" t="s">
        <v>701</v>
      </c>
      <c r="C170" s="243">
        <f>+'Empresas 21-23'!J165</f>
        <v>0</v>
      </c>
      <c r="D170" s="239">
        <f>VLOOKUP(A170,'FERC 2021'!$A$3:$BE$221,57,0)</f>
        <v>0</v>
      </c>
      <c r="E170" s="239">
        <f>VLOOKUP(A170,'FERC 2021'!$A$3:$BF$221,58,0)</f>
        <v>0</v>
      </c>
      <c r="F170" s="239">
        <f>VLOOKUP(A170,'FERC 2022'!$A$3:$BE$220,57,0)</f>
        <v>0</v>
      </c>
      <c r="G170" s="239">
        <f>VLOOKUP(A170,'FERC 2022'!$A$3:$BF$220,58,0)</f>
        <v>0</v>
      </c>
      <c r="H170" s="239">
        <f>VLOOKUP(A170,'FERC 2023'!$A$3:$BE$221,57,0)</f>
        <v>0</v>
      </c>
      <c r="I170" s="239">
        <f>VLOOKUP(A170,'FERC 2023'!$A$3:$BF$221,58,0)</f>
        <v>0</v>
      </c>
      <c r="J170" s="7"/>
      <c r="K170" s="7"/>
      <c r="L170" s="7"/>
      <c r="M170" s="187" t="str">
        <f t="shared" si="0"/>
        <v/>
      </c>
      <c r="N170" s="187" t="str">
        <f t="shared" si="1"/>
        <v/>
      </c>
      <c r="O170" s="187" t="str">
        <f t="shared" si="2"/>
        <v/>
      </c>
      <c r="P170" s="7"/>
      <c r="Q170" s="240" t="str">
        <f t="shared" si="3"/>
        <v>-</v>
      </c>
      <c r="R170" s="189" t="str">
        <f t="shared" ref="R170:T170" si="493">IF(ISERROR(R$5-365*$Q170),"-",MONTH(R$5-365*$Q170)&amp;"_"&amp;YEAR(R$5-365*$Q170))</f>
        <v>-</v>
      </c>
      <c r="S170" s="189" t="str">
        <f t="shared" si="493"/>
        <v>-</v>
      </c>
      <c r="T170" s="189" t="str">
        <f t="shared" si="493"/>
        <v>-</v>
      </c>
      <c r="U170" s="7"/>
      <c r="V170" s="7"/>
      <c r="W170" s="190" t="str">
        <f>IF(R170="-","-",VLOOKUP(R170,'CPI USA'!$T:$U,2,FALSE))</f>
        <v>-</v>
      </c>
      <c r="X170" s="190" t="str">
        <f>IF(S170="-","-",VLOOKUP(S170,'CPI USA'!$T:$U,2,FALSE))</f>
        <v>-</v>
      </c>
      <c r="Y170" s="190" t="str">
        <f>IF(T170="-","-",VLOOKUP(T170,'CPI USA'!$T:$U,2,FALSE))</f>
        <v>-</v>
      </c>
      <c r="Z170" s="7"/>
      <c r="AA170" s="7"/>
      <c r="AB170" s="190" t="str">
        <f>IF(R170="-","-",VLOOKUP(R170,'PPI USA'!$S:$T,2,FALSE))</f>
        <v>-</v>
      </c>
      <c r="AC170" s="190" t="str">
        <f>IF(S170="-","-",VLOOKUP(S170,'PPI USA'!$S:$T,2,FALSE))</f>
        <v>-</v>
      </c>
      <c r="AD170" s="190" t="str">
        <f>IF(T170="-","-",VLOOKUP(T170,'PPI USA'!$S:$T,2,FALSE))</f>
        <v>-</v>
      </c>
      <c r="AE170" s="7"/>
      <c r="AF170" s="7"/>
      <c r="AG170" s="190" t="str">
        <f t="shared" ref="AG170:AI170" si="494">IF(W170="-","-",(AT170*$B$2/W170+(1-AT170)*AVERAGE($B$2,$B$3)/AVERAGE(W170,AB170)))</f>
        <v>-</v>
      </c>
      <c r="AH170" s="190" t="str">
        <f t="shared" si="494"/>
        <v>-</v>
      </c>
      <c r="AI170" s="190" t="str">
        <f t="shared" si="494"/>
        <v>-</v>
      </c>
      <c r="AJ170" s="7"/>
      <c r="AK170" s="7"/>
      <c r="AL170" s="190" t="str">
        <f t="shared" ref="AL170:AN170" si="495">IF(W170="-","-",(AY170*$B$2/W170+(1-AY170)*AVERAGE($B$2,$B$3)/AVERAGE(W170,AB170)))</f>
        <v>-</v>
      </c>
      <c r="AM170" s="190" t="str">
        <f t="shared" si="495"/>
        <v>-</v>
      </c>
      <c r="AN170" s="190" t="str">
        <f t="shared" si="495"/>
        <v>-</v>
      </c>
      <c r="AO170" s="7"/>
      <c r="AP170" s="7"/>
      <c r="AQ170" s="7"/>
      <c r="AR170" s="7"/>
      <c r="AS170" s="7"/>
      <c r="AT170" s="242" t="str">
        <f>IF(R170="-","-",VLOOKUP(R170,'CPI USA'!$T:$V,3,FALSE))</f>
        <v>-</v>
      </c>
      <c r="AU170" s="242" t="str">
        <f>IF(S170="-","-",VLOOKUP(S170,'CPI USA'!$T:$V,3,FALSE))</f>
        <v>-</v>
      </c>
      <c r="AV170" s="242" t="str">
        <f>IF(T170="-","-",VLOOKUP(T170,'CPI USA'!$T:$V,3,FALSE))</f>
        <v>-</v>
      </c>
      <c r="AW170" s="7"/>
      <c r="AX170" s="7"/>
      <c r="AY170" s="242" t="str">
        <f>IF(R170="-","-",VLOOKUP(R170,'CPI USA'!$T:$X,5,FALSE))</f>
        <v>-</v>
      </c>
      <c r="AZ170" s="242" t="str">
        <f>IF(S170="-","-",VLOOKUP(S170,'CPI USA'!$T:$X,5,FALSE))</f>
        <v>-</v>
      </c>
      <c r="BA170" s="242" t="str">
        <f>IF(T170="-","-",VLOOKUP(T170,'CPI USA'!$T:$X,5,FALSE))</f>
        <v>-</v>
      </c>
      <c r="BB170" s="7"/>
    </row>
    <row r="171" spans="1:54" ht="15.75" customHeight="1">
      <c r="A171" s="185" t="s">
        <v>703</v>
      </c>
      <c r="B171" s="185" t="s">
        <v>704</v>
      </c>
      <c r="C171" s="243">
        <f>+'Empresas 21-23'!J166</f>
        <v>0</v>
      </c>
      <c r="D171" s="239">
        <f>VLOOKUP(A171,'FERC 2021'!$A$3:$BE$221,57,0)</f>
        <v>0</v>
      </c>
      <c r="E171" s="239">
        <f>VLOOKUP(A171,'FERC 2021'!$A$3:$BF$221,58,0)</f>
        <v>0</v>
      </c>
      <c r="F171" s="239">
        <f>VLOOKUP(A171,'FERC 2022'!$A$3:$BE$220,57,0)</f>
        <v>0</v>
      </c>
      <c r="G171" s="239">
        <f>VLOOKUP(A171,'FERC 2022'!$A$3:$BF$220,58,0)</f>
        <v>0</v>
      </c>
      <c r="H171" s="244" t="e">
        <f>VLOOKUP(A171,'FERC 2023'!$A$3:$BE$221,57,0)</f>
        <v>#N/A</v>
      </c>
      <c r="I171" s="244" t="e">
        <f>VLOOKUP(A171,'FERC 2023'!$A$3:$BF$221,58,0)</f>
        <v>#N/A</v>
      </c>
      <c r="J171" s="7"/>
      <c r="K171" s="7"/>
      <c r="L171" s="7"/>
      <c r="M171" s="187" t="str">
        <f t="shared" si="0"/>
        <v/>
      </c>
      <c r="N171" s="187" t="str">
        <f t="shared" si="1"/>
        <v/>
      </c>
      <c r="O171" s="187" t="str">
        <f t="shared" si="2"/>
        <v/>
      </c>
      <c r="P171" s="7"/>
      <c r="Q171" s="240" t="str">
        <f t="shared" si="3"/>
        <v>-</v>
      </c>
      <c r="R171" s="189" t="str">
        <f t="shared" ref="R171:T171" si="496">IF(ISERROR(R$5-365*$Q171),"-",MONTH(R$5-365*$Q171)&amp;"_"&amp;YEAR(R$5-365*$Q171))</f>
        <v>-</v>
      </c>
      <c r="S171" s="189" t="str">
        <f t="shared" si="496"/>
        <v>-</v>
      </c>
      <c r="T171" s="189" t="str">
        <f t="shared" si="496"/>
        <v>-</v>
      </c>
      <c r="U171" s="7"/>
      <c r="V171" s="7"/>
      <c r="W171" s="190" t="str">
        <f>IF(R171="-","-",VLOOKUP(R171,'CPI USA'!$T:$U,2,FALSE))</f>
        <v>-</v>
      </c>
      <c r="X171" s="190" t="str">
        <f>IF(S171="-","-",VLOOKUP(S171,'CPI USA'!$T:$U,2,FALSE))</f>
        <v>-</v>
      </c>
      <c r="Y171" s="190" t="str">
        <f>IF(T171="-","-",VLOOKUP(T171,'CPI USA'!$T:$U,2,FALSE))</f>
        <v>-</v>
      </c>
      <c r="Z171" s="7"/>
      <c r="AA171" s="7"/>
      <c r="AB171" s="190" t="str">
        <f>IF(R171="-","-",VLOOKUP(R171,'PPI USA'!$S:$T,2,FALSE))</f>
        <v>-</v>
      </c>
      <c r="AC171" s="190" t="str">
        <f>IF(S171="-","-",VLOOKUP(S171,'PPI USA'!$S:$T,2,FALSE))</f>
        <v>-</v>
      </c>
      <c r="AD171" s="190" t="str">
        <f>IF(T171="-","-",VLOOKUP(T171,'PPI USA'!$S:$T,2,FALSE))</f>
        <v>-</v>
      </c>
      <c r="AE171" s="7"/>
      <c r="AF171" s="7"/>
      <c r="AG171" s="190" t="str">
        <f t="shared" ref="AG171:AI171" si="497">IF(W171="-","-",(AT171*$B$2/W171+(1-AT171)*AVERAGE($B$2,$B$3)/AVERAGE(W171,AB171)))</f>
        <v>-</v>
      </c>
      <c r="AH171" s="190" t="str">
        <f t="shared" si="497"/>
        <v>-</v>
      </c>
      <c r="AI171" s="190" t="str">
        <f t="shared" si="497"/>
        <v>-</v>
      </c>
      <c r="AJ171" s="7"/>
      <c r="AK171" s="7"/>
      <c r="AL171" s="190" t="str">
        <f t="shared" ref="AL171:AN171" si="498">IF(W171="-","-",(AY171*$B$2/W171+(1-AY171)*AVERAGE($B$2,$B$3)/AVERAGE(W171,AB171)))</f>
        <v>-</v>
      </c>
      <c r="AM171" s="190" t="str">
        <f t="shared" si="498"/>
        <v>-</v>
      </c>
      <c r="AN171" s="190" t="str">
        <f t="shared" si="498"/>
        <v>-</v>
      </c>
      <c r="AO171" s="7"/>
      <c r="AP171" s="7"/>
      <c r="AQ171" s="7"/>
      <c r="AR171" s="7"/>
      <c r="AS171" s="7"/>
      <c r="AT171" s="242" t="str">
        <f>IF(R171="-","-",VLOOKUP(R171,'CPI USA'!$T:$V,3,FALSE))</f>
        <v>-</v>
      </c>
      <c r="AU171" s="242" t="str">
        <f>IF(S171="-","-",VLOOKUP(S171,'CPI USA'!$T:$V,3,FALSE))</f>
        <v>-</v>
      </c>
      <c r="AV171" s="242" t="str">
        <f>IF(T171="-","-",VLOOKUP(T171,'CPI USA'!$T:$V,3,FALSE))</f>
        <v>-</v>
      </c>
      <c r="AW171" s="7"/>
      <c r="AX171" s="7"/>
      <c r="AY171" s="242" t="str">
        <f>IF(R171="-","-",VLOOKUP(R171,'CPI USA'!$T:$X,5,FALSE))</f>
        <v>-</v>
      </c>
      <c r="AZ171" s="242" t="str">
        <f>IF(S171="-","-",VLOOKUP(S171,'CPI USA'!$T:$X,5,FALSE))</f>
        <v>-</v>
      </c>
      <c r="BA171" s="242" t="str">
        <f>IF(T171="-","-",VLOOKUP(T171,'CPI USA'!$T:$X,5,FALSE))</f>
        <v>-</v>
      </c>
      <c r="BB171" s="7"/>
    </row>
    <row r="172" spans="1:54" ht="15.75" customHeight="1">
      <c r="A172" s="185" t="s">
        <v>706</v>
      </c>
      <c r="B172" s="185" t="s">
        <v>707</v>
      </c>
      <c r="C172" s="243">
        <f>+'Empresas 21-23'!J167</f>
        <v>0</v>
      </c>
      <c r="D172" s="239">
        <f>VLOOKUP(A172,'FERC 2021'!$A$3:$BE$221,57,0)</f>
        <v>0</v>
      </c>
      <c r="E172" s="239">
        <f>VLOOKUP(A172,'FERC 2021'!$A$3:$BF$221,58,0)</f>
        <v>0</v>
      </c>
      <c r="F172" s="239">
        <f>VLOOKUP(A172,'FERC 2022'!$A$3:$BE$220,57,0)</f>
        <v>0</v>
      </c>
      <c r="G172" s="239">
        <f>VLOOKUP(A172,'FERC 2022'!$A$3:$BF$220,58,0)</f>
        <v>0</v>
      </c>
      <c r="H172" s="239">
        <f>VLOOKUP(A172,'FERC 2023'!$A$3:$BE$221,57,0)</f>
        <v>0</v>
      </c>
      <c r="I172" s="239">
        <f>VLOOKUP(A172,'FERC 2023'!$A$3:$BF$221,58,0)</f>
        <v>0</v>
      </c>
      <c r="J172" s="7"/>
      <c r="K172" s="7"/>
      <c r="L172" s="7"/>
      <c r="M172" s="187" t="str">
        <f t="shared" si="0"/>
        <v/>
      </c>
      <c r="N172" s="187" t="str">
        <f t="shared" si="1"/>
        <v/>
      </c>
      <c r="O172" s="187" t="str">
        <f t="shared" si="2"/>
        <v/>
      </c>
      <c r="P172" s="7"/>
      <c r="Q172" s="240" t="str">
        <f t="shared" si="3"/>
        <v>-</v>
      </c>
      <c r="R172" s="189" t="str">
        <f t="shared" ref="R172:T172" si="499">IF(ISERROR(R$5-365*$Q172),"-",MONTH(R$5-365*$Q172)&amp;"_"&amp;YEAR(R$5-365*$Q172))</f>
        <v>-</v>
      </c>
      <c r="S172" s="189" t="str">
        <f t="shared" si="499"/>
        <v>-</v>
      </c>
      <c r="T172" s="189" t="str">
        <f t="shared" si="499"/>
        <v>-</v>
      </c>
      <c r="U172" s="7"/>
      <c r="V172" s="7"/>
      <c r="W172" s="190" t="str">
        <f>IF(R172="-","-",VLOOKUP(R172,'CPI USA'!$T:$U,2,FALSE))</f>
        <v>-</v>
      </c>
      <c r="X172" s="190" t="str">
        <f>IF(S172="-","-",VLOOKUP(S172,'CPI USA'!$T:$U,2,FALSE))</f>
        <v>-</v>
      </c>
      <c r="Y172" s="190" t="str">
        <f>IF(T172="-","-",VLOOKUP(T172,'CPI USA'!$T:$U,2,FALSE))</f>
        <v>-</v>
      </c>
      <c r="Z172" s="7"/>
      <c r="AA172" s="7"/>
      <c r="AB172" s="190" t="str">
        <f>IF(R172="-","-",VLOOKUP(R172,'PPI USA'!$S:$T,2,FALSE))</f>
        <v>-</v>
      </c>
      <c r="AC172" s="190" t="str">
        <f>IF(S172="-","-",VLOOKUP(S172,'PPI USA'!$S:$T,2,FALSE))</f>
        <v>-</v>
      </c>
      <c r="AD172" s="190" t="str">
        <f>IF(T172="-","-",VLOOKUP(T172,'PPI USA'!$S:$T,2,FALSE))</f>
        <v>-</v>
      </c>
      <c r="AE172" s="7"/>
      <c r="AF172" s="7"/>
      <c r="AG172" s="190" t="str">
        <f t="shared" ref="AG172:AI172" si="500">IF(W172="-","-",(AT172*$B$2/W172+(1-AT172)*AVERAGE($B$2,$B$3)/AVERAGE(W172,AB172)))</f>
        <v>-</v>
      </c>
      <c r="AH172" s="190" t="str">
        <f t="shared" si="500"/>
        <v>-</v>
      </c>
      <c r="AI172" s="190" t="str">
        <f t="shared" si="500"/>
        <v>-</v>
      </c>
      <c r="AJ172" s="7"/>
      <c r="AK172" s="7"/>
      <c r="AL172" s="190" t="str">
        <f t="shared" ref="AL172:AN172" si="501">IF(W172="-","-",(AY172*$B$2/W172+(1-AY172)*AVERAGE($B$2,$B$3)/AVERAGE(W172,AB172)))</f>
        <v>-</v>
      </c>
      <c r="AM172" s="190" t="str">
        <f t="shared" si="501"/>
        <v>-</v>
      </c>
      <c r="AN172" s="190" t="str">
        <f t="shared" si="501"/>
        <v>-</v>
      </c>
      <c r="AO172" s="7"/>
      <c r="AP172" s="7"/>
      <c r="AQ172" s="7"/>
      <c r="AR172" s="7"/>
      <c r="AS172" s="7"/>
      <c r="AT172" s="242" t="str">
        <f>IF(R172="-","-",VLOOKUP(R172,'CPI USA'!$T:$V,3,FALSE))</f>
        <v>-</v>
      </c>
      <c r="AU172" s="242" t="str">
        <f>IF(S172="-","-",VLOOKUP(S172,'CPI USA'!$T:$V,3,FALSE))</f>
        <v>-</v>
      </c>
      <c r="AV172" s="242" t="str">
        <f>IF(T172="-","-",VLOOKUP(T172,'CPI USA'!$T:$V,3,FALSE))</f>
        <v>-</v>
      </c>
      <c r="AW172" s="7"/>
      <c r="AX172" s="7"/>
      <c r="AY172" s="242" t="str">
        <f>IF(R172="-","-",VLOOKUP(R172,'CPI USA'!$T:$X,5,FALSE))</f>
        <v>-</v>
      </c>
      <c r="AZ172" s="242" t="str">
        <f>IF(S172="-","-",VLOOKUP(S172,'CPI USA'!$T:$X,5,FALSE))</f>
        <v>-</v>
      </c>
      <c r="BA172" s="242" t="str">
        <f>IF(T172="-","-",VLOOKUP(T172,'CPI USA'!$T:$X,5,FALSE))</f>
        <v>-</v>
      </c>
      <c r="BB172" s="7"/>
    </row>
    <row r="173" spans="1:54" ht="15.75" customHeight="1">
      <c r="A173" s="185" t="s">
        <v>709</v>
      </c>
      <c r="B173" s="185" t="s">
        <v>710</v>
      </c>
      <c r="C173" s="243">
        <f>+'Empresas 21-23'!J168</f>
        <v>0</v>
      </c>
      <c r="D173" s="239">
        <f>VLOOKUP(A173,'FERC 2021'!$A$3:$BE$221,57,0)</f>
        <v>0</v>
      </c>
      <c r="E173" s="239">
        <f>VLOOKUP(A173,'FERC 2021'!$A$3:$BF$221,58,0)</f>
        <v>0</v>
      </c>
      <c r="F173" s="239">
        <f>VLOOKUP(A173,'FERC 2022'!$A$3:$BE$220,57,0)</f>
        <v>0</v>
      </c>
      <c r="G173" s="239">
        <f>VLOOKUP(A173,'FERC 2022'!$A$3:$BF$220,58,0)</f>
        <v>0</v>
      </c>
      <c r="H173" s="239">
        <f>VLOOKUP(A173,'FERC 2023'!$A$3:$BE$221,57,0)</f>
        <v>0</v>
      </c>
      <c r="I173" s="239">
        <f>VLOOKUP(A173,'FERC 2023'!$A$3:$BF$221,58,0)</f>
        <v>0</v>
      </c>
      <c r="J173" s="7"/>
      <c r="K173" s="7"/>
      <c r="L173" s="7"/>
      <c r="M173" s="187" t="str">
        <f t="shared" si="0"/>
        <v/>
      </c>
      <c r="N173" s="187" t="str">
        <f t="shared" si="1"/>
        <v/>
      </c>
      <c r="O173" s="187" t="str">
        <f t="shared" si="2"/>
        <v/>
      </c>
      <c r="P173" s="7"/>
      <c r="Q173" s="240" t="str">
        <f t="shared" si="3"/>
        <v>-</v>
      </c>
      <c r="R173" s="189" t="str">
        <f t="shared" ref="R173:T173" si="502">IF(ISERROR(R$5-365*$Q173),"-",MONTH(R$5-365*$Q173)&amp;"_"&amp;YEAR(R$5-365*$Q173))</f>
        <v>-</v>
      </c>
      <c r="S173" s="189" t="str">
        <f t="shared" si="502"/>
        <v>-</v>
      </c>
      <c r="T173" s="189" t="str">
        <f t="shared" si="502"/>
        <v>-</v>
      </c>
      <c r="U173" s="7"/>
      <c r="V173" s="7"/>
      <c r="W173" s="190" t="str">
        <f>IF(R173="-","-",VLOOKUP(R173,'CPI USA'!$T:$U,2,FALSE))</f>
        <v>-</v>
      </c>
      <c r="X173" s="190" t="str">
        <f>IF(S173="-","-",VLOOKUP(S173,'CPI USA'!$T:$U,2,FALSE))</f>
        <v>-</v>
      </c>
      <c r="Y173" s="190" t="str">
        <f>IF(T173="-","-",VLOOKUP(T173,'CPI USA'!$T:$U,2,FALSE))</f>
        <v>-</v>
      </c>
      <c r="Z173" s="7"/>
      <c r="AA173" s="7"/>
      <c r="AB173" s="190" t="str">
        <f>IF(R173="-","-",VLOOKUP(R173,'PPI USA'!$S:$T,2,FALSE))</f>
        <v>-</v>
      </c>
      <c r="AC173" s="190" t="str">
        <f>IF(S173="-","-",VLOOKUP(S173,'PPI USA'!$S:$T,2,FALSE))</f>
        <v>-</v>
      </c>
      <c r="AD173" s="190" t="str">
        <f>IF(T173="-","-",VLOOKUP(T173,'PPI USA'!$S:$T,2,FALSE))</f>
        <v>-</v>
      </c>
      <c r="AE173" s="7"/>
      <c r="AF173" s="7"/>
      <c r="AG173" s="190" t="str">
        <f t="shared" ref="AG173:AI173" si="503">IF(W173="-","-",(AT173*$B$2/W173+(1-AT173)*AVERAGE($B$2,$B$3)/AVERAGE(W173,AB173)))</f>
        <v>-</v>
      </c>
      <c r="AH173" s="190" t="str">
        <f t="shared" si="503"/>
        <v>-</v>
      </c>
      <c r="AI173" s="190" t="str">
        <f t="shared" si="503"/>
        <v>-</v>
      </c>
      <c r="AJ173" s="7"/>
      <c r="AK173" s="7"/>
      <c r="AL173" s="190" t="str">
        <f t="shared" ref="AL173:AN173" si="504">IF(W173="-","-",(AY173*$B$2/W173+(1-AY173)*AVERAGE($B$2,$B$3)/AVERAGE(W173,AB173)))</f>
        <v>-</v>
      </c>
      <c r="AM173" s="190" t="str">
        <f t="shared" si="504"/>
        <v>-</v>
      </c>
      <c r="AN173" s="190" t="str">
        <f t="shared" si="504"/>
        <v>-</v>
      </c>
      <c r="AO173" s="7"/>
      <c r="AP173" s="7"/>
      <c r="AQ173" s="7"/>
      <c r="AR173" s="7"/>
      <c r="AS173" s="7"/>
      <c r="AT173" s="242" t="str">
        <f>IF(R173="-","-",VLOOKUP(R173,'CPI USA'!$T:$V,3,FALSE))</f>
        <v>-</v>
      </c>
      <c r="AU173" s="242" t="str">
        <f>IF(S173="-","-",VLOOKUP(S173,'CPI USA'!$T:$V,3,FALSE))</f>
        <v>-</v>
      </c>
      <c r="AV173" s="242" t="str">
        <f>IF(T173="-","-",VLOOKUP(T173,'CPI USA'!$T:$V,3,FALSE))</f>
        <v>-</v>
      </c>
      <c r="AW173" s="7"/>
      <c r="AX173" s="7"/>
      <c r="AY173" s="242" t="str">
        <f>IF(R173="-","-",VLOOKUP(R173,'CPI USA'!$T:$X,5,FALSE))</f>
        <v>-</v>
      </c>
      <c r="AZ173" s="242" t="str">
        <f>IF(S173="-","-",VLOOKUP(S173,'CPI USA'!$T:$X,5,FALSE))</f>
        <v>-</v>
      </c>
      <c r="BA173" s="242" t="str">
        <f>IF(T173="-","-",VLOOKUP(T173,'CPI USA'!$T:$X,5,FALSE))</f>
        <v>-</v>
      </c>
      <c r="BB173" s="7"/>
    </row>
    <row r="174" spans="1:54" ht="15.75" customHeight="1">
      <c r="A174" s="185" t="s">
        <v>712</v>
      </c>
      <c r="B174" s="185" t="s">
        <v>713</v>
      </c>
      <c r="C174" s="243">
        <f>+'Empresas 21-23'!J169</f>
        <v>0</v>
      </c>
      <c r="D174" s="239">
        <f>VLOOKUP(A174,'FERC 2021'!$A$3:$BE$221,57,0)</f>
        <v>0</v>
      </c>
      <c r="E174" s="239">
        <f>VLOOKUP(A174,'FERC 2021'!$A$3:$BF$221,58,0)</f>
        <v>0</v>
      </c>
      <c r="F174" s="239">
        <f>VLOOKUP(A174,'FERC 2022'!$A$3:$BE$220,57,0)</f>
        <v>0</v>
      </c>
      <c r="G174" s="239">
        <f>VLOOKUP(A174,'FERC 2022'!$A$3:$BF$220,58,0)</f>
        <v>0</v>
      </c>
      <c r="H174" s="239">
        <f>VLOOKUP(A174,'FERC 2023'!$A$3:$BE$221,57,0)</f>
        <v>0</v>
      </c>
      <c r="I174" s="239">
        <f>VLOOKUP(A174,'FERC 2023'!$A$3:$BF$221,58,0)</f>
        <v>0</v>
      </c>
      <c r="J174" s="7"/>
      <c r="K174" s="7"/>
      <c r="L174" s="7"/>
      <c r="M174" s="187" t="str">
        <f t="shared" si="0"/>
        <v/>
      </c>
      <c r="N174" s="187" t="str">
        <f t="shared" si="1"/>
        <v/>
      </c>
      <c r="O174" s="187" t="str">
        <f t="shared" si="2"/>
        <v/>
      </c>
      <c r="P174" s="7"/>
      <c r="Q174" s="240" t="str">
        <f t="shared" si="3"/>
        <v>-</v>
      </c>
      <c r="R174" s="189" t="str">
        <f t="shared" ref="R174:T174" si="505">IF(ISERROR(R$5-365*$Q174),"-",MONTH(R$5-365*$Q174)&amp;"_"&amp;YEAR(R$5-365*$Q174))</f>
        <v>-</v>
      </c>
      <c r="S174" s="189" t="str">
        <f t="shared" si="505"/>
        <v>-</v>
      </c>
      <c r="T174" s="189" t="str">
        <f t="shared" si="505"/>
        <v>-</v>
      </c>
      <c r="U174" s="7"/>
      <c r="V174" s="7"/>
      <c r="W174" s="190" t="str">
        <f>IF(R174="-","-",VLOOKUP(R174,'CPI USA'!$T:$U,2,FALSE))</f>
        <v>-</v>
      </c>
      <c r="X174" s="190" t="str">
        <f>IF(S174="-","-",VLOOKUP(S174,'CPI USA'!$T:$U,2,FALSE))</f>
        <v>-</v>
      </c>
      <c r="Y174" s="190" t="str">
        <f>IF(T174="-","-",VLOOKUP(T174,'CPI USA'!$T:$U,2,FALSE))</f>
        <v>-</v>
      </c>
      <c r="Z174" s="7"/>
      <c r="AA174" s="7"/>
      <c r="AB174" s="190" t="str">
        <f>IF(R174="-","-",VLOOKUP(R174,'PPI USA'!$S:$T,2,FALSE))</f>
        <v>-</v>
      </c>
      <c r="AC174" s="190" t="str">
        <f>IF(S174="-","-",VLOOKUP(S174,'PPI USA'!$S:$T,2,FALSE))</f>
        <v>-</v>
      </c>
      <c r="AD174" s="190" t="str">
        <f>IF(T174="-","-",VLOOKUP(T174,'PPI USA'!$S:$T,2,FALSE))</f>
        <v>-</v>
      </c>
      <c r="AE174" s="7"/>
      <c r="AF174" s="7"/>
      <c r="AG174" s="190" t="str">
        <f t="shared" ref="AG174:AI174" si="506">IF(W174="-","-",(AT174*$B$2/W174+(1-AT174)*AVERAGE($B$2,$B$3)/AVERAGE(W174,AB174)))</f>
        <v>-</v>
      </c>
      <c r="AH174" s="190" t="str">
        <f t="shared" si="506"/>
        <v>-</v>
      </c>
      <c r="AI174" s="190" t="str">
        <f t="shared" si="506"/>
        <v>-</v>
      </c>
      <c r="AJ174" s="7"/>
      <c r="AK174" s="7"/>
      <c r="AL174" s="190" t="str">
        <f t="shared" ref="AL174:AN174" si="507">IF(W174="-","-",(AY174*$B$2/W174+(1-AY174)*AVERAGE($B$2,$B$3)/AVERAGE(W174,AB174)))</f>
        <v>-</v>
      </c>
      <c r="AM174" s="190" t="str">
        <f t="shared" si="507"/>
        <v>-</v>
      </c>
      <c r="AN174" s="190" t="str">
        <f t="shared" si="507"/>
        <v>-</v>
      </c>
      <c r="AO174" s="7"/>
      <c r="AP174" s="7"/>
      <c r="AQ174" s="7"/>
      <c r="AR174" s="7"/>
      <c r="AS174" s="7"/>
      <c r="AT174" s="242" t="str">
        <f>IF(R174="-","-",VLOOKUP(R174,'CPI USA'!$T:$V,3,FALSE))</f>
        <v>-</v>
      </c>
      <c r="AU174" s="242" t="str">
        <f>IF(S174="-","-",VLOOKUP(S174,'CPI USA'!$T:$V,3,FALSE))</f>
        <v>-</v>
      </c>
      <c r="AV174" s="242" t="str">
        <f>IF(T174="-","-",VLOOKUP(T174,'CPI USA'!$T:$V,3,FALSE))</f>
        <v>-</v>
      </c>
      <c r="AW174" s="7"/>
      <c r="AX174" s="7"/>
      <c r="AY174" s="242" t="str">
        <f>IF(R174="-","-",VLOOKUP(R174,'CPI USA'!$T:$X,5,FALSE))</f>
        <v>-</v>
      </c>
      <c r="AZ174" s="242" t="str">
        <f>IF(S174="-","-",VLOOKUP(S174,'CPI USA'!$T:$X,5,FALSE))</f>
        <v>-</v>
      </c>
      <c r="BA174" s="242" t="str">
        <f>IF(T174="-","-",VLOOKUP(T174,'CPI USA'!$T:$X,5,FALSE))</f>
        <v>-</v>
      </c>
      <c r="BB174" s="7"/>
    </row>
    <row r="175" spans="1:54" ht="15.75" customHeight="1">
      <c r="A175" s="185" t="s">
        <v>715</v>
      </c>
      <c r="B175" s="185" t="s">
        <v>716</v>
      </c>
      <c r="C175" s="243">
        <f>+'Empresas 21-23'!J170</f>
        <v>0</v>
      </c>
      <c r="D175" s="239">
        <f>VLOOKUP(A175,'FERC 2021'!$A$3:$BE$221,57,0)</f>
        <v>0</v>
      </c>
      <c r="E175" s="239">
        <f>VLOOKUP(A175,'FERC 2021'!$A$3:$BF$221,58,0)</f>
        <v>0</v>
      </c>
      <c r="F175" s="239">
        <f>VLOOKUP(A175,'FERC 2022'!$A$3:$BE$220,57,0)</f>
        <v>0</v>
      </c>
      <c r="G175" s="239">
        <f>VLOOKUP(A175,'FERC 2022'!$A$3:$BF$220,58,0)</f>
        <v>0</v>
      </c>
      <c r="H175" s="239">
        <f>VLOOKUP(A175,'FERC 2023'!$A$3:$BE$221,57,0)</f>
        <v>0</v>
      </c>
      <c r="I175" s="239">
        <f>VLOOKUP(A175,'FERC 2023'!$A$3:$BF$221,58,0)</f>
        <v>0</v>
      </c>
      <c r="J175" s="7"/>
      <c r="K175" s="7"/>
      <c r="L175" s="7"/>
      <c r="M175" s="187" t="str">
        <f t="shared" si="0"/>
        <v/>
      </c>
      <c r="N175" s="187" t="str">
        <f t="shared" si="1"/>
        <v/>
      </c>
      <c r="O175" s="187" t="str">
        <f t="shared" si="2"/>
        <v/>
      </c>
      <c r="P175" s="7"/>
      <c r="Q175" s="240" t="str">
        <f t="shared" si="3"/>
        <v>-</v>
      </c>
      <c r="R175" s="189" t="str">
        <f t="shared" ref="R175:T175" si="508">IF(ISERROR(R$5-365*$Q175),"-",MONTH(R$5-365*$Q175)&amp;"_"&amp;YEAR(R$5-365*$Q175))</f>
        <v>-</v>
      </c>
      <c r="S175" s="189" t="str">
        <f t="shared" si="508"/>
        <v>-</v>
      </c>
      <c r="T175" s="189" t="str">
        <f t="shared" si="508"/>
        <v>-</v>
      </c>
      <c r="U175" s="7"/>
      <c r="V175" s="7"/>
      <c r="W175" s="190" t="str">
        <f>IF(R175="-","-",VLOOKUP(R175,'CPI USA'!$T:$U,2,FALSE))</f>
        <v>-</v>
      </c>
      <c r="X175" s="190" t="str">
        <f>IF(S175="-","-",VLOOKUP(S175,'CPI USA'!$T:$U,2,FALSE))</f>
        <v>-</v>
      </c>
      <c r="Y175" s="190" t="str">
        <f>IF(T175="-","-",VLOOKUP(T175,'CPI USA'!$T:$U,2,FALSE))</f>
        <v>-</v>
      </c>
      <c r="Z175" s="7"/>
      <c r="AA175" s="7"/>
      <c r="AB175" s="190" t="str">
        <f>IF(R175="-","-",VLOOKUP(R175,'PPI USA'!$S:$T,2,FALSE))</f>
        <v>-</v>
      </c>
      <c r="AC175" s="190" t="str">
        <f>IF(S175="-","-",VLOOKUP(S175,'PPI USA'!$S:$T,2,FALSE))</f>
        <v>-</v>
      </c>
      <c r="AD175" s="190" t="str">
        <f>IF(T175="-","-",VLOOKUP(T175,'PPI USA'!$S:$T,2,FALSE))</f>
        <v>-</v>
      </c>
      <c r="AE175" s="7"/>
      <c r="AF175" s="7"/>
      <c r="AG175" s="190" t="str">
        <f t="shared" ref="AG175:AI175" si="509">IF(W175="-","-",(AT175*$B$2/W175+(1-AT175)*AVERAGE($B$2,$B$3)/AVERAGE(W175,AB175)))</f>
        <v>-</v>
      </c>
      <c r="AH175" s="190" t="str">
        <f t="shared" si="509"/>
        <v>-</v>
      </c>
      <c r="AI175" s="190" t="str">
        <f t="shared" si="509"/>
        <v>-</v>
      </c>
      <c r="AJ175" s="7"/>
      <c r="AK175" s="7"/>
      <c r="AL175" s="190" t="str">
        <f t="shared" ref="AL175:AN175" si="510">IF(W175="-","-",(AY175*$B$2/W175+(1-AY175)*AVERAGE($B$2,$B$3)/AVERAGE(W175,AB175)))</f>
        <v>-</v>
      </c>
      <c r="AM175" s="190" t="str">
        <f t="shared" si="510"/>
        <v>-</v>
      </c>
      <c r="AN175" s="190" t="str">
        <f t="shared" si="510"/>
        <v>-</v>
      </c>
      <c r="AO175" s="7"/>
      <c r="AP175" s="7"/>
      <c r="AQ175" s="7"/>
      <c r="AR175" s="7"/>
      <c r="AS175" s="7"/>
      <c r="AT175" s="242" t="str">
        <f>IF(R175="-","-",VLOOKUP(R175,'CPI USA'!$T:$V,3,FALSE))</f>
        <v>-</v>
      </c>
      <c r="AU175" s="242" t="str">
        <f>IF(S175="-","-",VLOOKUP(S175,'CPI USA'!$T:$V,3,FALSE))</f>
        <v>-</v>
      </c>
      <c r="AV175" s="242" t="str">
        <f>IF(T175="-","-",VLOOKUP(T175,'CPI USA'!$T:$V,3,FALSE))</f>
        <v>-</v>
      </c>
      <c r="AW175" s="7"/>
      <c r="AX175" s="7"/>
      <c r="AY175" s="242" t="str">
        <f>IF(R175="-","-",VLOOKUP(R175,'CPI USA'!$T:$X,5,FALSE))</f>
        <v>-</v>
      </c>
      <c r="AZ175" s="242" t="str">
        <f>IF(S175="-","-",VLOOKUP(S175,'CPI USA'!$T:$X,5,FALSE))</f>
        <v>-</v>
      </c>
      <c r="BA175" s="242" t="str">
        <f>IF(T175="-","-",VLOOKUP(T175,'CPI USA'!$T:$X,5,FALSE))</f>
        <v>-</v>
      </c>
      <c r="BB175" s="7"/>
    </row>
    <row r="176" spans="1:54" ht="15.75" customHeight="1">
      <c r="A176" s="185" t="s">
        <v>718</v>
      </c>
      <c r="B176" s="185" t="s">
        <v>719</v>
      </c>
      <c r="C176" s="243">
        <f>+'Empresas 21-23'!J171</f>
        <v>0</v>
      </c>
      <c r="D176" s="239">
        <f>VLOOKUP(A176,'FERC 2021'!$A$3:$BE$221,57,0)</f>
        <v>0</v>
      </c>
      <c r="E176" s="239">
        <f>VLOOKUP(A176,'FERC 2021'!$A$3:$BF$221,58,0)</f>
        <v>0</v>
      </c>
      <c r="F176" s="239">
        <f>VLOOKUP(A176,'FERC 2022'!$A$3:$BE$220,57,0)</f>
        <v>0</v>
      </c>
      <c r="G176" s="239">
        <f>VLOOKUP(A176,'FERC 2022'!$A$3:$BF$220,58,0)</f>
        <v>0</v>
      </c>
      <c r="H176" s="239">
        <f>VLOOKUP(A176,'FERC 2023'!$A$3:$BE$221,57,0)</f>
        <v>0</v>
      </c>
      <c r="I176" s="239">
        <f>VLOOKUP(A176,'FERC 2023'!$A$3:$BF$221,58,0)</f>
        <v>0</v>
      </c>
      <c r="J176" s="7"/>
      <c r="K176" s="7"/>
      <c r="L176" s="7"/>
      <c r="M176" s="187" t="str">
        <f t="shared" si="0"/>
        <v/>
      </c>
      <c r="N176" s="187" t="str">
        <f t="shared" si="1"/>
        <v/>
      </c>
      <c r="O176" s="187" t="str">
        <f t="shared" si="2"/>
        <v/>
      </c>
      <c r="P176" s="7"/>
      <c r="Q176" s="240" t="str">
        <f t="shared" si="3"/>
        <v>-</v>
      </c>
      <c r="R176" s="189" t="str">
        <f t="shared" ref="R176:T176" si="511">IF(ISERROR(R$5-365*$Q176),"-",MONTH(R$5-365*$Q176)&amp;"_"&amp;YEAR(R$5-365*$Q176))</f>
        <v>-</v>
      </c>
      <c r="S176" s="189" t="str">
        <f t="shared" si="511"/>
        <v>-</v>
      </c>
      <c r="T176" s="189" t="str">
        <f t="shared" si="511"/>
        <v>-</v>
      </c>
      <c r="U176" s="7"/>
      <c r="V176" s="7"/>
      <c r="W176" s="190" t="str">
        <f>IF(R176="-","-",VLOOKUP(R176,'CPI USA'!$T:$U,2,FALSE))</f>
        <v>-</v>
      </c>
      <c r="X176" s="190" t="str">
        <f>IF(S176="-","-",VLOOKUP(S176,'CPI USA'!$T:$U,2,FALSE))</f>
        <v>-</v>
      </c>
      <c r="Y176" s="190" t="str">
        <f>IF(T176="-","-",VLOOKUP(T176,'CPI USA'!$T:$U,2,FALSE))</f>
        <v>-</v>
      </c>
      <c r="Z176" s="7"/>
      <c r="AA176" s="7"/>
      <c r="AB176" s="190" t="str">
        <f>IF(R176="-","-",VLOOKUP(R176,'PPI USA'!$S:$T,2,FALSE))</f>
        <v>-</v>
      </c>
      <c r="AC176" s="190" t="str">
        <f>IF(S176="-","-",VLOOKUP(S176,'PPI USA'!$S:$T,2,FALSE))</f>
        <v>-</v>
      </c>
      <c r="AD176" s="190" t="str">
        <f>IF(T176="-","-",VLOOKUP(T176,'PPI USA'!$S:$T,2,FALSE))</f>
        <v>-</v>
      </c>
      <c r="AE176" s="7"/>
      <c r="AF176" s="7"/>
      <c r="AG176" s="190" t="str">
        <f t="shared" ref="AG176:AI176" si="512">IF(W176="-","-",(AT176*$B$2/W176+(1-AT176)*AVERAGE($B$2,$B$3)/AVERAGE(W176,AB176)))</f>
        <v>-</v>
      </c>
      <c r="AH176" s="190" t="str">
        <f t="shared" si="512"/>
        <v>-</v>
      </c>
      <c r="AI176" s="190" t="str">
        <f t="shared" si="512"/>
        <v>-</v>
      </c>
      <c r="AJ176" s="7"/>
      <c r="AK176" s="7"/>
      <c r="AL176" s="190" t="str">
        <f t="shared" ref="AL176:AN176" si="513">IF(W176="-","-",(AY176*$B$2/W176+(1-AY176)*AVERAGE($B$2,$B$3)/AVERAGE(W176,AB176)))</f>
        <v>-</v>
      </c>
      <c r="AM176" s="190" t="str">
        <f t="shared" si="513"/>
        <v>-</v>
      </c>
      <c r="AN176" s="190" t="str">
        <f t="shared" si="513"/>
        <v>-</v>
      </c>
      <c r="AO176" s="7"/>
      <c r="AP176" s="7"/>
      <c r="AQ176" s="7"/>
      <c r="AR176" s="7"/>
      <c r="AS176" s="7"/>
      <c r="AT176" s="242" t="str">
        <f>IF(R176="-","-",VLOOKUP(R176,'CPI USA'!$T:$V,3,FALSE))</f>
        <v>-</v>
      </c>
      <c r="AU176" s="242" t="str">
        <f>IF(S176="-","-",VLOOKUP(S176,'CPI USA'!$T:$V,3,FALSE))</f>
        <v>-</v>
      </c>
      <c r="AV176" s="242" t="str">
        <f>IF(T176="-","-",VLOOKUP(T176,'CPI USA'!$T:$V,3,FALSE))</f>
        <v>-</v>
      </c>
      <c r="AW176" s="7"/>
      <c r="AX176" s="7"/>
      <c r="AY176" s="242" t="str">
        <f>IF(R176="-","-",VLOOKUP(R176,'CPI USA'!$T:$X,5,FALSE))</f>
        <v>-</v>
      </c>
      <c r="AZ176" s="242" t="str">
        <f>IF(S176="-","-",VLOOKUP(S176,'CPI USA'!$T:$X,5,FALSE))</f>
        <v>-</v>
      </c>
      <c r="BA176" s="242" t="str">
        <f>IF(T176="-","-",VLOOKUP(T176,'CPI USA'!$T:$X,5,FALSE))</f>
        <v>-</v>
      </c>
      <c r="BB176" s="7"/>
    </row>
    <row r="177" spans="1:54" ht="15.75" customHeight="1">
      <c r="A177" s="185" t="s">
        <v>721</v>
      </c>
      <c r="B177" s="185" t="s">
        <v>722</v>
      </c>
      <c r="C177" s="243">
        <f>+'Empresas 21-23'!J172</f>
        <v>0</v>
      </c>
      <c r="D177" s="239">
        <f>VLOOKUP(A177,'FERC 2021'!$A$3:$BE$221,57,0)</f>
        <v>0</v>
      </c>
      <c r="E177" s="239">
        <f>VLOOKUP(A177,'FERC 2021'!$A$3:$BF$221,58,0)</f>
        <v>0</v>
      </c>
      <c r="F177" s="239">
        <f>VLOOKUP(A177,'FERC 2022'!$A$3:$BE$220,57,0)</f>
        <v>0</v>
      </c>
      <c r="G177" s="239">
        <f>VLOOKUP(A177,'FERC 2022'!$A$3:$BF$220,58,0)</f>
        <v>0</v>
      </c>
      <c r="H177" s="239">
        <f>VLOOKUP(A177,'FERC 2023'!$A$3:$BE$221,57,0)</f>
        <v>0</v>
      </c>
      <c r="I177" s="239">
        <f>VLOOKUP(A177,'FERC 2023'!$A$3:$BF$221,58,0)</f>
        <v>0</v>
      </c>
      <c r="J177" s="7"/>
      <c r="K177" s="7"/>
      <c r="L177" s="7"/>
      <c r="M177" s="187" t="str">
        <f t="shared" si="0"/>
        <v/>
      </c>
      <c r="N177" s="187" t="str">
        <f t="shared" si="1"/>
        <v/>
      </c>
      <c r="O177" s="187" t="str">
        <f t="shared" si="2"/>
        <v/>
      </c>
      <c r="P177" s="7"/>
      <c r="Q177" s="240" t="str">
        <f t="shared" si="3"/>
        <v>-</v>
      </c>
      <c r="R177" s="189" t="str">
        <f t="shared" ref="R177:T177" si="514">IF(ISERROR(R$5-365*$Q177),"-",MONTH(R$5-365*$Q177)&amp;"_"&amp;YEAR(R$5-365*$Q177))</f>
        <v>-</v>
      </c>
      <c r="S177" s="189" t="str">
        <f t="shared" si="514"/>
        <v>-</v>
      </c>
      <c r="T177" s="189" t="str">
        <f t="shared" si="514"/>
        <v>-</v>
      </c>
      <c r="U177" s="7"/>
      <c r="V177" s="7"/>
      <c r="W177" s="190" t="str">
        <f>IF(R177="-","-",VLOOKUP(R177,'CPI USA'!$T:$U,2,FALSE))</f>
        <v>-</v>
      </c>
      <c r="X177" s="190" t="str">
        <f>IF(S177="-","-",VLOOKUP(S177,'CPI USA'!$T:$U,2,FALSE))</f>
        <v>-</v>
      </c>
      <c r="Y177" s="190" t="str">
        <f>IF(T177="-","-",VLOOKUP(T177,'CPI USA'!$T:$U,2,FALSE))</f>
        <v>-</v>
      </c>
      <c r="Z177" s="7"/>
      <c r="AA177" s="7"/>
      <c r="AB177" s="190" t="str">
        <f>IF(R177="-","-",VLOOKUP(R177,'PPI USA'!$S:$T,2,FALSE))</f>
        <v>-</v>
      </c>
      <c r="AC177" s="190" t="str">
        <f>IF(S177="-","-",VLOOKUP(S177,'PPI USA'!$S:$T,2,FALSE))</f>
        <v>-</v>
      </c>
      <c r="AD177" s="190" t="str">
        <f>IF(T177="-","-",VLOOKUP(T177,'PPI USA'!$S:$T,2,FALSE))</f>
        <v>-</v>
      </c>
      <c r="AE177" s="7"/>
      <c r="AF177" s="7"/>
      <c r="AG177" s="190" t="str">
        <f t="shared" ref="AG177:AI177" si="515">IF(W177="-","-",(AT177*$B$2/W177+(1-AT177)*AVERAGE($B$2,$B$3)/AVERAGE(W177,AB177)))</f>
        <v>-</v>
      </c>
      <c r="AH177" s="190" t="str">
        <f t="shared" si="515"/>
        <v>-</v>
      </c>
      <c r="AI177" s="190" t="str">
        <f t="shared" si="515"/>
        <v>-</v>
      </c>
      <c r="AJ177" s="7"/>
      <c r="AK177" s="7"/>
      <c r="AL177" s="190" t="str">
        <f t="shared" ref="AL177:AN177" si="516">IF(W177="-","-",(AY177*$B$2/W177+(1-AY177)*AVERAGE($B$2,$B$3)/AVERAGE(W177,AB177)))</f>
        <v>-</v>
      </c>
      <c r="AM177" s="190" t="str">
        <f t="shared" si="516"/>
        <v>-</v>
      </c>
      <c r="AN177" s="190" t="str">
        <f t="shared" si="516"/>
        <v>-</v>
      </c>
      <c r="AO177" s="7"/>
      <c r="AP177" s="7"/>
      <c r="AQ177" s="7"/>
      <c r="AR177" s="7"/>
      <c r="AS177" s="7"/>
      <c r="AT177" s="242" t="str">
        <f>IF(R177="-","-",VLOOKUP(R177,'CPI USA'!$T:$V,3,FALSE))</f>
        <v>-</v>
      </c>
      <c r="AU177" s="242" t="str">
        <f>IF(S177="-","-",VLOOKUP(S177,'CPI USA'!$T:$V,3,FALSE))</f>
        <v>-</v>
      </c>
      <c r="AV177" s="242" t="str">
        <f>IF(T177="-","-",VLOOKUP(T177,'CPI USA'!$T:$V,3,FALSE))</f>
        <v>-</v>
      </c>
      <c r="AW177" s="7"/>
      <c r="AX177" s="7"/>
      <c r="AY177" s="242" t="str">
        <f>IF(R177="-","-",VLOOKUP(R177,'CPI USA'!$T:$X,5,FALSE))</f>
        <v>-</v>
      </c>
      <c r="AZ177" s="242" t="str">
        <f>IF(S177="-","-",VLOOKUP(S177,'CPI USA'!$T:$X,5,FALSE))</f>
        <v>-</v>
      </c>
      <c r="BA177" s="242" t="str">
        <f>IF(T177="-","-",VLOOKUP(T177,'CPI USA'!$T:$X,5,FALSE))</f>
        <v>-</v>
      </c>
      <c r="BB177" s="7"/>
    </row>
    <row r="178" spans="1:54" ht="15.75" customHeight="1">
      <c r="A178" s="185" t="s">
        <v>724</v>
      </c>
      <c r="B178" s="185" t="s">
        <v>725</v>
      </c>
      <c r="C178" s="239">
        <f>+'Empresas 21-23'!J173</f>
        <v>0</v>
      </c>
      <c r="D178" s="239">
        <f>VLOOKUP(A178,'FERC 2021'!$A$3:$BE$221,57,0)</f>
        <v>0</v>
      </c>
      <c r="E178" s="239">
        <f>VLOOKUP(A178,'FERC 2021'!$A$3:$BF$221,58,0)</f>
        <v>0</v>
      </c>
      <c r="F178" s="239">
        <f>VLOOKUP(A178,'FERC 2022'!$A$3:$BE$220,57,0)</f>
        <v>0</v>
      </c>
      <c r="G178" s="239">
        <f>VLOOKUP(A178,'FERC 2022'!$A$3:$BF$220,58,0)</f>
        <v>0</v>
      </c>
      <c r="H178" s="239">
        <f>VLOOKUP(A178,'FERC 2023'!$A$3:$BE$221,57,0)</f>
        <v>0</v>
      </c>
      <c r="I178" s="239">
        <f>VLOOKUP(A178,'FERC 2023'!$A$3:$BF$221,58,0)</f>
        <v>0</v>
      </c>
      <c r="J178" s="7"/>
      <c r="K178" s="7"/>
      <c r="L178" s="7"/>
      <c r="M178" s="187" t="str">
        <f t="shared" si="0"/>
        <v/>
      </c>
      <c r="N178" s="187" t="str">
        <f t="shared" si="1"/>
        <v/>
      </c>
      <c r="O178" s="187" t="str">
        <f t="shared" si="2"/>
        <v/>
      </c>
      <c r="P178" s="7"/>
      <c r="Q178" s="240" t="str">
        <f t="shared" si="3"/>
        <v>-</v>
      </c>
      <c r="R178" s="189" t="str">
        <f t="shared" ref="R178:T178" si="517">IF(ISERROR(R$5-365*$Q178),"-",MONTH(R$5-365*$Q178)&amp;"_"&amp;YEAR(R$5-365*$Q178))</f>
        <v>-</v>
      </c>
      <c r="S178" s="189" t="str">
        <f t="shared" si="517"/>
        <v>-</v>
      </c>
      <c r="T178" s="189" t="str">
        <f t="shared" si="517"/>
        <v>-</v>
      </c>
      <c r="U178" s="7"/>
      <c r="V178" s="7"/>
      <c r="W178" s="190" t="str">
        <f>IF(R178="-","-",VLOOKUP(R178,'CPI USA'!$T:$U,2,FALSE))</f>
        <v>-</v>
      </c>
      <c r="X178" s="190" t="str">
        <f>IF(S178="-","-",VLOOKUP(S178,'CPI USA'!$T:$U,2,FALSE))</f>
        <v>-</v>
      </c>
      <c r="Y178" s="190" t="str">
        <f>IF(T178="-","-",VLOOKUP(T178,'CPI USA'!$T:$U,2,FALSE))</f>
        <v>-</v>
      </c>
      <c r="Z178" s="7"/>
      <c r="AA178" s="7"/>
      <c r="AB178" s="190" t="str">
        <f>IF(R178="-","-",VLOOKUP(R178,'PPI USA'!$S:$T,2,FALSE))</f>
        <v>-</v>
      </c>
      <c r="AC178" s="190" t="str">
        <f>IF(S178="-","-",VLOOKUP(S178,'PPI USA'!$S:$T,2,FALSE))</f>
        <v>-</v>
      </c>
      <c r="AD178" s="190" t="str">
        <f>IF(T178="-","-",VLOOKUP(T178,'PPI USA'!$S:$T,2,FALSE))</f>
        <v>-</v>
      </c>
      <c r="AE178" s="7"/>
      <c r="AF178" s="7"/>
      <c r="AG178" s="190" t="str">
        <f t="shared" ref="AG178:AI178" si="518">IF(W178="-","-",(AT178*$B$2/W178+(1-AT178)*AVERAGE($B$2,$B$3)/AVERAGE(W178,AB178)))</f>
        <v>-</v>
      </c>
      <c r="AH178" s="190" t="str">
        <f t="shared" si="518"/>
        <v>-</v>
      </c>
      <c r="AI178" s="190" t="str">
        <f t="shared" si="518"/>
        <v>-</v>
      </c>
      <c r="AJ178" s="7"/>
      <c r="AK178" s="7"/>
      <c r="AL178" s="190" t="str">
        <f t="shared" ref="AL178:AN178" si="519">IF(W178="-","-",(AY178*$B$2/W178+(1-AY178)*AVERAGE($B$2,$B$3)/AVERAGE(W178,AB178)))</f>
        <v>-</v>
      </c>
      <c r="AM178" s="190" t="str">
        <f t="shared" si="519"/>
        <v>-</v>
      </c>
      <c r="AN178" s="190" t="str">
        <f t="shared" si="519"/>
        <v>-</v>
      </c>
      <c r="AO178" s="7"/>
      <c r="AP178" s="7"/>
      <c r="AQ178" s="7"/>
      <c r="AR178" s="7"/>
      <c r="AS178" s="7"/>
      <c r="AT178" s="242" t="str">
        <f>IF(R178="-","-",VLOOKUP(R178,'CPI USA'!$T:$V,3,FALSE))</f>
        <v>-</v>
      </c>
      <c r="AU178" s="242" t="str">
        <f>IF(S178="-","-",VLOOKUP(S178,'CPI USA'!$T:$V,3,FALSE))</f>
        <v>-</v>
      </c>
      <c r="AV178" s="242" t="str">
        <f>IF(T178="-","-",VLOOKUP(T178,'CPI USA'!$T:$V,3,FALSE))</f>
        <v>-</v>
      </c>
      <c r="AW178" s="7"/>
      <c r="AX178" s="7"/>
      <c r="AY178" s="242" t="str">
        <f>IF(R178="-","-",VLOOKUP(R178,'CPI USA'!$T:$X,5,FALSE))</f>
        <v>-</v>
      </c>
      <c r="AZ178" s="242" t="str">
        <f>IF(S178="-","-",VLOOKUP(S178,'CPI USA'!$T:$X,5,FALSE))</f>
        <v>-</v>
      </c>
      <c r="BA178" s="242" t="str">
        <f>IF(T178="-","-",VLOOKUP(T178,'CPI USA'!$T:$X,5,FALSE))</f>
        <v>-</v>
      </c>
      <c r="BB178" s="7"/>
    </row>
    <row r="179" spans="1:54" ht="15.75" customHeight="1">
      <c r="A179" s="185" t="s">
        <v>727</v>
      </c>
      <c r="B179" s="185" t="s">
        <v>728</v>
      </c>
      <c r="C179" s="243">
        <f>+'Empresas 21-23'!J174</f>
        <v>0</v>
      </c>
      <c r="D179" s="239">
        <f>VLOOKUP(A179,'FERC 2021'!$A$3:$BE$221,57,0)</f>
        <v>0</v>
      </c>
      <c r="E179" s="239">
        <f>VLOOKUP(A179,'FERC 2021'!$A$3:$BF$221,58,0)</f>
        <v>0</v>
      </c>
      <c r="F179" s="239">
        <f>VLOOKUP(A179,'FERC 2022'!$A$3:$BE$220,57,0)</f>
        <v>0</v>
      </c>
      <c r="G179" s="239">
        <f>VLOOKUP(A179,'FERC 2022'!$A$3:$BF$220,58,0)</f>
        <v>0</v>
      </c>
      <c r="H179" s="239">
        <f>VLOOKUP(A179,'FERC 2023'!$A$3:$BE$221,57,0)</f>
        <v>0</v>
      </c>
      <c r="I179" s="239">
        <f>VLOOKUP(A179,'FERC 2023'!$A$3:$BF$221,58,0)</f>
        <v>0</v>
      </c>
      <c r="J179" s="7"/>
      <c r="K179" s="7"/>
      <c r="L179" s="7"/>
      <c r="M179" s="187" t="str">
        <f t="shared" si="0"/>
        <v/>
      </c>
      <c r="N179" s="187" t="str">
        <f t="shared" si="1"/>
        <v/>
      </c>
      <c r="O179" s="187" t="str">
        <f t="shared" si="2"/>
        <v/>
      </c>
      <c r="P179" s="7"/>
      <c r="Q179" s="240" t="str">
        <f t="shared" si="3"/>
        <v>-</v>
      </c>
      <c r="R179" s="189" t="str">
        <f t="shared" ref="R179:T179" si="520">IF(ISERROR(R$5-365*$Q179),"-",MONTH(R$5-365*$Q179)&amp;"_"&amp;YEAR(R$5-365*$Q179))</f>
        <v>-</v>
      </c>
      <c r="S179" s="189" t="str">
        <f t="shared" si="520"/>
        <v>-</v>
      </c>
      <c r="T179" s="189" t="str">
        <f t="shared" si="520"/>
        <v>-</v>
      </c>
      <c r="U179" s="7"/>
      <c r="V179" s="7"/>
      <c r="W179" s="190" t="str">
        <f>IF(R179="-","-",VLOOKUP(R179,'CPI USA'!$T:$U,2,FALSE))</f>
        <v>-</v>
      </c>
      <c r="X179" s="190" t="str">
        <f>IF(S179="-","-",VLOOKUP(S179,'CPI USA'!$T:$U,2,FALSE))</f>
        <v>-</v>
      </c>
      <c r="Y179" s="190" t="str">
        <f>IF(T179="-","-",VLOOKUP(T179,'CPI USA'!$T:$U,2,FALSE))</f>
        <v>-</v>
      </c>
      <c r="Z179" s="7"/>
      <c r="AA179" s="7"/>
      <c r="AB179" s="190" t="str">
        <f>IF(R179="-","-",VLOOKUP(R179,'PPI USA'!$S:$T,2,FALSE))</f>
        <v>-</v>
      </c>
      <c r="AC179" s="190" t="str">
        <f>IF(S179="-","-",VLOOKUP(S179,'PPI USA'!$S:$T,2,FALSE))</f>
        <v>-</v>
      </c>
      <c r="AD179" s="190" t="str">
        <f>IF(T179="-","-",VLOOKUP(T179,'PPI USA'!$S:$T,2,FALSE))</f>
        <v>-</v>
      </c>
      <c r="AE179" s="7"/>
      <c r="AF179" s="7"/>
      <c r="AG179" s="190" t="str">
        <f t="shared" ref="AG179:AI179" si="521">IF(W179="-","-",(AT179*$B$2/W179+(1-AT179)*AVERAGE($B$2,$B$3)/AVERAGE(W179,AB179)))</f>
        <v>-</v>
      </c>
      <c r="AH179" s="190" t="str">
        <f t="shared" si="521"/>
        <v>-</v>
      </c>
      <c r="AI179" s="190" t="str">
        <f t="shared" si="521"/>
        <v>-</v>
      </c>
      <c r="AJ179" s="7"/>
      <c r="AK179" s="7"/>
      <c r="AL179" s="190" t="str">
        <f t="shared" ref="AL179:AN179" si="522">IF(W179="-","-",(AY179*$B$2/W179+(1-AY179)*AVERAGE($B$2,$B$3)/AVERAGE(W179,AB179)))</f>
        <v>-</v>
      </c>
      <c r="AM179" s="190" t="str">
        <f t="shared" si="522"/>
        <v>-</v>
      </c>
      <c r="AN179" s="190" t="str">
        <f t="shared" si="522"/>
        <v>-</v>
      </c>
      <c r="AO179" s="7"/>
      <c r="AP179" s="7"/>
      <c r="AQ179" s="7"/>
      <c r="AR179" s="7"/>
      <c r="AS179" s="7"/>
      <c r="AT179" s="242" t="str">
        <f>IF(R179="-","-",VLOOKUP(R179,'CPI USA'!$T:$V,3,FALSE))</f>
        <v>-</v>
      </c>
      <c r="AU179" s="242" t="str">
        <f>IF(S179="-","-",VLOOKUP(S179,'CPI USA'!$T:$V,3,FALSE))</f>
        <v>-</v>
      </c>
      <c r="AV179" s="242" t="str">
        <f>IF(T179="-","-",VLOOKUP(T179,'CPI USA'!$T:$V,3,FALSE))</f>
        <v>-</v>
      </c>
      <c r="AW179" s="7"/>
      <c r="AX179" s="7"/>
      <c r="AY179" s="242" t="str">
        <f>IF(R179="-","-",VLOOKUP(R179,'CPI USA'!$T:$X,5,FALSE))</f>
        <v>-</v>
      </c>
      <c r="AZ179" s="242" t="str">
        <f>IF(S179="-","-",VLOOKUP(S179,'CPI USA'!$T:$X,5,FALSE))</f>
        <v>-</v>
      </c>
      <c r="BA179" s="242" t="str">
        <f>IF(T179="-","-",VLOOKUP(T179,'CPI USA'!$T:$X,5,FALSE))</f>
        <v>-</v>
      </c>
      <c r="BB179" s="7"/>
    </row>
    <row r="180" spans="1:54" ht="15.75" customHeight="1">
      <c r="A180" s="185" t="s">
        <v>730</v>
      </c>
      <c r="B180" s="185" t="s">
        <v>731</v>
      </c>
      <c r="C180" s="243">
        <f>+'Empresas 21-23'!J175</f>
        <v>0</v>
      </c>
      <c r="D180" s="239">
        <f>VLOOKUP(A180,'FERC 2021'!$A$3:$BE$221,57,0)</f>
        <v>43707584</v>
      </c>
      <c r="E180" s="239">
        <f>VLOOKUP(A180,'FERC 2021'!$A$3:$BF$221,58,0)</f>
        <v>1817985</v>
      </c>
      <c r="F180" s="239">
        <f>VLOOKUP(A180,'FERC 2022'!$A$3:$BE$220,57,0)</f>
        <v>39350149</v>
      </c>
      <c r="G180" s="239">
        <f>VLOOKUP(A180,'FERC 2022'!$A$3:$BF$220,58,0)</f>
        <v>1962618</v>
      </c>
      <c r="H180" s="239">
        <f>VLOOKUP(A180,'FERC 2023'!$A$3:$BE$221,57,0)</f>
        <v>24612516</v>
      </c>
      <c r="I180" s="239">
        <f>VLOOKUP(A180,'FERC 2023'!$A$3:$BF$221,58,0)</f>
        <v>1476261</v>
      </c>
      <c r="J180" s="7"/>
      <c r="K180" s="7"/>
      <c r="L180" s="7"/>
      <c r="M180" s="187">
        <f t="shared" si="0"/>
        <v>24.041773722005406</v>
      </c>
      <c r="N180" s="187">
        <f t="shared" si="1"/>
        <v>20.049825793914046</v>
      </c>
      <c r="O180" s="187">
        <f t="shared" si="2"/>
        <v>16.672198208853313</v>
      </c>
      <c r="P180" s="7"/>
      <c r="Q180" s="240">
        <f t="shared" si="3"/>
        <v>20.254599241590924</v>
      </c>
      <c r="R180" s="189" t="str">
        <f t="shared" ref="R180:T180" si="523">IF(ISERROR(R$5-365*$Q180),"-",MONTH(R$5-365*$Q180)&amp;"_"&amp;YEAR(R$5-365*$Q180))</f>
        <v>10_2001</v>
      </c>
      <c r="S180" s="189" t="str">
        <f t="shared" si="523"/>
        <v>10_2002</v>
      </c>
      <c r="T180" s="189" t="str">
        <f t="shared" si="523"/>
        <v>10_2003</v>
      </c>
      <c r="U180" s="7"/>
      <c r="V180" s="7"/>
      <c r="W180" s="190">
        <f>IF(R180="-","-",VLOOKUP(R180,'CPI USA'!$T:$U,2,FALSE))</f>
        <v>177.1</v>
      </c>
      <c r="X180" s="190">
        <f>IF(S180="-","-",VLOOKUP(S180,'CPI USA'!$T:$U,2,FALSE))</f>
        <v>179.9</v>
      </c>
      <c r="Y180" s="190">
        <f>IF(T180="-","-",VLOOKUP(T180,'CPI USA'!$T:$U,2,FALSE))</f>
        <v>184</v>
      </c>
      <c r="Z180" s="7"/>
      <c r="AA180" s="7"/>
      <c r="AB180" s="190">
        <f>IF(R180="-","-",VLOOKUP(R180,'PPI USA'!$S:$T,2,FALSE))</f>
        <v>118.7</v>
      </c>
      <c r="AC180" s="190">
        <f>IF(S180="-","-",VLOOKUP(S180,'PPI USA'!$S:$T,2,FALSE))</f>
        <v>117.7</v>
      </c>
      <c r="AD180" s="190">
        <f>IF(T180="-","-",VLOOKUP(T180,'PPI USA'!$S:$T,2,FALSE))</f>
        <v>122.6</v>
      </c>
      <c r="AE180" s="7"/>
      <c r="AF180" s="7"/>
      <c r="AG180" s="190">
        <f t="shared" ref="AG180:AI180" si="524">IF(W180="-","-",(AT180*$B$2/W180+(1-AT180)*AVERAGE($B$2,$B$3)/AVERAGE(W180,AB180)))</f>
        <v>1.833718090784568</v>
      </c>
      <c r="AH180" s="190">
        <f t="shared" si="524"/>
        <v>1.8107397595358932</v>
      </c>
      <c r="AI180" s="190">
        <f t="shared" si="524"/>
        <v>1.7662899637984153</v>
      </c>
      <c r="AJ180" s="7"/>
      <c r="AK180" s="7"/>
      <c r="AL180" s="190">
        <f t="shared" ref="AL180:AN180" si="525">IF(W180="-","-",(AY180*$B$2/W180+(1-AY180)*AVERAGE($B$2,$B$3)/AVERAGE(W180,AB180)))</f>
        <v>1.8654646098078655</v>
      </c>
      <c r="AM180" s="190">
        <f t="shared" si="525"/>
        <v>1.8451105665988905</v>
      </c>
      <c r="AN180" s="190">
        <f t="shared" si="525"/>
        <v>1.7975926193363585</v>
      </c>
      <c r="AO180" s="7"/>
      <c r="AP180" s="7"/>
      <c r="AQ180" s="7"/>
      <c r="AR180" s="7"/>
      <c r="AS180" s="7"/>
      <c r="AT180" s="242">
        <f>IF(R180="-","-",VLOOKUP(R180,'CPI USA'!$T:$V,3,FALSE))</f>
        <v>0.67915417987956239</v>
      </c>
      <c r="AU180" s="242">
        <f>IF(S180="-","-",VLOOKUP(S180,'CPI USA'!$T:$V,3,FALSE))</f>
        <v>0.68124675757695474</v>
      </c>
      <c r="AV180" s="242">
        <f>IF(T180="-","-",VLOOKUP(T180,'CPI USA'!$T:$V,3,FALSE))</f>
        <v>0.67966838867333434</v>
      </c>
      <c r="AW180" s="7"/>
      <c r="AX180" s="7"/>
      <c r="AY180" s="242">
        <f>IF(R180="-","-",VLOOKUP(R180,'CPI USA'!$T:$X,5,FALSE))</f>
        <v>0.50859694042773451</v>
      </c>
      <c r="AZ180" s="242">
        <f>IF(S180="-","-",VLOOKUP(S180,'CPI USA'!$T:$X,5,FALSE))</f>
        <v>0.51100097296585234</v>
      </c>
      <c r="BA180" s="242">
        <f>IF(T180="-","-",VLOOKUP(T180,'CPI USA'!$T:$X,5,FALSE))</f>
        <v>0.509186952863521</v>
      </c>
      <c r="BB180" s="7"/>
    </row>
    <row r="181" spans="1:54" ht="15.75" customHeight="1">
      <c r="A181" s="185" t="s">
        <v>733</v>
      </c>
      <c r="B181" s="185" t="s">
        <v>734</v>
      </c>
      <c r="C181" s="243">
        <f>+'Empresas 21-23'!J176</f>
        <v>0</v>
      </c>
      <c r="D181" s="239">
        <f>VLOOKUP(A181,'FERC 2021'!$A$3:$BE$221,57,0)</f>
        <v>0</v>
      </c>
      <c r="E181" s="239">
        <f>VLOOKUP(A181,'FERC 2021'!$A$3:$BF$221,58,0)</f>
        <v>0</v>
      </c>
      <c r="F181" s="239">
        <f>VLOOKUP(A181,'FERC 2022'!$A$3:$BE$220,57,0)</f>
        <v>0</v>
      </c>
      <c r="G181" s="239">
        <f>VLOOKUP(A181,'FERC 2022'!$A$3:$BF$220,58,0)</f>
        <v>0</v>
      </c>
      <c r="H181" s="239">
        <f>VLOOKUP(A181,'FERC 2023'!$A$3:$BE$221,57,0)</f>
        <v>0</v>
      </c>
      <c r="I181" s="239">
        <f>VLOOKUP(A181,'FERC 2023'!$A$3:$BF$221,58,0)</f>
        <v>0</v>
      </c>
      <c r="J181" s="7"/>
      <c r="K181" s="7"/>
      <c r="L181" s="7"/>
      <c r="M181" s="187" t="str">
        <f t="shared" si="0"/>
        <v/>
      </c>
      <c r="N181" s="187" t="str">
        <f t="shared" si="1"/>
        <v/>
      </c>
      <c r="O181" s="187" t="str">
        <f t="shared" si="2"/>
        <v/>
      </c>
      <c r="P181" s="7"/>
      <c r="Q181" s="240" t="str">
        <f t="shared" si="3"/>
        <v>-</v>
      </c>
      <c r="R181" s="189" t="str">
        <f t="shared" ref="R181:T181" si="526">IF(ISERROR(R$5-365*$Q181),"-",MONTH(R$5-365*$Q181)&amp;"_"&amp;YEAR(R$5-365*$Q181))</f>
        <v>-</v>
      </c>
      <c r="S181" s="189" t="str">
        <f t="shared" si="526"/>
        <v>-</v>
      </c>
      <c r="T181" s="189" t="str">
        <f t="shared" si="526"/>
        <v>-</v>
      </c>
      <c r="U181" s="7"/>
      <c r="V181" s="7"/>
      <c r="W181" s="190" t="str">
        <f>IF(R181="-","-",VLOOKUP(R181,'CPI USA'!$T:$U,2,FALSE))</f>
        <v>-</v>
      </c>
      <c r="X181" s="190" t="str">
        <f>IF(S181="-","-",VLOOKUP(S181,'CPI USA'!$T:$U,2,FALSE))</f>
        <v>-</v>
      </c>
      <c r="Y181" s="190" t="str">
        <f>IF(T181="-","-",VLOOKUP(T181,'CPI USA'!$T:$U,2,FALSE))</f>
        <v>-</v>
      </c>
      <c r="Z181" s="7"/>
      <c r="AA181" s="7"/>
      <c r="AB181" s="190" t="str">
        <f>IF(R181="-","-",VLOOKUP(R181,'PPI USA'!$S:$T,2,FALSE))</f>
        <v>-</v>
      </c>
      <c r="AC181" s="190" t="str">
        <f>IF(S181="-","-",VLOOKUP(S181,'PPI USA'!$S:$T,2,FALSE))</f>
        <v>-</v>
      </c>
      <c r="AD181" s="190" t="str">
        <f>IF(T181="-","-",VLOOKUP(T181,'PPI USA'!$S:$T,2,FALSE))</f>
        <v>-</v>
      </c>
      <c r="AE181" s="7"/>
      <c r="AF181" s="7"/>
      <c r="AG181" s="190" t="str">
        <f t="shared" ref="AG181:AI181" si="527">IF(W181="-","-",(AT181*$B$2/W181+(1-AT181)*AVERAGE($B$2,$B$3)/AVERAGE(W181,AB181)))</f>
        <v>-</v>
      </c>
      <c r="AH181" s="190" t="str">
        <f t="shared" si="527"/>
        <v>-</v>
      </c>
      <c r="AI181" s="190" t="str">
        <f t="shared" si="527"/>
        <v>-</v>
      </c>
      <c r="AJ181" s="7"/>
      <c r="AK181" s="7"/>
      <c r="AL181" s="190" t="str">
        <f t="shared" ref="AL181:AN181" si="528">IF(W181="-","-",(AY181*$B$2/W181+(1-AY181)*AVERAGE($B$2,$B$3)/AVERAGE(W181,AB181)))</f>
        <v>-</v>
      </c>
      <c r="AM181" s="190" t="str">
        <f t="shared" si="528"/>
        <v>-</v>
      </c>
      <c r="AN181" s="190" t="str">
        <f t="shared" si="528"/>
        <v>-</v>
      </c>
      <c r="AO181" s="7"/>
      <c r="AP181" s="7"/>
      <c r="AQ181" s="7"/>
      <c r="AR181" s="7"/>
      <c r="AS181" s="7"/>
      <c r="AT181" s="242" t="str">
        <f>IF(R181="-","-",VLOOKUP(R181,'CPI USA'!$T:$V,3,FALSE))</f>
        <v>-</v>
      </c>
      <c r="AU181" s="242" t="str">
        <f>IF(S181="-","-",VLOOKUP(S181,'CPI USA'!$T:$V,3,FALSE))</f>
        <v>-</v>
      </c>
      <c r="AV181" s="242" t="str">
        <f>IF(T181="-","-",VLOOKUP(T181,'CPI USA'!$T:$V,3,FALSE))</f>
        <v>-</v>
      </c>
      <c r="AW181" s="7"/>
      <c r="AX181" s="7"/>
      <c r="AY181" s="242" t="str">
        <f>IF(R181="-","-",VLOOKUP(R181,'CPI USA'!$T:$X,5,FALSE))</f>
        <v>-</v>
      </c>
      <c r="AZ181" s="242" t="str">
        <f>IF(S181="-","-",VLOOKUP(S181,'CPI USA'!$T:$X,5,FALSE))</f>
        <v>-</v>
      </c>
      <c r="BA181" s="242" t="str">
        <f>IF(T181="-","-",VLOOKUP(T181,'CPI USA'!$T:$X,5,FALSE))</f>
        <v>-</v>
      </c>
      <c r="BB181" s="7"/>
    </row>
    <row r="182" spans="1:54" ht="15.75" customHeight="1">
      <c r="A182" s="185" t="s">
        <v>736</v>
      </c>
      <c r="B182" s="185" t="s">
        <v>737</v>
      </c>
      <c r="C182" s="243">
        <f>+'Empresas 21-23'!J177</f>
        <v>0</v>
      </c>
      <c r="D182" s="239">
        <f>VLOOKUP(A182,'FERC 2021'!$A$3:$BE$221,57,0)</f>
        <v>0</v>
      </c>
      <c r="E182" s="239">
        <f>VLOOKUP(A182,'FERC 2021'!$A$3:$BF$221,58,0)</f>
        <v>0</v>
      </c>
      <c r="F182" s="239">
        <f>VLOOKUP(A182,'FERC 2022'!$A$3:$BE$220,57,0)</f>
        <v>0</v>
      </c>
      <c r="G182" s="239">
        <f>VLOOKUP(A182,'FERC 2022'!$A$3:$BF$220,58,0)</f>
        <v>0</v>
      </c>
      <c r="H182" s="244" t="e">
        <f>VLOOKUP(A182,'FERC 2023'!$A$3:$BE$221,57,0)</f>
        <v>#N/A</v>
      </c>
      <c r="I182" s="244" t="e">
        <f>VLOOKUP(A182,'FERC 2023'!$A$3:$BF$221,58,0)</f>
        <v>#N/A</v>
      </c>
      <c r="J182" s="7"/>
      <c r="K182" s="7"/>
      <c r="L182" s="7"/>
      <c r="M182" s="187" t="str">
        <f t="shared" si="0"/>
        <v/>
      </c>
      <c r="N182" s="187" t="str">
        <f t="shared" si="1"/>
        <v/>
      </c>
      <c r="O182" s="187" t="str">
        <f t="shared" si="2"/>
        <v/>
      </c>
      <c r="P182" s="7"/>
      <c r="Q182" s="240" t="str">
        <f t="shared" si="3"/>
        <v>-</v>
      </c>
      <c r="R182" s="189" t="str">
        <f t="shared" ref="R182:T182" si="529">IF(ISERROR(R$5-365*$Q182),"-",MONTH(R$5-365*$Q182)&amp;"_"&amp;YEAR(R$5-365*$Q182))</f>
        <v>-</v>
      </c>
      <c r="S182" s="189" t="str">
        <f t="shared" si="529"/>
        <v>-</v>
      </c>
      <c r="T182" s="189" t="str">
        <f t="shared" si="529"/>
        <v>-</v>
      </c>
      <c r="U182" s="7"/>
      <c r="V182" s="7"/>
      <c r="W182" s="190" t="str">
        <f>IF(R182="-","-",VLOOKUP(R182,'CPI USA'!$T:$U,2,FALSE))</f>
        <v>-</v>
      </c>
      <c r="X182" s="190" t="str">
        <f>IF(S182="-","-",VLOOKUP(S182,'CPI USA'!$T:$U,2,FALSE))</f>
        <v>-</v>
      </c>
      <c r="Y182" s="190" t="str">
        <f>IF(T182="-","-",VLOOKUP(T182,'CPI USA'!$T:$U,2,FALSE))</f>
        <v>-</v>
      </c>
      <c r="Z182" s="7"/>
      <c r="AA182" s="7"/>
      <c r="AB182" s="190" t="str">
        <f>IF(R182="-","-",VLOOKUP(R182,'PPI USA'!$S:$T,2,FALSE))</f>
        <v>-</v>
      </c>
      <c r="AC182" s="190" t="str">
        <f>IF(S182="-","-",VLOOKUP(S182,'PPI USA'!$S:$T,2,FALSE))</f>
        <v>-</v>
      </c>
      <c r="AD182" s="190" t="str">
        <f>IF(T182="-","-",VLOOKUP(T182,'PPI USA'!$S:$T,2,FALSE))</f>
        <v>-</v>
      </c>
      <c r="AE182" s="7"/>
      <c r="AF182" s="7"/>
      <c r="AG182" s="190" t="str">
        <f t="shared" ref="AG182:AI182" si="530">IF(W182="-","-",(AT182*$B$2/W182+(1-AT182)*AVERAGE($B$2,$B$3)/AVERAGE(W182,AB182)))</f>
        <v>-</v>
      </c>
      <c r="AH182" s="190" t="str">
        <f t="shared" si="530"/>
        <v>-</v>
      </c>
      <c r="AI182" s="190" t="str">
        <f t="shared" si="530"/>
        <v>-</v>
      </c>
      <c r="AJ182" s="7"/>
      <c r="AK182" s="7"/>
      <c r="AL182" s="190" t="str">
        <f t="shared" ref="AL182:AN182" si="531">IF(W182="-","-",(AY182*$B$2/W182+(1-AY182)*AVERAGE($B$2,$B$3)/AVERAGE(W182,AB182)))</f>
        <v>-</v>
      </c>
      <c r="AM182" s="190" t="str">
        <f t="shared" si="531"/>
        <v>-</v>
      </c>
      <c r="AN182" s="190" t="str">
        <f t="shared" si="531"/>
        <v>-</v>
      </c>
      <c r="AO182" s="7"/>
      <c r="AP182" s="7"/>
      <c r="AQ182" s="7"/>
      <c r="AR182" s="7"/>
      <c r="AS182" s="7"/>
      <c r="AT182" s="242" t="str">
        <f>IF(R182="-","-",VLOOKUP(R182,'CPI USA'!$T:$V,3,FALSE))</f>
        <v>-</v>
      </c>
      <c r="AU182" s="242" t="str">
        <f>IF(S182="-","-",VLOOKUP(S182,'CPI USA'!$T:$V,3,FALSE))</f>
        <v>-</v>
      </c>
      <c r="AV182" s="242" t="str">
        <f>IF(T182="-","-",VLOOKUP(T182,'CPI USA'!$T:$V,3,FALSE))</f>
        <v>-</v>
      </c>
      <c r="AW182" s="7"/>
      <c r="AX182" s="7"/>
      <c r="AY182" s="242" t="str">
        <f>IF(R182="-","-",VLOOKUP(R182,'CPI USA'!$T:$X,5,FALSE))</f>
        <v>-</v>
      </c>
      <c r="AZ182" s="242" t="str">
        <f>IF(S182="-","-",VLOOKUP(S182,'CPI USA'!$T:$X,5,FALSE))</f>
        <v>-</v>
      </c>
      <c r="BA182" s="242" t="str">
        <f>IF(T182="-","-",VLOOKUP(T182,'CPI USA'!$T:$X,5,FALSE))</f>
        <v>-</v>
      </c>
      <c r="BB182" s="7"/>
    </row>
    <row r="183" spans="1:54" ht="15.75" customHeight="1">
      <c r="A183" s="185" t="s">
        <v>739</v>
      </c>
      <c r="B183" s="185" t="s">
        <v>740</v>
      </c>
      <c r="C183" s="239">
        <f>+'Empresas 21-23'!J178</f>
        <v>0</v>
      </c>
      <c r="D183" s="239">
        <f>VLOOKUP(A183,'FERC 2021'!$A$3:$BE$221,57,0)</f>
        <v>360084191</v>
      </c>
      <c r="E183" s="239">
        <f>VLOOKUP(A183,'FERC 2021'!$A$3:$BF$221,58,0)</f>
        <v>34690316</v>
      </c>
      <c r="F183" s="239">
        <f>VLOOKUP(A183,'FERC 2022'!$A$3:$BE$220,57,0)</f>
        <v>367363214</v>
      </c>
      <c r="G183" s="239">
        <f>VLOOKUP(A183,'FERC 2022'!$A$3:$BF$220,58,0)</f>
        <v>36484658</v>
      </c>
      <c r="H183" s="239">
        <f>VLOOKUP(A183,'FERC 2023'!$A$3:$BE$221,57,0)</f>
        <v>378625141</v>
      </c>
      <c r="I183" s="239">
        <f>VLOOKUP(A183,'FERC 2023'!$A$3:$BF$221,58,0)</f>
        <v>38195909</v>
      </c>
      <c r="J183" s="7"/>
      <c r="K183" s="7"/>
      <c r="L183" s="7"/>
      <c r="M183" s="187">
        <f t="shared" si="0"/>
        <v>10.379962840350027</v>
      </c>
      <c r="N183" s="187">
        <f t="shared" si="1"/>
        <v>10.068977870095425</v>
      </c>
      <c r="O183" s="187">
        <f t="shared" si="2"/>
        <v>9.9127145003932231</v>
      </c>
      <c r="P183" s="7"/>
      <c r="Q183" s="240">
        <f t="shared" si="3"/>
        <v>10.120551736946226</v>
      </c>
      <c r="R183" s="189" t="str">
        <f t="shared" ref="R183:T183" si="532">IF(ISERROR(R$5-365*$Q183),"-",MONTH(R$5-365*$Q183)&amp;"_"&amp;YEAR(R$5-365*$Q183))</f>
        <v>11_2011</v>
      </c>
      <c r="S183" s="189" t="str">
        <f t="shared" si="532"/>
        <v>11_2012</v>
      </c>
      <c r="T183" s="189" t="str">
        <f t="shared" si="532"/>
        <v>11_2013</v>
      </c>
      <c r="U183" s="7"/>
      <c r="V183" s="7"/>
      <c r="W183" s="190">
        <f>IF(R183="-","-",VLOOKUP(R183,'CPI USA'!$T:$U,2,FALSE))</f>
        <v>224.93899999999999</v>
      </c>
      <c r="X183" s="190">
        <f>IF(S183="-","-",VLOOKUP(S183,'CPI USA'!$T:$U,2,FALSE))</f>
        <v>229.59399999999999</v>
      </c>
      <c r="Y183" s="190">
        <f>IF(T183="-","-",VLOOKUP(T183,'CPI USA'!$T:$U,2,FALSE))</f>
        <v>233.06899999999999</v>
      </c>
      <c r="Z183" s="7"/>
      <c r="AA183" s="7"/>
      <c r="AB183" s="190">
        <f>IF(R183="-","-",VLOOKUP(R183,'PPI USA'!$S:$T,2,FALSE))</f>
        <v>169.6</v>
      </c>
      <c r="AC183" s="190">
        <f>IF(S183="-","-",VLOOKUP(S183,'PPI USA'!$S:$T,2,FALSE))</f>
        <v>175.1</v>
      </c>
      <c r="AD183" s="190">
        <f>IF(T183="-","-",VLOOKUP(T183,'PPI USA'!$S:$T,2,FALSE))</f>
        <v>166</v>
      </c>
      <c r="AE183" s="7"/>
      <c r="AF183" s="7"/>
      <c r="AG183" s="190">
        <f t="shared" ref="AG183:AI183" si="533">IF(W183="-","-",(AT183*$B$2/W183+(1-AT183)*AVERAGE($B$2,$B$3)/AVERAGE(W183,AB183)))</f>
        <v>1.4208751760332547</v>
      </c>
      <c r="AH183" s="190">
        <f t="shared" si="533"/>
        <v>1.3897894616766442</v>
      </c>
      <c r="AI183" s="190">
        <f t="shared" si="533"/>
        <v>1.3822908196671626</v>
      </c>
      <c r="AJ183" s="7"/>
      <c r="AK183" s="7"/>
      <c r="AL183" s="190">
        <f t="shared" ref="AL183:AN183" si="534">IF(W183="-","-",(AY183*$B$2/W183+(1-AY183)*AVERAGE($B$2,$B$3)/AVERAGE(W183,AB183)))</f>
        <v>1.4334111417560953</v>
      </c>
      <c r="AM183" s="190">
        <f t="shared" si="534"/>
        <v>1.4008620811189902</v>
      </c>
      <c r="AN183" s="190">
        <f t="shared" si="534"/>
        <v>1.400274192630873</v>
      </c>
      <c r="AO183" s="7"/>
      <c r="AP183" s="7"/>
      <c r="AQ183" s="7"/>
      <c r="AR183" s="7"/>
      <c r="AS183" s="7"/>
      <c r="AT183" s="242">
        <f>IF(R183="-","-",VLOOKUP(R183,'CPI USA'!$T:$V,3,FALSE))</f>
        <v>0.6684022975047168</v>
      </c>
      <c r="AU183" s="242">
        <f>IF(S183="-","-",VLOOKUP(S183,'CPI USA'!$T:$V,3,FALSE))</f>
        <v>0.66730871354337351</v>
      </c>
      <c r="AV183" s="242">
        <f>IF(T183="-","-",VLOOKUP(T183,'CPI USA'!$T:$V,3,FALSE))</f>
        <v>0.67305131835944076</v>
      </c>
      <c r="AW183" s="7"/>
      <c r="AX183" s="7"/>
      <c r="AY183" s="242">
        <f>IF(R183="-","-",VLOOKUP(R183,'CPI USA'!$T:$X,5,FALSE))</f>
        <v>0.49636791791307899</v>
      </c>
      <c r="AZ183" s="242">
        <f>IF(S183="-","-",VLOOKUP(S183,'CPI USA'!$T:$X,5,FALSE))</f>
        <v>0.49513551903851311</v>
      </c>
      <c r="BA183" s="242">
        <f>IF(T183="-","-",VLOOKUP(T183,'CPI USA'!$T:$X,5,FALSE))</f>
        <v>0.50163050295255052</v>
      </c>
      <c r="BB183" s="7"/>
    </row>
    <row r="184" spans="1:54" ht="15.75" customHeight="1">
      <c r="A184" s="185" t="s">
        <v>1048</v>
      </c>
      <c r="B184" s="185" t="s">
        <v>1049</v>
      </c>
      <c r="C184" s="243">
        <f>+'Empresas 21-23'!J179</f>
        <v>0</v>
      </c>
      <c r="D184" s="244" t="e">
        <f>VLOOKUP(A184,'FERC 2021'!$A$3:$BE$221,57,0)</f>
        <v>#N/A</v>
      </c>
      <c r="E184" s="244" t="e">
        <f>VLOOKUP(A184,'FERC 2021'!$A$3:$BF$221,58,0)</f>
        <v>#N/A</v>
      </c>
      <c r="F184" s="239">
        <f>VLOOKUP(A184,'FERC 2022'!$A$3:$BE$220,57,0)</f>
        <v>0</v>
      </c>
      <c r="G184" s="239">
        <f>VLOOKUP(A184,'FERC 2022'!$A$3:$BF$220,58,0)</f>
        <v>0</v>
      </c>
      <c r="H184" s="239">
        <f>VLOOKUP(A184,'FERC 2023'!$A$3:$BE$221,57,0)</f>
        <v>0</v>
      </c>
      <c r="I184" s="239">
        <f>VLOOKUP(A184,'FERC 2023'!$A$3:$BF$221,58,0)</f>
        <v>0</v>
      </c>
      <c r="J184" s="7"/>
      <c r="K184" s="7"/>
      <c r="L184" s="7"/>
      <c r="M184" s="187" t="str">
        <f t="shared" si="0"/>
        <v/>
      </c>
      <c r="N184" s="187" t="str">
        <f t="shared" si="1"/>
        <v/>
      </c>
      <c r="O184" s="187" t="str">
        <f t="shared" si="2"/>
        <v/>
      </c>
      <c r="P184" s="7"/>
      <c r="Q184" s="240" t="str">
        <f t="shared" si="3"/>
        <v>-</v>
      </c>
      <c r="R184" s="189" t="str">
        <f t="shared" ref="R184:T184" si="535">IF(ISERROR(R$5-365*$Q184),"-",MONTH(R$5-365*$Q184)&amp;"_"&amp;YEAR(R$5-365*$Q184))</f>
        <v>-</v>
      </c>
      <c r="S184" s="189" t="str">
        <f t="shared" si="535"/>
        <v>-</v>
      </c>
      <c r="T184" s="189" t="str">
        <f t="shared" si="535"/>
        <v>-</v>
      </c>
      <c r="U184" s="7"/>
      <c r="V184" s="7"/>
      <c r="W184" s="190" t="str">
        <f>IF(R184="-","-",VLOOKUP(R184,'CPI USA'!$T:$U,2,FALSE))</f>
        <v>-</v>
      </c>
      <c r="X184" s="190" t="str">
        <f>IF(S184="-","-",VLOOKUP(S184,'CPI USA'!$T:$U,2,FALSE))</f>
        <v>-</v>
      </c>
      <c r="Y184" s="190" t="str">
        <f>IF(T184="-","-",VLOOKUP(T184,'CPI USA'!$T:$U,2,FALSE))</f>
        <v>-</v>
      </c>
      <c r="Z184" s="7"/>
      <c r="AA184" s="7"/>
      <c r="AB184" s="190" t="str">
        <f>IF(R184="-","-",VLOOKUP(R184,'PPI USA'!$S:$T,2,FALSE))</f>
        <v>-</v>
      </c>
      <c r="AC184" s="190" t="str">
        <f>IF(S184="-","-",VLOOKUP(S184,'PPI USA'!$S:$T,2,FALSE))</f>
        <v>-</v>
      </c>
      <c r="AD184" s="190" t="str">
        <f>IF(T184="-","-",VLOOKUP(T184,'PPI USA'!$S:$T,2,FALSE))</f>
        <v>-</v>
      </c>
      <c r="AE184" s="7"/>
      <c r="AF184" s="7"/>
      <c r="AG184" s="190" t="str">
        <f t="shared" ref="AG184:AI184" si="536">IF(W184="-","-",(AT184*$B$2/W184+(1-AT184)*AVERAGE($B$2,$B$3)/AVERAGE(W184,AB184)))</f>
        <v>-</v>
      </c>
      <c r="AH184" s="190" t="str">
        <f t="shared" si="536"/>
        <v>-</v>
      </c>
      <c r="AI184" s="190" t="str">
        <f t="shared" si="536"/>
        <v>-</v>
      </c>
      <c r="AJ184" s="7"/>
      <c r="AK184" s="7"/>
      <c r="AL184" s="190" t="str">
        <f t="shared" ref="AL184:AN184" si="537">IF(W184="-","-",(AY184*$B$2/W184+(1-AY184)*AVERAGE($B$2,$B$3)/AVERAGE(W184,AB184)))</f>
        <v>-</v>
      </c>
      <c r="AM184" s="190" t="str">
        <f t="shared" si="537"/>
        <v>-</v>
      </c>
      <c r="AN184" s="190" t="str">
        <f t="shared" si="537"/>
        <v>-</v>
      </c>
      <c r="AO184" s="7"/>
      <c r="AP184" s="7"/>
      <c r="AQ184" s="7"/>
      <c r="AR184" s="7"/>
      <c r="AS184" s="7"/>
      <c r="AT184" s="242" t="str">
        <f>IF(R184="-","-",VLOOKUP(R184,'CPI USA'!$T:$V,3,FALSE))</f>
        <v>-</v>
      </c>
      <c r="AU184" s="242" t="str">
        <f>IF(S184="-","-",VLOOKUP(S184,'CPI USA'!$T:$V,3,FALSE))</f>
        <v>-</v>
      </c>
      <c r="AV184" s="242" t="str">
        <f>IF(T184="-","-",VLOOKUP(T184,'CPI USA'!$T:$V,3,FALSE))</f>
        <v>-</v>
      </c>
      <c r="AW184" s="7"/>
      <c r="AX184" s="7"/>
      <c r="AY184" s="242" t="str">
        <f>IF(R184="-","-",VLOOKUP(R184,'CPI USA'!$T:$X,5,FALSE))</f>
        <v>-</v>
      </c>
      <c r="AZ184" s="242" t="str">
        <f>IF(S184="-","-",VLOOKUP(S184,'CPI USA'!$T:$X,5,FALSE))</f>
        <v>-</v>
      </c>
      <c r="BA184" s="242" t="str">
        <f>IF(T184="-","-",VLOOKUP(T184,'CPI USA'!$T:$X,5,FALSE))</f>
        <v>-</v>
      </c>
      <c r="BB184" s="7"/>
    </row>
    <row r="185" spans="1:54" ht="15.75" customHeight="1">
      <c r="A185" s="185" t="s">
        <v>742</v>
      </c>
      <c r="B185" s="185" t="s">
        <v>743</v>
      </c>
      <c r="C185" s="243">
        <f>+'Empresas 21-23'!J180</f>
        <v>0</v>
      </c>
      <c r="D185" s="239">
        <f>VLOOKUP(A185,'FERC 2021'!$A$3:$BE$221,57,0)</f>
        <v>0</v>
      </c>
      <c r="E185" s="239">
        <f>VLOOKUP(A185,'FERC 2021'!$A$3:$BF$221,58,0)</f>
        <v>0</v>
      </c>
      <c r="F185" s="239">
        <f>VLOOKUP(A185,'FERC 2022'!$A$3:$BE$220,57,0)</f>
        <v>0</v>
      </c>
      <c r="G185" s="239">
        <f>VLOOKUP(A185,'FERC 2022'!$A$3:$BF$220,58,0)</f>
        <v>0</v>
      </c>
      <c r="H185" s="239">
        <f>VLOOKUP(A185,'FERC 2023'!$A$3:$BE$221,57,0)</f>
        <v>0</v>
      </c>
      <c r="I185" s="239">
        <f>VLOOKUP(A185,'FERC 2023'!$A$3:$BF$221,58,0)</f>
        <v>0</v>
      </c>
      <c r="J185" s="7"/>
      <c r="K185" s="7"/>
      <c r="L185" s="7"/>
      <c r="M185" s="187" t="str">
        <f t="shared" si="0"/>
        <v/>
      </c>
      <c r="N185" s="187" t="str">
        <f t="shared" si="1"/>
        <v/>
      </c>
      <c r="O185" s="187" t="str">
        <f t="shared" si="2"/>
        <v/>
      </c>
      <c r="P185" s="7"/>
      <c r="Q185" s="240" t="str">
        <f t="shared" si="3"/>
        <v>-</v>
      </c>
      <c r="R185" s="189" t="str">
        <f t="shared" ref="R185:T185" si="538">IF(ISERROR(R$5-365*$Q185),"-",MONTH(R$5-365*$Q185)&amp;"_"&amp;YEAR(R$5-365*$Q185))</f>
        <v>-</v>
      </c>
      <c r="S185" s="189" t="str">
        <f t="shared" si="538"/>
        <v>-</v>
      </c>
      <c r="T185" s="189" t="str">
        <f t="shared" si="538"/>
        <v>-</v>
      </c>
      <c r="U185" s="7"/>
      <c r="V185" s="7"/>
      <c r="W185" s="190" t="str">
        <f>IF(R185="-","-",VLOOKUP(R185,'CPI USA'!$T:$U,2,FALSE))</f>
        <v>-</v>
      </c>
      <c r="X185" s="190" t="str">
        <f>IF(S185="-","-",VLOOKUP(S185,'CPI USA'!$T:$U,2,FALSE))</f>
        <v>-</v>
      </c>
      <c r="Y185" s="190" t="str">
        <f>IF(T185="-","-",VLOOKUP(T185,'CPI USA'!$T:$U,2,FALSE))</f>
        <v>-</v>
      </c>
      <c r="Z185" s="7"/>
      <c r="AA185" s="7"/>
      <c r="AB185" s="190" t="str">
        <f>IF(R185="-","-",VLOOKUP(R185,'PPI USA'!$S:$T,2,FALSE))</f>
        <v>-</v>
      </c>
      <c r="AC185" s="190" t="str">
        <f>IF(S185="-","-",VLOOKUP(S185,'PPI USA'!$S:$T,2,FALSE))</f>
        <v>-</v>
      </c>
      <c r="AD185" s="190" t="str">
        <f>IF(T185="-","-",VLOOKUP(T185,'PPI USA'!$S:$T,2,FALSE))</f>
        <v>-</v>
      </c>
      <c r="AE185" s="7"/>
      <c r="AF185" s="7"/>
      <c r="AG185" s="190" t="str">
        <f t="shared" ref="AG185:AI185" si="539">IF(W185="-","-",(AT185*$B$2/W185+(1-AT185)*AVERAGE($B$2,$B$3)/AVERAGE(W185,AB185)))</f>
        <v>-</v>
      </c>
      <c r="AH185" s="190" t="str">
        <f t="shared" si="539"/>
        <v>-</v>
      </c>
      <c r="AI185" s="190" t="str">
        <f t="shared" si="539"/>
        <v>-</v>
      </c>
      <c r="AJ185" s="7"/>
      <c r="AK185" s="7"/>
      <c r="AL185" s="190" t="str">
        <f t="shared" ref="AL185:AN185" si="540">IF(W185="-","-",(AY185*$B$2/W185+(1-AY185)*AVERAGE($B$2,$B$3)/AVERAGE(W185,AB185)))</f>
        <v>-</v>
      </c>
      <c r="AM185" s="190" t="str">
        <f t="shared" si="540"/>
        <v>-</v>
      </c>
      <c r="AN185" s="190" t="str">
        <f t="shared" si="540"/>
        <v>-</v>
      </c>
      <c r="AO185" s="7"/>
      <c r="AP185" s="7"/>
      <c r="AQ185" s="7"/>
      <c r="AR185" s="7"/>
      <c r="AS185" s="7"/>
      <c r="AT185" s="242" t="str">
        <f>IF(R185="-","-",VLOOKUP(R185,'CPI USA'!$T:$V,3,FALSE))</f>
        <v>-</v>
      </c>
      <c r="AU185" s="242" t="str">
        <f>IF(S185="-","-",VLOOKUP(S185,'CPI USA'!$T:$V,3,FALSE))</f>
        <v>-</v>
      </c>
      <c r="AV185" s="242" t="str">
        <f>IF(T185="-","-",VLOOKUP(T185,'CPI USA'!$T:$V,3,FALSE))</f>
        <v>-</v>
      </c>
      <c r="AW185" s="7"/>
      <c r="AX185" s="7"/>
      <c r="AY185" s="242" t="str">
        <f>IF(R185="-","-",VLOOKUP(R185,'CPI USA'!$T:$X,5,FALSE))</f>
        <v>-</v>
      </c>
      <c r="AZ185" s="242" t="str">
        <f>IF(S185="-","-",VLOOKUP(S185,'CPI USA'!$T:$X,5,FALSE))</f>
        <v>-</v>
      </c>
      <c r="BA185" s="242" t="str">
        <f>IF(T185="-","-",VLOOKUP(T185,'CPI USA'!$T:$X,5,FALSE))</f>
        <v>-</v>
      </c>
      <c r="BB185" s="7"/>
    </row>
    <row r="186" spans="1:54" ht="15.75" customHeight="1">
      <c r="A186" s="185" t="s">
        <v>745</v>
      </c>
      <c r="B186" s="185" t="s">
        <v>746</v>
      </c>
      <c r="C186" s="243">
        <f>+'Empresas 21-23'!J181</f>
        <v>0</v>
      </c>
      <c r="D186" s="239">
        <f>VLOOKUP(A186,'FERC 2021'!$A$3:$BE$221,57,0)</f>
        <v>0</v>
      </c>
      <c r="E186" s="239">
        <f>VLOOKUP(A186,'FERC 2021'!$A$3:$BF$221,58,0)</f>
        <v>0</v>
      </c>
      <c r="F186" s="239">
        <f>VLOOKUP(A186,'FERC 2022'!$A$3:$BE$220,57,0)</f>
        <v>0</v>
      </c>
      <c r="G186" s="239">
        <f>VLOOKUP(A186,'FERC 2022'!$A$3:$BF$220,58,0)</f>
        <v>0</v>
      </c>
      <c r="H186" s="239">
        <f>VLOOKUP(A186,'FERC 2023'!$A$3:$BE$221,57,0)</f>
        <v>0</v>
      </c>
      <c r="I186" s="239">
        <f>VLOOKUP(A186,'FERC 2023'!$A$3:$BF$221,58,0)</f>
        <v>0</v>
      </c>
      <c r="J186" s="7"/>
      <c r="K186" s="7"/>
      <c r="L186" s="7"/>
      <c r="M186" s="187" t="str">
        <f t="shared" si="0"/>
        <v/>
      </c>
      <c r="N186" s="187" t="str">
        <f t="shared" si="1"/>
        <v/>
      </c>
      <c r="O186" s="187" t="str">
        <f t="shared" si="2"/>
        <v/>
      </c>
      <c r="P186" s="7"/>
      <c r="Q186" s="240" t="str">
        <f t="shared" si="3"/>
        <v>-</v>
      </c>
      <c r="R186" s="189" t="str">
        <f t="shared" ref="R186:T186" si="541">IF(ISERROR(R$5-365*$Q186),"-",MONTH(R$5-365*$Q186)&amp;"_"&amp;YEAR(R$5-365*$Q186))</f>
        <v>-</v>
      </c>
      <c r="S186" s="189" t="str">
        <f t="shared" si="541"/>
        <v>-</v>
      </c>
      <c r="T186" s="189" t="str">
        <f t="shared" si="541"/>
        <v>-</v>
      </c>
      <c r="U186" s="7"/>
      <c r="V186" s="7"/>
      <c r="W186" s="190" t="str">
        <f>IF(R186="-","-",VLOOKUP(R186,'CPI USA'!$T:$U,2,FALSE))</f>
        <v>-</v>
      </c>
      <c r="X186" s="190" t="str">
        <f>IF(S186="-","-",VLOOKUP(S186,'CPI USA'!$T:$U,2,FALSE))</f>
        <v>-</v>
      </c>
      <c r="Y186" s="190" t="str">
        <f>IF(T186="-","-",VLOOKUP(T186,'CPI USA'!$T:$U,2,FALSE))</f>
        <v>-</v>
      </c>
      <c r="Z186" s="7"/>
      <c r="AA186" s="7"/>
      <c r="AB186" s="190" t="str">
        <f>IF(R186="-","-",VLOOKUP(R186,'PPI USA'!$S:$T,2,FALSE))</f>
        <v>-</v>
      </c>
      <c r="AC186" s="190" t="str">
        <f>IF(S186="-","-",VLOOKUP(S186,'PPI USA'!$S:$T,2,FALSE))</f>
        <v>-</v>
      </c>
      <c r="AD186" s="190" t="str">
        <f>IF(T186="-","-",VLOOKUP(T186,'PPI USA'!$S:$T,2,FALSE))</f>
        <v>-</v>
      </c>
      <c r="AE186" s="7"/>
      <c r="AF186" s="7"/>
      <c r="AG186" s="190" t="str">
        <f t="shared" ref="AG186:AI186" si="542">IF(W186="-","-",(AT186*$B$2/W186+(1-AT186)*AVERAGE($B$2,$B$3)/AVERAGE(W186,AB186)))</f>
        <v>-</v>
      </c>
      <c r="AH186" s="190" t="str">
        <f t="shared" si="542"/>
        <v>-</v>
      </c>
      <c r="AI186" s="190" t="str">
        <f t="shared" si="542"/>
        <v>-</v>
      </c>
      <c r="AJ186" s="7"/>
      <c r="AK186" s="7"/>
      <c r="AL186" s="190" t="str">
        <f t="shared" ref="AL186:AN186" si="543">IF(W186="-","-",(AY186*$B$2/W186+(1-AY186)*AVERAGE($B$2,$B$3)/AVERAGE(W186,AB186)))</f>
        <v>-</v>
      </c>
      <c r="AM186" s="190" t="str">
        <f t="shared" si="543"/>
        <v>-</v>
      </c>
      <c r="AN186" s="190" t="str">
        <f t="shared" si="543"/>
        <v>-</v>
      </c>
      <c r="AO186" s="7"/>
      <c r="AP186" s="7"/>
      <c r="AQ186" s="7"/>
      <c r="AR186" s="7"/>
      <c r="AS186" s="7"/>
      <c r="AT186" s="242" t="str">
        <f>IF(R186="-","-",VLOOKUP(R186,'CPI USA'!$T:$V,3,FALSE))</f>
        <v>-</v>
      </c>
      <c r="AU186" s="242" t="str">
        <f>IF(S186="-","-",VLOOKUP(S186,'CPI USA'!$T:$V,3,FALSE))</f>
        <v>-</v>
      </c>
      <c r="AV186" s="242" t="str">
        <f>IF(T186="-","-",VLOOKUP(T186,'CPI USA'!$T:$V,3,FALSE))</f>
        <v>-</v>
      </c>
      <c r="AW186" s="7"/>
      <c r="AX186" s="7"/>
      <c r="AY186" s="242" t="str">
        <f>IF(R186="-","-",VLOOKUP(R186,'CPI USA'!$T:$X,5,FALSE))</f>
        <v>-</v>
      </c>
      <c r="AZ186" s="242" t="str">
        <f>IF(S186="-","-",VLOOKUP(S186,'CPI USA'!$T:$X,5,FALSE))</f>
        <v>-</v>
      </c>
      <c r="BA186" s="242" t="str">
        <f>IF(T186="-","-",VLOOKUP(T186,'CPI USA'!$T:$X,5,FALSE))</f>
        <v>-</v>
      </c>
      <c r="BB186" s="7"/>
    </row>
    <row r="187" spans="1:54" ht="15.75" customHeight="1">
      <c r="A187" s="185" t="s">
        <v>748</v>
      </c>
      <c r="B187" s="185" t="s">
        <v>749</v>
      </c>
      <c r="C187" s="243">
        <f>+'Empresas 21-23'!J182</f>
        <v>0</v>
      </c>
      <c r="D187" s="239">
        <f>VLOOKUP(A187,'FERC 2021'!$A$3:$BE$221,57,0)</f>
        <v>0</v>
      </c>
      <c r="E187" s="239">
        <f>VLOOKUP(A187,'FERC 2021'!$A$3:$BF$221,58,0)</f>
        <v>0</v>
      </c>
      <c r="F187" s="239">
        <f>VLOOKUP(A187,'FERC 2022'!$A$3:$BE$220,57,0)</f>
        <v>0</v>
      </c>
      <c r="G187" s="239">
        <f>VLOOKUP(A187,'FERC 2022'!$A$3:$BF$220,58,0)</f>
        <v>0</v>
      </c>
      <c r="H187" s="239">
        <f>VLOOKUP(A187,'FERC 2023'!$A$3:$BE$221,57,0)</f>
        <v>0</v>
      </c>
      <c r="I187" s="239">
        <f>VLOOKUP(A187,'FERC 2023'!$A$3:$BF$221,58,0)</f>
        <v>0</v>
      </c>
      <c r="J187" s="7"/>
      <c r="K187" s="7"/>
      <c r="L187" s="7"/>
      <c r="M187" s="187" t="str">
        <f t="shared" si="0"/>
        <v/>
      </c>
      <c r="N187" s="187" t="str">
        <f t="shared" si="1"/>
        <v/>
      </c>
      <c r="O187" s="187" t="str">
        <f t="shared" si="2"/>
        <v/>
      </c>
      <c r="P187" s="7"/>
      <c r="Q187" s="240" t="str">
        <f t="shared" si="3"/>
        <v>-</v>
      </c>
      <c r="R187" s="189" t="str">
        <f t="shared" ref="R187:T187" si="544">IF(ISERROR(R$5-365*$Q187),"-",MONTH(R$5-365*$Q187)&amp;"_"&amp;YEAR(R$5-365*$Q187))</f>
        <v>-</v>
      </c>
      <c r="S187" s="189" t="str">
        <f t="shared" si="544"/>
        <v>-</v>
      </c>
      <c r="T187" s="189" t="str">
        <f t="shared" si="544"/>
        <v>-</v>
      </c>
      <c r="U187" s="7"/>
      <c r="V187" s="7"/>
      <c r="W187" s="190" t="str">
        <f>IF(R187="-","-",VLOOKUP(R187,'CPI USA'!$T:$U,2,FALSE))</f>
        <v>-</v>
      </c>
      <c r="X187" s="190" t="str">
        <f>IF(S187="-","-",VLOOKUP(S187,'CPI USA'!$T:$U,2,FALSE))</f>
        <v>-</v>
      </c>
      <c r="Y187" s="190" t="str">
        <f>IF(T187="-","-",VLOOKUP(T187,'CPI USA'!$T:$U,2,FALSE))</f>
        <v>-</v>
      </c>
      <c r="Z187" s="7"/>
      <c r="AA187" s="7"/>
      <c r="AB187" s="190" t="str">
        <f>IF(R187="-","-",VLOOKUP(R187,'PPI USA'!$S:$T,2,FALSE))</f>
        <v>-</v>
      </c>
      <c r="AC187" s="190" t="str">
        <f>IF(S187="-","-",VLOOKUP(S187,'PPI USA'!$S:$T,2,FALSE))</f>
        <v>-</v>
      </c>
      <c r="AD187" s="190" t="str">
        <f>IF(T187="-","-",VLOOKUP(T187,'PPI USA'!$S:$T,2,FALSE))</f>
        <v>-</v>
      </c>
      <c r="AE187" s="7"/>
      <c r="AF187" s="7"/>
      <c r="AG187" s="190" t="str">
        <f t="shared" ref="AG187:AI187" si="545">IF(W187="-","-",(AT187*$B$2/W187+(1-AT187)*AVERAGE($B$2,$B$3)/AVERAGE(W187,AB187)))</f>
        <v>-</v>
      </c>
      <c r="AH187" s="190" t="str">
        <f t="shared" si="545"/>
        <v>-</v>
      </c>
      <c r="AI187" s="190" t="str">
        <f t="shared" si="545"/>
        <v>-</v>
      </c>
      <c r="AJ187" s="7"/>
      <c r="AK187" s="7"/>
      <c r="AL187" s="190" t="str">
        <f t="shared" ref="AL187:AN187" si="546">IF(W187="-","-",(AY187*$B$2/W187+(1-AY187)*AVERAGE($B$2,$B$3)/AVERAGE(W187,AB187)))</f>
        <v>-</v>
      </c>
      <c r="AM187" s="190" t="str">
        <f t="shared" si="546"/>
        <v>-</v>
      </c>
      <c r="AN187" s="190" t="str">
        <f t="shared" si="546"/>
        <v>-</v>
      </c>
      <c r="AO187" s="7"/>
      <c r="AP187" s="7"/>
      <c r="AQ187" s="7"/>
      <c r="AR187" s="7"/>
      <c r="AS187" s="7"/>
      <c r="AT187" s="242" t="str">
        <f>IF(R187="-","-",VLOOKUP(R187,'CPI USA'!$T:$V,3,FALSE))</f>
        <v>-</v>
      </c>
      <c r="AU187" s="242" t="str">
        <f>IF(S187="-","-",VLOOKUP(S187,'CPI USA'!$T:$V,3,FALSE))</f>
        <v>-</v>
      </c>
      <c r="AV187" s="242" t="str">
        <f>IF(T187="-","-",VLOOKUP(T187,'CPI USA'!$T:$V,3,FALSE))</f>
        <v>-</v>
      </c>
      <c r="AW187" s="7"/>
      <c r="AX187" s="7"/>
      <c r="AY187" s="242" t="str">
        <f>IF(R187="-","-",VLOOKUP(R187,'CPI USA'!$T:$X,5,FALSE))</f>
        <v>-</v>
      </c>
      <c r="AZ187" s="242" t="str">
        <f>IF(S187="-","-",VLOOKUP(S187,'CPI USA'!$T:$X,5,FALSE))</f>
        <v>-</v>
      </c>
      <c r="BA187" s="242" t="str">
        <f>IF(T187="-","-",VLOOKUP(T187,'CPI USA'!$T:$X,5,FALSE))</f>
        <v>-</v>
      </c>
      <c r="BB187" s="7"/>
    </row>
    <row r="188" spans="1:54" ht="15.75" customHeight="1">
      <c r="A188" s="185" t="s">
        <v>751</v>
      </c>
      <c r="B188" s="185" t="s">
        <v>752</v>
      </c>
      <c r="C188" s="239">
        <f>+'Empresas 21-23'!J183</f>
        <v>0</v>
      </c>
      <c r="D188" s="239">
        <f>VLOOKUP(A188,'FERC 2021'!$A$3:$BE$221,57,0)</f>
        <v>989991537</v>
      </c>
      <c r="E188" s="239">
        <f>VLOOKUP(A188,'FERC 2021'!$A$3:$BF$221,58,0)</f>
        <v>156798467</v>
      </c>
      <c r="F188" s="239">
        <f>VLOOKUP(A188,'FERC 2022'!$A$3:$BE$220,57,0)</f>
        <v>1248238153</v>
      </c>
      <c r="G188" s="239">
        <f>VLOOKUP(A188,'FERC 2022'!$A$3:$BF$220,58,0)</f>
        <v>168815513</v>
      </c>
      <c r="H188" s="239">
        <f>VLOOKUP(A188,'FERC 2023'!$A$3:$BE$221,57,0)</f>
        <v>1593016541</v>
      </c>
      <c r="I188" s="239">
        <f>VLOOKUP(A188,'FERC 2023'!$A$3:$BF$221,58,0)</f>
        <v>181630870</v>
      </c>
      <c r="J188" s="7"/>
      <c r="K188" s="7"/>
      <c r="L188" s="7"/>
      <c r="M188" s="187">
        <f t="shared" si="0"/>
        <v>6.3137832654958288</v>
      </c>
      <c r="N188" s="187">
        <f t="shared" si="1"/>
        <v>7.3940962582034748</v>
      </c>
      <c r="O188" s="187">
        <f t="shared" si="2"/>
        <v>8.7706266065895075</v>
      </c>
      <c r="P188" s="7"/>
      <c r="Q188" s="240">
        <f t="shared" si="3"/>
        <v>7.4928353767629376</v>
      </c>
      <c r="R188" s="189" t="str">
        <f t="shared" ref="R188:T188" si="547">IF(ISERROR(R$5-365*$Q188),"-",MONTH(R$5-365*$Q188)&amp;"_"&amp;YEAR(R$5-365*$Q188))</f>
        <v>7_2014</v>
      </c>
      <c r="S188" s="189" t="str">
        <f t="shared" si="547"/>
        <v>7_2015</v>
      </c>
      <c r="T188" s="189" t="str">
        <f t="shared" si="547"/>
        <v>7_2016</v>
      </c>
      <c r="U188" s="7"/>
      <c r="V188" s="7"/>
      <c r="W188" s="190">
        <f>IF(R188="-","-",VLOOKUP(R188,'CPI USA'!$T:$U,2,FALSE))</f>
        <v>238.25</v>
      </c>
      <c r="X188" s="190">
        <f>IF(S188="-","-",VLOOKUP(S188,'CPI USA'!$T:$U,2,FALSE))</f>
        <v>238.654</v>
      </c>
      <c r="Y188" s="190">
        <f>IF(T188="-","-",VLOOKUP(T188,'CPI USA'!$T:$U,2,FALSE))</f>
        <v>240.62799999999999</v>
      </c>
      <c r="Z188" s="7"/>
      <c r="AA188" s="7"/>
      <c r="AB188" s="190">
        <f>IF(R188="-","-",VLOOKUP(R188,'PPI USA'!$S:$T,2,FALSE))</f>
        <v>189.8</v>
      </c>
      <c r="AC188" s="190">
        <f>IF(S188="-","-",VLOOKUP(S188,'PPI USA'!$S:$T,2,FALSE))</f>
        <v>197.7</v>
      </c>
      <c r="AD188" s="190">
        <f>IF(T188="-","-",VLOOKUP(T188,'PPI USA'!$S:$T,2,FALSE))</f>
        <v>188.3</v>
      </c>
      <c r="AE188" s="7"/>
      <c r="AF188" s="7"/>
      <c r="AG188" s="190">
        <f t="shared" ref="AG188:AI188" si="548">IF(W188="-","-",(AT188*$B$2/W188+(1-AT188)*AVERAGE($B$2,$B$3)/AVERAGE(W188,AB188)))</f>
        <v>1.3305966659194053</v>
      </c>
      <c r="AH188" s="190">
        <f t="shared" si="548"/>
        <v>1.3205326005639353</v>
      </c>
      <c r="AI188" s="190">
        <f t="shared" si="548"/>
        <v>1.3208026060159446</v>
      </c>
      <c r="AJ188" s="7"/>
      <c r="AK188" s="7"/>
      <c r="AL188" s="190">
        <f t="shared" ref="AL188:AN188" si="549">IF(W188="-","-",(AY188*$B$2/W188+(1-AY188)*AVERAGE($B$2,$B$3)/AVERAGE(W188,AB188)))</f>
        <v>1.3367684536017217</v>
      </c>
      <c r="AM188" s="190">
        <f t="shared" si="549"/>
        <v>1.3226507501026812</v>
      </c>
      <c r="AN188" s="190">
        <f t="shared" si="549"/>
        <v>1.3287180000631127</v>
      </c>
      <c r="AO188" s="7"/>
      <c r="AP188" s="7"/>
      <c r="AQ188" s="7"/>
      <c r="AR188" s="7"/>
      <c r="AS188" s="7"/>
      <c r="AT188" s="242">
        <f>IF(R188="-","-",VLOOKUP(R188,'CPI USA'!$T:$V,3,FALSE))</f>
        <v>0.66756601812039096</v>
      </c>
      <c r="AU188" s="242">
        <f>IF(S188="-","-",VLOOKUP(S188,'CPI USA'!$T:$V,3,FALSE))</f>
        <v>0.6679408278919865</v>
      </c>
      <c r="AV188" s="242">
        <f>IF(T188="-","-",VLOOKUP(T188,'CPI USA'!$T:$V,3,FALSE))</f>
        <v>0.67131212484522451</v>
      </c>
      <c r="AW188" s="7"/>
      <c r="AX188" s="7"/>
      <c r="AY188" s="242">
        <f>IF(R188="-","-",VLOOKUP(R188,'CPI USA'!$T:$X,5,FALSE))</f>
        <v>0.49542529667095003</v>
      </c>
      <c r="AZ188" s="242">
        <f>IF(S188="-","-",VLOOKUP(S188,'CPI USA'!$T:$X,5,FALSE))</f>
        <v>0.49584761624008583</v>
      </c>
      <c r="BA188" s="242">
        <f>IF(T188="-","-",VLOOKUP(T188,'CPI USA'!$T:$X,5,FALSE))</f>
        <v>0.49965731919331663</v>
      </c>
      <c r="BB188" s="7"/>
    </row>
    <row r="189" spans="1:54" ht="15.75" customHeight="1">
      <c r="A189" s="185" t="s">
        <v>754</v>
      </c>
      <c r="B189" s="185" t="s">
        <v>755</v>
      </c>
      <c r="C189" s="243">
        <f>+'Empresas 21-23'!J184</f>
        <v>0</v>
      </c>
      <c r="D189" s="239">
        <f>VLOOKUP(A189,'FERC 2021'!$A$3:$BE$221,57,0)</f>
        <v>0</v>
      </c>
      <c r="E189" s="239">
        <f>VLOOKUP(A189,'FERC 2021'!$A$3:$BF$221,58,0)</f>
        <v>0</v>
      </c>
      <c r="F189" s="239">
        <f>VLOOKUP(A189,'FERC 2022'!$A$3:$BE$220,57,0)</f>
        <v>0</v>
      </c>
      <c r="G189" s="239">
        <f>VLOOKUP(A189,'FERC 2022'!$A$3:$BF$220,58,0)</f>
        <v>0</v>
      </c>
      <c r="H189" s="239">
        <f>VLOOKUP(A189,'FERC 2023'!$A$3:$BE$221,57,0)</f>
        <v>0</v>
      </c>
      <c r="I189" s="239">
        <f>VLOOKUP(A189,'FERC 2023'!$A$3:$BF$221,58,0)</f>
        <v>0</v>
      </c>
      <c r="J189" s="7"/>
      <c r="K189" s="7"/>
      <c r="L189" s="7"/>
      <c r="M189" s="187" t="str">
        <f t="shared" si="0"/>
        <v/>
      </c>
      <c r="N189" s="187" t="str">
        <f t="shared" si="1"/>
        <v/>
      </c>
      <c r="O189" s="187" t="str">
        <f t="shared" si="2"/>
        <v/>
      </c>
      <c r="P189" s="7"/>
      <c r="Q189" s="240" t="str">
        <f t="shared" si="3"/>
        <v>-</v>
      </c>
      <c r="R189" s="189" t="str">
        <f t="shared" ref="R189:T189" si="550">IF(ISERROR(R$5-365*$Q189),"-",MONTH(R$5-365*$Q189)&amp;"_"&amp;YEAR(R$5-365*$Q189))</f>
        <v>-</v>
      </c>
      <c r="S189" s="189" t="str">
        <f t="shared" si="550"/>
        <v>-</v>
      </c>
      <c r="T189" s="189" t="str">
        <f t="shared" si="550"/>
        <v>-</v>
      </c>
      <c r="U189" s="7"/>
      <c r="V189" s="7"/>
      <c r="W189" s="190" t="str">
        <f>IF(R189="-","-",VLOOKUP(R189,'CPI USA'!$T:$U,2,FALSE))</f>
        <v>-</v>
      </c>
      <c r="X189" s="190" t="str">
        <f>IF(S189="-","-",VLOOKUP(S189,'CPI USA'!$T:$U,2,FALSE))</f>
        <v>-</v>
      </c>
      <c r="Y189" s="190" t="str">
        <f>IF(T189="-","-",VLOOKUP(T189,'CPI USA'!$T:$U,2,FALSE))</f>
        <v>-</v>
      </c>
      <c r="Z189" s="7"/>
      <c r="AA189" s="7"/>
      <c r="AB189" s="190" t="str">
        <f>IF(R189="-","-",VLOOKUP(R189,'PPI USA'!$S:$T,2,FALSE))</f>
        <v>-</v>
      </c>
      <c r="AC189" s="190" t="str">
        <f>IF(S189="-","-",VLOOKUP(S189,'PPI USA'!$S:$T,2,FALSE))</f>
        <v>-</v>
      </c>
      <c r="AD189" s="190" t="str">
        <f>IF(T189="-","-",VLOOKUP(T189,'PPI USA'!$S:$T,2,FALSE))</f>
        <v>-</v>
      </c>
      <c r="AE189" s="7"/>
      <c r="AF189" s="7"/>
      <c r="AG189" s="190" t="str">
        <f t="shared" ref="AG189:AI189" si="551">IF(W189="-","-",(AT189*$B$2/W189+(1-AT189)*AVERAGE($B$2,$B$3)/AVERAGE(W189,AB189)))</f>
        <v>-</v>
      </c>
      <c r="AH189" s="190" t="str">
        <f t="shared" si="551"/>
        <v>-</v>
      </c>
      <c r="AI189" s="190" t="str">
        <f t="shared" si="551"/>
        <v>-</v>
      </c>
      <c r="AJ189" s="7"/>
      <c r="AK189" s="7"/>
      <c r="AL189" s="190" t="str">
        <f t="shared" ref="AL189:AN189" si="552">IF(W189="-","-",(AY189*$B$2/W189+(1-AY189)*AVERAGE($B$2,$B$3)/AVERAGE(W189,AB189)))</f>
        <v>-</v>
      </c>
      <c r="AM189" s="190" t="str">
        <f t="shared" si="552"/>
        <v>-</v>
      </c>
      <c r="AN189" s="190" t="str">
        <f t="shared" si="552"/>
        <v>-</v>
      </c>
      <c r="AO189" s="7"/>
      <c r="AP189" s="7"/>
      <c r="AQ189" s="7"/>
      <c r="AR189" s="7"/>
      <c r="AS189" s="7"/>
      <c r="AT189" s="242" t="str">
        <f>IF(R189="-","-",VLOOKUP(R189,'CPI USA'!$T:$V,3,FALSE))</f>
        <v>-</v>
      </c>
      <c r="AU189" s="242" t="str">
        <f>IF(S189="-","-",VLOOKUP(S189,'CPI USA'!$T:$V,3,FALSE))</f>
        <v>-</v>
      </c>
      <c r="AV189" s="242" t="str">
        <f>IF(T189="-","-",VLOOKUP(T189,'CPI USA'!$T:$V,3,FALSE))</f>
        <v>-</v>
      </c>
      <c r="AW189" s="7"/>
      <c r="AX189" s="7"/>
      <c r="AY189" s="242" t="str">
        <f>IF(R189="-","-",VLOOKUP(R189,'CPI USA'!$T:$X,5,FALSE))</f>
        <v>-</v>
      </c>
      <c r="AZ189" s="242" t="str">
        <f>IF(S189="-","-",VLOOKUP(S189,'CPI USA'!$T:$X,5,FALSE))</f>
        <v>-</v>
      </c>
      <c r="BA189" s="242" t="str">
        <f>IF(T189="-","-",VLOOKUP(T189,'CPI USA'!$T:$X,5,FALSE))</f>
        <v>-</v>
      </c>
      <c r="BB189" s="7"/>
    </row>
    <row r="190" spans="1:54" ht="15.75" customHeight="1">
      <c r="A190" s="185" t="s">
        <v>757</v>
      </c>
      <c r="B190" s="185" t="s">
        <v>758</v>
      </c>
      <c r="C190" s="243">
        <f>+'Empresas 21-23'!J185</f>
        <v>0</v>
      </c>
      <c r="D190" s="239">
        <f>VLOOKUP(A190,'FERC 2021'!$A$3:$BE$221,57,0)</f>
        <v>17244852</v>
      </c>
      <c r="E190" s="239">
        <f>VLOOKUP(A190,'FERC 2021'!$A$3:$BF$221,58,0)</f>
        <v>1917967</v>
      </c>
      <c r="F190" s="239">
        <f>VLOOKUP(A190,'FERC 2022'!$A$3:$BE$220,57,0)</f>
        <v>18932086</v>
      </c>
      <c r="G190" s="239">
        <f>VLOOKUP(A190,'FERC 2022'!$A$3:$BF$220,58,0)</f>
        <v>2183799</v>
      </c>
      <c r="H190" s="239">
        <f>VLOOKUP(A190,'FERC 2023'!$A$3:$BE$221,57,0)</f>
        <v>20766752</v>
      </c>
      <c r="I190" s="239">
        <f>VLOOKUP(A190,'FERC 2023'!$A$3:$BF$221,58,0)</f>
        <v>2107348</v>
      </c>
      <c r="J190" s="7"/>
      <c r="K190" s="7"/>
      <c r="L190" s="7"/>
      <c r="M190" s="187">
        <f t="shared" si="0"/>
        <v>8.9912141345497609</v>
      </c>
      <c r="N190" s="187">
        <f t="shared" si="1"/>
        <v>8.6693354104475731</v>
      </c>
      <c r="O190" s="187">
        <f t="shared" si="2"/>
        <v>9.8544483398090872</v>
      </c>
      <c r="P190" s="7"/>
      <c r="Q190" s="240">
        <f t="shared" si="3"/>
        <v>9.1716659616021392</v>
      </c>
      <c r="R190" s="189" t="str">
        <f t="shared" ref="R190:T190" si="553">IF(ISERROR(R$5-365*$Q190),"-",MONTH(R$5-365*$Q190)&amp;"_"&amp;YEAR(R$5-365*$Q190))</f>
        <v>10_2012</v>
      </c>
      <c r="S190" s="189" t="str">
        <f t="shared" si="553"/>
        <v>10_2013</v>
      </c>
      <c r="T190" s="189" t="str">
        <f t="shared" si="553"/>
        <v>10_2014</v>
      </c>
      <c r="U190" s="7"/>
      <c r="V190" s="7"/>
      <c r="W190" s="190">
        <f>IF(R190="-","-",VLOOKUP(R190,'CPI USA'!$T:$U,2,FALSE))</f>
        <v>229.59399999999999</v>
      </c>
      <c r="X190" s="190">
        <f>IF(S190="-","-",VLOOKUP(S190,'CPI USA'!$T:$U,2,FALSE))</f>
        <v>233.54599999999999</v>
      </c>
      <c r="Y190" s="190">
        <f>IF(T190="-","-",VLOOKUP(T190,'CPI USA'!$T:$U,2,FALSE))</f>
        <v>237.43299999999999</v>
      </c>
      <c r="Z190" s="7"/>
      <c r="AA190" s="7"/>
      <c r="AB190" s="190">
        <f>IF(R190="-","-",VLOOKUP(R190,'PPI USA'!$S:$T,2,FALSE))</f>
        <v>175.1</v>
      </c>
      <c r="AC190" s="190">
        <f>IF(S190="-","-",VLOOKUP(S190,'PPI USA'!$S:$T,2,FALSE))</f>
        <v>167.8</v>
      </c>
      <c r="AD190" s="190">
        <f>IF(T190="-","-",VLOOKUP(T190,'PPI USA'!$S:$T,2,FALSE))</f>
        <v>181.3</v>
      </c>
      <c r="AE190" s="7"/>
      <c r="AF190" s="7"/>
      <c r="AG190" s="190">
        <f t="shared" ref="AG190:AI190" si="554">IF(W190="-","-",(AT190*$B$2/W190+(1-AT190)*AVERAGE($B$2,$B$3)/AVERAGE(W190,AB190)))</f>
        <v>1.3897894616766442</v>
      </c>
      <c r="AH190" s="190">
        <f t="shared" si="554"/>
        <v>1.3777427925278192</v>
      </c>
      <c r="AI190" s="190">
        <f t="shared" si="554"/>
        <v>1.3436449732207416</v>
      </c>
      <c r="AJ190" s="7"/>
      <c r="AK190" s="7"/>
      <c r="AL190" s="190">
        <f t="shared" ref="AL190:AN190" si="555">IF(W190="-","-",(AY190*$B$2/W190+(1-AY190)*AVERAGE($B$2,$B$3)/AVERAGE(W190,AB190)))</f>
        <v>1.4008620811189902</v>
      </c>
      <c r="AM190" s="190">
        <f t="shared" si="555"/>
        <v>1.3947851130840843</v>
      </c>
      <c r="AN190" s="190">
        <f t="shared" si="555"/>
        <v>1.3542238044000909</v>
      </c>
      <c r="AO190" s="7"/>
      <c r="AP190" s="7"/>
      <c r="AQ190" s="7"/>
      <c r="AR190" s="7"/>
      <c r="AS190" s="7"/>
      <c r="AT190" s="242">
        <f>IF(R190="-","-",VLOOKUP(R190,'CPI USA'!$T:$V,3,FALSE))</f>
        <v>0.66730871354337351</v>
      </c>
      <c r="AU190" s="242">
        <f>IF(S190="-","-",VLOOKUP(S190,'CPI USA'!$T:$V,3,FALSE))</f>
        <v>0.67305131835944076</v>
      </c>
      <c r="AV190" s="242">
        <f>IF(T190="-","-",VLOOKUP(T190,'CPI USA'!$T:$V,3,FALSE))</f>
        <v>0.66756601812039096</v>
      </c>
      <c r="AW190" s="7"/>
      <c r="AX190" s="7"/>
      <c r="AY190" s="242">
        <f>IF(R190="-","-",VLOOKUP(R190,'CPI USA'!$T:$X,5,FALSE))</f>
        <v>0.49513551903851311</v>
      </c>
      <c r="AZ190" s="242">
        <f>IF(S190="-","-",VLOOKUP(S190,'CPI USA'!$T:$X,5,FALSE))</f>
        <v>0.50163050295255052</v>
      </c>
      <c r="BA190" s="242">
        <f>IF(T190="-","-",VLOOKUP(T190,'CPI USA'!$T:$X,5,FALSE))</f>
        <v>0.49542529667095003</v>
      </c>
      <c r="BB190" s="7"/>
    </row>
    <row r="191" spans="1:54" ht="15.75" customHeight="1">
      <c r="A191" s="185" t="s">
        <v>760</v>
      </c>
      <c r="B191" s="185" t="s">
        <v>761</v>
      </c>
      <c r="C191" s="243">
        <f>+'Empresas 21-23'!J186</f>
        <v>0</v>
      </c>
      <c r="D191" s="239">
        <f>VLOOKUP(A191,'FERC 2021'!$A$3:$BE$221,57,0)</f>
        <v>0</v>
      </c>
      <c r="E191" s="239">
        <f>VLOOKUP(A191,'FERC 2021'!$A$3:$BF$221,58,0)</f>
        <v>0</v>
      </c>
      <c r="F191" s="239">
        <f>VLOOKUP(A191,'FERC 2022'!$A$3:$BE$220,57,0)</f>
        <v>0</v>
      </c>
      <c r="G191" s="239">
        <f>VLOOKUP(A191,'FERC 2022'!$A$3:$BF$220,58,0)</f>
        <v>0</v>
      </c>
      <c r="H191" s="239">
        <f>VLOOKUP(A191,'FERC 2023'!$A$3:$BE$221,57,0)</f>
        <v>0</v>
      </c>
      <c r="I191" s="239">
        <f>VLOOKUP(A191,'FERC 2023'!$A$3:$BF$221,58,0)</f>
        <v>0</v>
      </c>
      <c r="J191" s="7"/>
      <c r="K191" s="7"/>
      <c r="L191" s="7"/>
      <c r="M191" s="187" t="str">
        <f t="shared" si="0"/>
        <v/>
      </c>
      <c r="N191" s="187" t="str">
        <f t="shared" si="1"/>
        <v/>
      </c>
      <c r="O191" s="187" t="str">
        <f t="shared" si="2"/>
        <v/>
      </c>
      <c r="P191" s="7"/>
      <c r="Q191" s="240" t="str">
        <f t="shared" si="3"/>
        <v>-</v>
      </c>
      <c r="R191" s="189" t="str">
        <f t="shared" ref="R191:T191" si="556">IF(ISERROR(R$5-365*$Q191),"-",MONTH(R$5-365*$Q191)&amp;"_"&amp;YEAR(R$5-365*$Q191))</f>
        <v>-</v>
      </c>
      <c r="S191" s="189" t="str">
        <f t="shared" si="556"/>
        <v>-</v>
      </c>
      <c r="T191" s="189" t="str">
        <f t="shared" si="556"/>
        <v>-</v>
      </c>
      <c r="U191" s="7"/>
      <c r="V191" s="7"/>
      <c r="W191" s="190" t="str">
        <f>IF(R191="-","-",VLOOKUP(R191,'CPI USA'!$T:$U,2,FALSE))</f>
        <v>-</v>
      </c>
      <c r="X191" s="190" t="str">
        <f>IF(S191="-","-",VLOOKUP(S191,'CPI USA'!$T:$U,2,FALSE))</f>
        <v>-</v>
      </c>
      <c r="Y191" s="190" t="str">
        <f>IF(T191="-","-",VLOOKUP(T191,'CPI USA'!$T:$U,2,FALSE))</f>
        <v>-</v>
      </c>
      <c r="Z191" s="7"/>
      <c r="AA191" s="7"/>
      <c r="AB191" s="190" t="str">
        <f>IF(R191="-","-",VLOOKUP(R191,'PPI USA'!$S:$T,2,FALSE))</f>
        <v>-</v>
      </c>
      <c r="AC191" s="190" t="str">
        <f>IF(S191="-","-",VLOOKUP(S191,'PPI USA'!$S:$T,2,FALSE))</f>
        <v>-</v>
      </c>
      <c r="AD191" s="190" t="str">
        <f>IF(T191="-","-",VLOOKUP(T191,'PPI USA'!$S:$T,2,FALSE))</f>
        <v>-</v>
      </c>
      <c r="AE191" s="7"/>
      <c r="AF191" s="7"/>
      <c r="AG191" s="190" t="str">
        <f t="shared" ref="AG191:AI191" si="557">IF(W191="-","-",(AT191*$B$2/W191+(1-AT191)*AVERAGE($B$2,$B$3)/AVERAGE(W191,AB191)))</f>
        <v>-</v>
      </c>
      <c r="AH191" s="190" t="str">
        <f t="shared" si="557"/>
        <v>-</v>
      </c>
      <c r="AI191" s="190" t="str">
        <f t="shared" si="557"/>
        <v>-</v>
      </c>
      <c r="AJ191" s="7"/>
      <c r="AK191" s="7"/>
      <c r="AL191" s="190" t="str">
        <f t="shared" ref="AL191:AN191" si="558">IF(W191="-","-",(AY191*$B$2/W191+(1-AY191)*AVERAGE($B$2,$B$3)/AVERAGE(W191,AB191)))</f>
        <v>-</v>
      </c>
      <c r="AM191" s="190" t="str">
        <f t="shared" si="558"/>
        <v>-</v>
      </c>
      <c r="AN191" s="190" t="str">
        <f t="shared" si="558"/>
        <v>-</v>
      </c>
      <c r="AO191" s="7"/>
      <c r="AP191" s="7"/>
      <c r="AQ191" s="7"/>
      <c r="AR191" s="7"/>
      <c r="AS191" s="7"/>
      <c r="AT191" s="242" t="str">
        <f>IF(R191="-","-",VLOOKUP(R191,'CPI USA'!$T:$V,3,FALSE))</f>
        <v>-</v>
      </c>
      <c r="AU191" s="242" t="str">
        <f>IF(S191="-","-",VLOOKUP(S191,'CPI USA'!$T:$V,3,FALSE))</f>
        <v>-</v>
      </c>
      <c r="AV191" s="242" t="str">
        <f>IF(T191="-","-",VLOOKUP(T191,'CPI USA'!$T:$V,3,FALSE))</f>
        <v>-</v>
      </c>
      <c r="AW191" s="7"/>
      <c r="AX191" s="7"/>
      <c r="AY191" s="242" t="str">
        <f>IF(R191="-","-",VLOOKUP(R191,'CPI USA'!$T:$X,5,FALSE))</f>
        <v>-</v>
      </c>
      <c r="AZ191" s="242" t="str">
        <f>IF(S191="-","-",VLOOKUP(S191,'CPI USA'!$T:$X,5,FALSE))</f>
        <v>-</v>
      </c>
      <c r="BA191" s="242" t="str">
        <f>IF(T191="-","-",VLOOKUP(T191,'CPI USA'!$T:$X,5,FALSE))</f>
        <v>-</v>
      </c>
      <c r="BB191" s="7"/>
    </row>
    <row r="192" spans="1:54" ht="15.75" customHeight="1">
      <c r="A192" s="185" t="s">
        <v>763</v>
      </c>
      <c r="B192" s="185" t="s">
        <v>764</v>
      </c>
      <c r="C192" s="243">
        <f>+'Empresas 21-23'!J187</f>
        <v>0</v>
      </c>
      <c r="D192" s="239">
        <f>VLOOKUP(A192,'FERC 2021'!$A$3:$BE$221,57,0)</f>
        <v>0</v>
      </c>
      <c r="E192" s="239">
        <f>VLOOKUP(A192,'FERC 2021'!$A$3:$BF$221,58,0)</f>
        <v>0</v>
      </c>
      <c r="F192" s="239">
        <f>VLOOKUP(A192,'FERC 2022'!$A$3:$BE$220,57,0)</f>
        <v>0</v>
      </c>
      <c r="G192" s="239">
        <f>VLOOKUP(A192,'FERC 2022'!$A$3:$BF$220,58,0)</f>
        <v>0</v>
      </c>
      <c r="H192" s="239">
        <f>VLOOKUP(A192,'FERC 2023'!$A$3:$BE$221,57,0)</f>
        <v>0</v>
      </c>
      <c r="I192" s="239">
        <f>VLOOKUP(A192,'FERC 2023'!$A$3:$BF$221,58,0)</f>
        <v>0</v>
      </c>
      <c r="J192" s="7"/>
      <c r="K192" s="7"/>
      <c r="L192" s="7"/>
      <c r="M192" s="187" t="str">
        <f t="shared" si="0"/>
        <v/>
      </c>
      <c r="N192" s="187" t="str">
        <f t="shared" si="1"/>
        <v/>
      </c>
      <c r="O192" s="187" t="str">
        <f t="shared" si="2"/>
        <v/>
      </c>
      <c r="P192" s="7"/>
      <c r="Q192" s="240" t="str">
        <f t="shared" si="3"/>
        <v>-</v>
      </c>
      <c r="R192" s="189" t="str">
        <f t="shared" ref="R192:T192" si="559">IF(ISERROR(R$5-365*$Q192),"-",MONTH(R$5-365*$Q192)&amp;"_"&amp;YEAR(R$5-365*$Q192))</f>
        <v>-</v>
      </c>
      <c r="S192" s="189" t="str">
        <f t="shared" si="559"/>
        <v>-</v>
      </c>
      <c r="T192" s="189" t="str">
        <f t="shared" si="559"/>
        <v>-</v>
      </c>
      <c r="U192" s="7"/>
      <c r="V192" s="7"/>
      <c r="W192" s="190" t="str">
        <f>IF(R192="-","-",VLOOKUP(R192,'CPI USA'!$T:$U,2,FALSE))</f>
        <v>-</v>
      </c>
      <c r="X192" s="190" t="str">
        <f>IF(S192="-","-",VLOOKUP(S192,'CPI USA'!$T:$U,2,FALSE))</f>
        <v>-</v>
      </c>
      <c r="Y192" s="190" t="str">
        <f>IF(T192="-","-",VLOOKUP(T192,'CPI USA'!$T:$U,2,FALSE))</f>
        <v>-</v>
      </c>
      <c r="Z192" s="7"/>
      <c r="AA192" s="7"/>
      <c r="AB192" s="190" t="str">
        <f>IF(R192="-","-",VLOOKUP(R192,'PPI USA'!$S:$T,2,FALSE))</f>
        <v>-</v>
      </c>
      <c r="AC192" s="190" t="str">
        <f>IF(S192="-","-",VLOOKUP(S192,'PPI USA'!$S:$T,2,FALSE))</f>
        <v>-</v>
      </c>
      <c r="AD192" s="190" t="str">
        <f>IF(T192="-","-",VLOOKUP(T192,'PPI USA'!$S:$T,2,FALSE))</f>
        <v>-</v>
      </c>
      <c r="AE192" s="7"/>
      <c r="AF192" s="7"/>
      <c r="AG192" s="190" t="str">
        <f t="shared" ref="AG192:AI192" si="560">IF(W192="-","-",(AT192*$B$2/W192+(1-AT192)*AVERAGE($B$2,$B$3)/AVERAGE(W192,AB192)))</f>
        <v>-</v>
      </c>
      <c r="AH192" s="190" t="str">
        <f t="shared" si="560"/>
        <v>-</v>
      </c>
      <c r="AI192" s="190" t="str">
        <f t="shared" si="560"/>
        <v>-</v>
      </c>
      <c r="AJ192" s="7"/>
      <c r="AK192" s="7"/>
      <c r="AL192" s="190" t="str">
        <f t="shared" ref="AL192:AN192" si="561">IF(W192="-","-",(AY192*$B$2/W192+(1-AY192)*AVERAGE($B$2,$B$3)/AVERAGE(W192,AB192)))</f>
        <v>-</v>
      </c>
      <c r="AM192" s="190" t="str">
        <f t="shared" si="561"/>
        <v>-</v>
      </c>
      <c r="AN192" s="190" t="str">
        <f t="shared" si="561"/>
        <v>-</v>
      </c>
      <c r="AO192" s="7"/>
      <c r="AP192" s="7"/>
      <c r="AQ192" s="7"/>
      <c r="AR192" s="7"/>
      <c r="AS192" s="7"/>
      <c r="AT192" s="242" t="str">
        <f>IF(R192="-","-",VLOOKUP(R192,'CPI USA'!$T:$V,3,FALSE))</f>
        <v>-</v>
      </c>
      <c r="AU192" s="242" t="str">
        <f>IF(S192="-","-",VLOOKUP(S192,'CPI USA'!$T:$V,3,FALSE))</f>
        <v>-</v>
      </c>
      <c r="AV192" s="242" t="str">
        <f>IF(T192="-","-",VLOOKUP(T192,'CPI USA'!$T:$V,3,FALSE))</f>
        <v>-</v>
      </c>
      <c r="AW192" s="7"/>
      <c r="AX192" s="7"/>
      <c r="AY192" s="242" t="str">
        <f>IF(R192="-","-",VLOOKUP(R192,'CPI USA'!$T:$X,5,FALSE))</f>
        <v>-</v>
      </c>
      <c r="AZ192" s="242" t="str">
        <f>IF(S192="-","-",VLOOKUP(S192,'CPI USA'!$T:$X,5,FALSE))</f>
        <v>-</v>
      </c>
      <c r="BA192" s="242" t="str">
        <f>IF(T192="-","-",VLOOKUP(T192,'CPI USA'!$T:$X,5,FALSE))</f>
        <v>-</v>
      </c>
      <c r="BB192" s="7"/>
    </row>
    <row r="193" spans="1:54" ht="15.75" customHeight="1">
      <c r="A193" s="185" t="s">
        <v>766</v>
      </c>
      <c r="B193" s="185" t="s">
        <v>767</v>
      </c>
      <c r="C193" s="239">
        <f>+'Empresas 21-23'!J188</f>
        <v>0</v>
      </c>
      <c r="D193" s="239">
        <f>VLOOKUP(A193,'FERC 2021'!$A$3:$BE$221,57,0)</f>
        <v>80524975</v>
      </c>
      <c r="E193" s="239">
        <f>VLOOKUP(A193,'FERC 2021'!$A$3:$BF$221,58,0)</f>
        <v>5224130</v>
      </c>
      <c r="F193" s="239">
        <f>VLOOKUP(A193,'FERC 2022'!$A$3:$BE$220,57,0)</f>
        <v>82418457</v>
      </c>
      <c r="G193" s="239">
        <f>VLOOKUP(A193,'FERC 2022'!$A$3:$BF$220,58,0)</f>
        <v>5488469</v>
      </c>
      <c r="H193" s="239">
        <f>VLOOKUP(A193,'FERC 2023'!$A$3:$BE$221,57,0)</f>
        <v>83753027</v>
      </c>
      <c r="I193" s="239">
        <f>VLOOKUP(A193,'FERC 2023'!$A$3:$BF$221,58,0)</f>
        <v>5725464</v>
      </c>
      <c r="J193" s="7"/>
      <c r="K193" s="7"/>
      <c r="L193" s="7"/>
      <c r="M193" s="187">
        <f t="shared" si="0"/>
        <v>15.41404501802214</v>
      </c>
      <c r="N193" s="187">
        <f t="shared" si="1"/>
        <v>15.016657104194266</v>
      </c>
      <c r="O193" s="187">
        <f t="shared" si="2"/>
        <v>14.628164110367299</v>
      </c>
      <c r="P193" s="7"/>
      <c r="Q193" s="240">
        <f t="shared" si="3"/>
        <v>15.019622077527901</v>
      </c>
      <c r="R193" s="189" t="str">
        <f t="shared" ref="R193:T193" si="562">IF(ISERROR(R$5-365*$Q193),"-",MONTH(R$5-365*$Q193)&amp;"_"&amp;YEAR(R$5-365*$Q193))</f>
        <v>12_2006</v>
      </c>
      <c r="S193" s="189" t="str">
        <f t="shared" si="562"/>
        <v>12_2007</v>
      </c>
      <c r="T193" s="189" t="str">
        <f t="shared" si="562"/>
        <v>12_2008</v>
      </c>
      <c r="U193" s="7"/>
      <c r="V193" s="7"/>
      <c r="W193" s="190">
        <f>IF(R193="-","-",VLOOKUP(R193,'CPI USA'!$T:$U,2,FALSE))</f>
        <v>201.6</v>
      </c>
      <c r="X193" s="190">
        <f>IF(S193="-","-",VLOOKUP(S193,'CPI USA'!$T:$U,2,FALSE))</f>
        <v>207.34200000000001</v>
      </c>
      <c r="Y193" s="190">
        <f>IF(T193="-","-",VLOOKUP(T193,'CPI USA'!$T:$U,2,FALSE))</f>
        <v>215.303</v>
      </c>
      <c r="Z193" s="7"/>
      <c r="AA193" s="7"/>
      <c r="AB193" s="190">
        <f>IF(R193="-","-",VLOOKUP(R193,'PPI USA'!$S:$T,2,FALSE))</f>
        <v>145.30000000000001</v>
      </c>
      <c r="AC193" s="190">
        <f>IF(S193="-","-",VLOOKUP(S193,'PPI USA'!$S:$T,2,FALSE))</f>
        <v>151.69999999999999</v>
      </c>
      <c r="AD193" s="190">
        <f>IF(T193="-","-",VLOOKUP(T193,'PPI USA'!$S:$T,2,FALSE))</f>
        <v>159.30000000000001</v>
      </c>
      <c r="AE193" s="7"/>
      <c r="AF193" s="7"/>
      <c r="AG193" s="190">
        <f t="shared" ref="AG193:AI193" si="563">IF(W193="-","-",(AT193*$B$2/W193+(1-AT193)*AVERAGE($B$2,$B$3)/AVERAGE(W193,AB193)))</f>
        <v>1.595396421204319</v>
      </c>
      <c r="AH193" s="190">
        <f t="shared" si="563"/>
        <v>1.5480022216582647</v>
      </c>
      <c r="AI193" s="190">
        <f t="shared" si="563"/>
        <v>1.4884333659448254</v>
      </c>
      <c r="AJ193" s="7"/>
      <c r="AK193" s="7"/>
      <c r="AL193" s="190">
        <f t="shared" ref="AL193:AN193" si="564">IF(W193="-","-",(AY193*$B$2/W193+(1-AY193)*AVERAGE($B$2,$B$3)/AVERAGE(W193,AB193)))</f>
        <v>1.6147712829199015</v>
      </c>
      <c r="AM193" s="190">
        <f t="shared" si="564"/>
        <v>1.5651038394149617</v>
      </c>
      <c r="AN193" s="190">
        <f t="shared" si="564"/>
        <v>1.5036496327119213</v>
      </c>
      <c r="AO193" s="7"/>
      <c r="AP193" s="7"/>
      <c r="AQ193" s="7"/>
      <c r="AR193" s="7"/>
      <c r="AS193" s="7"/>
      <c r="AT193" s="242">
        <f>IF(R193="-","-",VLOOKUP(R193,'CPI USA'!$T:$V,3,FALSE))</f>
        <v>0.67263024008352756</v>
      </c>
      <c r="AU193" s="242">
        <f>IF(S193="-","-",VLOOKUP(S193,'CPI USA'!$T:$V,3,FALSE))</f>
        <v>0.67123734379962852</v>
      </c>
      <c r="AV193" s="242">
        <f>IF(T193="-","-",VLOOKUP(T193,'CPI USA'!$T:$V,3,FALSE))</f>
        <v>0.67018812038291731</v>
      </c>
      <c r="AW193" s="7"/>
      <c r="AX193" s="7"/>
      <c r="AY193" s="242">
        <f>IF(R193="-","-",VLOOKUP(R193,'CPI USA'!$T:$X,5,FALSE))</f>
        <v>0.50115228263529643</v>
      </c>
      <c r="AZ193" s="242">
        <f>IF(S193="-","-",VLOOKUP(S193,'CPI USA'!$T:$X,5,FALSE))</f>
        <v>0.49957259686190569</v>
      </c>
      <c r="BA193" s="242">
        <f>IF(T193="-","-",VLOOKUP(T193,'CPI USA'!$T:$X,5,FALSE))</f>
        <v>0.49838492968660258</v>
      </c>
      <c r="BB193" s="7"/>
    </row>
    <row r="194" spans="1:54" ht="15.75" customHeight="1">
      <c r="A194" s="185" t="s">
        <v>769</v>
      </c>
      <c r="B194" s="185" t="s">
        <v>770</v>
      </c>
      <c r="C194" s="243">
        <f>+'Empresas 21-23'!J189</f>
        <v>0</v>
      </c>
      <c r="D194" s="239">
        <f>VLOOKUP(A194,'FERC 2021'!$A$3:$BE$221,57,0)</f>
        <v>0</v>
      </c>
      <c r="E194" s="239">
        <f>VLOOKUP(A194,'FERC 2021'!$A$3:$BF$221,58,0)</f>
        <v>0</v>
      </c>
      <c r="F194" s="239">
        <f>VLOOKUP(A194,'FERC 2022'!$A$3:$BE$220,57,0)</f>
        <v>0</v>
      </c>
      <c r="G194" s="239">
        <f>VLOOKUP(A194,'FERC 2022'!$A$3:$BF$220,58,0)</f>
        <v>0</v>
      </c>
      <c r="H194" s="239">
        <f>VLOOKUP(A194,'FERC 2023'!$A$3:$BE$221,57,0)</f>
        <v>0</v>
      </c>
      <c r="I194" s="239">
        <f>VLOOKUP(A194,'FERC 2023'!$A$3:$BF$221,58,0)</f>
        <v>0</v>
      </c>
      <c r="J194" s="7"/>
      <c r="K194" s="7"/>
      <c r="L194" s="7"/>
      <c r="M194" s="187" t="str">
        <f t="shared" si="0"/>
        <v/>
      </c>
      <c r="N194" s="187" t="str">
        <f t="shared" si="1"/>
        <v/>
      </c>
      <c r="O194" s="187" t="str">
        <f t="shared" si="2"/>
        <v/>
      </c>
      <c r="P194" s="7"/>
      <c r="Q194" s="240" t="str">
        <f t="shared" si="3"/>
        <v>-</v>
      </c>
      <c r="R194" s="189" t="str">
        <f t="shared" ref="R194:T194" si="565">IF(ISERROR(R$5-365*$Q194),"-",MONTH(R$5-365*$Q194)&amp;"_"&amp;YEAR(R$5-365*$Q194))</f>
        <v>-</v>
      </c>
      <c r="S194" s="189" t="str">
        <f t="shared" si="565"/>
        <v>-</v>
      </c>
      <c r="T194" s="189" t="str">
        <f t="shared" si="565"/>
        <v>-</v>
      </c>
      <c r="U194" s="7"/>
      <c r="V194" s="7"/>
      <c r="W194" s="190" t="str">
        <f>IF(R194="-","-",VLOOKUP(R194,'CPI USA'!$T:$U,2,FALSE))</f>
        <v>-</v>
      </c>
      <c r="X194" s="190" t="str">
        <f>IF(S194="-","-",VLOOKUP(S194,'CPI USA'!$T:$U,2,FALSE))</f>
        <v>-</v>
      </c>
      <c r="Y194" s="190" t="str">
        <f>IF(T194="-","-",VLOOKUP(T194,'CPI USA'!$T:$U,2,FALSE))</f>
        <v>-</v>
      </c>
      <c r="Z194" s="7"/>
      <c r="AA194" s="7"/>
      <c r="AB194" s="190" t="str">
        <f>IF(R194="-","-",VLOOKUP(R194,'PPI USA'!$S:$T,2,FALSE))</f>
        <v>-</v>
      </c>
      <c r="AC194" s="190" t="str">
        <f>IF(S194="-","-",VLOOKUP(S194,'PPI USA'!$S:$T,2,FALSE))</f>
        <v>-</v>
      </c>
      <c r="AD194" s="190" t="str">
        <f>IF(T194="-","-",VLOOKUP(T194,'PPI USA'!$S:$T,2,FALSE))</f>
        <v>-</v>
      </c>
      <c r="AE194" s="7"/>
      <c r="AF194" s="7"/>
      <c r="AG194" s="190" t="str">
        <f t="shared" ref="AG194:AI194" si="566">IF(W194="-","-",(AT194*$B$2/W194+(1-AT194)*AVERAGE($B$2,$B$3)/AVERAGE(W194,AB194)))</f>
        <v>-</v>
      </c>
      <c r="AH194" s="190" t="str">
        <f t="shared" si="566"/>
        <v>-</v>
      </c>
      <c r="AI194" s="190" t="str">
        <f t="shared" si="566"/>
        <v>-</v>
      </c>
      <c r="AJ194" s="7"/>
      <c r="AK194" s="7"/>
      <c r="AL194" s="190" t="str">
        <f t="shared" ref="AL194:AN194" si="567">IF(W194="-","-",(AY194*$B$2/W194+(1-AY194)*AVERAGE($B$2,$B$3)/AVERAGE(W194,AB194)))</f>
        <v>-</v>
      </c>
      <c r="AM194" s="190" t="str">
        <f t="shared" si="567"/>
        <v>-</v>
      </c>
      <c r="AN194" s="190" t="str">
        <f t="shared" si="567"/>
        <v>-</v>
      </c>
      <c r="AO194" s="7"/>
      <c r="AP194" s="7"/>
      <c r="AQ194" s="7"/>
      <c r="AR194" s="7"/>
      <c r="AS194" s="7"/>
      <c r="AT194" s="242" t="str">
        <f>IF(R194="-","-",VLOOKUP(R194,'CPI USA'!$T:$V,3,FALSE))</f>
        <v>-</v>
      </c>
      <c r="AU194" s="242" t="str">
        <f>IF(S194="-","-",VLOOKUP(S194,'CPI USA'!$T:$V,3,FALSE))</f>
        <v>-</v>
      </c>
      <c r="AV194" s="242" t="str">
        <f>IF(T194="-","-",VLOOKUP(T194,'CPI USA'!$T:$V,3,FALSE))</f>
        <v>-</v>
      </c>
      <c r="AW194" s="7"/>
      <c r="AX194" s="7"/>
      <c r="AY194" s="242" t="str">
        <f>IF(R194="-","-",VLOOKUP(R194,'CPI USA'!$T:$X,5,FALSE))</f>
        <v>-</v>
      </c>
      <c r="AZ194" s="242" t="str">
        <f>IF(S194="-","-",VLOOKUP(S194,'CPI USA'!$T:$X,5,FALSE))</f>
        <v>-</v>
      </c>
      <c r="BA194" s="242" t="str">
        <f>IF(T194="-","-",VLOOKUP(T194,'CPI USA'!$T:$X,5,FALSE))</f>
        <v>-</v>
      </c>
      <c r="BB194" s="7"/>
    </row>
    <row r="195" spans="1:54" ht="15.75" customHeight="1">
      <c r="A195" s="185" t="s">
        <v>772</v>
      </c>
      <c r="B195" s="185" t="s">
        <v>773</v>
      </c>
      <c r="C195" s="243">
        <f>+'Empresas 21-23'!J190</f>
        <v>0</v>
      </c>
      <c r="D195" s="239">
        <f>VLOOKUP(A195,'FERC 2021'!$A$3:$BE$221,57,0)</f>
        <v>0</v>
      </c>
      <c r="E195" s="239">
        <f>VLOOKUP(A195,'FERC 2021'!$A$3:$BF$221,58,0)</f>
        <v>0</v>
      </c>
      <c r="F195" s="239">
        <f>VLOOKUP(A195,'FERC 2022'!$A$3:$BE$220,57,0)</f>
        <v>0</v>
      </c>
      <c r="G195" s="239">
        <f>VLOOKUP(A195,'FERC 2022'!$A$3:$BF$220,58,0)</f>
        <v>0</v>
      </c>
      <c r="H195" s="239">
        <f>VLOOKUP(A195,'FERC 2023'!$A$3:$BE$221,57,0)</f>
        <v>0</v>
      </c>
      <c r="I195" s="239">
        <f>VLOOKUP(A195,'FERC 2023'!$A$3:$BF$221,58,0)</f>
        <v>0</v>
      </c>
      <c r="J195" s="7"/>
      <c r="K195" s="7"/>
      <c r="L195" s="7"/>
      <c r="M195" s="187" t="str">
        <f t="shared" si="0"/>
        <v/>
      </c>
      <c r="N195" s="187" t="str">
        <f t="shared" si="1"/>
        <v/>
      </c>
      <c r="O195" s="187" t="str">
        <f t="shared" si="2"/>
        <v/>
      </c>
      <c r="P195" s="7"/>
      <c r="Q195" s="240" t="str">
        <f t="shared" si="3"/>
        <v>-</v>
      </c>
      <c r="R195" s="189" t="str">
        <f t="shared" ref="R195:T195" si="568">IF(ISERROR(R$5-365*$Q195),"-",MONTH(R$5-365*$Q195)&amp;"_"&amp;YEAR(R$5-365*$Q195))</f>
        <v>-</v>
      </c>
      <c r="S195" s="189" t="str">
        <f t="shared" si="568"/>
        <v>-</v>
      </c>
      <c r="T195" s="189" t="str">
        <f t="shared" si="568"/>
        <v>-</v>
      </c>
      <c r="U195" s="7"/>
      <c r="V195" s="7"/>
      <c r="W195" s="190" t="str">
        <f>IF(R195="-","-",VLOOKUP(R195,'CPI USA'!$T:$U,2,FALSE))</f>
        <v>-</v>
      </c>
      <c r="X195" s="190" t="str">
        <f>IF(S195="-","-",VLOOKUP(S195,'CPI USA'!$T:$U,2,FALSE))</f>
        <v>-</v>
      </c>
      <c r="Y195" s="190" t="str">
        <f>IF(T195="-","-",VLOOKUP(T195,'CPI USA'!$T:$U,2,FALSE))</f>
        <v>-</v>
      </c>
      <c r="Z195" s="7"/>
      <c r="AA195" s="7"/>
      <c r="AB195" s="190" t="str">
        <f>IF(R195="-","-",VLOOKUP(R195,'PPI USA'!$S:$T,2,FALSE))</f>
        <v>-</v>
      </c>
      <c r="AC195" s="190" t="str">
        <f>IF(S195="-","-",VLOOKUP(S195,'PPI USA'!$S:$T,2,FALSE))</f>
        <v>-</v>
      </c>
      <c r="AD195" s="190" t="str">
        <f>IF(T195="-","-",VLOOKUP(T195,'PPI USA'!$S:$T,2,FALSE))</f>
        <v>-</v>
      </c>
      <c r="AE195" s="7"/>
      <c r="AF195" s="7"/>
      <c r="AG195" s="190" t="str">
        <f t="shared" ref="AG195:AI195" si="569">IF(W195="-","-",(AT195*$B$2/W195+(1-AT195)*AVERAGE($B$2,$B$3)/AVERAGE(W195,AB195)))</f>
        <v>-</v>
      </c>
      <c r="AH195" s="190" t="str">
        <f t="shared" si="569"/>
        <v>-</v>
      </c>
      <c r="AI195" s="190" t="str">
        <f t="shared" si="569"/>
        <v>-</v>
      </c>
      <c r="AJ195" s="7"/>
      <c r="AK195" s="7"/>
      <c r="AL195" s="190" t="str">
        <f t="shared" ref="AL195:AN195" si="570">IF(W195="-","-",(AY195*$B$2/W195+(1-AY195)*AVERAGE($B$2,$B$3)/AVERAGE(W195,AB195)))</f>
        <v>-</v>
      </c>
      <c r="AM195" s="190" t="str">
        <f t="shared" si="570"/>
        <v>-</v>
      </c>
      <c r="AN195" s="190" t="str">
        <f t="shared" si="570"/>
        <v>-</v>
      </c>
      <c r="AO195" s="7"/>
      <c r="AP195" s="7"/>
      <c r="AQ195" s="7"/>
      <c r="AR195" s="7"/>
      <c r="AS195" s="7"/>
      <c r="AT195" s="242" t="str">
        <f>IF(R195="-","-",VLOOKUP(R195,'CPI USA'!$T:$V,3,FALSE))</f>
        <v>-</v>
      </c>
      <c r="AU195" s="242" t="str">
        <f>IF(S195="-","-",VLOOKUP(S195,'CPI USA'!$T:$V,3,FALSE))</f>
        <v>-</v>
      </c>
      <c r="AV195" s="242" t="str">
        <f>IF(T195="-","-",VLOOKUP(T195,'CPI USA'!$T:$V,3,FALSE))</f>
        <v>-</v>
      </c>
      <c r="AW195" s="7"/>
      <c r="AX195" s="7"/>
      <c r="AY195" s="242" t="str">
        <f>IF(R195="-","-",VLOOKUP(R195,'CPI USA'!$T:$X,5,FALSE))</f>
        <v>-</v>
      </c>
      <c r="AZ195" s="242" t="str">
        <f>IF(S195="-","-",VLOOKUP(S195,'CPI USA'!$T:$X,5,FALSE))</f>
        <v>-</v>
      </c>
      <c r="BA195" s="242" t="str">
        <f>IF(T195="-","-",VLOOKUP(T195,'CPI USA'!$T:$X,5,FALSE))</f>
        <v>-</v>
      </c>
      <c r="BB195" s="7"/>
    </row>
    <row r="196" spans="1:54" ht="15.75" customHeight="1">
      <c r="A196" s="185" t="s">
        <v>775</v>
      </c>
      <c r="B196" s="185" t="s">
        <v>776</v>
      </c>
      <c r="C196" s="243">
        <f>+'Empresas 21-23'!J191</f>
        <v>0</v>
      </c>
      <c r="D196" s="239">
        <f>VLOOKUP(A196,'FERC 2021'!$A$3:$BE$221,57,0)</f>
        <v>0</v>
      </c>
      <c r="E196" s="239">
        <f>VLOOKUP(A196,'FERC 2021'!$A$3:$BF$221,58,0)</f>
        <v>0</v>
      </c>
      <c r="F196" s="239">
        <f>VLOOKUP(A196,'FERC 2022'!$A$3:$BE$220,57,0)</f>
        <v>0</v>
      </c>
      <c r="G196" s="239">
        <f>VLOOKUP(A196,'FERC 2022'!$A$3:$BF$220,58,0)</f>
        <v>0</v>
      </c>
      <c r="H196" s="239">
        <f>VLOOKUP(A196,'FERC 2023'!$A$3:$BE$221,57,0)</f>
        <v>0</v>
      </c>
      <c r="I196" s="239">
        <f>VLOOKUP(A196,'FERC 2023'!$A$3:$BF$221,58,0)</f>
        <v>0</v>
      </c>
      <c r="J196" s="7"/>
      <c r="K196" s="7"/>
      <c r="L196" s="7"/>
      <c r="M196" s="187" t="str">
        <f t="shared" si="0"/>
        <v/>
      </c>
      <c r="N196" s="187" t="str">
        <f t="shared" si="1"/>
        <v/>
      </c>
      <c r="O196" s="187" t="str">
        <f t="shared" si="2"/>
        <v/>
      </c>
      <c r="P196" s="7"/>
      <c r="Q196" s="240" t="str">
        <f t="shared" si="3"/>
        <v>-</v>
      </c>
      <c r="R196" s="189" t="str">
        <f t="shared" ref="R196:T196" si="571">IF(ISERROR(R$5-365*$Q196),"-",MONTH(R$5-365*$Q196)&amp;"_"&amp;YEAR(R$5-365*$Q196))</f>
        <v>-</v>
      </c>
      <c r="S196" s="189" t="str">
        <f t="shared" si="571"/>
        <v>-</v>
      </c>
      <c r="T196" s="189" t="str">
        <f t="shared" si="571"/>
        <v>-</v>
      </c>
      <c r="U196" s="7"/>
      <c r="V196" s="7"/>
      <c r="W196" s="190" t="str">
        <f>IF(R196="-","-",VLOOKUP(R196,'CPI USA'!$T:$U,2,FALSE))</f>
        <v>-</v>
      </c>
      <c r="X196" s="190" t="str">
        <f>IF(S196="-","-",VLOOKUP(S196,'CPI USA'!$T:$U,2,FALSE))</f>
        <v>-</v>
      </c>
      <c r="Y196" s="190" t="str">
        <f>IF(T196="-","-",VLOOKUP(T196,'CPI USA'!$T:$U,2,FALSE))</f>
        <v>-</v>
      </c>
      <c r="Z196" s="7"/>
      <c r="AA196" s="7"/>
      <c r="AB196" s="190" t="str">
        <f>IF(R196="-","-",VLOOKUP(R196,'PPI USA'!$S:$T,2,FALSE))</f>
        <v>-</v>
      </c>
      <c r="AC196" s="190" t="str">
        <f>IF(S196="-","-",VLOOKUP(S196,'PPI USA'!$S:$T,2,FALSE))</f>
        <v>-</v>
      </c>
      <c r="AD196" s="190" t="str">
        <f>IF(T196="-","-",VLOOKUP(T196,'PPI USA'!$S:$T,2,FALSE))</f>
        <v>-</v>
      </c>
      <c r="AE196" s="7"/>
      <c r="AF196" s="7"/>
      <c r="AG196" s="190" t="str">
        <f t="shared" ref="AG196:AI196" si="572">IF(W196="-","-",(AT196*$B$2/W196+(1-AT196)*AVERAGE($B$2,$B$3)/AVERAGE(W196,AB196)))</f>
        <v>-</v>
      </c>
      <c r="AH196" s="190" t="str">
        <f t="shared" si="572"/>
        <v>-</v>
      </c>
      <c r="AI196" s="190" t="str">
        <f t="shared" si="572"/>
        <v>-</v>
      </c>
      <c r="AJ196" s="7"/>
      <c r="AK196" s="7"/>
      <c r="AL196" s="190" t="str">
        <f t="shared" ref="AL196:AN196" si="573">IF(W196="-","-",(AY196*$B$2/W196+(1-AY196)*AVERAGE($B$2,$B$3)/AVERAGE(W196,AB196)))</f>
        <v>-</v>
      </c>
      <c r="AM196" s="190" t="str">
        <f t="shared" si="573"/>
        <v>-</v>
      </c>
      <c r="AN196" s="190" t="str">
        <f t="shared" si="573"/>
        <v>-</v>
      </c>
      <c r="AO196" s="7"/>
      <c r="AP196" s="7"/>
      <c r="AQ196" s="7"/>
      <c r="AR196" s="7"/>
      <c r="AS196" s="7"/>
      <c r="AT196" s="242" t="str">
        <f>IF(R196="-","-",VLOOKUP(R196,'CPI USA'!$T:$V,3,FALSE))</f>
        <v>-</v>
      </c>
      <c r="AU196" s="242" t="str">
        <f>IF(S196="-","-",VLOOKUP(S196,'CPI USA'!$T:$V,3,FALSE))</f>
        <v>-</v>
      </c>
      <c r="AV196" s="242" t="str">
        <f>IF(T196="-","-",VLOOKUP(T196,'CPI USA'!$T:$V,3,FALSE))</f>
        <v>-</v>
      </c>
      <c r="AW196" s="7"/>
      <c r="AX196" s="7"/>
      <c r="AY196" s="242" t="str">
        <f>IF(R196="-","-",VLOOKUP(R196,'CPI USA'!$T:$X,5,FALSE))</f>
        <v>-</v>
      </c>
      <c r="AZ196" s="242" t="str">
        <f>IF(S196="-","-",VLOOKUP(S196,'CPI USA'!$T:$X,5,FALSE))</f>
        <v>-</v>
      </c>
      <c r="BA196" s="242" t="str">
        <f>IF(T196="-","-",VLOOKUP(T196,'CPI USA'!$T:$X,5,FALSE))</f>
        <v>-</v>
      </c>
      <c r="BB196" s="7"/>
    </row>
    <row r="197" spans="1:54" ht="15.75" customHeight="1">
      <c r="A197" s="185" t="s">
        <v>778</v>
      </c>
      <c r="B197" s="185" t="s">
        <v>779</v>
      </c>
      <c r="C197" s="243">
        <f>+'Empresas 21-23'!J192</f>
        <v>0</v>
      </c>
      <c r="D197" s="239">
        <f>VLOOKUP(A197,'FERC 2021'!$A$3:$BE$221,57,0)</f>
        <v>1403007505</v>
      </c>
      <c r="E197" s="239">
        <f>VLOOKUP(A197,'FERC 2021'!$A$3:$BF$221,58,0)</f>
        <v>149162926</v>
      </c>
      <c r="F197" s="239">
        <f>VLOOKUP(A197,'FERC 2022'!$A$3:$BE$220,57,0)</f>
        <v>1426959160</v>
      </c>
      <c r="G197" s="239">
        <f>VLOOKUP(A197,'FERC 2022'!$A$3:$BF$220,58,0)</f>
        <v>166104017</v>
      </c>
      <c r="H197" s="239">
        <f>VLOOKUP(A197,'FERC 2023'!$A$3:$BE$221,57,0)</f>
        <v>1469488789</v>
      </c>
      <c r="I197" s="239">
        <f>VLOOKUP(A197,'FERC 2023'!$A$3:$BF$221,58,0)</f>
        <v>167836738</v>
      </c>
      <c r="J197" s="7"/>
      <c r="K197" s="7"/>
      <c r="L197" s="7"/>
      <c r="M197" s="187">
        <f t="shared" si="0"/>
        <v>9.4058727769928563</v>
      </c>
      <c r="N197" s="187">
        <f t="shared" si="1"/>
        <v>8.5907564776112544</v>
      </c>
      <c r="O197" s="187">
        <f t="shared" si="2"/>
        <v>8.7554656180221997</v>
      </c>
      <c r="P197" s="7"/>
      <c r="Q197" s="240">
        <f t="shared" si="3"/>
        <v>8.9173649575421035</v>
      </c>
      <c r="R197" s="189" t="str">
        <f t="shared" ref="R197:T197" si="574">IF(ISERROR(R$5-365*$Q197),"-",MONTH(R$5-365*$Q197)&amp;"_"&amp;YEAR(R$5-365*$Q197))</f>
        <v>2_2013</v>
      </c>
      <c r="S197" s="189" t="str">
        <f t="shared" si="574"/>
        <v>2_2014</v>
      </c>
      <c r="T197" s="189" t="str">
        <f t="shared" si="574"/>
        <v>2_2015</v>
      </c>
      <c r="U197" s="7"/>
      <c r="V197" s="7"/>
      <c r="W197" s="190">
        <f>IF(R197="-","-",VLOOKUP(R197,'CPI USA'!$T:$U,2,FALSE))</f>
        <v>232.166</v>
      </c>
      <c r="X197" s="190">
        <f>IF(S197="-","-",VLOOKUP(S197,'CPI USA'!$T:$U,2,FALSE))</f>
        <v>234.78100000000001</v>
      </c>
      <c r="Y197" s="190">
        <f>IF(T197="-","-",VLOOKUP(T197,'CPI USA'!$T:$U,2,FALSE))</f>
        <v>234.72200000000001</v>
      </c>
      <c r="Z197" s="7"/>
      <c r="AA197" s="7"/>
      <c r="AB197" s="190">
        <f>IF(R197="-","-",VLOOKUP(R197,'PPI USA'!$S:$T,2,FALSE))</f>
        <v>166.3</v>
      </c>
      <c r="AC197" s="190">
        <f>IF(S197="-","-",VLOOKUP(S197,'PPI USA'!$S:$T,2,FALSE))</f>
        <v>178.9</v>
      </c>
      <c r="AD197" s="190">
        <f>IF(T197="-","-",VLOOKUP(T197,'PPI USA'!$S:$T,2,FALSE))</f>
        <v>184.7</v>
      </c>
      <c r="AE197" s="7"/>
      <c r="AF197" s="7"/>
      <c r="AG197" s="190">
        <f t="shared" ref="AG197:AI197" si="575">IF(W197="-","-",(AT197*$B$2/W197+(1-AT197)*AVERAGE($B$2,$B$3)/AVERAGE(W197,AB197)))</f>
        <v>1.3865384530154934</v>
      </c>
      <c r="AH197" s="190">
        <f t="shared" si="575"/>
        <v>1.3592442498168091</v>
      </c>
      <c r="AI197" s="190">
        <f t="shared" si="575"/>
        <v>1.3530747060466299</v>
      </c>
      <c r="AJ197" s="7"/>
      <c r="AK197" s="7"/>
      <c r="AL197" s="190">
        <f t="shared" ref="AL197:AN197" si="576">IF(W197="-","-",(AY197*$B$2/W197+(1-AY197)*AVERAGE($B$2,$B$3)/AVERAGE(W197,AB197)))</f>
        <v>1.4039999731910067</v>
      </c>
      <c r="AM197" s="190">
        <f t="shared" si="576"/>
        <v>1.370161072621193</v>
      </c>
      <c r="AN197" s="190">
        <f t="shared" si="576"/>
        <v>1.36062907964979</v>
      </c>
      <c r="AO197" s="7"/>
      <c r="AP197" s="7"/>
      <c r="AQ197" s="7"/>
      <c r="AR197" s="7"/>
      <c r="AS197" s="7"/>
      <c r="AT197" s="242">
        <f>IF(R197="-","-",VLOOKUP(R197,'CPI USA'!$T:$V,3,FALSE))</f>
        <v>0.67305131835944076</v>
      </c>
      <c r="AU197" s="242">
        <f>IF(S197="-","-",VLOOKUP(S197,'CPI USA'!$T:$V,3,FALSE))</f>
        <v>0.66756601812039096</v>
      </c>
      <c r="AV197" s="242">
        <f>IF(T197="-","-",VLOOKUP(T197,'CPI USA'!$T:$V,3,FALSE))</f>
        <v>0.6679408278919865</v>
      </c>
      <c r="AW197" s="7"/>
      <c r="AX197" s="7"/>
      <c r="AY197" s="242">
        <f>IF(R197="-","-",VLOOKUP(R197,'CPI USA'!$T:$X,5,FALSE))</f>
        <v>0.50163050295255052</v>
      </c>
      <c r="AZ197" s="242">
        <f>IF(S197="-","-",VLOOKUP(S197,'CPI USA'!$T:$X,5,FALSE))</f>
        <v>0.49542529667095003</v>
      </c>
      <c r="BA197" s="242">
        <f>IF(T197="-","-",VLOOKUP(T197,'CPI USA'!$T:$X,5,FALSE))</f>
        <v>0.49584761624008583</v>
      </c>
      <c r="BB197" s="7"/>
    </row>
    <row r="198" spans="1:54" ht="15.75" customHeight="1">
      <c r="A198" s="185" t="s">
        <v>781</v>
      </c>
      <c r="B198" s="185" t="s">
        <v>782</v>
      </c>
      <c r="C198" s="243">
        <f>+'Empresas 21-23'!J193</f>
        <v>0</v>
      </c>
      <c r="D198" s="239">
        <f>VLOOKUP(A198,'FERC 2021'!$A$3:$BE$221,57,0)</f>
        <v>0</v>
      </c>
      <c r="E198" s="239">
        <f>VLOOKUP(A198,'FERC 2021'!$A$3:$BF$221,58,0)</f>
        <v>0</v>
      </c>
      <c r="F198" s="239">
        <f>VLOOKUP(A198,'FERC 2022'!$A$3:$BE$220,57,0)</f>
        <v>0</v>
      </c>
      <c r="G198" s="239">
        <f>VLOOKUP(A198,'FERC 2022'!$A$3:$BF$220,58,0)</f>
        <v>0</v>
      </c>
      <c r="H198" s="239">
        <f>VLOOKUP(A198,'FERC 2023'!$A$3:$BE$221,57,0)</f>
        <v>0</v>
      </c>
      <c r="I198" s="239">
        <f>VLOOKUP(A198,'FERC 2023'!$A$3:$BF$221,58,0)</f>
        <v>0</v>
      </c>
      <c r="J198" s="7"/>
      <c r="K198" s="7"/>
      <c r="L198" s="7"/>
      <c r="M198" s="187" t="str">
        <f t="shared" si="0"/>
        <v/>
      </c>
      <c r="N198" s="187" t="str">
        <f t="shared" si="1"/>
        <v/>
      </c>
      <c r="O198" s="187" t="str">
        <f t="shared" si="2"/>
        <v/>
      </c>
      <c r="P198" s="7"/>
      <c r="Q198" s="240" t="str">
        <f t="shared" si="3"/>
        <v>-</v>
      </c>
      <c r="R198" s="189" t="str">
        <f t="shared" ref="R198:T198" si="577">IF(ISERROR(R$5-365*$Q198),"-",MONTH(R$5-365*$Q198)&amp;"_"&amp;YEAR(R$5-365*$Q198))</f>
        <v>-</v>
      </c>
      <c r="S198" s="189" t="str">
        <f t="shared" si="577"/>
        <v>-</v>
      </c>
      <c r="T198" s="189" t="str">
        <f t="shared" si="577"/>
        <v>-</v>
      </c>
      <c r="U198" s="7"/>
      <c r="V198" s="7"/>
      <c r="W198" s="190" t="str">
        <f>IF(R198="-","-",VLOOKUP(R198,'CPI USA'!$T:$U,2,FALSE))</f>
        <v>-</v>
      </c>
      <c r="X198" s="190" t="str">
        <f>IF(S198="-","-",VLOOKUP(S198,'CPI USA'!$T:$U,2,FALSE))</f>
        <v>-</v>
      </c>
      <c r="Y198" s="190" t="str">
        <f>IF(T198="-","-",VLOOKUP(T198,'CPI USA'!$T:$U,2,FALSE))</f>
        <v>-</v>
      </c>
      <c r="Z198" s="7"/>
      <c r="AA198" s="7"/>
      <c r="AB198" s="190" t="str">
        <f>IF(R198="-","-",VLOOKUP(R198,'PPI USA'!$S:$T,2,FALSE))</f>
        <v>-</v>
      </c>
      <c r="AC198" s="190" t="str">
        <f>IF(S198="-","-",VLOOKUP(S198,'PPI USA'!$S:$T,2,FALSE))</f>
        <v>-</v>
      </c>
      <c r="AD198" s="190" t="str">
        <f>IF(T198="-","-",VLOOKUP(T198,'PPI USA'!$S:$T,2,FALSE))</f>
        <v>-</v>
      </c>
      <c r="AE198" s="7"/>
      <c r="AF198" s="7"/>
      <c r="AG198" s="190" t="str">
        <f t="shared" ref="AG198:AI198" si="578">IF(W198="-","-",(AT198*$B$2/W198+(1-AT198)*AVERAGE($B$2,$B$3)/AVERAGE(W198,AB198)))</f>
        <v>-</v>
      </c>
      <c r="AH198" s="190" t="str">
        <f t="shared" si="578"/>
        <v>-</v>
      </c>
      <c r="AI198" s="190" t="str">
        <f t="shared" si="578"/>
        <v>-</v>
      </c>
      <c r="AJ198" s="7"/>
      <c r="AK198" s="7"/>
      <c r="AL198" s="190" t="str">
        <f t="shared" ref="AL198:AN198" si="579">IF(W198="-","-",(AY198*$B$2/W198+(1-AY198)*AVERAGE($B$2,$B$3)/AVERAGE(W198,AB198)))</f>
        <v>-</v>
      </c>
      <c r="AM198" s="190" t="str">
        <f t="shared" si="579"/>
        <v>-</v>
      </c>
      <c r="AN198" s="190" t="str">
        <f t="shared" si="579"/>
        <v>-</v>
      </c>
      <c r="AO198" s="7"/>
      <c r="AP198" s="7"/>
      <c r="AQ198" s="7"/>
      <c r="AR198" s="7"/>
      <c r="AS198" s="7"/>
      <c r="AT198" s="242" t="str">
        <f>IF(R198="-","-",VLOOKUP(R198,'CPI USA'!$T:$V,3,FALSE))</f>
        <v>-</v>
      </c>
      <c r="AU198" s="242" t="str">
        <f>IF(S198="-","-",VLOOKUP(S198,'CPI USA'!$T:$V,3,FALSE))</f>
        <v>-</v>
      </c>
      <c r="AV198" s="242" t="str">
        <f>IF(T198="-","-",VLOOKUP(T198,'CPI USA'!$T:$V,3,FALSE))</f>
        <v>-</v>
      </c>
      <c r="AW198" s="7"/>
      <c r="AX198" s="7"/>
      <c r="AY198" s="242" t="str">
        <f>IF(R198="-","-",VLOOKUP(R198,'CPI USA'!$T:$X,5,FALSE))</f>
        <v>-</v>
      </c>
      <c r="AZ198" s="242" t="str">
        <f>IF(S198="-","-",VLOOKUP(S198,'CPI USA'!$T:$X,5,FALSE))</f>
        <v>-</v>
      </c>
      <c r="BA198" s="242" t="str">
        <f>IF(T198="-","-",VLOOKUP(T198,'CPI USA'!$T:$X,5,FALSE))</f>
        <v>-</v>
      </c>
      <c r="BB198" s="7"/>
    </row>
    <row r="199" spans="1:54" ht="15.75" customHeight="1">
      <c r="A199" s="185" t="s">
        <v>784</v>
      </c>
      <c r="B199" s="185" t="s">
        <v>785</v>
      </c>
      <c r="C199" s="243">
        <f>+'Empresas 21-23'!J194</f>
        <v>0</v>
      </c>
      <c r="D199" s="239">
        <f>VLOOKUP(A199,'FERC 2021'!$A$3:$BE$221,57,0)</f>
        <v>0</v>
      </c>
      <c r="E199" s="239">
        <f>VLOOKUP(A199,'FERC 2021'!$A$3:$BF$221,58,0)</f>
        <v>0</v>
      </c>
      <c r="F199" s="239">
        <f>VLOOKUP(A199,'FERC 2022'!$A$3:$BE$220,57,0)</f>
        <v>0</v>
      </c>
      <c r="G199" s="239">
        <f>VLOOKUP(A199,'FERC 2022'!$A$3:$BF$220,58,0)</f>
        <v>0</v>
      </c>
      <c r="H199" s="239">
        <f>VLOOKUP(A199,'FERC 2023'!$A$3:$BE$221,57,0)</f>
        <v>0</v>
      </c>
      <c r="I199" s="239">
        <f>VLOOKUP(A199,'FERC 2023'!$A$3:$BF$221,58,0)</f>
        <v>0</v>
      </c>
      <c r="J199" s="7"/>
      <c r="K199" s="7"/>
      <c r="L199" s="7"/>
      <c r="M199" s="187" t="str">
        <f t="shared" si="0"/>
        <v/>
      </c>
      <c r="N199" s="187" t="str">
        <f t="shared" si="1"/>
        <v/>
      </c>
      <c r="O199" s="187" t="str">
        <f t="shared" si="2"/>
        <v/>
      </c>
      <c r="P199" s="7"/>
      <c r="Q199" s="240" t="str">
        <f t="shared" si="3"/>
        <v>-</v>
      </c>
      <c r="R199" s="189" t="str">
        <f t="shared" ref="R199:T199" si="580">IF(ISERROR(R$5-365*$Q199),"-",MONTH(R$5-365*$Q199)&amp;"_"&amp;YEAR(R$5-365*$Q199))</f>
        <v>-</v>
      </c>
      <c r="S199" s="189" t="str">
        <f t="shared" si="580"/>
        <v>-</v>
      </c>
      <c r="T199" s="189" t="str">
        <f t="shared" si="580"/>
        <v>-</v>
      </c>
      <c r="U199" s="7"/>
      <c r="V199" s="7"/>
      <c r="W199" s="190" t="str">
        <f>IF(R199="-","-",VLOOKUP(R199,'CPI USA'!$T:$U,2,FALSE))</f>
        <v>-</v>
      </c>
      <c r="X199" s="190" t="str">
        <f>IF(S199="-","-",VLOOKUP(S199,'CPI USA'!$T:$U,2,FALSE))</f>
        <v>-</v>
      </c>
      <c r="Y199" s="190" t="str">
        <f>IF(T199="-","-",VLOOKUP(T199,'CPI USA'!$T:$U,2,FALSE))</f>
        <v>-</v>
      </c>
      <c r="Z199" s="7"/>
      <c r="AA199" s="7"/>
      <c r="AB199" s="190" t="str">
        <f>IF(R199="-","-",VLOOKUP(R199,'PPI USA'!$S:$T,2,FALSE))</f>
        <v>-</v>
      </c>
      <c r="AC199" s="190" t="str">
        <f>IF(S199="-","-",VLOOKUP(S199,'PPI USA'!$S:$T,2,FALSE))</f>
        <v>-</v>
      </c>
      <c r="AD199" s="190" t="str">
        <f>IF(T199="-","-",VLOOKUP(T199,'PPI USA'!$S:$T,2,FALSE))</f>
        <v>-</v>
      </c>
      <c r="AE199" s="7"/>
      <c r="AF199" s="7"/>
      <c r="AG199" s="190" t="str">
        <f t="shared" ref="AG199:AI199" si="581">IF(W199="-","-",(AT199*$B$2/W199+(1-AT199)*AVERAGE($B$2,$B$3)/AVERAGE(W199,AB199)))</f>
        <v>-</v>
      </c>
      <c r="AH199" s="190" t="str">
        <f t="shared" si="581"/>
        <v>-</v>
      </c>
      <c r="AI199" s="190" t="str">
        <f t="shared" si="581"/>
        <v>-</v>
      </c>
      <c r="AJ199" s="7"/>
      <c r="AK199" s="7"/>
      <c r="AL199" s="190" t="str">
        <f t="shared" ref="AL199:AN199" si="582">IF(W199="-","-",(AY199*$B$2/W199+(1-AY199)*AVERAGE($B$2,$B$3)/AVERAGE(W199,AB199)))</f>
        <v>-</v>
      </c>
      <c r="AM199" s="190" t="str">
        <f t="shared" si="582"/>
        <v>-</v>
      </c>
      <c r="AN199" s="190" t="str">
        <f t="shared" si="582"/>
        <v>-</v>
      </c>
      <c r="AO199" s="7"/>
      <c r="AP199" s="7"/>
      <c r="AQ199" s="7"/>
      <c r="AR199" s="7"/>
      <c r="AS199" s="7"/>
      <c r="AT199" s="242" t="str">
        <f>IF(R199="-","-",VLOOKUP(R199,'CPI USA'!$T:$V,3,FALSE))</f>
        <v>-</v>
      </c>
      <c r="AU199" s="242" t="str">
        <f>IF(S199="-","-",VLOOKUP(S199,'CPI USA'!$T:$V,3,FALSE))</f>
        <v>-</v>
      </c>
      <c r="AV199" s="242" t="str">
        <f>IF(T199="-","-",VLOOKUP(T199,'CPI USA'!$T:$V,3,FALSE))</f>
        <v>-</v>
      </c>
      <c r="AW199" s="7"/>
      <c r="AX199" s="7"/>
      <c r="AY199" s="242" t="str">
        <f>IF(R199="-","-",VLOOKUP(R199,'CPI USA'!$T:$X,5,FALSE))</f>
        <v>-</v>
      </c>
      <c r="AZ199" s="242" t="str">
        <f>IF(S199="-","-",VLOOKUP(S199,'CPI USA'!$T:$X,5,FALSE))</f>
        <v>-</v>
      </c>
      <c r="BA199" s="242" t="str">
        <f>IF(T199="-","-",VLOOKUP(T199,'CPI USA'!$T:$X,5,FALSE))</f>
        <v>-</v>
      </c>
      <c r="BB199" s="7"/>
    </row>
    <row r="200" spans="1:54" ht="15.75" customHeight="1">
      <c r="A200" s="185" t="s">
        <v>787</v>
      </c>
      <c r="B200" s="185" t="s">
        <v>788</v>
      </c>
      <c r="C200" s="243">
        <f>+'Empresas 21-23'!J195</f>
        <v>0</v>
      </c>
      <c r="D200" s="239">
        <f>VLOOKUP(A200,'FERC 2021'!$A$3:$BE$221,57,0)</f>
        <v>0</v>
      </c>
      <c r="E200" s="239">
        <f>VLOOKUP(A200,'FERC 2021'!$A$3:$BF$221,58,0)</f>
        <v>0</v>
      </c>
      <c r="F200" s="239">
        <f>VLOOKUP(A200,'FERC 2022'!$A$3:$BE$220,57,0)</f>
        <v>0</v>
      </c>
      <c r="G200" s="239">
        <f>VLOOKUP(A200,'FERC 2022'!$A$3:$BF$220,58,0)</f>
        <v>0</v>
      </c>
      <c r="H200" s="239">
        <f>VLOOKUP(A200,'FERC 2023'!$A$3:$BE$221,57,0)</f>
        <v>0</v>
      </c>
      <c r="I200" s="239">
        <f>VLOOKUP(A200,'FERC 2023'!$A$3:$BF$221,58,0)</f>
        <v>0</v>
      </c>
      <c r="J200" s="7"/>
      <c r="K200" s="7"/>
      <c r="L200" s="7"/>
      <c r="M200" s="187" t="str">
        <f t="shared" si="0"/>
        <v/>
      </c>
      <c r="N200" s="187" t="str">
        <f t="shared" si="1"/>
        <v/>
      </c>
      <c r="O200" s="187" t="str">
        <f t="shared" si="2"/>
        <v/>
      </c>
      <c r="P200" s="7"/>
      <c r="Q200" s="240" t="str">
        <f t="shared" si="3"/>
        <v>-</v>
      </c>
      <c r="R200" s="189" t="str">
        <f t="shared" ref="R200:T200" si="583">IF(ISERROR(R$5-365*$Q200),"-",MONTH(R$5-365*$Q200)&amp;"_"&amp;YEAR(R$5-365*$Q200))</f>
        <v>-</v>
      </c>
      <c r="S200" s="189" t="str">
        <f t="shared" si="583"/>
        <v>-</v>
      </c>
      <c r="T200" s="189" t="str">
        <f t="shared" si="583"/>
        <v>-</v>
      </c>
      <c r="U200" s="7"/>
      <c r="V200" s="7"/>
      <c r="W200" s="190" t="str">
        <f>IF(R200="-","-",VLOOKUP(R200,'CPI USA'!$T:$U,2,FALSE))</f>
        <v>-</v>
      </c>
      <c r="X200" s="190" t="str">
        <f>IF(S200="-","-",VLOOKUP(S200,'CPI USA'!$T:$U,2,FALSE))</f>
        <v>-</v>
      </c>
      <c r="Y200" s="190" t="str">
        <f>IF(T200="-","-",VLOOKUP(T200,'CPI USA'!$T:$U,2,FALSE))</f>
        <v>-</v>
      </c>
      <c r="Z200" s="7"/>
      <c r="AA200" s="7"/>
      <c r="AB200" s="190" t="str">
        <f>IF(R200="-","-",VLOOKUP(R200,'PPI USA'!$S:$T,2,FALSE))</f>
        <v>-</v>
      </c>
      <c r="AC200" s="190" t="str">
        <f>IF(S200="-","-",VLOOKUP(S200,'PPI USA'!$S:$T,2,FALSE))</f>
        <v>-</v>
      </c>
      <c r="AD200" s="190" t="str">
        <f>IF(T200="-","-",VLOOKUP(T200,'PPI USA'!$S:$T,2,FALSE))</f>
        <v>-</v>
      </c>
      <c r="AE200" s="7"/>
      <c r="AF200" s="7"/>
      <c r="AG200" s="190" t="str">
        <f t="shared" ref="AG200:AI200" si="584">IF(W200="-","-",(AT200*$B$2/W200+(1-AT200)*AVERAGE($B$2,$B$3)/AVERAGE(W200,AB200)))</f>
        <v>-</v>
      </c>
      <c r="AH200" s="190" t="str">
        <f t="shared" si="584"/>
        <v>-</v>
      </c>
      <c r="AI200" s="190" t="str">
        <f t="shared" si="584"/>
        <v>-</v>
      </c>
      <c r="AJ200" s="7"/>
      <c r="AK200" s="7"/>
      <c r="AL200" s="190" t="str">
        <f t="shared" ref="AL200:AN200" si="585">IF(W200="-","-",(AY200*$B$2/W200+(1-AY200)*AVERAGE($B$2,$B$3)/AVERAGE(W200,AB200)))</f>
        <v>-</v>
      </c>
      <c r="AM200" s="190" t="str">
        <f t="shared" si="585"/>
        <v>-</v>
      </c>
      <c r="AN200" s="190" t="str">
        <f t="shared" si="585"/>
        <v>-</v>
      </c>
      <c r="AO200" s="7"/>
      <c r="AP200" s="7"/>
      <c r="AQ200" s="7"/>
      <c r="AR200" s="7"/>
      <c r="AS200" s="7"/>
      <c r="AT200" s="242" t="str">
        <f>IF(R200="-","-",VLOOKUP(R200,'CPI USA'!$T:$V,3,FALSE))</f>
        <v>-</v>
      </c>
      <c r="AU200" s="242" t="str">
        <f>IF(S200="-","-",VLOOKUP(S200,'CPI USA'!$T:$V,3,FALSE))</f>
        <v>-</v>
      </c>
      <c r="AV200" s="242" t="str">
        <f>IF(T200="-","-",VLOOKUP(T200,'CPI USA'!$T:$V,3,FALSE))</f>
        <v>-</v>
      </c>
      <c r="AW200" s="7"/>
      <c r="AX200" s="7"/>
      <c r="AY200" s="242" t="str">
        <f>IF(R200="-","-",VLOOKUP(R200,'CPI USA'!$T:$X,5,FALSE))</f>
        <v>-</v>
      </c>
      <c r="AZ200" s="242" t="str">
        <f>IF(S200="-","-",VLOOKUP(S200,'CPI USA'!$T:$X,5,FALSE))</f>
        <v>-</v>
      </c>
      <c r="BA200" s="242" t="str">
        <f>IF(T200="-","-",VLOOKUP(T200,'CPI USA'!$T:$X,5,FALSE))</f>
        <v>-</v>
      </c>
      <c r="BB200" s="7"/>
    </row>
    <row r="201" spans="1:54" ht="15.75" customHeight="1">
      <c r="A201" s="185" t="s">
        <v>790</v>
      </c>
      <c r="B201" s="185" t="s">
        <v>791</v>
      </c>
      <c r="C201" s="243">
        <f>+'Empresas 21-23'!J196</f>
        <v>0</v>
      </c>
      <c r="D201" s="239">
        <f>VLOOKUP(A201,'FERC 2021'!$A$3:$BE$221,57,0)</f>
        <v>0</v>
      </c>
      <c r="E201" s="239">
        <f>VLOOKUP(A201,'FERC 2021'!$A$3:$BF$221,58,0)</f>
        <v>0</v>
      </c>
      <c r="F201" s="239">
        <f>VLOOKUP(A201,'FERC 2022'!$A$3:$BE$220,57,0)</f>
        <v>0</v>
      </c>
      <c r="G201" s="239">
        <f>VLOOKUP(A201,'FERC 2022'!$A$3:$BF$220,58,0)</f>
        <v>0</v>
      </c>
      <c r="H201" s="239">
        <f>VLOOKUP(A201,'FERC 2023'!$A$3:$BE$221,57,0)</f>
        <v>0</v>
      </c>
      <c r="I201" s="239">
        <f>VLOOKUP(A201,'FERC 2023'!$A$3:$BF$221,58,0)</f>
        <v>0</v>
      </c>
      <c r="J201" s="7"/>
      <c r="K201" s="7"/>
      <c r="L201" s="7"/>
      <c r="M201" s="187" t="str">
        <f t="shared" si="0"/>
        <v/>
      </c>
      <c r="N201" s="187" t="str">
        <f t="shared" si="1"/>
        <v/>
      </c>
      <c r="O201" s="187" t="str">
        <f t="shared" si="2"/>
        <v/>
      </c>
      <c r="P201" s="7"/>
      <c r="Q201" s="240" t="str">
        <f t="shared" si="3"/>
        <v>-</v>
      </c>
      <c r="R201" s="189" t="str">
        <f t="shared" ref="R201:T201" si="586">IF(ISERROR(R$5-365*$Q201),"-",MONTH(R$5-365*$Q201)&amp;"_"&amp;YEAR(R$5-365*$Q201))</f>
        <v>-</v>
      </c>
      <c r="S201" s="189" t="str">
        <f t="shared" si="586"/>
        <v>-</v>
      </c>
      <c r="T201" s="189" t="str">
        <f t="shared" si="586"/>
        <v>-</v>
      </c>
      <c r="U201" s="7"/>
      <c r="V201" s="7"/>
      <c r="W201" s="190" t="str">
        <f>IF(R201="-","-",VLOOKUP(R201,'CPI USA'!$T:$U,2,FALSE))</f>
        <v>-</v>
      </c>
      <c r="X201" s="190" t="str">
        <f>IF(S201="-","-",VLOOKUP(S201,'CPI USA'!$T:$U,2,FALSE))</f>
        <v>-</v>
      </c>
      <c r="Y201" s="190" t="str">
        <f>IF(T201="-","-",VLOOKUP(T201,'CPI USA'!$T:$U,2,FALSE))</f>
        <v>-</v>
      </c>
      <c r="Z201" s="7"/>
      <c r="AA201" s="7"/>
      <c r="AB201" s="190" t="str">
        <f>IF(R201="-","-",VLOOKUP(R201,'PPI USA'!$S:$T,2,FALSE))</f>
        <v>-</v>
      </c>
      <c r="AC201" s="190" t="str">
        <f>IF(S201="-","-",VLOOKUP(S201,'PPI USA'!$S:$T,2,FALSE))</f>
        <v>-</v>
      </c>
      <c r="AD201" s="190" t="str">
        <f>IF(T201="-","-",VLOOKUP(T201,'PPI USA'!$S:$T,2,FALSE))</f>
        <v>-</v>
      </c>
      <c r="AE201" s="7"/>
      <c r="AF201" s="7"/>
      <c r="AG201" s="190" t="str">
        <f t="shared" ref="AG201:AI201" si="587">IF(W201="-","-",(AT201*$B$2/W201+(1-AT201)*AVERAGE($B$2,$B$3)/AVERAGE(W201,AB201)))</f>
        <v>-</v>
      </c>
      <c r="AH201" s="190" t="str">
        <f t="shared" si="587"/>
        <v>-</v>
      </c>
      <c r="AI201" s="190" t="str">
        <f t="shared" si="587"/>
        <v>-</v>
      </c>
      <c r="AJ201" s="7"/>
      <c r="AK201" s="7"/>
      <c r="AL201" s="190" t="str">
        <f t="shared" ref="AL201:AN201" si="588">IF(W201="-","-",(AY201*$B$2/W201+(1-AY201)*AVERAGE($B$2,$B$3)/AVERAGE(W201,AB201)))</f>
        <v>-</v>
      </c>
      <c r="AM201" s="190" t="str">
        <f t="shared" si="588"/>
        <v>-</v>
      </c>
      <c r="AN201" s="190" t="str">
        <f t="shared" si="588"/>
        <v>-</v>
      </c>
      <c r="AO201" s="7"/>
      <c r="AP201" s="7"/>
      <c r="AQ201" s="7"/>
      <c r="AR201" s="7"/>
      <c r="AS201" s="7"/>
      <c r="AT201" s="242" t="str">
        <f>IF(R201="-","-",VLOOKUP(R201,'CPI USA'!$T:$V,3,FALSE))</f>
        <v>-</v>
      </c>
      <c r="AU201" s="242" t="str">
        <f>IF(S201="-","-",VLOOKUP(S201,'CPI USA'!$T:$V,3,FALSE))</f>
        <v>-</v>
      </c>
      <c r="AV201" s="242" t="str">
        <f>IF(T201="-","-",VLOOKUP(T201,'CPI USA'!$T:$V,3,FALSE))</f>
        <v>-</v>
      </c>
      <c r="AW201" s="7"/>
      <c r="AX201" s="7"/>
      <c r="AY201" s="242" t="str">
        <f>IF(R201="-","-",VLOOKUP(R201,'CPI USA'!$T:$X,5,FALSE))</f>
        <v>-</v>
      </c>
      <c r="AZ201" s="242" t="str">
        <f>IF(S201="-","-",VLOOKUP(S201,'CPI USA'!$T:$X,5,FALSE))</f>
        <v>-</v>
      </c>
      <c r="BA201" s="242" t="str">
        <f>IF(T201="-","-",VLOOKUP(T201,'CPI USA'!$T:$X,5,FALSE))</f>
        <v>-</v>
      </c>
      <c r="BB201" s="7"/>
    </row>
    <row r="202" spans="1:54" ht="15.75" customHeight="1">
      <c r="A202" s="185" t="s">
        <v>793</v>
      </c>
      <c r="B202" s="185" t="s">
        <v>794</v>
      </c>
      <c r="C202" s="239">
        <f>+'Empresas 21-23'!J197</f>
        <v>0</v>
      </c>
      <c r="D202" s="239">
        <f>VLOOKUP(A202,'FERC 2021'!$A$3:$BE$221,57,0)</f>
        <v>196787790</v>
      </c>
      <c r="E202" s="239">
        <f>VLOOKUP(A202,'FERC 2021'!$A$3:$BF$221,58,0)</f>
        <v>27246897</v>
      </c>
      <c r="F202" s="239">
        <f>VLOOKUP(A202,'FERC 2022'!$A$3:$BE$220,57,0)</f>
        <v>237309129</v>
      </c>
      <c r="G202" s="239">
        <f>VLOOKUP(A202,'FERC 2022'!$A$3:$BF$220,58,0)</f>
        <v>28343568</v>
      </c>
      <c r="H202" s="239">
        <f>VLOOKUP(A202,'FERC 2023'!$A$3:$BE$221,57,0)</f>
        <v>246725313</v>
      </c>
      <c r="I202" s="239">
        <f>VLOOKUP(A202,'FERC 2023'!$A$3:$BF$221,58,0)</f>
        <v>30395697</v>
      </c>
      <c r="J202" s="7"/>
      <c r="K202" s="7"/>
      <c r="L202" s="7"/>
      <c r="M202" s="187">
        <f t="shared" si="0"/>
        <v>7.2223927003504285</v>
      </c>
      <c r="N202" s="187">
        <f t="shared" si="1"/>
        <v>8.3725919404360098</v>
      </c>
      <c r="O202" s="187">
        <f t="shared" si="2"/>
        <v>8.1171131887516843</v>
      </c>
      <c r="P202" s="7"/>
      <c r="Q202" s="240">
        <f t="shared" si="3"/>
        <v>7.9040326098460412</v>
      </c>
      <c r="R202" s="189" t="str">
        <f t="shared" ref="R202:T202" si="589">IF(ISERROR(R$5-365*$Q202),"-",MONTH(R$5-365*$Q202)&amp;"_"&amp;YEAR(R$5-365*$Q202))</f>
        <v>2_2014</v>
      </c>
      <c r="S202" s="189" t="str">
        <f t="shared" si="589"/>
        <v>2_2015</v>
      </c>
      <c r="T202" s="189" t="str">
        <f t="shared" si="589"/>
        <v>2_2016</v>
      </c>
      <c r="U202" s="7"/>
      <c r="V202" s="7"/>
      <c r="W202" s="190">
        <f>IF(R202="-","-",VLOOKUP(R202,'CPI USA'!$T:$U,2,FALSE))</f>
        <v>234.78100000000001</v>
      </c>
      <c r="X202" s="190">
        <f>IF(S202="-","-",VLOOKUP(S202,'CPI USA'!$T:$U,2,FALSE))</f>
        <v>234.72200000000001</v>
      </c>
      <c r="Y202" s="190">
        <f>IF(T202="-","-",VLOOKUP(T202,'CPI USA'!$T:$U,2,FALSE))</f>
        <v>237.11099999999999</v>
      </c>
      <c r="Z202" s="7"/>
      <c r="AA202" s="7"/>
      <c r="AB202" s="190">
        <f>IF(R202="-","-",VLOOKUP(R202,'PPI USA'!$S:$T,2,FALSE))</f>
        <v>178.9</v>
      </c>
      <c r="AC202" s="190">
        <f>IF(S202="-","-",VLOOKUP(S202,'PPI USA'!$S:$T,2,FALSE))</f>
        <v>184.7</v>
      </c>
      <c r="AD202" s="190">
        <f>IF(T202="-","-",VLOOKUP(T202,'PPI USA'!$S:$T,2,FALSE))</f>
        <v>170.2</v>
      </c>
      <c r="AE202" s="7"/>
      <c r="AF202" s="7"/>
      <c r="AG202" s="190">
        <f t="shared" ref="AG202:AI202" si="590">IF(W202="-","-",(AT202*$B$2/W202+(1-AT202)*AVERAGE($B$2,$B$3)/AVERAGE(W202,AB202)))</f>
        <v>1.3592442498168091</v>
      </c>
      <c r="AH202" s="190">
        <f t="shared" si="590"/>
        <v>1.3530747060466299</v>
      </c>
      <c r="AI202" s="190">
        <f t="shared" si="590"/>
        <v>1.3573838687521431</v>
      </c>
      <c r="AJ202" s="7"/>
      <c r="AK202" s="7"/>
      <c r="AL202" s="190">
        <f t="shared" ref="AL202:AN202" si="591">IF(W202="-","-",(AY202*$B$2/W202+(1-AY202)*AVERAGE($B$2,$B$3)/AVERAGE(W202,AB202)))</f>
        <v>1.370161072621193</v>
      </c>
      <c r="AM202" s="190">
        <f t="shared" si="591"/>
        <v>1.36062907964979</v>
      </c>
      <c r="AN202" s="190">
        <f t="shared" si="591"/>
        <v>1.3742896617070706</v>
      </c>
      <c r="AO202" s="7"/>
      <c r="AP202" s="7"/>
      <c r="AQ202" s="7"/>
      <c r="AR202" s="7"/>
      <c r="AS202" s="7"/>
      <c r="AT202" s="242">
        <f>IF(R202="-","-",VLOOKUP(R202,'CPI USA'!$T:$V,3,FALSE))</f>
        <v>0.66756601812039096</v>
      </c>
      <c r="AU202" s="242">
        <f>IF(S202="-","-",VLOOKUP(S202,'CPI USA'!$T:$V,3,FALSE))</f>
        <v>0.6679408278919865</v>
      </c>
      <c r="AV202" s="242">
        <f>IF(T202="-","-",VLOOKUP(T202,'CPI USA'!$T:$V,3,FALSE))</f>
        <v>0.67131212484522451</v>
      </c>
      <c r="AW202" s="7"/>
      <c r="AX202" s="7"/>
      <c r="AY202" s="242">
        <f>IF(R202="-","-",VLOOKUP(R202,'CPI USA'!$T:$X,5,FALSE))</f>
        <v>0.49542529667095003</v>
      </c>
      <c r="AZ202" s="242">
        <f>IF(S202="-","-",VLOOKUP(S202,'CPI USA'!$T:$X,5,FALSE))</f>
        <v>0.49584761624008583</v>
      </c>
      <c r="BA202" s="242">
        <f>IF(T202="-","-",VLOOKUP(T202,'CPI USA'!$T:$X,5,FALSE))</f>
        <v>0.49965731919331663</v>
      </c>
      <c r="BB202" s="7"/>
    </row>
    <row r="203" spans="1:54" ht="15.75" customHeight="1">
      <c r="A203" s="185" t="s">
        <v>796</v>
      </c>
      <c r="B203" s="185" t="s">
        <v>797</v>
      </c>
      <c r="C203" s="243">
        <f>+'Empresas 21-23'!J198</f>
        <v>0</v>
      </c>
      <c r="D203" s="239">
        <f>VLOOKUP(A203,'FERC 2021'!$A$3:$BE$221,57,0)</f>
        <v>0</v>
      </c>
      <c r="E203" s="239">
        <f>VLOOKUP(A203,'FERC 2021'!$A$3:$BF$221,58,0)</f>
        <v>0</v>
      </c>
      <c r="F203" s="239">
        <f>VLOOKUP(A203,'FERC 2022'!$A$3:$BE$220,57,0)</f>
        <v>0</v>
      </c>
      <c r="G203" s="239">
        <f>VLOOKUP(A203,'FERC 2022'!$A$3:$BF$220,58,0)</f>
        <v>0</v>
      </c>
      <c r="H203" s="239">
        <f>VLOOKUP(A203,'FERC 2023'!$A$3:$BE$221,57,0)</f>
        <v>0</v>
      </c>
      <c r="I203" s="239">
        <f>VLOOKUP(A203,'FERC 2023'!$A$3:$BF$221,58,0)</f>
        <v>0</v>
      </c>
      <c r="J203" s="7"/>
      <c r="K203" s="7"/>
      <c r="L203" s="7"/>
      <c r="M203" s="187" t="str">
        <f t="shared" si="0"/>
        <v/>
      </c>
      <c r="N203" s="187" t="str">
        <f t="shared" si="1"/>
        <v/>
      </c>
      <c r="O203" s="187" t="str">
        <f t="shared" si="2"/>
        <v/>
      </c>
      <c r="P203" s="7"/>
      <c r="Q203" s="240" t="str">
        <f t="shared" si="3"/>
        <v>-</v>
      </c>
      <c r="R203" s="189" t="str">
        <f t="shared" ref="R203:T203" si="592">IF(ISERROR(R$5-365*$Q203),"-",MONTH(R$5-365*$Q203)&amp;"_"&amp;YEAR(R$5-365*$Q203))</f>
        <v>-</v>
      </c>
      <c r="S203" s="189" t="str">
        <f t="shared" si="592"/>
        <v>-</v>
      </c>
      <c r="T203" s="189" t="str">
        <f t="shared" si="592"/>
        <v>-</v>
      </c>
      <c r="U203" s="7"/>
      <c r="V203" s="7"/>
      <c r="W203" s="190" t="str">
        <f>IF(R203="-","-",VLOOKUP(R203,'CPI USA'!$T:$U,2,FALSE))</f>
        <v>-</v>
      </c>
      <c r="X203" s="190" t="str">
        <f>IF(S203="-","-",VLOOKUP(S203,'CPI USA'!$T:$U,2,FALSE))</f>
        <v>-</v>
      </c>
      <c r="Y203" s="190" t="str">
        <f>IF(T203="-","-",VLOOKUP(T203,'CPI USA'!$T:$U,2,FALSE))</f>
        <v>-</v>
      </c>
      <c r="Z203" s="7"/>
      <c r="AA203" s="7"/>
      <c r="AB203" s="190" t="str">
        <f>IF(R203="-","-",VLOOKUP(R203,'PPI USA'!$S:$T,2,FALSE))</f>
        <v>-</v>
      </c>
      <c r="AC203" s="190" t="str">
        <f>IF(S203="-","-",VLOOKUP(S203,'PPI USA'!$S:$T,2,FALSE))</f>
        <v>-</v>
      </c>
      <c r="AD203" s="190" t="str">
        <f>IF(T203="-","-",VLOOKUP(T203,'PPI USA'!$S:$T,2,FALSE))</f>
        <v>-</v>
      </c>
      <c r="AE203" s="7"/>
      <c r="AF203" s="7"/>
      <c r="AG203" s="190" t="str">
        <f t="shared" ref="AG203:AI203" si="593">IF(W203="-","-",(AT203*$B$2/W203+(1-AT203)*AVERAGE($B$2,$B$3)/AVERAGE(W203,AB203)))</f>
        <v>-</v>
      </c>
      <c r="AH203" s="190" t="str">
        <f t="shared" si="593"/>
        <v>-</v>
      </c>
      <c r="AI203" s="190" t="str">
        <f t="shared" si="593"/>
        <v>-</v>
      </c>
      <c r="AJ203" s="7"/>
      <c r="AK203" s="7"/>
      <c r="AL203" s="190" t="str">
        <f t="shared" ref="AL203:AN203" si="594">IF(W203="-","-",(AY203*$B$2/W203+(1-AY203)*AVERAGE($B$2,$B$3)/AVERAGE(W203,AB203)))</f>
        <v>-</v>
      </c>
      <c r="AM203" s="190" t="str">
        <f t="shared" si="594"/>
        <v>-</v>
      </c>
      <c r="AN203" s="190" t="str">
        <f t="shared" si="594"/>
        <v>-</v>
      </c>
      <c r="AO203" s="7"/>
      <c r="AP203" s="7"/>
      <c r="AQ203" s="7"/>
      <c r="AR203" s="7"/>
      <c r="AS203" s="7"/>
      <c r="AT203" s="242" t="str">
        <f>IF(R203="-","-",VLOOKUP(R203,'CPI USA'!$T:$V,3,FALSE))</f>
        <v>-</v>
      </c>
      <c r="AU203" s="242" t="str">
        <f>IF(S203="-","-",VLOOKUP(S203,'CPI USA'!$T:$V,3,FALSE))</f>
        <v>-</v>
      </c>
      <c r="AV203" s="242" t="str">
        <f>IF(T203="-","-",VLOOKUP(T203,'CPI USA'!$T:$V,3,FALSE))</f>
        <v>-</v>
      </c>
      <c r="AW203" s="7"/>
      <c r="AX203" s="7"/>
      <c r="AY203" s="242" t="str">
        <f>IF(R203="-","-",VLOOKUP(R203,'CPI USA'!$T:$X,5,FALSE))</f>
        <v>-</v>
      </c>
      <c r="AZ203" s="242" t="str">
        <f>IF(S203="-","-",VLOOKUP(S203,'CPI USA'!$T:$X,5,FALSE))</f>
        <v>-</v>
      </c>
      <c r="BA203" s="242" t="str">
        <f>IF(T203="-","-",VLOOKUP(T203,'CPI USA'!$T:$X,5,FALSE))</f>
        <v>-</v>
      </c>
      <c r="BB203" s="7"/>
    </row>
    <row r="204" spans="1:54" ht="15.75" customHeight="1">
      <c r="A204" s="185" t="s">
        <v>799</v>
      </c>
      <c r="B204" s="185" t="s">
        <v>800</v>
      </c>
      <c r="C204" s="243">
        <f>+'Empresas 21-23'!J199</f>
        <v>0</v>
      </c>
      <c r="D204" s="239">
        <f>VLOOKUP(A204,'FERC 2021'!$A$3:$BE$221,57,0)</f>
        <v>0</v>
      </c>
      <c r="E204" s="239">
        <f>VLOOKUP(A204,'FERC 2021'!$A$3:$BF$221,58,0)</f>
        <v>0</v>
      </c>
      <c r="F204" s="239">
        <f>VLOOKUP(A204,'FERC 2022'!$A$3:$BE$220,57,0)</f>
        <v>0</v>
      </c>
      <c r="G204" s="239">
        <f>VLOOKUP(A204,'FERC 2022'!$A$3:$BF$220,58,0)</f>
        <v>0</v>
      </c>
      <c r="H204" s="239">
        <f>VLOOKUP(A204,'FERC 2023'!$A$3:$BE$221,57,0)</f>
        <v>0</v>
      </c>
      <c r="I204" s="239">
        <f>VLOOKUP(A204,'FERC 2023'!$A$3:$BF$221,58,0)</f>
        <v>0</v>
      </c>
      <c r="J204" s="7"/>
      <c r="K204" s="7"/>
      <c r="L204" s="7"/>
      <c r="M204" s="187" t="str">
        <f t="shared" si="0"/>
        <v/>
      </c>
      <c r="N204" s="187" t="str">
        <f t="shared" si="1"/>
        <v/>
      </c>
      <c r="O204" s="187" t="str">
        <f t="shared" si="2"/>
        <v/>
      </c>
      <c r="P204" s="7"/>
      <c r="Q204" s="240" t="str">
        <f t="shared" si="3"/>
        <v>-</v>
      </c>
      <c r="R204" s="189" t="str">
        <f t="shared" ref="R204:T204" si="595">IF(ISERROR(R$5-365*$Q204),"-",MONTH(R$5-365*$Q204)&amp;"_"&amp;YEAR(R$5-365*$Q204))</f>
        <v>-</v>
      </c>
      <c r="S204" s="189" t="str">
        <f t="shared" si="595"/>
        <v>-</v>
      </c>
      <c r="T204" s="189" t="str">
        <f t="shared" si="595"/>
        <v>-</v>
      </c>
      <c r="U204" s="7"/>
      <c r="V204" s="7"/>
      <c r="W204" s="190" t="str">
        <f>IF(R204="-","-",VLOOKUP(R204,'CPI USA'!$T:$U,2,FALSE))</f>
        <v>-</v>
      </c>
      <c r="X204" s="190" t="str">
        <f>IF(S204="-","-",VLOOKUP(S204,'CPI USA'!$T:$U,2,FALSE))</f>
        <v>-</v>
      </c>
      <c r="Y204" s="190" t="str">
        <f>IF(T204="-","-",VLOOKUP(T204,'CPI USA'!$T:$U,2,FALSE))</f>
        <v>-</v>
      </c>
      <c r="Z204" s="7"/>
      <c r="AA204" s="7"/>
      <c r="AB204" s="190" t="str">
        <f>IF(R204="-","-",VLOOKUP(R204,'PPI USA'!$S:$T,2,FALSE))</f>
        <v>-</v>
      </c>
      <c r="AC204" s="190" t="str">
        <f>IF(S204="-","-",VLOOKUP(S204,'PPI USA'!$S:$T,2,FALSE))</f>
        <v>-</v>
      </c>
      <c r="AD204" s="190" t="str">
        <f>IF(T204="-","-",VLOOKUP(T204,'PPI USA'!$S:$T,2,FALSE))</f>
        <v>-</v>
      </c>
      <c r="AE204" s="7"/>
      <c r="AF204" s="7"/>
      <c r="AG204" s="190" t="str">
        <f t="shared" ref="AG204:AI204" si="596">IF(W204="-","-",(AT204*$B$2/W204+(1-AT204)*AVERAGE($B$2,$B$3)/AVERAGE(W204,AB204)))</f>
        <v>-</v>
      </c>
      <c r="AH204" s="190" t="str">
        <f t="shared" si="596"/>
        <v>-</v>
      </c>
      <c r="AI204" s="190" t="str">
        <f t="shared" si="596"/>
        <v>-</v>
      </c>
      <c r="AJ204" s="7"/>
      <c r="AK204" s="7"/>
      <c r="AL204" s="190" t="str">
        <f t="shared" ref="AL204:AN204" si="597">IF(W204="-","-",(AY204*$B$2/W204+(1-AY204)*AVERAGE($B$2,$B$3)/AVERAGE(W204,AB204)))</f>
        <v>-</v>
      </c>
      <c r="AM204" s="190" t="str">
        <f t="shared" si="597"/>
        <v>-</v>
      </c>
      <c r="AN204" s="190" t="str">
        <f t="shared" si="597"/>
        <v>-</v>
      </c>
      <c r="AO204" s="7"/>
      <c r="AP204" s="7"/>
      <c r="AQ204" s="7"/>
      <c r="AR204" s="7"/>
      <c r="AS204" s="7"/>
      <c r="AT204" s="242" t="str">
        <f>IF(R204="-","-",VLOOKUP(R204,'CPI USA'!$T:$V,3,FALSE))</f>
        <v>-</v>
      </c>
      <c r="AU204" s="242" t="str">
        <f>IF(S204="-","-",VLOOKUP(S204,'CPI USA'!$T:$V,3,FALSE))</f>
        <v>-</v>
      </c>
      <c r="AV204" s="242" t="str">
        <f>IF(T204="-","-",VLOOKUP(T204,'CPI USA'!$T:$V,3,FALSE))</f>
        <v>-</v>
      </c>
      <c r="AW204" s="7"/>
      <c r="AX204" s="7"/>
      <c r="AY204" s="242" t="str">
        <f>IF(R204="-","-",VLOOKUP(R204,'CPI USA'!$T:$X,5,FALSE))</f>
        <v>-</v>
      </c>
      <c r="AZ204" s="242" t="str">
        <f>IF(S204="-","-",VLOOKUP(S204,'CPI USA'!$T:$X,5,FALSE))</f>
        <v>-</v>
      </c>
      <c r="BA204" s="242" t="str">
        <f>IF(T204="-","-",VLOOKUP(T204,'CPI USA'!$T:$X,5,FALSE))</f>
        <v>-</v>
      </c>
      <c r="BB204" s="7"/>
    </row>
    <row r="205" spans="1:54" ht="15.75" customHeight="1">
      <c r="A205" s="185" t="s">
        <v>802</v>
      </c>
      <c r="B205" s="185" t="s">
        <v>803</v>
      </c>
      <c r="C205" s="239">
        <f>+'Empresas 21-23'!J200</f>
        <v>0</v>
      </c>
      <c r="D205" s="239">
        <f>VLOOKUP(A205,'FERC 2021'!$A$3:$BE$221,57,0)</f>
        <v>1226085689</v>
      </c>
      <c r="E205" s="239">
        <f>VLOOKUP(A205,'FERC 2021'!$A$3:$BF$221,58,0)</f>
        <v>106271153</v>
      </c>
      <c r="F205" s="239">
        <f>VLOOKUP(A205,'FERC 2022'!$A$3:$BE$220,57,0)</f>
        <v>1264897271</v>
      </c>
      <c r="G205" s="239">
        <f>VLOOKUP(A205,'FERC 2022'!$A$3:$BF$220,58,0)</f>
        <v>113935219</v>
      </c>
      <c r="H205" s="239">
        <f>VLOOKUP(A205,'FERC 2023'!$A$3:$BE$221,57,0)</f>
        <v>1278511276</v>
      </c>
      <c r="I205" s="239">
        <f>VLOOKUP(A205,'FERC 2023'!$A$3:$BF$221,58,0)</f>
        <v>124778201</v>
      </c>
      <c r="J205" s="7"/>
      <c r="K205" s="7"/>
      <c r="L205" s="7"/>
      <c r="M205" s="187">
        <f t="shared" si="0"/>
        <v>11.537333080408001</v>
      </c>
      <c r="N205" s="187">
        <f t="shared" si="1"/>
        <v>11.101898799176398</v>
      </c>
      <c r="O205" s="187">
        <f t="shared" si="2"/>
        <v>10.246271109486504</v>
      </c>
      <c r="P205" s="7"/>
      <c r="Q205" s="240">
        <f t="shared" si="3"/>
        <v>10.9618343296903</v>
      </c>
      <c r="R205" s="189" t="str">
        <f t="shared" ref="R205:T205" si="598">IF(ISERROR(R$5-365*$Q205),"-",MONTH(R$5-365*$Q205)&amp;"_"&amp;YEAR(R$5-365*$Q205))</f>
        <v>1_2011</v>
      </c>
      <c r="S205" s="189" t="str">
        <f t="shared" si="598"/>
        <v>1_2012</v>
      </c>
      <c r="T205" s="189" t="str">
        <f t="shared" si="598"/>
        <v>1_2013</v>
      </c>
      <c r="U205" s="7"/>
      <c r="V205" s="7"/>
      <c r="W205" s="190">
        <f>IF(R205="-","-",VLOOKUP(R205,'CPI USA'!$T:$U,2,FALSE))</f>
        <v>224.93899999999999</v>
      </c>
      <c r="X205" s="190">
        <f>IF(S205="-","-",VLOOKUP(S205,'CPI USA'!$T:$U,2,FALSE))</f>
        <v>229.59399999999999</v>
      </c>
      <c r="Y205" s="190">
        <f>IF(T205="-","-",VLOOKUP(T205,'CPI USA'!$T:$U,2,FALSE))</f>
        <v>230.28</v>
      </c>
      <c r="Z205" s="7"/>
      <c r="AA205" s="7"/>
      <c r="AB205" s="190">
        <f>IF(R205="-","-",VLOOKUP(R205,'PPI USA'!$S:$T,2,FALSE))</f>
        <v>169.6</v>
      </c>
      <c r="AC205" s="190">
        <f>IF(S205="-","-",VLOOKUP(S205,'PPI USA'!$S:$T,2,FALSE))</f>
        <v>175.1</v>
      </c>
      <c r="AD205" s="190">
        <f>IF(T205="-","-",VLOOKUP(T205,'PPI USA'!$S:$T,2,FALSE))</f>
        <v>166.2</v>
      </c>
      <c r="AE205" s="7"/>
      <c r="AF205" s="7"/>
      <c r="AG205" s="190">
        <f t="shared" ref="AG205:AI205" si="599">IF(W205="-","-",(AT205*$B$2/W205+(1-AT205)*AVERAGE($B$2,$B$3)/AVERAGE(W205,AB205)))</f>
        <v>1.4208751760332547</v>
      </c>
      <c r="AH205" s="190">
        <f t="shared" si="599"/>
        <v>1.3897894616766442</v>
      </c>
      <c r="AI205" s="190">
        <f t="shared" si="599"/>
        <v>1.3963809315743387</v>
      </c>
      <c r="AJ205" s="7"/>
      <c r="AK205" s="7"/>
      <c r="AL205" s="190">
        <f t="shared" ref="AL205:AN205" si="600">IF(W205="-","-",(AY205*$B$2/W205+(1-AY205)*AVERAGE($B$2,$B$3)/AVERAGE(W205,AB205)))</f>
        <v>1.4334111417560953</v>
      </c>
      <c r="AM205" s="190">
        <f t="shared" si="600"/>
        <v>1.4008620811189902</v>
      </c>
      <c r="AN205" s="190">
        <f t="shared" si="600"/>
        <v>1.4131920249632246</v>
      </c>
      <c r="AO205" s="7"/>
      <c r="AP205" s="7"/>
      <c r="AQ205" s="7"/>
      <c r="AR205" s="7"/>
      <c r="AS205" s="7"/>
      <c r="AT205" s="242">
        <f>IF(R205="-","-",VLOOKUP(R205,'CPI USA'!$T:$V,3,FALSE))</f>
        <v>0.6684022975047168</v>
      </c>
      <c r="AU205" s="242">
        <f>IF(S205="-","-",VLOOKUP(S205,'CPI USA'!$T:$V,3,FALSE))</f>
        <v>0.66730871354337351</v>
      </c>
      <c r="AV205" s="242">
        <f>IF(T205="-","-",VLOOKUP(T205,'CPI USA'!$T:$V,3,FALSE))</f>
        <v>0.67305131835944076</v>
      </c>
      <c r="AW205" s="7"/>
      <c r="AX205" s="7"/>
      <c r="AY205" s="242">
        <f>IF(R205="-","-",VLOOKUP(R205,'CPI USA'!$T:$X,5,FALSE))</f>
        <v>0.49636791791307899</v>
      </c>
      <c r="AZ205" s="242">
        <f>IF(S205="-","-",VLOOKUP(S205,'CPI USA'!$T:$X,5,FALSE))</f>
        <v>0.49513551903851311</v>
      </c>
      <c r="BA205" s="242">
        <f>IF(T205="-","-",VLOOKUP(T205,'CPI USA'!$T:$X,5,FALSE))</f>
        <v>0.50163050295255052</v>
      </c>
      <c r="BB205" s="7"/>
    </row>
    <row r="206" spans="1:54" ht="15.75" customHeight="1">
      <c r="A206" s="185" t="s">
        <v>805</v>
      </c>
      <c r="B206" s="185" t="s">
        <v>806</v>
      </c>
      <c r="C206" s="239">
        <f>+'Empresas 21-23'!J201</f>
        <v>0</v>
      </c>
      <c r="D206" s="239">
        <f>VLOOKUP(A206,'FERC 2021'!$A$3:$BE$221,57,0)</f>
        <v>533623234</v>
      </c>
      <c r="E206" s="239">
        <f>VLOOKUP(A206,'FERC 2021'!$A$3:$BF$221,58,0)</f>
        <v>83524388</v>
      </c>
      <c r="F206" s="239">
        <f>VLOOKUP(A206,'FERC 2022'!$A$3:$BE$220,57,0)</f>
        <v>562096891</v>
      </c>
      <c r="G206" s="239">
        <f>VLOOKUP(A206,'FERC 2022'!$A$3:$BF$220,58,0)</f>
        <v>92602281</v>
      </c>
      <c r="H206" s="239">
        <f>VLOOKUP(A206,'FERC 2023'!$A$3:$BE$221,57,0)</f>
        <v>593792647</v>
      </c>
      <c r="I206" s="239">
        <f>VLOOKUP(A206,'FERC 2023'!$A$3:$BF$221,58,0)</f>
        <v>100916026</v>
      </c>
      <c r="J206" s="7"/>
      <c r="K206" s="7"/>
      <c r="L206" s="7"/>
      <c r="M206" s="187">
        <f t="shared" si="0"/>
        <v>6.388831415322672</v>
      </c>
      <c r="N206" s="187">
        <f t="shared" si="1"/>
        <v>6.0700112883828421</v>
      </c>
      <c r="O206" s="187">
        <f t="shared" si="2"/>
        <v>5.8840272505379865</v>
      </c>
      <c r="P206" s="7"/>
      <c r="Q206" s="240">
        <f t="shared" si="3"/>
        <v>6.1142899847478338</v>
      </c>
      <c r="R206" s="189" t="str">
        <f t="shared" ref="R206:T206" si="601">IF(ISERROR(R$5-365*$Q206),"-",MONTH(R$5-365*$Q206)&amp;"_"&amp;YEAR(R$5-365*$Q206))</f>
        <v>11_2015</v>
      </c>
      <c r="S206" s="189" t="str">
        <f t="shared" si="601"/>
        <v>11_2016</v>
      </c>
      <c r="T206" s="189" t="str">
        <f t="shared" si="601"/>
        <v>11_2017</v>
      </c>
      <c r="U206" s="7"/>
      <c r="V206" s="7"/>
      <c r="W206" s="190">
        <f>IF(R206="-","-",VLOOKUP(R206,'CPI USA'!$T:$U,2,FALSE))</f>
        <v>237.33600000000001</v>
      </c>
      <c r="X206" s="190">
        <f>IF(S206="-","-",VLOOKUP(S206,'CPI USA'!$T:$U,2,FALSE))</f>
        <v>241.35300000000001</v>
      </c>
      <c r="Y206" s="190">
        <f>IF(T206="-","-",VLOOKUP(T206,'CPI USA'!$T:$U,2,FALSE))</f>
        <v>246.66900000000001</v>
      </c>
      <c r="Z206" s="7"/>
      <c r="AA206" s="7"/>
      <c r="AB206" s="190">
        <f>IF(R206="-","-",VLOOKUP(R206,'PPI USA'!$S:$T,2,FALSE))</f>
        <v>178.1</v>
      </c>
      <c r="AC206" s="190">
        <f>IF(S206="-","-",VLOOKUP(S206,'PPI USA'!$S:$T,2,FALSE))</f>
        <v>176.2</v>
      </c>
      <c r="AD206" s="190">
        <f>IF(T206="-","-",VLOOKUP(T206,'PPI USA'!$S:$T,2,FALSE))</f>
        <v>197.9</v>
      </c>
      <c r="AE206" s="7"/>
      <c r="AF206" s="7"/>
      <c r="AG206" s="190">
        <f t="shared" ref="AG206:AI206" si="602">IF(W206="-","-",(AT206*$B$2/W206+(1-AT206)*AVERAGE($B$2,$B$3)/AVERAGE(W206,AB206)))</f>
        <v>1.3476321862014886</v>
      </c>
      <c r="AH206" s="190">
        <f t="shared" si="602"/>
        <v>1.3302735228561504</v>
      </c>
      <c r="AI206" s="190">
        <f t="shared" si="602"/>
        <v>1.283988161852629</v>
      </c>
      <c r="AJ206" s="7"/>
      <c r="AK206" s="7"/>
      <c r="AL206" s="190">
        <f t="shared" ref="AL206:AN206" si="603">IF(W206="-","-",(AY206*$B$2/W206+(1-AY206)*AVERAGE($B$2,$B$3)/AVERAGE(W206,AB206)))</f>
        <v>1.3600061742354885</v>
      </c>
      <c r="AM206" s="190">
        <f t="shared" si="603"/>
        <v>1.3451832834065991</v>
      </c>
      <c r="AN206" s="190">
        <f t="shared" si="603"/>
        <v>1.2892641021366456</v>
      </c>
      <c r="AO206" s="7"/>
      <c r="AP206" s="7"/>
      <c r="AQ206" s="7"/>
      <c r="AR206" s="7"/>
      <c r="AS206" s="7"/>
      <c r="AT206" s="242">
        <f>IF(R206="-","-",VLOOKUP(R206,'CPI USA'!$T:$V,3,FALSE))</f>
        <v>0.6679408278919865</v>
      </c>
      <c r="AU206" s="242">
        <f>IF(S206="-","-",VLOOKUP(S206,'CPI USA'!$T:$V,3,FALSE))</f>
        <v>0.67131212484522451</v>
      </c>
      <c r="AV206" s="242">
        <f>IF(T206="-","-",VLOOKUP(T206,'CPI USA'!$T:$V,3,FALSE))</f>
        <v>0.66204311420409623</v>
      </c>
      <c r="AW206" s="7"/>
      <c r="AX206" s="7"/>
      <c r="AY206" s="242">
        <f>IF(R206="-","-",VLOOKUP(R206,'CPI USA'!$T:$X,5,FALSE))</f>
        <v>0.49584761624008583</v>
      </c>
      <c r="AZ206" s="242">
        <f>IF(S206="-","-",VLOOKUP(S206,'CPI USA'!$T:$X,5,FALSE))</f>
        <v>0.49965731919331663</v>
      </c>
      <c r="BA206" s="242">
        <f>IF(T206="-","-",VLOOKUP(T206,'CPI USA'!$T:$X,5,FALSE))</f>
        <v>0.48923067262022524</v>
      </c>
      <c r="BB206" s="7"/>
    </row>
    <row r="207" spans="1:54" ht="15.75" customHeight="1">
      <c r="A207" s="185" t="s">
        <v>808</v>
      </c>
      <c r="B207" s="185" t="s">
        <v>809</v>
      </c>
      <c r="C207" s="243">
        <f>+'Empresas 21-23'!J202</f>
        <v>0</v>
      </c>
      <c r="D207" s="239">
        <f>VLOOKUP(A207,'FERC 2021'!$A$3:$BE$221,57,0)</f>
        <v>0</v>
      </c>
      <c r="E207" s="239">
        <f>VLOOKUP(A207,'FERC 2021'!$A$3:$BF$221,58,0)</f>
        <v>0</v>
      </c>
      <c r="F207" s="239">
        <f>VLOOKUP(A207,'FERC 2022'!$A$3:$BE$220,57,0)</f>
        <v>0</v>
      </c>
      <c r="G207" s="239">
        <f>VLOOKUP(A207,'FERC 2022'!$A$3:$BF$220,58,0)</f>
        <v>0</v>
      </c>
      <c r="H207" s="239">
        <f>VLOOKUP(A207,'FERC 2023'!$A$3:$BE$221,57,0)</f>
        <v>0</v>
      </c>
      <c r="I207" s="239">
        <f>VLOOKUP(A207,'FERC 2023'!$A$3:$BF$221,58,0)</f>
        <v>0</v>
      </c>
      <c r="J207" s="7"/>
      <c r="K207" s="7"/>
      <c r="L207" s="7"/>
      <c r="M207" s="187" t="str">
        <f t="shared" si="0"/>
        <v/>
      </c>
      <c r="N207" s="187" t="str">
        <f t="shared" si="1"/>
        <v/>
      </c>
      <c r="O207" s="187" t="str">
        <f t="shared" si="2"/>
        <v/>
      </c>
      <c r="P207" s="7"/>
      <c r="Q207" s="240" t="str">
        <f t="shared" si="3"/>
        <v>-</v>
      </c>
      <c r="R207" s="189" t="str">
        <f t="shared" ref="R207:T207" si="604">IF(ISERROR(R$5-365*$Q207),"-",MONTH(R$5-365*$Q207)&amp;"_"&amp;YEAR(R$5-365*$Q207))</f>
        <v>-</v>
      </c>
      <c r="S207" s="189" t="str">
        <f t="shared" si="604"/>
        <v>-</v>
      </c>
      <c r="T207" s="189" t="str">
        <f t="shared" si="604"/>
        <v>-</v>
      </c>
      <c r="U207" s="7"/>
      <c r="V207" s="7"/>
      <c r="W207" s="190" t="str">
        <f>IF(R207="-","-",VLOOKUP(R207,'CPI USA'!$T:$U,2,FALSE))</f>
        <v>-</v>
      </c>
      <c r="X207" s="190" t="str">
        <f>IF(S207="-","-",VLOOKUP(S207,'CPI USA'!$T:$U,2,FALSE))</f>
        <v>-</v>
      </c>
      <c r="Y207" s="190" t="str">
        <f>IF(T207="-","-",VLOOKUP(T207,'CPI USA'!$T:$U,2,FALSE))</f>
        <v>-</v>
      </c>
      <c r="Z207" s="7"/>
      <c r="AA207" s="7"/>
      <c r="AB207" s="190" t="str">
        <f>IF(R207="-","-",VLOOKUP(R207,'PPI USA'!$S:$T,2,FALSE))</f>
        <v>-</v>
      </c>
      <c r="AC207" s="190" t="str">
        <f>IF(S207="-","-",VLOOKUP(S207,'PPI USA'!$S:$T,2,FALSE))</f>
        <v>-</v>
      </c>
      <c r="AD207" s="190" t="str">
        <f>IF(T207="-","-",VLOOKUP(T207,'PPI USA'!$S:$T,2,FALSE))</f>
        <v>-</v>
      </c>
      <c r="AE207" s="7"/>
      <c r="AF207" s="7"/>
      <c r="AG207" s="190" t="str">
        <f t="shared" ref="AG207:AI207" si="605">IF(W207="-","-",(AT207*$B$2/W207+(1-AT207)*AVERAGE($B$2,$B$3)/AVERAGE(W207,AB207)))</f>
        <v>-</v>
      </c>
      <c r="AH207" s="190" t="str">
        <f t="shared" si="605"/>
        <v>-</v>
      </c>
      <c r="AI207" s="190" t="str">
        <f t="shared" si="605"/>
        <v>-</v>
      </c>
      <c r="AJ207" s="7"/>
      <c r="AK207" s="7"/>
      <c r="AL207" s="190" t="str">
        <f t="shared" ref="AL207:AN207" si="606">IF(W207="-","-",(AY207*$B$2/W207+(1-AY207)*AVERAGE($B$2,$B$3)/AVERAGE(W207,AB207)))</f>
        <v>-</v>
      </c>
      <c r="AM207" s="190" t="str">
        <f t="shared" si="606"/>
        <v>-</v>
      </c>
      <c r="AN207" s="190" t="str">
        <f t="shared" si="606"/>
        <v>-</v>
      </c>
      <c r="AO207" s="7"/>
      <c r="AP207" s="7"/>
      <c r="AQ207" s="7"/>
      <c r="AR207" s="7"/>
      <c r="AS207" s="7"/>
      <c r="AT207" s="242" t="str">
        <f>IF(R207="-","-",VLOOKUP(R207,'CPI USA'!$T:$V,3,FALSE))</f>
        <v>-</v>
      </c>
      <c r="AU207" s="242" t="str">
        <f>IF(S207="-","-",VLOOKUP(S207,'CPI USA'!$T:$V,3,FALSE))</f>
        <v>-</v>
      </c>
      <c r="AV207" s="242" t="str">
        <f>IF(T207="-","-",VLOOKUP(T207,'CPI USA'!$T:$V,3,FALSE))</f>
        <v>-</v>
      </c>
      <c r="AW207" s="7"/>
      <c r="AX207" s="7"/>
      <c r="AY207" s="242" t="str">
        <f>IF(R207="-","-",VLOOKUP(R207,'CPI USA'!$T:$X,5,FALSE))</f>
        <v>-</v>
      </c>
      <c r="AZ207" s="242" t="str">
        <f>IF(S207="-","-",VLOOKUP(S207,'CPI USA'!$T:$X,5,FALSE))</f>
        <v>-</v>
      </c>
      <c r="BA207" s="242" t="str">
        <f>IF(T207="-","-",VLOOKUP(T207,'CPI USA'!$T:$X,5,FALSE))</f>
        <v>-</v>
      </c>
      <c r="BB207" s="7"/>
    </row>
    <row r="208" spans="1:54" ht="15.75" customHeight="1">
      <c r="A208" s="185" t="s">
        <v>811</v>
      </c>
      <c r="B208" s="185" t="s">
        <v>812</v>
      </c>
      <c r="C208" s="243">
        <f>+'Empresas 21-23'!J203</f>
        <v>0</v>
      </c>
      <c r="D208" s="239">
        <f>VLOOKUP(A208,'FERC 2021'!$A$3:$BE$221,57,0)</f>
        <v>0</v>
      </c>
      <c r="E208" s="239">
        <f>VLOOKUP(A208,'FERC 2021'!$A$3:$BF$221,58,0)</f>
        <v>0</v>
      </c>
      <c r="F208" s="239">
        <f>VLOOKUP(A208,'FERC 2022'!$A$3:$BE$220,57,0)</f>
        <v>0</v>
      </c>
      <c r="G208" s="239">
        <f>VLOOKUP(A208,'FERC 2022'!$A$3:$BF$220,58,0)</f>
        <v>0</v>
      </c>
      <c r="H208" s="239">
        <f>VLOOKUP(A208,'FERC 2023'!$A$3:$BE$221,57,0)</f>
        <v>0</v>
      </c>
      <c r="I208" s="239">
        <f>VLOOKUP(A208,'FERC 2023'!$A$3:$BF$221,58,0)</f>
        <v>0</v>
      </c>
      <c r="J208" s="7"/>
      <c r="K208" s="7"/>
      <c r="L208" s="7"/>
      <c r="M208" s="187" t="str">
        <f t="shared" si="0"/>
        <v/>
      </c>
      <c r="N208" s="187" t="str">
        <f t="shared" si="1"/>
        <v/>
      </c>
      <c r="O208" s="187" t="str">
        <f t="shared" si="2"/>
        <v/>
      </c>
      <c r="P208" s="7"/>
      <c r="Q208" s="240" t="str">
        <f t="shared" si="3"/>
        <v>-</v>
      </c>
      <c r="R208" s="189" t="str">
        <f t="shared" ref="R208:T208" si="607">IF(ISERROR(R$5-365*$Q208),"-",MONTH(R$5-365*$Q208)&amp;"_"&amp;YEAR(R$5-365*$Q208))</f>
        <v>-</v>
      </c>
      <c r="S208" s="189" t="str">
        <f t="shared" si="607"/>
        <v>-</v>
      </c>
      <c r="T208" s="189" t="str">
        <f t="shared" si="607"/>
        <v>-</v>
      </c>
      <c r="U208" s="7"/>
      <c r="V208" s="7"/>
      <c r="W208" s="190" t="str">
        <f>IF(R208="-","-",VLOOKUP(R208,'CPI USA'!$T:$U,2,FALSE))</f>
        <v>-</v>
      </c>
      <c r="X208" s="190" t="str">
        <f>IF(S208="-","-",VLOOKUP(S208,'CPI USA'!$T:$U,2,FALSE))</f>
        <v>-</v>
      </c>
      <c r="Y208" s="190" t="str">
        <f>IF(T208="-","-",VLOOKUP(T208,'CPI USA'!$T:$U,2,FALSE))</f>
        <v>-</v>
      </c>
      <c r="Z208" s="7"/>
      <c r="AA208" s="7"/>
      <c r="AB208" s="190" t="str">
        <f>IF(R208="-","-",VLOOKUP(R208,'PPI USA'!$S:$T,2,FALSE))</f>
        <v>-</v>
      </c>
      <c r="AC208" s="190" t="str">
        <f>IF(S208="-","-",VLOOKUP(S208,'PPI USA'!$S:$T,2,FALSE))</f>
        <v>-</v>
      </c>
      <c r="AD208" s="190" t="str">
        <f>IF(T208="-","-",VLOOKUP(T208,'PPI USA'!$S:$T,2,FALSE))</f>
        <v>-</v>
      </c>
      <c r="AE208" s="7"/>
      <c r="AF208" s="7"/>
      <c r="AG208" s="190" t="str">
        <f t="shared" ref="AG208:AI208" si="608">IF(W208="-","-",(AT208*$B$2/W208+(1-AT208)*AVERAGE($B$2,$B$3)/AVERAGE(W208,AB208)))</f>
        <v>-</v>
      </c>
      <c r="AH208" s="190" t="str">
        <f t="shared" si="608"/>
        <v>-</v>
      </c>
      <c r="AI208" s="190" t="str">
        <f t="shared" si="608"/>
        <v>-</v>
      </c>
      <c r="AJ208" s="7"/>
      <c r="AK208" s="7"/>
      <c r="AL208" s="190" t="str">
        <f t="shared" ref="AL208:AN208" si="609">IF(W208="-","-",(AY208*$B$2/W208+(1-AY208)*AVERAGE($B$2,$B$3)/AVERAGE(W208,AB208)))</f>
        <v>-</v>
      </c>
      <c r="AM208" s="190" t="str">
        <f t="shared" si="609"/>
        <v>-</v>
      </c>
      <c r="AN208" s="190" t="str">
        <f t="shared" si="609"/>
        <v>-</v>
      </c>
      <c r="AO208" s="7"/>
      <c r="AP208" s="7"/>
      <c r="AQ208" s="7"/>
      <c r="AR208" s="7"/>
      <c r="AS208" s="7"/>
      <c r="AT208" s="242" t="str">
        <f>IF(R208="-","-",VLOOKUP(R208,'CPI USA'!$T:$V,3,FALSE))</f>
        <v>-</v>
      </c>
      <c r="AU208" s="242" t="str">
        <f>IF(S208="-","-",VLOOKUP(S208,'CPI USA'!$T:$V,3,FALSE))</f>
        <v>-</v>
      </c>
      <c r="AV208" s="242" t="str">
        <f>IF(T208="-","-",VLOOKUP(T208,'CPI USA'!$T:$V,3,FALSE))</f>
        <v>-</v>
      </c>
      <c r="AW208" s="7"/>
      <c r="AX208" s="7"/>
      <c r="AY208" s="242" t="str">
        <f>IF(R208="-","-",VLOOKUP(R208,'CPI USA'!$T:$X,5,FALSE))</f>
        <v>-</v>
      </c>
      <c r="AZ208" s="242" t="str">
        <f>IF(S208="-","-",VLOOKUP(S208,'CPI USA'!$T:$X,5,FALSE))</f>
        <v>-</v>
      </c>
      <c r="BA208" s="242" t="str">
        <f>IF(T208="-","-",VLOOKUP(T208,'CPI USA'!$T:$X,5,FALSE))</f>
        <v>-</v>
      </c>
      <c r="BB208" s="7"/>
    </row>
    <row r="209" spans="1:54" ht="15.75" customHeight="1">
      <c r="A209" s="185" t="s">
        <v>814</v>
      </c>
      <c r="B209" s="185" t="s">
        <v>815</v>
      </c>
      <c r="C209" s="243">
        <f>+'Empresas 21-23'!J204</f>
        <v>0</v>
      </c>
      <c r="D209" s="239">
        <f>VLOOKUP(A209,'FERC 2021'!$A$3:$BE$221,57,0)</f>
        <v>0</v>
      </c>
      <c r="E209" s="239">
        <f>VLOOKUP(A209,'FERC 2021'!$A$3:$BF$221,58,0)</f>
        <v>0</v>
      </c>
      <c r="F209" s="244" t="e">
        <f>VLOOKUP(A209,'FERC 2022'!$A$3:$BE$220,57,0)</f>
        <v>#N/A</v>
      </c>
      <c r="G209" s="244" t="e">
        <f>VLOOKUP(A209,'FERC 2022'!$A$3:$BF$220,58,0)</f>
        <v>#N/A</v>
      </c>
      <c r="H209" s="239">
        <f>VLOOKUP(A209,'FERC 2023'!$A$3:$BE$221,57,0)</f>
        <v>0</v>
      </c>
      <c r="I209" s="239">
        <f>VLOOKUP(A209,'FERC 2023'!$A$3:$BF$221,58,0)</f>
        <v>0</v>
      </c>
      <c r="J209" s="7"/>
      <c r="K209" s="7"/>
      <c r="L209" s="7"/>
      <c r="M209" s="187" t="str">
        <f t="shared" si="0"/>
        <v/>
      </c>
      <c r="N209" s="187" t="str">
        <f t="shared" si="1"/>
        <v/>
      </c>
      <c r="O209" s="187" t="str">
        <f t="shared" si="2"/>
        <v/>
      </c>
      <c r="P209" s="7"/>
      <c r="Q209" s="240" t="str">
        <f t="shared" si="3"/>
        <v>-</v>
      </c>
      <c r="R209" s="189" t="str">
        <f t="shared" ref="R209:T209" si="610">IF(ISERROR(R$5-365*$Q209),"-",MONTH(R$5-365*$Q209)&amp;"_"&amp;YEAR(R$5-365*$Q209))</f>
        <v>-</v>
      </c>
      <c r="S209" s="189" t="str">
        <f t="shared" si="610"/>
        <v>-</v>
      </c>
      <c r="T209" s="189" t="str">
        <f t="shared" si="610"/>
        <v>-</v>
      </c>
      <c r="U209" s="7"/>
      <c r="V209" s="7"/>
      <c r="W209" s="190" t="str">
        <f>IF(R209="-","-",VLOOKUP(R209,'CPI USA'!$T:$U,2,FALSE))</f>
        <v>-</v>
      </c>
      <c r="X209" s="190" t="str">
        <f>IF(S209="-","-",VLOOKUP(S209,'CPI USA'!$T:$U,2,FALSE))</f>
        <v>-</v>
      </c>
      <c r="Y209" s="190" t="str">
        <f>IF(T209="-","-",VLOOKUP(T209,'CPI USA'!$T:$U,2,FALSE))</f>
        <v>-</v>
      </c>
      <c r="Z209" s="7"/>
      <c r="AA209" s="7"/>
      <c r="AB209" s="190" t="str">
        <f>IF(R209="-","-",VLOOKUP(R209,'PPI USA'!$S:$T,2,FALSE))</f>
        <v>-</v>
      </c>
      <c r="AC209" s="190" t="str">
        <f>IF(S209="-","-",VLOOKUP(S209,'PPI USA'!$S:$T,2,FALSE))</f>
        <v>-</v>
      </c>
      <c r="AD209" s="190" t="str">
        <f>IF(T209="-","-",VLOOKUP(T209,'PPI USA'!$S:$T,2,FALSE))</f>
        <v>-</v>
      </c>
      <c r="AE209" s="7"/>
      <c r="AF209" s="7"/>
      <c r="AG209" s="190" t="str">
        <f t="shared" ref="AG209:AI209" si="611">IF(W209="-","-",(AT209*$B$2/W209+(1-AT209)*AVERAGE($B$2,$B$3)/AVERAGE(W209,AB209)))</f>
        <v>-</v>
      </c>
      <c r="AH209" s="190" t="str">
        <f t="shared" si="611"/>
        <v>-</v>
      </c>
      <c r="AI209" s="190" t="str">
        <f t="shared" si="611"/>
        <v>-</v>
      </c>
      <c r="AJ209" s="7"/>
      <c r="AK209" s="7"/>
      <c r="AL209" s="190" t="str">
        <f t="shared" ref="AL209:AN209" si="612">IF(W209="-","-",(AY209*$B$2/W209+(1-AY209)*AVERAGE($B$2,$B$3)/AVERAGE(W209,AB209)))</f>
        <v>-</v>
      </c>
      <c r="AM209" s="190" t="str">
        <f t="shared" si="612"/>
        <v>-</v>
      </c>
      <c r="AN209" s="190" t="str">
        <f t="shared" si="612"/>
        <v>-</v>
      </c>
      <c r="AO209" s="7"/>
      <c r="AP209" s="7"/>
      <c r="AQ209" s="7"/>
      <c r="AR209" s="7"/>
      <c r="AS209" s="7"/>
      <c r="AT209" s="242" t="str">
        <f>IF(R209="-","-",VLOOKUP(R209,'CPI USA'!$T:$V,3,FALSE))</f>
        <v>-</v>
      </c>
      <c r="AU209" s="242" t="str">
        <f>IF(S209="-","-",VLOOKUP(S209,'CPI USA'!$T:$V,3,FALSE))</f>
        <v>-</v>
      </c>
      <c r="AV209" s="242" t="str">
        <f>IF(T209="-","-",VLOOKUP(T209,'CPI USA'!$T:$V,3,FALSE))</f>
        <v>-</v>
      </c>
      <c r="AW209" s="7"/>
      <c r="AX209" s="7"/>
      <c r="AY209" s="242" t="str">
        <f>IF(R209="-","-",VLOOKUP(R209,'CPI USA'!$T:$X,5,FALSE))</f>
        <v>-</v>
      </c>
      <c r="AZ209" s="242" t="str">
        <f>IF(S209="-","-",VLOOKUP(S209,'CPI USA'!$T:$X,5,FALSE))</f>
        <v>-</v>
      </c>
      <c r="BA209" s="242" t="str">
        <f>IF(T209="-","-",VLOOKUP(T209,'CPI USA'!$T:$X,5,FALSE))</f>
        <v>-</v>
      </c>
      <c r="BB209" s="7"/>
    </row>
    <row r="210" spans="1:54" ht="15.75" customHeight="1">
      <c r="A210" s="185" t="s">
        <v>817</v>
      </c>
      <c r="B210" s="185" t="s">
        <v>818</v>
      </c>
      <c r="C210" s="239">
        <f>+'Empresas 21-23'!J205</f>
        <v>2</v>
      </c>
      <c r="D210" s="239">
        <f>VLOOKUP(A210,'FERC 2021'!$A$3:$BE$221,57,0)</f>
        <v>75926930</v>
      </c>
      <c r="E210" s="239">
        <f>VLOOKUP(A210,'FERC 2021'!$A$3:$BF$221,58,0)</f>
        <v>8569431</v>
      </c>
      <c r="F210" s="244" t="e">
        <f>VLOOKUP(A210,'FERC 2022'!$A$3:$BE$220,57,0)</f>
        <v>#N/A</v>
      </c>
      <c r="G210" s="244" t="e">
        <f>VLOOKUP(A210,'FERC 2022'!$A$3:$BF$220,58,0)</f>
        <v>#N/A</v>
      </c>
      <c r="H210" s="239">
        <f>VLOOKUP(A210,'FERC 2023'!$A$3:$BE$221,57,0)</f>
        <v>84626217</v>
      </c>
      <c r="I210" s="239">
        <f>VLOOKUP(A210,'FERC 2023'!$A$3:$BF$221,58,0)</f>
        <v>8670701</v>
      </c>
      <c r="J210" s="7"/>
      <c r="K210" s="7"/>
      <c r="L210" s="7"/>
      <c r="M210" s="187">
        <f t="shared" si="0"/>
        <v>8.8602067045058188</v>
      </c>
      <c r="N210" s="187" t="str">
        <f t="shared" si="1"/>
        <v/>
      </c>
      <c r="O210" s="187">
        <f t="shared" si="2"/>
        <v>9.7600202105919696</v>
      </c>
      <c r="P210" s="7"/>
      <c r="Q210" s="240">
        <f t="shared" si="3"/>
        <v>9.3101134575488942</v>
      </c>
      <c r="R210" s="189" t="str">
        <f t="shared" ref="R210:T210" si="613">IF(ISERROR(R$5-365*$Q210),"-",MONTH(R$5-365*$Q210)&amp;"_"&amp;YEAR(R$5-365*$Q210))</f>
        <v>9_2012</v>
      </c>
      <c r="S210" s="189" t="str">
        <f t="shared" si="613"/>
        <v>9_2013</v>
      </c>
      <c r="T210" s="189" t="str">
        <f t="shared" si="613"/>
        <v>9_2014</v>
      </c>
      <c r="U210" s="7"/>
      <c r="V210" s="7"/>
      <c r="W210" s="190">
        <f>IF(R210="-","-",VLOOKUP(R210,'CPI USA'!$T:$U,2,FALSE))</f>
        <v>229.59399999999999</v>
      </c>
      <c r="X210" s="190">
        <f>IF(S210="-","-",VLOOKUP(S210,'CPI USA'!$T:$U,2,FALSE))</f>
        <v>234.149</v>
      </c>
      <c r="Y210" s="190">
        <f>IF(T210="-","-",VLOOKUP(T210,'CPI USA'!$T:$U,2,FALSE))</f>
        <v>238.03100000000001</v>
      </c>
      <c r="Z210" s="7"/>
      <c r="AA210" s="7"/>
      <c r="AB210" s="190">
        <f>IF(R210="-","-",VLOOKUP(R210,'PPI USA'!$S:$T,2,FALSE))</f>
        <v>175.1</v>
      </c>
      <c r="AC210" s="190">
        <f>IF(S210="-","-",VLOOKUP(S210,'PPI USA'!$S:$T,2,FALSE))</f>
        <v>175.2</v>
      </c>
      <c r="AD210" s="190">
        <f>IF(T210="-","-",VLOOKUP(T210,'PPI USA'!$S:$T,2,FALSE))</f>
        <v>187.8</v>
      </c>
      <c r="AE210" s="7"/>
      <c r="AF210" s="7"/>
      <c r="AG210" s="190">
        <f t="shared" ref="AG210:AI210" si="614">IF(W210="-","-",(AT210*$B$2/W210+(1-AT210)*AVERAGE($B$2,$B$3)/AVERAGE(W210,AB210)))</f>
        <v>1.3897894616766442</v>
      </c>
      <c r="AH210" s="190">
        <f t="shared" si="614"/>
        <v>1.3661768109417007</v>
      </c>
      <c r="AI210" s="190">
        <f t="shared" si="614"/>
        <v>1.3337530552252315</v>
      </c>
      <c r="AJ210" s="7"/>
      <c r="AK210" s="7"/>
      <c r="AL210" s="190">
        <f t="shared" ref="AL210:AN210" si="615">IF(W210="-","-",(AY210*$B$2/W210+(1-AY210)*AVERAGE($B$2,$B$3)/AVERAGE(W210,AB210)))</f>
        <v>1.4008620811189902</v>
      </c>
      <c r="AM210" s="190">
        <f t="shared" si="615"/>
        <v>1.3789714160509126</v>
      </c>
      <c r="AN210" s="190">
        <f t="shared" si="615"/>
        <v>1.3409310393170211</v>
      </c>
      <c r="AO210" s="7"/>
      <c r="AP210" s="7"/>
      <c r="AQ210" s="7"/>
      <c r="AR210" s="7"/>
      <c r="AS210" s="7"/>
      <c r="AT210" s="242">
        <f>IF(R210="-","-",VLOOKUP(R210,'CPI USA'!$T:$V,3,FALSE))</f>
        <v>0.66730871354337351</v>
      </c>
      <c r="AU210" s="242">
        <f>IF(S210="-","-",VLOOKUP(S210,'CPI USA'!$T:$V,3,FALSE))</f>
        <v>0.67305131835944076</v>
      </c>
      <c r="AV210" s="242">
        <f>IF(T210="-","-",VLOOKUP(T210,'CPI USA'!$T:$V,3,FALSE))</f>
        <v>0.66756601812039096</v>
      </c>
      <c r="AW210" s="7"/>
      <c r="AX210" s="7"/>
      <c r="AY210" s="242">
        <f>IF(R210="-","-",VLOOKUP(R210,'CPI USA'!$T:$X,5,FALSE))</f>
        <v>0.49513551903851311</v>
      </c>
      <c r="AZ210" s="242">
        <f>IF(S210="-","-",VLOOKUP(S210,'CPI USA'!$T:$X,5,FALSE))</f>
        <v>0.50163050295255052</v>
      </c>
      <c r="BA210" s="242">
        <f>IF(T210="-","-",VLOOKUP(T210,'CPI USA'!$T:$X,5,FALSE))</f>
        <v>0.49542529667095003</v>
      </c>
      <c r="BB210" s="7"/>
    </row>
    <row r="211" spans="1:54" ht="15.75" customHeight="1">
      <c r="A211" s="185" t="s">
        <v>820</v>
      </c>
      <c r="B211" s="185" t="s">
        <v>821</v>
      </c>
      <c r="C211" s="243">
        <f>+'Empresas 21-23'!J206</f>
        <v>0</v>
      </c>
      <c r="D211" s="239">
        <f>VLOOKUP(A211,'FERC 2021'!$A$3:$BE$221,57,0)</f>
        <v>0</v>
      </c>
      <c r="E211" s="239">
        <f>VLOOKUP(A211,'FERC 2021'!$A$3:$BF$221,58,0)</f>
        <v>0</v>
      </c>
      <c r="F211" s="244" t="e">
        <f>VLOOKUP(A211,'FERC 2022'!$A$3:$BE$220,57,0)</f>
        <v>#N/A</v>
      </c>
      <c r="G211" s="244" t="e">
        <f>VLOOKUP(A211,'FERC 2022'!$A$3:$BF$220,58,0)</f>
        <v>#N/A</v>
      </c>
      <c r="H211" s="239">
        <f>VLOOKUP(A211,'FERC 2023'!$A$3:$BE$221,57,0)</f>
        <v>0</v>
      </c>
      <c r="I211" s="239">
        <f>VLOOKUP(A211,'FERC 2023'!$A$3:$BF$221,58,0)</f>
        <v>0</v>
      </c>
      <c r="J211" s="7"/>
      <c r="K211" s="7"/>
      <c r="L211" s="7"/>
      <c r="M211" s="187" t="str">
        <f t="shared" si="0"/>
        <v/>
      </c>
      <c r="N211" s="187" t="str">
        <f t="shared" si="1"/>
        <v/>
      </c>
      <c r="O211" s="187" t="str">
        <f t="shared" si="2"/>
        <v/>
      </c>
      <c r="P211" s="7"/>
      <c r="Q211" s="240" t="str">
        <f t="shared" si="3"/>
        <v>-</v>
      </c>
      <c r="R211" s="189" t="str">
        <f t="shared" ref="R211:T211" si="616">IF(ISERROR(R$5-365*$Q211),"-",MONTH(R$5-365*$Q211)&amp;"_"&amp;YEAR(R$5-365*$Q211))</f>
        <v>-</v>
      </c>
      <c r="S211" s="189" t="str">
        <f t="shared" si="616"/>
        <v>-</v>
      </c>
      <c r="T211" s="189" t="str">
        <f t="shared" si="616"/>
        <v>-</v>
      </c>
      <c r="U211" s="7"/>
      <c r="V211" s="7"/>
      <c r="W211" s="190" t="str">
        <f>IF(R211="-","-",VLOOKUP(R211,'CPI USA'!$T:$U,2,FALSE))</f>
        <v>-</v>
      </c>
      <c r="X211" s="190" t="str">
        <f>IF(S211="-","-",VLOOKUP(S211,'CPI USA'!$T:$U,2,FALSE))</f>
        <v>-</v>
      </c>
      <c r="Y211" s="190" t="str">
        <f>IF(T211="-","-",VLOOKUP(T211,'CPI USA'!$T:$U,2,FALSE))</f>
        <v>-</v>
      </c>
      <c r="Z211" s="7"/>
      <c r="AA211" s="7"/>
      <c r="AB211" s="190" t="str">
        <f>IF(R211="-","-",VLOOKUP(R211,'PPI USA'!$S:$T,2,FALSE))</f>
        <v>-</v>
      </c>
      <c r="AC211" s="190" t="str">
        <f>IF(S211="-","-",VLOOKUP(S211,'PPI USA'!$S:$T,2,FALSE))</f>
        <v>-</v>
      </c>
      <c r="AD211" s="190" t="str">
        <f>IF(T211="-","-",VLOOKUP(T211,'PPI USA'!$S:$T,2,FALSE))</f>
        <v>-</v>
      </c>
      <c r="AE211" s="7"/>
      <c r="AF211" s="7"/>
      <c r="AG211" s="190" t="str">
        <f t="shared" ref="AG211:AI211" si="617">IF(W211="-","-",(AT211*$B$2/W211+(1-AT211)*AVERAGE($B$2,$B$3)/AVERAGE(W211,AB211)))</f>
        <v>-</v>
      </c>
      <c r="AH211" s="190" t="str">
        <f t="shared" si="617"/>
        <v>-</v>
      </c>
      <c r="AI211" s="190" t="str">
        <f t="shared" si="617"/>
        <v>-</v>
      </c>
      <c r="AJ211" s="7"/>
      <c r="AK211" s="7"/>
      <c r="AL211" s="190" t="str">
        <f t="shared" ref="AL211:AN211" si="618">IF(W211="-","-",(AY211*$B$2/W211+(1-AY211)*AVERAGE($B$2,$B$3)/AVERAGE(W211,AB211)))</f>
        <v>-</v>
      </c>
      <c r="AM211" s="190" t="str">
        <f t="shared" si="618"/>
        <v>-</v>
      </c>
      <c r="AN211" s="190" t="str">
        <f t="shared" si="618"/>
        <v>-</v>
      </c>
      <c r="AO211" s="7"/>
      <c r="AP211" s="7"/>
      <c r="AQ211" s="7"/>
      <c r="AR211" s="7"/>
      <c r="AS211" s="7"/>
      <c r="AT211" s="242" t="str">
        <f>IF(R211="-","-",VLOOKUP(R211,'CPI USA'!$T:$V,3,FALSE))</f>
        <v>-</v>
      </c>
      <c r="AU211" s="242" t="str">
        <f>IF(S211="-","-",VLOOKUP(S211,'CPI USA'!$T:$V,3,FALSE))</f>
        <v>-</v>
      </c>
      <c r="AV211" s="242" t="str">
        <f>IF(T211="-","-",VLOOKUP(T211,'CPI USA'!$T:$V,3,FALSE))</f>
        <v>-</v>
      </c>
      <c r="AW211" s="7"/>
      <c r="AX211" s="7"/>
      <c r="AY211" s="242" t="str">
        <f>IF(R211="-","-",VLOOKUP(R211,'CPI USA'!$T:$X,5,FALSE))</f>
        <v>-</v>
      </c>
      <c r="AZ211" s="242" t="str">
        <f>IF(S211="-","-",VLOOKUP(S211,'CPI USA'!$T:$X,5,FALSE))</f>
        <v>-</v>
      </c>
      <c r="BA211" s="242" t="str">
        <f>IF(T211="-","-",VLOOKUP(T211,'CPI USA'!$T:$X,5,FALSE))</f>
        <v>-</v>
      </c>
      <c r="BB211" s="7"/>
    </row>
    <row r="212" spans="1:54" ht="15.75" customHeight="1">
      <c r="A212" s="185" t="s">
        <v>823</v>
      </c>
      <c r="B212" s="185" t="s">
        <v>824</v>
      </c>
      <c r="C212" s="239">
        <f>+'Empresas 21-23'!J207</f>
        <v>0</v>
      </c>
      <c r="D212" s="239">
        <f>VLOOKUP(A212,'FERC 2021'!$A$3:$BE$221,57,0)</f>
        <v>32169000</v>
      </c>
      <c r="E212" s="239">
        <f>VLOOKUP(A212,'FERC 2021'!$A$3:$BF$221,58,0)</f>
        <v>1638000</v>
      </c>
      <c r="F212" s="244" t="e">
        <f>VLOOKUP(A212,'FERC 2022'!$A$3:$BE$220,57,0)</f>
        <v>#N/A</v>
      </c>
      <c r="G212" s="244" t="e">
        <f>VLOOKUP(A212,'FERC 2022'!$A$3:$BF$220,58,0)</f>
        <v>#N/A</v>
      </c>
      <c r="H212" s="239">
        <f>VLOOKUP(A212,'FERC 2023'!$A$3:$BE$221,57,0)</f>
        <v>34809000</v>
      </c>
      <c r="I212" s="239">
        <f>VLOOKUP(A212,'FERC 2023'!$A$3:$BF$221,58,0)</f>
        <v>2355000</v>
      </c>
      <c r="J212" s="7"/>
      <c r="K212" s="7"/>
      <c r="L212" s="7"/>
      <c r="M212" s="187">
        <f t="shared" si="0"/>
        <v>19.639194139194139</v>
      </c>
      <c r="N212" s="187" t="str">
        <f t="shared" si="1"/>
        <v/>
      </c>
      <c r="O212" s="187">
        <f t="shared" si="2"/>
        <v>14.780891719745222</v>
      </c>
      <c r="P212" s="7"/>
      <c r="Q212" s="240">
        <f t="shared" si="3"/>
        <v>17.21004292946968</v>
      </c>
      <c r="R212" s="189" t="str">
        <f t="shared" ref="R212:T212" si="619">IF(ISERROR(R$5-365*$Q212),"-",MONTH(R$5-365*$Q212)&amp;"_"&amp;YEAR(R$5-365*$Q212))</f>
        <v>10_2004</v>
      </c>
      <c r="S212" s="189" t="str">
        <f t="shared" si="619"/>
        <v>10_2005</v>
      </c>
      <c r="T212" s="189" t="str">
        <f t="shared" si="619"/>
        <v>10_2006</v>
      </c>
      <c r="U212" s="7"/>
      <c r="V212" s="7"/>
      <c r="W212" s="190">
        <f>IF(R212="-","-",VLOOKUP(R212,'CPI USA'!$T:$U,2,FALSE))</f>
        <v>188.9</v>
      </c>
      <c r="X212" s="190">
        <f>IF(S212="-","-",VLOOKUP(S212,'CPI USA'!$T:$U,2,FALSE))</f>
        <v>195.3</v>
      </c>
      <c r="Y212" s="190">
        <f>IF(T212="-","-",VLOOKUP(T212,'CPI USA'!$T:$U,2,FALSE))</f>
        <v>201.6</v>
      </c>
      <c r="Z212" s="7"/>
      <c r="AA212" s="7"/>
      <c r="AB212" s="190">
        <f>IF(R212="-","-",VLOOKUP(R212,'PPI USA'!$S:$T,2,FALSE))</f>
        <v>123.7</v>
      </c>
      <c r="AC212" s="190">
        <f>IF(S212="-","-",VLOOKUP(S212,'PPI USA'!$S:$T,2,FALSE))</f>
        <v>131.30000000000001</v>
      </c>
      <c r="AD212" s="190">
        <f>IF(T212="-","-",VLOOKUP(T212,'PPI USA'!$S:$T,2,FALSE))</f>
        <v>145.30000000000001</v>
      </c>
      <c r="AE212" s="7"/>
      <c r="AF212" s="7"/>
      <c r="AG212" s="190">
        <f t="shared" ref="AG212:AI212" si="620">IF(W212="-","-",(AT212*$B$2/W212+(1-AT212)*AVERAGE($B$2,$B$3)/AVERAGE(W212,AB212)))</f>
        <v>1.7242718973721483</v>
      </c>
      <c r="AH212" s="190">
        <f t="shared" si="620"/>
        <v>1.6621774217199745</v>
      </c>
      <c r="AI212" s="190">
        <f t="shared" si="620"/>
        <v>1.595396421204319</v>
      </c>
      <c r="AJ212" s="7"/>
      <c r="AK212" s="7"/>
      <c r="AL212" s="190">
        <f t="shared" ref="AL212:AN212" si="621">IF(W212="-","-",(AY212*$B$2/W212+(1-AY212)*AVERAGE($B$2,$B$3)/AVERAGE(W212,AB212)))</f>
        <v>1.7568944717328012</v>
      </c>
      <c r="AM212" s="190">
        <f t="shared" si="621"/>
        <v>1.6905992787819408</v>
      </c>
      <c r="AN212" s="190">
        <f t="shared" si="621"/>
        <v>1.6147712829199015</v>
      </c>
      <c r="AO212" s="7"/>
      <c r="AP212" s="7"/>
      <c r="AQ212" s="7"/>
      <c r="AR212" s="7"/>
      <c r="AS212" s="7"/>
      <c r="AT212" s="242">
        <f>IF(R212="-","-",VLOOKUP(R212,'CPI USA'!$T:$V,3,FALSE))</f>
        <v>0.68116912558338294</v>
      </c>
      <c r="AU212" s="242">
        <f>IF(S212="-","-",VLOOKUP(S212,'CPI USA'!$T:$V,3,FALSE))</f>
        <v>0.67888602568792966</v>
      </c>
      <c r="AV212" s="242">
        <f>IF(T212="-","-",VLOOKUP(T212,'CPI USA'!$T:$V,3,FALSE))</f>
        <v>0.67263024008352756</v>
      </c>
      <c r="AW212" s="7"/>
      <c r="AX212" s="7"/>
      <c r="AY212" s="242">
        <f>IF(R212="-","-",VLOOKUP(R212,'CPI USA'!$T:$X,5,FALSE))</f>
        <v>0.51091164550905577</v>
      </c>
      <c r="AZ212" s="242">
        <f>IF(S212="-","-",VLOOKUP(S212,'CPI USA'!$T:$X,5,FALSE))</f>
        <v>0.50828944385363772</v>
      </c>
      <c r="BA212" s="242">
        <f>IF(T212="-","-",VLOOKUP(T212,'CPI USA'!$T:$X,5,FALSE))</f>
        <v>0.50115228263529643</v>
      </c>
      <c r="BB212" s="7"/>
    </row>
    <row r="213" spans="1:54" ht="15.75" customHeight="1">
      <c r="A213" s="185" t="s">
        <v>826</v>
      </c>
      <c r="B213" s="185" t="s">
        <v>827</v>
      </c>
      <c r="C213" s="243">
        <f>+'Empresas 21-23'!J208</f>
        <v>0</v>
      </c>
      <c r="D213" s="239">
        <f>VLOOKUP(A213,'FERC 2021'!$A$3:$BE$221,57,0)</f>
        <v>0</v>
      </c>
      <c r="E213" s="239">
        <f>VLOOKUP(A213,'FERC 2021'!$A$3:$BF$221,58,0)</f>
        <v>0</v>
      </c>
      <c r="F213" s="244" t="e">
        <f>VLOOKUP(A213,'FERC 2022'!$A$3:$BE$220,57,0)</f>
        <v>#N/A</v>
      </c>
      <c r="G213" s="244" t="e">
        <f>VLOOKUP(A213,'FERC 2022'!$A$3:$BF$220,58,0)</f>
        <v>#N/A</v>
      </c>
      <c r="H213" s="239">
        <f>VLOOKUP(A213,'FERC 2023'!$A$3:$BE$221,57,0)</f>
        <v>0</v>
      </c>
      <c r="I213" s="239">
        <f>VLOOKUP(A213,'FERC 2023'!$A$3:$BF$221,58,0)</f>
        <v>0</v>
      </c>
      <c r="J213" s="7"/>
      <c r="K213" s="7"/>
      <c r="L213" s="7"/>
      <c r="M213" s="187" t="str">
        <f t="shared" si="0"/>
        <v/>
      </c>
      <c r="N213" s="187" t="str">
        <f t="shared" si="1"/>
        <v/>
      </c>
      <c r="O213" s="187" t="str">
        <f t="shared" si="2"/>
        <v/>
      </c>
      <c r="P213" s="7"/>
      <c r="Q213" s="240" t="str">
        <f t="shared" si="3"/>
        <v>-</v>
      </c>
      <c r="R213" s="189" t="str">
        <f t="shared" ref="R213:T213" si="622">IF(ISERROR(R$5-365*$Q213),"-",MONTH(R$5-365*$Q213)&amp;"_"&amp;YEAR(R$5-365*$Q213))</f>
        <v>-</v>
      </c>
      <c r="S213" s="189" t="str">
        <f t="shared" si="622"/>
        <v>-</v>
      </c>
      <c r="T213" s="189" t="str">
        <f t="shared" si="622"/>
        <v>-</v>
      </c>
      <c r="U213" s="7"/>
      <c r="V213" s="7"/>
      <c r="W213" s="190" t="str">
        <f>IF(R213="-","-",VLOOKUP(R213,'CPI USA'!$T:$U,2,FALSE))</f>
        <v>-</v>
      </c>
      <c r="X213" s="190" t="str">
        <f>IF(S213="-","-",VLOOKUP(S213,'CPI USA'!$T:$U,2,FALSE))</f>
        <v>-</v>
      </c>
      <c r="Y213" s="190" t="str">
        <f>IF(T213="-","-",VLOOKUP(T213,'CPI USA'!$T:$U,2,FALSE))</f>
        <v>-</v>
      </c>
      <c r="Z213" s="7"/>
      <c r="AA213" s="7"/>
      <c r="AB213" s="190" t="str">
        <f>IF(R213="-","-",VLOOKUP(R213,'PPI USA'!$S:$T,2,FALSE))</f>
        <v>-</v>
      </c>
      <c r="AC213" s="190" t="str">
        <f>IF(S213="-","-",VLOOKUP(S213,'PPI USA'!$S:$T,2,FALSE))</f>
        <v>-</v>
      </c>
      <c r="AD213" s="190" t="str">
        <f>IF(T213="-","-",VLOOKUP(T213,'PPI USA'!$S:$T,2,FALSE))</f>
        <v>-</v>
      </c>
      <c r="AE213" s="7"/>
      <c r="AF213" s="7"/>
      <c r="AG213" s="190" t="str">
        <f t="shared" ref="AG213:AI213" si="623">IF(W213="-","-",(AT213*$B$2/W213+(1-AT213)*AVERAGE($B$2,$B$3)/AVERAGE(W213,AB213)))</f>
        <v>-</v>
      </c>
      <c r="AH213" s="190" t="str">
        <f t="shared" si="623"/>
        <v>-</v>
      </c>
      <c r="AI213" s="190" t="str">
        <f t="shared" si="623"/>
        <v>-</v>
      </c>
      <c r="AJ213" s="7"/>
      <c r="AK213" s="7"/>
      <c r="AL213" s="190" t="str">
        <f t="shared" ref="AL213:AN213" si="624">IF(W213="-","-",(AY213*$B$2/W213+(1-AY213)*AVERAGE($B$2,$B$3)/AVERAGE(W213,AB213)))</f>
        <v>-</v>
      </c>
      <c r="AM213" s="190" t="str">
        <f t="shared" si="624"/>
        <v>-</v>
      </c>
      <c r="AN213" s="190" t="str">
        <f t="shared" si="624"/>
        <v>-</v>
      </c>
      <c r="AO213" s="7"/>
      <c r="AP213" s="7"/>
      <c r="AQ213" s="7"/>
      <c r="AR213" s="7"/>
      <c r="AS213" s="7"/>
      <c r="AT213" s="242" t="str">
        <f>IF(R213="-","-",VLOOKUP(R213,'CPI USA'!$T:$V,3,FALSE))</f>
        <v>-</v>
      </c>
      <c r="AU213" s="242" t="str">
        <f>IF(S213="-","-",VLOOKUP(S213,'CPI USA'!$T:$V,3,FALSE))</f>
        <v>-</v>
      </c>
      <c r="AV213" s="242" t="str">
        <f>IF(T213="-","-",VLOOKUP(T213,'CPI USA'!$T:$V,3,FALSE))</f>
        <v>-</v>
      </c>
      <c r="AW213" s="7"/>
      <c r="AX213" s="7"/>
      <c r="AY213" s="242" t="str">
        <f>IF(R213="-","-",VLOOKUP(R213,'CPI USA'!$T:$X,5,FALSE))</f>
        <v>-</v>
      </c>
      <c r="AZ213" s="242" t="str">
        <f>IF(S213="-","-",VLOOKUP(S213,'CPI USA'!$T:$X,5,FALSE))</f>
        <v>-</v>
      </c>
      <c r="BA213" s="242" t="str">
        <f>IF(T213="-","-",VLOOKUP(T213,'CPI USA'!$T:$X,5,FALSE))</f>
        <v>-</v>
      </c>
      <c r="BB213" s="7"/>
    </row>
    <row r="214" spans="1:54" ht="15.75" customHeight="1">
      <c r="A214" s="185" t="s">
        <v>829</v>
      </c>
      <c r="B214" s="185" t="s">
        <v>830</v>
      </c>
      <c r="C214" s="243">
        <f>+'Empresas 21-23'!J209</f>
        <v>0</v>
      </c>
      <c r="D214" s="239">
        <f>VLOOKUP(A214,'FERC 2021'!$A$3:$BE$221,57,0)</f>
        <v>0</v>
      </c>
      <c r="E214" s="239">
        <f>VLOOKUP(A214,'FERC 2021'!$A$3:$BF$221,58,0)</f>
        <v>0</v>
      </c>
      <c r="F214" s="244" t="e">
        <f>VLOOKUP(A214,'FERC 2022'!$A$3:$BE$220,57,0)</f>
        <v>#N/A</v>
      </c>
      <c r="G214" s="244" t="e">
        <f>VLOOKUP(A214,'FERC 2022'!$A$3:$BF$220,58,0)</f>
        <v>#N/A</v>
      </c>
      <c r="H214" s="239">
        <f>VLOOKUP(A214,'FERC 2023'!$A$3:$BE$221,57,0)</f>
        <v>0</v>
      </c>
      <c r="I214" s="239">
        <f>VLOOKUP(A214,'FERC 2023'!$A$3:$BF$221,58,0)</f>
        <v>0</v>
      </c>
      <c r="J214" s="7"/>
      <c r="K214" s="7"/>
      <c r="L214" s="7"/>
      <c r="M214" s="187" t="str">
        <f t="shared" si="0"/>
        <v/>
      </c>
      <c r="N214" s="187" t="str">
        <f t="shared" si="1"/>
        <v/>
      </c>
      <c r="O214" s="187" t="str">
        <f t="shared" si="2"/>
        <v/>
      </c>
      <c r="P214" s="7"/>
      <c r="Q214" s="240" t="str">
        <f t="shared" si="3"/>
        <v>-</v>
      </c>
      <c r="R214" s="189" t="str">
        <f t="shared" ref="R214:T214" si="625">IF(ISERROR(R$5-365*$Q214),"-",MONTH(R$5-365*$Q214)&amp;"_"&amp;YEAR(R$5-365*$Q214))</f>
        <v>-</v>
      </c>
      <c r="S214" s="189" t="str">
        <f t="shared" si="625"/>
        <v>-</v>
      </c>
      <c r="T214" s="189" t="str">
        <f t="shared" si="625"/>
        <v>-</v>
      </c>
      <c r="U214" s="7"/>
      <c r="V214" s="7"/>
      <c r="W214" s="190" t="str">
        <f>IF(R214="-","-",VLOOKUP(R214,'CPI USA'!$T:$U,2,FALSE))</f>
        <v>-</v>
      </c>
      <c r="X214" s="190" t="str">
        <f>IF(S214="-","-",VLOOKUP(S214,'CPI USA'!$T:$U,2,FALSE))</f>
        <v>-</v>
      </c>
      <c r="Y214" s="190" t="str">
        <f>IF(T214="-","-",VLOOKUP(T214,'CPI USA'!$T:$U,2,FALSE))</f>
        <v>-</v>
      </c>
      <c r="Z214" s="7"/>
      <c r="AA214" s="7"/>
      <c r="AB214" s="190" t="str">
        <f>IF(R214="-","-",VLOOKUP(R214,'PPI USA'!$S:$T,2,FALSE))</f>
        <v>-</v>
      </c>
      <c r="AC214" s="190" t="str">
        <f>IF(S214="-","-",VLOOKUP(S214,'PPI USA'!$S:$T,2,FALSE))</f>
        <v>-</v>
      </c>
      <c r="AD214" s="190" t="str">
        <f>IF(T214="-","-",VLOOKUP(T214,'PPI USA'!$S:$T,2,FALSE))</f>
        <v>-</v>
      </c>
      <c r="AE214" s="7"/>
      <c r="AF214" s="7"/>
      <c r="AG214" s="190" t="str">
        <f t="shared" ref="AG214:AI214" si="626">IF(W214="-","-",(AT214*$B$2/W214+(1-AT214)*AVERAGE($B$2,$B$3)/AVERAGE(W214,AB214)))</f>
        <v>-</v>
      </c>
      <c r="AH214" s="190" t="str">
        <f t="shared" si="626"/>
        <v>-</v>
      </c>
      <c r="AI214" s="190" t="str">
        <f t="shared" si="626"/>
        <v>-</v>
      </c>
      <c r="AJ214" s="7"/>
      <c r="AK214" s="7"/>
      <c r="AL214" s="190" t="str">
        <f t="shared" ref="AL214:AN214" si="627">IF(W214="-","-",(AY214*$B$2/W214+(1-AY214)*AVERAGE($B$2,$B$3)/AVERAGE(W214,AB214)))</f>
        <v>-</v>
      </c>
      <c r="AM214" s="190" t="str">
        <f t="shared" si="627"/>
        <v>-</v>
      </c>
      <c r="AN214" s="190" t="str">
        <f t="shared" si="627"/>
        <v>-</v>
      </c>
      <c r="AO214" s="7"/>
      <c r="AP214" s="7"/>
      <c r="AQ214" s="7"/>
      <c r="AR214" s="7"/>
      <c r="AS214" s="7"/>
      <c r="AT214" s="242" t="str">
        <f>IF(R214="-","-",VLOOKUP(R214,'CPI USA'!$T:$V,3,FALSE))</f>
        <v>-</v>
      </c>
      <c r="AU214" s="242" t="str">
        <f>IF(S214="-","-",VLOOKUP(S214,'CPI USA'!$T:$V,3,FALSE))</f>
        <v>-</v>
      </c>
      <c r="AV214" s="242" t="str">
        <f>IF(T214="-","-",VLOOKUP(T214,'CPI USA'!$T:$V,3,FALSE))</f>
        <v>-</v>
      </c>
      <c r="AW214" s="7"/>
      <c r="AX214" s="7"/>
      <c r="AY214" s="242" t="str">
        <f>IF(R214="-","-",VLOOKUP(R214,'CPI USA'!$T:$X,5,FALSE))</f>
        <v>-</v>
      </c>
      <c r="AZ214" s="242" t="str">
        <f>IF(S214="-","-",VLOOKUP(S214,'CPI USA'!$T:$X,5,FALSE))</f>
        <v>-</v>
      </c>
      <c r="BA214" s="242" t="str">
        <f>IF(T214="-","-",VLOOKUP(T214,'CPI USA'!$T:$X,5,FALSE))</f>
        <v>-</v>
      </c>
      <c r="BB214" s="7"/>
    </row>
    <row r="215" spans="1:54" ht="15.75" customHeight="1">
      <c r="A215" s="185" t="s">
        <v>832</v>
      </c>
      <c r="B215" s="185" t="s">
        <v>833</v>
      </c>
      <c r="C215" s="243">
        <f>+'Empresas 21-23'!J210</f>
        <v>0</v>
      </c>
      <c r="D215" s="239">
        <f>VLOOKUP(A215,'FERC 2021'!$A$3:$BE$221,57,0)</f>
        <v>0</v>
      </c>
      <c r="E215" s="239">
        <f>VLOOKUP(A215,'FERC 2021'!$A$3:$BF$221,58,0)</f>
        <v>0</v>
      </c>
      <c r="F215" s="244" t="e">
        <f>VLOOKUP(A215,'FERC 2022'!$A$3:$BE$220,57,0)</f>
        <v>#N/A</v>
      </c>
      <c r="G215" s="244" t="e">
        <f>VLOOKUP(A215,'FERC 2022'!$A$3:$BF$220,58,0)</f>
        <v>#N/A</v>
      </c>
      <c r="H215" s="239">
        <f>VLOOKUP(A215,'FERC 2023'!$A$3:$BE$221,57,0)</f>
        <v>0</v>
      </c>
      <c r="I215" s="239">
        <f>VLOOKUP(A215,'FERC 2023'!$A$3:$BF$221,58,0)</f>
        <v>0</v>
      </c>
      <c r="J215" s="7"/>
      <c r="K215" s="7"/>
      <c r="L215" s="7"/>
      <c r="M215" s="187" t="str">
        <f t="shared" si="0"/>
        <v/>
      </c>
      <c r="N215" s="187" t="str">
        <f t="shared" si="1"/>
        <v/>
      </c>
      <c r="O215" s="187" t="str">
        <f t="shared" si="2"/>
        <v/>
      </c>
      <c r="P215" s="7"/>
      <c r="Q215" s="240" t="str">
        <f t="shared" si="3"/>
        <v>-</v>
      </c>
      <c r="R215" s="189" t="str">
        <f t="shared" ref="R215:T215" si="628">IF(ISERROR(R$5-365*$Q215),"-",MONTH(R$5-365*$Q215)&amp;"_"&amp;YEAR(R$5-365*$Q215))</f>
        <v>-</v>
      </c>
      <c r="S215" s="189" t="str">
        <f t="shared" si="628"/>
        <v>-</v>
      </c>
      <c r="T215" s="189" t="str">
        <f t="shared" si="628"/>
        <v>-</v>
      </c>
      <c r="U215" s="7"/>
      <c r="V215" s="7"/>
      <c r="W215" s="190" t="str">
        <f>IF(R215="-","-",VLOOKUP(R215,'CPI USA'!$T:$U,2,FALSE))</f>
        <v>-</v>
      </c>
      <c r="X215" s="190" t="str">
        <f>IF(S215="-","-",VLOOKUP(S215,'CPI USA'!$T:$U,2,FALSE))</f>
        <v>-</v>
      </c>
      <c r="Y215" s="190" t="str">
        <f>IF(T215="-","-",VLOOKUP(T215,'CPI USA'!$T:$U,2,FALSE))</f>
        <v>-</v>
      </c>
      <c r="Z215" s="7"/>
      <c r="AA215" s="7"/>
      <c r="AB215" s="190" t="str">
        <f>IF(R215="-","-",VLOOKUP(R215,'PPI USA'!$S:$T,2,FALSE))</f>
        <v>-</v>
      </c>
      <c r="AC215" s="190" t="str">
        <f>IF(S215="-","-",VLOOKUP(S215,'PPI USA'!$S:$T,2,FALSE))</f>
        <v>-</v>
      </c>
      <c r="AD215" s="190" t="str">
        <f>IF(T215="-","-",VLOOKUP(T215,'PPI USA'!$S:$T,2,FALSE))</f>
        <v>-</v>
      </c>
      <c r="AE215" s="7"/>
      <c r="AF215" s="7"/>
      <c r="AG215" s="190" t="str">
        <f t="shared" ref="AG215:AI215" si="629">IF(W215="-","-",(AT215*$B$2/W215+(1-AT215)*AVERAGE($B$2,$B$3)/AVERAGE(W215,AB215)))</f>
        <v>-</v>
      </c>
      <c r="AH215" s="190" t="str">
        <f t="shared" si="629"/>
        <v>-</v>
      </c>
      <c r="AI215" s="190" t="str">
        <f t="shared" si="629"/>
        <v>-</v>
      </c>
      <c r="AJ215" s="7"/>
      <c r="AK215" s="7"/>
      <c r="AL215" s="190" t="str">
        <f t="shared" ref="AL215:AN215" si="630">IF(W215="-","-",(AY215*$B$2/W215+(1-AY215)*AVERAGE($B$2,$B$3)/AVERAGE(W215,AB215)))</f>
        <v>-</v>
      </c>
      <c r="AM215" s="190" t="str">
        <f t="shared" si="630"/>
        <v>-</v>
      </c>
      <c r="AN215" s="190" t="str">
        <f t="shared" si="630"/>
        <v>-</v>
      </c>
      <c r="AO215" s="7"/>
      <c r="AP215" s="7"/>
      <c r="AQ215" s="7"/>
      <c r="AR215" s="7"/>
      <c r="AS215" s="7"/>
      <c r="AT215" s="242" t="str">
        <f>IF(R215="-","-",VLOOKUP(R215,'CPI USA'!$T:$V,3,FALSE))</f>
        <v>-</v>
      </c>
      <c r="AU215" s="242" t="str">
        <f>IF(S215="-","-",VLOOKUP(S215,'CPI USA'!$T:$V,3,FALSE))</f>
        <v>-</v>
      </c>
      <c r="AV215" s="242" t="str">
        <f>IF(T215="-","-",VLOOKUP(T215,'CPI USA'!$T:$V,3,FALSE))</f>
        <v>-</v>
      </c>
      <c r="AW215" s="7"/>
      <c r="AX215" s="7"/>
      <c r="AY215" s="242" t="str">
        <f>IF(R215="-","-",VLOOKUP(R215,'CPI USA'!$T:$X,5,FALSE))</f>
        <v>-</v>
      </c>
      <c r="AZ215" s="242" t="str">
        <f>IF(S215="-","-",VLOOKUP(S215,'CPI USA'!$T:$X,5,FALSE))</f>
        <v>-</v>
      </c>
      <c r="BA215" s="242" t="str">
        <f>IF(T215="-","-",VLOOKUP(T215,'CPI USA'!$T:$X,5,FALSE))</f>
        <v>-</v>
      </c>
      <c r="BB215" s="7"/>
    </row>
    <row r="216" spans="1:54" ht="15.75" customHeight="1">
      <c r="A216" s="185" t="s">
        <v>835</v>
      </c>
      <c r="B216" s="185" t="s">
        <v>836</v>
      </c>
      <c r="C216" s="243">
        <f>+'Empresas 21-23'!J211</f>
        <v>0</v>
      </c>
      <c r="D216" s="239">
        <f>VLOOKUP(A216,'FERC 2021'!$A$3:$BE$221,57,0)</f>
        <v>0</v>
      </c>
      <c r="E216" s="239">
        <f>VLOOKUP(A216,'FERC 2021'!$A$3:$BF$221,58,0)</f>
        <v>0</v>
      </c>
      <c r="F216" s="244" t="e">
        <f>VLOOKUP(A216,'FERC 2022'!$A$3:$BE$220,57,0)</f>
        <v>#N/A</v>
      </c>
      <c r="G216" s="244" t="e">
        <f>VLOOKUP(A216,'FERC 2022'!$A$3:$BF$220,58,0)</f>
        <v>#N/A</v>
      </c>
      <c r="H216" s="239">
        <f>VLOOKUP(A216,'FERC 2023'!$A$3:$BE$221,57,0)</f>
        <v>0</v>
      </c>
      <c r="I216" s="239">
        <f>VLOOKUP(A216,'FERC 2023'!$A$3:$BF$221,58,0)</f>
        <v>0</v>
      </c>
      <c r="J216" s="7"/>
      <c r="K216" s="7"/>
      <c r="L216" s="7"/>
      <c r="M216" s="187" t="str">
        <f t="shared" si="0"/>
        <v/>
      </c>
      <c r="N216" s="187" t="str">
        <f t="shared" si="1"/>
        <v/>
      </c>
      <c r="O216" s="187" t="str">
        <f t="shared" si="2"/>
        <v/>
      </c>
      <c r="P216" s="7"/>
      <c r="Q216" s="240" t="str">
        <f t="shared" si="3"/>
        <v>-</v>
      </c>
      <c r="R216" s="189" t="str">
        <f t="shared" ref="R216:T216" si="631">IF(ISERROR(R$5-365*$Q216),"-",MONTH(R$5-365*$Q216)&amp;"_"&amp;YEAR(R$5-365*$Q216))</f>
        <v>-</v>
      </c>
      <c r="S216" s="189" t="str">
        <f t="shared" si="631"/>
        <v>-</v>
      </c>
      <c r="T216" s="189" t="str">
        <f t="shared" si="631"/>
        <v>-</v>
      </c>
      <c r="U216" s="7"/>
      <c r="V216" s="7"/>
      <c r="W216" s="190" t="str">
        <f>IF(R216="-","-",VLOOKUP(R216,'CPI USA'!$T:$U,2,FALSE))</f>
        <v>-</v>
      </c>
      <c r="X216" s="190" t="str">
        <f>IF(S216="-","-",VLOOKUP(S216,'CPI USA'!$T:$U,2,FALSE))</f>
        <v>-</v>
      </c>
      <c r="Y216" s="190" t="str">
        <f>IF(T216="-","-",VLOOKUP(T216,'CPI USA'!$T:$U,2,FALSE))</f>
        <v>-</v>
      </c>
      <c r="Z216" s="7"/>
      <c r="AA216" s="7"/>
      <c r="AB216" s="190" t="str">
        <f>IF(R216="-","-",VLOOKUP(R216,'PPI USA'!$S:$T,2,FALSE))</f>
        <v>-</v>
      </c>
      <c r="AC216" s="190" t="str">
        <f>IF(S216="-","-",VLOOKUP(S216,'PPI USA'!$S:$T,2,FALSE))</f>
        <v>-</v>
      </c>
      <c r="AD216" s="190" t="str">
        <f>IF(T216="-","-",VLOOKUP(T216,'PPI USA'!$S:$T,2,FALSE))</f>
        <v>-</v>
      </c>
      <c r="AE216" s="7"/>
      <c r="AF216" s="7"/>
      <c r="AG216" s="190" t="str">
        <f t="shared" ref="AG216:AI216" si="632">IF(W216="-","-",(AT216*$B$2/W216+(1-AT216)*AVERAGE($B$2,$B$3)/AVERAGE(W216,AB216)))</f>
        <v>-</v>
      </c>
      <c r="AH216" s="190" t="str">
        <f t="shared" si="632"/>
        <v>-</v>
      </c>
      <c r="AI216" s="190" t="str">
        <f t="shared" si="632"/>
        <v>-</v>
      </c>
      <c r="AJ216" s="7"/>
      <c r="AK216" s="7"/>
      <c r="AL216" s="190" t="str">
        <f t="shared" ref="AL216:AN216" si="633">IF(W216="-","-",(AY216*$B$2/W216+(1-AY216)*AVERAGE($B$2,$B$3)/AVERAGE(W216,AB216)))</f>
        <v>-</v>
      </c>
      <c r="AM216" s="190" t="str">
        <f t="shared" si="633"/>
        <v>-</v>
      </c>
      <c r="AN216" s="190" t="str">
        <f t="shared" si="633"/>
        <v>-</v>
      </c>
      <c r="AO216" s="7"/>
      <c r="AP216" s="7"/>
      <c r="AQ216" s="7"/>
      <c r="AR216" s="7"/>
      <c r="AS216" s="7"/>
      <c r="AT216" s="242" t="str">
        <f>IF(R216="-","-",VLOOKUP(R216,'CPI USA'!$T:$V,3,FALSE))</f>
        <v>-</v>
      </c>
      <c r="AU216" s="242" t="str">
        <f>IF(S216="-","-",VLOOKUP(S216,'CPI USA'!$T:$V,3,FALSE))</f>
        <v>-</v>
      </c>
      <c r="AV216" s="242" t="str">
        <f>IF(T216="-","-",VLOOKUP(T216,'CPI USA'!$T:$V,3,FALSE))</f>
        <v>-</v>
      </c>
      <c r="AW216" s="7"/>
      <c r="AX216" s="7"/>
      <c r="AY216" s="242" t="str">
        <f>IF(R216="-","-",VLOOKUP(R216,'CPI USA'!$T:$X,5,FALSE))</f>
        <v>-</v>
      </c>
      <c r="AZ216" s="242" t="str">
        <f>IF(S216="-","-",VLOOKUP(S216,'CPI USA'!$T:$X,5,FALSE))</f>
        <v>-</v>
      </c>
      <c r="BA216" s="242" t="str">
        <f>IF(T216="-","-",VLOOKUP(T216,'CPI USA'!$T:$X,5,FALSE))</f>
        <v>-</v>
      </c>
      <c r="BB216" s="7"/>
    </row>
    <row r="217" spans="1:54" ht="15.75" customHeight="1">
      <c r="A217" s="185" t="s">
        <v>1316</v>
      </c>
      <c r="B217" s="185" t="s">
        <v>1317</v>
      </c>
      <c r="C217" s="243">
        <f>+'Empresas 21-23'!J212</f>
        <v>0</v>
      </c>
      <c r="D217" s="244" t="e">
        <f>VLOOKUP(A217,'FERC 2021'!$A$3:$BE$221,57,0)</f>
        <v>#N/A</v>
      </c>
      <c r="E217" s="244" t="e">
        <f>VLOOKUP(A217,'FERC 2021'!$A$3:$BF$221,58,0)</f>
        <v>#N/A</v>
      </c>
      <c r="F217" s="244" t="e">
        <f>VLOOKUP(A217,'FERC 2022'!$A$3:$BE$220,57,0)</f>
        <v>#N/A</v>
      </c>
      <c r="G217" s="244" t="e">
        <f>VLOOKUP(A217,'FERC 2022'!$A$3:$BF$220,58,0)</f>
        <v>#N/A</v>
      </c>
      <c r="H217" s="244" t="e">
        <f>VLOOKUP(A217,'FERC 2023'!$A$3:$BE$221,57,0)</f>
        <v>#N/A</v>
      </c>
      <c r="I217" s="244" t="e">
        <f>VLOOKUP(A217,'FERC 2023'!$A$3:$BF$221,58,0)</f>
        <v>#N/A</v>
      </c>
      <c r="J217" s="7"/>
      <c r="K217" s="7"/>
      <c r="L217" s="7"/>
      <c r="M217" s="187" t="str">
        <f t="shared" si="0"/>
        <v/>
      </c>
      <c r="N217" s="187" t="str">
        <f t="shared" si="1"/>
        <v/>
      </c>
      <c r="O217" s="187" t="str">
        <f t="shared" si="2"/>
        <v/>
      </c>
      <c r="P217" s="7"/>
      <c r="Q217" s="240" t="str">
        <f t="shared" si="3"/>
        <v>-</v>
      </c>
      <c r="R217" s="189" t="str">
        <f t="shared" ref="R217:T217" si="634">IF(ISERROR(R$5-365*$Q217),"-",MONTH(R$5-365*$Q217)&amp;"_"&amp;YEAR(R$5-365*$Q217))</f>
        <v>-</v>
      </c>
      <c r="S217" s="189" t="str">
        <f t="shared" si="634"/>
        <v>-</v>
      </c>
      <c r="T217" s="189" t="str">
        <f t="shared" si="634"/>
        <v>-</v>
      </c>
      <c r="U217" s="7"/>
      <c r="V217" s="7"/>
      <c r="W217" s="190" t="str">
        <f>IF(R217="-","-",VLOOKUP(R217,'CPI USA'!$T:$U,2,FALSE))</f>
        <v>-</v>
      </c>
      <c r="X217" s="190" t="str">
        <f>IF(S217="-","-",VLOOKUP(S217,'CPI USA'!$T:$U,2,FALSE))</f>
        <v>-</v>
      </c>
      <c r="Y217" s="190" t="str">
        <f>IF(T217="-","-",VLOOKUP(T217,'CPI USA'!$T:$U,2,FALSE))</f>
        <v>-</v>
      </c>
      <c r="Z217" s="7"/>
      <c r="AA217" s="7"/>
      <c r="AB217" s="190" t="str">
        <f>IF(R217="-","-",VLOOKUP(R217,'PPI USA'!$S:$T,2,FALSE))</f>
        <v>-</v>
      </c>
      <c r="AC217" s="190" t="str">
        <f>IF(S217="-","-",VLOOKUP(S217,'PPI USA'!$S:$T,2,FALSE))</f>
        <v>-</v>
      </c>
      <c r="AD217" s="190" t="str">
        <f>IF(T217="-","-",VLOOKUP(T217,'PPI USA'!$S:$T,2,FALSE))</f>
        <v>-</v>
      </c>
      <c r="AE217" s="7"/>
      <c r="AF217" s="7"/>
      <c r="AG217" s="190" t="str">
        <f t="shared" ref="AG217:AI217" si="635">IF(W217="-","-",(AT217*$B$2/W217+(1-AT217)*AVERAGE($B$2,$B$3)/AVERAGE(W217,AB217)))</f>
        <v>-</v>
      </c>
      <c r="AH217" s="190" t="str">
        <f t="shared" si="635"/>
        <v>-</v>
      </c>
      <c r="AI217" s="190" t="str">
        <f t="shared" si="635"/>
        <v>-</v>
      </c>
      <c r="AJ217" s="7"/>
      <c r="AK217" s="7"/>
      <c r="AL217" s="190" t="str">
        <f t="shared" ref="AL217:AN217" si="636">IF(W217="-","-",(AY217*$B$2/W217+(1-AY217)*AVERAGE($B$2,$B$3)/AVERAGE(W217,AB217)))</f>
        <v>-</v>
      </c>
      <c r="AM217" s="190" t="str">
        <f t="shared" si="636"/>
        <v>-</v>
      </c>
      <c r="AN217" s="190" t="str">
        <f t="shared" si="636"/>
        <v>-</v>
      </c>
      <c r="AO217" s="7"/>
      <c r="AP217" s="7"/>
      <c r="AQ217" s="7"/>
      <c r="AR217" s="7"/>
      <c r="AS217" s="7"/>
      <c r="AT217" s="242" t="str">
        <f>IF(R217="-","-",VLOOKUP(R217,'CPI USA'!$T:$V,3,FALSE))</f>
        <v>-</v>
      </c>
      <c r="AU217" s="242" t="str">
        <f>IF(S217="-","-",VLOOKUP(S217,'CPI USA'!$T:$V,3,FALSE))</f>
        <v>-</v>
      </c>
      <c r="AV217" s="242" t="str">
        <f>IF(T217="-","-",VLOOKUP(T217,'CPI USA'!$T:$V,3,FALSE))</f>
        <v>-</v>
      </c>
      <c r="AW217" s="7"/>
      <c r="AX217" s="7"/>
      <c r="AY217" s="242" t="str">
        <f>IF(R217="-","-",VLOOKUP(R217,'CPI USA'!$T:$X,5,FALSE))</f>
        <v>-</v>
      </c>
      <c r="AZ217" s="242" t="str">
        <f>IF(S217="-","-",VLOOKUP(S217,'CPI USA'!$T:$X,5,FALSE))</f>
        <v>-</v>
      </c>
      <c r="BA217" s="242" t="str">
        <f>IF(T217="-","-",VLOOKUP(T217,'CPI USA'!$T:$X,5,FALSE))</f>
        <v>-</v>
      </c>
      <c r="BB217" s="7"/>
    </row>
    <row r="218" spans="1:54" ht="15.75" customHeight="1">
      <c r="A218" s="185" t="s">
        <v>838</v>
      </c>
      <c r="B218" s="185" t="s">
        <v>839</v>
      </c>
      <c r="C218" s="243">
        <f>+'Empresas 21-23'!J213</f>
        <v>0</v>
      </c>
      <c r="D218" s="239">
        <f>VLOOKUP(A218,'FERC 2021'!$A$3:$BE$221,57,0)</f>
        <v>257664171</v>
      </c>
      <c r="E218" s="239">
        <f>VLOOKUP(A218,'FERC 2021'!$A$3:$BF$221,58,0)</f>
        <v>16857486</v>
      </c>
      <c r="F218" s="244" t="e">
        <f>VLOOKUP(A218,'FERC 2022'!$A$3:$BE$220,57,0)</f>
        <v>#N/A</v>
      </c>
      <c r="G218" s="244" t="e">
        <f>VLOOKUP(A218,'FERC 2022'!$A$3:$BF$220,58,0)</f>
        <v>#N/A</v>
      </c>
      <c r="H218" s="239">
        <f>VLOOKUP(A218,'FERC 2023'!$A$3:$BE$221,57,0)</f>
        <v>280935939</v>
      </c>
      <c r="I218" s="239">
        <f>VLOOKUP(A218,'FERC 2023'!$A$3:$BF$221,58,0)</f>
        <v>16310938</v>
      </c>
      <c r="J218" s="7"/>
      <c r="K218" s="7"/>
      <c r="L218" s="7"/>
      <c r="M218" s="187">
        <f t="shared" si="0"/>
        <v>15.284851549038807</v>
      </c>
      <c r="N218" s="187" t="str">
        <f t="shared" si="1"/>
        <v/>
      </c>
      <c r="O218" s="187">
        <f t="shared" si="2"/>
        <v>17.223775787756658</v>
      </c>
      <c r="P218" s="7"/>
      <c r="Q218" s="240">
        <f t="shared" si="3"/>
        <v>16.254313668397732</v>
      </c>
      <c r="R218" s="189" t="str">
        <f t="shared" ref="R218:T218" si="637">IF(ISERROR(R$5-365*$Q218),"-",MONTH(R$5-365*$Q218)&amp;"_"&amp;YEAR(R$5-365*$Q218))</f>
        <v>10_2005</v>
      </c>
      <c r="S218" s="189" t="str">
        <f t="shared" si="637"/>
        <v>10_2006</v>
      </c>
      <c r="T218" s="189" t="str">
        <f t="shared" si="637"/>
        <v>10_2007</v>
      </c>
      <c r="U218" s="7"/>
      <c r="V218" s="7"/>
      <c r="W218" s="190">
        <f>IF(R218="-","-",VLOOKUP(R218,'CPI USA'!$T:$U,2,FALSE))</f>
        <v>195.3</v>
      </c>
      <c r="X218" s="190">
        <f>IF(S218="-","-",VLOOKUP(S218,'CPI USA'!$T:$U,2,FALSE))</f>
        <v>201.6</v>
      </c>
      <c r="Y218" s="190">
        <f>IF(T218="-","-",VLOOKUP(T218,'CPI USA'!$T:$U,2,FALSE))</f>
        <v>207.34200000000001</v>
      </c>
      <c r="Z218" s="7"/>
      <c r="AA218" s="7"/>
      <c r="AB218" s="190">
        <f>IF(R218="-","-",VLOOKUP(R218,'PPI USA'!$S:$T,2,FALSE))</f>
        <v>131.30000000000001</v>
      </c>
      <c r="AC218" s="190">
        <f>IF(S218="-","-",VLOOKUP(S218,'PPI USA'!$S:$T,2,FALSE))</f>
        <v>145.30000000000001</v>
      </c>
      <c r="AD218" s="190">
        <f>IF(T218="-","-",VLOOKUP(T218,'PPI USA'!$S:$T,2,FALSE))</f>
        <v>151.69999999999999</v>
      </c>
      <c r="AE218" s="7"/>
      <c r="AF218" s="7"/>
      <c r="AG218" s="190">
        <f t="shared" ref="AG218:AI218" si="638">IF(W218="-","-",(AT218*$B$2/W218+(1-AT218)*AVERAGE($B$2,$B$3)/AVERAGE(W218,AB218)))</f>
        <v>1.6621774217199745</v>
      </c>
      <c r="AH218" s="190">
        <f t="shared" si="638"/>
        <v>1.595396421204319</v>
      </c>
      <c r="AI218" s="190">
        <f t="shared" si="638"/>
        <v>1.5480022216582647</v>
      </c>
      <c r="AJ218" s="7"/>
      <c r="AK218" s="7"/>
      <c r="AL218" s="190">
        <f t="shared" ref="AL218:AN218" si="639">IF(W218="-","-",(AY218*$B$2/W218+(1-AY218)*AVERAGE($B$2,$B$3)/AVERAGE(W218,AB218)))</f>
        <v>1.6905992787819408</v>
      </c>
      <c r="AM218" s="190">
        <f t="shared" si="639"/>
        <v>1.6147712829199015</v>
      </c>
      <c r="AN218" s="190">
        <f t="shared" si="639"/>
        <v>1.5651038394149617</v>
      </c>
      <c r="AO218" s="7"/>
      <c r="AP218" s="7"/>
      <c r="AQ218" s="7"/>
      <c r="AR218" s="7"/>
      <c r="AS218" s="7"/>
      <c r="AT218" s="242">
        <f>IF(R218="-","-",VLOOKUP(R218,'CPI USA'!$T:$V,3,FALSE))</f>
        <v>0.67888602568792966</v>
      </c>
      <c r="AU218" s="242">
        <f>IF(S218="-","-",VLOOKUP(S218,'CPI USA'!$T:$V,3,FALSE))</f>
        <v>0.67263024008352756</v>
      </c>
      <c r="AV218" s="242">
        <f>IF(T218="-","-",VLOOKUP(T218,'CPI USA'!$T:$V,3,FALSE))</f>
        <v>0.67123734379962852</v>
      </c>
      <c r="AW218" s="7"/>
      <c r="AX218" s="7"/>
      <c r="AY218" s="242">
        <f>IF(R218="-","-",VLOOKUP(R218,'CPI USA'!$T:$X,5,FALSE))</f>
        <v>0.50828944385363772</v>
      </c>
      <c r="AZ218" s="242">
        <f>IF(S218="-","-",VLOOKUP(S218,'CPI USA'!$T:$X,5,FALSE))</f>
        <v>0.50115228263529643</v>
      </c>
      <c r="BA218" s="242">
        <f>IF(T218="-","-",VLOOKUP(T218,'CPI USA'!$T:$X,5,FALSE))</f>
        <v>0.49957259686190569</v>
      </c>
      <c r="BB218" s="7"/>
    </row>
    <row r="219" spans="1:54" ht="15.75" customHeight="1">
      <c r="A219" s="185" t="s">
        <v>841</v>
      </c>
      <c r="B219" s="185" t="s">
        <v>842</v>
      </c>
      <c r="C219" s="239">
        <f>+'Empresas 21-23'!J214</f>
        <v>0</v>
      </c>
      <c r="D219" s="239">
        <f>VLOOKUP(A219,'FERC 2021'!$A$3:$BE$221,57,0)</f>
        <v>38171273</v>
      </c>
      <c r="E219" s="239">
        <f>VLOOKUP(A219,'FERC 2021'!$A$3:$BF$221,58,0)</f>
        <v>1564949</v>
      </c>
      <c r="F219" s="239">
        <f>VLOOKUP(A219,'FERC 2022'!$A$3:$BE$220,57,0)</f>
        <v>39375142</v>
      </c>
      <c r="G219" s="239">
        <f>VLOOKUP(A219,'FERC 2022'!$A$3:$BF$220,58,0)</f>
        <v>1592249</v>
      </c>
      <c r="H219" s="239">
        <f>VLOOKUP(A219,'FERC 2023'!$A$3:$BE$221,57,0)</f>
        <v>40727858</v>
      </c>
      <c r="I219" s="239">
        <f>VLOOKUP(A219,'FERC 2023'!$A$3:$BF$221,58,0)</f>
        <v>1662402</v>
      </c>
      <c r="J219" s="7"/>
      <c r="K219" s="7"/>
      <c r="L219" s="7"/>
      <c r="M219" s="187">
        <f t="shared" si="0"/>
        <v>24.391384639371633</v>
      </c>
      <c r="N219" s="187">
        <f t="shared" si="1"/>
        <v>24.729261566501219</v>
      </c>
      <c r="O219" s="187">
        <f t="shared" si="2"/>
        <v>24.499403874634414</v>
      </c>
      <c r="P219" s="7"/>
      <c r="Q219" s="240">
        <f t="shared" si="3"/>
        <v>24.540016693502423</v>
      </c>
      <c r="R219" s="189" t="str">
        <f t="shared" ref="R219:T219" si="640">IF(ISERROR(R$5-365*$Q219),"-",MONTH(R$5-365*$Q219)&amp;"_"&amp;YEAR(R$5-365*$Q219))</f>
        <v>6_1997</v>
      </c>
      <c r="S219" s="189" t="str">
        <f t="shared" si="640"/>
        <v>6_1998</v>
      </c>
      <c r="T219" s="189" t="str">
        <f t="shared" si="640"/>
        <v>6_1999</v>
      </c>
      <c r="U219" s="7"/>
      <c r="V219" s="7"/>
      <c r="W219" s="190">
        <f>IF(R219="-","-",VLOOKUP(R219,'CPI USA'!$T:$U,2,FALSE))</f>
        <v>160.5</v>
      </c>
      <c r="X219" s="190">
        <f>IF(S219="-","-",VLOOKUP(S219,'CPI USA'!$T:$U,2,FALSE))</f>
        <v>163</v>
      </c>
      <c r="Y219" s="190">
        <f>IF(T219="-","-",VLOOKUP(T219,'CPI USA'!$T:$U,2,FALSE))</f>
        <v>166.6</v>
      </c>
      <c r="Z219" s="7"/>
      <c r="AA219" s="7"/>
      <c r="AB219" s="190">
        <f>IF(R219="-","-",VLOOKUP(R219,'PPI USA'!$S:$T,2,FALSE))</f>
        <v>110</v>
      </c>
      <c r="AC219" s="190">
        <f>IF(S219="-","-",VLOOKUP(S219,'PPI USA'!$S:$T,2,FALSE))</f>
        <v>109.3</v>
      </c>
      <c r="AD219" s="190">
        <f>IF(T219="-","-",VLOOKUP(T219,'PPI USA'!$S:$T,2,FALSE))</f>
        <v>108.4</v>
      </c>
      <c r="AE219" s="7"/>
      <c r="AF219" s="7"/>
      <c r="AG219" s="190">
        <f t="shared" ref="AG219:AI219" si="641">IF(W219="-","-",(AT219*$B$2/W219+(1-AT219)*AVERAGE($B$2,$B$3)/AVERAGE(W219,AB219)))</f>
        <v>2.0175155944497032</v>
      </c>
      <c r="AH219" s="190">
        <f t="shared" si="641"/>
        <v>1.9922219446913065</v>
      </c>
      <c r="AI219" s="190">
        <f t="shared" si="641"/>
        <v>1.9566489114506975</v>
      </c>
      <c r="AJ219" s="7"/>
      <c r="AK219" s="7"/>
      <c r="AL219" s="190">
        <f t="shared" ref="AL219:AN219" si="642">IF(W219="-","-",(AY219*$B$2/W219+(1-AY219)*AVERAGE($B$2,$B$3)/AVERAGE(W219,AB219)))</f>
        <v>2.0492901763571165</v>
      </c>
      <c r="AM219" s="190">
        <f t="shared" si="642"/>
        <v>2.0266485694269241</v>
      </c>
      <c r="AN219" s="190">
        <f t="shared" si="642"/>
        <v>1.994527155423238</v>
      </c>
      <c r="AO219" s="7"/>
      <c r="AP219" s="7"/>
      <c r="AQ219" s="7"/>
      <c r="AR219" s="7"/>
      <c r="AS219" s="7"/>
      <c r="AT219" s="242">
        <f>IF(R219="-","-",VLOOKUP(R219,'CPI USA'!$T:$V,3,FALSE))</f>
        <v>0.67718789164898041</v>
      </c>
      <c r="AU219" s="242">
        <f>IF(S219="-","-",VLOOKUP(S219,'CPI USA'!$T:$V,3,FALSE))</f>
        <v>0.67911382420215016</v>
      </c>
      <c r="AV219" s="242">
        <f>IF(T219="-","-",VLOOKUP(T219,'CPI USA'!$T:$V,3,FALSE))</f>
        <v>0.68171861002498191</v>
      </c>
      <c r="AW219" s="7"/>
      <c r="AX219" s="7"/>
      <c r="AY219" s="242">
        <f>IF(R219="-","-",VLOOKUP(R219,'CPI USA'!$T:$X,5,FALSE))</f>
        <v>0.50634515954078119</v>
      </c>
      <c r="AZ219" s="242">
        <f>IF(S219="-","-",VLOOKUP(S219,'CPI USA'!$T:$X,5,FALSE))</f>
        <v>0.50855065569507585</v>
      </c>
      <c r="BA219" s="242">
        <f>IF(T219="-","-",VLOOKUP(T219,'CPI USA'!$T:$X,5,FALSE))</f>
        <v>0.51154414520416192</v>
      </c>
      <c r="BB219" s="7"/>
    </row>
    <row r="220" spans="1:54" ht="15.75" customHeight="1">
      <c r="A220" s="185" t="s">
        <v>844</v>
      </c>
      <c r="B220" s="185" t="s">
        <v>845</v>
      </c>
      <c r="C220" s="239">
        <f>+'Empresas 21-23'!J215</f>
        <v>0</v>
      </c>
      <c r="D220" s="239">
        <f>VLOOKUP(A220,'FERC 2021'!$A$3:$BE$221,57,0)</f>
        <v>25025575</v>
      </c>
      <c r="E220" s="239">
        <f>VLOOKUP(A220,'FERC 2021'!$A$3:$BF$221,58,0)</f>
        <v>1701269</v>
      </c>
      <c r="F220" s="239">
        <f>VLOOKUP(A220,'FERC 2022'!$A$3:$BE$220,57,0)</f>
        <v>26453529</v>
      </c>
      <c r="G220" s="239">
        <f>VLOOKUP(A220,'FERC 2022'!$A$3:$BF$220,58,0)</f>
        <v>1713626</v>
      </c>
      <c r="H220" s="239">
        <f>VLOOKUP(A220,'FERC 2023'!$A$3:$BE$221,57,0)</f>
        <v>27526364</v>
      </c>
      <c r="I220" s="239">
        <f>VLOOKUP(A220,'FERC 2023'!$A$3:$BF$221,58,0)</f>
        <v>1771047</v>
      </c>
      <c r="J220" s="7"/>
      <c r="K220" s="7"/>
      <c r="L220" s="7"/>
      <c r="M220" s="187">
        <f t="shared" si="0"/>
        <v>14.709945928598005</v>
      </c>
      <c r="N220" s="187">
        <f t="shared" si="1"/>
        <v>15.437165986043629</v>
      </c>
      <c r="O220" s="187">
        <f t="shared" si="2"/>
        <v>15.542424339952582</v>
      </c>
      <c r="P220" s="7"/>
      <c r="Q220" s="240">
        <f t="shared" si="3"/>
        <v>15.229845418198073</v>
      </c>
      <c r="R220" s="189" t="str">
        <f t="shared" ref="R220:T220" si="643">IF(ISERROR(R$5-365*$Q220),"-",MONTH(R$5-365*$Q220)&amp;"_"&amp;YEAR(R$5-365*$Q220))</f>
        <v>10_2006</v>
      </c>
      <c r="S220" s="189" t="str">
        <f t="shared" si="643"/>
        <v>10_2007</v>
      </c>
      <c r="T220" s="189" t="str">
        <f t="shared" si="643"/>
        <v>10_2008</v>
      </c>
      <c r="U220" s="7"/>
      <c r="V220" s="7"/>
      <c r="W220" s="190">
        <f>IF(R220="-","-",VLOOKUP(R220,'CPI USA'!$T:$U,2,FALSE))</f>
        <v>201.6</v>
      </c>
      <c r="X220" s="190">
        <f>IF(S220="-","-",VLOOKUP(S220,'CPI USA'!$T:$U,2,FALSE))</f>
        <v>207.34200000000001</v>
      </c>
      <c r="Y220" s="190">
        <f>IF(T220="-","-",VLOOKUP(T220,'CPI USA'!$T:$U,2,FALSE))</f>
        <v>215.303</v>
      </c>
      <c r="Z220" s="7"/>
      <c r="AA220" s="7"/>
      <c r="AB220" s="190">
        <f>IF(R220="-","-",VLOOKUP(R220,'PPI USA'!$S:$T,2,FALSE))</f>
        <v>145.30000000000001</v>
      </c>
      <c r="AC220" s="190">
        <f>IF(S220="-","-",VLOOKUP(S220,'PPI USA'!$S:$T,2,FALSE))</f>
        <v>151.69999999999999</v>
      </c>
      <c r="AD220" s="190">
        <f>IF(T220="-","-",VLOOKUP(T220,'PPI USA'!$S:$T,2,FALSE))</f>
        <v>159.30000000000001</v>
      </c>
      <c r="AE220" s="7"/>
      <c r="AF220" s="7"/>
      <c r="AG220" s="190">
        <f t="shared" ref="AG220:AI220" si="644">IF(W220="-","-",(AT220*$B$2/W220+(1-AT220)*AVERAGE($B$2,$B$3)/AVERAGE(W220,AB220)))</f>
        <v>1.595396421204319</v>
      </c>
      <c r="AH220" s="190">
        <f t="shared" si="644"/>
        <v>1.5480022216582647</v>
      </c>
      <c r="AI220" s="190">
        <f t="shared" si="644"/>
        <v>1.4884333659448254</v>
      </c>
      <c r="AJ220" s="7"/>
      <c r="AK220" s="7"/>
      <c r="AL220" s="190">
        <f t="shared" ref="AL220:AN220" si="645">IF(W220="-","-",(AY220*$B$2/W220+(1-AY220)*AVERAGE($B$2,$B$3)/AVERAGE(W220,AB220)))</f>
        <v>1.6147712829199015</v>
      </c>
      <c r="AM220" s="190">
        <f t="shared" si="645"/>
        <v>1.5651038394149617</v>
      </c>
      <c r="AN220" s="190">
        <f t="shared" si="645"/>
        <v>1.5036496327119213</v>
      </c>
      <c r="AO220" s="7"/>
      <c r="AP220" s="7"/>
      <c r="AQ220" s="7"/>
      <c r="AR220" s="7"/>
      <c r="AS220" s="7"/>
      <c r="AT220" s="242">
        <f>IF(R220="-","-",VLOOKUP(R220,'CPI USA'!$T:$V,3,FALSE))</f>
        <v>0.67263024008352756</v>
      </c>
      <c r="AU220" s="242">
        <f>IF(S220="-","-",VLOOKUP(S220,'CPI USA'!$T:$V,3,FALSE))</f>
        <v>0.67123734379962852</v>
      </c>
      <c r="AV220" s="242">
        <f>IF(T220="-","-",VLOOKUP(T220,'CPI USA'!$T:$V,3,FALSE))</f>
        <v>0.67018812038291731</v>
      </c>
      <c r="AW220" s="7"/>
      <c r="AX220" s="7"/>
      <c r="AY220" s="242">
        <f>IF(R220="-","-",VLOOKUP(R220,'CPI USA'!$T:$X,5,FALSE))</f>
        <v>0.50115228263529643</v>
      </c>
      <c r="AZ220" s="242">
        <f>IF(S220="-","-",VLOOKUP(S220,'CPI USA'!$T:$X,5,FALSE))</f>
        <v>0.49957259686190569</v>
      </c>
      <c r="BA220" s="242">
        <f>IF(T220="-","-",VLOOKUP(T220,'CPI USA'!$T:$X,5,FALSE))</f>
        <v>0.49838492968660258</v>
      </c>
      <c r="BB220" s="7"/>
    </row>
    <row r="221" spans="1:54" ht="15.75" customHeight="1">
      <c r="A221" s="185" t="s">
        <v>847</v>
      </c>
      <c r="B221" s="185" t="s">
        <v>848</v>
      </c>
      <c r="C221" s="243">
        <f>+'Empresas 21-23'!J216</f>
        <v>0</v>
      </c>
      <c r="D221" s="239">
        <f>VLOOKUP(A221,'FERC 2021'!$A$3:$BE$221,57,0)</f>
        <v>270264631</v>
      </c>
      <c r="E221" s="239">
        <f>VLOOKUP(A221,'FERC 2021'!$A$3:$BF$221,58,0)</f>
        <v>26464717</v>
      </c>
      <c r="F221" s="244" t="e">
        <f>VLOOKUP(A221,'FERC 2022'!$A$3:$BE$220,57,0)</f>
        <v>#N/A</v>
      </c>
      <c r="G221" s="244" t="e">
        <f>VLOOKUP(A221,'FERC 2022'!$A$3:$BF$220,58,0)</f>
        <v>#N/A</v>
      </c>
      <c r="H221" s="244" t="e">
        <f>VLOOKUP(A221,'FERC 2023'!$A$3:$BE$221,57,0)</f>
        <v>#N/A</v>
      </c>
      <c r="I221" s="244" t="e">
        <f>VLOOKUP(A221,'FERC 2023'!$A$3:$BF$221,58,0)</f>
        <v>#N/A</v>
      </c>
      <c r="J221" s="7"/>
      <c r="K221" s="7"/>
      <c r="L221" s="7"/>
      <c r="M221" s="187">
        <f t="shared" si="0"/>
        <v>10.212262273577307</v>
      </c>
      <c r="N221" s="187" t="str">
        <f t="shared" si="1"/>
        <v/>
      </c>
      <c r="O221" s="187" t="str">
        <f t="shared" si="2"/>
        <v/>
      </c>
      <c r="P221" s="7"/>
      <c r="Q221" s="240">
        <f t="shared" si="3"/>
        <v>10.212262273577307</v>
      </c>
      <c r="R221" s="189" t="str">
        <f t="shared" ref="R221:T221" si="646">IF(ISERROR(R$5-365*$Q221),"-",MONTH(R$5-365*$Q221)&amp;"_"&amp;YEAR(R$5-365*$Q221))</f>
        <v>10_2011</v>
      </c>
      <c r="S221" s="189" t="str">
        <f t="shared" si="646"/>
        <v>10_2012</v>
      </c>
      <c r="T221" s="189" t="str">
        <f t="shared" si="646"/>
        <v>10_2013</v>
      </c>
      <c r="U221" s="7"/>
      <c r="V221" s="7"/>
      <c r="W221" s="190">
        <f>IF(R221="-","-",VLOOKUP(R221,'CPI USA'!$T:$U,2,FALSE))</f>
        <v>224.93899999999999</v>
      </c>
      <c r="X221" s="190">
        <f>IF(S221="-","-",VLOOKUP(S221,'CPI USA'!$T:$U,2,FALSE))</f>
        <v>229.59399999999999</v>
      </c>
      <c r="Y221" s="190">
        <f>IF(T221="-","-",VLOOKUP(T221,'CPI USA'!$T:$U,2,FALSE))</f>
        <v>233.54599999999999</v>
      </c>
      <c r="Z221" s="7"/>
      <c r="AA221" s="7"/>
      <c r="AB221" s="190">
        <f>IF(R221="-","-",VLOOKUP(R221,'PPI USA'!$S:$T,2,FALSE))</f>
        <v>169.6</v>
      </c>
      <c r="AC221" s="190">
        <f>IF(S221="-","-",VLOOKUP(S221,'PPI USA'!$S:$T,2,FALSE))</f>
        <v>175.1</v>
      </c>
      <c r="AD221" s="190">
        <f>IF(T221="-","-",VLOOKUP(T221,'PPI USA'!$S:$T,2,FALSE))</f>
        <v>167.8</v>
      </c>
      <c r="AE221" s="7"/>
      <c r="AF221" s="7"/>
      <c r="AG221" s="190">
        <f t="shared" ref="AG221:AI221" si="647">IF(W221="-","-",(AT221*$B$2/W221+(1-AT221)*AVERAGE($B$2,$B$3)/AVERAGE(W221,AB221)))</f>
        <v>1.4208751760332547</v>
      </c>
      <c r="AH221" s="190">
        <f t="shared" si="647"/>
        <v>1.3897894616766442</v>
      </c>
      <c r="AI221" s="190">
        <f t="shared" si="647"/>
        <v>1.3777427925278192</v>
      </c>
      <c r="AJ221" s="7"/>
      <c r="AK221" s="7"/>
      <c r="AL221" s="190">
        <f t="shared" ref="AL221:AN221" si="648">IF(W221="-","-",(AY221*$B$2/W221+(1-AY221)*AVERAGE($B$2,$B$3)/AVERAGE(W221,AB221)))</f>
        <v>1.4334111417560953</v>
      </c>
      <c r="AM221" s="190">
        <f t="shared" si="648"/>
        <v>1.4008620811189902</v>
      </c>
      <c r="AN221" s="190">
        <f t="shared" si="648"/>
        <v>1.3947851130840843</v>
      </c>
      <c r="AO221" s="7"/>
      <c r="AP221" s="7"/>
      <c r="AQ221" s="7"/>
      <c r="AR221" s="7"/>
      <c r="AS221" s="7"/>
      <c r="AT221" s="242">
        <f>IF(R221="-","-",VLOOKUP(R221,'CPI USA'!$T:$V,3,FALSE))</f>
        <v>0.6684022975047168</v>
      </c>
      <c r="AU221" s="242">
        <f>IF(S221="-","-",VLOOKUP(S221,'CPI USA'!$T:$V,3,FALSE))</f>
        <v>0.66730871354337351</v>
      </c>
      <c r="AV221" s="242">
        <f>IF(T221="-","-",VLOOKUP(T221,'CPI USA'!$T:$V,3,FALSE))</f>
        <v>0.67305131835944076</v>
      </c>
      <c r="AW221" s="7"/>
      <c r="AX221" s="7"/>
      <c r="AY221" s="242">
        <f>IF(R221="-","-",VLOOKUP(R221,'CPI USA'!$T:$X,5,FALSE))</f>
        <v>0.49636791791307899</v>
      </c>
      <c r="AZ221" s="242">
        <f>IF(S221="-","-",VLOOKUP(S221,'CPI USA'!$T:$X,5,FALSE))</f>
        <v>0.49513551903851311</v>
      </c>
      <c r="BA221" s="242">
        <f>IF(T221="-","-",VLOOKUP(T221,'CPI USA'!$T:$X,5,FALSE))</f>
        <v>0.50163050295255052</v>
      </c>
      <c r="BB221" s="7"/>
    </row>
    <row r="222" spans="1:54" ht="15.75" customHeight="1">
      <c r="A222" s="185" t="s">
        <v>850</v>
      </c>
      <c r="B222" s="185" t="s">
        <v>851</v>
      </c>
      <c r="C222" s="239">
        <f>+'Empresas 21-23'!J217</f>
        <v>0</v>
      </c>
      <c r="D222" s="239">
        <f>VLOOKUP(A222,'FERC 2021'!$A$3:$BE$221,57,0)</f>
        <v>12403884</v>
      </c>
      <c r="E222" s="239">
        <f>VLOOKUP(A222,'FERC 2021'!$A$3:$BF$221,58,0)</f>
        <v>711238</v>
      </c>
      <c r="F222" s="239">
        <f>VLOOKUP(A222,'FERC 2022'!$A$3:$BE$220,57,0)</f>
        <v>12767232</v>
      </c>
      <c r="G222" s="239">
        <f>VLOOKUP(A222,'FERC 2022'!$A$3:$BF$220,58,0)</f>
        <v>758913</v>
      </c>
      <c r="H222" s="239">
        <f>VLOOKUP(A222,'FERC 2023'!$A$3:$BE$221,57,0)</f>
        <v>13255999</v>
      </c>
      <c r="I222" s="239">
        <f>VLOOKUP(A222,'FERC 2023'!$A$3:$BF$221,58,0)</f>
        <v>981426</v>
      </c>
      <c r="J222" s="7"/>
      <c r="K222" s="7"/>
      <c r="L222" s="7"/>
      <c r="M222" s="187">
        <f t="shared" si="0"/>
        <v>17.439849951774232</v>
      </c>
      <c r="N222" s="187">
        <f t="shared" si="1"/>
        <v>16.823050863537716</v>
      </c>
      <c r="O222" s="187">
        <f t="shared" si="2"/>
        <v>13.506875709426895</v>
      </c>
      <c r="P222" s="7"/>
      <c r="Q222" s="240">
        <f t="shared" si="3"/>
        <v>15.923258841579615</v>
      </c>
      <c r="R222" s="189" t="str">
        <f t="shared" ref="R222:T222" si="649">IF(ISERROR(R$5-365*$Q222),"-",MONTH(R$5-365*$Q222)&amp;"_"&amp;YEAR(R$5-365*$Q222))</f>
        <v>2_2006</v>
      </c>
      <c r="S222" s="189" t="str">
        <f t="shared" si="649"/>
        <v>2_2007</v>
      </c>
      <c r="T222" s="189" t="str">
        <f t="shared" si="649"/>
        <v>2_2008</v>
      </c>
      <c r="U222" s="7"/>
      <c r="V222" s="7"/>
      <c r="W222" s="190">
        <f>IF(R222="-","-",VLOOKUP(R222,'CPI USA'!$T:$U,2,FALSE))</f>
        <v>201.6</v>
      </c>
      <c r="X222" s="190">
        <f>IF(S222="-","-",VLOOKUP(S222,'CPI USA'!$T:$U,2,FALSE))</f>
        <v>207.34200000000001</v>
      </c>
      <c r="Y222" s="190">
        <f>IF(T222="-","-",VLOOKUP(T222,'CPI USA'!$T:$U,2,FALSE))</f>
        <v>215.303</v>
      </c>
      <c r="Z222" s="7"/>
      <c r="AA222" s="7"/>
      <c r="AB222" s="190">
        <f>IF(R222="-","-",VLOOKUP(R222,'PPI USA'!$S:$T,2,FALSE))</f>
        <v>145.30000000000001</v>
      </c>
      <c r="AC222" s="190">
        <f>IF(S222="-","-",VLOOKUP(S222,'PPI USA'!$S:$T,2,FALSE))</f>
        <v>151.69999999999999</v>
      </c>
      <c r="AD222" s="190">
        <f>IF(T222="-","-",VLOOKUP(T222,'PPI USA'!$S:$T,2,FALSE))</f>
        <v>159.30000000000001</v>
      </c>
      <c r="AE222" s="7"/>
      <c r="AF222" s="7"/>
      <c r="AG222" s="190">
        <f t="shared" ref="AG222:AI222" si="650">IF(W222="-","-",(AT222*$B$2/W222+(1-AT222)*AVERAGE($B$2,$B$3)/AVERAGE(W222,AB222)))</f>
        <v>1.595396421204319</v>
      </c>
      <c r="AH222" s="190">
        <f t="shared" si="650"/>
        <v>1.5480022216582647</v>
      </c>
      <c r="AI222" s="190">
        <f t="shared" si="650"/>
        <v>1.4884333659448254</v>
      </c>
      <c r="AJ222" s="7"/>
      <c r="AK222" s="7"/>
      <c r="AL222" s="190">
        <f t="shared" ref="AL222:AN222" si="651">IF(W222="-","-",(AY222*$B$2/W222+(1-AY222)*AVERAGE($B$2,$B$3)/AVERAGE(W222,AB222)))</f>
        <v>1.6147712829199015</v>
      </c>
      <c r="AM222" s="190">
        <f t="shared" si="651"/>
        <v>1.5651038394149617</v>
      </c>
      <c r="AN222" s="190">
        <f t="shared" si="651"/>
        <v>1.5036496327119213</v>
      </c>
      <c r="AO222" s="7"/>
      <c r="AP222" s="7"/>
      <c r="AQ222" s="7"/>
      <c r="AR222" s="7"/>
      <c r="AS222" s="7"/>
      <c r="AT222" s="242">
        <f>IF(R222="-","-",VLOOKUP(R222,'CPI USA'!$T:$V,3,FALSE))</f>
        <v>0.67263024008352756</v>
      </c>
      <c r="AU222" s="242">
        <f>IF(S222="-","-",VLOOKUP(S222,'CPI USA'!$T:$V,3,FALSE))</f>
        <v>0.67123734379962852</v>
      </c>
      <c r="AV222" s="242">
        <f>IF(T222="-","-",VLOOKUP(T222,'CPI USA'!$T:$V,3,FALSE))</f>
        <v>0.67018812038291731</v>
      </c>
      <c r="AW222" s="7"/>
      <c r="AX222" s="7"/>
      <c r="AY222" s="242">
        <f>IF(R222="-","-",VLOOKUP(R222,'CPI USA'!$T:$X,5,FALSE))</f>
        <v>0.50115228263529643</v>
      </c>
      <c r="AZ222" s="242">
        <f>IF(S222="-","-",VLOOKUP(S222,'CPI USA'!$T:$X,5,FALSE))</f>
        <v>0.49957259686190569</v>
      </c>
      <c r="BA222" s="242">
        <f>IF(T222="-","-",VLOOKUP(T222,'CPI USA'!$T:$X,5,FALSE))</f>
        <v>0.49838492968660258</v>
      </c>
      <c r="BB222" s="7"/>
    </row>
    <row r="223" spans="1:54" ht="15.75" customHeight="1">
      <c r="A223" s="185" t="s">
        <v>853</v>
      </c>
      <c r="B223" s="185" t="s">
        <v>854</v>
      </c>
      <c r="C223" s="243">
        <f>+'Empresas 21-23'!J218</f>
        <v>0</v>
      </c>
      <c r="D223" s="239">
        <f>VLOOKUP(A223,'FERC 2021'!$A$3:$BE$221,57,0)</f>
        <v>0</v>
      </c>
      <c r="E223" s="239">
        <f>VLOOKUP(A223,'FERC 2021'!$A$3:$BF$221,58,0)</f>
        <v>0</v>
      </c>
      <c r="F223" s="239">
        <f>VLOOKUP(A223,'FERC 2022'!$A$3:$BE$220,57,0)</f>
        <v>0</v>
      </c>
      <c r="G223" s="239">
        <f>VLOOKUP(A223,'FERC 2022'!$A$3:$BF$220,58,0)</f>
        <v>0</v>
      </c>
      <c r="H223" s="244" t="e">
        <f>VLOOKUP(A223,'FERC 2023'!$A$3:$BE$221,57,0)</f>
        <v>#N/A</v>
      </c>
      <c r="I223" s="244" t="e">
        <f>VLOOKUP(A223,'FERC 2023'!$A$3:$BF$221,58,0)</f>
        <v>#N/A</v>
      </c>
      <c r="J223" s="7"/>
      <c r="K223" s="7"/>
      <c r="L223" s="7"/>
      <c r="M223" s="187" t="str">
        <f t="shared" si="0"/>
        <v/>
      </c>
      <c r="N223" s="187" t="str">
        <f t="shared" si="1"/>
        <v/>
      </c>
      <c r="O223" s="187" t="str">
        <f t="shared" si="2"/>
        <v/>
      </c>
      <c r="P223" s="7"/>
      <c r="Q223" s="240" t="str">
        <f t="shared" si="3"/>
        <v>-</v>
      </c>
      <c r="R223" s="189" t="str">
        <f t="shared" ref="R223:T223" si="652">IF(ISERROR(R$5-365*$Q223),"-",MONTH(R$5-365*$Q223)&amp;"_"&amp;YEAR(R$5-365*$Q223))</f>
        <v>-</v>
      </c>
      <c r="S223" s="189" t="str">
        <f t="shared" si="652"/>
        <v>-</v>
      </c>
      <c r="T223" s="189" t="str">
        <f t="shared" si="652"/>
        <v>-</v>
      </c>
      <c r="U223" s="7"/>
      <c r="V223" s="7"/>
      <c r="W223" s="190" t="str">
        <f>IF(R223="-","-",VLOOKUP(R223,'CPI USA'!$T:$U,2,FALSE))</f>
        <v>-</v>
      </c>
      <c r="X223" s="190" t="str">
        <f>IF(S223="-","-",VLOOKUP(S223,'CPI USA'!$T:$U,2,FALSE))</f>
        <v>-</v>
      </c>
      <c r="Y223" s="190" t="str">
        <f>IF(T223="-","-",VLOOKUP(T223,'CPI USA'!$T:$U,2,FALSE))</f>
        <v>-</v>
      </c>
      <c r="Z223" s="7"/>
      <c r="AA223" s="7"/>
      <c r="AB223" s="190" t="str">
        <f>IF(R223="-","-",VLOOKUP(R223,'PPI USA'!$S:$T,2,FALSE))</f>
        <v>-</v>
      </c>
      <c r="AC223" s="190" t="str">
        <f>IF(S223="-","-",VLOOKUP(S223,'PPI USA'!$S:$T,2,FALSE))</f>
        <v>-</v>
      </c>
      <c r="AD223" s="190" t="str">
        <f>IF(T223="-","-",VLOOKUP(T223,'PPI USA'!$S:$T,2,FALSE))</f>
        <v>-</v>
      </c>
      <c r="AE223" s="7"/>
      <c r="AF223" s="7"/>
      <c r="AG223" s="190" t="str">
        <f t="shared" ref="AG223:AI223" si="653">IF(W223="-","-",(AT223*$B$2/W223+(1-AT223)*AVERAGE($B$2,$B$3)/AVERAGE(W223,AB223)))</f>
        <v>-</v>
      </c>
      <c r="AH223" s="190" t="str">
        <f t="shared" si="653"/>
        <v>-</v>
      </c>
      <c r="AI223" s="190" t="str">
        <f t="shared" si="653"/>
        <v>-</v>
      </c>
      <c r="AJ223" s="7"/>
      <c r="AK223" s="7"/>
      <c r="AL223" s="190" t="str">
        <f t="shared" ref="AL223:AN223" si="654">IF(W223="-","-",(AY223*$B$2/W223+(1-AY223)*AVERAGE($B$2,$B$3)/AVERAGE(W223,AB223)))</f>
        <v>-</v>
      </c>
      <c r="AM223" s="190" t="str">
        <f t="shared" si="654"/>
        <v>-</v>
      </c>
      <c r="AN223" s="190" t="str">
        <f t="shared" si="654"/>
        <v>-</v>
      </c>
      <c r="AO223" s="7"/>
      <c r="AP223" s="7"/>
      <c r="AQ223" s="7"/>
      <c r="AR223" s="7"/>
      <c r="AS223" s="7"/>
      <c r="AT223" s="242" t="str">
        <f>IF(R223="-","-",VLOOKUP(R223,'CPI USA'!$T:$V,3,FALSE))</f>
        <v>-</v>
      </c>
      <c r="AU223" s="242" t="str">
        <f>IF(S223="-","-",VLOOKUP(S223,'CPI USA'!$T:$V,3,FALSE))</f>
        <v>-</v>
      </c>
      <c r="AV223" s="242" t="str">
        <f>IF(T223="-","-",VLOOKUP(T223,'CPI USA'!$T:$V,3,FALSE))</f>
        <v>-</v>
      </c>
      <c r="AW223" s="7"/>
      <c r="AX223" s="7"/>
      <c r="AY223" s="242" t="str">
        <f>IF(R223="-","-",VLOOKUP(R223,'CPI USA'!$T:$X,5,FALSE))</f>
        <v>-</v>
      </c>
      <c r="AZ223" s="242" t="str">
        <f>IF(S223="-","-",VLOOKUP(S223,'CPI USA'!$T:$X,5,FALSE))</f>
        <v>-</v>
      </c>
      <c r="BA223" s="242" t="str">
        <f>IF(T223="-","-",VLOOKUP(T223,'CPI USA'!$T:$X,5,FALSE))</f>
        <v>-</v>
      </c>
      <c r="BB223" s="7"/>
    </row>
    <row r="224" spans="1:54" ht="15.75" customHeight="1">
      <c r="A224" s="185" t="s">
        <v>856</v>
      </c>
      <c r="B224" s="185" t="s">
        <v>857</v>
      </c>
      <c r="C224" s="243">
        <f>+'Empresas 21-23'!J219</f>
        <v>0</v>
      </c>
      <c r="D224" s="239">
        <f>VLOOKUP(A224,'FERC 2021'!$A$3:$BE$221,57,0)</f>
        <v>0</v>
      </c>
      <c r="E224" s="239">
        <f>VLOOKUP(A224,'FERC 2021'!$A$3:$BF$221,58,0)</f>
        <v>0</v>
      </c>
      <c r="F224" s="239">
        <f>VLOOKUP(A224,'FERC 2022'!$A$3:$BE$220,57,0)</f>
        <v>0</v>
      </c>
      <c r="G224" s="239">
        <f>VLOOKUP(A224,'FERC 2022'!$A$3:$BF$220,58,0)</f>
        <v>0</v>
      </c>
      <c r="H224" s="239">
        <f>VLOOKUP(A224,'FERC 2023'!$A$3:$BE$221,57,0)</f>
        <v>0</v>
      </c>
      <c r="I224" s="239">
        <f>VLOOKUP(A224,'FERC 2023'!$A$3:$BF$221,58,0)</f>
        <v>0</v>
      </c>
      <c r="J224" s="7"/>
      <c r="K224" s="7"/>
      <c r="L224" s="7"/>
      <c r="M224" s="187" t="str">
        <f t="shared" si="0"/>
        <v/>
      </c>
      <c r="N224" s="187" t="str">
        <f t="shared" si="1"/>
        <v/>
      </c>
      <c r="O224" s="187" t="str">
        <f t="shared" si="2"/>
        <v/>
      </c>
      <c r="P224" s="7"/>
      <c r="Q224" s="240" t="str">
        <f t="shared" si="3"/>
        <v>-</v>
      </c>
      <c r="R224" s="189" t="str">
        <f t="shared" ref="R224:T224" si="655">IF(ISERROR(R$5-365*$Q224),"-",MONTH(R$5-365*$Q224)&amp;"_"&amp;YEAR(R$5-365*$Q224))</f>
        <v>-</v>
      </c>
      <c r="S224" s="189" t="str">
        <f t="shared" si="655"/>
        <v>-</v>
      </c>
      <c r="T224" s="189" t="str">
        <f t="shared" si="655"/>
        <v>-</v>
      </c>
      <c r="U224" s="7"/>
      <c r="V224" s="7"/>
      <c r="W224" s="190" t="str">
        <f>IF(R224="-","-",VLOOKUP(R224,'CPI USA'!$T:$U,2,FALSE))</f>
        <v>-</v>
      </c>
      <c r="X224" s="190" t="str">
        <f>IF(S224="-","-",VLOOKUP(S224,'CPI USA'!$T:$U,2,FALSE))</f>
        <v>-</v>
      </c>
      <c r="Y224" s="190" t="str">
        <f>IF(T224="-","-",VLOOKUP(T224,'CPI USA'!$T:$U,2,FALSE))</f>
        <v>-</v>
      </c>
      <c r="Z224" s="7"/>
      <c r="AA224" s="7"/>
      <c r="AB224" s="190" t="str">
        <f>IF(R224="-","-",VLOOKUP(R224,'PPI USA'!$S:$T,2,FALSE))</f>
        <v>-</v>
      </c>
      <c r="AC224" s="190" t="str">
        <f>IF(S224="-","-",VLOOKUP(S224,'PPI USA'!$S:$T,2,FALSE))</f>
        <v>-</v>
      </c>
      <c r="AD224" s="190" t="str">
        <f>IF(T224="-","-",VLOOKUP(T224,'PPI USA'!$S:$T,2,FALSE))</f>
        <v>-</v>
      </c>
      <c r="AE224" s="7"/>
      <c r="AF224" s="7"/>
      <c r="AG224" s="190" t="str">
        <f t="shared" ref="AG224:AI224" si="656">IF(W224="-","-",(AT224*$B$2/W224+(1-AT224)*AVERAGE($B$2,$B$3)/AVERAGE(W224,AB224)))</f>
        <v>-</v>
      </c>
      <c r="AH224" s="190" t="str">
        <f t="shared" si="656"/>
        <v>-</v>
      </c>
      <c r="AI224" s="190" t="str">
        <f t="shared" si="656"/>
        <v>-</v>
      </c>
      <c r="AJ224" s="7"/>
      <c r="AK224" s="7"/>
      <c r="AL224" s="190" t="str">
        <f t="shared" ref="AL224:AN224" si="657">IF(W224="-","-",(AY224*$B$2/W224+(1-AY224)*AVERAGE($B$2,$B$3)/AVERAGE(W224,AB224)))</f>
        <v>-</v>
      </c>
      <c r="AM224" s="190" t="str">
        <f t="shared" si="657"/>
        <v>-</v>
      </c>
      <c r="AN224" s="190" t="str">
        <f t="shared" si="657"/>
        <v>-</v>
      </c>
      <c r="AO224" s="7"/>
      <c r="AP224" s="7"/>
      <c r="AQ224" s="7"/>
      <c r="AR224" s="7"/>
      <c r="AS224" s="7"/>
      <c r="AT224" s="242" t="str">
        <f>IF(R224="-","-",VLOOKUP(R224,'CPI USA'!$T:$V,3,FALSE))</f>
        <v>-</v>
      </c>
      <c r="AU224" s="242" t="str">
        <f>IF(S224="-","-",VLOOKUP(S224,'CPI USA'!$T:$V,3,FALSE))</f>
        <v>-</v>
      </c>
      <c r="AV224" s="242" t="str">
        <f>IF(T224="-","-",VLOOKUP(T224,'CPI USA'!$T:$V,3,FALSE))</f>
        <v>-</v>
      </c>
      <c r="AW224" s="7"/>
      <c r="AX224" s="7"/>
      <c r="AY224" s="242" t="str">
        <f>IF(R224="-","-",VLOOKUP(R224,'CPI USA'!$T:$X,5,FALSE))</f>
        <v>-</v>
      </c>
      <c r="AZ224" s="242" t="str">
        <f>IF(S224="-","-",VLOOKUP(S224,'CPI USA'!$T:$X,5,FALSE))</f>
        <v>-</v>
      </c>
      <c r="BA224" s="242" t="str">
        <f>IF(T224="-","-",VLOOKUP(T224,'CPI USA'!$T:$X,5,FALSE))</f>
        <v>-</v>
      </c>
      <c r="BB224" s="7"/>
    </row>
    <row r="225" spans="1:54" ht="15.75" customHeight="1">
      <c r="A225" s="185" t="s">
        <v>859</v>
      </c>
      <c r="B225" s="185" t="s">
        <v>860</v>
      </c>
      <c r="C225" s="243">
        <f>+'Empresas 21-23'!J220</f>
        <v>0</v>
      </c>
      <c r="D225" s="239">
        <f>VLOOKUP(A225,'FERC 2021'!$A$3:$BE$221,57,0)</f>
        <v>22640062</v>
      </c>
      <c r="E225" s="239">
        <f>VLOOKUP(A225,'FERC 2021'!$A$3:$BF$221,58,0)</f>
        <v>1796144</v>
      </c>
      <c r="F225" s="239">
        <f>VLOOKUP(A225,'FERC 2022'!$A$3:$BE$220,57,0)</f>
        <v>23787029</v>
      </c>
      <c r="G225" s="239">
        <f>VLOOKUP(A225,'FERC 2022'!$A$3:$BF$220,58,0)</f>
        <v>1853535</v>
      </c>
      <c r="H225" s="239">
        <f>VLOOKUP(A225,'FERC 2023'!$A$3:$BE$221,57,0)</f>
        <v>24968530</v>
      </c>
      <c r="I225" s="239">
        <f>VLOOKUP(A225,'FERC 2023'!$A$3:$BF$221,58,0)</f>
        <v>1920099</v>
      </c>
      <c r="J225" s="7"/>
      <c r="K225" s="7"/>
      <c r="L225" s="7"/>
      <c r="M225" s="187">
        <f t="shared" si="0"/>
        <v>12.604814536028291</v>
      </c>
      <c r="N225" s="187">
        <f t="shared" si="1"/>
        <v>12.833331445049595</v>
      </c>
      <c r="O225" s="187">
        <f t="shared" si="2"/>
        <v>13.003772201329202</v>
      </c>
      <c r="P225" s="7"/>
      <c r="Q225" s="240">
        <f t="shared" si="3"/>
        <v>12.81397272746903</v>
      </c>
      <c r="R225" s="189" t="str">
        <f t="shared" ref="R225:T225" si="658">IF(ISERROR(R$5-365*$Q225),"-",MONTH(R$5-365*$Q225)&amp;"_"&amp;YEAR(R$5-365*$Q225))</f>
        <v>3_2009</v>
      </c>
      <c r="S225" s="189" t="str">
        <f t="shared" si="658"/>
        <v>3_2010</v>
      </c>
      <c r="T225" s="189" t="str">
        <f t="shared" si="658"/>
        <v>3_2011</v>
      </c>
      <c r="U225" s="7"/>
      <c r="V225" s="7"/>
      <c r="W225" s="190">
        <f>IF(R225="-","-",VLOOKUP(R225,'CPI USA'!$T:$U,2,FALSE))</f>
        <v>214.53700000000001</v>
      </c>
      <c r="X225" s="190">
        <f>IF(S225="-","-",VLOOKUP(S225,'CPI USA'!$T:$U,2,FALSE))</f>
        <v>218.05600000000001</v>
      </c>
      <c r="Y225" s="190">
        <f>IF(T225="-","-",VLOOKUP(T225,'CPI USA'!$T:$U,2,FALSE))</f>
        <v>224.93899999999999</v>
      </c>
      <c r="Z225" s="7"/>
      <c r="AA225" s="7"/>
      <c r="AB225" s="190">
        <f>IF(R225="-","-",VLOOKUP(R225,'PPI USA'!$S:$T,2,FALSE))</f>
        <v>159.1</v>
      </c>
      <c r="AC225" s="190">
        <f>IF(S225="-","-",VLOOKUP(S225,'PPI USA'!$S:$T,2,FALSE))</f>
        <v>160.80000000000001</v>
      </c>
      <c r="AD225" s="190">
        <f>IF(T225="-","-",VLOOKUP(T225,'PPI USA'!$S:$T,2,FALSE))</f>
        <v>169.6</v>
      </c>
      <c r="AE225" s="7"/>
      <c r="AF225" s="7"/>
      <c r="AG225" s="190">
        <f t="shared" ref="AG225:AI225" si="659">IF(W225="-","-",(AT225*$B$2/W225+(1-AT225)*AVERAGE($B$2,$B$3)/AVERAGE(W225,AB225)))</f>
        <v>1.4932638886873792</v>
      </c>
      <c r="AH225" s="190">
        <f t="shared" si="659"/>
        <v>1.4703278680244813</v>
      </c>
      <c r="AI225" s="190">
        <f t="shared" si="659"/>
        <v>1.4208751760332547</v>
      </c>
      <c r="AJ225" s="7"/>
      <c r="AK225" s="7"/>
      <c r="AL225" s="190">
        <f t="shared" ref="AL225:AN225" si="660">IF(W225="-","-",(AY225*$B$2/W225+(1-AY225)*AVERAGE($B$2,$B$3)/AVERAGE(W225,AB225)))</f>
        <v>1.5082750176818205</v>
      </c>
      <c r="AM225" s="190">
        <f t="shared" si="660"/>
        <v>1.4857204383544427</v>
      </c>
      <c r="AN225" s="190">
        <f t="shared" si="660"/>
        <v>1.4334111417560953</v>
      </c>
      <c r="AO225" s="7"/>
      <c r="AP225" s="7"/>
      <c r="AQ225" s="7"/>
      <c r="AR225" s="7"/>
      <c r="AS225" s="7"/>
      <c r="AT225" s="242">
        <f>IF(R225="-","-",VLOOKUP(R225,'CPI USA'!$T:$V,3,FALSE))</f>
        <v>0.66997101349938215</v>
      </c>
      <c r="AU225" s="242">
        <f>IF(S225="-","-",VLOOKUP(S225,'CPI USA'!$T:$V,3,FALSE))</f>
        <v>0.67050107279443949</v>
      </c>
      <c r="AV225" s="242">
        <f>IF(T225="-","-",VLOOKUP(T225,'CPI USA'!$T:$V,3,FALSE))</f>
        <v>0.6684022975047168</v>
      </c>
      <c r="AW225" s="7"/>
      <c r="AX225" s="7"/>
      <c r="AY225" s="242">
        <f>IF(R225="-","-",VLOOKUP(R225,'CPI USA'!$T:$X,5,FALSE))</f>
        <v>0.49813941766071862</v>
      </c>
      <c r="AZ225" s="242">
        <f>IF(S225="-","-",VLOOKUP(S225,'CPI USA'!$T:$X,5,FALSE))</f>
        <v>0.4987389730136107</v>
      </c>
      <c r="BA225" s="242">
        <f>IF(T225="-","-",VLOOKUP(T225,'CPI USA'!$T:$X,5,FALSE))</f>
        <v>0.49636791791307899</v>
      </c>
      <c r="BB225" s="7"/>
    </row>
    <row r="226" spans="1:54" ht="15.75" customHeight="1">
      <c r="A226" s="185" t="s">
        <v>862</v>
      </c>
      <c r="B226" s="185" t="s">
        <v>863</v>
      </c>
      <c r="C226" s="239">
        <f>+'Empresas 21-23'!J221</f>
        <v>0</v>
      </c>
      <c r="D226" s="239">
        <f>VLOOKUP(A226,'FERC 2021'!$A$3:$BE$221,57,0)</f>
        <v>138279273</v>
      </c>
      <c r="E226" s="239">
        <f>VLOOKUP(A226,'FERC 2021'!$A$3:$BF$221,58,0)</f>
        <v>8875201</v>
      </c>
      <c r="F226" s="239">
        <f>VLOOKUP(A226,'FERC 2022'!$A$3:$BE$220,57,0)</f>
        <v>145051807</v>
      </c>
      <c r="G226" s="239">
        <f>VLOOKUP(A226,'FERC 2022'!$A$3:$BF$220,58,0)</f>
        <v>9063698</v>
      </c>
      <c r="H226" s="239">
        <f>VLOOKUP(A226,'FERC 2023'!$A$3:$BE$221,57,0)</f>
        <v>146817288</v>
      </c>
      <c r="I226" s="239">
        <f>VLOOKUP(A226,'FERC 2023'!$A$3:$BF$221,58,0)</f>
        <v>9072778</v>
      </c>
      <c r="J226" s="7"/>
      <c r="K226" s="7"/>
      <c r="L226" s="7"/>
      <c r="M226" s="187">
        <f t="shared" si="0"/>
        <v>15.580410291552834</v>
      </c>
      <c r="N226" s="187">
        <f t="shared" si="1"/>
        <v>16.003601068791127</v>
      </c>
      <c r="O226" s="187">
        <f t="shared" si="2"/>
        <v>16.182175734929256</v>
      </c>
      <c r="P226" s="7"/>
      <c r="Q226" s="240">
        <f t="shared" si="3"/>
        <v>15.922062365091072</v>
      </c>
      <c r="R226" s="189" t="str">
        <f t="shared" ref="R226:T226" si="661">IF(ISERROR(R$5-365*$Q226),"-",MONTH(R$5-365*$Q226)&amp;"_"&amp;YEAR(R$5-365*$Q226))</f>
        <v>2_2006</v>
      </c>
      <c r="S226" s="189" t="str">
        <f t="shared" si="661"/>
        <v>2_2007</v>
      </c>
      <c r="T226" s="189" t="str">
        <f t="shared" si="661"/>
        <v>2_2008</v>
      </c>
      <c r="U226" s="7"/>
      <c r="V226" s="7"/>
      <c r="W226" s="190">
        <f>IF(R226="-","-",VLOOKUP(R226,'CPI USA'!$T:$U,2,FALSE))</f>
        <v>201.6</v>
      </c>
      <c r="X226" s="190">
        <f>IF(S226="-","-",VLOOKUP(S226,'CPI USA'!$T:$U,2,FALSE))</f>
        <v>207.34200000000001</v>
      </c>
      <c r="Y226" s="190">
        <f>IF(T226="-","-",VLOOKUP(T226,'CPI USA'!$T:$U,2,FALSE))</f>
        <v>215.303</v>
      </c>
      <c r="Z226" s="7"/>
      <c r="AA226" s="7"/>
      <c r="AB226" s="190">
        <f>IF(R226="-","-",VLOOKUP(R226,'PPI USA'!$S:$T,2,FALSE))</f>
        <v>145.30000000000001</v>
      </c>
      <c r="AC226" s="190">
        <f>IF(S226="-","-",VLOOKUP(S226,'PPI USA'!$S:$T,2,FALSE))</f>
        <v>151.69999999999999</v>
      </c>
      <c r="AD226" s="190">
        <f>IF(T226="-","-",VLOOKUP(T226,'PPI USA'!$S:$T,2,FALSE))</f>
        <v>159.30000000000001</v>
      </c>
      <c r="AE226" s="7"/>
      <c r="AF226" s="7"/>
      <c r="AG226" s="190">
        <f t="shared" ref="AG226:AI226" si="662">IF(W226="-","-",(AT226*$B$2/W226+(1-AT226)*AVERAGE($B$2,$B$3)/AVERAGE(W226,AB226)))</f>
        <v>1.595396421204319</v>
      </c>
      <c r="AH226" s="190">
        <f t="shared" si="662"/>
        <v>1.5480022216582647</v>
      </c>
      <c r="AI226" s="190">
        <f t="shared" si="662"/>
        <v>1.4884333659448254</v>
      </c>
      <c r="AJ226" s="7"/>
      <c r="AK226" s="7"/>
      <c r="AL226" s="190">
        <f t="shared" ref="AL226:AN226" si="663">IF(W226="-","-",(AY226*$B$2/W226+(1-AY226)*AVERAGE($B$2,$B$3)/AVERAGE(W226,AB226)))</f>
        <v>1.6147712829199015</v>
      </c>
      <c r="AM226" s="190">
        <f t="shared" si="663"/>
        <v>1.5651038394149617</v>
      </c>
      <c r="AN226" s="190">
        <f t="shared" si="663"/>
        <v>1.5036496327119213</v>
      </c>
      <c r="AO226" s="7"/>
      <c r="AP226" s="7"/>
      <c r="AQ226" s="7"/>
      <c r="AR226" s="7"/>
      <c r="AS226" s="7"/>
      <c r="AT226" s="242">
        <f>IF(R226="-","-",VLOOKUP(R226,'CPI USA'!$T:$V,3,FALSE))</f>
        <v>0.67263024008352756</v>
      </c>
      <c r="AU226" s="242">
        <f>IF(S226="-","-",VLOOKUP(S226,'CPI USA'!$T:$V,3,FALSE))</f>
        <v>0.67123734379962852</v>
      </c>
      <c r="AV226" s="242">
        <f>IF(T226="-","-",VLOOKUP(T226,'CPI USA'!$T:$V,3,FALSE))</f>
        <v>0.67018812038291731</v>
      </c>
      <c r="AW226" s="7"/>
      <c r="AX226" s="7"/>
      <c r="AY226" s="242">
        <f>IF(R226="-","-",VLOOKUP(R226,'CPI USA'!$T:$X,5,FALSE))</f>
        <v>0.50115228263529643</v>
      </c>
      <c r="AZ226" s="242">
        <f>IF(S226="-","-",VLOOKUP(S226,'CPI USA'!$T:$X,5,FALSE))</f>
        <v>0.49957259686190569</v>
      </c>
      <c r="BA226" s="242">
        <f>IF(T226="-","-",VLOOKUP(T226,'CPI USA'!$T:$X,5,FALSE))</f>
        <v>0.49838492968660258</v>
      </c>
      <c r="BB226" s="7"/>
    </row>
    <row r="227" spans="1:54" ht="15.75" customHeight="1">
      <c r="A227" s="185" t="s">
        <v>865</v>
      </c>
      <c r="B227" s="185" t="s">
        <v>866</v>
      </c>
      <c r="C227" s="238">
        <f>+'Empresas 21-23'!J222</f>
        <v>0</v>
      </c>
      <c r="D227" s="239">
        <f>VLOOKUP(A227,'FERC 2021'!$A$3:$BE$221,57,0)</f>
        <v>5878715</v>
      </c>
      <c r="E227" s="239">
        <f>VLOOKUP(A227,'FERC 2021'!$A$3:$BF$221,58,0)</f>
        <v>194639</v>
      </c>
      <c r="F227" s="239">
        <f>VLOOKUP(A227,'FERC 2022'!$A$3:$BE$220,57,0)</f>
        <v>6086325</v>
      </c>
      <c r="G227" s="239">
        <f>VLOOKUP(A227,'FERC 2022'!$A$3:$BF$220,58,0)</f>
        <v>207610</v>
      </c>
      <c r="H227" s="239">
        <f>VLOOKUP(A227,'FERC 2023'!$A$3:$BE$221,57,0)</f>
        <v>6302504</v>
      </c>
      <c r="I227" s="239">
        <f>VLOOKUP(A227,'FERC 2023'!$A$3:$BF$221,58,0)</f>
        <v>216179</v>
      </c>
      <c r="J227" s="7"/>
      <c r="K227" s="7"/>
      <c r="L227" s="7"/>
      <c r="M227" s="187">
        <f t="shared" si="0"/>
        <v>30.203170998617953</v>
      </c>
      <c r="N227" s="187">
        <f t="shared" si="1"/>
        <v>29.316145657723617</v>
      </c>
      <c r="O227" s="187">
        <f t="shared" si="2"/>
        <v>29.154099149316075</v>
      </c>
      <c r="P227" s="7"/>
      <c r="Q227" s="240">
        <f t="shared" si="3"/>
        <v>29.557805268552546</v>
      </c>
      <c r="R227" s="189" t="str">
        <f t="shared" ref="R227:T227" si="664">IF(ISERROR(R$5-365*$Q227),"-",MONTH(R$5-365*$Q227)&amp;"_"&amp;YEAR(R$5-365*$Q227))</f>
        <v>6_1992</v>
      </c>
      <c r="S227" s="189" t="str">
        <f t="shared" si="664"/>
        <v>6_1993</v>
      </c>
      <c r="T227" s="189" t="str">
        <f t="shared" si="664"/>
        <v>6_1994</v>
      </c>
      <c r="U227" s="7"/>
      <c r="V227" s="7"/>
      <c r="W227" s="190">
        <f>IF(R227="-","-",VLOOKUP(R227,'CPI USA'!$T:$U,2,FALSE))</f>
        <v>140.30000000000001</v>
      </c>
      <c r="X227" s="190">
        <f>IF(S227="-","-",VLOOKUP(S227,'CPI USA'!$T:$U,2,FALSE))</f>
        <v>144.5</v>
      </c>
      <c r="Y227" s="190">
        <f>IF(T227="-","-",VLOOKUP(T227,'CPI USA'!$T:$U,2,FALSE))</f>
        <v>148.19999999999999</v>
      </c>
      <c r="Z227" s="7"/>
      <c r="AA227" s="7"/>
      <c r="AB227" s="190">
        <f>IF(R227="-","-",VLOOKUP(R227,'PPI USA'!$S:$T,2,FALSE))</f>
        <v>109</v>
      </c>
      <c r="AC227" s="190">
        <f>IF(S227="-","-",VLOOKUP(S227,'PPI USA'!$S:$T,2,FALSE))</f>
        <v>109.8</v>
      </c>
      <c r="AD227" s="190">
        <f>IF(T227="-","-",VLOOKUP(T227,'PPI USA'!$S:$T,2,FALSE))</f>
        <v>108.6</v>
      </c>
      <c r="AE227" s="7"/>
      <c r="AF227" s="7"/>
      <c r="AG227" s="190">
        <f t="shared" ref="AG227:AI227" si="665">IF(W227="-","-",(AT227*$B$2/W227+(1-AT227)*AVERAGE($B$2,$B$3)/AVERAGE(W227,AB227)))</f>
        <v>2.268218390640901</v>
      </c>
      <c r="AH227" s="190">
        <f t="shared" si="665"/>
        <v>2.2093797975039076</v>
      </c>
      <c r="AI227" s="190">
        <f t="shared" si="665"/>
        <v>2.1652880387789333</v>
      </c>
      <c r="AJ227" s="7"/>
      <c r="AK227" s="7"/>
      <c r="AL227" s="190">
        <f t="shared" ref="AL227:AN227" si="666">IF(W227="-","-",(AY227*$B$2/W227+(1-AY227)*AVERAGE($B$2,$B$3)/AVERAGE(W227,AB227)))</f>
        <v>2.2831188261940998</v>
      </c>
      <c r="AM227" s="190">
        <f t="shared" si="666"/>
        <v>2.2275893634223354</v>
      </c>
      <c r="AN227" s="190">
        <f t="shared" si="666"/>
        <v>2.1889591995776678</v>
      </c>
      <c r="AO227" s="7"/>
      <c r="AP227" s="7"/>
      <c r="AQ227" s="7"/>
      <c r="AR227" s="7"/>
      <c r="AS227" s="7"/>
      <c r="AT227" s="242">
        <f>IF(R227="-","-",VLOOKUP(R227,'CPI USA'!$T:$V,3,FALSE))</f>
        <v>0.66551796838088617</v>
      </c>
      <c r="AU227" s="242">
        <f>IF(S227="-","-",VLOOKUP(S227,'CPI USA'!$T:$V,3,FALSE))</f>
        <v>0.66766017622336205</v>
      </c>
      <c r="AV227" s="242">
        <f>IF(T227="-","-",VLOOKUP(T227,'CPI USA'!$T:$V,3,FALSE))</f>
        <v>0.67109055661737993</v>
      </c>
      <c r="AW227" s="7"/>
      <c r="AX227" s="7"/>
      <c r="AY227" s="242">
        <f>IF(R227="-","-",VLOOKUP(R227,'CPI USA'!$T:$X,5,FALSE))</f>
        <v>0.49312197215478087</v>
      </c>
      <c r="AZ227" s="242">
        <f>IF(S227="-","-",VLOOKUP(S227,'CPI USA'!$T:$X,5,FALSE))</f>
        <v>0.49553136688361454</v>
      </c>
      <c r="BA227" s="242">
        <f>IF(T227="-","-",VLOOKUP(T227,'CPI USA'!$T:$X,5,FALSE))</f>
        <v>0.49940632466039137</v>
      </c>
      <c r="BB227" s="7"/>
    </row>
    <row r="228" spans="1:54" ht="15.75" customHeight="1">
      <c r="A228" s="185" t="s">
        <v>1302</v>
      </c>
      <c r="B228" s="185" t="s">
        <v>1303</v>
      </c>
      <c r="C228" s="238">
        <f>+'Empresas 21-23'!J223</f>
        <v>0</v>
      </c>
      <c r="D228" s="244" t="e">
        <f>VLOOKUP(A228,'FERC 2021'!$A$3:$BE$221,57,0)</f>
        <v>#N/A</v>
      </c>
      <c r="E228" s="244" t="e">
        <f>VLOOKUP(A228,'FERC 2021'!$A$3:$BF$221,58,0)</f>
        <v>#N/A</v>
      </c>
      <c r="F228" s="239" t="e">
        <f>VLOOKUP(A228,'FERC 2022'!$A$3:$BE$220,57,0)</f>
        <v>#N/A</v>
      </c>
      <c r="G228" s="239" t="e">
        <f>VLOOKUP(A228,'FERC 2022'!$A$3:$BF$220,58,0)</f>
        <v>#N/A</v>
      </c>
      <c r="H228" s="239">
        <f>VLOOKUP(A228,'FERC 2023'!$A$3:$BE$221,57,0)</f>
        <v>0</v>
      </c>
      <c r="I228" s="239">
        <f>VLOOKUP(A228,'FERC 2023'!$A$3:$BF$221,58,0)</f>
        <v>0</v>
      </c>
      <c r="J228" s="7"/>
      <c r="K228" s="7"/>
      <c r="L228" s="7"/>
      <c r="M228" s="187" t="str">
        <f t="shared" si="0"/>
        <v/>
      </c>
      <c r="N228" s="187" t="str">
        <f t="shared" si="1"/>
        <v/>
      </c>
      <c r="O228" s="187" t="str">
        <f t="shared" si="2"/>
        <v/>
      </c>
      <c r="P228" s="7"/>
      <c r="Q228" s="240" t="str">
        <f t="shared" si="3"/>
        <v>-</v>
      </c>
      <c r="R228" s="189" t="str">
        <f t="shared" ref="R228:T228" si="667">IF(ISERROR(R$5-365*$Q228),"-",MONTH(R$5-365*$Q228)&amp;"_"&amp;YEAR(R$5-365*$Q228))</f>
        <v>-</v>
      </c>
      <c r="S228" s="189" t="str">
        <f t="shared" si="667"/>
        <v>-</v>
      </c>
      <c r="T228" s="189" t="str">
        <f t="shared" si="667"/>
        <v>-</v>
      </c>
      <c r="U228" s="7"/>
      <c r="V228" s="7"/>
      <c r="W228" s="190" t="str">
        <f>IF(R228="-","-",VLOOKUP(R228,'CPI USA'!$T:$U,2,FALSE))</f>
        <v>-</v>
      </c>
      <c r="X228" s="190" t="str">
        <f>IF(S228="-","-",VLOOKUP(S228,'CPI USA'!$T:$U,2,FALSE))</f>
        <v>-</v>
      </c>
      <c r="Y228" s="190" t="str">
        <f>IF(T228="-","-",VLOOKUP(T228,'CPI USA'!$T:$U,2,FALSE))</f>
        <v>-</v>
      </c>
      <c r="Z228" s="7"/>
      <c r="AA228" s="7"/>
      <c r="AB228" s="190" t="str">
        <f>IF(R228="-","-",VLOOKUP(R228,'PPI USA'!$S:$T,2,FALSE))</f>
        <v>-</v>
      </c>
      <c r="AC228" s="190" t="str">
        <f>IF(S228="-","-",VLOOKUP(S228,'PPI USA'!$S:$T,2,FALSE))</f>
        <v>-</v>
      </c>
      <c r="AD228" s="190" t="str">
        <f>IF(T228="-","-",VLOOKUP(T228,'PPI USA'!$S:$T,2,FALSE))</f>
        <v>-</v>
      </c>
      <c r="AE228" s="7"/>
      <c r="AF228" s="7"/>
      <c r="AG228" s="190" t="str">
        <f t="shared" ref="AG228:AI228" si="668">IF(W228="-","-",(AT228*$B$2/W228+(1-AT228)*AVERAGE($B$2,$B$3)/AVERAGE(W228,AB228)))</f>
        <v>-</v>
      </c>
      <c r="AH228" s="190" t="str">
        <f t="shared" si="668"/>
        <v>-</v>
      </c>
      <c r="AI228" s="190" t="str">
        <f t="shared" si="668"/>
        <v>-</v>
      </c>
      <c r="AJ228" s="7"/>
      <c r="AK228" s="7"/>
      <c r="AL228" s="190" t="str">
        <f t="shared" ref="AL228:AN228" si="669">IF(W228="-","-",(AY228*$B$2/W228+(1-AY228)*AVERAGE($B$2,$B$3)/AVERAGE(W228,AB228)))</f>
        <v>-</v>
      </c>
      <c r="AM228" s="190" t="str">
        <f t="shared" si="669"/>
        <v>-</v>
      </c>
      <c r="AN228" s="190" t="str">
        <f t="shared" si="669"/>
        <v>-</v>
      </c>
      <c r="AO228" s="7"/>
      <c r="AP228" s="7"/>
      <c r="AQ228" s="7"/>
      <c r="AR228" s="7"/>
      <c r="AS228" s="7"/>
      <c r="AT228" s="242" t="str">
        <f>IF(R228="-","-",VLOOKUP(R228,'CPI USA'!$T:$V,3,FALSE))</f>
        <v>-</v>
      </c>
      <c r="AU228" s="242" t="str">
        <f>IF(S228="-","-",VLOOKUP(S228,'CPI USA'!$T:$V,3,FALSE))</f>
        <v>-</v>
      </c>
      <c r="AV228" s="242" t="str">
        <f>IF(T228="-","-",VLOOKUP(T228,'CPI USA'!$T:$V,3,FALSE))</f>
        <v>-</v>
      </c>
      <c r="AW228" s="7"/>
      <c r="AX228" s="7"/>
      <c r="AY228" s="242" t="str">
        <f>IF(R228="-","-",VLOOKUP(R228,'CPI USA'!$T:$X,5,FALSE))</f>
        <v>-</v>
      </c>
      <c r="AZ228" s="242" t="str">
        <f>IF(S228="-","-",VLOOKUP(S228,'CPI USA'!$T:$X,5,FALSE))</f>
        <v>-</v>
      </c>
      <c r="BA228" s="242" t="str">
        <f>IF(T228="-","-",VLOOKUP(T228,'CPI USA'!$T:$X,5,FALSE))</f>
        <v>-</v>
      </c>
      <c r="BB228" s="7"/>
    </row>
    <row r="229" spans="1:54" ht="15.75" customHeight="1">
      <c r="A229" s="185" t="s">
        <v>1083</v>
      </c>
      <c r="B229" s="185" t="s">
        <v>1084</v>
      </c>
      <c r="C229" s="238">
        <f>+'Empresas 21-23'!J224</f>
        <v>0</v>
      </c>
      <c r="D229" s="244" t="e">
        <f>VLOOKUP(A229,'FERC 2021'!$A$3:$BE$221,57,0)</f>
        <v>#N/A</v>
      </c>
      <c r="E229" s="244" t="e">
        <f>VLOOKUP(A229,'FERC 2021'!$A$3:$BF$221,58,0)</f>
        <v>#N/A</v>
      </c>
      <c r="F229" s="239">
        <f>VLOOKUP(A229,'FERC 2022'!$A$3:$BE$220,57,0)</f>
        <v>47152961</v>
      </c>
      <c r="G229" s="239">
        <f>VLOOKUP(A229,'FERC 2022'!$A$3:$BF$220,58,0)</f>
        <v>11670240</v>
      </c>
      <c r="H229" s="239">
        <f>VLOOKUP(A229,'FERC 2023'!$A$3:$BE$221,57,0)</f>
        <v>101421009</v>
      </c>
      <c r="I229" s="239">
        <f>VLOOKUP(A229,'FERC 2023'!$A$3:$BF$221,58,0)</f>
        <v>12193538</v>
      </c>
      <c r="J229" s="7"/>
      <c r="K229" s="7"/>
      <c r="L229" s="7"/>
      <c r="M229" s="187" t="str">
        <f t="shared" si="0"/>
        <v/>
      </c>
      <c r="N229" s="187">
        <f t="shared" si="1"/>
        <v>4.0404448408944464</v>
      </c>
      <c r="O229" s="187">
        <f t="shared" si="2"/>
        <v>8.3176030615560475</v>
      </c>
      <c r="P229" s="7"/>
      <c r="Q229" s="240">
        <f t="shared" si="3"/>
        <v>6.1790239512252469</v>
      </c>
      <c r="R229" s="189" t="str">
        <f t="shared" ref="R229:T229" si="670">IF(ISERROR(R$5-365*$Q229),"-",MONTH(R$5-365*$Q229)&amp;"_"&amp;YEAR(R$5-365*$Q229))</f>
        <v>10_2015</v>
      </c>
      <c r="S229" s="189" t="str">
        <f t="shared" si="670"/>
        <v>10_2016</v>
      </c>
      <c r="T229" s="189" t="str">
        <f t="shared" si="670"/>
        <v>10_2017</v>
      </c>
      <c r="U229" s="7"/>
      <c r="V229" s="7"/>
      <c r="W229" s="190">
        <f>IF(R229="-","-",VLOOKUP(R229,'CPI USA'!$T:$U,2,FALSE))</f>
        <v>237.83799999999999</v>
      </c>
      <c r="X229" s="190">
        <f>IF(S229="-","-",VLOOKUP(S229,'CPI USA'!$T:$U,2,FALSE))</f>
        <v>241.72900000000001</v>
      </c>
      <c r="Y229" s="190">
        <f>IF(T229="-","-",VLOOKUP(T229,'CPI USA'!$T:$U,2,FALSE))</f>
        <v>246.66300000000001</v>
      </c>
      <c r="Z229" s="7"/>
      <c r="AA229" s="7"/>
      <c r="AB229" s="190">
        <f>IF(R229="-","-",VLOOKUP(R229,'PPI USA'!$S:$T,2,FALSE))</f>
        <v>182.1</v>
      </c>
      <c r="AC229" s="190">
        <f>IF(S229="-","-",VLOOKUP(S229,'PPI USA'!$S:$T,2,FALSE))</f>
        <v>179.2</v>
      </c>
      <c r="AD229" s="190">
        <f>IF(T229="-","-",VLOOKUP(T229,'PPI USA'!$S:$T,2,FALSE))</f>
        <v>199.6</v>
      </c>
      <c r="AE229" s="7"/>
      <c r="AF229" s="7"/>
      <c r="AG229" s="190">
        <f t="shared" ref="AG229:AI229" si="671">IF(W229="-","-",(AT229*$B$2/W229+(1-AT229)*AVERAGE($B$2,$B$3)/AVERAGE(W229,AB229)))</f>
        <v>1.3407975583818763</v>
      </c>
      <c r="AH229" s="190">
        <f t="shared" si="671"/>
        <v>1.3252536895563343</v>
      </c>
      <c r="AI229" s="190">
        <f t="shared" si="671"/>
        <v>1.282335549127724</v>
      </c>
      <c r="AJ229" s="7"/>
      <c r="AK229" s="7"/>
      <c r="AL229" s="190">
        <f t="shared" ref="AL229:AN229" si="672">IF(W229="-","-",(AY229*$B$2/W229+(1-AY229)*AVERAGE($B$2,$B$3)/AVERAGE(W229,AB229)))</f>
        <v>1.3510774614940946</v>
      </c>
      <c r="AM229" s="190">
        <f t="shared" si="672"/>
        <v>1.338599306141151</v>
      </c>
      <c r="AN229" s="190">
        <f t="shared" si="672"/>
        <v>1.2867505924639646</v>
      </c>
      <c r="AO229" s="7"/>
      <c r="AP229" s="7"/>
      <c r="AQ229" s="7"/>
      <c r="AR229" s="7"/>
      <c r="AS229" s="7"/>
      <c r="AT229" s="242">
        <f>IF(R229="-","-",VLOOKUP(R229,'CPI USA'!$T:$V,3,FALSE))</f>
        <v>0.6679408278919865</v>
      </c>
      <c r="AU229" s="242">
        <f>IF(S229="-","-",VLOOKUP(S229,'CPI USA'!$T:$V,3,FALSE))</f>
        <v>0.67131212484522451</v>
      </c>
      <c r="AV229" s="242">
        <f>IF(T229="-","-",VLOOKUP(T229,'CPI USA'!$T:$V,3,FALSE))</f>
        <v>0.66204311420409623</v>
      </c>
      <c r="AW229" s="7"/>
      <c r="AX229" s="7"/>
      <c r="AY229" s="242">
        <f>IF(R229="-","-",VLOOKUP(R229,'CPI USA'!$T:$X,5,FALSE))</f>
        <v>0.49584761624008583</v>
      </c>
      <c r="AZ229" s="242">
        <f>IF(S229="-","-",VLOOKUP(S229,'CPI USA'!$T:$X,5,FALSE))</f>
        <v>0.49965731919331663</v>
      </c>
      <c r="BA229" s="242">
        <f>IF(T229="-","-",VLOOKUP(T229,'CPI USA'!$T:$X,5,FALSE))</f>
        <v>0.48923067262022524</v>
      </c>
      <c r="BB229" s="7"/>
    </row>
    <row r="230" spans="1:54" ht="15.75" customHeight="1">
      <c r="A230" s="185" t="s">
        <v>1318</v>
      </c>
      <c r="B230" s="185" t="s">
        <v>1319</v>
      </c>
      <c r="C230" s="238">
        <f>+'Empresas 21-23'!J225</f>
        <v>0</v>
      </c>
      <c r="D230" s="244" t="e">
        <f>VLOOKUP(A230,'FERC 2021'!$A$3:$BE$221,57,0)</f>
        <v>#N/A</v>
      </c>
      <c r="E230" s="244" t="e">
        <f>VLOOKUP(A230,'FERC 2021'!$A$3:$BF$221,58,0)</f>
        <v>#N/A</v>
      </c>
      <c r="F230" s="244" t="e">
        <f>VLOOKUP(A230,'FERC 2022'!$A$3:$BE$220,57,0)</f>
        <v>#N/A</v>
      </c>
      <c r="G230" s="244" t="e">
        <f>VLOOKUP(A230,'FERC 2022'!$A$3:$BF$220,58,0)</f>
        <v>#N/A</v>
      </c>
      <c r="H230" s="244" t="e">
        <f>VLOOKUP(A230,'FERC 2023'!$A$3:$BE$221,57,0)</f>
        <v>#N/A</v>
      </c>
      <c r="I230" s="244" t="e">
        <f>VLOOKUP(A230,'FERC 2023'!$A$3:$BF$221,58,0)</f>
        <v>#N/A</v>
      </c>
      <c r="J230" s="7"/>
      <c r="K230" s="7"/>
      <c r="L230" s="7"/>
      <c r="M230" s="187" t="str">
        <f t="shared" si="0"/>
        <v/>
      </c>
      <c r="N230" s="187" t="str">
        <f t="shared" si="1"/>
        <v/>
      </c>
      <c r="O230" s="187" t="str">
        <f t="shared" si="2"/>
        <v/>
      </c>
      <c r="P230" s="7"/>
      <c r="Q230" s="240" t="str">
        <f t="shared" si="3"/>
        <v>-</v>
      </c>
      <c r="R230" s="189" t="str">
        <f t="shared" ref="R230:T230" si="673">IF(ISERROR(R$5-365*$Q230),"-",MONTH(R$5-365*$Q230)&amp;"_"&amp;YEAR(R$5-365*$Q230))</f>
        <v>-</v>
      </c>
      <c r="S230" s="189" t="str">
        <f t="shared" si="673"/>
        <v>-</v>
      </c>
      <c r="T230" s="189" t="str">
        <f t="shared" si="673"/>
        <v>-</v>
      </c>
      <c r="U230" s="7"/>
      <c r="V230" s="7"/>
      <c r="W230" s="190" t="str">
        <f>IF(R230="-","-",VLOOKUP(R230,'CPI USA'!$T:$U,2,FALSE))</f>
        <v>-</v>
      </c>
      <c r="X230" s="190" t="str">
        <f>IF(S230="-","-",VLOOKUP(S230,'CPI USA'!$T:$U,2,FALSE))</f>
        <v>-</v>
      </c>
      <c r="Y230" s="190" t="str">
        <f>IF(T230="-","-",VLOOKUP(T230,'CPI USA'!$T:$U,2,FALSE))</f>
        <v>-</v>
      </c>
      <c r="Z230" s="7"/>
      <c r="AA230" s="7"/>
      <c r="AB230" s="190" t="str">
        <f>IF(R230="-","-",VLOOKUP(R230,'PPI USA'!$S:$T,2,FALSE))</f>
        <v>-</v>
      </c>
      <c r="AC230" s="190" t="str">
        <f>IF(S230="-","-",VLOOKUP(S230,'PPI USA'!$S:$T,2,FALSE))</f>
        <v>-</v>
      </c>
      <c r="AD230" s="190" t="str">
        <f>IF(T230="-","-",VLOOKUP(T230,'PPI USA'!$S:$T,2,FALSE))</f>
        <v>-</v>
      </c>
      <c r="AE230" s="7"/>
      <c r="AF230" s="7"/>
      <c r="AG230" s="190" t="str">
        <f t="shared" ref="AG230:AI230" si="674">IF(W230="-","-",(AT230*$B$2/W230+(1-AT230)*AVERAGE($B$2,$B$3)/AVERAGE(W230,AB230)))</f>
        <v>-</v>
      </c>
      <c r="AH230" s="190" t="str">
        <f t="shared" si="674"/>
        <v>-</v>
      </c>
      <c r="AI230" s="190" t="str">
        <f t="shared" si="674"/>
        <v>-</v>
      </c>
      <c r="AJ230" s="7"/>
      <c r="AK230" s="7"/>
      <c r="AL230" s="190" t="str">
        <f t="shared" ref="AL230:AN230" si="675">IF(W230="-","-",(AY230*$B$2/W230+(1-AY230)*AVERAGE($B$2,$B$3)/AVERAGE(W230,AB230)))</f>
        <v>-</v>
      </c>
      <c r="AM230" s="190" t="str">
        <f t="shared" si="675"/>
        <v>-</v>
      </c>
      <c r="AN230" s="190" t="str">
        <f t="shared" si="675"/>
        <v>-</v>
      </c>
      <c r="AO230" s="7"/>
      <c r="AP230" s="7"/>
      <c r="AQ230" s="7"/>
      <c r="AR230" s="7"/>
      <c r="AS230" s="7"/>
      <c r="AT230" s="242" t="str">
        <f>IF(R230="-","-",VLOOKUP(R230,'CPI USA'!$T:$V,3,FALSE))</f>
        <v>-</v>
      </c>
      <c r="AU230" s="242" t="str">
        <f>IF(S230="-","-",VLOOKUP(S230,'CPI USA'!$T:$V,3,FALSE))</f>
        <v>-</v>
      </c>
      <c r="AV230" s="242" t="str">
        <f>IF(T230="-","-",VLOOKUP(T230,'CPI USA'!$T:$V,3,FALSE))</f>
        <v>-</v>
      </c>
      <c r="AW230" s="7"/>
      <c r="AX230" s="7"/>
      <c r="AY230" s="242" t="str">
        <f>IF(R230="-","-",VLOOKUP(R230,'CPI USA'!$T:$X,5,FALSE))</f>
        <v>-</v>
      </c>
      <c r="AZ230" s="242" t="str">
        <f>IF(S230="-","-",VLOOKUP(S230,'CPI USA'!$T:$X,5,FALSE))</f>
        <v>-</v>
      </c>
      <c r="BA230" s="242" t="str">
        <f>IF(T230="-","-",VLOOKUP(T230,'CPI USA'!$T:$X,5,FALSE))</f>
        <v>-</v>
      </c>
      <c r="BB230" s="7"/>
    </row>
    <row r="231" spans="1:54" ht="15.75" customHeight="1">
      <c r="A231" s="185" t="s">
        <v>1320</v>
      </c>
      <c r="B231" s="185" t="s">
        <v>1321</v>
      </c>
      <c r="C231" s="238">
        <f>+'Empresas 21-23'!J226</f>
        <v>0</v>
      </c>
      <c r="D231" s="244" t="e">
        <f>VLOOKUP(A231,'FERC 2021'!$A$3:$BE$221,57,0)</f>
        <v>#N/A</v>
      </c>
      <c r="E231" s="244" t="e">
        <f>VLOOKUP(A231,'FERC 2021'!$A$3:$BF$221,58,0)</f>
        <v>#N/A</v>
      </c>
      <c r="F231" s="244" t="e">
        <f>VLOOKUP(A231,'FERC 2022'!$A$3:$BE$220,57,0)</f>
        <v>#N/A</v>
      </c>
      <c r="G231" s="244" t="e">
        <f>VLOOKUP(A231,'FERC 2022'!$A$3:$BF$220,58,0)</f>
        <v>#N/A</v>
      </c>
      <c r="H231" s="244" t="e">
        <f>VLOOKUP(A231,'FERC 2023'!$A$3:$BE$221,57,0)</f>
        <v>#N/A</v>
      </c>
      <c r="I231" s="244" t="e">
        <f>VLOOKUP(A231,'FERC 2023'!$A$3:$BF$221,58,0)</f>
        <v>#N/A</v>
      </c>
      <c r="J231" s="7"/>
      <c r="K231" s="7"/>
      <c r="L231" s="7"/>
      <c r="M231" s="187" t="str">
        <f t="shared" si="0"/>
        <v/>
      </c>
      <c r="N231" s="187" t="str">
        <f t="shared" si="1"/>
        <v/>
      </c>
      <c r="O231" s="187" t="str">
        <f t="shared" si="2"/>
        <v/>
      </c>
      <c r="P231" s="7"/>
      <c r="Q231" s="240" t="str">
        <f t="shared" si="3"/>
        <v>-</v>
      </c>
      <c r="R231" s="189" t="str">
        <f t="shared" ref="R231:T231" si="676">IF(ISERROR(R$5-365*$Q231),"-",MONTH(R$5-365*$Q231)&amp;"_"&amp;YEAR(R$5-365*$Q231))</f>
        <v>-</v>
      </c>
      <c r="S231" s="189" t="str">
        <f t="shared" si="676"/>
        <v>-</v>
      </c>
      <c r="T231" s="189" t="str">
        <f t="shared" si="676"/>
        <v>-</v>
      </c>
      <c r="U231" s="7"/>
      <c r="V231" s="7"/>
      <c r="W231" s="190" t="str">
        <f>IF(R231="-","-",VLOOKUP(R231,'CPI USA'!$T:$U,2,FALSE))</f>
        <v>-</v>
      </c>
      <c r="X231" s="190" t="str">
        <f>IF(S231="-","-",VLOOKUP(S231,'CPI USA'!$T:$U,2,FALSE))</f>
        <v>-</v>
      </c>
      <c r="Y231" s="190" t="str">
        <f>IF(T231="-","-",VLOOKUP(T231,'CPI USA'!$T:$U,2,FALSE))</f>
        <v>-</v>
      </c>
      <c r="Z231" s="7"/>
      <c r="AA231" s="7"/>
      <c r="AB231" s="190" t="str">
        <f>IF(R231="-","-",VLOOKUP(R231,'PPI USA'!$S:$T,2,FALSE))</f>
        <v>-</v>
      </c>
      <c r="AC231" s="190" t="str">
        <f>IF(S231="-","-",VLOOKUP(S231,'PPI USA'!$S:$T,2,FALSE))</f>
        <v>-</v>
      </c>
      <c r="AD231" s="190" t="str">
        <f>IF(T231="-","-",VLOOKUP(T231,'PPI USA'!$S:$T,2,FALSE))</f>
        <v>-</v>
      </c>
      <c r="AE231" s="7"/>
      <c r="AF231" s="7"/>
      <c r="AG231" s="190" t="str">
        <f t="shared" ref="AG231:AI231" si="677">IF(W231="-","-",(AT231*$B$2/W231+(1-AT231)*AVERAGE($B$2,$B$3)/AVERAGE(W231,AB231)))</f>
        <v>-</v>
      </c>
      <c r="AH231" s="190" t="str">
        <f t="shared" si="677"/>
        <v>-</v>
      </c>
      <c r="AI231" s="190" t="str">
        <f t="shared" si="677"/>
        <v>-</v>
      </c>
      <c r="AJ231" s="7"/>
      <c r="AK231" s="7"/>
      <c r="AL231" s="190" t="str">
        <f t="shared" ref="AL231:AN231" si="678">IF(W231="-","-",(AY231*$B$2/W231+(1-AY231)*AVERAGE($B$2,$B$3)/AVERAGE(W231,AB231)))</f>
        <v>-</v>
      </c>
      <c r="AM231" s="190" t="str">
        <f t="shared" si="678"/>
        <v>-</v>
      </c>
      <c r="AN231" s="190" t="str">
        <f t="shared" si="678"/>
        <v>-</v>
      </c>
      <c r="AO231" s="7"/>
      <c r="AP231" s="7"/>
      <c r="AQ231" s="7"/>
      <c r="AR231" s="7"/>
      <c r="AS231" s="7"/>
      <c r="AT231" s="242" t="str">
        <f>IF(R231="-","-",VLOOKUP(R231,'CPI USA'!$T:$V,3,FALSE))</f>
        <v>-</v>
      </c>
      <c r="AU231" s="242" t="str">
        <f>IF(S231="-","-",VLOOKUP(S231,'CPI USA'!$T:$V,3,FALSE))</f>
        <v>-</v>
      </c>
      <c r="AV231" s="242" t="str">
        <f>IF(T231="-","-",VLOOKUP(T231,'CPI USA'!$T:$V,3,FALSE))</f>
        <v>-</v>
      </c>
      <c r="AW231" s="7"/>
      <c r="AX231" s="7"/>
      <c r="AY231" s="242" t="str">
        <f>IF(R231="-","-",VLOOKUP(R231,'CPI USA'!$T:$X,5,FALSE))</f>
        <v>-</v>
      </c>
      <c r="AZ231" s="242" t="str">
        <f>IF(S231="-","-",VLOOKUP(S231,'CPI USA'!$T:$X,5,FALSE))</f>
        <v>-</v>
      </c>
      <c r="BA231" s="242" t="str">
        <f>IF(T231="-","-",VLOOKUP(T231,'CPI USA'!$T:$X,5,FALSE))</f>
        <v>-</v>
      </c>
      <c r="BB231" s="7"/>
    </row>
    <row r="232" spans="1:54" ht="15.75" customHeight="1">
      <c r="A232" s="185" t="s">
        <v>1322</v>
      </c>
      <c r="B232" s="185" t="s">
        <v>1323</v>
      </c>
      <c r="C232" s="238">
        <f>+'Empresas 21-23'!J227</f>
        <v>0</v>
      </c>
      <c r="D232" s="244" t="e">
        <f>VLOOKUP(A232,'FERC 2021'!$A$3:$BE$221,57,0)</f>
        <v>#N/A</v>
      </c>
      <c r="E232" s="244" t="e">
        <f>VLOOKUP(A232,'FERC 2021'!$A$3:$BF$221,58,0)</f>
        <v>#N/A</v>
      </c>
      <c r="F232" s="244" t="e">
        <f>VLOOKUP(A232,'FERC 2022'!$A$3:$BE$220,57,0)</f>
        <v>#N/A</v>
      </c>
      <c r="G232" s="244" t="e">
        <f>VLOOKUP(A232,'FERC 2022'!$A$3:$BF$220,58,0)</f>
        <v>#N/A</v>
      </c>
      <c r="H232" s="244" t="e">
        <f>VLOOKUP(A232,'FERC 2023'!$A$3:$BE$221,57,0)</f>
        <v>#N/A</v>
      </c>
      <c r="I232" s="244" t="e">
        <f>VLOOKUP(A232,'FERC 2023'!$A$3:$BF$221,58,0)</f>
        <v>#N/A</v>
      </c>
      <c r="J232" s="7"/>
      <c r="K232" s="7"/>
      <c r="L232" s="7"/>
      <c r="M232" s="187" t="str">
        <f t="shared" si="0"/>
        <v/>
      </c>
      <c r="N232" s="187" t="str">
        <f t="shared" si="1"/>
        <v/>
      </c>
      <c r="O232" s="187" t="str">
        <f t="shared" si="2"/>
        <v/>
      </c>
      <c r="P232" s="7"/>
      <c r="Q232" s="240" t="str">
        <f t="shared" si="3"/>
        <v>-</v>
      </c>
      <c r="R232" s="189" t="str">
        <f t="shared" ref="R232:T232" si="679">IF(ISERROR(R$5-365*$Q232),"-",MONTH(R$5-365*$Q232)&amp;"_"&amp;YEAR(R$5-365*$Q232))</f>
        <v>-</v>
      </c>
      <c r="S232" s="189" t="str">
        <f t="shared" si="679"/>
        <v>-</v>
      </c>
      <c r="T232" s="189" t="str">
        <f t="shared" si="679"/>
        <v>-</v>
      </c>
      <c r="U232" s="7"/>
      <c r="V232" s="7"/>
      <c r="W232" s="190" t="str">
        <f>IF(R232="-","-",VLOOKUP(R232,'CPI USA'!$T:$U,2,FALSE))</f>
        <v>-</v>
      </c>
      <c r="X232" s="190" t="str">
        <f>IF(S232="-","-",VLOOKUP(S232,'CPI USA'!$T:$U,2,FALSE))</f>
        <v>-</v>
      </c>
      <c r="Y232" s="190" t="str">
        <f>IF(T232="-","-",VLOOKUP(T232,'CPI USA'!$T:$U,2,FALSE))</f>
        <v>-</v>
      </c>
      <c r="Z232" s="7"/>
      <c r="AA232" s="7"/>
      <c r="AB232" s="190" t="str">
        <f>IF(R232="-","-",VLOOKUP(R232,'PPI USA'!$S:$T,2,FALSE))</f>
        <v>-</v>
      </c>
      <c r="AC232" s="190" t="str">
        <f>IF(S232="-","-",VLOOKUP(S232,'PPI USA'!$S:$T,2,FALSE))</f>
        <v>-</v>
      </c>
      <c r="AD232" s="190" t="str">
        <f>IF(T232="-","-",VLOOKUP(T232,'PPI USA'!$S:$T,2,FALSE))</f>
        <v>-</v>
      </c>
      <c r="AE232" s="7"/>
      <c r="AF232" s="7"/>
      <c r="AG232" s="190" t="str">
        <f t="shared" ref="AG232:AI232" si="680">IF(W232="-","-",(AT232*$B$2/W232+(1-AT232)*AVERAGE($B$2,$B$3)/AVERAGE(W232,AB232)))</f>
        <v>-</v>
      </c>
      <c r="AH232" s="190" t="str">
        <f t="shared" si="680"/>
        <v>-</v>
      </c>
      <c r="AI232" s="190" t="str">
        <f t="shared" si="680"/>
        <v>-</v>
      </c>
      <c r="AJ232" s="7"/>
      <c r="AK232" s="7"/>
      <c r="AL232" s="190" t="str">
        <f t="shared" ref="AL232:AN232" si="681">IF(W232="-","-",(AY232*$B$2/W232+(1-AY232)*AVERAGE($B$2,$B$3)/AVERAGE(W232,AB232)))</f>
        <v>-</v>
      </c>
      <c r="AM232" s="190" t="str">
        <f t="shared" si="681"/>
        <v>-</v>
      </c>
      <c r="AN232" s="190" t="str">
        <f t="shared" si="681"/>
        <v>-</v>
      </c>
      <c r="AO232" s="7"/>
      <c r="AP232" s="7"/>
      <c r="AQ232" s="7"/>
      <c r="AR232" s="7"/>
      <c r="AS232" s="7"/>
      <c r="AT232" s="242" t="str">
        <f>IF(R232="-","-",VLOOKUP(R232,'CPI USA'!$T:$V,3,FALSE))</f>
        <v>-</v>
      </c>
      <c r="AU232" s="242" t="str">
        <f>IF(S232="-","-",VLOOKUP(S232,'CPI USA'!$T:$V,3,FALSE))</f>
        <v>-</v>
      </c>
      <c r="AV232" s="242" t="str">
        <f>IF(T232="-","-",VLOOKUP(T232,'CPI USA'!$T:$V,3,FALSE))</f>
        <v>-</v>
      </c>
      <c r="AW232" s="7"/>
      <c r="AX232" s="7"/>
      <c r="AY232" s="242" t="str">
        <f>IF(R232="-","-",VLOOKUP(R232,'CPI USA'!$T:$X,5,FALSE))</f>
        <v>-</v>
      </c>
      <c r="AZ232" s="242" t="str">
        <f>IF(S232="-","-",VLOOKUP(S232,'CPI USA'!$T:$X,5,FALSE))</f>
        <v>-</v>
      </c>
      <c r="BA232" s="242" t="str">
        <f>IF(T232="-","-",VLOOKUP(T232,'CPI USA'!$T:$X,5,FALSE))</f>
        <v>-</v>
      </c>
      <c r="BB232" s="7"/>
    </row>
    <row r="233" spans="1:54" ht="15.75" customHeight="1">
      <c r="A233" s="185" t="s">
        <v>1324</v>
      </c>
      <c r="B233" s="185" t="s">
        <v>1325</v>
      </c>
      <c r="C233" s="238">
        <f>+'Empresas 21-23'!J228</f>
        <v>0</v>
      </c>
      <c r="D233" s="244" t="e">
        <f>VLOOKUP(A233,'FERC 2021'!$A$3:$BE$221,57,0)</f>
        <v>#N/A</v>
      </c>
      <c r="E233" s="244" t="e">
        <f>VLOOKUP(A233,'FERC 2021'!$A$3:$BF$221,58,0)</f>
        <v>#N/A</v>
      </c>
      <c r="F233" s="244" t="e">
        <f>VLOOKUP(A233,'FERC 2022'!$A$3:$BE$220,57,0)</f>
        <v>#N/A</v>
      </c>
      <c r="G233" s="244" t="e">
        <f>VLOOKUP(A233,'FERC 2022'!$A$3:$BF$220,58,0)</f>
        <v>#N/A</v>
      </c>
      <c r="H233" s="244" t="e">
        <f>VLOOKUP(A233,'FERC 2023'!$A$3:$BE$221,57,0)</f>
        <v>#N/A</v>
      </c>
      <c r="I233" s="244" t="e">
        <f>VLOOKUP(A233,'FERC 2023'!$A$3:$BF$221,58,0)</f>
        <v>#N/A</v>
      </c>
      <c r="J233" s="7"/>
      <c r="K233" s="7"/>
      <c r="L233" s="7"/>
      <c r="M233" s="187" t="str">
        <f t="shared" si="0"/>
        <v/>
      </c>
      <c r="N233" s="187" t="str">
        <f t="shared" si="1"/>
        <v/>
      </c>
      <c r="O233" s="187" t="str">
        <f t="shared" si="2"/>
        <v/>
      </c>
      <c r="P233" s="7"/>
      <c r="Q233" s="240" t="str">
        <f t="shared" si="3"/>
        <v>-</v>
      </c>
      <c r="R233" s="189" t="str">
        <f t="shared" ref="R233:T233" si="682">IF(ISERROR(R$5-365*$Q233),"-",MONTH(R$5-365*$Q233)&amp;"_"&amp;YEAR(R$5-365*$Q233))</f>
        <v>-</v>
      </c>
      <c r="S233" s="189" t="str">
        <f t="shared" si="682"/>
        <v>-</v>
      </c>
      <c r="T233" s="189" t="str">
        <f t="shared" si="682"/>
        <v>-</v>
      </c>
      <c r="U233" s="7"/>
      <c r="V233" s="7"/>
      <c r="W233" s="190" t="str">
        <f>IF(R233="-","-",VLOOKUP(R233,'CPI USA'!$T:$U,2,FALSE))</f>
        <v>-</v>
      </c>
      <c r="X233" s="190" t="str">
        <f>IF(S233="-","-",VLOOKUP(S233,'CPI USA'!$T:$U,2,FALSE))</f>
        <v>-</v>
      </c>
      <c r="Y233" s="190" t="str">
        <f>IF(T233="-","-",VLOOKUP(T233,'CPI USA'!$T:$U,2,FALSE))</f>
        <v>-</v>
      </c>
      <c r="Z233" s="7"/>
      <c r="AA233" s="7"/>
      <c r="AB233" s="190" t="str">
        <f>IF(R233="-","-",VLOOKUP(R233,'PPI USA'!$S:$T,2,FALSE))</f>
        <v>-</v>
      </c>
      <c r="AC233" s="190" t="str">
        <f>IF(S233="-","-",VLOOKUP(S233,'PPI USA'!$S:$T,2,FALSE))</f>
        <v>-</v>
      </c>
      <c r="AD233" s="190" t="str">
        <f>IF(T233="-","-",VLOOKUP(T233,'PPI USA'!$S:$T,2,FALSE))</f>
        <v>-</v>
      </c>
      <c r="AE233" s="7"/>
      <c r="AF233" s="7"/>
      <c r="AG233" s="190" t="str">
        <f t="shared" ref="AG233:AI233" si="683">IF(W233="-","-",(AT233*$B$2/W233+(1-AT233)*AVERAGE($B$2,$B$3)/AVERAGE(W233,AB233)))</f>
        <v>-</v>
      </c>
      <c r="AH233" s="190" t="str">
        <f t="shared" si="683"/>
        <v>-</v>
      </c>
      <c r="AI233" s="190" t="str">
        <f t="shared" si="683"/>
        <v>-</v>
      </c>
      <c r="AJ233" s="7"/>
      <c r="AK233" s="7"/>
      <c r="AL233" s="190" t="str">
        <f t="shared" ref="AL233:AN233" si="684">IF(W233="-","-",(AY233*$B$2/W233+(1-AY233)*AVERAGE($B$2,$B$3)/AVERAGE(W233,AB233)))</f>
        <v>-</v>
      </c>
      <c r="AM233" s="190" t="str">
        <f t="shared" si="684"/>
        <v>-</v>
      </c>
      <c r="AN233" s="190" t="str">
        <f t="shared" si="684"/>
        <v>-</v>
      </c>
      <c r="AO233" s="7"/>
      <c r="AP233" s="7"/>
      <c r="AQ233" s="7"/>
      <c r="AR233" s="7"/>
      <c r="AS233" s="7"/>
      <c r="AT233" s="242" t="str">
        <f>IF(R233="-","-",VLOOKUP(R233,'CPI USA'!$T:$V,3,FALSE))</f>
        <v>-</v>
      </c>
      <c r="AU233" s="242" t="str">
        <f>IF(S233="-","-",VLOOKUP(S233,'CPI USA'!$T:$V,3,FALSE))</f>
        <v>-</v>
      </c>
      <c r="AV233" s="242" t="str">
        <f>IF(T233="-","-",VLOOKUP(T233,'CPI USA'!$T:$V,3,FALSE))</f>
        <v>-</v>
      </c>
      <c r="AW233" s="7"/>
      <c r="AX233" s="7"/>
      <c r="AY233" s="242" t="str">
        <f>IF(R233="-","-",VLOOKUP(R233,'CPI USA'!$T:$X,5,FALSE))</f>
        <v>-</v>
      </c>
      <c r="AZ233" s="242" t="str">
        <f>IF(S233="-","-",VLOOKUP(S233,'CPI USA'!$T:$X,5,FALSE))</f>
        <v>-</v>
      </c>
      <c r="BA233" s="242" t="str">
        <f>IF(T233="-","-",VLOOKUP(T233,'CPI USA'!$T:$X,5,FALSE))</f>
        <v>-</v>
      </c>
      <c r="BB233" s="7"/>
    </row>
    <row r="234" spans="1:5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spans="1:54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spans="1:54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spans="1:54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spans="1:54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spans="1:54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spans="1:54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spans="1:54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spans="1:54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spans="1:54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spans="1:5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spans="1:54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1000"/>
  <sheetViews>
    <sheetView workbookViewId="0"/>
  </sheetViews>
  <sheetFormatPr baseColWidth="10" defaultColWidth="14.453125" defaultRowHeight="15" customHeight="1"/>
  <sheetData>
    <row r="1" spans="1:26">
      <c r="A1" s="7" t="s">
        <v>1505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>
      <c r="A2" s="7" t="s">
        <v>1506</v>
      </c>
      <c r="B2" s="7"/>
      <c r="C2" s="7"/>
      <c r="D2" s="7"/>
      <c r="E2" s="7"/>
      <c r="F2" s="246" t="s">
        <v>1507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>
      <c r="A3" s="7" t="s">
        <v>1508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 t="s">
        <v>170</v>
      </c>
      <c r="W3" s="7"/>
      <c r="X3" s="7" t="s">
        <v>171</v>
      </c>
      <c r="Y3" s="7"/>
      <c r="Z3" s="7"/>
    </row>
    <row r="4" spans="1:26">
      <c r="A4" s="7"/>
      <c r="B4" s="7"/>
      <c r="C4" s="7"/>
      <c r="D4" s="7"/>
      <c r="E4" s="7"/>
      <c r="F4" s="246" t="s">
        <v>1509</v>
      </c>
      <c r="G4" s="7"/>
      <c r="H4" s="7"/>
      <c r="I4" s="7"/>
      <c r="J4" s="7"/>
      <c r="K4" s="7"/>
      <c r="L4" s="7"/>
      <c r="M4" s="7"/>
      <c r="N4" s="7"/>
      <c r="O4" s="7"/>
      <c r="P4" s="7"/>
      <c r="Q4" s="7" t="s">
        <v>1362</v>
      </c>
      <c r="R4" s="7" t="s">
        <v>1510</v>
      </c>
      <c r="S4" s="7" t="s">
        <v>1365</v>
      </c>
      <c r="T4" s="7" t="s">
        <v>1511</v>
      </c>
      <c r="U4" s="7" t="s">
        <v>1512</v>
      </c>
      <c r="V4" s="7" t="s">
        <v>1513</v>
      </c>
      <c r="W4" s="7" t="s">
        <v>1514</v>
      </c>
      <c r="X4" s="7" t="s">
        <v>1513</v>
      </c>
      <c r="Y4" s="7" t="s">
        <v>1514</v>
      </c>
      <c r="Z4" s="7"/>
    </row>
    <row r="5" spans="1:26">
      <c r="A5" s="7" t="s">
        <v>1515</v>
      </c>
      <c r="B5" s="7"/>
      <c r="C5" s="7"/>
      <c r="D5" s="7"/>
      <c r="E5" s="7"/>
      <c r="F5" s="246" t="s">
        <v>1516</v>
      </c>
      <c r="G5" s="7"/>
      <c r="H5" s="7"/>
      <c r="I5" s="7"/>
      <c r="J5" s="7"/>
      <c r="K5" s="7"/>
      <c r="L5" s="7"/>
      <c r="M5" s="7"/>
      <c r="N5" s="7"/>
      <c r="O5" s="7"/>
      <c r="P5" s="7"/>
      <c r="Q5" s="69">
        <v>1980</v>
      </c>
      <c r="R5" s="69">
        <v>1</v>
      </c>
      <c r="S5" s="89" t="s">
        <v>1517</v>
      </c>
      <c r="T5" s="7" t="str">
        <f t="shared" ref="T5:T259" si="0">R5&amp;"_"&amp;Q5</f>
        <v>1_1980</v>
      </c>
      <c r="U5" s="247">
        <f t="shared" ref="U5:U259" si="1">VLOOKUP(Q5,$A:$N,MATCH(S5,$A$12:$N$12,0),FALSE)</f>
        <v>82.4</v>
      </c>
      <c r="V5" s="248">
        <f t="shared" ref="V5:V15" si="2">+V6</f>
        <v>0.66342212053493177</v>
      </c>
      <c r="W5" s="248">
        <f t="shared" ref="W5:W259" si="3">1-V5</f>
        <v>0.33657787946506823</v>
      </c>
      <c r="X5" s="248">
        <f t="shared" ref="X5:X15" si="4">+X6</f>
        <v>0.49077244404230785</v>
      </c>
      <c r="Y5" s="248">
        <f t="shared" ref="Y5:Y259" si="5">1-X5</f>
        <v>0.5092275559576922</v>
      </c>
      <c r="Z5" s="7"/>
    </row>
    <row r="6" spans="1:26">
      <c r="A6" s="7" t="s">
        <v>1518</v>
      </c>
      <c r="B6" s="7"/>
      <c r="C6" s="7"/>
      <c r="D6" s="7"/>
      <c r="E6" s="7"/>
      <c r="F6" s="246" t="s">
        <v>1519</v>
      </c>
      <c r="G6" s="7"/>
      <c r="H6" s="7"/>
      <c r="I6" s="7"/>
      <c r="J6" s="7"/>
      <c r="K6" s="7"/>
      <c r="L6" s="7"/>
      <c r="M6" s="7"/>
      <c r="N6" s="7"/>
      <c r="O6" s="7"/>
      <c r="P6" s="7"/>
      <c r="Q6" s="69">
        <v>1980</v>
      </c>
      <c r="R6" s="69">
        <v>2</v>
      </c>
      <c r="S6" s="89" t="s">
        <v>1517</v>
      </c>
      <c r="T6" s="7" t="str">
        <f t="shared" si="0"/>
        <v>2_1980</v>
      </c>
      <c r="U6" s="247">
        <f t="shared" si="1"/>
        <v>82.4</v>
      </c>
      <c r="V6" s="248">
        <f t="shared" si="2"/>
        <v>0.66342212053493177</v>
      </c>
      <c r="W6" s="248">
        <f t="shared" si="3"/>
        <v>0.33657787946506823</v>
      </c>
      <c r="X6" s="248">
        <f t="shared" si="4"/>
        <v>0.49077244404230785</v>
      </c>
      <c r="Y6" s="248">
        <f t="shared" si="5"/>
        <v>0.5092275559576922</v>
      </c>
      <c r="Z6" s="7"/>
    </row>
    <row r="7" spans="1:26">
      <c r="A7" s="7" t="s">
        <v>1520</v>
      </c>
      <c r="B7" s="7"/>
      <c r="C7" s="7"/>
      <c r="D7" s="7"/>
      <c r="E7" s="7"/>
      <c r="F7" s="246" t="s">
        <v>1521</v>
      </c>
      <c r="G7" s="7"/>
      <c r="H7" s="7"/>
      <c r="I7" s="7"/>
      <c r="J7" s="7"/>
      <c r="K7" s="7"/>
      <c r="L7" s="7"/>
      <c r="M7" s="7"/>
      <c r="N7" s="7"/>
      <c r="O7" s="7"/>
      <c r="P7" s="7"/>
      <c r="Q7" s="69">
        <v>1980</v>
      </c>
      <c r="R7" s="69">
        <v>3</v>
      </c>
      <c r="S7" s="89" t="s">
        <v>1517</v>
      </c>
      <c r="T7" s="7" t="str">
        <f t="shared" si="0"/>
        <v>3_1980</v>
      </c>
      <c r="U7" s="247">
        <f t="shared" si="1"/>
        <v>82.4</v>
      </c>
      <c r="V7" s="248">
        <f t="shared" si="2"/>
        <v>0.66342212053493177</v>
      </c>
      <c r="W7" s="248">
        <f t="shared" si="3"/>
        <v>0.33657787946506823</v>
      </c>
      <c r="X7" s="248">
        <f t="shared" si="4"/>
        <v>0.49077244404230785</v>
      </c>
      <c r="Y7" s="248">
        <f t="shared" si="5"/>
        <v>0.5092275559576922</v>
      </c>
      <c r="Z7" s="7"/>
    </row>
    <row r="8" spans="1:26">
      <c r="A8" s="7" t="s">
        <v>1522</v>
      </c>
      <c r="B8" s="7"/>
      <c r="C8" s="7"/>
      <c r="D8" s="7"/>
      <c r="E8" s="7"/>
      <c r="F8" s="246" t="s">
        <v>1523</v>
      </c>
      <c r="G8" s="7"/>
      <c r="H8" s="7"/>
      <c r="I8" s="7"/>
      <c r="J8" s="7"/>
      <c r="K8" s="7"/>
      <c r="L8" s="7"/>
      <c r="M8" s="7"/>
      <c r="N8" s="7"/>
      <c r="O8" s="7"/>
      <c r="P8" s="7"/>
      <c r="Q8" s="69">
        <v>1980</v>
      </c>
      <c r="R8" s="69">
        <v>4</v>
      </c>
      <c r="S8" s="89" t="s">
        <v>1517</v>
      </c>
      <c r="T8" s="7" t="str">
        <f t="shared" si="0"/>
        <v>4_1980</v>
      </c>
      <c r="U8" s="247">
        <f t="shared" si="1"/>
        <v>82.4</v>
      </c>
      <c r="V8" s="248">
        <f t="shared" si="2"/>
        <v>0.66342212053493177</v>
      </c>
      <c r="W8" s="248">
        <f t="shared" si="3"/>
        <v>0.33657787946506823</v>
      </c>
      <c r="X8" s="248">
        <f t="shared" si="4"/>
        <v>0.49077244404230785</v>
      </c>
      <c r="Y8" s="248">
        <f t="shared" si="5"/>
        <v>0.5092275559576922</v>
      </c>
      <c r="Z8" s="7"/>
    </row>
    <row r="9" spans="1:26">
      <c r="A9" s="7" t="s">
        <v>1524</v>
      </c>
      <c r="B9" s="7"/>
      <c r="C9" s="7"/>
      <c r="D9" s="7"/>
      <c r="E9" s="7"/>
      <c r="F9" s="246" t="s">
        <v>1525</v>
      </c>
      <c r="G9" s="7"/>
      <c r="H9" s="7"/>
      <c r="I9" s="7"/>
      <c r="J9" s="7"/>
      <c r="K9" s="7"/>
      <c r="L9" s="7"/>
      <c r="M9" s="7"/>
      <c r="N9" s="7"/>
      <c r="O9" s="7"/>
      <c r="P9" s="7"/>
      <c r="Q9" s="69">
        <v>1980</v>
      </c>
      <c r="R9" s="69">
        <v>5</v>
      </c>
      <c r="S9" s="89" t="s">
        <v>1517</v>
      </c>
      <c r="T9" s="7" t="str">
        <f t="shared" si="0"/>
        <v>5_1980</v>
      </c>
      <c r="U9" s="247">
        <f t="shared" si="1"/>
        <v>82.4</v>
      </c>
      <c r="V9" s="248">
        <f t="shared" si="2"/>
        <v>0.66342212053493177</v>
      </c>
      <c r="W9" s="248">
        <f t="shared" si="3"/>
        <v>0.33657787946506823</v>
      </c>
      <c r="X9" s="248">
        <f t="shared" si="4"/>
        <v>0.49077244404230785</v>
      </c>
      <c r="Y9" s="248">
        <f t="shared" si="5"/>
        <v>0.5092275559576922</v>
      </c>
      <c r="Z9" s="7"/>
    </row>
    <row r="10" spans="1:26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69">
        <v>1980</v>
      </c>
      <c r="R10" s="69">
        <v>6</v>
      </c>
      <c r="S10" s="89" t="s">
        <v>1517</v>
      </c>
      <c r="T10" s="7" t="str">
        <f t="shared" si="0"/>
        <v>6_1980</v>
      </c>
      <c r="U10" s="247">
        <f t="shared" si="1"/>
        <v>82.4</v>
      </c>
      <c r="V10" s="248">
        <f t="shared" si="2"/>
        <v>0.66342212053493177</v>
      </c>
      <c r="W10" s="248">
        <f t="shared" si="3"/>
        <v>0.33657787946506823</v>
      </c>
      <c r="X10" s="248">
        <f t="shared" si="4"/>
        <v>0.49077244404230785</v>
      </c>
      <c r="Y10" s="248">
        <f t="shared" si="5"/>
        <v>0.5092275559576922</v>
      </c>
      <c r="Z10" s="7"/>
    </row>
    <row r="11" spans="1:26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336"/>
      <c r="P11" s="337"/>
      <c r="Q11" s="69">
        <v>1980</v>
      </c>
      <c r="R11" s="69">
        <v>7</v>
      </c>
      <c r="S11" s="89" t="s">
        <v>1517</v>
      </c>
      <c r="T11" s="7" t="str">
        <f t="shared" si="0"/>
        <v>7_1980</v>
      </c>
      <c r="U11" s="247">
        <f t="shared" si="1"/>
        <v>82.4</v>
      </c>
      <c r="V11" s="248">
        <f t="shared" si="2"/>
        <v>0.66342212053493177</v>
      </c>
      <c r="W11" s="248">
        <f t="shared" si="3"/>
        <v>0.33657787946506823</v>
      </c>
      <c r="X11" s="248">
        <f t="shared" si="4"/>
        <v>0.49077244404230785</v>
      </c>
      <c r="Y11" s="248">
        <f t="shared" si="5"/>
        <v>0.5092275559576922</v>
      </c>
      <c r="Z11" s="7"/>
    </row>
    <row r="12" spans="1:26">
      <c r="A12" s="249" t="s">
        <v>1526</v>
      </c>
      <c r="B12" s="89" t="s">
        <v>1527</v>
      </c>
      <c r="C12" s="89" t="s">
        <v>1528</v>
      </c>
      <c r="D12" s="89" t="s">
        <v>1529</v>
      </c>
      <c r="E12" s="89" t="s">
        <v>1530</v>
      </c>
      <c r="F12" s="89" t="s">
        <v>1531</v>
      </c>
      <c r="G12" s="89" t="s">
        <v>1532</v>
      </c>
      <c r="H12" s="89" t="s">
        <v>1533</v>
      </c>
      <c r="I12" s="89" t="s">
        <v>1534</v>
      </c>
      <c r="J12" s="89" t="s">
        <v>1535</v>
      </c>
      <c r="K12" s="89" t="s">
        <v>1536</v>
      </c>
      <c r="L12" s="89" t="s">
        <v>1537</v>
      </c>
      <c r="M12" s="89" t="s">
        <v>1538</v>
      </c>
      <c r="N12" s="89" t="s">
        <v>1517</v>
      </c>
      <c r="O12" s="7"/>
      <c r="P12" s="7"/>
      <c r="Q12" s="69">
        <v>1980</v>
      </c>
      <c r="R12" s="69">
        <v>8</v>
      </c>
      <c r="S12" s="89" t="s">
        <v>1517</v>
      </c>
      <c r="T12" s="7" t="str">
        <f t="shared" si="0"/>
        <v>8_1980</v>
      </c>
      <c r="U12" s="247">
        <f t="shared" si="1"/>
        <v>82.4</v>
      </c>
      <c r="V12" s="248">
        <f t="shared" si="2"/>
        <v>0.66342212053493177</v>
      </c>
      <c r="W12" s="248">
        <f t="shared" si="3"/>
        <v>0.33657787946506823</v>
      </c>
      <c r="X12" s="248">
        <f t="shared" si="4"/>
        <v>0.49077244404230785</v>
      </c>
      <c r="Y12" s="248">
        <f t="shared" si="5"/>
        <v>0.5092275559576922</v>
      </c>
      <c r="Z12" s="7"/>
    </row>
    <row r="13" spans="1:26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69">
        <v>1980</v>
      </c>
      <c r="R13" s="69">
        <v>9</v>
      </c>
      <c r="S13" s="89" t="s">
        <v>1517</v>
      </c>
      <c r="T13" s="7" t="str">
        <f t="shared" si="0"/>
        <v>9_1980</v>
      </c>
      <c r="U13" s="247">
        <f t="shared" si="1"/>
        <v>82.4</v>
      </c>
      <c r="V13" s="248">
        <f t="shared" si="2"/>
        <v>0.66342212053493177</v>
      </c>
      <c r="W13" s="248">
        <f t="shared" si="3"/>
        <v>0.33657787946506823</v>
      </c>
      <c r="X13" s="248">
        <f t="shared" si="4"/>
        <v>0.49077244404230785</v>
      </c>
      <c r="Y13" s="248">
        <f t="shared" si="5"/>
        <v>0.5092275559576922</v>
      </c>
      <c r="Z13" s="7"/>
    </row>
    <row r="14" spans="1:26">
      <c r="A14" s="249">
        <v>1913</v>
      </c>
      <c r="B14" s="250">
        <v>9.8000000000000007</v>
      </c>
      <c r="C14" s="250">
        <v>9.8000000000000007</v>
      </c>
      <c r="D14" s="250">
        <v>9.8000000000000007</v>
      </c>
      <c r="E14" s="250">
        <v>9.8000000000000007</v>
      </c>
      <c r="F14" s="250">
        <v>9.6999999999999993</v>
      </c>
      <c r="G14" s="250">
        <v>9.8000000000000007</v>
      </c>
      <c r="H14" s="250">
        <v>9.9</v>
      </c>
      <c r="I14" s="250">
        <v>9.9</v>
      </c>
      <c r="J14" s="250">
        <v>10</v>
      </c>
      <c r="K14" s="250">
        <v>10</v>
      </c>
      <c r="L14" s="250">
        <v>10.1</v>
      </c>
      <c r="M14" s="250">
        <v>10</v>
      </c>
      <c r="N14" s="250">
        <v>9.9</v>
      </c>
      <c r="O14" s="251"/>
      <c r="P14" s="251"/>
      <c r="Q14" s="69">
        <v>1980</v>
      </c>
      <c r="R14" s="69">
        <v>10</v>
      </c>
      <c r="S14" s="89" t="s">
        <v>1517</v>
      </c>
      <c r="T14" s="7" t="str">
        <f t="shared" si="0"/>
        <v>10_1980</v>
      </c>
      <c r="U14" s="247">
        <f t="shared" si="1"/>
        <v>82.4</v>
      </c>
      <c r="V14" s="248">
        <f t="shared" si="2"/>
        <v>0.66342212053493177</v>
      </c>
      <c r="W14" s="248">
        <f t="shared" si="3"/>
        <v>0.33657787946506823</v>
      </c>
      <c r="X14" s="248">
        <f t="shared" si="4"/>
        <v>0.49077244404230785</v>
      </c>
      <c r="Y14" s="248">
        <f t="shared" si="5"/>
        <v>0.5092275559576922</v>
      </c>
      <c r="Z14" s="7"/>
    </row>
    <row r="15" spans="1:26">
      <c r="A15" s="249">
        <v>1914</v>
      </c>
      <c r="B15" s="250">
        <v>10</v>
      </c>
      <c r="C15" s="250">
        <v>9.9</v>
      </c>
      <c r="D15" s="250">
        <v>9.9</v>
      </c>
      <c r="E15" s="250">
        <v>9.8000000000000007</v>
      </c>
      <c r="F15" s="250">
        <v>9.9</v>
      </c>
      <c r="G15" s="250">
        <v>9.9</v>
      </c>
      <c r="H15" s="250">
        <v>10</v>
      </c>
      <c r="I15" s="250">
        <v>10.199999999999999</v>
      </c>
      <c r="J15" s="250">
        <v>10.199999999999999</v>
      </c>
      <c r="K15" s="250">
        <v>10.1</v>
      </c>
      <c r="L15" s="250">
        <v>10.199999999999999</v>
      </c>
      <c r="M15" s="250">
        <v>10.1</v>
      </c>
      <c r="N15" s="250">
        <v>10</v>
      </c>
      <c r="O15" s="251"/>
      <c r="P15" s="251"/>
      <c r="Q15" s="69">
        <v>1980</v>
      </c>
      <c r="R15" s="69">
        <v>11</v>
      </c>
      <c r="S15" s="89" t="s">
        <v>1517</v>
      </c>
      <c r="T15" s="7" t="str">
        <f t="shared" si="0"/>
        <v>11_1980</v>
      </c>
      <c r="U15" s="247">
        <f t="shared" si="1"/>
        <v>82.4</v>
      </c>
      <c r="V15" s="248">
        <f t="shared" si="2"/>
        <v>0.66342212053493177</v>
      </c>
      <c r="W15" s="248">
        <f t="shared" si="3"/>
        <v>0.33657787946506823</v>
      </c>
      <c r="X15" s="248">
        <f t="shared" si="4"/>
        <v>0.49077244404230785</v>
      </c>
      <c r="Y15" s="248">
        <f t="shared" si="5"/>
        <v>0.5092275559576922</v>
      </c>
      <c r="Z15" s="7"/>
    </row>
    <row r="16" spans="1:26">
      <c r="A16" s="249">
        <v>1915</v>
      </c>
      <c r="B16" s="250">
        <v>10.1</v>
      </c>
      <c r="C16" s="250">
        <v>10</v>
      </c>
      <c r="D16" s="250">
        <v>9.9</v>
      </c>
      <c r="E16" s="250">
        <v>10</v>
      </c>
      <c r="F16" s="250">
        <v>10.1</v>
      </c>
      <c r="G16" s="250">
        <v>10.1</v>
      </c>
      <c r="H16" s="250">
        <v>10.1</v>
      </c>
      <c r="I16" s="250">
        <v>10.1</v>
      </c>
      <c r="J16" s="250">
        <v>10.1</v>
      </c>
      <c r="K16" s="250">
        <v>10.199999999999999</v>
      </c>
      <c r="L16" s="250">
        <v>10.3</v>
      </c>
      <c r="M16" s="250">
        <v>10.3</v>
      </c>
      <c r="N16" s="250">
        <v>10.1</v>
      </c>
      <c r="O16" s="251"/>
      <c r="P16" s="251"/>
      <c r="Q16" s="69">
        <v>1980</v>
      </c>
      <c r="R16" s="69">
        <v>12</v>
      </c>
      <c r="S16" s="89" t="s">
        <v>1517</v>
      </c>
      <c r="T16" s="7" t="str">
        <f t="shared" si="0"/>
        <v>12_1980</v>
      </c>
      <c r="U16" s="247">
        <f t="shared" si="1"/>
        <v>82.4</v>
      </c>
      <c r="V16" s="248">
        <f>+(V28*U16/U28)/(V28*U16/U28+W28*AVERAGE(U16,'PPI USA'!T22)/AVERAGE(U28,'PPI USA'!T34))</f>
        <v>0.66342212053493177</v>
      </c>
      <c r="W16" s="248">
        <f t="shared" si="3"/>
        <v>0.33657787946506823</v>
      </c>
      <c r="X16" s="248">
        <f>+(X28*$U16/$U28)/(X28*$U16/$U28+Y28*AVERAGE($U16,'PPI USA'!$T22)/AVERAGE($U28,'PPI USA'!$T34))</f>
        <v>0.49077244404230785</v>
      </c>
      <c r="Y16" s="248">
        <f t="shared" si="5"/>
        <v>0.5092275559576922</v>
      </c>
      <c r="Z16" s="7"/>
    </row>
    <row r="17" spans="1:26">
      <c r="A17" s="7"/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69">
        <f>Q16+1</f>
        <v>1981</v>
      </c>
      <c r="R17" s="69">
        <v>1</v>
      </c>
      <c r="S17" s="89" t="s">
        <v>1517</v>
      </c>
      <c r="T17" s="7" t="str">
        <f t="shared" si="0"/>
        <v>1_1981</v>
      </c>
      <c r="U17" s="247">
        <f t="shared" si="1"/>
        <v>90.9</v>
      </c>
      <c r="V17" s="248">
        <f t="shared" ref="V17:V27" si="6">+V18</f>
        <v>0.65953692499433902</v>
      </c>
      <c r="W17" s="248">
        <f t="shared" si="3"/>
        <v>0.34046307500566098</v>
      </c>
      <c r="X17" s="248">
        <f t="shared" ref="X17:X27" si="7">+X18</f>
        <v>0.48643706817753068</v>
      </c>
      <c r="Y17" s="248">
        <f t="shared" si="5"/>
        <v>0.51356293182246926</v>
      </c>
      <c r="Z17" s="7"/>
    </row>
    <row r="18" spans="1:26">
      <c r="A18" s="249">
        <v>1916</v>
      </c>
      <c r="B18" s="250">
        <v>10.4</v>
      </c>
      <c r="C18" s="250">
        <v>10.4</v>
      </c>
      <c r="D18" s="250">
        <v>10.5</v>
      </c>
      <c r="E18" s="250">
        <v>10.6</v>
      </c>
      <c r="F18" s="250">
        <v>10.7</v>
      </c>
      <c r="G18" s="250">
        <v>10.8</v>
      </c>
      <c r="H18" s="250">
        <v>10.8</v>
      </c>
      <c r="I18" s="250">
        <v>10.9</v>
      </c>
      <c r="J18" s="250">
        <v>11.1</v>
      </c>
      <c r="K18" s="250">
        <v>11.3</v>
      </c>
      <c r="L18" s="250">
        <v>11.5</v>
      </c>
      <c r="M18" s="250">
        <v>11.6</v>
      </c>
      <c r="N18" s="250">
        <v>10.9</v>
      </c>
      <c r="O18" s="251"/>
      <c r="P18" s="251"/>
      <c r="Q18" s="69">
        <f>Q16+1</f>
        <v>1981</v>
      </c>
      <c r="R18" s="69">
        <v>2</v>
      </c>
      <c r="S18" s="89" t="s">
        <v>1517</v>
      </c>
      <c r="T18" s="7" t="str">
        <f t="shared" si="0"/>
        <v>2_1981</v>
      </c>
      <c r="U18" s="247">
        <f t="shared" si="1"/>
        <v>90.9</v>
      </c>
      <c r="V18" s="248">
        <f t="shared" si="6"/>
        <v>0.65953692499433902</v>
      </c>
      <c r="W18" s="248">
        <f t="shared" si="3"/>
        <v>0.34046307500566098</v>
      </c>
      <c r="X18" s="248">
        <f t="shared" si="7"/>
        <v>0.48643706817753068</v>
      </c>
      <c r="Y18" s="248">
        <f t="shared" si="5"/>
        <v>0.51356293182246926</v>
      </c>
      <c r="Z18" s="7"/>
    </row>
    <row r="19" spans="1:26">
      <c r="A19" s="249">
        <v>1917</v>
      </c>
      <c r="B19" s="250">
        <v>11.7</v>
      </c>
      <c r="C19" s="250">
        <v>12</v>
      </c>
      <c r="D19" s="250">
        <v>12</v>
      </c>
      <c r="E19" s="250">
        <v>12.6</v>
      </c>
      <c r="F19" s="250">
        <v>12.8</v>
      </c>
      <c r="G19" s="250">
        <v>13</v>
      </c>
      <c r="H19" s="250">
        <v>12.8</v>
      </c>
      <c r="I19" s="250">
        <v>13</v>
      </c>
      <c r="J19" s="250">
        <v>13.3</v>
      </c>
      <c r="K19" s="250">
        <v>13.5</v>
      </c>
      <c r="L19" s="250">
        <v>13.5</v>
      </c>
      <c r="M19" s="250">
        <v>13.7</v>
      </c>
      <c r="N19" s="250">
        <v>12.8</v>
      </c>
      <c r="O19" s="251"/>
      <c r="P19" s="251"/>
      <c r="Q19" s="69">
        <f>Q16+1</f>
        <v>1981</v>
      </c>
      <c r="R19" s="69">
        <v>3</v>
      </c>
      <c r="S19" s="89" t="s">
        <v>1517</v>
      </c>
      <c r="T19" s="7" t="str">
        <f t="shared" si="0"/>
        <v>3_1981</v>
      </c>
      <c r="U19" s="247">
        <f t="shared" si="1"/>
        <v>90.9</v>
      </c>
      <c r="V19" s="248">
        <f t="shared" si="6"/>
        <v>0.65953692499433902</v>
      </c>
      <c r="W19" s="248">
        <f t="shared" si="3"/>
        <v>0.34046307500566098</v>
      </c>
      <c r="X19" s="248">
        <f t="shared" si="7"/>
        <v>0.48643706817753068</v>
      </c>
      <c r="Y19" s="248">
        <f t="shared" si="5"/>
        <v>0.51356293182246926</v>
      </c>
      <c r="Z19" s="7"/>
    </row>
    <row r="20" spans="1:26">
      <c r="A20" s="249">
        <v>1918</v>
      </c>
      <c r="B20" s="250">
        <v>14</v>
      </c>
      <c r="C20" s="250">
        <v>14.1</v>
      </c>
      <c r="D20" s="250">
        <v>14</v>
      </c>
      <c r="E20" s="250">
        <v>14.2</v>
      </c>
      <c r="F20" s="250">
        <v>14.5</v>
      </c>
      <c r="G20" s="250">
        <v>14.7</v>
      </c>
      <c r="H20" s="250">
        <v>15.1</v>
      </c>
      <c r="I20" s="250">
        <v>15.4</v>
      </c>
      <c r="J20" s="250">
        <v>15.7</v>
      </c>
      <c r="K20" s="250">
        <v>16</v>
      </c>
      <c r="L20" s="250">
        <v>16.3</v>
      </c>
      <c r="M20" s="250">
        <v>16.5</v>
      </c>
      <c r="N20" s="250">
        <v>15.1</v>
      </c>
      <c r="O20" s="251"/>
      <c r="P20" s="251"/>
      <c r="Q20" s="69">
        <f>Q16+1</f>
        <v>1981</v>
      </c>
      <c r="R20" s="69">
        <v>4</v>
      </c>
      <c r="S20" s="89" t="s">
        <v>1517</v>
      </c>
      <c r="T20" s="7" t="str">
        <f t="shared" si="0"/>
        <v>4_1981</v>
      </c>
      <c r="U20" s="247">
        <f t="shared" si="1"/>
        <v>90.9</v>
      </c>
      <c r="V20" s="248">
        <f t="shared" si="6"/>
        <v>0.65953692499433902</v>
      </c>
      <c r="W20" s="248">
        <f t="shared" si="3"/>
        <v>0.34046307500566098</v>
      </c>
      <c r="X20" s="248">
        <f t="shared" si="7"/>
        <v>0.48643706817753068</v>
      </c>
      <c r="Y20" s="248">
        <f t="shared" si="5"/>
        <v>0.51356293182246926</v>
      </c>
      <c r="Z20" s="7"/>
    </row>
    <row r="21" spans="1:26">
      <c r="A21" s="249">
        <v>1919</v>
      </c>
      <c r="B21" s="250">
        <v>16.5</v>
      </c>
      <c r="C21" s="250">
        <v>16.2</v>
      </c>
      <c r="D21" s="250">
        <v>16.399999999999999</v>
      </c>
      <c r="E21" s="250">
        <v>16.7</v>
      </c>
      <c r="F21" s="250">
        <v>16.899999999999999</v>
      </c>
      <c r="G21" s="250">
        <v>16.899999999999999</v>
      </c>
      <c r="H21" s="250">
        <v>17.399999999999999</v>
      </c>
      <c r="I21" s="250">
        <v>17.7</v>
      </c>
      <c r="J21" s="250">
        <v>17.8</v>
      </c>
      <c r="K21" s="250">
        <v>18.100000000000001</v>
      </c>
      <c r="L21" s="250">
        <v>18.5</v>
      </c>
      <c r="M21" s="250">
        <v>18.899999999999999</v>
      </c>
      <c r="N21" s="250">
        <v>17.3</v>
      </c>
      <c r="O21" s="251"/>
      <c r="P21" s="251"/>
      <c r="Q21" s="69">
        <f>Q16+1</f>
        <v>1981</v>
      </c>
      <c r="R21" s="69">
        <v>5</v>
      </c>
      <c r="S21" s="89" t="s">
        <v>1517</v>
      </c>
      <c r="T21" s="7" t="str">
        <f t="shared" si="0"/>
        <v>5_1981</v>
      </c>
      <c r="U21" s="247">
        <f t="shared" si="1"/>
        <v>90.9</v>
      </c>
      <c r="V21" s="248">
        <f t="shared" si="6"/>
        <v>0.65953692499433902</v>
      </c>
      <c r="W21" s="248">
        <f t="shared" si="3"/>
        <v>0.34046307500566098</v>
      </c>
      <c r="X21" s="248">
        <f t="shared" si="7"/>
        <v>0.48643706817753068</v>
      </c>
      <c r="Y21" s="248">
        <f t="shared" si="5"/>
        <v>0.51356293182246926</v>
      </c>
      <c r="Z21" s="7"/>
    </row>
    <row r="22" spans="1:26">
      <c r="A22" s="249">
        <v>1920</v>
      </c>
      <c r="B22" s="250">
        <v>19.3</v>
      </c>
      <c r="C22" s="250">
        <v>19.5</v>
      </c>
      <c r="D22" s="250">
        <v>19.7</v>
      </c>
      <c r="E22" s="250">
        <v>20.3</v>
      </c>
      <c r="F22" s="250">
        <v>20.6</v>
      </c>
      <c r="G22" s="250">
        <v>20.9</v>
      </c>
      <c r="H22" s="250">
        <v>20.8</v>
      </c>
      <c r="I22" s="250">
        <v>20.3</v>
      </c>
      <c r="J22" s="250">
        <v>20</v>
      </c>
      <c r="K22" s="250">
        <v>19.899999999999999</v>
      </c>
      <c r="L22" s="250">
        <v>19.8</v>
      </c>
      <c r="M22" s="250">
        <v>19.399999999999999</v>
      </c>
      <c r="N22" s="250">
        <v>20</v>
      </c>
      <c r="O22" s="251"/>
      <c r="P22" s="251"/>
      <c r="Q22" s="69">
        <f>Q16+1</f>
        <v>1981</v>
      </c>
      <c r="R22" s="69">
        <v>6</v>
      </c>
      <c r="S22" s="89" t="s">
        <v>1517</v>
      </c>
      <c r="T22" s="7" t="str">
        <f t="shared" si="0"/>
        <v>6_1981</v>
      </c>
      <c r="U22" s="247">
        <f t="shared" si="1"/>
        <v>90.9</v>
      </c>
      <c r="V22" s="248">
        <f t="shared" si="6"/>
        <v>0.65953692499433902</v>
      </c>
      <c r="W22" s="248">
        <f t="shared" si="3"/>
        <v>0.34046307500566098</v>
      </c>
      <c r="X22" s="248">
        <f t="shared" si="7"/>
        <v>0.48643706817753068</v>
      </c>
      <c r="Y22" s="248">
        <f t="shared" si="5"/>
        <v>0.51356293182246926</v>
      </c>
      <c r="Z22" s="7"/>
    </row>
    <row r="23" spans="1:26">
      <c r="A23" s="7"/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69">
        <f>Q16+1</f>
        <v>1981</v>
      </c>
      <c r="R23" s="69">
        <v>7</v>
      </c>
      <c r="S23" s="89" t="s">
        <v>1517</v>
      </c>
      <c r="T23" s="7" t="str">
        <f t="shared" si="0"/>
        <v>7_1981</v>
      </c>
      <c r="U23" s="247">
        <f t="shared" si="1"/>
        <v>90.9</v>
      </c>
      <c r="V23" s="248">
        <f t="shared" si="6"/>
        <v>0.65953692499433902</v>
      </c>
      <c r="W23" s="248">
        <f t="shared" si="3"/>
        <v>0.34046307500566098</v>
      </c>
      <c r="X23" s="248">
        <f t="shared" si="7"/>
        <v>0.48643706817753068</v>
      </c>
      <c r="Y23" s="248">
        <f t="shared" si="5"/>
        <v>0.51356293182246926</v>
      </c>
      <c r="Z23" s="7"/>
    </row>
    <row r="24" spans="1:26">
      <c r="A24" s="249">
        <v>1921</v>
      </c>
      <c r="B24" s="250">
        <v>19</v>
      </c>
      <c r="C24" s="250">
        <v>18.399999999999999</v>
      </c>
      <c r="D24" s="250">
        <v>18.3</v>
      </c>
      <c r="E24" s="250">
        <v>18.100000000000001</v>
      </c>
      <c r="F24" s="250">
        <v>17.7</v>
      </c>
      <c r="G24" s="250">
        <v>17.600000000000001</v>
      </c>
      <c r="H24" s="250">
        <v>17.7</v>
      </c>
      <c r="I24" s="250">
        <v>17.7</v>
      </c>
      <c r="J24" s="250">
        <v>17.5</v>
      </c>
      <c r="K24" s="250">
        <v>17.5</v>
      </c>
      <c r="L24" s="250">
        <v>17.399999999999999</v>
      </c>
      <c r="M24" s="250">
        <v>17.3</v>
      </c>
      <c r="N24" s="250">
        <v>17.899999999999999</v>
      </c>
      <c r="O24" s="251"/>
      <c r="P24" s="251"/>
      <c r="Q24" s="69">
        <f>Q16+1</f>
        <v>1981</v>
      </c>
      <c r="R24" s="69">
        <v>8</v>
      </c>
      <c r="S24" s="89" t="s">
        <v>1517</v>
      </c>
      <c r="T24" s="7" t="str">
        <f t="shared" si="0"/>
        <v>8_1981</v>
      </c>
      <c r="U24" s="247">
        <f t="shared" si="1"/>
        <v>90.9</v>
      </c>
      <c r="V24" s="248">
        <f t="shared" si="6"/>
        <v>0.65953692499433902</v>
      </c>
      <c r="W24" s="248">
        <f t="shared" si="3"/>
        <v>0.34046307500566098</v>
      </c>
      <c r="X24" s="248">
        <f t="shared" si="7"/>
        <v>0.48643706817753068</v>
      </c>
      <c r="Y24" s="248">
        <f t="shared" si="5"/>
        <v>0.51356293182246926</v>
      </c>
      <c r="Z24" s="7"/>
    </row>
    <row r="25" spans="1:26">
      <c r="A25" s="249">
        <v>1922</v>
      </c>
      <c r="B25" s="250">
        <v>16.899999999999999</v>
      </c>
      <c r="C25" s="250">
        <v>16.899999999999999</v>
      </c>
      <c r="D25" s="250">
        <v>16.7</v>
      </c>
      <c r="E25" s="250">
        <v>16.7</v>
      </c>
      <c r="F25" s="250">
        <v>16.7</v>
      </c>
      <c r="G25" s="250">
        <v>16.7</v>
      </c>
      <c r="H25" s="250">
        <v>16.8</v>
      </c>
      <c r="I25" s="250">
        <v>16.600000000000001</v>
      </c>
      <c r="J25" s="250">
        <v>16.600000000000001</v>
      </c>
      <c r="K25" s="250">
        <v>16.7</v>
      </c>
      <c r="L25" s="250">
        <v>16.8</v>
      </c>
      <c r="M25" s="250">
        <v>16.899999999999999</v>
      </c>
      <c r="N25" s="250">
        <v>16.8</v>
      </c>
      <c r="O25" s="251"/>
      <c r="P25" s="251"/>
      <c r="Q25" s="69">
        <f>Q16+1</f>
        <v>1981</v>
      </c>
      <c r="R25" s="69">
        <v>9</v>
      </c>
      <c r="S25" s="89" t="s">
        <v>1517</v>
      </c>
      <c r="T25" s="7" t="str">
        <f t="shared" si="0"/>
        <v>9_1981</v>
      </c>
      <c r="U25" s="247">
        <f t="shared" si="1"/>
        <v>90.9</v>
      </c>
      <c r="V25" s="248">
        <f t="shared" si="6"/>
        <v>0.65953692499433902</v>
      </c>
      <c r="W25" s="248">
        <f t="shared" si="3"/>
        <v>0.34046307500566098</v>
      </c>
      <c r="X25" s="248">
        <f t="shared" si="7"/>
        <v>0.48643706817753068</v>
      </c>
      <c r="Y25" s="248">
        <f t="shared" si="5"/>
        <v>0.51356293182246926</v>
      </c>
      <c r="Z25" s="7"/>
    </row>
    <row r="26" spans="1:26">
      <c r="A26" s="249">
        <v>1923</v>
      </c>
      <c r="B26" s="250">
        <v>16.8</v>
      </c>
      <c r="C26" s="250">
        <v>16.8</v>
      </c>
      <c r="D26" s="250">
        <v>16.8</v>
      </c>
      <c r="E26" s="250">
        <v>16.899999999999999</v>
      </c>
      <c r="F26" s="250">
        <v>16.899999999999999</v>
      </c>
      <c r="G26" s="250">
        <v>17</v>
      </c>
      <c r="H26" s="250">
        <v>17.2</v>
      </c>
      <c r="I26" s="250">
        <v>17.100000000000001</v>
      </c>
      <c r="J26" s="250">
        <v>17.2</v>
      </c>
      <c r="K26" s="250">
        <v>17.3</v>
      </c>
      <c r="L26" s="250">
        <v>17.3</v>
      </c>
      <c r="M26" s="250">
        <v>17.3</v>
      </c>
      <c r="N26" s="250">
        <v>17.100000000000001</v>
      </c>
      <c r="O26" s="251"/>
      <c r="P26" s="251"/>
      <c r="Q26" s="69">
        <f>Q16+1</f>
        <v>1981</v>
      </c>
      <c r="R26" s="69">
        <v>10</v>
      </c>
      <c r="S26" s="89" t="s">
        <v>1517</v>
      </c>
      <c r="T26" s="7" t="str">
        <f t="shared" si="0"/>
        <v>10_1981</v>
      </c>
      <c r="U26" s="247">
        <f t="shared" si="1"/>
        <v>90.9</v>
      </c>
      <c r="V26" s="248">
        <f t="shared" si="6"/>
        <v>0.65953692499433902</v>
      </c>
      <c r="W26" s="248">
        <f t="shared" si="3"/>
        <v>0.34046307500566098</v>
      </c>
      <c r="X26" s="248">
        <f t="shared" si="7"/>
        <v>0.48643706817753068</v>
      </c>
      <c r="Y26" s="248">
        <f t="shared" si="5"/>
        <v>0.51356293182246926</v>
      </c>
      <c r="Z26" s="7"/>
    </row>
    <row r="27" spans="1:26">
      <c r="A27" s="249">
        <v>1924</v>
      </c>
      <c r="B27" s="250">
        <v>17.3</v>
      </c>
      <c r="C27" s="250">
        <v>17.2</v>
      </c>
      <c r="D27" s="250">
        <v>17.100000000000001</v>
      </c>
      <c r="E27" s="250">
        <v>17</v>
      </c>
      <c r="F27" s="250">
        <v>17</v>
      </c>
      <c r="G27" s="250">
        <v>17</v>
      </c>
      <c r="H27" s="250">
        <v>17.100000000000001</v>
      </c>
      <c r="I27" s="250">
        <v>17</v>
      </c>
      <c r="J27" s="250">
        <v>17.100000000000001</v>
      </c>
      <c r="K27" s="250">
        <v>17.2</v>
      </c>
      <c r="L27" s="250">
        <v>17.2</v>
      </c>
      <c r="M27" s="250">
        <v>17.3</v>
      </c>
      <c r="N27" s="250">
        <v>17.100000000000001</v>
      </c>
      <c r="O27" s="251"/>
      <c r="P27" s="251"/>
      <c r="Q27" s="69">
        <f>Q16+1</f>
        <v>1981</v>
      </c>
      <c r="R27" s="69">
        <v>11</v>
      </c>
      <c r="S27" s="89" t="s">
        <v>1517</v>
      </c>
      <c r="T27" s="7" t="str">
        <f t="shared" si="0"/>
        <v>11_1981</v>
      </c>
      <c r="U27" s="247">
        <f t="shared" si="1"/>
        <v>90.9</v>
      </c>
      <c r="V27" s="248">
        <f t="shared" si="6"/>
        <v>0.65953692499433902</v>
      </c>
      <c r="W27" s="248">
        <f t="shared" si="3"/>
        <v>0.34046307500566098</v>
      </c>
      <c r="X27" s="248">
        <f t="shared" si="7"/>
        <v>0.48643706817753068</v>
      </c>
      <c r="Y27" s="248">
        <f t="shared" si="5"/>
        <v>0.51356293182246926</v>
      </c>
      <c r="Z27" s="7"/>
    </row>
    <row r="28" spans="1:26">
      <c r="A28" s="249">
        <v>1925</v>
      </c>
      <c r="B28" s="250">
        <v>17.3</v>
      </c>
      <c r="C28" s="250">
        <v>17.2</v>
      </c>
      <c r="D28" s="250">
        <v>17.3</v>
      </c>
      <c r="E28" s="250">
        <v>17.2</v>
      </c>
      <c r="F28" s="250">
        <v>17.3</v>
      </c>
      <c r="G28" s="250">
        <v>17.5</v>
      </c>
      <c r="H28" s="250">
        <v>17.7</v>
      </c>
      <c r="I28" s="250">
        <v>17.7</v>
      </c>
      <c r="J28" s="250">
        <v>17.7</v>
      </c>
      <c r="K28" s="250">
        <v>17.7</v>
      </c>
      <c r="L28" s="250">
        <v>18</v>
      </c>
      <c r="M28" s="250">
        <v>17.899999999999999</v>
      </c>
      <c r="N28" s="250">
        <v>17.5</v>
      </c>
      <c r="O28" s="251"/>
      <c r="P28" s="251"/>
      <c r="Q28" s="69">
        <f>Q16+1</f>
        <v>1981</v>
      </c>
      <c r="R28" s="69">
        <v>12</v>
      </c>
      <c r="S28" s="89" t="s">
        <v>1517</v>
      </c>
      <c r="T28" s="7" t="str">
        <f t="shared" si="0"/>
        <v>12_1981</v>
      </c>
      <c r="U28" s="247">
        <f t="shared" si="1"/>
        <v>90.9</v>
      </c>
      <c r="V28" s="248">
        <f>+(V40*U28/U40)/(V40*U28/U40+W40*AVERAGE(U28,'PPI USA'!T34)/AVERAGE(U40,'PPI USA'!T46))</f>
        <v>0.65953692499433902</v>
      </c>
      <c r="W28" s="248">
        <f t="shared" si="3"/>
        <v>0.34046307500566098</v>
      </c>
      <c r="X28" s="248">
        <f>+(X40*$U28/$U40)/(X40*$U28/$U40+Y40*AVERAGE($U28,'PPI USA'!$T34)/AVERAGE($U40,'PPI USA'!$T46))</f>
        <v>0.48643706817753068</v>
      </c>
      <c r="Y28" s="248">
        <f t="shared" si="5"/>
        <v>0.51356293182246926</v>
      </c>
      <c r="Z28" s="7"/>
    </row>
    <row r="29" spans="1:26">
      <c r="A29" s="7"/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69">
        <f>Q28+1</f>
        <v>1982</v>
      </c>
      <c r="R29" s="69">
        <v>1</v>
      </c>
      <c r="S29" s="89" t="s">
        <v>1517</v>
      </c>
      <c r="T29" s="7" t="str">
        <f t="shared" si="0"/>
        <v>1_1982</v>
      </c>
      <c r="U29" s="247">
        <f t="shared" si="1"/>
        <v>96.5</v>
      </c>
      <c r="V29" s="248">
        <f t="shared" ref="V29:V39" si="8">+V30</f>
        <v>0.65387468923255321</v>
      </c>
      <c r="W29" s="248">
        <f t="shared" si="3"/>
        <v>0.34612531076744679</v>
      </c>
      <c r="X29" s="248">
        <f t="shared" ref="X29:X39" si="9">+X30</f>
        <v>0.48016504556280293</v>
      </c>
      <c r="Y29" s="248">
        <f t="shared" si="5"/>
        <v>0.51983495443719707</v>
      </c>
      <c r="Z29" s="7"/>
    </row>
    <row r="30" spans="1:26">
      <c r="A30" s="249">
        <v>1926</v>
      </c>
      <c r="B30" s="250">
        <v>17.899999999999999</v>
      </c>
      <c r="C30" s="250">
        <v>17.899999999999999</v>
      </c>
      <c r="D30" s="250">
        <v>17.8</v>
      </c>
      <c r="E30" s="250">
        <v>17.899999999999999</v>
      </c>
      <c r="F30" s="250">
        <v>17.8</v>
      </c>
      <c r="G30" s="250">
        <v>17.7</v>
      </c>
      <c r="H30" s="250">
        <v>17.5</v>
      </c>
      <c r="I30" s="250">
        <v>17.399999999999999</v>
      </c>
      <c r="J30" s="250">
        <v>17.5</v>
      </c>
      <c r="K30" s="250">
        <v>17.600000000000001</v>
      </c>
      <c r="L30" s="250">
        <v>17.7</v>
      </c>
      <c r="M30" s="250">
        <v>17.7</v>
      </c>
      <c r="N30" s="250">
        <v>17.7</v>
      </c>
      <c r="O30" s="251"/>
      <c r="P30" s="251"/>
      <c r="Q30" s="69">
        <f>Q28+1</f>
        <v>1982</v>
      </c>
      <c r="R30" s="69">
        <v>2</v>
      </c>
      <c r="S30" s="89" t="s">
        <v>1517</v>
      </c>
      <c r="T30" s="7" t="str">
        <f t="shared" si="0"/>
        <v>2_1982</v>
      </c>
      <c r="U30" s="247">
        <f t="shared" si="1"/>
        <v>96.5</v>
      </c>
      <c r="V30" s="248">
        <f t="shared" si="8"/>
        <v>0.65387468923255321</v>
      </c>
      <c r="W30" s="248">
        <f t="shared" si="3"/>
        <v>0.34612531076744679</v>
      </c>
      <c r="X30" s="248">
        <f t="shared" si="9"/>
        <v>0.48016504556280293</v>
      </c>
      <c r="Y30" s="248">
        <f t="shared" si="5"/>
        <v>0.51983495443719707</v>
      </c>
      <c r="Z30" s="7"/>
    </row>
    <row r="31" spans="1:26">
      <c r="A31" s="249">
        <v>1927</v>
      </c>
      <c r="B31" s="250">
        <v>17.5</v>
      </c>
      <c r="C31" s="250">
        <v>17.399999999999999</v>
      </c>
      <c r="D31" s="250">
        <v>17.3</v>
      </c>
      <c r="E31" s="250">
        <v>17.3</v>
      </c>
      <c r="F31" s="250">
        <v>17.399999999999999</v>
      </c>
      <c r="G31" s="250">
        <v>17.600000000000001</v>
      </c>
      <c r="H31" s="250">
        <v>17.3</v>
      </c>
      <c r="I31" s="250">
        <v>17.2</v>
      </c>
      <c r="J31" s="250">
        <v>17.3</v>
      </c>
      <c r="K31" s="250">
        <v>17.399999999999999</v>
      </c>
      <c r="L31" s="250">
        <v>17.3</v>
      </c>
      <c r="M31" s="250">
        <v>17.3</v>
      </c>
      <c r="N31" s="250">
        <v>17.399999999999999</v>
      </c>
      <c r="O31" s="251"/>
      <c r="P31" s="251"/>
      <c r="Q31" s="69">
        <f>Q28+1</f>
        <v>1982</v>
      </c>
      <c r="R31" s="69">
        <v>3</v>
      </c>
      <c r="S31" s="89" t="s">
        <v>1517</v>
      </c>
      <c r="T31" s="7" t="str">
        <f t="shared" si="0"/>
        <v>3_1982</v>
      </c>
      <c r="U31" s="247">
        <f t="shared" si="1"/>
        <v>96.5</v>
      </c>
      <c r="V31" s="248">
        <f t="shared" si="8"/>
        <v>0.65387468923255321</v>
      </c>
      <c r="W31" s="248">
        <f t="shared" si="3"/>
        <v>0.34612531076744679</v>
      </c>
      <c r="X31" s="248">
        <f t="shared" si="9"/>
        <v>0.48016504556280293</v>
      </c>
      <c r="Y31" s="248">
        <f t="shared" si="5"/>
        <v>0.51983495443719707</v>
      </c>
      <c r="Z31" s="7"/>
    </row>
    <row r="32" spans="1:26">
      <c r="A32" s="249">
        <v>1928</v>
      </c>
      <c r="B32" s="250">
        <v>17.3</v>
      </c>
      <c r="C32" s="250">
        <v>17.100000000000001</v>
      </c>
      <c r="D32" s="250">
        <v>17.100000000000001</v>
      </c>
      <c r="E32" s="250">
        <v>17.100000000000001</v>
      </c>
      <c r="F32" s="250">
        <v>17.2</v>
      </c>
      <c r="G32" s="250">
        <v>17.100000000000001</v>
      </c>
      <c r="H32" s="250">
        <v>17.100000000000001</v>
      </c>
      <c r="I32" s="250">
        <v>17.100000000000001</v>
      </c>
      <c r="J32" s="250">
        <v>17.3</v>
      </c>
      <c r="K32" s="250">
        <v>17.2</v>
      </c>
      <c r="L32" s="250">
        <v>17.2</v>
      </c>
      <c r="M32" s="250">
        <v>17.100000000000001</v>
      </c>
      <c r="N32" s="250">
        <v>17.100000000000001</v>
      </c>
      <c r="O32" s="251"/>
      <c r="P32" s="251"/>
      <c r="Q32" s="69">
        <f>Q28+1</f>
        <v>1982</v>
      </c>
      <c r="R32" s="69">
        <v>4</v>
      </c>
      <c r="S32" s="89" t="s">
        <v>1517</v>
      </c>
      <c r="T32" s="7" t="str">
        <f t="shared" si="0"/>
        <v>4_1982</v>
      </c>
      <c r="U32" s="247">
        <f t="shared" si="1"/>
        <v>96.5</v>
      </c>
      <c r="V32" s="248">
        <f t="shared" si="8"/>
        <v>0.65387468923255321</v>
      </c>
      <c r="W32" s="248">
        <f t="shared" si="3"/>
        <v>0.34612531076744679</v>
      </c>
      <c r="X32" s="248">
        <f t="shared" si="9"/>
        <v>0.48016504556280293</v>
      </c>
      <c r="Y32" s="248">
        <f t="shared" si="5"/>
        <v>0.51983495443719707</v>
      </c>
      <c r="Z32" s="7"/>
    </row>
    <row r="33" spans="1:26">
      <c r="A33" s="249">
        <v>1929</v>
      </c>
      <c r="B33" s="250">
        <v>17.100000000000001</v>
      </c>
      <c r="C33" s="250">
        <v>17.100000000000001</v>
      </c>
      <c r="D33" s="250">
        <v>17</v>
      </c>
      <c r="E33" s="250">
        <v>16.899999999999999</v>
      </c>
      <c r="F33" s="250">
        <v>17</v>
      </c>
      <c r="G33" s="250">
        <v>17.100000000000001</v>
      </c>
      <c r="H33" s="250">
        <v>17.3</v>
      </c>
      <c r="I33" s="250">
        <v>17.3</v>
      </c>
      <c r="J33" s="250">
        <v>17.3</v>
      </c>
      <c r="K33" s="250">
        <v>17.3</v>
      </c>
      <c r="L33" s="250">
        <v>17.3</v>
      </c>
      <c r="M33" s="250">
        <v>17.2</v>
      </c>
      <c r="N33" s="250">
        <v>17.100000000000001</v>
      </c>
      <c r="O33" s="251"/>
      <c r="P33" s="251"/>
      <c r="Q33" s="69">
        <f>Q28+1</f>
        <v>1982</v>
      </c>
      <c r="R33" s="69">
        <v>5</v>
      </c>
      <c r="S33" s="89" t="s">
        <v>1517</v>
      </c>
      <c r="T33" s="7" t="str">
        <f t="shared" si="0"/>
        <v>5_1982</v>
      </c>
      <c r="U33" s="247">
        <f t="shared" si="1"/>
        <v>96.5</v>
      </c>
      <c r="V33" s="248">
        <f t="shared" si="8"/>
        <v>0.65387468923255321</v>
      </c>
      <c r="W33" s="248">
        <f t="shared" si="3"/>
        <v>0.34612531076744679</v>
      </c>
      <c r="X33" s="248">
        <f t="shared" si="9"/>
        <v>0.48016504556280293</v>
      </c>
      <c r="Y33" s="248">
        <f t="shared" si="5"/>
        <v>0.51983495443719707</v>
      </c>
      <c r="Z33" s="7"/>
    </row>
    <row r="34" spans="1:26">
      <c r="A34" s="249">
        <v>1930</v>
      </c>
      <c r="B34" s="250">
        <v>17.100000000000001</v>
      </c>
      <c r="C34" s="250">
        <v>17</v>
      </c>
      <c r="D34" s="250">
        <v>16.899999999999999</v>
      </c>
      <c r="E34" s="250">
        <v>17</v>
      </c>
      <c r="F34" s="250">
        <v>16.899999999999999</v>
      </c>
      <c r="G34" s="250">
        <v>16.8</v>
      </c>
      <c r="H34" s="250">
        <v>16.600000000000001</v>
      </c>
      <c r="I34" s="250">
        <v>16.5</v>
      </c>
      <c r="J34" s="250">
        <v>16.600000000000001</v>
      </c>
      <c r="K34" s="250">
        <v>16.5</v>
      </c>
      <c r="L34" s="250">
        <v>16.399999999999999</v>
      </c>
      <c r="M34" s="250">
        <v>16.100000000000001</v>
      </c>
      <c r="N34" s="250">
        <v>16.7</v>
      </c>
      <c r="O34" s="251"/>
      <c r="P34" s="251"/>
      <c r="Q34" s="69">
        <f>Q28+1</f>
        <v>1982</v>
      </c>
      <c r="R34" s="69">
        <v>6</v>
      </c>
      <c r="S34" s="89" t="s">
        <v>1517</v>
      </c>
      <c r="T34" s="7" t="str">
        <f t="shared" si="0"/>
        <v>6_1982</v>
      </c>
      <c r="U34" s="247">
        <f t="shared" si="1"/>
        <v>96.5</v>
      </c>
      <c r="V34" s="248">
        <f t="shared" si="8"/>
        <v>0.65387468923255321</v>
      </c>
      <c r="W34" s="248">
        <f t="shared" si="3"/>
        <v>0.34612531076744679</v>
      </c>
      <c r="X34" s="248">
        <f t="shared" si="9"/>
        <v>0.48016504556280293</v>
      </c>
      <c r="Y34" s="248">
        <f t="shared" si="5"/>
        <v>0.51983495443719707</v>
      </c>
      <c r="Z34" s="7"/>
    </row>
    <row r="35" spans="1:26">
      <c r="A35" s="7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69">
        <f>Q28+1</f>
        <v>1982</v>
      </c>
      <c r="R35" s="69">
        <v>7</v>
      </c>
      <c r="S35" s="89" t="s">
        <v>1517</v>
      </c>
      <c r="T35" s="7" t="str">
        <f t="shared" si="0"/>
        <v>7_1982</v>
      </c>
      <c r="U35" s="247">
        <f t="shared" si="1"/>
        <v>96.5</v>
      </c>
      <c r="V35" s="248">
        <f t="shared" si="8"/>
        <v>0.65387468923255321</v>
      </c>
      <c r="W35" s="248">
        <f t="shared" si="3"/>
        <v>0.34612531076744679</v>
      </c>
      <c r="X35" s="248">
        <f t="shared" si="9"/>
        <v>0.48016504556280293</v>
      </c>
      <c r="Y35" s="248">
        <f t="shared" si="5"/>
        <v>0.51983495443719707</v>
      </c>
      <c r="Z35" s="7"/>
    </row>
    <row r="36" spans="1:26">
      <c r="A36" s="249">
        <v>1931</v>
      </c>
      <c r="B36" s="250">
        <v>15.9</v>
      </c>
      <c r="C36" s="250">
        <v>15.7</v>
      </c>
      <c r="D36" s="250">
        <v>15.6</v>
      </c>
      <c r="E36" s="250">
        <v>15.5</v>
      </c>
      <c r="F36" s="250">
        <v>15.3</v>
      </c>
      <c r="G36" s="250">
        <v>15.1</v>
      </c>
      <c r="H36" s="250">
        <v>15.1</v>
      </c>
      <c r="I36" s="250">
        <v>15.1</v>
      </c>
      <c r="J36" s="250">
        <v>15</v>
      </c>
      <c r="K36" s="250">
        <v>14.9</v>
      </c>
      <c r="L36" s="250">
        <v>14.7</v>
      </c>
      <c r="M36" s="250">
        <v>14.6</v>
      </c>
      <c r="N36" s="250">
        <v>15.2</v>
      </c>
      <c r="O36" s="251"/>
      <c r="P36" s="251"/>
      <c r="Q36" s="69">
        <f>Q28+1</f>
        <v>1982</v>
      </c>
      <c r="R36" s="69">
        <v>8</v>
      </c>
      <c r="S36" s="89" t="s">
        <v>1517</v>
      </c>
      <c r="T36" s="7" t="str">
        <f t="shared" si="0"/>
        <v>8_1982</v>
      </c>
      <c r="U36" s="247">
        <f t="shared" si="1"/>
        <v>96.5</v>
      </c>
      <c r="V36" s="248">
        <f t="shared" si="8"/>
        <v>0.65387468923255321</v>
      </c>
      <c r="W36" s="248">
        <f t="shared" si="3"/>
        <v>0.34612531076744679</v>
      </c>
      <c r="X36" s="248">
        <f t="shared" si="9"/>
        <v>0.48016504556280293</v>
      </c>
      <c r="Y36" s="248">
        <f t="shared" si="5"/>
        <v>0.51983495443719707</v>
      </c>
      <c r="Z36" s="7"/>
    </row>
    <row r="37" spans="1:26">
      <c r="A37" s="249">
        <v>1932</v>
      </c>
      <c r="B37" s="250">
        <v>14.3</v>
      </c>
      <c r="C37" s="250">
        <v>14.1</v>
      </c>
      <c r="D37" s="250">
        <v>14</v>
      </c>
      <c r="E37" s="250">
        <v>13.9</v>
      </c>
      <c r="F37" s="250">
        <v>13.7</v>
      </c>
      <c r="G37" s="250">
        <v>13.6</v>
      </c>
      <c r="H37" s="250">
        <v>13.6</v>
      </c>
      <c r="I37" s="250">
        <v>13.5</v>
      </c>
      <c r="J37" s="250">
        <v>13.4</v>
      </c>
      <c r="K37" s="250">
        <v>13.3</v>
      </c>
      <c r="L37" s="250">
        <v>13.2</v>
      </c>
      <c r="M37" s="250">
        <v>13.1</v>
      </c>
      <c r="N37" s="250">
        <v>13.7</v>
      </c>
      <c r="O37" s="251"/>
      <c r="P37" s="251"/>
      <c r="Q37" s="69">
        <f>Q28+1</f>
        <v>1982</v>
      </c>
      <c r="R37" s="69">
        <v>9</v>
      </c>
      <c r="S37" s="89" t="s">
        <v>1517</v>
      </c>
      <c r="T37" s="7" t="str">
        <f t="shared" si="0"/>
        <v>9_1982</v>
      </c>
      <c r="U37" s="247">
        <f t="shared" si="1"/>
        <v>96.5</v>
      </c>
      <c r="V37" s="248">
        <f t="shared" si="8"/>
        <v>0.65387468923255321</v>
      </c>
      <c r="W37" s="248">
        <f t="shared" si="3"/>
        <v>0.34612531076744679</v>
      </c>
      <c r="X37" s="248">
        <f t="shared" si="9"/>
        <v>0.48016504556280293</v>
      </c>
      <c r="Y37" s="248">
        <f t="shared" si="5"/>
        <v>0.51983495443719707</v>
      </c>
      <c r="Z37" s="7"/>
    </row>
    <row r="38" spans="1:26">
      <c r="A38" s="249">
        <v>1933</v>
      </c>
      <c r="B38" s="250">
        <v>12.9</v>
      </c>
      <c r="C38" s="250">
        <v>12.7</v>
      </c>
      <c r="D38" s="250">
        <v>12.6</v>
      </c>
      <c r="E38" s="250">
        <v>12.6</v>
      </c>
      <c r="F38" s="250">
        <v>12.6</v>
      </c>
      <c r="G38" s="250">
        <v>12.7</v>
      </c>
      <c r="H38" s="250">
        <v>13.1</v>
      </c>
      <c r="I38" s="250">
        <v>13.2</v>
      </c>
      <c r="J38" s="250">
        <v>13.2</v>
      </c>
      <c r="K38" s="250">
        <v>13.2</v>
      </c>
      <c r="L38" s="250">
        <v>13.2</v>
      </c>
      <c r="M38" s="250">
        <v>13.2</v>
      </c>
      <c r="N38" s="250">
        <v>13</v>
      </c>
      <c r="O38" s="251"/>
      <c r="P38" s="251"/>
      <c r="Q38" s="69">
        <f>Q28+1</f>
        <v>1982</v>
      </c>
      <c r="R38" s="69">
        <v>10</v>
      </c>
      <c r="S38" s="89" t="s">
        <v>1517</v>
      </c>
      <c r="T38" s="7" t="str">
        <f t="shared" si="0"/>
        <v>10_1982</v>
      </c>
      <c r="U38" s="247">
        <f t="shared" si="1"/>
        <v>96.5</v>
      </c>
      <c r="V38" s="248">
        <f t="shared" si="8"/>
        <v>0.65387468923255321</v>
      </c>
      <c r="W38" s="248">
        <f t="shared" si="3"/>
        <v>0.34612531076744679</v>
      </c>
      <c r="X38" s="248">
        <f t="shared" si="9"/>
        <v>0.48016504556280293</v>
      </c>
      <c r="Y38" s="248">
        <f t="shared" si="5"/>
        <v>0.51983495443719707</v>
      </c>
      <c r="Z38" s="7"/>
    </row>
    <row r="39" spans="1:26">
      <c r="A39" s="249">
        <v>1934</v>
      </c>
      <c r="B39" s="250">
        <v>13.2</v>
      </c>
      <c r="C39" s="250">
        <v>13.3</v>
      </c>
      <c r="D39" s="250">
        <v>13.3</v>
      </c>
      <c r="E39" s="250">
        <v>13.3</v>
      </c>
      <c r="F39" s="250">
        <v>13.3</v>
      </c>
      <c r="G39" s="250">
        <v>13.4</v>
      </c>
      <c r="H39" s="250">
        <v>13.4</v>
      </c>
      <c r="I39" s="250">
        <v>13.4</v>
      </c>
      <c r="J39" s="250">
        <v>13.6</v>
      </c>
      <c r="K39" s="250">
        <v>13.5</v>
      </c>
      <c r="L39" s="250">
        <v>13.5</v>
      </c>
      <c r="M39" s="250">
        <v>13.4</v>
      </c>
      <c r="N39" s="250">
        <v>13.4</v>
      </c>
      <c r="O39" s="251"/>
      <c r="P39" s="251"/>
      <c r="Q39" s="69">
        <f>Q28+1</f>
        <v>1982</v>
      </c>
      <c r="R39" s="69">
        <v>11</v>
      </c>
      <c r="S39" s="89" t="s">
        <v>1517</v>
      </c>
      <c r="T39" s="7" t="str">
        <f t="shared" si="0"/>
        <v>11_1982</v>
      </c>
      <c r="U39" s="247">
        <f t="shared" si="1"/>
        <v>96.5</v>
      </c>
      <c r="V39" s="248">
        <f t="shared" si="8"/>
        <v>0.65387468923255321</v>
      </c>
      <c r="W39" s="248">
        <f t="shared" si="3"/>
        <v>0.34612531076744679</v>
      </c>
      <c r="X39" s="248">
        <f t="shared" si="9"/>
        <v>0.48016504556280293</v>
      </c>
      <c r="Y39" s="248">
        <f t="shared" si="5"/>
        <v>0.51983495443719707</v>
      </c>
      <c r="Z39" s="7"/>
    </row>
    <row r="40" spans="1:26">
      <c r="A40" s="249">
        <v>1935</v>
      </c>
      <c r="B40" s="250">
        <v>13.6</v>
      </c>
      <c r="C40" s="250">
        <v>13.7</v>
      </c>
      <c r="D40" s="250">
        <v>13.7</v>
      </c>
      <c r="E40" s="250">
        <v>13.8</v>
      </c>
      <c r="F40" s="250">
        <v>13.8</v>
      </c>
      <c r="G40" s="250">
        <v>13.7</v>
      </c>
      <c r="H40" s="250">
        <v>13.7</v>
      </c>
      <c r="I40" s="250">
        <v>13.7</v>
      </c>
      <c r="J40" s="250">
        <v>13.7</v>
      </c>
      <c r="K40" s="250">
        <v>13.7</v>
      </c>
      <c r="L40" s="250">
        <v>13.8</v>
      </c>
      <c r="M40" s="250">
        <v>13.8</v>
      </c>
      <c r="N40" s="250">
        <v>13.7</v>
      </c>
      <c r="O40" s="251"/>
      <c r="P40" s="251"/>
      <c r="Q40" s="69">
        <f>Q28+1</f>
        <v>1982</v>
      </c>
      <c r="R40" s="69">
        <v>12</v>
      </c>
      <c r="S40" s="89" t="s">
        <v>1517</v>
      </c>
      <c r="T40" s="7" t="str">
        <f t="shared" si="0"/>
        <v>12_1982</v>
      </c>
      <c r="U40" s="247">
        <f t="shared" si="1"/>
        <v>96.5</v>
      </c>
      <c r="V40" s="248">
        <f>+(V52*U40/U52)/(V52*U40/U52+W52*AVERAGE(U40,'PPI USA'!T46)/AVERAGE(U52,'PPI USA'!T58))</f>
        <v>0.65387468923255321</v>
      </c>
      <c r="W40" s="248">
        <f t="shared" si="3"/>
        <v>0.34612531076744679</v>
      </c>
      <c r="X40" s="248">
        <f>+(X52*$U40/$U52)/(X52*$U40/$U52+Y52*AVERAGE($U40,'PPI USA'!$T46)/AVERAGE($U52,'PPI USA'!$T58))</f>
        <v>0.48016504556280293</v>
      </c>
      <c r="Y40" s="248">
        <f t="shared" si="5"/>
        <v>0.51983495443719707</v>
      </c>
      <c r="Z40" s="7"/>
    </row>
    <row r="41" spans="1:26">
      <c r="A41" s="7"/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69">
        <f>Q40+1</f>
        <v>1983</v>
      </c>
      <c r="R41" s="69">
        <v>1</v>
      </c>
      <c r="S41" s="89" t="s">
        <v>1517</v>
      </c>
      <c r="T41" s="7" t="str">
        <f t="shared" si="0"/>
        <v>1_1983</v>
      </c>
      <c r="U41" s="247">
        <f t="shared" si="1"/>
        <v>99.6</v>
      </c>
      <c r="V41" s="248">
        <f t="shared" ref="V41:V51" si="10">+V42</f>
        <v>0.65399814227470054</v>
      </c>
      <c r="W41" s="248">
        <f t="shared" si="3"/>
        <v>0.34600185772529946</v>
      </c>
      <c r="X41" s="248">
        <f t="shared" ref="X41:X51" si="11">+X42</f>
        <v>0.48030121231675293</v>
      </c>
      <c r="Y41" s="248">
        <f t="shared" si="5"/>
        <v>0.51969878768324707</v>
      </c>
      <c r="Z41" s="7"/>
    </row>
    <row r="42" spans="1:26">
      <c r="A42" s="249">
        <v>1936</v>
      </c>
      <c r="B42" s="250">
        <v>13.8</v>
      </c>
      <c r="C42" s="250">
        <v>13.8</v>
      </c>
      <c r="D42" s="250">
        <v>13.7</v>
      </c>
      <c r="E42" s="250">
        <v>13.7</v>
      </c>
      <c r="F42" s="250">
        <v>13.7</v>
      </c>
      <c r="G42" s="250">
        <v>13.8</v>
      </c>
      <c r="H42" s="250">
        <v>13.9</v>
      </c>
      <c r="I42" s="250">
        <v>14</v>
      </c>
      <c r="J42" s="250">
        <v>14</v>
      </c>
      <c r="K42" s="250">
        <v>14</v>
      </c>
      <c r="L42" s="250">
        <v>14</v>
      </c>
      <c r="M42" s="250">
        <v>14</v>
      </c>
      <c r="N42" s="250">
        <v>13.9</v>
      </c>
      <c r="O42" s="251"/>
      <c r="P42" s="251"/>
      <c r="Q42" s="69">
        <f>Q40+1</f>
        <v>1983</v>
      </c>
      <c r="R42" s="69">
        <v>2</v>
      </c>
      <c r="S42" s="89" t="s">
        <v>1517</v>
      </c>
      <c r="T42" s="7" t="str">
        <f t="shared" si="0"/>
        <v>2_1983</v>
      </c>
      <c r="U42" s="247">
        <f t="shared" si="1"/>
        <v>99.6</v>
      </c>
      <c r="V42" s="248">
        <f t="shared" si="10"/>
        <v>0.65399814227470054</v>
      </c>
      <c r="W42" s="248">
        <f t="shared" si="3"/>
        <v>0.34600185772529946</v>
      </c>
      <c r="X42" s="248">
        <f t="shared" si="11"/>
        <v>0.48030121231675293</v>
      </c>
      <c r="Y42" s="248">
        <f t="shared" si="5"/>
        <v>0.51969878768324707</v>
      </c>
      <c r="Z42" s="7"/>
    </row>
    <row r="43" spans="1:26">
      <c r="A43" s="249">
        <v>1937</v>
      </c>
      <c r="B43" s="250">
        <v>14.1</v>
      </c>
      <c r="C43" s="250">
        <v>14.1</v>
      </c>
      <c r="D43" s="250">
        <v>14.2</v>
      </c>
      <c r="E43" s="250">
        <v>14.3</v>
      </c>
      <c r="F43" s="250">
        <v>14.4</v>
      </c>
      <c r="G43" s="250">
        <v>14.4</v>
      </c>
      <c r="H43" s="250">
        <v>14.5</v>
      </c>
      <c r="I43" s="250">
        <v>14.5</v>
      </c>
      <c r="J43" s="250">
        <v>14.6</v>
      </c>
      <c r="K43" s="250">
        <v>14.6</v>
      </c>
      <c r="L43" s="250">
        <v>14.5</v>
      </c>
      <c r="M43" s="250">
        <v>14.4</v>
      </c>
      <c r="N43" s="250">
        <v>14.4</v>
      </c>
      <c r="O43" s="251"/>
      <c r="P43" s="251"/>
      <c r="Q43" s="69">
        <f>Q40+1</f>
        <v>1983</v>
      </c>
      <c r="R43" s="69">
        <v>3</v>
      </c>
      <c r="S43" s="89" t="s">
        <v>1517</v>
      </c>
      <c r="T43" s="7" t="str">
        <f t="shared" si="0"/>
        <v>3_1983</v>
      </c>
      <c r="U43" s="247">
        <f t="shared" si="1"/>
        <v>99.6</v>
      </c>
      <c r="V43" s="248">
        <f t="shared" si="10"/>
        <v>0.65399814227470054</v>
      </c>
      <c r="W43" s="248">
        <f t="shared" si="3"/>
        <v>0.34600185772529946</v>
      </c>
      <c r="X43" s="248">
        <f t="shared" si="11"/>
        <v>0.48030121231675293</v>
      </c>
      <c r="Y43" s="248">
        <f t="shared" si="5"/>
        <v>0.51969878768324707</v>
      </c>
      <c r="Z43" s="7"/>
    </row>
    <row r="44" spans="1:26">
      <c r="A44" s="249">
        <v>1938</v>
      </c>
      <c r="B44" s="250">
        <v>14.2</v>
      </c>
      <c r="C44" s="250">
        <v>14.1</v>
      </c>
      <c r="D44" s="250">
        <v>14.1</v>
      </c>
      <c r="E44" s="250">
        <v>14.2</v>
      </c>
      <c r="F44" s="250">
        <v>14.1</v>
      </c>
      <c r="G44" s="250">
        <v>14.1</v>
      </c>
      <c r="H44" s="250">
        <v>14.1</v>
      </c>
      <c r="I44" s="250">
        <v>14.1</v>
      </c>
      <c r="J44" s="250">
        <v>14.1</v>
      </c>
      <c r="K44" s="250">
        <v>14</v>
      </c>
      <c r="L44" s="250">
        <v>14</v>
      </c>
      <c r="M44" s="250">
        <v>14</v>
      </c>
      <c r="N44" s="250">
        <v>14.1</v>
      </c>
      <c r="O44" s="251"/>
      <c r="P44" s="251"/>
      <c r="Q44" s="69">
        <f>Q40+1</f>
        <v>1983</v>
      </c>
      <c r="R44" s="69">
        <v>4</v>
      </c>
      <c r="S44" s="89" t="s">
        <v>1517</v>
      </c>
      <c r="T44" s="7" t="str">
        <f t="shared" si="0"/>
        <v>4_1983</v>
      </c>
      <c r="U44" s="247">
        <f t="shared" si="1"/>
        <v>99.6</v>
      </c>
      <c r="V44" s="248">
        <f t="shared" si="10"/>
        <v>0.65399814227470054</v>
      </c>
      <c r="W44" s="248">
        <f t="shared" si="3"/>
        <v>0.34600185772529946</v>
      </c>
      <c r="X44" s="248">
        <f t="shared" si="11"/>
        <v>0.48030121231675293</v>
      </c>
      <c r="Y44" s="248">
        <f t="shared" si="5"/>
        <v>0.51969878768324707</v>
      </c>
      <c r="Z44" s="7"/>
    </row>
    <row r="45" spans="1:26">
      <c r="A45" s="249">
        <v>1939</v>
      </c>
      <c r="B45" s="250">
        <v>14</v>
      </c>
      <c r="C45" s="250">
        <v>13.9</v>
      </c>
      <c r="D45" s="250">
        <v>13.9</v>
      </c>
      <c r="E45" s="250">
        <v>13.8</v>
      </c>
      <c r="F45" s="250">
        <v>13.8</v>
      </c>
      <c r="G45" s="250">
        <v>13.8</v>
      </c>
      <c r="H45" s="250">
        <v>13.8</v>
      </c>
      <c r="I45" s="250">
        <v>13.8</v>
      </c>
      <c r="J45" s="250">
        <v>14.1</v>
      </c>
      <c r="K45" s="250">
        <v>14</v>
      </c>
      <c r="L45" s="250">
        <v>14</v>
      </c>
      <c r="M45" s="250">
        <v>14</v>
      </c>
      <c r="N45" s="250">
        <v>13.9</v>
      </c>
      <c r="O45" s="251"/>
      <c r="P45" s="251"/>
      <c r="Q45" s="69">
        <f>Q40+1</f>
        <v>1983</v>
      </c>
      <c r="R45" s="69">
        <v>5</v>
      </c>
      <c r="S45" s="89" t="s">
        <v>1517</v>
      </c>
      <c r="T45" s="7" t="str">
        <f t="shared" si="0"/>
        <v>5_1983</v>
      </c>
      <c r="U45" s="247">
        <f t="shared" si="1"/>
        <v>99.6</v>
      </c>
      <c r="V45" s="248">
        <f t="shared" si="10"/>
        <v>0.65399814227470054</v>
      </c>
      <c r="W45" s="248">
        <f t="shared" si="3"/>
        <v>0.34600185772529946</v>
      </c>
      <c r="X45" s="248">
        <f t="shared" si="11"/>
        <v>0.48030121231675293</v>
      </c>
      <c r="Y45" s="248">
        <f t="shared" si="5"/>
        <v>0.51969878768324707</v>
      </c>
      <c r="Z45" s="7"/>
    </row>
    <row r="46" spans="1:26">
      <c r="A46" s="249">
        <v>1940</v>
      </c>
      <c r="B46" s="250">
        <v>13.9</v>
      </c>
      <c r="C46" s="250">
        <v>14</v>
      </c>
      <c r="D46" s="250">
        <v>14</v>
      </c>
      <c r="E46" s="250">
        <v>14</v>
      </c>
      <c r="F46" s="250">
        <v>14</v>
      </c>
      <c r="G46" s="250">
        <v>14.1</v>
      </c>
      <c r="H46" s="250">
        <v>14</v>
      </c>
      <c r="I46" s="250">
        <v>14</v>
      </c>
      <c r="J46" s="250">
        <v>14</v>
      </c>
      <c r="K46" s="250">
        <v>14</v>
      </c>
      <c r="L46" s="250">
        <v>14</v>
      </c>
      <c r="M46" s="250">
        <v>14.1</v>
      </c>
      <c r="N46" s="250">
        <v>14</v>
      </c>
      <c r="O46" s="251"/>
      <c r="P46" s="251"/>
      <c r="Q46" s="69">
        <f>Q40+1</f>
        <v>1983</v>
      </c>
      <c r="R46" s="69">
        <v>6</v>
      </c>
      <c r="S46" s="89" t="s">
        <v>1517</v>
      </c>
      <c r="T46" s="7" t="str">
        <f t="shared" si="0"/>
        <v>6_1983</v>
      </c>
      <c r="U46" s="247">
        <f t="shared" si="1"/>
        <v>99.6</v>
      </c>
      <c r="V46" s="248">
        <f t="shared" si="10"/>
        <v>0.65399814227470054</v>
      </c>
      <c r="W46" s="248">
        <f t="shared" si="3"/>
        <v>0.34600185772529946</v>
      </c>
      <c r="X46" s="248">
        <f t="shared" si="11"/>
        <v>0.48030121231675293</v>
      </c>
      <c r="Y46" s="248">
        <f t="shared" si="5"/>
        <v>0.51969878768324707</v>
      </c>
      <c r="Z46" s="7"/>
    </row>
    <row r="47" spans="1:26">
      <c r="A47" s="7"/>
      <c r="B47" s="251"/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69">
        <f>Q40+1</f>
        <v>1983</v>
      </c>
      <c r="R47" s="69">
        <v>7</v>
      </c>
      <c r="S47" s="89" t="s">
        <v>1517</v>
      </c>
      <c r="T47" s="7" t="str">
        <f t="shared" si="0"/>
        <v>7_1983</v>
      </c>
      <c r="U47" s="247">
        <f t="shared" si="1"/>
        <v>99.6</v>
      </c>
      <c r="V47" s="248">
        <f t="shared" si="10"/>
        <v>0.65399814227470054</v>
      </c>
      <c r="W47" s="248">
        <f t="shared" si="3"/>
        <v>0.34600185772529946</v>
      </c>
      <c r="X47" s="248">
        <f t="shared" si="11"/>
        <v>0.48030121231675293</v>
      </c>
      <c r="Y47" s="248">
        <f t="shared" si="5"/>
        <v>0.51969878768324707</v>
      </c>
      <c r="Z47" s="7"/>
    </row>
    <row r="48" spans="1:26">
      <c r="A48" s="249">
        <v>1941</v>
      </c>
      <c r="B48" s="250">
        <v>14.1</v>
      </c>
      <c r="C48" s="250">
        <v>14.1</v>
      </c>
      <c r="D48" s="250">
        <v>14.2</v>
      </c>
      <c r="E48" s="250">
        <v>14.3</v>
      </c>
      <c r="F48" s="250">
        <v>14.4</v>
      </c>
      <c r="G48" s="250">
        <v>14.7</v>
      </c>
      <c r="H48" s="250">
        <v>14.7</v>
      </c>
      <c r="I48" s="250">
        <v>14.9</v>
      </c>
      <c r="J48" s="250">
        <v>15.1</v>
      </c>
      <c r="K48" s="250">
        <v>15.3</v>
      </c>
      <c r="L48" s="250">
        <v>15.4</v>
      </c>
      <c r="M48" s="250">
        <v>15.5</v>
      </c>
      <c r="N48" s="250">
        <v>14.7</v>
      </c>
      <c r="O48" s="251"/>
      <c r="P48" s="251"/>
      <c r="Q48" s="69">
        <f>Q40+1</f>
        <v>1983</v>
      </c>
      <c r="R48" s="69">
        <v>8</v>
      </c>
      <c r="S48" s="89" t="s">
        <v>1517</v>
      </c>
      <c r="T48" s="7" t="str">
        <f t="shared" si="0"/>
        <v>8_1983</v>
      </c>
      <c r="U48" s="247">
        <f t="shared" si="1"/>
        <v>99.6</v>
      </c>
      <c r="V48" s="248">
        <f t="shared" si="10"/>
        <v>0.65399814227470054</v>
      </c>
      <c r="W48" s="248">
        <f t="shared" si="3"/>
        <v>0.34600185772529946</v>
      </c>
      <c r="X48" s="248">
        <f t="shared" si="11"/>
        <v>0.48030121231675293</v>
      </c>
      <c r="Y48" s="248">
        <f t="shared" si="5"/>
        <v>0.51969878768324707</v>
      </c>
      <c r="Z48" s="7"/>
    </row>
    <row r="49" spans="1:26">
      <c r="A49" s="249">
        <v>1942</v>
      </c>
      <c r="B49" s="250">
        <v>15.7</v>
      </c>
      <c r="C49" s="250">
        <v>15.8</v>
      </c>
      <c r="D49" s="250">
        <v>16</v>
      </c>
      <c r="E49" s="250">
        <v>16.100000000000001</v>
      </c>
      <c r="F49" s="250">
        <v>16.3</v>
      </c>
      <c r="G49" s="250">
        <v>16.3</v>
      </c>
      <c r="H49" s="250">
        <v>16.399999999999999</v>
      </c>
      <c r="I49" s="250">
        <v>16.5</v>
      </c>
      <c r="J49" s="250">
        <v>16.5</v>
      </c>
      <c r="K49" s="250">
        <v>16.7</v>
      </c>
      <c r="L49" s="250">
        <v>16.8</v>
      </c>
      <c r="M49" s="250">
        <v>16.899999999999999</v>
      </c>
      <c r="N49" s="250">
        <v>16.3</v>
      </c>
      <c r="O49" s="251"/>
      <c r="P49" s="251"/>
      <c r="Q49" s="69">
        <f>Q40+1</f>
        <v>1983</v>
      </c>
      <c r="R49" s="69">
        <v>9</v>
      </c>
      <c r="S49" s="89" t="s">
        <v>1517</v>
      </c>
      <c r="T49" s="7" t="str">
        <f t="shared" si="0"/>
        <v>9_1983</v>
      </c>
      <c r="U49" s="247">
        <f t="shared" si="1"/>
        <v>99.6</v>
      </c>
      <c r="V49" s="248">
        <f t="shared" si="10"/>
        <v>0.65399814227470054</v>
      </c>
      <c r="W49" s="248">
        <f t="shared" si="3"/>
        <v>0.34600185772529946</v>
      </c>
      <c r="X49" s="248">
        <f t="shared" si="11"/>
        <v>0.48030121231675293</v>
      </c>
      <c r="Y49" s="248">
        <f t="shared" si="5"/>
        <v>0.51969878768324707</v>
      </c>
      <c r="Z49" s="7"/>
    </row>
    <row r="50" spans="1:26">
      <c r="A50" s="249">
        <v>1943</v>
      </c>
      <c r="B50" s="250">
        <v>16.899999999999999</v>
      </c>
      <c r="C50" s="250">
        <v>16.899999999999999</v>
      </c>
      <c r="D50" s="250">
        <v>17.2</v>
      </c>
      <c r="E50" s="250">
        <v>17.399999999999999</v>
      </c>
      <c r="F50" s="250">
        <v>17.5</v>
      </c>
      <c r="G50" s="250">
        <v>17.5</v>
      </c>
      <c r="H50" s="250">
        <v>17.399999999999999</v>
      </c>
      <c r="I50" s="250">
        <v>17.3</v>
      </c>
      <c r="J50" s="250">
        <v>17.399999999999999</v>
      </c>
      <c r="K50" s="250">
        <v>17.399999999999999</v>
      </c>
      <c r="L50" s="250">
        <v>17.399999999999999</v>
      </c>
      <c r="M50" s="250">
        <v>17.399999999999999</v>
      </c>
      <c r="N50" s="250">
        <v>17.3</v>
      </c>
      <c r="O50" s="251"/>
      <c r="P50" s="251"/>
      <c r="Q50" s="69">
        <f>Q40+1</f>
        <v>1983</v>
      </c>
      <c r="R50" s="69">
        <v>10</v>
      </c>
      <c r="S50" s="89" t="s">
        <v>1517</v>
      </c>
      <c r="T50" s="7" t="str">
        <f t="shared" si="0"/>
        <v>10_1983</v>
      </c>
      <c r="U50" s="247">
        <f t="shared" si="1"/>
        <v>99.6</v>
      </c>
      <c r="V50" s="248">
        <f t="shared" si="10"/>
        <v>0.65399814227470054</v>
      </c>
      <c r="W50" s="248">
        <f t="shared" si="3"/>
        <v>0.34600185772529946</v>
      </c>
      <c r="X50" s="248">
        <f t="shared" si="11"/>
        <v>0.48030121231675293</v>
      </c>
      <c r="Y50" s="248">
        <f t="shared" si="5"/>
        <v>0.51969878768324707</v>
      </c>
      <c r="Z50" s="7"/>
    </row>
    <row r="51" spans="1:26">
      <c r="A51" s="249">
        <v>1944</v>
      </c>
      <c r="B51" s="250">
        <v>17.399999999999999</v>
      </c>
      <c r="C51" s="250">
        <v>17.399999999999999</v>
      </c>
      <c r="D51" s="250">
        <v>17.399999999999999</v>
      </c>
      <c r="E51" s="250">
        <v>17.5</v>
      </c>
      <c r="F51" s="250">
        <v>17.5</v>
      </c>
      <c r="G51" s="250">
        <v>17.600000000000001</v>
      </c>
      <c r="H51" s="250">
        <v>17.7</v>
      </c>
      <c r="I51" s="250">
        <v>17.7</v>
      </c>
      <c r="J51" s="250">
        <v>17.7</v>
      </c>
      <c r="K51" s="250">
        <v>17.7</v>
      </c>
      <c r="L51" s="250">
        <v>17.7</v>
      </c>
      <c r="M51" s="250">
        <v>17.8</v>
      </c>
      <c r="N51" s="250">
        <v>17.600000000000001</v>
      </c>
      <c r="O51" s="251"/>
      <c r="P51" s="251"/>
      <c r="Q51" s="69">
        <f>Q40+1</f>
        <v>1983</v>
      </c>
      <c r="R51" s="69">
        <v>11</v>
      </c>
      <c r="S51" s="89" t="s">
        <v>1517</v>
      </c>
      <c r="T51" s="7" t="str">
        <f t="shared" si="0"/>
        <v>11_1983</v>
      </c>
      <c r="U51" s="247">
        <f t="shared" si="1"/>
        <v>99.6</v>
      </c>
      <c r="V51" s="248">
        <f t="shared" si="10"/>
        <v>0.65399814227470054</v>
      </c>
      <c r="W51" s="248">
        <f t="shared" si="3"/>
        <v>0.34600185772529946</v>
      </c>
      <c r="X51" s="248">
        <f t="shared" si="11"/>
        <v>0.48030121231675293</v>
      </c>
      <c r="Y51" s="248">
        <f t="shared" si="5"/>
        <v>0.51969878768324707</v>
      </c>
      <c r="Z51" s="7"/>
    </row>
    <row r="52" spans="1:26">
      <c r="A52" s="249">
        <v>1945</v>
      </c>
      <c r="B52" s="250">
        <v>17.8</v>
      </c>
      <c r="C52" s="250">
        <v>17.8</v>
      </c>
      <c r="D52" s="250">
        <v>17.8</v>
      </c>
      <c r="E52" s="250">
        <v>17.8</v>
      </c>
      <c r="F52" s="250">
        <v>17.899999999999999</v>
      </c>
      <c r="G52" s="250">
        <v>18.100000000000001</v>
      </c>
      <c r="H52" s="250">
        <v>18.100000000000001</v>
      </c>
      <c r="I52" s="250">
        <v>18.100000000000001</v>
      </c>
      <c r="J52" s="250">
        <v>18.100000000000001</v>
      </c>
      <c r="K52" s="250">
        <v>18.100000000000001</v>
      </c>
      <c r="L52" s="250">
        <v>18.100000000000001</v>
      </c>
      <c r="M52" s="250">
        <v>18.2</v>
      </c>
      <c r="N52" s="250">
        <v>18</v>
      </c>
      <c r="O52" s="251"/>
      <c r="P52" s="251"/>
      <c r="Q52" s="69">
        <f>Q40+1</f>
        <v>1983</v>
      </c>
      <c r="R52" s="69">
        <v>12</v>
      </c>
      <c r="S52" s="89" t="s">
        <v>1517</v>
      </c>
      <c r="T52" s="7" t="str">
        <f t="shared" si="0"/>
        <v>12_1983</v>
      </c>
      <c r="U52" s="247">
        <f t="shared" si="1"/>
        <v>99.6</v>
      </c>
      <c r="V52" s="248">
        <f>+(V64*U52/U64)/(V64*U52/U64+W64*AVERAGE(U52,'PPI USA'!T58)/AVERAGE(U64,'PPI USA'!T70))</f>
        <v>0.65399814227470054</v>
      </c>
      <c r="W52" s="248">
        <f t="shared" si="3"/>
        <v>0.34600185772529946</v>
      </c>
      <c r="X52" s="248">
        <f>+(X64*$U52/$U64)/(X64*$U52/$U64+Y64*AVERAGE($U52,'PPI USA'!$T58)/AVERAGE($U64,'PPI USA'!$T70))</f>
        <v>0.48030121231675293</v>
      </c>
      <c r="Y52" s="248">
        <f t="shared" si="5"/>
        <v>0.51969878768324707</v>
      </c>
      <c r="Z52" s="7"/>
    </row>
    <row r="53" spans="1:26">
      <c r="A53" s="7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69">
        <f>Q52+1</f>
        <v>1984</v>
      </c>
      <c r="R53" s="69">
        <v>1</v>
      </c>
      <c r="S53" s="89" t="s">
        <v>1517</v>
      </c>
      <c r="T53" s="7" t="str">
        <f t="shared" si="0"/>
        <v>1_1984</v>
      </c>
      <c r="U53" s="247">
        <f t="shared" si="1"/>
        <v>103.9</v>
      </c>
      <c r="V53" s="248">
        <f t="shared" ref="V53:V63" si="12">+V54</f>
        <v>0.65323413794239338</v>
      </c>
      <c r="W53" s="248">
        <f t="shared" si="3"/>
        <v>0.34676586205760662</v>
      </c>
      <c r="X53" s="248">
        <f t="shared" ref="X53:X63" si="13">+X54</f>
        <v>0.47945894171209102</v>
      </c>
      <c r="Y53" s="248">
        <f t="shared" si="5"/>
        <v>0.52054105828790898</v>
      </c>
      <c r="Z53" s="7"/>
    </row>
    <row r="54" spans="1:26">
      <c r="A54" s="249">
        <v>1946</v>
      </c>
      <c r="B54" s="250">
        <v>18.2</v>
      </c>
      <c r="C54" s="250">
        <v>18.100000000000001</v>
      </c>
      <c r="D54" s="250">
        <v>18.3</v>
      </c>
      <c r="E54" s="250">
        <v>18.399999999999999</v>
      </c>
      <c r="F54" s="250">
        <v>18.5</v>
      </c>
      <c r="G54" s="250">
        <v>18.7</v>
      </c>
      <c r="H54" s="250">
        <v>19.8</v>
      </c>
      <c r="I54" s="250">
        <v>20.2</v>
      </c>
      <c r="J54" s="250">
        <v>20.399999999999999</v>
      </c>
      <c r="K54" s="250">
        <v>20.8</v>
      </c>
      <c r="L54" s="250">
        <v>21.3</v>
      </c>
      <c r="M54" s="250">
        <v>21.5</v>
      </c>
      <c r="N54" s="250">
        <v>19.5</v>
      </c>
      <c r="O54" s="251"/>
      <c r="P54" s="251"/>
      <c r="Q54" s="69">
        <f>Q52+1</f>
        <v>1984</v>
      </c>
      <c r="R54" s="69">
        <v>2</v>
      </c>
      <c r="S54" s="89" t="s">
        <v>1517</v>
      </c>
      <c r="T54" s="7" t="str">
        <f t="shared" si="0"/>
        <v>2_1984</v>
      </c>
      <c r="U54" s="247">
        <f t="shared" si="1"/>
        <v>103.9</v>
      </c>
      <c r="V54" s="248">
        <f t="shared" si="12"/>
        <v>0.65323413794239338</v>
      </c>
      <c r="W54" s="248">
        <f t="shared" si="3"/>
        <v>0.34676586205760662</v>
      </c>
      <c r="X54" s="248">
        <f t="shared" si="13"/>
        <v>0.47945894171209102</v>
      </c>
      <c r="Y54" s="248">
        <f t="shared" si="5"/>
        <v>0.52054105828790898</v>
      </c>
      <c r="Z54" s="7"/>
    </row>
    <row r="55" spans="1:26">
      <c r="A55" s="249">
        <v>1947</v>
      </c>
      <c r="B55" s="250">
        <v>21.5</v>
      </c>
      <c r="C55" s="250">
        <v>21.5</v>
      </c>
      <c r="D55" s="250">
        <v>21.9</v>
      </c>
      <c r="E55" s="250">
        <v>21.9</v>
      </c>
      <c r="F55" s="250">
        <v>21.9</v>
      </c>
      <c r="G55" s="250">
        <v>22</v>
      </c>
      <c r="H55" s="250">
        <v>22.2</v>
      </c>
      <c r="I55" s="250">
        <v>22.5</v>
      </c>
      <c r="J55" s="250">
        <v>23</v>
      </c>
      <c r="K55" s="250">
        <v>23</v>
      </c>
      <c r="L55" s="250">
        <v>23.1</v>
      </c>
      <c r="M55" s="250">
        <v>23.4</v>
      </c>
      <c r="N55" s="250">
        <v>22.3</v>
      </c>
      <c r="O55" s="251"/>
      <c r="P55" s="251"/>
      <c r="Q55" s="69">
        <f>Q52+1</f>
        <v>1984</v>
      </c>
      <c r="R55" s="69">
        <v>3</v>
      </c>
      <c r="S55" s="89" t="s">
        <v>1517</v>
      </c>
      <c r="T55" s="7" t="str">
        <f t="shared" si="0"/>
        <v>3_1984</v>
      </c>
      <c r="U55" s="247">
        <f t="shared" si="1"/>
        <v>103.9</v>
      </c>
      <c r="V55" s="248">
        <f t="shared" si="12"/>
        <v>0.65323413794239338</v>
      </c>
      <c r="W55" s="248">
        <f t="shared" si="3"/>
        <v>0.34676586205760662</v>
      </c>
      <c r="X55" s="248">
        <f t="shared" si="13"/>
        <v>0.47945894171209102</v>
      </c>
      <c r="Y55" s="248">
        <f t="shared" si="5"/>
        <v>0.52054105828790898</v>
      </c>
      <c r="Z55" s="7"/>
    </row>
    <row r="56" spans="1:26">
      <c r="A56" s="249">
        <v>1948</v>
      </c>
      <c r="B56" s="250">
        <v>23.7</v>
      </c>
      <c r="C56" s="250">
        <v>23.5</v>
      </c>
      <c r="D56" s="250">
        <v>23.4</v>
      </c>
      <c r="E56" s="250">
        <v>23.8</v>
      </c>
      <c r="F56" s="250">
        <v>23.9</v>
      </c>
      <c r="G56" s="250">
        <v>24.1</v>
      </c>
      <c r="H56" s="250">
        <v>24.4</v>
      </c>
      <c r="I56" s="250">
        <v>24.5</v>
      </c>
      <c r="J56" s="250">
        <v>24.5</v>
      </c>
      <c r="K56" s="250">
        <v>24.4</v>
      </c>
      <c r="L56" s="250">
        <v>24.2</v>
      </c>
      <c r="M56" s="250">
        <v>24.1</v>
      </c>
      <c r="N56" s="250">
        <v>24.1</v>
      </c>
      <c r="O56" s="251"/>
      <c r="P56" s="251"/>
      <c r="Q56" s="69">
        <f>Q52+1</f>
        <v>1984</v>
      </c>
      <c r="R56" s="69">
        <v>4</v>
      </c>
      <c r="S56" s="89" t="s">
        <v>1517</v>
      </c>
      <c r="T56" s="7" t="str">
        <f t="shared" si="0"/>
        <v>4_1984</v>
      </c>
      <c r="U56" s="247">
        <f t="shared" si="1"/>
        <v>103.9</v>
      </c>
      <c r="V56" s="248">
        <f t="shared" si="12"/>
        <v>0.65323413794239338</v>
      </c>
      <c r="W56" s="248">
        <f t="shared" si="3"/>
        <v>0.34676586205760662</v>
      </c>
      <c r="X56" s="248">
        <f t="shared" si="13"/>
        <v>0.47945894171209102</v>
      </c>
      <c r="Y56" s="248">
        <f t="shared" si="5"/>
        <v>0.52054105828790898</v>
      </c>
      <c r="Z56" s="7"/>
    </row>
    <row r="57" spans="1:26">
      <c r="A57" s="249">
        <v>1949</v>
      </c>
      <c r="B57" s="250">
        <v>24</v>
      </c>
      <c r="C57" s="250">
        <v>23.8</v>
      </c>
      <c r="D57" s="250">
        <v>23.8</v>
      </c>
      <c r="E57" s="250">
        <v>23.9</v>
      </c>
      <c r="F57" s="250">
        <v>23.8</v>
      </c>
      <c r="G57" s="250">
        <v>23.9</v>
      </c>
      <c r="H57" s="250">
        <v>23.7</v>
      </c>
      <c r="I57" s="250">
        <v>23.8</v>
      </c>
      <c r="J57" s="250">
        <v>23.9</v>
      </c>
      <c r="K57" s="250">
        <v>23.7</v>
      </c>
      <c r="L57" s="250">
        <v>23.8</v>
      </c>
      <c r="M57" s="250">
        <v>23.6</v>
      </c>
      <c r="N57" s="250">
        <v>23.8</v>
      </c>
      <c r="O57" s="251"/>
      <c r="P57" s="251"/>
      <c r="Q57" s="69">
        <f>Q52+1</f>
        <v>1984</v>
      </c>
      <c r="R57" s="69">
        <v>5</v>
      </c>
      <c r="S57" s="89" t="s">
        <v>1517</v>
      </c>
      <c r="T57" s="7" t="str">
        <f t="shared" si="0"/>
        <v>5_1984</v>
      </c>
      <c r="U57" s="247">
        <f t="shared" si="1"/>
        <v>103.9</v>
      </c>
      <c r="V57" s="248">
        <f t="shared" si="12"/>
        <v>0.65323413794239338</v>
      </c>
      <c r="W57" s="248">
        <f t="shared" si="3"/>
        <v>0.34676586205760662</v>
      </c>
      <c r="X57" s="248">
        <f t="shared" si="13"/>
        <v>0.47945894171209102</v>
      </c>
      <c r="Y57" s="248">
        <f t="shared" si="5"/>
        <v>0.52054105828790898</v>
      </c>
      <c r="Z57" s="7"/>
    </row>
    <row r="58" spans="1:26">
      <c r="A58" s="249">
        <v>1950</v>
      </c>
      <c r="B58" s="250">
        <v>23.5</v>
      </c>
      <c r="C58" s="250">
        <v>23.5</v>
      </c>
      <c r="D58" s="250">
        <v>23.6</v>
      </c>
      <c r="E58" s="250">
        <v>23.6</v>
      </c>
      <c r="F58" s="250">
        <v>23.7</v>
      </c>
      <c r="G58" s="250">
        <v>23.8</v>
      </c>
      <c r="H58" s="250">
        <v>24.1</v>
      </c>
      <c r="I58" s="250">
        <v>24.3</v>
      </c>
      <c r="J58" s="250">
        <v>24.4</v>
      </c>
      <c r="K58" s="250">
        <v>24.6</v>
      </c>
      <c r="L58" s="250">
        <v>24.7</v>
      </c>
      <c r="M58" s="250">
        <v>25</v>
      </c>
      <c r="N58" s="250">
        <v>24.1</v>
      </c>
      <c r="O58" s="251"/>
      <c r="P58" s="251"/>
      <c r="Q58" s="69">
        <f>Q52+1</f>
        <v>1984</v>
      </c>
      <c r="R58" s="69">
        <v>6</v>
      </c>
      <c r="S58" s="89" t="s">
        <v>1517</v>
      </c>
      <c r="T58" s="7" t="str">
        <f t="shared" si="0"/>
        <v>6_1984</v>
      </c>
      <c r="U58" s="247">
        <f t="shared" si="1"/>
        <v>103.9</v>
      </c>
      <c r="V58" s="248">
        <f t="shared" si="12"/>
        <v>0.65323413794239338</v>
      </c>
      <c r="W58" s="248">
        <f t="shared" si="3"/>
        <v>0.34676586205760662</v>
      </c>
      <c r="X58" s="248">
        <f t="shared" si="13"/>
        <v>0.47945894171209102</v>
      </c>
      <c r="Y58" s="248">
        <f t="shared" si="5"/>
        <v>0.52054105828790898</v>
      </c>
      <c r="Z58" s="7"/>
    </row>
    <row r="59" spans="1:26">
      <c r="A59" s="7"/>
      <c r="B59" s="251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69">
        <f>Q52+1</f>
        <v>1984</v>
      </c>
      <c r="R59" s="69">
        <v>7</v>
      </c>
      <c r="S59" s="89" t="s">
        <v>1517</v>
      </c>
      <c r="T59" s="7" t="str">
        <f t="shared" si="0"/>
        <v>7_1984</v>
      </c>
      <c r="U59" s="247">
        <f t="shared" si="1"/>
        <v>103.9</v>
      </c>
      <c r="V59" s="248">
        <f t="shared" si="12"/>
        <v>0.65323413794239338</v>
      </c>
      <c r="W59" s="248">
        <f t="shared" si="3"/>
        <v>0.34676586205760662</v>
      </c>
      <c r="X59" s="248">
        <f t="shared" si="13"/>
        <v>0.47945894171209102</v>
      </c>
      <c r="Y59" s="248">
        <f t="shared" si="5"/>
        <v>0.52054105828790898</v>
      </c>
      <c r="Z59" s="7"/>
    </row>
    <row r="60" spans="1:26">
      <c r="A60" s="249">
        <v>1951</v>
      </c>
      <c r="B60" s="250">
        <v>25.4</v>
      </c>
      <c r="C60" s="250">
        <v>25.7</v>
      </c>
      <c r="D60" s="250">
        <v>25.8</v>
      </c>
      <c r="E60" s="250">
        <v>25.8</v>
      </c>
      <c r="F60" s="250">
        <v>25.9</v>
      </c>
      <c r="G60" s="250">
        <v>25.9</v>
      </c>
      <c r="H60" s="250">
        <v>25.9</v>
      </c>
      <c r="I60" s="250">
        <v>25.9</v>
      </c>
      <c r="J60" s="250">
        <v>26.1</v>
      </c>
      <c r="K60" s="250">
        <v>26.2</v>
      </c>
      <c r="L60" s="250">
        <v>26.4</v>
      </c>
      <c r="M60" s="250">
        <v>26.5</v>
      </c>
      <c r="N60" s="250">
        <v>26</v>
      </c>
      <c r="O60" s="251"/>
      <c r="P60" s="251"/>
      <c r="Q60" s="69">
        <f>Q52+1</f>
        <v>1984</v>
      </c>
      <c r="R60" s="69">
        <v>8</v>
      </c>
      <c r="S60" s="89" t="s">
        <v>1517</v>
      </c>
      <c r="T60" s="7" t="str">
        <f t="shared" si="0"/>
        <v>8_1984</v>
      </c>
      <c r="U60" s="247">
        <f t="shared" si="1"/>
        <v>103.9</v>
      </c>
      <c r="V60" s="248">
        <f t="shared" si="12"/>
        <v>0.65323413794239338</v>
      </c>
      <c r="W60" s="248">
        <f t="shared" si="3"/>
        <v>0.34676586205760662</v>
      </c>
      <c r="X60" s="248">
        <f t="shared" si="13"/>
        <v>0.47945894171209102</v>
      </c>
      <c r="Y60" s="248">
        <f t="shared" si="5"/>
        <v>0.52054105828790898</v>
      </c>
      <c r="Z60" s="7"/>
    </row>
    <row r="61" spans="1:26">
      <c r="A61" s="249">
        <v>1952</v>
      </c>
      <c r="B61" s="250">
        <v>26.5</v>
      </c>
      <c r="C61" s="250">
        <v>26.3</v>
      </c>
      <c r="D61" s="250">
        <v>26.3</v>
      </c>
      <c r="E61" s="250">
        <v>26.4</v>
      </c>
      <c r="F61" s="250">
        <v>26.4</v>
      </c>
      <c r="G61" s="250">
        <v>26.5</v>
      </c>
      <c r="H61" s="250">
        <v>26.7</v>
      </c>
      <c r="I61" s="250">
        <v>26.7</v>
      </c>
      <c r="J61" s="250">
        <v>26.7</v>
      </c>
      <c r="K61" s="250">
        <v>26.7</v>
      </c>
      <c r="L61" s="250">
        <v>26.7</v>
      </c>
      <c r="M61" s="250">
        <v>26.7</v>
      </c>
      <c r="N61" s="250">
        <v>26.5</v>
      </c>
      <c r="O61" s="251"/>
      <c r="P61" s="251"/>
      <c r="Q61" s="69">
        <f>Q52+1</f>
        <v>1984</v>
      </c>
      <c r="R61" s="69">
        <v>9</v>
      </c>
      <c r="S61" s="89" t="s">
        <v>1517</v>
      </c>
      <c r="T61" s="7" t="str">
        <f t="shared" si="0"/>
        <v>9_1984</v>
      </c>
      <c r="U61" s="247">
        <f t="shared" si="1"/>
        <v>103.9</v>
      </c>
      <c r="V61" s="248">
        <f t="shared" si="12"/>
        <v>0.65323413794239338</v>
      </c>
      <c r="W61" s="248">
        <f t="shared" si="3"/>
        <v>0.34676586205760662</v>
      </c>
      <c r="X61" s="248">
        <f t="shared" si="13"/>
        <v>0.47945894171209102</v>
      </c>
      <c r="Y61" s="248">
        <f t="shared" si="5"/>
        <v>0.52054105828790898</v>
      </c>
      <c r="Z61" s="7"/>
    </row>
    <row r="62" spans="1:26">
      <c r="A62" s="249">
        <v>1953</v>
      </c>
      <c r="B62" s="250">
        <v>26.6</v>
      </c>
      <c r="C62" s="250">
        <v>26.5</v>
      </c>
      <c r="D62" s="250">
        <v>26.6</v>
      </c>
      <c r="E62" s="250">
        <v>26.6</v>
      </c>
      <c r="F62" s="250">
        <v>26.7</v>
      </c>
      <c r="G62" s="250">
        <v>26.8</v>
      </c>
      <c r="H62" s="250">
        <v>26.8</v>
      </c>
      <c r="I62" s="250">
        <v>26.9</v>
      </c>
      <c r="J62" s="250">
        <v>26.9</v>
      </c>
      <c r="K62" s="250">
        <v>27</v>
      </c>
      <c r="L62" s="250">
        <v>26.9</v>
      </c>
      <c r="M62" s="250">
        <v>26.9</v>
      </c>
      <c r="N62" s="250">
        <v>26.7</v>
      </c>
      <c r="O62" s="251"/>
      <c r="P62" s="251"/>
      <c r="Q62" s="69">
        <f>Q52+1</f>
        <v>1984</v>
      </c>
      <c r="R62" s="69">
        <v>10</v>
      </c>
      <c r="S62" s="89" t="s">
        <v>1517</v>
      </c>
      <c r="T62" s="7" t="str">
        <f t="shared" si="0"/>
        <v>10_1984</v>
      </c>
      <c r="U62" s="247">
        <f t="shared" si="1"/>
        <v>103.9</v>
      </c>
      <c r="V62" s="248">
        <f t="shared" si="12"/>
        <v>0.65323413794239338</v>
      </c>
      <c r="W62" s="248">
        <f t="shared" si="3"/>
        <v>0.34676586205760662</v>
      </c>
      <c r="X62" s="248">
        <f t="shared" si="13"/>
        <v>0.47945894171209102</v>
      </c>
      <c r="Y62" s="248">
        <f t="shared" si="5"/>
        <v>0.52054105828790898</v>
      </c>
      <c r="Z62" s="7"/>
    </row>
    <row r="63" spans="1:26">
      <c r="A63" s="249">
        <v>1954</v>
      </c>
      <c r="B63" s="250">
        <v>26.9</v>
      </c>
      <c r="C63" s="250">
        <v>26.9</v>
      </c>
      <c r="D63" s="250">
        <v>26.9</v>
      </c>
      <c r="E63" s="250">
        <v>26.8</v>
      </c>
      <c r="F63" s="250">
        <v>26.9</v>
      </c>
      <c r="G63" s="250">
        <v>26.9</v>
      </c>
      <c r="H63" s="250">
        <v>26.9</v>
      </c>
      <c r="I63" s="250">
        <v>26.9</v>
      </c>
      <c r="J63" s="250">
        <v>26.8</v>
      </c>
      <c r="K63" s="250">
        <v>26.8</v>
      </c>
      <c r="L63" s="250">
        <v>26.8</v>
      </c>
      <c r="M63" s="250">
        <v>26.7</v>
      </c>
      <c r="N63" s="250">
        <v>26.9</v>
      </c>
      <c r="O63" s="251"/>
      <c r="P63" s="251"/>
      <c r="Q63" s="69">
        <f>Q52+1</f>
        <v>1984</v>
      </c>
      <c r="R63" s="69">
        <v>11</v>
      </c>
      <c r="S63" s="89" t="s">
        <v>1517</v>
      </c>
      <c r="T63" s="7" t="str">
        <f t="shared" si="0"/>
        <v>11_1984</v>
      </c>
      <c r="U63" s="247">
        <f t="shared" si="1"/>
        <v>103.9</v>
      </c>
      <c r="V63" s="248">
        <f t="shared" si="12"/>
        <v>0.65323413794239338</v>
      </c>
      <c r="W63" s="248">
        <f t="shared" si="3"/>
        <v>0.34676586205760662</v>
      </c>
      <c r="X63" s="248">
        <f t="shared" si="13"/>
        <v>0.47945894171209102</v>
      </c>
      <c r="Y63" s="248">
        <f t="shared" si="5"/>
        <v>0.52054105828790898</v>
      </c>
      <c r="Z63" s="7"/>
    </row>
    <row r="64" spans="1:26">
      <c r="A64" s="249">
        <v>1955</v>
      </c>
      <c r="B64" s="250">
        <v>26.7</v>
      </c>
      <c r="C64" s="250">
        <v>26.7</v>
      </c>
      <c r="D64" s="250">
        <v>26.7</v>
      </c>
      <c r="E64" s="250">
        <v>26.7</v>
      </c>
      <c r="F64" s="250">
        <v>26.7</v>
      </c>
      <c r="G64" s="250">
        <v>26.7</v>
      </c>
      <c r="H64" s="250">
        <v>26.8</v>
      </c>
      <c r="I64" s="250">
        <v>26.8</v>
      </c>
      <c r="J64" s="250">
        <v>26.9</v>
      </c>
      <c r="K64" s="250">
        <v>26.9</v>
      </c>
      <c r="L64" s="250">
        <v>26.9</v>
      </c>
      <c r="M64" s="250">
        <v>26.8</v>
      </c>
      <c r="N64" s="250">
        <v>26.8</v>
      </c>
      <c r="O64" s="251"/>
      <c r="P64" s="251"/>
      <c r="Q64" s="69">
        <f>Q52+1</f>
        <v>1984</v>
      </c>
      <c r="R64" s="69">
        <v>12</v>
      </c>
      <c r="S64" s="89" t="s">
        <v>1517</v>
      </c>
      <c r="T64" s="7" t="str">
        <f t="shared" si="0"/>
        <v>12_1984</v>
      </c>
      <c r="U64" s="247">
        <f t="shared" si="1"/>
        <v>103.9</v>
      </c>
      <c r="V64" s="248">
        <f>+(V76*U64/U76)/(V76*U64/U76+W76*AVERAGE(U64,'PPI USA'!T70)/AVERAGE(U76,'PPI USA'!T82))</f>
        <v>0.65323413794239338</v>
      </c>
      <c r="W64" s="248">
        <f t="shared" si="3"/>
        <v>0.34676586205760662</v>
      </c>
      <c r="X64" s="248">
        <f>+(X76*$U64/$U76)/(X76*$U64/$U76+Y76*AVERAGE($U64,'PPI USA'!$T70)/AVERAGE($U76,'PPI USA'!$T82))</f>
        <v>0.47945894171209102</v>
      </c>
      <c r="Y64" s="248">
        <f t="shared" si="5"/>
        <v>0.52054105828790898</v>
      </c>
      <c r="Z64" s="7"/>
    </row>
    <row r="65" spans="1:26">
      <c r="A65" s="7"/>
      <c r="B65" s="251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69">
        <f>Q64+1</f>
        <v>1985</v>
      </c>
      <c r="R65" s="69">
        <v>1</v>
      </c>
      <c r="S65" s="89" t="s">
        <v>1517</v>
      </c>
      <c r="T65" s="7" t="str">
        <f t="shared" si="0"/>
        <v>1_1985</v>
      </c>
      <c r="U65" s="247">
        <f t="shared" si="1"/>
        <v>107.6</v>
      </c>
      <c r="V65" s="248">
        <f t="shared" ref="V65:V75" si="14">+V66</f>
        <v>0.65272324462029019</v>
      </c>
      <c r="W65" s="248">
        <f t="shared" si="3"/>
        <v>0.34727675537970981</v>
      </c>
      <c r="X65" s="248">
        <f t="shared" ref="X65:X75" si="15">+X66</f>
        <v>0.4788962620099243</v>
      </c>
      <c r="Y65" s="248">
        <f t="shared" si="5"/>
        <v>0.5211037379900757</v>
      </c>
      <c r="Z65" s="7"/>
    </row>
    <row r="66" spans="1:26">
      <c r="A66" s="249">
        <v>1956</v>
      </c>
      <c r="B66" s="250">
        <v>26.8</v>
      </c>
      <c r="C66" s="250">
        <v>26.8</v>
      </c>
      <c r="D66" s="250">
        <v>26.8</v>
      </c>
      <c r="E66" s="250">
        <v>26.9</v>
      </c>
      <c r="F66" s="250">
        <v>27</v>
      </c>
      <c r="G66" s="250">
        <v>27.2</v>
      </c>
      <c r="H66" s="250">
        <v>27.4</v>
      </c>
      <c r="I66" s="250">
        <v>27.3</v>
      </c>
      <c r="J66" s="250">
        <v>27.4</v>
      </c>
      <c r="K66" s="250">
        <v>27.5</v>
      </c>
      <c r="L66" s="250">
        <v>27.5</v>
      </c>
      <c r="M66" s="250">
        <v>27.6</v>
      </c>
      <c r="N66" s="250">
        <v>27.2</v>
      </c>
      <c r="O66" s="251"/>
      <c r="P66" s="251"/>
      <c r="Q66" s="69">
        <f>Q64+1</f>
        <v>1985</v>
      </c>
      <c r="R66" s="69">
        <v>2</v>
      </c>
      <c r="S66" s="89" t="s">
        <v>1517</v>
      </c>
      <c r="T66" s="7" t="str">
        <f t="shared" si="0"/>
        <v>2_1985</v>
      </c>
      <c r="U66" s="247">
        <f t="shared" si="1"/>
        <v>107.6</v>
      </c>
      <c r="V66" s="248">
        <f t="shared" si="14"/>
        <v>0.65272324462029019</v>
      </c>
      <c r="W66" s="248">
        <f t="shared" si="3"/>
        <v>0.34727675537970981</v>
      </c>
      <c r="X66" s="248">
        <f t="shared" si="15"/>
        <v>0.4788962620099243</v>
      </c>
      <c r="Y66" s="248">
        <f t="shared" si="5"/>
        <v>0.5211037379900757</v>
      </c>
      <c r="Z66" s="7"/>
    </row>
    <row r="67" spans="1:26">
      <c r="A67" s="249">
        <v>1957</v>
      </c>
      <c r="B67" s="250">
        <v>27.6</v>
      </c>
      <c r="C67" s="250">
        <v>27.7</v>
      </c>
      <c r="D67" s="250">
        <v>27.8</v>
      </c>
      <c r="E67" s="250">
        <v>27.9</v>
      </c>
      <c r="F67" s="250">
        <v>28</v>
      </c>
      <c r="G67" s="250">
        <v>28.1</v>
      </c>
      <c r="H67" s="250">
        <v>28.3</v>
      </c>
      <c r="I67" s="250">
        <v>28.3</v>
      </c>
      <c r="J67" s="250">
        <v>28.3</v>
      </c>
      <c r="K67" s="250">
        <v>28.3</v>
      </c>
      <c r="L67" s="250">
        <v>28.4</v>
      </c>
      <c r="M67" s="250">
        <v>28.4</v>
      </c>
      <c r="N67" s="250">
        <v>28.1</v>
      </c>
      <c r="O67" s="251"/>
      <c r="P67" s="251"/>
      <c r="Q67" s="69">
        <f>Q64+1</f>
        <v>1985</v>
      </c>
      <c r="R67" s="69">
        <v>3</v>
      </c>
      <c r="S67" s="89" t="s">
        <v>1517</v>
      </c>
      <c r="T67" s="7" t="str">
        <f t="shared" si="0"/>
        <v>3_1985</v>
      </c>
      <c r="U67" s="247">
        <f t="shared" si="1"/>
        <v>107.6</v>
      </c>
      <c r="V67" s="248">
        <f t="shared" si="14"/>
        <v>0.65272324462029019</v>
      </c>
      <c r="W67" s="248">
        <f t="shared" si="3"/>
        <v>0.34727675537970981</v>
      </c>
      <c r="X67" s="248">
        <f t="shared" si="15"/>
        <v>0.4788962620099243</v>
      </c>
      <c r="Y67" s="248">
        <f t="shared" si="5"/>
        <v>0.5211037379900757</v>
      </c>
      <c r="Z67" s="7"/>
    </row>
    <row r="68" spans="1:26">
      <c r="A68" s="249">
        <v>1958</v>
      </c>
      <c r="B68" s="250">
        <v>28.6</v>
      </c>
      <c r="C68" s="250">
        <v>28.6</v>
      </c>
      <c r="D68" s="250">
        <v>28.8</v>
      </c>
      <c r="E68" s="250">
        <v>28.9</v>
      </c>
      <c r="F68" s="250">
        <v>28.9</v>
      </c>
      <c r="G68" s="250">
        <v>28.9</v>
      </c>
      <c r="H68" s="250">
        <v>29</v>
      </c>
      <c r="I68" s="250">
        <v>28.9</v>
      </c>
      <c r="J68" s="250">
        <v>28.9</v>
      </c>
      <c r="K68" s="250">
        <v>28.9</v>
      </c>
      <c r="L68" s="250">
        <v>29</v>
      </c>
      <c r="M68" s="250">
        <v>28.9</v>
      </c>
      <c r="N68" s="250">
        <v>28.9</v>
      </c>
      <c r="O68" s="251"/>
      <c r="P68" s="251"/>
      <c r="Q68" s="69">
        <f>Q64+1</f>
        <v>1985</v>
      </c>
      <c r="R68" s="69">
        <v>4</v>
      </c>
      <c r="S68" s="89" t="s">
        <v>1517</v>
      </c>
      <c r="T68" s="7" t="str">
        <f t="shared" si="0"/>
        <v>4_1985</v>
      </c>
      <c r="U68" s="247">
        <f t="shared" si="1"/>
        <v>107.6</v>
      </c>
      <c r="V68" s="248">
        <f t="shared" si="14"/>
        <v>0.65272324462029019</v>
      </c>
      <c r="W68" s="248">
        <f t="shared" si="3"/>
        <v>0.34727675537970981</v>
      </c>
      <c r="X68" s="248">
        <f t="shared" si="15"/>
        <v>0.4788962620099243</v>
      </c>
      <c r="Y68" s="248">
        <f t="shared" si="5"/>
        <v>0.5211037379900757</v>
      </c>
      <c r="Z68" s="7"/>
    </row>
    <row r="69" spans="1:26">
      <c r="A69" s="249">
        <v>1959</v>
      </c>
      <c r="B69" s="250">
        <v>29</v>
      </c>
      <c r="C69" s="250">
        <v>28.9</v>
      </c>
      <c r="D69" s="250">
        <v>28.9</v>
      </c>
      <c r="E69" s="250">
        <v>29</v>
      </c>
      <c r="F69" s="250">
        <v>29</v>
      </c>
      <c r="G69" s="250">
        <v>29.1</v>
      </c>
      <c r="H69" s="250">
        <v>29.2</v>
      </c>
      <c r="I69" s="250">
        <v>29.2</v>
      </c>
      <c r="J69" s="250">
        <v>29.3</v>
      </c>
      <c r="K69" s="250">
        <v>29.4</v>
      </c>
      <c r="L69" s="250">
        <v>29.4</v>
      </c>
      <c r="M69" s="250">
        <v>29.4</v>
      </c>
      <c r="N69" s="250">
        <v>29.1</v>
      </c>
      <c r="O69" s="251"/>
      <c r="P69" s="251"/>
      <c r="Q69" s="69">
        <f>Q64+1</f>
        <v>1985</v>
      </c>
      <c r="R69" s="69">
        <v>5</v>
      </c>
      <c r="S69" s="89" t="s">
        <v>1517</v>
      </c>
      <c r="T69" s="7" t="str">
        <f t="shared" si="0"/>
        <v>5_1985</v>
      </c>
      <c r="U69" s="247">
        <f t="shared" si="1"/>
        <v>107.6</v>
      </c>
      <c r="V69" s="248">
        <f t="shared" si="14"/>
        <v>0.65272324462029019</v>
      </c>
      <c r="W69" s="248">
        <f t="shared" si="3"/>
        <v>0.34727675537970981</v>
      </c>
      <c r="X69" s="248">
        <f t="shared" si="15"/>
        <v>0.4788962620099243</v>
      </c>
      <c r="Y69" s="248">
        <f t="shared" si="5"/>
        <v>0.5211037379900757</v>
      </c>
      <c r="Z69" s="7"/>
    </row>
    <row r="70" spans="1:26">
      <c r="A70" s="249">
        <v>1960</v>
      </c>
      <c r="B70" s="250">
        <v>29.3</v>
      </c>
      <c r="C70" s="250">
        <v>29.4</v>
      </c>
      <c r="D70" s="250">
        <v>29.4</v>
      </c>
      <c r="E70" s="250">
        <v>29.5</v>
      </c>
      <c r="F70" s="250">
        <v>29.5</v>
      </c>
      <c r="G70" s="250">
        <v>29.6</v>
      </c>
      <c r="H70" s="250">
        <v>29.6</v>
      </c>
      <c r="I70" s="250">
        <v>29.6</v>
      </c>
      <c r="J70" s="250">
        <v>29.6</v>
      </c>
      <c r="K70" s="250">
        <v>29.8</v>
      </c>
      <c r="L70" s="250">
        <v>29.8</v>
      </c>
      <c r="M70" s="250">
        <v>29.8</v>
      </c>
      <c r="N70" s="250">
        <v>29.6</v>
      </c>
      <c r="O70" s="251"/>
      <c r="P70" s="251"/>
      <c r="Q70" s="69">
        <f>Q64+1</f>
        <v>1985</v>
      </c>
      <c r="R70" s="69">
        <v>6</v>
      </c>
      <c r="S70" s="89" t="s">
        <v>1517</v>
      </c>
      <c r="T70" s="7" t="str">
        <f t="shared" si="0"/>
        <v>6_1985</v>
      </c>
      <c r="U70" s="247">
        <f t="shared" si="1"/>
        <v>107.6</v>
      </c>
      <c r="V70" s="248">
        <f t="shared" si="14"/>
        <v>0.65272324462029019</v>
      </c>
      <c r="W70" s="248">
        <f t="shared" si="3"/>
        <v>0.34727675537970981</v>
      </c>
      <c r="X70" s="248">
        <f t="shared" si="15"/>
        <v>0.4788962620099243</v>
      </c>
      <c r="Y70" s="248">
        <f t="shared" si="5"/>
        <v>0.5211037379900757</v>
      </c>
      <c r="Z70" s="7"/>
    </row>
    <row r="71" spans="1:26">
      <c r="A71" s="7"/>
      <c r="B71" s="251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69">
        <f>Q64+1</f>
        <v>1985</v>
      </c>
      <c r="R71" s="69">
        <v>7</v>
      </c>
      <c r="S71" s="89" t="s">
        <v>1517</v>
      </c>
      <c r="T71" s="7" t="str">
        <f t="shared" si="0"/>
        <v>7_1985</v>
      </c>
      <c r="U71" s="247">
        <f t="shared" si="1"/>
        <v>107.6</v>
      </c>
      <c r="V71" s="248">
        <f t="shared" si="14"/>
        <v>0.65272324462029019</v>
      </c>
      <c r="W71" s="248">
        <f t="shared" si="3"/>
        <v>0.34727675537970981</v>
      </c>
      <c r="X71" s="248">
        <f t="shared" si="15"/>
        <v>0.4788962620099243</v>
      </c>
      <c r="Y71" s="248">
        <f t="shared" si="5"/>
        <v>0.5211037379900757</v>
      </c>
      <c r="Z71" s="7"/>
    </row>
    <row r="72" spans="1:26">
      <c r="A72" s="249">
        <v>1961</v>
      </c>
      <c r="B72" s="250">
        <v>29.8</v>
      </c>
      <c r="C72" s="250">
        <v>29.8</v>
      </c>
      <c r="D72" s="250">
        <v>29.8</v>
      </c>
      <c r="E72" s="250">
        <v>29.8</v>
      </c>
      <c r="F72" s="250">
        <v>29.8</v>
      </c>
      <c r="G72" s="250">
        <v>29.8</v>
      </c>
      <c r="H72" s="250">
        <v>30</v>
      </c>
      <c r="I72" s="250">
        <v>29.9</v>
      </c>
      <c r="J72" s="250">
        <v>30</v>
      </c>
      <c r="K72" s="250">
        <v>30</v>
      </c>
      <c r="L72" s="250">
        <v>30</v>
      </c>
      <c r="M72" s="250">
        <v>30</v>
      </c>
      <c r="N72" s="250">
        <v>29.9</v>
      </c>
      <c r="O72" s="251"/>
      <c r="P72" s="251"/>
      <c r="Q72" s="69">
        <f>Q64+1</f>
        <v>1985</v>
      </c>
      <c r="R72" s="69">
        <v>8</v>
      </c>
      <c r="S72" s="89" t="s">
        <v>1517</v>
      </c>
      <c r="T72" s="7" t="str">
        <f t="shared" si="0"/>
        <v>8_1985</v>
      </c>
      <c r="U72" s="247">
        <f t="shared" si="1"/>
        <v>107.6</v>
      </c>
      <c r="V72" s="248">
        <f t="shared" si="14"/>
        <v>0.65272324462029019</v>
      </c>
      <c r="W72" s="248">
        <f t="shared" si="3"/>
        <v>0.34727675537970981</v>
      </c>
      <c r="X72" s="248">
        <f t="shared" si="15"/>
        <v>0.4788962620099243</v>
      </c>
      <c r="Y72" s="248">
        <f t="shared" si="5"/>
        <v>0.5211037379900757</v>
      </c>
      <c r="Z72" s="7"/>
    </row>
    <row r="73" spans="1:26">
      <c r="A73" s="249">
        <v>1962</v>
      </c>
      <c r="B73" s="250">
        <v>30</v>
      </c>
      <c r="C73" s="250">
        <v>30.1</v>
      </c>
      <c r="D73" s="250">
        <v>30.1</v>
      </c>
      <c r="E73" s="250">
        <v>30.2</v>
      </c>
      <c r="F73" s="250">
        <v>30.2</v>
      </c>
      <c r="G73" s="250">
        <v>30.2</v>
      </c>
      <c r="H73" s="250">
        <v>30.3</v>
      </c>
      <c r="I73" s="250">
        <v>30.3</v>
      </c>
      <c r="J73" s="250">
        <v>30.4</v>
      </c>
      <c r="K73" s="250">
        <v>30.4</v>
      </c>
      <c r="L73" s="250">
        <v>30.4</v>
      </c>
      <c r="M73" s="250">
        <v>30.4</v>
      </c>
      <c r="N73" s="250">
        <v>30.2</v>
      </c>
      <c r="O73" s="251"/>
      <c r="P73" s="251"/>
      <c r="Q73" s="69">
        <f>Q64+1</f>
        <v>1985</v>
      </c>
      <c r="R73" s="69">
        <v>9</v>
      </c>
      <c r="S73" s="89" t="s">
        <v>1517</v>
      </c>
      <c r="T73" s="7" t="str">
        <f t="shared" si="0"/>
        <v>9_1985</v>
      </c>
      <c r="U73" s="247">
        <f t="shared" si="1"/>
        <v>107.6</v>
      </c>
      <c r="V73" s="248">
        <f t="shared" si="14"/>
        <v>0.65272324462029019</v>
      </c>
      <c r="W73" s="248">
        <f t="shared" si="3"/>
        <v>0.34727675537970981</v>
      </c>
      <c r="X73" s="248">
        <f t="shared" si="15"/>
        <v>0.4788962620099243</v>
      </c>
      <c r="Y73" s="248">
        <f t="shared" si="5"/>
        <v>0.5211037379900757</v>
      </c>
      <c r="Z73" s="7"/>
    </row>
    <row r="74" spans="1:26">
      <c r="A74" s="249">
        <v>1963</v>
      </c>
      <c r="B74" s="250">
        <v>30.4</v>
      </c>
      <c r="C74" s="250">
        <v>30.4</v>
      </c>
      <c r="D74" s="250">
        <v>30.5</v>
      </c>
      <c r="E74" s="250">
        <v>30.5</v>
      </c>
      <c r="F74" s="250">
        <v>30.5</v>
      </c>
      <c r="G74" s="250">
        <v>30.6</v>
      </c>
      <c r="H74" s="250">
        <v>30.7</v>
      </c>
      <c r="I74" s="250">
        <v>30.7</v>
      </c>
      <c r="J74" s="250">
        <v>30.7</v>
      </c>
      <c r="K74" s="250">
        <v>30.8</v>
      </c>
      <c r="L74" s="250">
        <v>30.8</v>
      </c>
      <c r="M74" s="250">
        <v>30.9</v>
      </c>
      <c r="N74" s="250">
        <v>30.6</v>
      </c>
      <c r="O74" s="251"/>
      <c r="P74" s="251"/>
      <c r="Q74" s="69">
        <f>Q64+1</f>
        <v>1985</v>
      </c>
      <c r="R74" s="69">
        <v>10</v>
      </c>
      <c r="S74" s="89" t="s">
        <v>1517</v>
      </c>
      <c r="T74" s="7" t="str">
        <f t="shared" si="0"/>
        <v>10_1985</v>
      </c>
      <c r="U74" s="247">
        <f t="shared" si="1"/>
        <v>107.6</v>
      </c>
      <c r="V74" s="248">
        <f t="shared" si="14"/>
        <v>0.65272324462029019</v>
      </c>
      <c r="W74" s="248">
        <f t="shared" si="3"/>
        <v>0.34727675537970981</v>
      </c>
      <c r="X74" s="248">
        <f t="shared" si="15"/>
        <v>0.4788962620099243</v>
      </c>
      <c r="Y74" s="248">
        <f t="shared" si="5"/>
        <v>0.5211037379900757</v>
      </c>
      <c r="Z74" s="7"/>
    </row>
    <row r="75" spans="1:26">
      <c r="A75" s="249">
        <v>1964</v>
      </c>
      <c r="B75" s="250">
        <v>30.9</v>
      </c>
      <c r="C75" s="250">
        <v>30.9</v>
      </c>
      <c r="D75" s="250">
        <v>30.9</v>
      </c>
      <c r="E75" s="250">
        <v>30.9</v>
      </c>
      <c r="F75" s="250">
        <v>30.9</v>
      </c>
      <c r="G75" s="250">
        <v>31</v>
      </c>
      <c r="H75" s="250">
        <v>31.1</v>
      </c>
      <c r="I75" s="250">
        <v>31</v>
      </c>
      <c r="J75" s="250">
        <v>31.1</v>
      </c>
      <c r="K75" s="250">
        <v>31.1</v>
      </c>
      <c r="L75" s="250">
        <v>31.2</v>
      </c>
      <c r="M75" s="250">
        <v>31.2</v>
      </c>
      <c r="N75" s="250">
        <v>31</v>
      </c>
      <c r="O75" s="251"/>
      <c r="P75" s="251"/>
      <c r="Q75" s="69">
        <f>Q64+1</f>
        <v>1985</v>
      </c>
      <c r="R75" s="69">
        <v>11</v>
      </c>
      <c r="S75" s="89" t="s">
        <v>1517</v>
      </c>
      <c r="T75" s="7" t="str">
        <f t="shared" si="0"/>
        <v>11_1985</v>
      </c>
      <c r="U75" s="247">
        <f t="shared" si="1"/>
        <v>107.6</v>
      </c>
      <c r="V75" s="248">
        <f t="shared" si="14"/>
        <v>0.65272324462029019</v>
      </c>
      <c r="W75" s="248">
        <f t="shared" si="3"/>
        <v>0.34727675537970981</v>
      </c>
      <c r="X75" s="248">
        <f t="shared" si="15"/>
        <v>0.4788962620099243</v>
      </c>
      <c r="Y75" s="248">
        <f t="shared" si="5"/>
        <v>0.5211037379900757</v>
      </c>
      <c r="Z75" s="7"/>
    </row>
    <row r="76" spans="1:26">
      <c r="A76" s="249">
        <v>1965</v>
      </c>
      <c r="B76" s="250">
        <v>31.2</v>
      </c>
      <c r="C76" s="250">
        <v>31.2</v>
      </c>
      <c r="D76" s="250">
        <v>31.3</v>
      </c>
      <c r="E76" s="250">
        <v>31.4</v>
      </c>
      <c r="F76" s="250">
        <v>31.4</v>
      </c>
      <c r="G76" s="250">
        <v>31.6</v>
      </c>
      <c r="H76" s="250">
        <v>31.6</v>
      </c>
      <c r="I76" s="250">
        <v>31.6</v>
      </c>
      <c r="J76" s="250">
        <v>31.6</v>
      </c>
      <c r="K76" s="250">
        <v>31.7</v>
      </c>
      <c r="L76" s="250">
        <v>31.7</v>
      </c>
      <c r="M76" s="250">
        <v>31.8</v>
      </c>
      <c r="N76" s="250">
        <v>31.5</v>
      </c>
      <c r="O76" s="251"/>
      <c r="P76" s="251"/>
      <c r="Q76" s="69">
        <f>Q64+1</f>
        <v>1985</v>
      </c>
      <c r="R76" s="69">
        <v>12</v>
      </c>
      <c r="S76" s="89" t="s">
        <v>1517</v>
      </c>
      <c r="T76" s="7" t="str">
        <f t="shared" si="0"/>
        <v>12_1985</v>
      </c>
      <c r="U76" s="247">
        <f t="shared" si="1"/>
        <v>107.6</v>
      </c>
      <c r="V76" s="248">
        <f>+(V88*U76/U88)/(V88*U76/U88+W88*AVERAGE(U76,'PPI USA'!T82)/AVERAGE(U88,'PPI USA'!T94))</f>
        <v>0.65272324462029019</v>
      </c>
      <c r="W76" s="248">
        <f t="shared" si="3"/>
        <v>0.34727675537970981</v>
      </c>
      <c r="X76" s="248">
        <f>+(X88*$U76/$U88)/(X88*$U76/$U88+Y88*AVERAGE($U76,'PPI USA'!$T82)/AVERAGE($U88,'PPI USA'!$T94))</f>
        <v>0.4788962620099243</v>
      </c>
      <c r="Y76" s="248">
        <f t="shared" si="5"/>
        <v>0.5211037379900757</v>
      </c>
      <c r="Z76" s="7"/>
    </row>
    <row r="77" spans="1:26">
      <c r="A77" s="7"/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69">
        <f>Q76+1</f>
        <v>1986</v>
      </c>
      <c r="R77" s="69">
        <v>1</v>
      </c>
      <c r="S77" s="89" t="s">
        <v>1517</v>
      </c>
      <c r="T77" s="7" t="str">
        <f t="shared" si="0"/>
        <v>1_1986</v>
      </c>
      <c r="U77" s="247">
        <f t="shared" si="1"/>
        <v>109.6</v>
      </c>
      <c r="V77" s="248">
        <f t="shared" ref="V77:V87" si="16">+V78</f>
        <v>0.65301153132347545</v>
      </c>
      <c r="W77" s="248">
        <f t="shared" si="3"/>
        <v>0.34698846867652455</v>
      </c>
      <c r="X77" s="248">
        <f t="shared" ref="X77:X87" si="17">+X78</f>
        <v>0.47921371650050809</v>
      </c>
      <c r="Y77" s="248">
        <f t="shared" si="5"/>
        <v>0.52078628349949185</v>
      </c>
      <c r="Z77" s="7"/>
    </row>
    <row r="78" spans="1:26">
      <c r="A78" s="249">
        <v>1966</v>
      </c>
      <c r="B78" s="250">
        <v>31.8</v>
      </c>
      <c r="C78" s="250">
        <v>32</v>
      </c>
      <c r="D78" s="250">
        <v>32.1</v>
      </c>
      <c r="E78" s="250">
        <v>32.299999999999997</v>
      </c>
      <c r="F78" s="250">
        <v>32.299999999999997</v>
      </c>
      <c r="G78" s="250">
        <v>32.4</v>
      </c>
      <c r="H78" s="250">
        <v>32.5</v>
      </c>
      <c r="I78" s="250">
        <v>32.700000000000003</v>
      </c>
      <c r="J78" s="250">
        <v>32.700000000000003</v>
      </c>
      <c r="K78" s="250">
        <v>32.9</v>
      </c>
      <c r="L78" s="250">
        <v>32.9</v>
      </c>
      <c r="M78" s="250">
        <v>32.9</v>
      </c>
      <c r="N78" s="250">
        <v>32.4</v>
      </c>
      <c r="O78" s="251"/>
      <c r="P78" s="251"/>
      <c r="Q78" s="69">
        <f>Q76+1</f>
        <v>1986</v>
      </c>
      <c r="R78" s="69">
        <v>2</v>
      </c>
      <c r="S78" s="89" t="s">
        <v>1517</v>
      </c>
      <c r="T78" s="7" t="str">
        <f t="shared" si="0"/>
        <v>2_1986</v>
      </c>
      <c r="U78" s="247">
        <f t="shared" si="1"/>
        <v>109.6</v>
      </c>
      <c r="V78" s="248">
        <f t="shared" si="16"/>
        <v>0.65301153132347545</v>
      </c>
      <c r="W78" s="248">
        <f t="shared" si="3"/>
        <v>0.34698846867652455</v>
      </c>
      <c r="X78" s="248">
        <f t="shared" si="17"/>
        <v>0.47921371650050809</v>
      </c>
      <c r="Y78" s="248">
        <f t="shared" si="5"/>
        <v>0.52078628349949185</v>
      </c>
      <c r="Z78" s="7"/>
    </row>
    <row r="79" spans="1:26">
      <c r="A79" s="249">
        <v>1967</v>
      </c>
      <c r="B79" s="250">
        <v>32.9</v>
      </c>
      <c r="C79" s="250">
        <v>32.9</v>
      </c>
      <c r="D79" s="250">
        <v>33</v>
      </c>
      <c r="E79" s="250">
        <v>33.1</v>
      </c>
      <c r="F79" s="250">
        <v>33.200000000000003</v>
      </c>
      <c r="G79" s="250">
        <v>33.299999999999997</v>
      </c>
      <c r="H79" s="250">
        <v>33.4</v>
      </c>
      <c r="I79" s="250">
        <v>33.5</v>
      </c>
      <c r="J79" s="250">
        <v>33.6</v>
      </c>
      <c r="K79" s="250">
        <v>33.700000000000003</v>
      </c>
      <c r="L79" s="250">
        <v>33.799999999999997</v>
      </c>
      <c r="M79" s="250">
        <v>33.9</v>
      </c>
      <c r="N79" s="250">
        <v>33.4</v>
      </c>
      <c r="O79" s="251"/>
      <c r="P79" s="251"/>
      <c r="Q79" s="69">
        <f>Q76+1</f>
        <v>1986</v>
      </c>
      <c r="R79" s="69">
        <v>3</v>
      </c>
      <c r="S79" s="89" t="s">
        <v>1517</v>
      </c>
      <c r="T79" s="7" t="str">
        <f t="shared" si="0"/>
        <v>3_1986</v>
      </c>
      <c r="U79" s="247">
        <f t="shared" si="1"/>
        <v>109.6</v>
      </c>
      <c r="V79" s="248">
        <f t="shared" si="16"/>
        <v>0.65301153132347545</v>
      </c>
      <c r="W79" s="248">
        <f t="shared" si="3"/>
        <v>0.34698846867652455</v>
      </c>
      <c r="X79" s="248">
        <f t="shared" si="17"/>
        <v>0.47921371650050809</v>
      </c>
      <c r="Y79" s="248">
        <f t="shared" si="5"/>
        <v>0.52078628349949185</v>
      </c>
      <c r="Z79" s="7"/>
    </row>
    <row r="80" spans="1:26">
      <c r="A80" s="249">
        <v>1968</v>
      </c>
      <c r="B80" s="250">
        <v>34.1</v>
      </c>
      <c r="C80" s="250">
        <v>34.200000000000003</v>
      </c>
      <c r="D80" s="250">
        <v>34.299999999999997</v>
      </c>
      <c r="E80" s="250">
        <v>34.4</v>
      </c>
      <c r="F80" s="250">
        <v>34.5</v>
      </c>
      <c r="G80" s="250">
        <v>34.700000000000003</v>
      </c>
      <c r="H80" s="250">
        <v>34.9</v>
      </c>
      <c r="I80" s="250">
        <v>35</v>
      </c>
      <c r="J80" s="250">
        <v>35.1</v>
      </c>
      <c r="K80" s="250">
        <v>35.299999999999997</v>
      </c>
      <c r="L80" s="250">
        <v>35.4</v>
      </c>
      <c r="M80" s="250">
        <v>35.5</v>
      </c>
      <c r="N80" s="250">
        <v>34.799999999999997</v>
      </c>
      <c r="O80" s="251"/>
      <c r="P80" s="251"/>
      <c r="Q80" s="69">
        <f>Q76+1</f>
        <v>1986</v>
      </c>
      <c r="R80" s="69">
        <v>4</v>
      </c>
      <c r="S80" s="89" t="s">
        <v>1517</v>
      </c>
      <c r="T80" s="7" t="str">
        <f t="shared" si="0"/>
        <v>4_1986</v>
      </c>
      <c r="U80" s="247">
        <f t="shared" si="1"/>
        <v>109.6</v>
      </c>
      <c r="V80" s="248">
        <f t="shared" si="16"/>
        <v>0.65301153132347545</v>
      </c>
      <c r="W80" s="248">
        <f t="shared" si="3"/>
        <v>0.34698846867652455</v>
      </c>
      <c r="X80" s="248">
        <f t="shared" si="17"/>
        <v>0.47921371650050809</v>
      </c>
      <c r="Y80" s="248">
        <f t="shared" si="5"/>
        <v>0.52078628349949185</v>
      </c>
      <c r="Z80" s="7"/>
    </row>
    <row r="81" spans="1:26">
      <c r="A81" s="249">
        <v>1969</v>
      </c>
      <c r="B81" s="250">
        <v>35.6</v>
      </c>
      <c r="C81" s="250">
        <v>35.799999999999997</v>
      </c>
      <c r="D81" s="250">
        <v>36.1</v>
      </c>
      <c r="E81" s="250">
        <v>36.299999999999997</v>
      </c>
      <c r="F81" s="250">
        <v>36.4</v>
      </c>
      <c r="G81" s="250">
        <v>36.6</v>
      </c>
      <c r="H81" s="250">
        <v>36.799999999999997</v>
      </c>
      <c r="I81" s="250">
        <v>37</v>
      </c>
      <c r="J81" s="250">
        <v>37.1</v>
      </c>
      <c r="K81" s="250">
        <v>37.299999999999997</v>
      </c>
      <c r="L81" s="250">
        <v>37.5</v>
      </c>
      <c r="M81" s="250">
        <v>37.700000000000003</v>
      </c>
      <c r="N81" s="250">
        <v>36.700000000000003</v>
      </c>
      <c r="O81" s="251"/>
      <c r="P81" s="251"/>
      <c r="Q81" s="69">
        <f>Q76+1</f>
        <v>1986</v>
      </c>
      <c r="R81" s="69">
        <v>5</v>
      </c>
      <c r="S81" s="89" t="s">
        <v>1517</v>
      </c>
      <c r="T81" s="7" t="str">
        <f t="shared" si="0"/>
        <v>5_1986</v>
      </c>
      <c r="U81" s="247">
        <f t="shared" si="1"/>
        <v>109.6</v>
      </c>
      <c r="V81" s="248">
        <f t="shared" si="16"/>
        <v>0.65301153132347545</v>
      </c>
      <c r="W81" s="248">
        <f t="shared" si="3"/>
        <v>0.34698846867652455</v>
      </c>
      <c r="X81" s="248">
        <f t="shared" si="17"/>
        <v>0.47921371650050809</v>
      </c>
      <c r="Y81" s="248">
        <f t="shared" si="5"/>
        <v>0.52078628349949185</v>
      </c>
      <c r="Z81" s="7"/>
    </row>
    <row r="82" spans="1:26">
      <c r="A82" s="249">
        <v>1970</v>
      </c>
      <c r="B82" s="250">
        <v>37.799999999999997</v>
      </c>
      <c r="C82" s="250">
        <v>38</v>
      </c>
      <c r="D82" s="250">
        <v>38.200000000000003</v>
      </c>
      <c r="E82" s="250">
        <v>38.5</v>
      </c>
      <c r="F82" s="250">
        <v>38.6</v>
      </c>
      <c r="G82" s="250">
        <v>38.799999999999997</v>
      </c>
      <c r="H82" s="250">
        <v>39</v>
      </c>
      <c r="I82" s="250">
        <v>39</v>
      </c>
      <c r="J82" s="250">
        <v>39.200000000000003</v>
      </c>
      <c r="K82" s="250">
        <v>39.4</v>
      </c>
      <c r="L82" s="250">
        <v>39.6</v>
      </c>
      <c r="M82" s="250">
        <v>39.799999999999997</v>
      </c>
      <c r="N82" s="250">
        <v>38.799999999999997</v>
      </c>
      <c r="O82" s="251"/>
      <c r="P82" s="251"/>
      <c r="Q82" s="69">
        <f>Q76+1</f>
        <v>1986</v>
      </c>
      <c r="R82" s="69">
        <v>6</v>
      </c>
      <c r="S82" s="89" t="s">
        <v>1517</v>
      </c>
      <c r="T82" s="7" t="str">
        <f t="shared" si="0"/>
        <v>6_1986</v>
      </c>
      <c r="U82" s="247">
        <f t="shared" si="1"/>
        <v>109.6</v>
      </c>
      <c r="V82" s="248">
        <f t="shared" si="16"/>
        <v>0.65301153132347545</v>
      </c>
      <c r="W82" s="248">
        <f t="shared" si="3"/>
        <v>0.34698846867652455</v>
      </c>
      <c r="X82" s="248">
        <f t="shared" si="17"/>
        <v>0.47921371650050809</v>
      </c>
      <c r="Y82" s="248">
        <f t="shared" si="5"/>
        <v>0.52078628349949185</v>
      </c>
      <c r="Z82" s="7"/>
    </row>
    <row r="83" spans="1:26">
      <c r="A83" s="7"/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69">
        <f>Q76+1</f>
        <v>1986</v>
      </c>
      <c r="R83" s="69">
        <v>7</v>
      </c>
      <c r="S83" s="89" t="s">
        <v>1517</v>
      </c>
      <c r="T83" s="7" t="str">
        <f t="shared" si="0"/>
        <v>7_1986</v>
      </c>
      <c r="U83" s="247">
        <f t="shared" si="1"/>
        <v>109.6</v>
      </c>
      <c r="V83" s="248">
        <f t="shared" si="16"/>
        <v>0.65301153132347545</v>
      </c>
      <c r="W83" s="248">
        <f t="shared" si="3"/>
        <v>0.34698846867652455</v>
      </c>
      <c r="X83" s="248">
        <f t="shared" si="17"/>
        <v>0.47921371650050809</v>
      </c>
      <c r="Y83" s="248">
        <f t="shared" si="5"/>
        <v>0.52078628349949185</v>
      </c>
      <c r="Z83" s="7"/>
    </row>
    <row r="84" spans="1:26">
      <c r="A84" s="249">
        <v>1971</v>
      </c>
      <c r="B84" s="250">
        <v>39.799999999999997</v>
      </c>
      <c r="C84" s="250">
        <v>39.9</v>
      </c>
      <c r="D84" s="250">
        <v>40</v>
      </c>
      <c r="E84" s="250">
        <v>40.1</v>
      </c>
      <c r="F84" s="250">
        <v>40.299999999999997</v>
      </c>
      <c r="G84" s="250">
        <v>40.6</v>
      </c>
      <c r="H84" s="250">
        <v>40.700000000000003</v>
      </c>
      <c r="I84" s="250">
        <v>40.799999999999997</v>
      </c>
      <c r="J84" s="250">
        <v>40.799999999999997</v>
      </c>
      <c r="K84" s="250">
        <v>40.9</v>
      </c>
      <c r="L84" s="250">
        <v>40.9</v>
      </c>
      <c r="M84" s="250">
        <v>41.1</v>
      </c>
      <c r="N84" s="250">
        <v>40.5</v>
      </c>
      <c r="O84" s="251"/>
      <c r="P84" s="251"/>
      <c r="Q84" s="69">
        <f>Q76+1</f>
        <v>1986</v>
      </c>
      <c r="R84" s="69">
        <v>8</v>
      </c>
      <c r="S84" s="89" t="s">
        <v>1517</v>
      </c>
      <c r="T84" s="7" t="str">
        <f t="shared" si="0"/>
        <v>8_1986</v>
      </c>
      <c r="U84" s="247">
        <f t="shared" si="1"/>
        <v>109.6</v>
      </c>
      <c r="V84" s="248">
        <f t="shared" si="16"/>
        <v>0.65301153132347545</v>
      </c>
      <c r="W84" s="248">
        <f t="shared" si="3"/>
        <v>0.34698846867652455</v>
      </c>
      <c r="X84" s="248">
        <f t="shared" si="17"/>
        <v>0.47921371650050809</v>
      </c>
      <c r="Y84" s="248">
        <f t="shared" si="5"/>
        <v>0.52078628349949185</v>
      </c>
      <c r="Z84" s="7"/>
    </row>
    <row r="85" spans="1:26">
      <c r="A85" s="249">
        <v>1972</v>
      </c>
      <c r="B85" s="250">
        <v>41.1</v>
      </c>
      <c r="C85" s="250">
        <v>41.3</v>
      </c>
      <c r="D85" s="250">
        <v>41.4</v>
      </c>
      <c r="E85" s="250">
        <v>41.5</v>
      </c>
      <c r="F85" s="250">
        <v>41.6</v>
      </c>
      <c r="G85" s="250">
        <v>41.7</v>
      </c>
      <c r="H85" s="250">
        <v>41.9</v>
      </c>
      <c r="I85" s="250">
        <v>42</v>
      </c>
      <c r="J85" s="250">
        <v>42.1</v>
      </c>
      <c r="K85" s="250">
        <v>42.3</v>
      </c>
      <c r="L85" s="250">
        <v>42.4</v>
      </c>
      <c r="M85" s="250">
        <v>42.5</v>
      </c>
      <c r="N85" s="250">
        <v>41.8</v>
      </c>
      <c r="O85" s="251"/>
      <c r="P85" s="251"/>
      <c r="Q85" s="69">
        <f>Q76+1</f>
        <v>1986</v>
      </c>
      <c r="R85" s="69">
        <v>9</v>
      </c>
      <c r="S85" s="89" t="s">
        <v>1517</v>
      </c>
      <c r="T85" s="7" t="str">
        <f t="shared" si="0"/>
        <v>9_1986</v>
      </c>
      <c r="U85" s="247">
        <f t="shared" si="1"/>
        <v>109.6</v>
      </c>
      <c r="V85" s="248">
        <f t="shared" si="16"/>
        <v>0.65301153132347545</v>
      </c>
      <c r="W85" s="248">
        <f t="shared" si="3"/>
        <v>0.34698846867652455</v>
      </c>
      <c r="X85" s="248">
        <f t="shared" si="17"/>
        <v>0.47921371650050809</v>
      </c>
      <c r="Y85" s="248">
        <f t="shared" si="5"/>
        <v>0.52078628349949185</v>
      </c>
      <c r="Z85" s="7"/>
    </row>
    <row r="86" spans="1:26">
      <c r="A86" s="249">
        <v>1973</v>
      </c>
      <c r="B86" s="250">
        <v>42.6</v>
      </c>
      <c r="C86" s="250">
        <v>42.9</v>
      </c>
      <c r="D86" s="250">
        <v>43.3</v>
      </c>
      <c r="E86" s="250">
        <v>43.6</v>
      </c>
      <c r="F86" s="250">
        <v>43.9</v>
      </c>
      <c r="G86" s="250">
        <v>44.2</v>
      </c>
      <c r="H86" s="250">
        <v>44.3</v>
      </c>
      <c r="I86" s="250">
        <v>45.1</v>
      </c>
      <c r="J86" s="250">
        <v>45.2</v>
      </c>
      <c r="K86" s="250">
        <v>45.6</v>
      </c>
      <c r="L86" s="250">
        <v>45.9</v>
      </c>
      <c r="M86" s="250">
        <v>46.2</v>
      </c>
      <c r="N86" s="250">
        <v>44.4</v>
      </c>
      <c r="O86" s="251"/>
      <c r="P86" s="251"/>
      <c r="Q86" s="69">
        <f>Q76+1</f>
        <v>1986</v>
      </c>
      <c r="R86" s="69">
        <v>10</v>
      </c>
      <c r="S86" s="89" t="s">
        <v>1517</v>
      </c>
      <c r="T86" s="7" t="str">
        <f t="shared" si="0"/>
        <v>10_1986</v>
      </c>
      <c r="U86" s="247">
        <f t="shared" si="1"/>
        <v>109.6</v>
      </c>
      <c r="V86" s="248">
        <f t="shared" si="16"/>
        <v>0.65301153132347545</v>
      </c>
      <c r="W86" s="248">
        <f t="shared" si="3"/>
        <v>0.34698846867652455</v>
      </c>
      <c r="X86" s="248">
        <f t="shared" si="17"/>
        <v>0.47921371650050809</v>
      </c>
      <c r="Y86" s="248">
        <f t="shared" si="5"/>
        <v>0.52078628349949185</v>
      </c>
      <c r="Z86" s="7"/>
    </row>
    <row r="87" spans="1:26">
      <c r="A87" s="249">
        <v>1974</v>
      </c>
      <c r="B87" s="250">
        <v>46.6</v>
      </c>
      <c r="C87" s="250">
        <v>47.2</v>
      </c>
      <c r="D87" s="250">
        <v>47.8</v>
      </c>
      <c r="E87" s="250">
        <v>48</v>
      </c>
      <c r="F87" s="250">
        <v>48.6</v>
      </c>
      <c r="G87" s="250">
        <v>49</v>
      </c>
      <c r="H87" s="250">
        <v>49.4</v>
      </c>
      <c r="I87" s="250">
        <v>50</v>
      </c>
      <c r="J87" s="250">
        <v>50.6</v>
      </c>
      <c r="K87" s="250">
        <v>51.1</v>
      </c>
      <c r="L87" s="250">
        <v>51.5</v>
      </c>
      <c r="M87" s="250">
        <v>51.9</v>
      </c>
      <c r="N87" s="250">
        <v>49.3</v>
      </c>
      <c r="O87" s="251"/>
      <c r="P87" s="251"/>
      <c r="Q87" s="69">
        <f>Q76+1</f>
        <v>1986</v>
      </c>
      <c r="R87" s="69">
        <v>11</v>
      </c>
      <c r="S87" s="89" t="s">
        <v>1517</v>
      </c>
      <c r="T87" s="7" t="str">
        <f t="shared" si="0"/>
        <v>11_1986</v>
      </c>
      <c r="U87" s="247">
        <f t="shared" si="1"/>
        <v>109.6</v>
      </c>
      <c r="V87" s="248">
        <f t="shared" si="16"/>
        <v>0.65301153132347545</v>
      </c>
      <c r="W87" s="248">
        <f t="shared" si="3"/>
        <v>0.34698846867652455</v>
      </c>
      <c r="X87" s="248">
        <f t="shared" si="17"/>
        <v>0.47921371650050809</v>
      </c>
      <c r="Y87" s="248">
        <f t="shared" si="5"/>
        <v>0.52078628349949185</v>
      </c>
      <c r="Z87" s="7"/>
    </row>
    <row r="88" spans="1:26">
      <c r="A88" s="249">
        <v>1975</v>
      </c>
      <c r="B88" s="250">
        <v>52.1</v>
      </c>
      <c r="C88" s="250">
        <v>52.5</v>
      </c>
      <c r="D88" s="250">
        <v>52.7</v>
      </c>
      <c r="E88" s="250">
        <v>52.9</v>
      </c>
      <c r="F88" s="250">
        <v>53.2</v>
      </c>
      <c r="G88" s="250">
        <v>53.6</v>
      </c>
      <c r="H88" s="250">
        <v>54.2</v>
      </c>
      <c r="I88" s="250">
        <v>54.3</v>
      </c>
      <c r="J88" s="250">
        <v>54.6</v>
      </c>
      <c r="K88" s="250">
        <v>54.9</v>
      </c>
      <c r="L88" s="250">
        <v>55.3</v>
      </c>
      <c r="M88" s="250">
        <v>55.5</v>
      </c>
      <c r="N88" s="250">
        <v>53.8</v>
      </c>
      <c r="O88" s="251"/>
      <c r="P88" s="251"/>
      <c r="Q88" s="69">
        <f>Q76+1</f>
        <v>1986</v>
      </c>
      <c r="R88" s="69">
        <v>12</v>
      </c>
      <c r="S88" s="89" t="s">
        <v>1517</v>
      </c>
      <c r="T88" s="7" t="str">
        <f t="shared" si="0"/>
        <v>12_1986</v>
      </c>
      <c r="U88" s="247">
        <f t="shared" si="1"/>
        <v>109.6</v>
      </c>
      <c r="V88" s="248">
        <f>+(V100*U88/U100)/(V100*U88/U100+W100*AVERAGE(U88,'PPI USA'!T94)/AVERAGE(U100,'PPI USA'!T106))</f>
        <v>0.65301153132347545</v>
      </c>
      <c r="W88" s="248">
        <f t="shared" si="3"/>
        <v>0.34698846867652455</v>
      </c>
      <c r="X88" s="248">
        <f>+(X100*$U88/$U100)/(X100*$U88/$U100+Y100*AVERAGE($U88,'PPI USA'!$T94)/AVERAGE($U100,'PPI USA'!$T106))</f>
        <v>0.47921371650050809</v>
      </c>
      <c r="Y88" s="248">
        <f t="shared" si="5"/>
        <v>0.52078628349949185</v>
      </c>
      <c r="Z88" s="7"/>
    </row>
    <row r="89" spans="1:26">
      <c r="A89" s="7"/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69">
        <f>Q88+1</f>
        <v>1987</v>
      </c>
      <c r="R89" s="69">
        <v>1</v>
      </c>
      <c r="S89" s="89" t="s">
        <v>1517</v>
      </c>
      <c r="T89" s="7" t="str">
        <f t="shared" si="0"/>
        <v>1_1987</v>
      </c>
      <c r="U89" s="247">
        <f t="shared" si="1"/>
        <v>113.6</v>
      </c>
      <c r="V89" s="248">
        <f t="shared" ref="V89:V99" si="18">+V90</f>
        <v>0.65913576170282828</v>
      </c>
      <c r="W89" s="248">
        <f t="shared" si="3"/>
        <v>0.34086423829717172</v>
      </c>
      <c r="X89" s="248">
        <f t="shared" ref="X89:X99" si="19">+X90</f>
        <v>0.48599090050401927</v>
      </c>
      <c r="Y89" s="248">
        <f t="shared" si="5"/>
        <v>0.51400909949598073</v>
      </c>
      <c r="Z89" s="7"/>
    </row>
    <row r="90" spans="1:26">
      <c r="A90" s="249">
        <v>1976</v>
      </c>
      <c r="B90" s="250">
        <v>55.6</v>
      </c>
      <c r="C90" s="250">
        <v>55.8</v>
      </c>
      <c r="D90" s="250">
        <v>55.9</v>
      </c>
      <c r="E90" s="250">
        <v>56.1</v>
      </c>
      <c r="F90" s="250">
        <v>56.5</v>
      </c>
      <c r="G90" s="250">
        <v>56.8</v>
      </c>
      <c r="H90" s="250">
        <v>57.1</v>
      </c>
      <c r="I90" s="250">
        <v>57.4</v>
      </c>
      <c r="J90" s="250">
        <v>57.6</v>
      </c>
      <c r="K90" s="250">
        <v>57.9</v>
      </c>
      <c r="L90" s="250">
        <v>58</v>
      </c>
      <c r="M90" s="250">
        <v>58.2</v>
      </c>
      <c r="N90" s="250">
        <v>56.9</v>
      </c>
      <c r="O90" s="251"/>
      <c r="P90" s="251"/>
      <c r="Q90" s="69">
        <f>Q88+1</f>
        <v>1987</v>
      </c>
      <c r="R90" s="69">
        <v>2</v>
      </c>
      <c r="S90" s="89" t="s">
        <v>1517</v>
      </c>
      <c r="T90" s="7" t="str">
        <f t="shared" si="0"/>
        <v>2_1987</v>
      </c>
      <c r="U90" s="247">
        <f t="shared" si="1"/>
        <v>113.6</v>
      </c>
      <c r="V90" s="248">
        <f t="shared" si="18"/>
        <v>0.65913576170282828</v>
      </c>
      <c r="W90" s="248">
        <f t="shared" si="3"/>
        <v>0.34086423829717172</v>
      </c>
      <c r="X90" s="248">
        <f t="shared" si="19"/>
        <v>0.48599090050401927</v>
      </c>
      <c r="Y90" s="248">
        <f t="shared" si="5"/>
        <v>0.51400909949598073</v>
      </c>
      <c r="Z90" s="7"/>
    </row>
    <row r="91" spans="1:26">
      <c r="A91" s="249">
        <v>1977</v>
      </c>
      <c r="B91" s="250">
        <v>58.5</v>
      </c>
      <c r="C91" s="250">
        <v>59.1</v>
      </c>
      <c r="D91" s="250">
        <v>59.5</v>
      </c>
      <c r="E91" s="250">
        <v>60</v>
      </c>
      <c r="F91" s="250">
        <v>60.3</v>
      </c>
      <c r="G91" s="250">
        <v>60.7</v>
      </c>
      <c r="H91" s="250">
        <v>61</v>
      </c>
      <c r="I91" s="250">
        <v>61.2</v>
      </c>
      <c r="J91" s="250">
        <v>61.4</v>
      </c>
      <c r="K91" s="250">
        <v>61.6</v>
      </c>
      <c r="L91" s="250">
        <v>61.9</v>
      </c>
      <c r="M91" s="250">
        <v>62.1</v>
      </c>
      <c r="N91" s="250">
        <v>60.6</v>
      </c>
      <c r="O91" s="251"/>
      <c r="P91" s="251"/>
      <c r="Q91" s="69">
        <f>Q88+1</f>
        <v>1987</v>
      </c>
      <c r="R91" s="69">
        <v>3</v>
      </c>
      <c r="S91" s="89" t="s">
        <v>1517</v>
      </c>
      <c r="T91" s="7" t="str">
        <f t="shared" si="0"/>
        <v>3_1987</v>
      </c>
      <c r="U91" s="247">
        <f t="shared" si="1"/>
        <v>113.6</v>
      </c>
      <c r="V91" s="248">
        <f t="shared" si="18"/>
        <v>0.65913576170282828</v>
      </c>
      <c r="W91" s="248">
        <f t="shared" si="3"/>
        <v>0.34086423829717172</v>
      </c>
      <c r="X91" s="248">
        <f t="shared" si="19"/>
        <v>0.48599090050401927</v>
      </c>
      <c r="Y91" s="248">
        <f t="shared" si="5"/>
        <v>0.51400909949598073</v>
      </c>
      <c r="Z91" s="7"/>
    </row>
    <row r="92" spans="1:26">
      <c r="A92" s="249">
        <v>1978</v>
      </c>
      <c r="B92" s="250">
        <v>62.5</v>
      </c>
      <c r="C92" s="250">
        <v>62.9</v>
      </c>
      <c r="D92" s="250">
        <v>63.4</v>
      </c>
      <c r="E92" s="250">
        <v>63.9</v>
      </c>
      <c r="F92" s="250">
        <v>64.5</v>
      </c>
      <c r="G92" s="250">
        <v>65.2</v>
      </c>
      <c r="H92" s="250">
        <v>65.7</v>
      </c>
      <c r="I92" s="250">
        <v>66</v>
      </c>
      <c r="J92" s="250">
        <v>66.5</v>
      </c>
      <c r="K92" s="250">
        <v>67.099999999999994</v>
      </c>
      <c r="L92" s="250">
        <v>67.400000000000006</v>
      </c>
      <c r="M92" s="250">
        <v>67.7</v>
      </c>
      <c r="N92" s="250">
        <v>65.2</v>
      </c>
      <c r="O92" s="251"/>
      <c r="P92" s="251"/>
      <c r="Q92" s="69">
        <f>Q88+1</f>
        <v>1987</v>
      </c>
      <c r="R92" s="69">
        <v>4</v>
      </c>
      <c r="S92" s="89" t="s">
        <v>1517</v>
      </c>
      <c r="T92" s="7" t="str">
        <f t="shared" si="0"/>
        <v>4_1987</v>
      </c>
      <c r="U92" s="247">
        <f t="shared" si="1"/>
        <v>113.6</v>
      </c>
      <c r="V92" s="248">
        <f t="shared" si="18"/>
        <v>0.65913576170282828</v>
      </c>
      <c r="W92" s="248">
        <f t="shared" si="3"/>
        <v>0.34086423829717172</v>
      </c>
      <c r="X92" s="248">
        <f t="shared" si="19"/>
        <v>0.48599090050401927</v>
      </c>
      <c r="Y92" s="248">
        <f t="shared" si="5"/>
        <v>0.51400909949598073</v>
      </c>
      <c r="Z92" s="7"/>
    </row>
    <row r="93" spans="1:26">
      <c r="A93" s="249">
        <v>1979</v>
      </c>
      <c r="B93" s="250">
        <v>68.3</v>
      </c>
      <c r="C93" s="250">
        <v>69.099999999999994</v>
      </c>
      <c r="D93" s="250">
        <v>69.8</v>
      </c>
      <c r="E93" s="250">
        <v>70.599999999999994</v>
      </c>
      <c r="F93" s="250">
        <v>71.5</v>
      </c>
      <c r="G93" s="250">
        <v>72.3</v>
      </c>
      <c r="H93" s="250">
        <v>73.099999999999994</v>
      </c>
      <c r="I93" s="250">
        <v>73.8</v>
      </c>
      <c r="J93" s="250">
        <v>74.599999999999994</v>
      </c>
      <c r="K93" s="250">
        <v>75.2</v>
      </c>
      <c r="L93" s="250">
        <v>75.900000000000006</v>
      </c>
      <c r="M93" s="250">
        <v>76.7</v>
      </c>
      <c r="N93" s="250">
        <v>72.599999999999994</v>
      </c>
      <c r="O93" s="251"/>
      <c r="P93" s="251"/>
      <c r="Q93" s="69">
        <f>Q88+1</f>
        <v>1987</v>
      </c>
      <c r="R93" s="69">
        <v>5</v>
      </c>
      <c r="S93" s="89" t="s">
        <v>1517</v>
      </c>
      <c r="T93" s="7" t="str">
        <f t="shared" si="0"/>
        <v>5_1987</v>
      </c>
      <c r="U93" s="247">
        <f t="shared" si="1"/>
        <v>113.6</v>
      </c>
      <c r="V93" s="248">
        <f t="shared" si="18"/>
        <v>0.65913576170282828</v>
      </c>
      <c r="W93" s="248">
        <f t="shared" si="3"/>
        <v>0.34086423829717172</v>
      </c>
      <c r="X93" s="248">
        <f t="shared" si="19"/>
        <v>0.48599090050401927</v>
      </c>
      <c r="Y93" s="248">
        <f t="shared" si="5"/>
        <v>0.51400909949598073</v>
      </c>
      <c r="Z93" s="7"/>
    </row>
    <row r="94" spans="1:26">
      <c r="A94" s="249">
        <v>1980</v>
      </c>
      <c r="B94" s="250">
        <v>77.8</v>
      </c>
      <c r="C94" s="250">
        <v>78.900000000000006</v>
      </c>
      <c r="D94" s="250">
        <v>80.099999999999994</v>
      </c>
      <c r="E94" s="250">
        <v>81</v>
      </c>
      <c r="F94" s="250">
        <v>81.8</v>
      </c>
      <c r="G94" s="250">
        <v>82.7</v>
      </c>
      <c r="H94" s="250">
        <v>82.7</v>
      </c>
      <c r="I94" s="250">
        <v>83.3</v>
      </c>
      <c r="J94" s="250">
        <v>84</v>
      </c>
      <c r="K94" s="250">
        <v>84.8</v>
      </c>
      <c r="L94" s="250">
        <v>85.5</v>
      </c>
      <c r="M94" s="250">
        <v>86.3</v>
      </c>
      <c r="N94" s="250">
        <v>82.4</v>
      </c>
      <c r="O94" s="251"/>
      <c r="P94" s="251"/>
      <c r="Q94" s="69">
        <f>Q88+1</f>
        <v>1987</v>
      </c>
      <c r="R94" s="69">
        <v>6</v>
      </c>
      <c r="S94" s="89" t="s">
        <v>1517</v>
      </c>
      <c r="T94" s="7" t="str">
        <f t="shared" si="0"/>
        <v>6_1987</v>
      </c>
      <c r="U94" s="247">
        <f t="shared" si="1"/>
        <v>113.6</v>
      </c>
      <c r="V94" s="248">
        <f t="shared" si="18"/>
        <v>0.65913576170282828</v>
      </c>
      <c r="W94" s="248">
        <f t="shared" si="3"/>
        <v>0.34086423829717172</v>
      </c>
      <c r="X94" s="248">
        <f t="shared" si="19"/>
        <v>0.48599090050401927</v>
      </c>
      <c r="Y94" s="248">
        <f t="shared" si="5"/>
        <v>0.51400909949598073</v>
      </c>
      <c r="Z94" s="7"/>
    </row>
    <row r="95" spans="1:26">
      <c r="A95" s="7"/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69">
        <f>Q88+1</f>
        <v>1987</v>
      </c>
      <c r="R95" s="69">
        <v>7</v>
      </c>
      <c r="S95" s="89" t="s">
        <v>1517</v>
      </c>
      <c r="T95" s="7" t="str">
        <f t="shared" si="0"/>
        <v>7_1987</v>
      </c>
      <c r="U95" s="247">
        <f t="shared" si="1"/>
        <v>113.6</v>
      </c>
      <c r="V95" s="248">
        <f t="shared" si="18"/>
        <v>0.65913576170282828</v>
      </c>
      <c r="W95" s="248">
        <f t="shared" si="3"/>
        <v>0.34086423829717172</v>
      </c>
      <c r="X95" s="248">
        <f t="shared" si="19"/>
        <v>0.48599090050401927</v>
      </c>
      <c r="Y95" s="248">
        <f t="shared" si="5"/>
        <v>0.51400909949598073</v>
      </c>
      <c r="Z95" s="7"/>
    </row>
    <row r="96" spans="1:26">
      <c r="A96" s="249">
        <v>1981</v>
      </c>
      <c r="B96" s="250">
        <v>87</v>
      </c>
      <c r="C96" s="250">
        <v>87.9</v>
      </c>
      <c r="D96" s="250">
        <v>88.5</v>
      </c>
      <c r="E96" s="250">
        <v>89.1</v>
      </c>
      <c r="F96" s="250">
        <v>89.8</v>
      </c>
      <c r="G96" s="250">
        <v>90.6</v>
      </c>
      <c r="H96" s="250">
        <v>91.6</v>
      </c>
      <c r="I96" s="250">
        <v>92.3</v>
      </c>
      <c r="J96" s="250">
        <v>93.2</v>
      </c>
      <c r="K96" s="250">
        <v>93.4</v>
      </c>
      <c r="L96" s="250">
        <v>93.7</v>
      </c>
      <c r="M96" s="250">
        <v>94</v>
      </c>
      <c r="N96" s="250">
        <v>90.9</v>
      </c>
      <c r="O96" s="251"/>
      <c r="P96" s="251"/>
      <c r="Q96" s="69">
        <f>Q88+1</f>
        <v>1987</v>
      </c>
      <c r="R96" s="69">
        <v>8</v>
      </c>
      <c r="S96" s="89" t="s">
        <v>1517</v>
      </c>
      <c r="T96" s="7" t="str">
        <f t="shared" si="0"/>
        <v>8_1987</v>
      </c>
      <c r="U96" s="247">
        <f t="shared" si="1"/>
        <v>113.6</v>
      </c>
      <c r="V96" s="248">
        <f t="shared" si="18"/>
        <v>0.65913576170282828</v>
      </c>
      <c r="W96" s="248">
        <f t="shared" si="3"/>
        <v>0.34086423829717172</v>
      </c>
      <c r="X96" s="248">
        <f t="shared" si="19"/>
        <v>0.48599090050401927</v>
      </c>
      <c r="Y96" s="248">
        <f t="shared" si="5"/>
        <v>0.51400909949598073</v>
      </c>
      <c r="Z96" s="7"/>
    </row>
    <row r="97" spans="1:26">
      <c r="A97" s="249">
        <v>1982</v>
      </c>
      <c r="B97" s="250">
        <v>94.3</v>
      </c>
      <c r="C97" s="250">
        <v>94.6</v>
      </c>
      <c r="D97" s="250">
        <v>94.5</v>
      </c>
      <c r="E97" s="250">
        <v>94.9</v>
      </c>
      <c r="F97" s="250">
        <v>95.8</v>
      </c>
      <c r="G97" s="250">
        <v>97</v>
      </c>
      <c r="H97" s="250">
        <v>97.5</v>
      </c>
      <c r="I97" s="250">
        <v>97.7</v>
      </c>
      <c r="J97" s="250">
        <v>97.9</v>
      </c>
      <c r="K97" s="250">
        <v>98.2</v>
      </c>
      <c r="L97" s="250">
        <v>98</v>
      </c>
      <c r="M97" s="250">
        <v>97.6</v>
      </c>
      <c r="N97" s="250">
        <v>96.5</v>
      </c>
      <c r="O97" s="251"/>
      <c r="P97" s="251"/>
      <c r="Q97" s="69">
        <f>Q88+1</f>
        <v>1987</v>
      </c>
      <c r="R97" s="69">
        <v>9</v>
      </c>
      <c r="S97" s="89" t="s">
        <v>1517</v>
      </c>
      <c r="T97" s="7" t="str">
        <f t="shared" si="0"/>
        <v>9_1987</v>
      </c>
      <c r="U97" s="247">
        <f t="shared" si="1"/>
        <v>113.6</v>
      </c>
      <c r="V97" s="248">
        <f t="shared" si="18"/>
        <v>0.65913576170282828</v>
      </c>
      <c r="W97" s="248">
        <f t="shared" si="3"/>
        <v>0.34086423829717172</v>
      </c>
      <c r="X97" s="248">
        <f t="shared" si="19"/>
        <v>0.48599090050401927</v>
      </c>
      <c r="Y97" s="248">
        <f t="shared" si="5"/>
        <v>0.51400909949598073</v>
      </c>
      <c r="Z97" s="7"/>
    </row>
    <row r="98" spans="1:26">
      <c r="A98" s="249">
        <v>1983</v>
      </c>
      <c r="B98" s="250">
        <v>97.8</v>
      </c>
      <c r="C98" s="250">
        <v>97.9</v>
      </c>
      <c r="D98" s="250">
        <v>97.9</v>
      </c>
      <c r="E98" s="250">
        <v>98.6</v>
      </c>
      <c r="F98" s="250">
        <v>99.2</v>
      </c>
      <c r="G98" s="250">
        <v>99.5</v>
      </c>
      <c r="H98" s="250">
        <v>99.9</v>
      </c>
      <c r="I98" s="250">
        <v>100.2</v>
      </c>
      <c r="J98" s="250">
        <v>100.7</v>
      </c>
      <c r="K98" s="250">
        <v>101</v>
      </c>
      <c r="L98" s="250">
        <v>101.2</v>
      </c>
      <c r="M98" s="250">
        <v>101.3</v>
      </c>
      <c r="N98" s="250">
        <v>99.6</v>
      </c>
      <c r="O98" s="251"/>
      <c r="P98" s="251"/>
      <c r="Q98" s="69">
        <f>Q88+1</f>
        <v>1987</v>
      </c>
      <c r="R98" s="69">
        <v>10</v>
      </c>
      <c r="S98" s="89" t="s">
        <v>1517</v>
      </c>
      <c r="T98" s="7" t="str">
        <f t="shared" si="0"/>
        <v>10_1987</v>
      </c>
      <c r="U98" s="247">
        <f t="shared" si="1"/>
        <v>113.6</v>
      </c>
      <c r="V98" s="248">
        <f t="shared" si="18"/>
        <v>0.65913576170282828</v>
      </c>
      <c r="W98" s="248">
        <f t="shared" si="3"/>
        <v>0.34086423829717172</v>
      </c>
      <c r="X98" s="248">
        <f t="shared" si="19"/>
        <v>0.48599090050401927</v>
      </c>
      <c r="Y98" s="248">
        <f t="shared" si="5"/>
        <v>0.51400909949598073</v>
      </c>
      <c r="Z98" s="7"/>
    </row>
    <row r="99" spans="1:26">
      <c r="A99" s="249">
        <v>1984</v>
      </c>
      <c r="B99" s="250">
        <v>101.9</v>
      </c>
      <c r="C99" s="250">
        <v>102.4</v>
      </c>
      <c r="D99" s="250">
        <v>102.6</v>
      </c>
      <c r="E99" s="250">
        <v>103.1</v>
      </c>
      <c r="F99" s="250">
        <v>103.4</v>
      </c>
      <c r="G99" s="250">
        <v>103.7</v>
      </c>
      <c r="H99" s="250">
        <v>104.1</v>
      </c>
      <c r="I99" s="250">
        <v>104.5</v>
      </c>
      <c r="J99" s="250">
        <v>105</v>
      </c>
      <c r="K99" s="250">
        <v>105.3</v>
      </c>
      <c r="L99" s="250">
        <v>105.3</v>
      </c>
      <c r="M99" s="250">
        <v>105.3</v>
      </c>
      <c r="N99" s="250">
        <v>103.9</v>
      </c>
      <c r="O99" s="251"/>
      <c r="P99" s="251"/>
      <c r="Q99" s="69">
        <f>Q88+1</f>
        <v>1987</v>
      </c>
      <c r="R99" s="69">
        <v>11</v>
      </c>
      <c r="S99" s="89" t="s">
        <v>1517</v>
      </c>
      <c r="T99" s="7" t="str">
        <f t="shared" si="0"/>
        <v>11_1987</v>
      </c>
      <c r="U99" s="247">
        <f t="shared" si="1"/>
        <v>113.6</v>
      </c>
      <c r="V99" s="248">
        <f t="shared" si="18"/>
        <v>0.65913576170282828</v>
      </c>
      <c r="W99" s="248">
        <f t="shared" si="3"/>
        <v>0.34086423829717172</v>
      </c>
      <c r="X99" s="248">
        <f t="shared" si="19"/>
        <v>0.48599090050401927</v>
      </c>
      <c r="Y99" s="248">
        <f t="shared" si="5"/>
        <v>0.51400909949598073</v>
      </c>
      <c r="Z99" s="7"/>
    </row>
    <row r="100" spans="1:26">
      <c r="A100" s="249">
        <v>1985</v>
      </c>
      <c r="B100" s="250">
        <v>105.5</v>
      </c>
      <c r="C100" s="250">
        <v>106</v>
      </c>
      <c r="D100" s="250">
        <v>106.4</v>
      </c>
      <c r="E100" s="250">
        <v>106.9</v>
      </c>
      <c r="F100" s="250">
        <v>107.3</v>
      </c>
      <c r="G100" s="250">
        <v>107.6</v>
      </c>
      <c r="H100" s="250">
        <v>107.8</v>
      </c>
      <c r="I100" s="250">
        <v>108</v>
      </c>
      <c r="J100" s="250">
        <v>108.3</v>
      </c>
      <c r="K100" s="250">
        <v>108.7</v>
      </c>
      <c r="L100" s="250">
        <v>109</v>
      </c>
      <c r="M100" s="250">
        <v>109.3</v>
      </c>
      <c r="N100" s="250">
        <v>107.6</v>
      </c>
      <c r="O100" s="251"/>
      <c r="P100" s="251"/>
      <c r="Q100" s="69">
        <f>Q88+1</f>
        <v>1987</v>
      </c>
      <c r="R100" s="69">
        <v>12</v>
      </c>
      <c r="S100" s="89" t="s">
        <v>1517</v>
      </c>
      <c r="T100" s="7" t="str">
        <f t="shared" si="0"/>
        <v>12_1987</v>
      </c>
      <c r="U100" s="247">
        <f t="shared" si="1"/>
        <v>113.6</v>
      </c>
      <c r="V100" s="248">
        <f>+(V112*U100/U112)/(V112*U100/U112+W112*AVERAGE(U100,'PPI USA'!T106)/AVERAGE(U112,'PPI USA'!T118))</f>
        <v>0.65913576170282828</v>
      </c>
      <c r="W100" s="248">
        <f t="shared" si="3"/>
        <v>0.34086423829717172</v>
      </c>
      <c r="X100" s="248">
        <f>+(X112*$U100/$U112)/(X112*$U100/$U112+Y112*AVERAGE($U100,'PPI USA'!$T106)/AVERAGE($U112,'PPI USA'!$T118))</f>
        <v>0.48599090050401927</v>
      </c>
      <c r="Y100" s="248">
        <f t="shared" si="5"/>
        <v>0.51400909949598073</v>
      </c>
      <c r="Z100" s="7"/>
    </row>
    <row r="101" spans="1:26">
      <c r="A101" s="7"/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69">
        <f>Q100+1</f>
        <v>1988</v>
      </c>
      <c r="R101" s="69">
        <v>1</v>
      </c>
      <c r="S101" s="89" t="s">
        <v>1517</v>
      </c>
      <c r="T101" s="7" t="str">
        <f t="shared" si="0"/>
        <v>1_1988</v>
      </c>
      <c r="U101" s="247">
        <f t="shared" si="1"/>
        <v>118.3</v>
      </c>
      <c r="V101" s="248">
        <f t="shared" ref="V101:V111" si="20">+V102</f>
        <v>0.66257446106128126</v>
      </c>
      <c r="W101" s="248">
        <f t="shared" si="3"/>
        <v>0.33742553893871874</v>
      </c>
      <c r="X101" s="248">
        <f t="shared" ref="X101:X111" si="21">+X102</f>
        <v>0.48982434562428812</v>
      </c>
      <c r="Y101" s="248">
        <f t="shared" si="5"/>
        <v>0.51017565437571188</v>
      </c>
      <c r="Z101" s="7"/>
    </row>
    <row r="102" spans="1:26">
      <c r="A102" s="249">
        <v>1986</v>
      </c>
      <c r="B102" s="250">
        <v>109.6</v>
      </c>
      <c r="C102" s="250">
        <v>109.3</v>
      </c>
      <c r="D102" s="250">
        <v>108.8</v>
      </c>
      <c r="E102" s="250">
        <v>108.6</v>
      </c>
      <c r="F102" s="250">
        <v>108.9</v>
      </c>
      <c r="G102" s="250">
        <v>109.5</v>
      </c>
      <c r="H102" s="250">
        <v>109.5</v>
      </c>
      <c r="I102" s="250">
        <v>109.7</v>
      </c>
      <c r="J102" s="250">
        <v>110.2</v>
      </c>
      <c r="K102" s="250">
        <v>110.3</v>
      </c>
      <c r="L102" s="250">
        <v>110.4</v>
      </c>
      <c r="M102" s="250">
        <v>110.5</v>
      </c>
      <c r="N102" s="250">
        <v>109.6</v>
      </c>
      <c r="O102" s="251"/>
      <c r="P102" s="251"/>
      <c r="Q102" s="69">
        <f>Q100+1</f>
        <v>1988</v>
      </c>
      <c r="R102" s="69">
        <v>2</v>
      </c>
      <c r="S102" s="89" t="s">
        <v>1517</v>
      </c>
      <c r="T102" s="7" t="str">
        <f t="shared" si="0"/>
        <v>2_1988</v>
      </c>
      <c r="U102" s="247">
        <f t="shared" si="1"/>
        <v>118.3</v>
      </c>
      <c r="V102" s="248">
        <f t="shared" si="20"/>
        <v>0.66257446106128126</v>
      </c>
      <c r="W102" s="248">
        <f t="shared" si="3"/>
        <v>0.33742553893871874</v>
      </c>
      <c r="X102" s="248">
        <f t="shared" si="21"/>
        <v>0.48982434562428812</v>
      </c>
      <c r="Y102" s="248">
        <f t="shared" si="5"/>
        <v>0.51017565437571188</v>
      </c>
      <c r="Z102" s="7"/>
    </row>
    <row r="103" spans="1:26">
      <c r="A103" s="249">
        <v>1987</v>
      </c>
      <c r="B103" s="250">
        <v>111.2</v>
      </c>
      <c r="C103" s="250">
        <v>111.6</v>
      </c>
      <c r="D103" s="250">
        <v>112.1</v>
      </c>
      <c r="E103" s="250">
        <v>112.7</v>
      </c>
      <c r="F103" s="250">
        <v>113.1</v>
      </c>
      <c r="G103" s="250">
        <v>113.5</v>
      </c>
      <c r="H103" s="250">
        <v>113.8</v>
      </c>
      <c r="I103" s="250">
        <v>114.4</v>
      </c>
      <c r="J103" s="250">
        <v>115</v>
      </c>
      <c r="K103" s="250">
        <v>115.3</v>
      </c>
      <c r="L103" s="250">
        <v>115.4</v>
      </c>
      <c r="M103" s="250">
        <v>115.4</v>
      </c>
      <c r="N103" s="250">
        <v>113.6</v>
      </c>
      <c r="O103" s="251"/>
      <c r="P103" s="251"/>
      <c r="Q103" s="69">
        <f>Q100+1</f>
        <v>1988</v>
      </c>
      <c r="R103" s="69">
        <v>3</v>
      </c>
      <c r="S103" s="89" t="s">
        <v>1517</v>
      </c>
      <c r="T103" s="7" t="str">
        <f t="shared" si="0"/>
        <v>3_1988</v>
      </c>
      <c r="U103" s="247">
        <f t="shared" si="1"/>
        <v>118.3</v>
      </c>
      <c r="V103" s="248">
        <f t="shared" si="20"/>
        <v>0.66257446106128126</v>
      </c>
      <c r="W103" s="248">
        <f t="shared" si="3"/>
        <v>0.33742553893871874</v>
      </c>
      <c r="X103" s="248">
        <f t="shared" si="21"/>
        <v>0.48982434562428812</v>
      </c>
      <c r="Y103" s="248">
        <f t="shared" si="5"/>
        <v>0.51017565437571188</v>
      </c>
      <c r="Z103" s="7"/>
    </row>
    <row r="104" spans="1:26">
      <c r="A104" s="249">
        <v>1988</v>
      </c>
      <c r="B104" s="250">
        <v>115.7</v>
      </c>
      <c r="C104" s="250">
        <v>116</v>
      </c>
      <c r="D104" s="250">
        <v>116.5</v>
      </c>
      <c r="E104" s="250">
        <v>117.1</v>
      </c>
      <c r="F104" s="250">
        <v>117.5</v>
      </c>
      <c r="G104" s="250">
        <v>118</v>
      </c>
      <c r="H104" s="250">
        <v>118.5</v>
      </c>
      <c r="I104" s="250">
        <v>119</v>
      </c>
      <c r="J104" s="250">
        <v>119.8</v>
      </c>
      <c r="K104" s="250">
        <v>120.2</v>
      </c>
      <c r="L104" s="250">
        <v>120.3</v>
      </c>
      <c r="M104" s="250">
        <v>120.5</v>
      </c>
      <c r="N104" s="250">
        <v>118.3</v>
      </c>
      <c r="O104" s="251"/>
      <c r="P104" s="251"/>
      <c r="Q104" s="69">
        <f>Q100+1</f>
        <v>1988</v>
      </c>
      <c r="R104" s="69">
        <v>4</v>
      </c>
      <c r="S104" s="89" t="s">
        <v>1517</v>
      </c>
      <c r="T104" s="7" t="str">
        <f t="shared" si="0"/>
        <v>4_1988</v>
      </c>
      <c r="U104" s="247">
        <f t="shared" si="1"/>
        <v>118.3</v>
      </c>
      <c r="V104" s="248">
        <f t="shared" si="20"/>
        <v>0.66257446106128126</v>
      </c>
      <c r="W104" s="248">
        <f t="shared" si="3"/>
        <v>0.33742553893871874</v>
      </c>
      <c r="X104" s="248">
        <f t="shared" si="21"/>
        <v>0.48982434562428812</v>
      </c>
      <c r="Y104" s="248">
        <f t="shared" si="5"/>
        <v>0.51017565437571188</v>
      </c>
      <c r="Z104" s="7"/>
    </row>
    <row r="105" spans="1:26">
      <c r="A105" s="249">
        <v>1989</v>
      </c>
      <c r="B105" s="250">
        <v>121.1</v>
      </c>
      <c r="C105" s="250">
        <v>121.6</v>
      </c>
      <c r="D105" s="250">
        <v>122.3</v>
      </c>
      <c r="E105" s="250">
        <v>123.1</v>
      </c>
      <c r="F105" s="250">
        <v>123.8</v>
      </c>
      <c r="G105" s="250">
        <v>124.1</v>
      </c>
      <c r="H105" s="250">
        <v>124.4</v>
      </c>
      <c r="I105" s="250">
        <v>124.6</v>
      </c>
      <c r="J105" s="250">
        <v>125</v>
      </c>
      <c r="K105" s="250">
        <v>125.6</v>
      </c>
      <c r="L105" s="250">
        <v>125.9</v>
      </c>
      <c r="M105" s="250">
        <v>126.1</v>
      </c>
      <c r="N105" s="250">
        <v>124</v>
      </c>
      <c r="O105" s="251"/>
      <c r="P105" s="251"/>
      <c r="Q105" s="69">
        <f>Q100+1</f>
        <v>1988</v>
      </c>
      <c r="R105" s="69">
        <v>5</v>
      </c>
      <c r="S105" s="89" t="s">
        <v>1517</v>
      </c>
      <c r="T105" s="7" t="str">
        <f t="shared" si="0"/>
        <v>5_1988</v>
      </c>
      <c r="U105" s="247">
        <f t="shared" si="1"/>
        <v>118.3</v>
      </c>
      <c r="V105" s="248">
        <f t="shared" si="20"/>
        <v>0.66257446106128126</v>
      </c>
      <c r="W105" s="248">
        <f t="shared" si="3"/>
        <v>0.33742553893871874</v>
      </c>
      <c r="X105" s="248">
        <f t="shared" si="21"/>
        <v>0.48982434562428812</v>
      </c>
      <c r="Y105" s="248">
        <f t="shared" si="5"/>
        <v>0.51017565437571188</v>
      </c>
      <c r="Z105" s="7"/>
    </row>
    <row r="106" spans="1:26">
      <c r="A106" s="249">
        <v>1990</v>
      </c>
      <c r="B106" s="250">
        <v>127.4</v>
      </c>
      <c r="C106" s="250">
        <v>128</v>
      </c>
      <c r="D106" s="250">
        <v>128.69999999999999</v>
      </c>
      <c r="E106" s="250">
        <v>128.9</v>
      </c>
      <c r="F106" s="250">
        <v>129.19999999999999</v>
      </c>
      <c r="G106" s="250">
        <v>129.9</v>
      </c>
      <c r="H106" s="250">
        <v>130.4</v>
      </c>
      <c r="I106" s="250">
        <v>131.6</v>
      </c>
      <c r="J106" s="250">
        <v>132.69999999999999</v>
      </c>
      <c r="K106" s="250">
        <v>133.5</v>
      </c>
      <c r="L106" s="250">
        <v>133.80000000000001</v>
      </c>
      <c r="M106" s="250">
        <v>133.80000000000001</v>
      </c>
      <c r="N106" s="250">
        <v>130.69999999999999</v>
      </c>
      <c r="O106" s="251"/>
      <c r="P106" s="251"/>
      <c r="Q106" s="69">
        <f>Q100+1</f>
        <v>1988</v>
      </c>
      <c r="R106" s="69">
        <v>6</v>
      </c>
      <c r="S106" s="89" t="s">
        <v>1517</v>
      </c>
      <c r="T106" s="7" t="str">
        <f t="shared" si="0"/>
        <v>6_1988</v>
      </c>
      <c r="U106" s="247">
        <f t="shared" si="1"/>
        <v>118.3</v>
      </c>
      <c r="V106" s="248">
        <f t="shared" si="20"/>
        <v>0.66257446106128126</v>
      </c>
      <c r="W106" s="248">
        <f t="shared" si="3"/>
        <v>0.33742553893871874</v>
      </c>
      <c r="X106" s="248">
        <f t="shared" si="21"/>
        <v>0.48982434562428812</v>
      </c>
      <c r="Y106" s="248">
        <f t="shared" si="5"/>
        <v>0.51017565437571188</v>
      </c>
      <c r="Z106" s="7"/>
    </row>
    <row r="107" spans="1:26">
      <c r="A107" s="7"/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69">
        <f>Q100+1</f>
        <v>1988</v>
      </c>
      <c r="R107" s="69">
        <v>7</v>
      </c>
      <c r="S107" s="89" t="s">
        <v>1517</v>
      </c>
      <c r="T107" s="7" t="str">
        <f t="shared" si="0"/>
        <v>7_1988</v>
      </c>
      <c r="U107" s="247">
        <f t="shared" si="1"/>
        <v>118.3</v>
      </c>
      <c r="V107" s="248">
        <f t="shared" si="20"/>
        <v>0.66257446106128126</v>
      </c>
      <c r="W107" s="248">
        <f t="shared" si="3"/>
        <v>0.33742553893871874</v>
      </c>
      <c r="X107" s="248">
        <f t="shared" si="21"/>
        <v>0.48982434562428812</v>
      </c>
      <c r="Y107" s="248">
        <f t="shared" si="5"/>
        <v>0.51017565437571188</v>
      </c>
      <c r="Z107" s="7"/>
    </row>
    <row r="108" spans="1:26">
      <c r="A108" s="249">
        <v>1991</v>
      </c>
      <c r="B108" s="250">
        <v>134.6</v>
      </c>
      <c r="C108" s="250">
        <v>134.80000000000001</v>
      </c>
      <c r="D108" s="250">
        <v>135</v>
      </c>
      <c r="E108" s="250">
        <v>135.19999999999999</v>
      </c>
      <c r="F108" s="250">
        <v>135.6</v>
      </c>
      <c r="G108" s="250">
        <v>136</v>
      </c>
      <c r="H108" s="250">
        <v>136.19999999999999</v>
      </c>
      <c r="I108" s="250">
        <v>136.6</v>
      </c>
      <c r="J108" s="250">
        <v>137.19999999999999</v>
      </c>
      <c r="K108" s="250">
        <v>137.4</v>
      </c>
      <c r="L108" s="250">
        <v>137.80000000000001</v>
      </c>
      <c r="M108" s="250">
        <v>137.9</v>
      </c>
      <c r="N108" s="250">
        <v>136.19999999999999</v>
      </c>
      <c r="O108" s="251"/>
      <c r="P108" s="251"/>
      <c r="Q108" s="69">
        <f>Q100+1</f>
        <v>1988</v>
      </c>
      <c r="R108" s="69">
        <v>8</v>
      </c>
      <c r="S108" s="89" t="s">
        <v>1517</v>
      </c>
      <c r="T108" s="7" t="str">
        <f t="shared" si="0"/>
        <v>8_1988</v>
      </c>
      <c r="U108" s="247">
        <f t="shared" si="1"/>
        <v>118.3</v>
      </c>
      <c r="V108" s="248">
        <f t="shared" si="20"/>
        <v>0.66257446106128126</v>
      </c>
      <c r="W108" s="248">
        <f t="shared" si="3"/>
        <v>0.33742553893871874</v>
      </c>
      <c r="X108" s="248">
        <f t="shared" si="21"/>
        <v>0.48982434562428812</v>
      </c>
      <c r="Y108" s="248">
        <f t="shared" si="5"/>
        <v>0.51017565437571188</v>
      </c>
      <c r="Z108" s="7"/>
    </row>
    <row r="109" spans="1:26">
      <c r="A109" s="249">
        <v>1992</v>
      </c>
      <c r="B109" s="250">
        <v>138.1</v>
      </c>
      <c r="C109" s="250">
        <v>138.6</v>
      </c>
      <c r="D109" s="250">
        <v>139.30000000000001</v>
      </c>
      <c r="E109" s="250">
        <v>139.5</v>
      </c>
      <c r="F109" s="250">
        <v>139.69999999999999</v>
      </c>
      <c r="G109" s="250">
        <v>140.19999999999999</v>
      </c>
      <c r="H109" s="250">
        <v>140.5</v>
      </c>
      <c r="I109" s="250">
        <v>140.9</v>
      </c>
      <c r="J109" s="250">
        <v>141.30000000000001</v>
      </c>
      <c r="K109" s="250">
        <v>141.80000000000001</v>
      </c>
      <c r="L109" s="250">
        <v>142</v>
      </c>
      <c r="M109" s="250">
        <v>141.9</v>
      </c>
      <c r="N109" s="250">
        <v>140.30000000000001</v>
      </c>
      <c r="O109" s="251"/>
      <c r="P109" s="251"/>
      <c r="Q109" s="69">
        <f>Q100+1</f>
        <v>1988</v>
      </c>
      <c r="R109" s="69">
        <v>9</v>
      </c>
      <c r="S109" s="89" t="s">
        <v>1517</v>
      </c>
      <c r="T109" s="7" t="str">
        <f t="shared" si="0"/>
        <v>9_1988</v>
      </c>
      <c r="U109" s="247">
        <f t="shared" si="1"/>
        <v>118.3</v>
      </c>
      <c r="V109" s="248">
        <f t="shared" si="20"/>
        <v>0.66257446106128126</v>
      </c>
      <c r="W109" s="248">
        <f t="shared" si="3"/>
        <v>0.33742553893871874</v>
      </c>
      <c r="X109" s="248">
        <f t="shared" si="21"/>
        <v>0.48982434562428812</v>
      </c>
      <c r="Y109" s="248">
        <f t="shared" si="5"/>
        <v>0.51017565437571188</v>
      </c>
      <c r="Z109" s="7"/>
    </row>
    <row r="110" spans="1:26">
      <c r="A110" s="249">
        <v>1993</v>
      </c>
      <c r="B110" s="250">
        <v>142.6</v>
      </c>
      <c r="C110" s="250">
        <v>143.1</v>
      </c>
      <c r="D110" s="250">
        <v>143.6</v>
      </c>
      <c r="E110" s="250">
        <v>144</v>
      </c>
      <c r="F110" s="250">
        <v>144.19999999999999</v>
      </c>
      <c r="G110" s="250">
        <v>144.4</v>
      </c>
      <c r="H110" s="250">
        <v>144.4</v>
      </c>
      <c r="I110" s="250">
        <v>144.80000000000001</v>
      </c>
      <c r="J110" s="250">
        <v>145.1</v>
      </c>
      <c r="K110" s="250">
        <v>145.69999999999999</v>
      </c>
      <c r="L110" s="250">
        <v>145.80000000000001</v>
      </c>
      <c r="M110" s="250">
        <v>145.80000000000001</v>
      </c>
      <c r="N110" s="250">
        <v>144.5</v>
      </c>
      <c r="O110" s="251"/>
      <c r="P110" s="251"/>
      <c r="Q110" s="69">
        <f>Q100+1</f>
        <v>1988</v>
      </c>
      <c r="R110" s="69">
        <v>10</v>
      </c>
      <c r="S110" s="89" t="s">
        <v>1517</v>
      </c>
      <c r="T110" s="7" t="str">
        <f t="shared" si="0"/>
        <v>10_1988</v>
      </c>
      <c r="U110" s="247">
        <f t="shared" si="1"/>
        <v>118.3</v>
      </c>
      <c r="V110" s="248">
        <f t="shared" si="20"/>
        <v>0.66257446106128126</v>
      </c>
      <c r="W110" s="248">
        <f t="shared" si="3"/>
        <v>0.33742553893871874</v>
      </c>
      <c r="X110" s="248">
        <f t="shared" si="21"/>
        <v>0.48982434562428812</v>
      </c>
      <c r="Y110" s="248">
        <f t="shared" si="5"/>
        <v>0.51017565437571188</v>
      </c>
      <c r="Z110" s="7"/>
    </row>
    <row r="111" spans="1:26">
      <c r="A111" s="249">
        <v>1994</v>
      </c>
      <c r="B111" s="250">
        <v>146.19999999999999</v>
      </c>
      <c r="C111" s="250">
        <v>146.69999999999999</v>
      </c>
      <c r="D111" s="250">
        <v>147.19999999999999</v>
      </c>
      <c r="E111" s="250">
        <v>147.4</v>
      </c>
      <c r="F111" s="250">
        <v>147.5</v>
      </c>
      <c r="G111" s="250">
        <v>148</v>
      </c>
      <c r="H111" s="250">
        <v>148.4</v>
      </c>
      <c r="I111" s="250">
        <v>149</v>
      </c>
      <c r="J111" s="250">
        <v>149.4</v>
      </c>
      <c r="K111" s="250">
        <v>149.5</v>
      </c>
      <c r="L111" s="250">
        <v>149.69999999999999</v>
      </c>
      <c r="M111" s="250">
        <v>149.69999999999999</v>
      </c>
      <c r="N111" s="250">
        <v>148.19999999999999</v>
      </c>
      <c r="O111" s="251"/>
      <c r="P111" s="251"/>
      <c r="Q111" s="69">
        <f>Q100+1</f>
        <v>1988</v>
      </c>
      <c r="R111" s="69">
        <v>11</v>
      </c>
      <c r="S111" s="89" t="s">
        <v>1517</v>
      </c>
      <c r="T111" s="7" t="str">
        <f t="shared" si="0"/>
        <v>11_1988</v>
      </c>
      <c r="U111" s="247">
        <f t="shared" si="1"/>
        <v>118.3</v>
      </c>
      <c r="V111" s="248">
        <f t="shared" si="20"/>
        <v>0.66257446106128126</v>
      </c>
      <c r="W111" s="248">
        <f t="shared" si="3"/>
        <v>0.33742553893871874</v>
      </c>
      <c r="X111" s="248">
        <f t="shared" si="21"/>
        <v>0.48982434562428812</v>
      </c>
      <c r="Y111" s="248">
        <f t="shared" si="5"/>
        <v>0.51017565437571188</v>
      </c>
      <c r="Z111" s="7"/>
    </row>
    <row r="112" spans="1:26">
      <c r="A112" s="249">
        <v>1995</v>
      </c>
      <c r="B112" s="250">
        <v>150.30000000000001</v>
      </c>
      <c r="C112" s="250">
        <v>150.9</v>
      </c>
      <c r="D112" s="250">
        <v>151.4</v>
      </c>
      <c r="E112" s="250">
        <v>151.9</v>
      </c>
      <c r="F112" s="250">
        <v>152.19999999999999</v>
      </c>
      <c r="G112" s="250">
        <v>152.5</v>
      </c>
      <c r="H112" s="250">
        <v>152.5</v>
      </c>
      <c r="I112" s="250">
        <v>152.9</v>
      </c>
      <c r="J112" s="250">
        <v>153.19999999999999</v>
      </c>
      <c r="K112" s="250">
        <v>153.69999999999999</v>
      </c>
      <c r="L112" s="250">
        <v>153.6</v>
      </c>
      <c r="M112" s="250">
        <v>153.5</v>
      </c>
      <c r="N112" s="250">
        <v>152.4</v>
      </c>
      <c r="O112" s="251"/>
      <c r="P112" s="251"/>
      <c r="Q112" s="69">
        <f>Q100+1</f>
        <v>1988</v>
      </c>
      <c r="R112" s="69">
        <v>12</v>
      </c>
      <c r="S112" s="89" t="s">
        <v>1517</v>
      </c>
      <c r="T112" s="7" t="str">
        <f t="shared" si="0"/>
        <v>12_1988</v>
      </c>
      <c r="U112" s="247">
        <f t="shared" si="1"/>
        <v>118.3</v>
      </c>
      <c r="V112" s="248">
        <f>+(V124*U112/U124)/(V124*U112/U124+W124*AVERAGE(U112,'PPI USA'!T118)/AVERAGE(U124,'PPI USA'!T130))</f>
        <v>0.66257446106128126</v>
      </c>
      <c r="W112" s="248">
        <f t="shared" si="3"/>
        <v>0.33742553893871874</v>
      </c>
      <c r="X112" s="248">
        <f>+(X124*$U112/$U124)/(X124*$U112/$U124+Y124*AVERAGE($U112,'PPI USA'!$T118)/AVERAGE($U124,'PPI USA'!$T130))</f>
        <v>0.48982434562428812</v>
      </c>
      <c r="Y112" s="248">
        <f t="shared" si="5"/>
        <v>0.51017565437571188</v>
      </c>
      <c r="Z112" s="7"/>
    </row>
    <row r="113" spans="1:26">
      <c r="A113" s="7"/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69">
        <f>Q112+1</f>
        <v>1989</v>
      </c>
      <c r="R113" s="69">
        <v>1</v>
      </c>
      <c r="S113" s="89" t="s">
        <v>1517</v>
      </c>
      <c r="T113" s="7" t="str">
        <f t="shared" si="0"/>
        <v>1_1989</v>
      </c>
      <c r="U113" s="247">
        <f t="shared" si="1"/>
        <v>124</v>
      </c>
      <c r="V113" s="248">
        <f t="shared" ref="V113:V123" si="22">+V114</f>
        <v>0.66414320411978267</v>
      </c>
      <c r="W113" s="248">
        <f t="shared" si="3"/>
        <v>0.33585679588021733</v>
      </c>
      <c r="X113" s="248">
        <f t="shared" ref="X113:X123" si="23">+X114</f>
        <v>0.49157994744616534</v>
      </c>
      <c r="Y113" s="248">
        <f t="shared" si="5"/>
        <v>0.50842005255383471</v>
      </c>
      <c r="Z113" s="7"/>
    </row>
    <row r="114" spans="1:26">
      <c r="A114" s="249">
        <v>1996</v>
      </c>
      <c r="B114" s="250">
        <v>154.4</v>
      </c>
      <c r="C114" s="250">
        <v>154.9</v>
      </c>
      <c r="D114" s="250">
        <v>155.69999999999999</v>
      </c>
      <c r="E114" s="250">
        <v>156.30000000000001</v>
      </c>
      <c r="F114" s="250">
        <v>156.6</v>
      </c>
      <c r="G114" s="250">
        <v>156.69999999999999</v>
      </c>
      <c r="H114" s="250">
        <v>157</v>
      </c>
      <c r="I114" s="250">
        <v>157.30000000000001</v>
      </c>
      <c r="J114" s="250">
        <v>157.80000000000001</v>
      </c>
      <c r="K114" s="250">
        <v>158.30000000000001</v>
      </c>
      <c r="L114" s="250">
        <v>158.6</v>
      </c>
      <c r="M114" s="250">
        <v>158.6</v>
      </c>
      <c r="N114" s="250">
        <v>156.9</v>
      </c>
      <c r="O114" s="251"/>
      <c r="P114" s="251"/>
      <c r="Q114" s="69">
        <f>Q112+1</f>
        <v>1989</v>
      </c>
      <c r="R114" s="69">
        <v>2</v>
      </c>
      <c r="S114" s="89" t="s">
        <v>1517</v>
      </c>
      <c r="T114" s="7" t="str">
        <f t="shared" si="0"/>
        <v>2_1989</v>
      </c>
      <c r="U114" s="247">
        <f t="shared" si="1"/>
        <v>124</v>
      </c>
      <c r="V114" s="248">
        <f t="shared" si="22"/>
        <v>0.66414320411978267</v>
      </c>
      <c r="W114" s="248">
        <f t="shared" si="3"/>
        <v>0.33585679588021733</v>
      </c>
      <c r="X114" s="248">
        <f t="shared" si="23"/>
        <v>0.49157994744616534</v>
      </c>
      <c r="Y114" s="248">
        <f t="shared" si="5"/>
        <v>0.50842005255383471</v>
      </c>
      <c r="Z114" s="7"/>
    </row>
    <row r="115" spans="1:26">
      <c r="A115" s="249">
        <v>1997</v>
      </c>
      <c r="B115" s="250">
        <v>159.1</v>
      </c>
      <c r="C115" s="250">
        <v>159.6</v>
      </c>
      <c r="D115" s="250">
        <v>160</v>
      </c>
      <c r="E115" s="250">
        <v>160.19999999999999</v>
      </c>
      <c r="F115" s="250">
        <v>160.1</v>
      </c>
      <c r="G115" s="250">
        <v>160.30000000000001</v>
      </c>
      <c r="H115" s="250">
        <v>160.5</v>
      </c>
      <c r="I115" s="250">
        <v>160.80000000000001</v>
      </c>
      <c r="J115" s="250">
        <v>161.19999999999999</v>
      </c>
      <c r="K115" s="250">
        <v>161.6</v>
      </c>
      <c r="L115" s="250">
        <v>161.5</v>
      </c>
      <c r="M115" s="250">
        <v>161.30000000000001</v>
      </c>
      <c r="N115" s="250">
        <v>160.5</v>
      </c>
      <c r="O115" s="251"/>
      <c r="P115" s="251"/>
      <c r="Q115" s="69">
        <f>Q112+1</f>
        <v>1989</v>
      </c>
      <c r="R115" s="69">
        <v>3</v>
      </c>
      <c r="S115" s="89" t="s">
        <v>1517</v>
      </c>
      <c r="T115" s="7" t="str">
        <f t="shared" si="0"/>
        <v>3_1989</v>
      </c>
      <c r="U115" s="247">
        <f t="shared" si="1"/>
        <v>124</v>
      </c>
      <c r="V115" s="248">
        <f t="shared" si="22"/>
        <v>0.66414320411978267</v>
      </c>
      <c r="W115" s="248">
        <f t="shared" si="3"/>
        <v>0.33585679588021733</v>
      </c>
      <c r="X115" s="248">
        <f t="shared" si="23"/>
        <v>0.49157994744616534</v>
      </c>
      <c r="Y115" s="248">
        <f t="shared" si="5"/>
        <v>0.50842005255383471</v>
      </c>
      <c r="Z115" s="7"/>
    </row>
    <row r="116" spans="1:26">
      <c r="A116" s="249">
        <v>1998</v>
      </c>
      <c r="B116" s="250">
        <v>161.6</v>
      </c>
      <c r="C116" s="250">
        <v>161.9</v>
      </c>
      <c r="D116" s="250">
        <v>162.19999999999999</v>
      </c>
      <c r="E116" s="250">
        <v>162.5</v>
      </c>
      <c r="F116" s="250">
        <v>162.80000000000001</v>
      </c>
      <c r="G116" s="250">
        <v>163</v>
      </c>
      <c r="H116" s="250">
        <v>163.19999999999999</v>
      </c>
      <c r="I116" s="250">
        <v>163.4</v>
      </c>
      <c r="J116" s="250">
        <v>163.6</v>
      </c>
      <c r="K116" s="250">
        <v>164</v>
      </c>
      <c r="L116" s="250">
        <v>164</v>
      </c>
      <c r="M116" s="250">
        <v>163.9</v>
      </c>
      <c r="N116" s="250">
        <v>163</v>
      </c>
      <c r="O116" s="251"/>
      <c r="P116" s="251"/>
      <c r="Q116" s="69">
        <f>Q112+1</f>
        <v>1989</v>
      </c>
      <c r="R116" s="69">
        <v>4</v>
      </c>
      <c r="S116" s="89" t="s">
        <v>1517</v>
      </c>
      <c r="T116" s="7" t="str">
        <f t="shared" si="0"/>
        <v>4_1989</v>
      </c>
      <c r="U116" s="247">
        <f t="shared" si="1"/>
        <v>124</v>
      </c>
      <c r="V116" s="248">
        <f t="shared" si="22"/>
        <v>0.66414320411978267</v>
      </c>
      <c r="W116" s="248">
        <f t="shared" si="3"/>
        <v>0.33585679588021733</v>
      </c>
      <c r="X116" s="248">
        <f t="shared" si="23"/>
        <v>0.49157994744616534</v>
      </c>
      <c r="Y116" s="248">
        <f t="shared" si="5"/>
        <v>0.50842005255383471</v>
      </c>
      <c r="Z116" s="7"/>
    </row>
    <row r="117" spans="1:26">
      <c r="A117" s="249">
        <v>1999</v>
      </c>
      <c r="B117" s="250">
        <v>164.3</v>
      </c>
      <c r="C117" s="250">
        <v>164.5</v>
      </c>
      <c r="D117" s="250">
        <v>165</v>
      </c>
      <c r="E117" s="250">
        <v>166.2</v>
      </c>
      <c r="F117" s="250">
        <v>166.2</v>
      </c>
      <c r="G117" s="250">
        <v>166.2</v>
      </c>
      <c r="H117" s="250">
        <v>166.7</v>
      </c>
      <c r="I117" s="250">
        <v>167.1</v>
      </c>
      <c r="J117" s="250">
        <v>167.9</v>
      </c>
      <c r="K117" s="250">
        <v>168.2</v>
      </c>
      <c r="L117" s="250">
        <v>168.3</v>
      </c>
      <c r="M117" s="250">
        <v>168.3</v>
      </c>
      <c r="N117" s="250">
        <v>166.6</v>
      </c>
      <c r="O117" s="251"/>
      <c r="P117" s="251"/>
      <c r="Q117" s="69">
        <f>Q112+1</f>
        <v>1989</v>
      </c>
      <c r="R117" s="69">
        <v>5</v>
      </c>
      <c r="S117" s="89" t="s">
        <v>1517</v>
      </c>
      <c r="T117" s="7" t="str">
        <f t="shared" si="0"/>
        <v>5_1989</v>
      </c>
      <c r="U117" s="247">
        <f t="shared" si="1"/>
        <v>124</v>
      </c>
      <c r="V117" s="248">
        <f t="shared" si="22"/>
        <v>0.66414320411978267</v>
      </c>
      <c r="W117" s="248">
        <f t="shared" si="3"/>
        <v>0.33585679588021733</v>
      </c>
      <c r="X117" s="248">
        <f t="shared" si="23"/>
        <v>0.49157994744616534</v>
      </c>
      <c r="Y117" s="248">
        <f t="shared" si="5"/>
        <v>0.50842005255383471</v>
      </c>
      <c r="Z117" s="7"/>
    </row>
    <row r="118" spans="1:26">
      <c r="A118" s="249">
        <v>2000</v>
      </c>
      <c r="B118" s="250">
        <v>168.8</v>
      </c>
      <c r="C118" s="250">
        <v>169.8</v>
      </c>
      <c r="D118" s="250">
        <v>171.2</v>
      </c>
      <c r="E118" s="250">
        <v>171.3</v>
      </c>
      <c r="F118" s="250">
        <v>171.5</v>
      </c>
      <c r="G118" s="250">
        <v>172.4</v>
      </c>
      <c r="H118" s="250">
        <v>172.8</v>
      </c>
      <c r="I118" s="250">
        <v>172.8</v>
      </c>
      <c r="J118" s="250">
        <v>173.7</v>
      </c>
      <c r="K118" s="250">
        <v>174</v>
      </c>
      <c r="L118" s="250">
        <v>174.1</v>
      </c>
      <c r="M118" s="250">
        <v>174</v>
      </c>
      <c r="N118" s="250">
        <v>172.2</v>
      </c>
      <c r="O118" s="251"/>
      <c r="P118" s="251"/>
      <c r="Q118" s="69">
        <f>Q112+1</f>
        <v>1989</v>
      </c>
      <c r="R118" s="69">
        <v>6</v>
      </c>
      <c r="S118" s="89" t="s">
        <v>1517</v>
      </c>
      <c r="T118" s="7" t="str">
        <f t="shared" si="0"/>
        <v>6_1989</v>
      </c>
      <c r="U118" s="247">
        <f t="shared" si="1"/>
        <v>124</v>
      </c>
      <c r="V118" s="248">
        <f t="shared" si="22"/>
        <v>0.66414320411978267</v>
      </c>
      <c r="W118" s="248">
        <f t="shared" si="3"/>
        <v>0.33585679588021733</v>
      </c>
      <c r="X118" s="248">
        <f t="shared" si="23"/>
        <v>0.49157994744616534</v>
      </c>
      <c r="Y118" s="248">
        <f t="shared" si="5"/>
        <v>0.50842005255383471</v>
      </c>
      <c r="Z118" s="7"/>
    </row>
    <row r="119" spans="1:26">
      <c r="A119" s="7"/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69">
        <f>Q112+1</f>
        <v>1989</v>
      </c>
      <c r="R119" s="69">
        <v>7</v>
      </c>
      <c r="S119" s="89" t="s">
        <v>1517</v>
      </c>
      <c r="T119" s="7" t="str">
        <f t="shared" si="0"/>
        <v>7_1989</v>
      </c>
      <c r="U119" s="247">
        <f t="shared" si="1"/>
        <v>124</v>
      </c>
      <c r="V119" s="248">
        <f t="shared" si="22"/>
        <v>0.66414320411978267</v>
      </c>
      <c r="W119" s="248">
        <f t="shared" si="3"/>
        <v>0.33585679588021733</v>
      </c>
      <c r="X119" s="248">
        <f t="shared" si="23"/>
        <v>0.49157994744616534</v>
      </c>
      <c r="Y119" s="248">
        <f t="shared" si="5"/>
        <v>0.50842005255383471</v>
      </c>
      <c r="Z119" s="7"/>
    </row>
    <row r="120" spans="1:26">
      <c r="A120" s="249">
        <v>2001</v>
      </c>
      <c r="B120" s="250">
        <v>175.1</v>
      </c>
      <c r="C120" s="250">
        <v>175.8</v>
      </c>
      <c r="D120" s="250">
        <v>176.2</v>
      </c>
      <c r="E120" s="250">
        <v>176.9</v>
      </c>
      <c r="F120" s="250">
        <v>177.7</v>
      </c>
      <c r="G120" s="250">
        <v>178</v>
      </c>
      <c r="H120" s="250">
        <v>177.5</v>
      </c>
      <c r="I120" s="250">
        <v>177.5</v>
      </c>
      <c r="J120" s="250">
        <v>178.3</v>
      </c>
      <c r="K120" s="250">
        <v>177.7</v>
      </c>
      <c r="L120" s="250">
        <v>177.4</v>
      </c>
      <c r="M120" s="250">
        <v>176.7</v>
      </c>
      <c r="N120" s="250">
        <v>177.1</v>
      </c>
      <c r="O120" s="251"/>
      <c r="P120" s="251"/>
      <c r="Q120" s="69">
        <f>Q112+1</f>
        <v>1989</v>
      </c>
      <c r="R120" s="69">
        <v>8</v>
      </c>
      <c r="S120" s="89" t="s">
        <v>1517</v>
      </c>
      <c r="T120" s="7" t="str">
        <f t="shared" si="0"/>
        <v>8_1989</v>
      </c>
      <c r="U120" s="247">
        <f t="shared" si="1"/>
        <v>124</v>
      </c>
      <c r="V120" s="248">
        <f t="shared" si="22"/>
        <v>0.66414320411978267</v>
      </c>
      <c r="W120" s="248">
        <f t="shared" si="3"/>
        <v>0.33585679588021733</v>
      </c>
      <c r="X120" s="248">
        <f t="shared" si="23"/>
        <v>0.49157994744616534</v>
      </c>
      <c r="Y120" s="248">
        <f t="shared" si="5"/>
        <v>0.50842005255383471</v>
      </c>
      <c r="Z120" s="7"/>
    </row>
    <row r="121" spans="1:26">
      <c r="A121" s="249">
        <v>2002</v>
      </c>
      <c r="B121" s="250">
        <v>177.1</v>
      </c>
      <c r="C121" s="250">
        <v>177.8</v>
      </c>
      <c r="D121" s="250">
        <v>178.8</v>
      </c>
      <c r="E121" s="250">
        <v>179.8</v>
      </c>
      <c r="F121" s="250">
        <v>179.8</v>
      </c>
      <c r="G121" s="250">
        <v>179.9</v>
      </c>
      <c r="H121" s="250">
        <v>180.1</v>
      </c>
      <c r="I121" s="250">
        <v>180.7</v>
      </c>
      <c r="J121" s="250">
        <v>181</v>
      </c>
      <c r="K121" s="250">
        <v>181.3</v>
      </c>
      <c r="L121" s="250">
        <v>181.3</v>
      </c>
      <c r="M121" s="250">
        <v>180.9</v>
      </c>
      <c r="N121" s="250">
        <v>179.9</v>
      </c>
      <c r="O121" s="251"/>
      <c r="P121" s="251"/>
      <c r="Q121" s="69">
        <f>Q112+1</f>
        <v>1989</v>
      </c>
      <c r="R121" s="69">
        <v>9</v>
      </c>
      <c r="S121" s="89" t="s">
        <v>1517</v>
      </c>
      <c r="T121" s="7" t="str">
        <f t="shared" si="0"/>
        <v>9_1989</v>
      </c>
      <c r="U121" s="247">
        <f t="shared" si="1"/>
        <v>124</v>
      </c>
      <c r="V121" s="248">
        <f t="shared" si="22"/>
        <v>0.66414320411978267</v>
      </c>
      <c r="W121" s="248">
        <f t="shared" si="3"/>
        <v>0.33585679588021733</v>
      </c>
      <c r="X121" s="248">
        <f t="shared" si="23"/>
        <v>0.49157994744616534</v>
      </c>
      <c r="Y121" s="248">
        <f t="shared" si="5"/>
        <v>0.50842005255383471</v>
      </c>
      <c r="Z121" s="7"/>
    </row>
    <row r="122" spans="1:26">
      <c r="A122" s="249">
        <v>2003</v>
      </c>
      <c r="B122" s="250">
        <v>181.7</v>
      </c>
      <c r="C122" s="250">
        <v>183.1</v>
      </c>
      <c r="D122" s="250">
        <v>184.2</v>
      </c>
      <c r="E122" s="250">
        <v>183.8</v>
      </c>
      <c r="F122" s="250">
        <v>183.5</v>
      </c>
      <c r="G122" s="250">
        <v>183.7</v>
      </c>
      <c r="H122" s="250">
        <v>183.9</v>
      </c>
      <c r="I122" s="250">
        <v>184.6</v>
      </c>
      <c r="J122" s="250">
        <v>185.2</v>
      </c>
      <c r="K122" s="250">
        <v>185</v>
      </c>
      <c r="L122" s="250">
        <v>184.5</v>
      </c>
      <c r="M122" s="250">
        <v>184.3</v>
      </c>
      <c r="N122" s="250">
        <v>184</v>
      </c>
      <c r="O122" s="251"/>
      <c r="P122" s="251"/>
      <c r="Q122" s="69">
        <f>Q112+1</f>
        <v>1989</v>
      </c>
      <c r="R122" s="69">
        <v>10</v>
      </c>
      <c r="S122" s="89" t="s">
        <v>1517</v>
      </c>
      <c r="T122" s="7" t="str">
        <f t="shared" si="0"/>
        <v>10_1989</v>
      </c>
      <c r="U122" s="247">
        <f t="shared" si="1"/>
        <v>124</v>
      </c>
      <c r="V122" s="248">
        <f t="shared" si="22"/>
        <v>0.66414320411978267</v>
      </c>
      <c r="W122" s="248">
        <f t="shared" si="3"/>
        <v>0.33585679588021733</v>
      </c>
      <c r="X122" s="248">
        <f t="shared" si="23"/>
        <v>0.49157994744616534</v>
      </c>
      <c r="Y122" s="248">
        <f t="shared" si="5"/>
        <v>0.50842005255383471</v>
      </c>
      <c r="Z122" s="7"/>
    </row>
    <row r="123" spans="1:26">
      <c r="A123" s="249">
        <v>2004</v>
      </c>
      <c r="B123" s="250">
        <v>185.2</v>
      </c>
      <c r="C123" s="250">
        <v>186.2</v>
      </c>
      <c r="D123" s="250">
        <v>187.4</v>
      </c>
      <c r="E123" s="250">
        <v>188</v>
      </c>
      <c r="F123" s="250">
        <v>189.1</v>
      </c>
      <c r="G123" s="250">
        <v>189.7</v>
      </c>
      <c r="H123" s="250">
        <v>189.4</v>
      </c>
      <c r="I123" s="250">
        <v>189.5</v>
      </c>
      <c r="J123" s="250">
        <v>189.9</v>
      </c>
      <c r="K123" s="250">
        <v>190.9</v>
      </c>
      <c r="L123" s="250">
        <v>191</v>
      </c>
      <c r="M123" s="250">
        <v>190.3</v>
      </c>
      <c r="N123" s="250">
        <v>188.9</v>
      </c>
      <c r="O123" s="251"/>
      <c r="P123" s="251"/>
      <c r="Q123" s="69">
        <f>Q112+1</f>
        <v>1989</v>
      </c>
      <c r="R123" s="69">
        <v>11</v>
      </c>
      <c r="S123" s="89" t="s">
        <v>1517</v>
      </c>
      <c r="T123" s="7" t="str">
        <f t="shared" si="0"/>
        <v>11_1989</v>
      </c>
      <c r="U123" s="247">
        <f t="shared" si="1"/>
        <v>124</v>
      </c>
      <c r="V123" s="248">
        <f t="shared" si="22"/>
        <v>0.66414320411978267</v>
      </c>
      <c r="W123" s="248">
        <f t="shared" si="3"/>
        <v>0.33585679588021733</v>
      </c>
      <c r="X123" s="248">
        <f t="shared" si="23"/>
        <v>0.49157994744616534</v>
      </c>
      <c r="Y123" s="248">
        <f t="shared" si="5"/>
        <v>0.50842005255383471</v>
      </c>
      <c r="Z123" s="7"/>
    </row>
    <row r="124" spans="1:26">
      <c r="A124" s="249">
        <v>2005</v>
      </c>
      <c r="B124" s="250">
        <v>190.7</v>
      </c>
      <c r="C124" s="250">
        <v>191.8</v>
      </c>
      <c r="D124" s="250">
        <v>193.3</v>
      </c>
      <c r="E124" s="250">
        <v>194.6</v>
      </c>
      <c r="F124" s="250">
        <v>194.4</v>
      </c>
      <c r="G124" s="250">
        <v>194.5</v>
      </c>
      <c r="H124" s="250">
        <v>195.4</v>
      </c>
      <c r="I124" s="250">
        <v>196.4</v>
      </c>
      <c r="J124" s="250">
        <v>198.8</v>
      </c>
      <c r="K124" s="250">
        <v>199.2</v>
      </c>
      <c r="L124" s="250">
        <v>197.6</v>
      </c>
      <c r="M124" s="250">
        <v>196.8</v>
      </c>
      <c r="N124" s="250">
        <v>195.3</v>
      </c>
      <c r="O124" s="251"/>
      <c r="P124" s="251"/>
      <c r="Q124" s="69">
        <f>Q112+1</f>
        <v>1989</v>
      </c>
      <c r="R124" s="69">
        <v>12</v>
      </c>
      <c r="S124" s="89" t="s">
        <v>1517</v>
      </c>
      <c r="T124" s="7" t="str">
        <f t="shared" si="0"/>
        <v>12_1989</v>
      </c>
      <c r="U124" s="247">
        <f t="shared" si="1"/>
        <v>124</v>
      </c>
      <c r="V124" s="248">
        <f>+(V136*U124/U136)/(V136*U124/U136+W136*AVERAGE(U124,'PPI USA'!T130)/AVERAGE(U136,'PPI USA'!T142))</f>
        <v>0.66414320411978267</v>
      </c>
      <c r="W124" s="248">
        <f t="shared" si="3"/>
        <v>0.33585679588021733</v>
      </c>
      <c r="X124" s="248">
        <f>+(X136*$U124/$U136)/(X136*$U124/$U136+Y136*AVERAGE($U124,'PPI USA'!$T130)/AVERAGE($U136,'PPI USA'!$T142))</f>
        <v>0.49157994744616534</v>
      </c>
      <c r="Y124" s="248">
        <f t="shared" si="5"/>
        <v>0.50842005255383471</v>
      </c>
      <c r="Z124" s="7"/>
    </row>
    <row r="125" spans="1:26">
      <c r="A125" s="7"/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69">
        <f>Q124+1</f>
        <v>1990</v>
      </c>
      <c r="R125" s="69">
        <v>1</v>
      </c>
      <c r="S125" s="89" t="s">
        <v>1517</v>
      </c>
      <c r="T125" s="7" t="str">
        <f t="shared" si="0"/>
        <v>1_1990</v>
      </c>
      <c r="U125" s="247">
        <f t="shared" si="1"/>
        <v>130.69999999999999</v>
      </c>
      <c r="V125" s="248">
        <f t="shared" ref="V125:V135" si="24">+V126</f>
        <v>0.66642181074561113</v>
      </c>
      <c r="W125" s="248">
        <f t="shared" si="3"/>
        <v>0.33357818925438887</v>
      </c>
      <c r="X125" s="248">
        <f t="shared" ref="X125:X135" si="25">+X126</f>
        <v>0.49413757063078823</v>
      </c>
      <c r="Y125" s="248">
        <f t="shared" si="5"/>
        <v>0.50586242936921177</v>
      </c>
      <c r="Z125" s="7"/>
    </row>
    <row r="126" spans="1:26">
      <c r="A126" s="249">
        <v>2006</v>
      </c>
      <c r="B126" s="250">
        <v>198.3</v>
      </c>
      <c r="C126" s="250">
        <v>198.7</v>
      </c>
      <c r="D126" s="250">
        <v>199.8</v>
      </c>
      <c r="E126" s="250">
        <v>201.5</v>
      </c>
      <c r="F126" s="250">
        <v>202.5</v>
      </c>
      <c r="G126" s="250">
        <v>202.9</v>
      </c>
      <c r="H126" s="250">
        <v>203.5</v>
      </c>
      <c r="I126" s="250">
        <v>203.9</v>
      </c>
      <c r="J126" s="250">
        <v>202.9</v>
      </c>
      <c r="K126" s="250">
        <v>201.8</v>
      </c>
      <c r="L126" s="250">
        <v>201.5</v>
      </c>
      <c r="M126" s="250">
        <v>201.8</v>
      </c>
      <c r="N126" s="250">
        <v>201.6</v>
      </c>
      <c r="O126" s="251"/>
      <c r="P126" s="251"/>
      <c r="Q126" s="69">
        <f>Q124+1</f>
        <v>1990</v>
      </c>
      <c r="R126" s="69">
        <v>2</v>
      </c>
      <c r="S126" s="89" t="s">
        <v>1517</v>
      </c>
      <c r="T126" s="7" t="str">
        <f t="shared" si="0"/>
        <v>2_1990</v>
      </c>
      <c r="U126" s="247">
        <f t="shared" si="1"/>
        <v>130.69999999999999</v>
      </c>
      <c r="V126" s="248">
        <f t="shared" si="24"/>
        <v>0.66642181074561113</v>
      </c>
      <c r="W126" s="248">
        <f t="shared" si="3"/>
        <v>0.33357818925438887</v>
      </c>
      <c r="X126" s="248">
        <f t="shared" si="25"/>
        <v>0.49413757063078823</v>
      </c>
      <c r="Y126" s="248">
        <f t="shared" si="5"/>
        <v>0.50586242936921177</v>
      </c>
      <c r="Z126" s="7"/>
    </row>
    <row r="127" spans="1:26">
      <c r="A127" s="249">
        <v>2007</v>
      </c>
      <c r="B127" s="250">
        <v>202.416</v>
      </c>
      <c r="C127" s="250">
        <v>203.499</v>
      </c>
      <c r="D127" s="250">
        <v>205.352</v>
      </c>
      <c r="E127" s="250">
        <v>206.68600000000001</v>
      </c>
      <c r="F127" s="250">
        <v>207.94900000000001</v>
      </c>
      <c r="G127" s="250">
        <v>208.352</v>
      </c>
      <c r="H127" s="250">
        <v>208.29900000000001</v>
      </c>
      <c r="I127" s="250">
        <v>207.917</v>
      </c>
      <c r="J127" s="250">
        <v>208.49</v>
      </c>
      <c r="K127" s="250">
        <v>208.93600000000001</v>
      </c>
      <c r="L127" s="250">
        <v>210.17699999999999</v>
      </c>
      <c r="M127" s="250">
        <v>210.036</v>
      </c>
      <c r="N127" s="250">
        <v>207.34200000000001</v>
      </c>
      <c r="O127" s="251"/>
      <c r="P127" s="251"/>
      <c r="Q127" s="69">
        <f>Q124+1</f>
        <v>1990</v>
      </c>
      <c r="R127" s="69">
        <v>3</v>
      </c>
      <c r="S127" s="89" t="s">
        <v>1517</v>
      </c>
      <c r="T127" s="7" t="str">
        <f t="shared" si="0"/>
        <v>3_1990</v>
      </c>
      <c r="U127" s="247">
        <f t="shared" si="1"/>
        <v>130.69999999999999</v>
      </c>
      <c r="V127" s="248">
        <f t="shared" si="24"/>
        <v>0.66642181074561113</v>
      </c>
      <c r="W127" s="248">
        <f t="shared" si="3"/>
        <v>0.33357818925438887</v>
      </c>
      <c r="X127" s="248">
        <f t="shared" si="25"/>
        <v>0.49413757063078823</v>
      </c>
      <c r="Y127" s="248">
        <f t="shared" si="5"/>
        <v>0.50586242936921177</v>
      </c>
      <c r="Z127" s="7"/>
    </row>
    <row r="128" spans="1:26">
      <c r="A128" s="249">
        <v>2008</v>
      </c>
      <c r="B128" s="250">
        <v>211.08</v>
      </c>
      <c r="C128" s="250">
        <v>211.69300000000001</v>
      </c>
      <c r="D128" s="250">
        <v>213.52799999999999</v>
      </c>
      <c r="E128" s="250">
        <v>214.82300000000001</v>
      </c>
      <c r="F128" s="250">
        <v>216.63200000000001</v>
      </c>
      <c r="G128" s="250">
        <v>218.815</v>
      </c>
      <c r="H128" s="250">
        <v>219.964</v>
      </c>
      <c r="I128" s="250">
        <v>219.08600000000001</v>
      </c>
      <c r="J128" s="250">
        <v>218.78299999999999</v>
      </c>
      <c r="K128" s="250">
        <v>216.57300000000001</v>
      </c>
      <c r="L128" s="250">
        <v>212.42500000000001</v>
      </c>
      <c r="M128" s="250">
        <v>210.22800000000001</v>
      </c>
      <c r="N128" s="250">
        <v>215.303</v>
      </c>
      <c r="O128" s="251"/>
      <c r="P128" s="251"/>
      <c r="Q128" s="69">
        <f>Q124+1</f>
        <v>1990</v>
      </c>
      <c r="R128" s="69">
        <v>4</v>
      </c>
      <c r="S128" s="89" t="s">
        <v>1517</v>
      </c>
      <c r="T128" s="7" t="str">
        <f t="shared" si="0"/>
        <v>4_1990</v>
      </c>
      <c r="U128" s="247">
        <f t="shared" si="1"/>
        <v>130.69999999999999</v>
      </c>
      <c r="V128" s="248">
        <f t="shared" si="24"/>
        <v>0.66642181074561113</v>
      </c>
      <c r="W128" s="248">
        <f t="shared" si="3"/>
        <v>0.33357818925438887</v>
      </c>
      <c r="X128" s="248">
        <f t="shared" si="25"/>
        <v>0.49413757063078823</v>
      </c>
      <c r="Y128" s="248">
        <f t="shared" si="5"/>
        <v>0.50586242936921177</v>
      </c>
      <c r="Z128" s="7"/>
    </row>
    <row r="129" spans="1:26">
      <c r="A129" s="249">
        <v>2009</v>
      </c>
      <c r="B129" s="250">
        <v>211.143</v>
      </c>
      <c r="C129" s="250">
        <v>212.19300000000001</v>
      </c>
      <c r="D129" s="250">
        <v>212.709</v>
      </c>
      <c r="E129" s="250">
        <v>213.24</v>
      </c>
      <c r="F129" s="250">
        <v>213.85599999999999</v>
      </c>
      <c r="G129" s="250">
        <v>215.69300000000001</v>
      </c>
      <c r="H129" s="250">
        <v>215.351</v>
      </c>
      <c r="I129" s="250">
        <v>215.834</v>
      </c>
      <c r="J129" s="250">
        <v>215.96899999999999</v>
      </c>
      <c r="K129" s="250">
        <v>216.17699999999999</v>
      </c>
      <c r="L129" s="250">
        <v>216.33</v>
      </c>
      <c r="M129" s="250">
        <v>215.94900000000001</v>
      </c>
      <c r="N129" s="250">
        <v>214.53700000000001</v>
      </c>
      <c r="O129" s="251"/>
      <c r="P129" s="251"/>
      <c r="Q129" s="69">
        <f>Q124+1</f>
        <v>1990</v>
      </c>
      <c r="R129" s="69">
        <v>5</v>
      </c>
      <c r="S129" s="89" t="s">
        <v>1517</v>
      </c>
      <c r="T129" s="7" t="str">
        <f t="shared" si="0"/>
        <v>5_1990</v>
      </c>
      <c r="U129" s="247">
        <f t="shared" si="1"/>
        <v>130.69999999999999</v>
      </c>
      <c r="V129" s="248">
        <f t="shared" si="24"/>
        <v>0.66642181074561113</v>
      </c>
      <c r="W129" s="248">
        <f t="shared" si="3"/>
        <v>0.33357818925438887</v>
      </c>
      <c r="X129" s="248">
        <f t="shared" si="25"/>
        <v>0.49413757063078823</v>
      </c>
      <c r="Y129" s="248">
        <f t="shared" si="5"/>
        <v>0.50586242936921177</v>
      </c>
      <c r="Z129" s="7"/>
    </row>
    <row r="130" spans="1:26">
      <c r="A130" s="249">
        <v>2010</v>
      </c>
      <c r="B130" s="250">
        <v>216.68700000000001</v>
      </c>
      <c r="C130" s="250">
        <v>216.74100000000001</v>
      </c>
      <c r="D130" s="250">
        <v>217.631</v>
      </c>
      <c r="E130" s="250">
        <v>218.00899999999999</v>
      </c>
      <c r="F130" s="250">
        <v>218.178</v>
      </c>
      <c r="G130" s="250">
        <v>217.965</v>
      </c>
      <c r="H130" s="250">
        <v>218.011</v>
      </c>
      <c r="I130" s="250">
        <v>218.31200000000001</v>
      </c>
      <c r="J130" s="250">
        <v>218.43899999999999</v>
      </c>
      <c r="K130" s="250">
        <v>218.71100000000001</v>
      </c>
      <c r="L130" s="250">
        <v>218.803</v>
      </c>
      <c r="M130" s="250">
        <v>219.179</v>
      </c>
      <c r="N130" s="250">
        <v>218.05600000000001</v>
      </c>
      <c r="O130" s="251"/>
      <c r="P130" s="251"/>
      <c r="Q130" s="69">
        <f>Q124+1</f>
        <v>1990</v>
      </c>
      <c r="R130" s="69">
        <v>6</v>
      </c>
      <c r="S130" s="89" t="s">
        <v>1517</v>
      </c>
      <c r="T130" s="7" t="str">
        <f t="shared" si="0"/>
        <v>6_1990</v>
      </c>
      <c r="U130" s="247">
        <f t="shared" si="1"/>
        <v>130.69999999999999</v>
      </c>
      <c r="V130" s="248">
        <f t="shared" si="24"/>
        <v>0.66642181074561113</v>
      </c>
      <c r="W130" s="248">
        <f t="shared" si="3"/>
        <v>0.33357818925438887</v>
      </c>
      <c r="X130" s="248">
        <f t="shared" si="25"/>
        <v>0.49413757063078823</v>
      </c>
      <c r="Y130" s="248">
        <f t="shared" si="5"/>
        <v>0.50586242936921177</v>
      </c>
      <c r="Z130" s="7"/>
    </row>
    <row r="131" spans="1:26">
      <c r="A131" s="7"/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69">
        <f>Q124+1</f>
        <v>1990</v>
      </c>
      <c r="R131" s="69">
        <v>7</v>
      </c>
      <c r="S131" s="89" t="s">
        <v>1517</v>
      </c>
      <c r="T131" s="7" t="str">
        <f t="shared" si="0"/>
        <v>7_1990</v>
      </c>
      <c r="U131" s="247">
        <f t="shared" si="1"/>
        <v>130.69999999999999</v>
      </c>
      <c r="V131" s="248">
        <f t="shared" si="24"/>
        <v>0.66642181074561113</v>
      </c>
      <c r="W131" s="248">
        <f t="shared" si="3"/>
        <v>0.33357818925438887</v>
      </c>
      <c r="X131" s="248">
        <f t="shared" si="25"/>
        <v>0.49413757063078823</v>
      </c>
      <c r="Y131" s="248">
        <f t="shared" si="5"/>
        <v>0.50586242936921177</v>
      </c>
      <c r="Z131" s="7"/>
    </row>
    <row r="132" spans="1:26">
      <c r="A132" s="249">
        <v>2011</v>
      </c>
      <c r="B132" s="250">
        <v>220.22300000000001</v>
      </c>
      <c r="C132" s="250">
        <v>221.309</v>
      </c>
      <c r="D132" s="250">
        <v>223.46700000000001</v>
      </c>
      <c r="E132" s="250">
        <v>224.90600000000001</v>
      </c>
      <c r="F132" s="250">
        <v>225.964</v>
      </c>
      <c r="G132" s="250">
        <v>225.72200000000001</v>
      </c>
      <c r="H132" s="250">
        <v>225.922</v>
      </c>
      <c r="I132" s="250">
        <v>226.54499999999999</v>
      </c>
      <c r="J132" s="250">
        <v>226.88900000000001</v>
      </c>
      <c r="K132" s="250">
        <v>226.42099999999999</v>
      </c>
      <c r="L132" s="250">
        <v>226.23</v>
      </c>
      <c r="M132" s="250">
        <v>225.672</v>
      </c>
      <c r="N132" s="250">
        <v>224.93899999999999</v>
      </c>
      <c r="O132" s="251"/>
      <c r="P132" s="251"/>
      <c r="Q132" s="69">
        <f>Q124+1</f>
        <v>1990</v>
      </c>
      <c r="R132" s="69">
        <v>8</v>
      </c>
      <c r="S132" s="89" t="s">
        <v>1517</v>
      </c>
      <c r="T132" s="7" t="str">
        <f t="shared" si="0"/>
        <v>8_1990</v>
      </c>
      <c r="U132" s="247">
        <f t="shared" si="1"/>
        <v>130.69999999999999</v>
      </c>
      <c r="V132" s="248">
        <f t="shared" si="24"/>
        <v>0.66642181074561113</v>
      </c>
      <c r="W132" s="248">
        <f t="shared" si="3"/>
        <v>0.33357818925438887</v>
      </c>
      <c r="X132" s="248">
        <f t="shared" si="25"/>
        <v>0.49413757063078823</v>
      </c>
      <c r="Y132" s="248">
        <f t="shared" si="5"/>
        <v>0.50586242936921177</v>
      </c>
      <c r="Z132" s="7"/>
    </row>
    <row r="133" spans="1:26">
      <c r="A133" s="249">
        <v>2012</v>
      </c>
      <c r="B133" s="250">
        <v>226.66499999999999</v>
      </c>
      <c r="C133" s="250">
        <v>227.66300000000001</v>
      </c>
      <c r="D133" s="250">
        <v>229.392</v>
      </c>
      <c r="E133" s="250">
        <v>230.08500000000001</v>
      </c>
      <c r="F133" s="250">
        <v>229.815</v>
      </c>
      <c r="G133" s="250">
        <v>229.47800000000001</v>
      </c>
      <c r="H133" s="250">
        <v>229.10400000000001</v>
      </c>
      <c r="I133" s="250">
        <v>230.37899999999999</v>
      </c>
      <c r="J133" s="250">
        <v>231.40700000000001</v>
      </c>
      <c r="K133" s="250">
        <v>231.31700000000001</v>
      </c>
      <c r="L133" s="250">
        <v>230.221</v>
      </c>
      <c r="M133" s="250">
        <v>229.601</v>
      </c>
      <c r="N133" s="250">
        <v>229.59399999999999</v>
      </c>
      <c r="O133" s="251"/>
      <c r="P133" s="251"/>
      <c r="Q133" s="69">
        <f>Q124+1</f>
        <v>1990</v>
      </c>
      <c r="R133" s="69">
        <v>9</v>
      </c>
      <c r="S133" s="89" t="s">
        <v>1517</v>
      </c>
      <c r="T133" s="7" t="str">
        <f t="shared" si="0"/>
        <v>9_1990</v>
      </c>
      <c r="U133" s="247">
        <f t="shared" si="1"/>
        <v>130.69999999999999</v>
      </c>
      <c r="V133" s="248">
        <f t="shared" si="24"/>
        <v>0.66642181074561113</v>
      </c>
      <c r="W133" s="248">
        <f t="shared" si="3"/>
        <v>0.33357818925438887</v>
      </c>
      <c r="X133" s="248">
        <f t="shared" si="25"/>
        <v>0.49413757063078823</v>
      </c>
      <c r="Y133" s="248">
        <f t="shared" si="5"/>
        <v>0.50586242936921177</v>
      </c>
      <c r="Z133" s="7"/>
    </row>
    <row r="134" spans="1:26">
      <c r="A134" s="249">
        <v>2013</v>
      </c>
      <c r="B134" s="250">
        <v>230.28</v>
      </c>
      <c r="C134" s="250">
        <v>232.166</v>
      </c>
      <c r="D134" s="250">
        <v>232.773</v>
      </c>
      <c r="E134" s="250">
        <v>232.53100000000001</v>
      </c>
      <c r="F134" s="250">
        <v>232.94499999999999</v>
      </c>
      <c r="G134" s="250">
        <v>233.50399999999999</v>
      </c>
      <c r="H134" s="250">
        <v>233.596</v>
      </c>
      <c r="I134" s="250">
        <v>233.87700000000001</v>
      </c>
      <c r="J134" s="250">
        <v>234.149</v>
      </c>
      <c r="K134" s="250">
        <v>233.54599999999999</v>
      </c>
      <c r="L134" s="250">
        <v>233.06899999999999</v>
      </c>
      <c r="M134" s="250">
        <v>233.04900000000001</v>
      </c>
      <c r="N134" s="250">
        <v>232.95699999999999</v>
      </c>
      <c r="O134" s="251"/>
      <c r="P134" s="251"/>
      <c r="Q134" s="69">
        <f>Q124+1</f>
        <v>1990</v>
      </c>
      <c r="R134" s="69">
        <v>10</v>
      </c>
      <c r="S134" s="89" t="s">
        <v>1517</v>
      </c>
      <c r="T134" s="7" t="str">
        <f t="shared" si="0"/>
        <v>10_1990</v>
      </c>
      <c r="U134" s="247">
        <f t="shared" si="1"/>
        <v>130.69999999999999</v>
      </c>
      <c r="V134" s="248">
        <f t="shared" si="24"/>
        <v>0.66642181074561113</v>
      </c>
      <c r="W134" s="248">
        <f t="shared" si="3"/>
        <v>0.33357818925438887</v>
      </c>
      <c r="X134" s="248">
        <f t="shared" si="25"/>
        <v>0.49413757063078823</v>
      </c>
      <c r="Y134" s="248">
        <f t="shared" si="5"/>
        <v>0.50586242936921177</v>
      </c>
      <c r="Z134" s="7"/>
    </row>
    <row r="135" spans="1:26">
      <c r="A135" s="249">
        <v>2014</v>
      </c>
      <c r="B135" s="250">
        <v>233.916</v>
      </c>
      <c r="C135" s="250">
        <v>234.78100000000001</v>
      </c>
      <c r="D135" s="250">
        <v>236.29300000000001</v>
      </c>
      <c r="E135" s="250">
        <v>237.072</v>
      </c>
      <c r="F135" s="250">
        <v>237.9</v>
      </c>
      <c r="G135" s="250">
        <v>238.34299999999999</v>
      </c>
      <c r="H135" s="250">
        <v>238.25</v>
      </c>
      <c r="I135" s="250">
        <v>237.852</v>
      </c>
      <c r="J135" s="250">
        <v>238.03100000000001</v>
      </c>
      <c r="K135" s="250">
        <v>237.43299999999999</v>
      </c>
      <c r="L135" s="250">
        <v>236.15100000000001</v>
      </c>
      <c r="M135" s="250">
        <v>234.81200000000001</v>
      </c>
      <c r="N135" s="250">
        <v>236.73616666666666</v>
      </c>
      <c r="O135" s="251"/>
      <c r="P135" s="251"/>
      <c r="Q135" s="69">
        <f>Q124+1</f>
        <v>1990</v>
      </c>
      <c r="R135" s="69">
        <v>11</v>
      </c>
      <c r="S135" s="89" t="s">
        <v>1517</v>
      </c>
      <c r="T135" s="7" t="str">
        <f t="shared" si="0"/>
        <v>11_1990</v>
      </c>
      <c r="U135" s="247">
        <f t="shared" si="1"/>
        <v>130.69999999999999</v>
      </c>
      <c r="V135" s="248">
        <f t="shared" si="24"/>
        <v>0.66642181074561113</v>
      </c>
      <c r="W135" s="248">
        <f t="shared" si="3"/>
        <v>0.33357818925438887</v>
      </c>
      <c r="X135" s="248">
        <f t="shared" si="25"/>
        <v>0.49413757063078823</v>
      </c>
      <c r="Y135" s="248">
        <f t="shared" si="5"/>
        <v>0.50586242936921177</v>
      </c>
      <c r="Z135" s="7"/>
    </row>
    <row r="136" spans="1:26">
      <c r="A136" s="249">
        <v>2015</v>
      </c>
      <c r="B136" s="250">
        <v>233.70699999999999</v>
      </c>
      <c r="C136" s="250">
        <v>234.72200000000001</v>
      </c>
      <c r="D136" s="250">
        <v>236.119</v>
      </c>
      <c r="E136" s="250">
        <v>236.59899999999999</v>
      </c>
      <c r="F136" s="250">
        <v>237.80500000000001</v>
      </c>
      <c r="G136" s="250">
        <v>238.63800000000001</v>
      </c>
      <c r="H136" s="250">
        <v>238.654</v>
      </c>
      <c r="I136" s="250">
        <v>238.316</v>
      </c>
      <c r="J136" s="250">
        <v>237.94499999999999</v>
      </c>
      <c r="K136" s="250">
        <v>237.83799999999999</v>
      </c>
      <c r="L136" s="250">
        <v>237.33600000000001</v>
      </c>
      <c r="M136" s="250">
        <v>236.52500000000001</v>
      </c>
      <c r="N136" s="250">
        <v>237.01700000000002</v>
      </c>
      <c r="O136" s="251"/>
      <c r="P136" s="7"/>
      <c r="Q136" s="69">
        <f>Q124+1</f>
        <v>1990</v>
      </c>
      <c r="R136" s="69">
        <v>12</v>
      </c>
      <c r="S136" s="89" t="s">
        <v>1517</v>
      </c>
      <c r="T136" s="7" t="str">
        <f t="shared" si="0"/>
        <v>12_1990</v>
      </c>
      <c r="U136" s="247">
        <f t="shared" si="1"/>
        <v>130.69999999999999</v>
      </c>
      <c r="V136" s="248">
        <f>+(V148*U136/U148)/(V148*U136/U148+W148*AVERAGE(U136,'PPI USA'!T142)/AVERAGE(U148,'PPI USA'!T154))</f>
        <v>0.66642181074561113</v>
      </c>
      <c r="W136" s="248">
        <f t="shared" si="3"/>
        <v>0.33357818925438887</v>
      </c>
      <c r="X136" s="248">
        <f>+(X148*$U136/$U148)/(X148*$U136/$U148+Y148*AVERAGE($U136,'PPI USA'!$T142)/AVERAGE($U148,'PPI USA'!$T154))</f>
        <v>0.49413757063078823</v>
      </c>
      <c r="Y136" s="248">
        <f t="shared" si="5"/>
        <v>0.50586242936921177</v>
      </c>
      <c r="Z136" s="7"/>
    </row>
    <row r="137" spans="1:26">
      <c r="A137" s="7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7"/>
      <c r="P137" s="7"/>
      <c r="Q137" s="69">
        <f>Q136+1</f>
        <v>1991</v>
      </c>
      <c r="R137" s="69">
        <v>1</v>
      </c>
      <c r="S137" s="89" t="s">
        <v>1517</v>
      </c>
      <c r="T137" s="7" t="str">
        <f t="shared" si="0"/>
        <v>1_1991</v>
      </c>
      <c r="U137" s="247">
        <f t="shared" si="1"/>
        <v>136.19999999999999</v>
      </c>
      <c r="V137" s="248">
        <f t="shared" ref="V137:V147" si="26">+V138</f>
        <v>0.66378837051313933</v>
      </c>
      <c r="W137" s="248">
        <f t="shared" si="3"/>
        <v>0.33621162948686067</v>
      </c>
      <c r="X137" s="248">
        <f t="shared" ref="X137:X147" si="27">+X138</f>
        <v>0.49118247548238791</v>
      </c>
      <c r="Y137" s="248">
        <f t="shared" si="5"/>
        <v>0.50881752451761209</v>
      </c>
      <c r="Z137" s="7"/>
    </row>
    <row r="138" spans="1:26">
      <c r="A138" s="249">
        <v>2016</v>
      </c>
      <c r="B138" s="250">
        <v>236.916</v>
      </c>
      <c r="C138" s="250">
        <v>237.11099999999999</v>
      </c>
      <c r="D138" s="250">
        <v>238.13200000000001</v>
      </c>
      <c r="E138" s="250">
        <v>239.261</v>
      </c>
      <c r="F138" s="250">
        <v>240.22900000000001</v>
      </c>
      <c r="G138" s="250">
        <v>241.018</v>
      </c>
      <c r="H138" s="250">
        <v>240.62799999999999</v>
      </c>
      <c r="I138" s="250">
        <v>240.84899999999999</v>
      </c>
      <c r="J138" s="250">
        <v>241.428</v>
      </c>
      <c r="K138" s="250">
        <v>241.72900000000001</v>
      </c>
      <c r="L138" s="250">
        <v>241.35300000000001</v>
      </c>
      <c r="M138" s="250">
        <v>241.43199999999999</v>
      </c>
      <c r="N138" s="250">
        <v>240.00716666666662</v>
      </c>
      <c r="O138" s="251"/>
      <c r="P138" s="7"/>
      <c r="Q138" s="69">
        <f>Q136+1</f>
        <v>1991</v>
      </c>
      <c r="R138" s="69">
        <v>2</v>
      </c>
      <c r="S138" s="89" t="s">
        <v>1517</v>
      </c>
      <c r="T138" s="7" t="str">
        <f t="shared" si="0"/>
        <v>2_1991</v>
      </c>
      <c r="U138" s="247">
        <f t="shared" si="1"/>
        <v>136.19999999999999</v>
      </c>
      <c r="V138" s="248">
        <f t="shared" si="26"/>
        <v>0.66378837051313933</v>
      </c>
      <c r="W138" s="248">
        <f t="shared" si="3"/>
        <v>0.33621162948686067</v>
      </c>
      <c r="X138" s="248">
        <f t="shared" si="27"/>
        <v>0.49118247548238791</v>
      </c>
      <c r="Y138" s="248">
        <f t="shared" si="5"/>
        <v>0.50881752451761209</v>
      </c>
      <c r="Z138" s="7"/>
    </row>
    <row r="139" spans="1:26">
      <c r="A139" s="249">
        <v>2017</v>
      </c>
      <c r="B139" s="250">
        <v>242.839</v>
      </c>
      <c r="C139" s="250">
        <v>243.60300000000001</v>
      </c>
      <c r="D139" s="250">
        <v>243.80099999999999</v>
      </c>
      <c r="E139" s="250">
        <v>244.524</v>
      </c>
      <c r="F139" s="250">
        <v>244.733</v>
      </c>
      <c r="G139" s="250">
        <v>244.95500000000001</v>
      </c>
      <c r="H139" s="250">
        <v>244.786</v>
      </c>
      <c r="I139" s="250">
        <v>245.51900000000001</v>
      </c>
      <c r="J139" s="250">
        <v>246.81899999999999</v>
      </c>
      <c r="K139" s="250">
        <v>246.66300000000001</v>
      </c>
      <c r="L139" s="250">
        <v>246.66900000000001</v>
      </c>
      <c r="M139" s="250">
        <v>246.524</v>
      </c>
      <c r="N139" s="250">
        <v>244.07583333333332</v>
      </c>
      <c r="O139" s="251"/>
      <c r="P139" s="251"/>
      <c r="Q139" s="69">
        <f>Q136+1</f>
        <v>1991</v>
      </c>
      <c r="R139" s="69">
        <v>3</v>
      </c>
      <c r="S139" s="89" t="s">
        <v>1517</v>
      </c>
      <c r="T139" s="7" t="str">
        <f t="shared" si="0"/>
        <v>3_1991</v>
      </c>
      <c r="U139" s="247">
        <f t="shared" si="1"/>
        <v>136.19999999999999</v>
      </c>
      <c r="V139" s="248">
        <f t="shared" si="26"/>
        <v>0.66378837051313933</v>
      </c>
      <c r="W139" s="248">
        <f t="shared" si="3"/>
        <v>0.33621162948686067</v>
      </c>
      <c r="X139" s="248">
        <f t="shared" si="27"/>
        <v>0.49118247548238791</v>
      </c>
      <c r="Y139" s="248">
        <f t="shared" si="5"/>
        <v>0.50881752451761209</v>
      </c>
      <c r="Z139" s="7"/>
    </row>
    <row r="140" spans="1:26">
      <c r="A140" s="249">
        <v>2018</v>
      </c>
      <c r="B140" s="250">
        <v>247.86699999999999</v>
      </c>
      <c r="C140" s="250">
        <v>248.99100000000001</v>
      </c>
      <c r="D140" s="250">
        <v>249.554</v>
      </c>
      <c r="E140" s="250">
        <v>250.54599999999999</v>
      </c>
      <c r="F140" s="250">
        <v>251.58799999999999</v>
      </c>
      <c r="G140" s="250">
        <v>251.989</v>
      </c>
      <c r="H140" s="250">
        <v>252.006</v>
      </c>
      <c r="I140" s="250">
        <v>252.14599999999999</v>
      </c>
      <c r="J140" s="250">
        <v>252.43899999999999</v>
      </c>
      <c r="K140" s="250">
        <v>252.88499999999999</v>
      </c>
      <c r="L140" s="250">
        <v>252.03800000000001</v>
      </c>
      <c r="M140" s="250">
        <v>251.233</v>
      </c>
      <c r="N140" s="250">
        <f t="shared" ref="N140:N142" si="28">AVERAGE(B140:M140)</f>
        <v>251.10683333333338</v>
      </c>
      <c r="O140" s="7"/>
      <c r="P140" s="7"/>
      <c r="Q140" s="69">
        <f>Q136+1</f>
        <v>1991</v>
      </c>
      <c r="R140" s="69">
        <v>4</v>
      </c>
      <c r="S140" s="89" t="s">
        <v>1517</v>
      </c>
      <c r="T140" s="7" t="str">
        <f t="shared" si="0"/>
        <v>4_1991</v>
      </c>
      <c r="U140" s="247">
        <f t="shared" si="1"/>
        <v>136.19999999999999</v>
      </c>
      <c r="V140" s="248">
        <f t="shared" si="26"/>
        <v>0.66378837051313933</v>
      </c>
      <c r="W140" s="248">
        <f t="shared" si="3"/>
        <v>0.33621162948686067</v>
      </c>
      <c r="X140" s="248">
        <f t="shared" si="27"/>
        <v>0.49118247548238791</v>
      </c>
      <c r="Y140" s="248">
        <f t="shared" si="5"/>
        <v>0.50881752451761209</v>
      </c>
      <c r="Z140" s="7"/>
    </row>
    <row r="141" spans="1:26">
      <c r="A141" s="89">
        <v>2019</v>
      </c>
      <c r="B141" s="69">
        <v>251.71199999999999</v>
      </c>
      <c r="C141" s="69">
        <v>252.77600000000001</v>
      </c>
      <c r="D141" s="69">
        <v>254.202</v>
      </c>
      <c r="E141" s="69">
        <v>255.548</v>
      </c>
      <c r="F141" s="69">
        <v>256.09199999999998</v>
      </c>
      <c r="G141" s="69">
        <v>256.14299999999997</v>
      </c>
      <c r="H141" s="69">
        <v>256.57100000000003</v>
      </c>
      <c r="I141" s="69">
        <v>256.55799999999999</v>
      </c>
      <c r="J141" s="69">
        <v>256.75900000000001</v>
      </c>
      <c r="K141" s="69">
        <v>257.346</v>
      </c>
      <c r="L141" s="69">
        <v>257.20800000000003</v>
      </c>
      <c r="M141" s="69">
        <v>256.97399999999999</v>
      </c>
      <c r="N141" s="250">
        <f t="shared" si="28"/>
        <v>255.65741666666668</v>
      </c>
      <c r="O141" s="7"/>
      <c r="P141" s="7"/>
      <c r="Q141" s="69">
        <f>Q136+1</f>
        <v>1991</v>
      </c>
      <c r="R141" s="69">
        <v>5</v>
      </c>
      <c r="S141" s="89" t="s">
        <v>1517</v>
      </c>
      <c r="T141" s="7" t="str">
        <f t="shared" si="0"/>
        <v>5_1991</v>
      </c>
      <c r="U141" s="247">
        <f t="shared" si="1"/>
        <v>136.19999999999999</v>
      </c>
      <c r="V141" s="248">
        <f t="shared" si="26"/>
        <v>0.66378837051313933</v>
      </c>
      <c r="W141" s="248">
        <f t="shared" si="3"/>
        <v>0.33621162948686067</v>
      </c>
      <c r="X141" s="248">
        <f t="shared" si="27"/>
        <v>0.49118247548238791</v>
      </c>
      <c r="Y141" s="248">
        <f t="shared" si="5"/>
        <v>0.50881752451761209</v>
      </c>
      <c r="Z141" s="7"/>
    </row>
    <row r="142" spans="1:26">
      <c r="A142" s="89">
        <v>2020</v>
      </c>
      <c r="B142" s="69">
        <v>257.971</v>
      </c>
      <c r="C142" s="69">
        <v>258.678</v>
      </c>
      <c r="D142" s="69">
        <v>258.11500000000001</v>
      </c>
      <c r="E142" s="69">
        <v>256.38900000000001</v>
      </c>
      <c r="F142" s="69">
        <v>256.39400000000001</v>
      </c>
      <c r="G142" s="69">
        <v>257.79700000000003</v>
      </c>
      <c r="H142" s="69">
        <v>259.101</v>
      </c>
      <c r="I142" s="69">
        <v>259.91800000000001</v>
      </c>
      <c r="J142" s="69">
        <v>260.27999999999997</v>
      </c>
      <c r="K142" s="69">
        <v>260.38799999999998</v>
      </c>
      <c r="L142" s="69">
        <v>260.22899999999998</v>
      </c>
      <c r="M142" s="69">
        <v>260.47399999999999</v>
      </c>
      <c r="N142" s="250">
        <f t="shared" si="28"/>
        <v>258.81116666666668</v>
      </c>
      <c r="O142" s="7"/>
      <c r="P142" s="7"/>
      <c r="Q142" s="69">
        <f>Q136+1</f>
        <v>1991</v>
      </c>
      <c r="R142" s="69">
        <v>6</v>
      </c>
      <c r="S142" s="89" t="s">
        <v>1517</v>
      </c>
      <c r="T142" s="7" t="str">
        <f t="shared" si="0"/>
        <v>6_1991</v>
      </c>
      <c r="U142" s="247">
        <f t="shared" si="1"/>
        <v>136.19999999999999</v>
      </c>
      <c r="V142" s="248">
        <f t="shared" si="26"/>
        <v>0.66378837051313933</v>
      </c>
      <c r="W142" s="248">
        <f t="shared" si="3"/>
        <v>0.33621162948686067</v>
      </c>
      <c r="X142" s="248">
        <f t="shared" si="27"/>
        <v>0.49118247548238791</v>
      </c>
      <c r="Y142" s="248">
        <f t="shared" si="5"/>
        <v>0.50881752451761209</v>
      </c>
      <c r="Z142" s="7"/>
    </row>
    <row r="143" spans="1:26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69">
        <f>Q136+1</f>
        <v>1991</v>
      </c>
      <c r="R143" s="69">
        <v>7</v>
      </c>
      <c r="S143" s="89" t="s">
        <v>1517</v>
      </c>
      <c r="T143" s="7" t="str">
        <f t="shared" si="0"/>
        <v>7_1991</v>
      </c>
      <c r="U143" s="247">
        <f t="shared" si="1"/>
        <v>136.19999999999999</v>
      </c>
      <c r="V143" s="248">
        <f t="shared" si="26"/>
        <v>0.66378837051313933</v>
      </c>
      <c r="W143" s="248">
        <f t="shared" si="3"/>
        <v>0.33621162948686067</v>
      </c>
      <c r="X143" s="248">
        <f t="shared" si="27"/>
        <v>0.49118247548238791</v>
      </c>
      <c r="Y143" s="248">
        <f t="shared" si="5"/>
        <v>0.50881752451761209</v>
      </c>
      <c r="Z143" s="7"/>
    </row>
    <row r="144" spans="1:26">
      <c r="A144" s="89">
        <v>2021</v>
      </c>
      <c r="B144" s="252">
        <v>261.58199999999999</v>
      </c>
      <c r="C144" s="252">
        <v>263.01400000000001</v>
      </c>
      <c r="D144" s="252">
        <v>264.87700000000001</v>
      </c>
      <c r="E144" s="252">
        <v>267.05399999999997</v>
      </c>
      <c r="F144" s="252">
        <v>269.19499999999999</v>
      </c>
      <c r="G144" s="252">
        <v>271.69600000000003</v>
      </c>
      <c r="H144" s="252">
        <v>273.00299999999999</v>
      </c>
      <c r="I144" s="252">
        <v>273.56700000000001</v>
      </c>
      <c r="J144" s="252">
        <v>274.31</v>
      </c>
      <c r="K144" s="252">
        <v>276.589</v>
      </c>
      <c r="L144" s="252">
        <v>277.94799999999998</v>
      </c>
      <c r="M144" s="252">
        <v>278.80200000000002</v>
      </c>
      <c r="N144" s="250">
        <f t="shared" ref="N144:N147" si="29">AVERAGE(B144:M144)</f>
        <v>270.96975000000003</v>
      </c>
      <c r="O144" s="29"/>
      <c r="P144" s="7"/>
      <c r="Q144" s="69">
        <f>Q136+1</f>
        <v>1991</v>
      </c>
      <c r="R144" s="69">
        <v>8</v>
      </c>
      <c r="S144" s="89" t="s">
        <v>1517</v>
      </c>
      <c r="T144" s="7" t="str">
        <f t="shared" si="0"/>
        <v>8_1991</v>
      </c>
      <c r="U144" s="247">
        <f t="shared" si="1"/>
        <v>136.19999999999999</v>
      </c>
      <c r="V144" s="248">
        <f t="shared" si="26"/>
        <v>0.66378837051313933</v>
      </c>
      <c r="W144" s="248">
        <f t="shared" si="3"/>
        <v>0.33621162948686067</v>
      </c>
      <c r="X144" s="248">
        <f t="shared" si="27"/>
        <v>0.49118247548238791</v>
      </c>
      <c r="Y144" s="248">
        <f t="shared" si="5"/>
        <v>0.50881752451761209</v>
      </c>
      <c r="Z144" s="7"/>
    </row>
    <row r="145" spans="1:26">
      <c r="A145" s="89">
        <v>2022</v>
      </c>
      <c r="B145" s="252">
        <v>281.14800000000002</v>
      </c>
      <c r="C145" s="252">
        <v>283.71600000000001</v>
      </c>
      <c r="D145" s="252">
        <v>287.50400000000002</v>
      </c>
      <c r="E145" s="252">
        <v>289.10899999999998</v>
      </c>
      <c r="F145" s="252">
        <v>292.29599999999999</v>
      </c>
      <c r="G145" s="252">
        <v>296.31099999999998</v>
      </c>
      <c r="H145" s="252">
        <v>296.27600000000001</v>
      </c>
      <c r="I145" s="252">
        <v>296.17099999999999</v>
      </c>
      <c r="J145" s="252">
        <v>296.80799999999999</v>
      </c>
      <c r="K145" s="252">
        <v>298.012</v>
      </c>
      <c r="L145" s="252">
        <v>297.71100000000001</v>
      </c>
      <c r="M145" s="252">
        <v>296.79700000000003</v>
      </c>
      <c r="N145" s="250">
        <f t="shared" si="29"/>
        <v>292.65491666666668</v>
      </c>
      <c r="O145" s="29"/>
      <c r="P145" s="29"/>
      <c r="Q145" s="69">
        <f>Q136+1</f>
        <v>1991</v>
      </c>
      <c r="R145" s="69">
        <v>9</v>
      </c>
      <c r="S145" s="89" t="s">
        <v>1517</v>
      </c>
      <c r="T145" s="7" t="str">
        <f t="shared" si="0"/>
        <v>9_1991</v>
      </c>
      <c r="U145" s="247">
        <f t="shared" si="1"/>
        <v>136.19999999999999</v>
      </c>
      <c r="V145" s="248">
        <f t="shared" si="26"/>
        <v>0.66378837051313933</v>
      </c>
      <c r="W145" s="248">
        <f t="shared" si="3"/>
        <v>0.33621162948686067</v>
      </c>
      <c r="X145" s="248">
        <f t="shared" si="27"/>
        <v>0.49118247548238791</v>
      </c>
      <c r="Y145" s="248">
        <f t="shared" si="5"/>
        <v>0.50881752451761209</v>
      </c>
      <c r="Z145" s="7"/>
    </row>
    <row r="146" spans="1:26">
      <c r="A146" s="89">
        <v>2023</v>
      </c>
      <c r="B146" s="252">
        <v>299.17</v>
      </c>
      <c r="C146" s="252">
        <v>300.83999999999997</v>
      </c>
      <c r="D146" s="252">
        <v>301.83600000000001</v>
      </c>
      <c r="E146" s="252">
        <v>303.363</v>
      </c>
      <c r="F146" s="252">
        <v>304.12700000000001</v>
      </c>
      <c r="G146" s="252">
        <v>305.10899999999998</v>
      </c>
      <c r="H146" s="252">
        <v>305.69099999999997</v>
      </c>
      <c r="I146" s="252">
        <v>307.02600000000001</v>
      </c>
      <c r="J146" s="252">
        <v>307.78899999999999</v>
      </c>
      <c r="K146" s="252">
        <v>307.67099999999999</v>
      </c>
      <c r="L146" s="252">
        <v>307.05099999999999</v>
      </c>
      <c r="M146" s="252">
        <v>306.74599999999998</v>
      </c>
      <c r="N146" s="250">
        <f t="shared" si="29"/>
        <v>304.7015833333333</v>
      </c>
      <c r="O146" s="29"/>
      <c r="P146" s="29"/>
      <c r="Q146" s="69">
        <f>Q136+1</f>
        <v>1991</v>
      </c>
      <c r="R146" s="69">
        <v>10</v>
      </c>
      <c r="S146" s="89" t="s">
        <v>1517</v>
      </c>
      <c r="T146" s="7" t="str">
        <f t="shared" si="0"/>
        <v>10_1991</v>
      </c>
      <c r="U146" s="247">
        <f t="shared" si="1"/>
        <v>136.19999999999999</v>
      </c>
      <c r="V146" s="248">
        <f t="shared" si="26"/>
        <v>0.66378837051313933</v>
      </c>
      <c r="W146" s="248">
        <f t="shared" si="3"/>
        <v>0.33621162948686067</v>
      </c>
      <c r="X146" s="248">
        <f t="shared" si="27"/>
        <v>0.49118247548238791</v>
      </c>
      <c r="Y146" s="248">
        <f t="shared" si="5"/>
        <v>0.50881752451761209</v>
      </c>
      <c r="Z146" s="7"/>
    </row>
    <row r="147" spans="1:26">
      <c r="A147" s="89">
        <v>2024</v>
      </c>
      <c r="B147" s="252">
        <v>308.41699999999997</v>
      </c>
      <c r="C147" s="252">
        <v>310.32600000000002</v>
      </c>
      <c r="D147" s="252">
        <v>312.33199999999999</v>
      </c>
      <c r="E147" s="252">
        <v>313.548</v>
      </c>
      <c r="F147" s="252">
        <v>314.06900000000002</v>
      </c>
      <c r="G147" s="252">
        <v>314.17500000000001</v>
      </c>
      <c r="H147" s="252">
        <v>314.54000000000002</v>
      </c>
      <c r="I147" s="252">
        <v>314.79599999999999</v>
      </c>
      <c r="J147" s="252">
        <v>315.30099999999999</v>
      </c>
      <c r="K147" s="252">
        <v>315.66399999999999</v>
      </c>
      <c r="L147" s="252">
        <v>315.49299999999999</v>
      </c>
      <c r="M147" s="252">
        <v>315.60500000000002</v>
      </c>
      <c r="N147" s="250">
        <f t="shared" si="29"/>
        <v>313.68883333333332</v>
      </c>
      <c r="O147" s="7"/>
      <c r="P147" s="7"/>
      <c r="Q147" s="69">
        <f>Q136+1</f>
        <v>1991</v>
      </c>
      <c r="R147" s="69">
        <v>11</v>
      </c>
      <c r="S147" s="89" t="s">
        <v>1517</v>
      </c>
      <c r="T147" s="7" t="str">
        <f t="shared" si="0"/>
        <v>11_1991</v>
      </c>
      <c r="U147" s="247">
        <f t="shared" si="1"/>
        <v>136.19999999999999</v>
      </c>
      <c r="V147" s="248">
        <f t="shared" si="26"/>
        <v>0.66378837051313933</v>
      </c>
      <c r="W147" s="248">
        <f t="shared" si="3"/>
        <v>0.33621162948686067</v>
      </c>
      <c r="X147" s="248">
        <f t="shared" si="27"/>
        <v>0.49118247548238791</v>
      </c>
      <c r="Y147" s="248">
        <f t="shared" si="5"/>
        <v>0.50881752451761209</v>
      </c>
      <c r="Z147" s="7"/>
    </row>
    <row r="148" spans="1:26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69">
        <f>Q136+1</f>
        <v>1991</v>
      </c>
      <c r="R148" s="69">
        <v>12</v>
      </c>
      <c r="S148" s="89" t="s">
        <v>1517</v>
      </c>
      <c r="T148" s="7" t="str">
        <f t="shared" si="0"/>
        <v>12_1991</v>
      </c>
      <c r="U148" s="247">
        <f t="shared" si="1"/>
        <v>136.19999999999999</v>
      </c>
      <c r="V148" s="248">
        <f>+(V160*U148/U160)/(V160*U148/U160+W160*AVERAGE(U148,'PPI USA'!T154)/AVERAGE(U160,'PPI USA'!T166))</f>
        <v>0.66378837051313933</v>
      </c>
      <c r="W148" s="248">
        <f t="shared" si="3"/>
        <v>0.33621162948686067</v>
      </c>
      <c r="X148" s="248">
        <f>+(X160*$U148/$U160)/(X160*$U148/$U160+Y160*AVERAGE($U148,'PPI USA'!$T154)/AVERAGE($U160,'PPI USA'!$T166))</f>
        <v>0.49118247548238791</v>
      </c>
      <c r="Y148" s="248">
        <f t="shared" si="5"/>
        <v>0.50881752451761209</v>
      </c>
      <c r="Z148" s="7"/>
    </row>
    <row r="149" spans="1:26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69">
        <f>Q148+1</f>
        <v>1992</v>
      </c>
      <c r="R149" s="69">
        <v>1</v>
      </c>
      <c r="S149" s="89" t="s">
        <v>1517</v>
      </c>
      <c r="T149" s="7" t="str">
        <f t="shared" si="0"/>
        <v>1_1992</v>
      </c>
      <c r="U149" s="247">
        <f t="shared" si="1"/>
        <v>140.30000000000001</v>
      </c>
      <c r="V149" s="248">
        <f t="shared" ref="V149:V159" si="30">+V150</f>
        <v>0.66551796838088617</v>
      </c>
      <c r="W149" s="248">
        <f t="shared" si="3"/>
        <v>0.33448203161911383</v>
      </c>
      <c r="X149" s="248">
        <f t="shared" ref="X149:X159" si="31">+X150</f>
        <v>0.49312197215478087</v>
      </c>
      <c r="Y149" s="248">
        <f t="shared" si="5"/>
        <v>0.50687802784521918</v>
      </c>
      <c r="Z149" s="7"/>
    </row>
    <row r="150" spans="1:26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69">
        <f>Q148+1</f>
        <v>1992</v>
      </c>
      <c r="R150" s="69">
        <v>2</v>
      </c>
      <c r="S150" s="89" t="s">
        <v>1517</v>
      </c>
      <c r="T150" s="7" t="str">
        <f t="shared" si="0"/>
        <v>2_1992</v>
      </c>
      <c r="U150" s="247">
        <f t="shared" si="1"/>
        <v>140.30000000000001</v>
      </c>
      <c r="V150" s="248">
        <f t="shared" si="30"/>
        <v>0.66551796838088617</v>
      </c>
      <c r="W150" s="248">
        <f t="shared" si="3"/>
        <v>0.33448203161911383</v>
      </c>
      <c r="X150" s="248">
        <f t="shared" si="31"/>
        <v>0.49312197215478087</v>
      </c>
      <c r="Y150" s="248">
        <f t="shared" si="5"/>
        <v>0.50687802784521918</v>
      </c>
      <c r="Z150" s="7"/>
    </row>
    <row r="151" spans="1:26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69">
        <f>Q148+1</f>
        <v>1992</v>
      </c>
      <c r="R151" s="69">
        <v>3</v>
      </c>
      <c r="S151" s="89" t="s">
        <v>1517</v>
      </c>
      <c r="T151" s="7" t="str">
        <f t="shared" si="0"/>
        <v>3_1992</v>
      </c>
      <c r="U151" s="247">
        <f t="shared" si="1"/>
        <v>140.30000000000001</v>
      </c>
      <c r="V151" s="248">
        <f t="shared" si="30"/>
        <v>0.66551796838088617</v>
      </c>
      <c r="W151" s="248">
        <f t="shared" si="3"/>
        <v>0.33448203161911383</v>
      </c>
      <c r="X151" s="248">
        <f t="shared" si="31"/>
        <v>0.49312197215478087</v>
      </c>
      <c r="Y151" s="248">
        <f t="shared" si="5"/>
        <v>0.50687802784521918</v>
      </c>
      <c r="Z151" s="7"/>
    </row>
    <row r="152" spans="1:26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69">
        <f>Q148+1</f>
        <v>1992</v>
      </c>
      <c r="R152" s="69">
        <v>4</v>
      </c>
      <c r="S152" s="89" t="s">
        <v>1517</v>
      </c>
      <c r="T152" s="7" t="str">
        <f t="shared" si="0"/>
        <v>4_1992</v>
      </c>
      <c r="U152" s="247">
        <f t="shared" si="1"/>
        <v>140.30000000000001</v>
      </c>
      <c r="V152" s="248">
        <f t="shared" si="30"/>
        <v>0.66551796838088617</v>
      </c>
      <c r="W152" s="248">
        <f t="shared" si="3"/>
        <v>0.33448203161911383</v>
      </c>
      <c r="X152" s="248">
        <f t="shared" si="31"/>
        <v>0.49312197215478087</v>
      </c>
      <c r="Y152" s="248">
        <f t="shared" si="5"/>
        <v>0.50687802784521918</v>
      </c>
      <c r="Z152" s="7"/>
    </row>
    <row r="153" spans="1:26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69">
        <f>Q148+1</f>
        <v>1992</v>
      </c>
      <c r="R153" s="69">
        <v>5</v>
      </c>
      <c r="S153" s="89" t="s">
        <v>1517</v>
      </c>
      <c r="T153" s="7" t="str">
        <f t="shared" si="0"/>
        <v>5_1992</v>
      </c>
      <c r="U153" s="247">
        <f t="shared" si="1"/>
        <v>140.30000000000001</v>
      </c>
      <c r="V153" s="248">
        <f t="shared" si="30"/>
        <v>0.66551796838088617</v>
      </c>
      <c r="W153" s="248">
        <f t="shared" si="3"/>
        <v>0.33448203161911383</v>
      </c>
      <c r="X153" s="248">
        <f t="shared" si="31"/>
        <v>0.49312197215478087</v>
      </c>
      <c r="Y153" s="248">
        <f t="shared" si="5"/>
        <v>0.50687802784521918</v>
      </c>
      <c r="Z153" s="7"/>
    </row>
    <row r="154" spans="1:26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69">
        <f>Q148+1</f>
        <v>1992</v>
      </c>
      <c r="R154" s="69">
        <v>6</v>
      </c>
      <c r="S154" s="89" t="s">
        <v>1517</v>
      </c>
      <c r="T154" s="7" t="str">
        <f t="shared" si="0"/>
        <v>6_1992</v>
      </c>
      <c r="U154" s="247">
        <f t="shared" si="1"/>
        <v>140.30000000000001</v>
      </c>
      <c r="V154" s="248">
        <f t="shared" si="30"/>
        <v>0.66551796838088617</v>
      </c>
      <c r="W154" s="248">
        <f t="shared" si="3"/>
        <v>0.33448203161911383</v>
      </c>
      <c r="X154" s="248">
        <f t="shared" si="31"/>
        <v>0.49312197215478087</v>
      </c>
      <c r="Y154" s="248">
        <f t="shared" si="5"/>
        <v>0.50687802784521918</v>
      </c>
      <c r="Z154" s="7"/>
    </row>
    <row r="155" spans="1:26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69">
        <f>Q148+1</f>
        <v>1992</v>
      </c>
      <c r="R155" s="69">
        <v>7</v>
      </c>
      <c r="S155" s="89" t="s">
        <v>1517</v>
      </c>
      <c r="T155" s="7" t="str">
        <f t="shared" si="0"/>
        <v>7_1992</v>
      </c>
      <c r="U155" s="247">
        <f t="shared" si="1"/>
        <v>140.30000000000001</v>
      </c>
      <c r="V155" s="248">
        <f t="shared" si="30"/>
        <v>0.66551796838088617</v>
      </c>
      <c r="W155" s="248">
        <f t="shared" si="3"/>
        <v>0.33448203161911383</v>
      </c>
      <c r="X155" s="248">
        <f t="shared" si="31"/>
        <v>0.49312197215478087</v>
      </c>
      <c r="Y155" s="248">
        <f t="shared" si="5"/>
        <v>0.50687802784521918</v>
      </c>
      <c r="Z155" s="7"/>
    </row>
    <row r="156" spans="1:26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69">
        <f>Q148+1</f>
        <v>1992</v>
      </c>
      <c r="R156" s="69">
        <v>8</v>
      </c>
      <c r="S156" s="89" t="s">
        <v>1517</v>
      </c>
      <c r="T156" s="7" t="str">
        <f t="shared" si="0"/>
        <v>8_1992</v>
      </c>
      <c r="U156" s="247">
        <f t="shared" si="1"/>
        <v>140.30000000000001</v>
      </c>
      <c r="V156" s="248">
        <f t="shared" si="30"/>
        <v>0.66551796838088617</v>
      </c>
      <c r="W156" s="248">
        <f t="shared" si="3"/>
        <v>0.33448203161911383</v>
      </c>
      <c r="X156" s="248">
        <f t="shared" si="31"/>
        <v>0.49312197215478087</v>
      </c>
      <c r="Y156" s="248">
        <f t="shared" si="5"/>
        <v>0.50687802784521918</v>
      </c>
      <c r="Z156" s="7"/>
    </row>
    <row r="157" spans="1:26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69">
        <f>Q148+1</f>
        <v>1992</v>
      </c>
      <c r="R157" s="69">
        <v>9</v>
      </c>
      <c r="S157" s="89" t="s">
        <v>1517</v>
      </c>
      <c r="T157" s="7" t="str">
        <f t="shared" si="0"/>
        <v>9_1992</v>
      </c>
      <c r="U157" s="247">
        <f t="shared" si="1"/>
        <v>140.30000000000001</v>
      </c>
      <c r="V157" s="248">
        <f t="shared" si="30"/>
        <v>0.66551796838088617</v>
      </c>
      <c r="W157" s="248">
        <f t="shared" si="3"/>
        <v>0.33448203161911383</v>
      </c>
      <c r="X157" s="248">
        <f t="shared" si="31"/>
        <v>0.49312197215478087</v>
      </c>
      <c r="Y157" s="248">
        <f t="shared" si="5"/>
        <v>0.50687802784521918</v>
      </c>
      <c r="Z157" s="7"/>
    </row>
    <row r="158" spans="1:26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69">
        <f>Q148+1</f>
        <v>1992</v>
      </c>
      <c r="R158" s="69">
        <v>10</v>
      </c>
      <c r="S158" s="89" t="s">
        <v>1517</v>
      </c>
      <c r="T158" s="7" t="str">
        <f t="shared" si="0"/>
        <v>10_1992</v>
      </c>
      <c r="U158" s="247">
        <f t="shared" si="1"/>
        <v>140.30000000000001</v>
      </c>
      <c r="V158" s="248">
        <f t="shared" si="30"/>
        <v>0.66551796838088617</v>
      </c>
      <c r="W158" s="248">
        <f t="shared" si="3"/>
        <v>0.33448203161911383</v>
      </c>
      <c r="X158" s="248">
        <f t="shared" si="31"/>
        <v>0.49312197215478087</v>
      </c>
      <c r="Y158" s="248">
        <f t="shared" si="5"/>
        <v>0.50687802784521918</v>
      </c>
      <c r="Z158" s="7"/>
    </row>
    <row r="159" spans="1:26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69">
        <f>Q148+1</f>
        <v>1992</v>
      </c>
      <c r="R159" s="69">
        <v>11</v>
      </c>
      <c r="S159" s="89" t="s">
        <v>1517</v>
      </c>
      <c r="T159" s="7" t="str">
        <f t="shared" si="0"/>
        <v>11_1992</v>
      </c>
      <c r="U159" s="247">
        <f t="shared" si="1"/>
        <v>140.30000000000001</v>
      </c>
      <c r="V159" s="248">
        <f t="shared" si="30"/>
        <v>0.66551796838088617</v>
      </c>
      <c r="W159" s="248">
        <f t="shared" si="3"/>
        <v>0.33448203161911383</v>
      </c>
      <c r="X159" s="248">
        <f t="shared" si="31"/>
        <v>0.49312197215478087</v>
      </c>
      <c r="Y159" s="248">
        <f t="shared" si="5"/>
        <v>0.50687802784521918</v>
      </c>
      <c r="Z159" s="7"/>
    </row>
    <row r="160" spans="1:26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69">
        <f>Q148+1</f>
        <v>1992</v>
      </c>
      <c r="R160" s="69">
        <v>12</v>
      </c>
      <c r="S160" s="89" t="s">
        <v>1517</v>
      </c>
      <c r="T160" s="7" t="str">
        <f t="shared" si="0"/>
        <v>12_1992</v>
      </c>
      <c r="U160" s="247">
        <f t="shared" si="1"/>
        <v>140.30000000000001</v>
      </c>
      <c r="V160" s="248">
        <f>+(V172*U160/U172)/(V172*U160/U172+W172*AVERAGE(U160,'PPI USA'!T166)/AVERAGE(U172,'PPI USA'!T178))</f>
        <v>0.66551796838088617</v>
      </c>
      <c r="W160" s="248">
        <f t="shared" si="3"/>
        <v>0.33448203161911383</v>
      </c>
      <c r="X160" s="248">
        <f>+(X172*$U160/$U172)/(X172*$U160/$U172+Y172*AVERAGE($U160,'PPI USA'!$T166)/AVERAGE($U172,'PPI USA'!$T178))</f>
        <v>0.49312197215478087</v>
      </c>
      <c r="Y160" s="248">
        <f t="shared" si="5"/>
        <v>0.50687802784521918</v>
      </c>
      <c r="Z160" s="7"/>
    </row>
    <row r="161" spans="1:26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69">
        <f>Q160+1</f>
        <v>1993</v>
      </c>
      <c r="R161" s="69">
        <v>1</v>
      </c>
      <c r="S161" s="89" t="s">
        <v>1517</v>
      </c>
      <c r="T161" s="7" t="str">
        <f t="shared" si="0"/>
        <v>1_1993</v>
      </c>
      <c r="U161" s="247">
        <f t="shared" si="1"/>
        <v>144.5</v>
      </c>
      <c r="V161" s="248">
        <f t="shared" ref="V161:V171" si="32">+V162</f>
        <v>0.66766017622336205</v>
      </c>
      <c r="W161" s="248">
        <f t="shared" si="3"/>
        <v>0.33233982377663795</v>
      </c>
      <c r="X161" s="248">
        <f t="shared" ref="X161:X171" si="33">+X162</f>
        <v>0.49553136688361454</v>
      </c>
      <c r="Y161" s="248">
        <f t="shared" si="5"/>
        <v>0.50446863311638546</v>
      </c>
      <c r="Z161" s="7"/>
    </row>
    <row r="162" spans="1:26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69">
        <f>Q160+1</f>
        <v>1993</v>
      </c>
      <c r="R162" s="69">
        <v>2</v>
      </c>
      <c r="S162" s="89" t="s">
        <v>1517</v>
      </c>
      <c r="T162" s="7" t="str">
        <f t="shared" si="0"/>
        <v>2_1993</v>
      </c>
      <c r="U162" s="247">
        <f t="shared" si="1"/>
        <v>144.5</v>
      </c>
      <c r="V162" s="248">
        <f t="shared" si="32"/>
        <v>0.66766017622336205</v>
      </c>
      <c r="W162" s="248">
        <f t="shared" si="3"/>
        <v>0.33233982377663795</v>
      </c>
      <c r="X162" s="248">
        <f t="shared" si="33"/>
        <v>0.49553136688361454</v>
      </c>
      <c r="Y162" s="248">
        <f t="shared" si="5"/>
        <v>0.50446863311638546</v>
      </c>
      <c r="Z162" s="7"/>
    </row>
    <row r="163" spans="1:26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69">
        <f>Q160+1</f>
        <v>1993</v>
      </c>
      <c r="R163" s="69">
        <v>3</v>
      </c>
      <c r="S163" s="89" t="s">
        <v>1517</v>
      </c>
      <c r="T163" s="7" t="str">
        <f t="shared" si="0"/>
        <v>3_1993</v>
      </c>
      <c r="U163" s="247">
        <f t="shared" si="1"/>
        <v>144.5</v>
      </c>
      <c r="V163" s="248">
        <f t="shared" si="32"/>
        <v>0.66766017622336205</v>
      </c>
      <c r="W163" s="248">
        <f t="shared" si="3"/>
        <v>0.33233982377663795</v>
      </c>
      <c r="X163" s="248">
        <f t="shared" si="33"/>
        <v>0.49553136688361454</v>
      </c>
      <c r="Y163" s="248">
        <f t="shared" si="5"/>
        <v>0.50446863311638546</v>
      </c>
      <c r="Z163" s="7"/>
    </row>
    <row r="164" spans="1:26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69">
        <f>Q160+1</f>
        <v>1993</v>
      </c>
      <c r="R164" s="69">
        <v>4</v>
      </c>
      <c r="S164" s="89" t="s">
        <v>1517</v>
      </c>
      <c r="T164" s="7" t="str">
        <f t="shared" si="0"/>
        <v>4_1993</v>
      </c>
      <c r="U164" s="247">
        <f t="shared" si="1"/>
        <v>144.5</v>
      </c>
      <c r="V164" s="248">
        <f t="shared" si="32"/>
        <v>0.66766017622336205</v>
      </c>
      <c r="W164" s="248">
        <f t="shared" si="3"/>
        <v>0.33233982377663795</v>
      </c>
      <c r="X164" s="248">
        <f t="shared" si="33"/>
        <v>0.49553136688361454</v>
      </c>
      <c r="Y164" s="248">
        <f t="shared" si="5"/>
        <v>0.50446863311638546</v>
      </c>
      <c r="Z164" s="7"/>
    </row>
    <row r="165" spans="1:26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69">
        <f>Q160+1</f>
        <v>1993</v>
      </c>
      <c r="R165" s="69">
        <v>5</v>
      </c>
      <c r="S165" s="89" t="s">
        <v>1517</v>
      </c>
      <c r="T165" s="7" t="str">
        <f t="shared" si="0"/>
        <v>5_1993</v>
      </c>
      <c r="U165" s="247">
        <f t="shared" si="1"/>
        <v>144.5</v>
      </c>
      <c r="V165" s="248">
        <f t="shared" si="32"/>
        <v>0.66766017622336205</v>
      </c>
      <c r="W165" s="248">
        <f t="shared" si="3"/>
        <v>0.33233982377663795</v>
      </c>
      <c r="X165" s="248">
        <f t="shared" si="33"/>
        <v>0.49553136688361454</v>
      </c>
      <c r="Y165" s="248">
        <f t="shared" si="5"/>
        <v>0.50446863311638546</v>
      </c>
      <c r="Z165" s="7"/>
    </row>
    <row r="166" spans="1:26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69">
        <f>Q160+1</f>
        <v>1993</v>
      </c>
      <c r="R166" s="69">
        <v>6</v>
      </c>
      <c r="S166" s="89" t="s">
        <v>1517</v>
      </c>
      <c r="T166" s="7" t="str">
        <f t="shared" si="0"/>
        <v>6_1993</v>
      </c>
      <c r="U166" s="247">
        <f t="shared" si="1"/>
        <v>144.5</v>
      </c>
      <c r="V166" s="248">
        <f t="shared" si="32"/>
        <v>0.66766017622336205</v>
      </c>
      <c r="W166" s="248">
        <f t="shared" si="3"/>
        <v>0.33233982377663795</v>
      </c>
      <c r="X166" s="248">
        <f t="shared" si="33"/>
        <v>0.49553136688361454</v>
      </c>
      <c r="Y166" s="248">
        <f t="shared" si="5"/>
        <v>0.50446863311638546</v>
      </c>
      <c r="Z166" s="7"/>
    </row>
    <row r="167" spans="1:26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69">
        <f>Q160+1</f>
        <v>1993</v>
      </c>
      <c r="R167" s="69">
        <v>7</v>
      </c>
      <c r="S167" s="89" t="s">
        <v>1517</v>
      </c>
      <c r="T167" s="7" t="str">
        <f t="shared" si="0"/>
        <v>7_1993</v>
      </c>
      <c r="U167" s="247">
        <f t="shared" si="1"/>
        <v>144.5</v>
      </c>
      <c r="V167" s="248">
        <f t="shared" si="32"/>
        <v>0.66766017622336205</v>
      </c>
      <c r="W167" s="248">
        <f t="shared" si="3"/>
        <v>0.33233982377663795</v>
      </c>
      <c r="X167" s="248">
        <f t="shared" si="33"/>
        <v>0.49553136688361454</v>
      </c>
      <c r="Y167" s="248">
        <f t="shared" si="5"/>
        <v>0.50446863311638546</v>
      </c>
      <c r="Z167" s="7"/>
    </row>
    <row r="168" spans="1:26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69">
        <f>Q160+1</f>
        <v>1993</v>
      </c>
      <c r="R168" s="69">
        <v>8</v>
      </c>
      <c r="S168" s="89" t="s">
        <v>1517</v>
      </c>
      <c r="T168" s="7" t="str">
        <f t="shared" si="0"/>
        <v>8_1993</v>
      </c>
      <c r="U168" s="247">
        <f t="shared" si="1"/>
        <v>144.5</v>
      </c>
      <c r="V168" s="248">
        <f t="shared" si="32"/>
        <v>0.66766017622336205</v>
      </c>
      <c r="W168" s="248">
        <f t="shared" si="3"/>
        <v>0.33233982377663795</v>
      </c>
      <c r="X168" s="248">
        <f t="shared" si="33"/>
        <v>0.49553136688361454</v>
      </c>
      <c r="Y168" s="248">
        <f t="shared" si="5"/>
        <v>0.50446863311638546</v>
      </c>
      <c r="Z168" s="7"/>
    </row>
    <row r="169" spans="1:26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69">
        <f>Q160+1</f>
        <v>1993</v>
      </c>
      <c r="R169" s="69">
        <v>9</v>
      </c>
      <c r="S169" s="89" t="s">
        <v>1517</v>
      </c>
      <c r="T169" s="7" t="str">
        <f t="shared" si="0"/>
        <v>9_1993</v>
      </c>
      <c r="U169" s="247">
        <f t="shared" si="1"/>
        <v>144.5</v>
      </c>
      <c r="V169" s="248">
        <f t="shared" si="32"/>
        <v>0.66766017622336205</v>
      </c>
      <c r="W169" s="248">
        <f t="shared" si="3"/>
        <v>0.33233982377663795</v>
      </c>
      <c r="X169" s="248">
        <f t="shared" si="33"/>
        <v>0.49553136688361454</v>
      </c>
      <c r="Y169" s="248">
        <f t="shared" si="5"/>
        <v>0.50446863311638546</v>
      </c>
      <c r="Z169" s="7"/>
    </row>
    <row r="170" spans="1:26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69">
        <f>Q160+1</f>
        <v>1993</v>
      </c>
      <c r="R170" s="69">
        <v>10</v>
      </c>
      <c r="S170" s="89" t="s">
        <v>1517</v>
      </c>
      <c r="T170" s="7" t="str">
        <f t="shared" si="0"/>
        <v>10_1993</v>
      </c>
      <c r="U170" s="247">
        <f t="shared" si="1"/>
        <v>144.5</v>
      </c>
      <c r="V170" s="248">
        <f t="shared" si="32"/>
        <v>0.66766017622336205</v>
      </c>
      <c r="W170" s="248">
        <f t="shared" si="3"/>
        <v>0.33233982377663795</v>
      </c>
      <c r="X170" s="248">
        <f t="shared" si="33"/>
        <v>0.49553136688361454</v>
      </c>
      <c r="Y170" s="248">
        <f t="shared" si="5"/>
        <v>0.50446863311638546</v>
      </c>
      <c r="Z170" s="7"/>
    </row>
    <row r="171" spans="1:26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69">
        <f>Q160+1</f>
        <v>1993</v>
      </c>
      <c r="R171" s="69">
        <v>11</v>
      </c>
      <c r="S171" s="89" t="s">
        <v>1517</v>
      </c>
      <c r="T171" s="7" t="str">
        <f t="shared" si="0"/>
        <v>11_1993</v>
      </c>
      <c r="U171" s="247">
        <f t="shared" si="1"/>
        <v>144.5</v>
      </c>
      <c r="V171" s="248">
        <f t="shared" si="32"/>
        <v>0.66766017622336205</v>
      </c>
      <c r="W171" s="248">
        <f t="shared" si="3"/>
        <v>0.33233982377663795</v>
      </c>
      <c r="X171" s="248">
        <f t="shared" si="33"/>
        <v>0.49553136688361454</v>
      </c>
      <c r="Y171" s="248">
        <f t="shared" si="5"/>
        <v>0.50446863311638546</v>
      </c>
      <c r="Z171" s="7"/>
    </row>
    <row r="172" spans="1:26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69">
        <f>Q160+1</f>
        <v>1993</v>
      </c>
      <c r="R172" s="69">
        <v>12</v>
      </c>
      <c r="S172" s="89" t="s">
        <v>1517</v>
      </c>
      <c r="T172" s="7" t="str">
        <f t="shared" si="0"/>
        <v>12_1993</v>
      </c>
      <c r="U172" s="247">
        <f t="shared" si="1"/>
        <v>144.5</v>
      </c>
      <c r="V172" s="248">
        <f>+(V184*U172/U184)/(V184*U172/U184+W184*AVERAGE(U172,'PPI USA'!T178)/AVERAGE(U184,'PPI USA'!T190))</f>
        <v>0.66766017622336205</v>
      </c>
      <c r="W172" s="248">
        <f t="shared" si="3"/>
        <v>0.33233982377663795</v>
      </c>
      <c r="X172" s="248">
        <f>+(X184*$U172/$U184)/(X184*$U172/$U184+Y184*AVERAGE($U172,'PPI USA'!$T178)/AVERAGE($U184,'PPI USA'!$T190))</f>
        <v>0.49553136688361454</v>
      </c>
      <c r="Y172" s="248">
        <f t="shared" si="5"/>
        <v>0.50446863311638546</v>
      </c>
      <c r="Z172" s="7"/>
    </row>
    <row r="173" spans="1:26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69">
        <f>Q172+1</f>
        <v>1994</v>
      </c>
      <c r="R173" s="69">
        <v>1</v>
      </c>
      <c r="S173" s="89" t="s">
        <v>1517</v>
      </c>
      <c r="T173" s="7" t="str">
        <f t="shared" si="0"/>
        <v>1_1994</v>
      </c>
      <c r="U173" s="247">
        <f t="shared" si="1"/>
        <v>148.19999999999999</v>
      </c>
      <c r="V173" s="248">
        <f t="shared" ref="V173:V183" si="34">+V174</f>
        <v>0.67109055661737993</v>
      </c>
      <c r="W173" s="248">
        <f t="shared" si="3"/>
        <v>0.32890944338262007</v>
      </c>
      <c r="X173" s="248">
        <f t="shared" ref="X173:X183" si="35">+X174</f>
        <v>0.49940632466039137</v>
      </c>
      <c r="Y173" s="248">
        <f t="shared" si="5"/>
        <v>0.50059367533960863</v>
      </c>
      <c r="Z173" s="7"/>
    </row>
    <row r="174" spans="1:26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69">
        <f>Q172+1</f>
        <v>1994</v>
      </c>
      <c r="R174" s="69">
        <v>2</v>
      </c>
      <c r="S174" s="89" t="s">
        <v>1517</v>
      </c>
      <c r="T174" s="7" t="str">
        <f t="shared" si="0"/>
        <v>2_1994</v>
      </c>
      <c r="U174" s="247">
        <f t="shared" si="1"/>
        <v>148.19999999999999</v>
      </c>
      <c r="V174" s="248">
        <f t="shared" si="34"/>
        <v>0.67109055661737993</v>
      </c>
      <c r="W174" s="248">
        <f t="shared" si="3"/>
        <v>0.32890944338262007</v>
      </c>
      <c r="X174" s="248">
        <f t="shared" si="35"/>
        <v>0.49940632466039137</v>
      </c>
      <c r="Y174" s="248">
        <f t="shared" si="5"/>
        <v>0.50059367533960863</v>
      </c>
      <c r="Z174" s="7"/>
    </row>
    <row r="175" spans="1:26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69">
        <f>Q172+1</f>
        <v>1994</v>
      </c>
      <c r="R175" s="69">
        <v>3</v>
      </c>
      <c r="S175" s="89" t="s">
        <v>1517</v>
      </c>
      <c r="T175" s="7" t="str">
        <f t="shared" si="0"/>
        <v>3_1994</v>
      </c>
      <c r="U175" s="247">
        <f t="shared" si="1"/>
        <v>148.19999999999999</v>
      </c>
      <c r="V175" s="248">
        <f t="shared" si="34"/>
        <v>0.67109055661737993</v>
      </c>
      <c r="W175" s="248">
        <f t="shared" si="3"/>
        <v>0.32890944338262007</v>
      </c>
      <c r="X175" s="248">
        <f t="shared" si="35"/>
        <v>0.49940632466039137</v>
      </c>
      <c r="Y175" s="248">
        <f t="shared" si="5"/>
        <v>0.50059367533960863</v>
      </c>
      <c r="Z175" s="7"/>
    </row>
    <row r="176" spans="1:26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69">
        <f>Q172+1</f>
        <v>1994</v>
      </c>
      <c r="R176" s="69">
        <v>4</v>
      </c>
      <c r="S176" s="89" t="s">
        <v>1517</v>
      </c>
      <c r="T176" s="7" t="str">
        <f t="shared" si="0"/>
        <v>4_1994</v>
      </c>
      <c r="U176" s="247">
        <f t="shared" si="1"/>
        <v>148.19999999999999</v>
      </c>
      <c r="V176" s="248">
        <f t="shared" si="34"/>
        <v>0.67109055661737993</v>
      </c>
      <c r="W176" s="248">
        <f t="shared" si="3"/>
        <v>0.32890944338262007</v>
      </c>
      <c r="X176" s="248">
        <f t="shared" si="35"/>
        <v>0.49940632466039137</v>
      </c>
      <c r="Y176" s="248">
        <f t="shared" si="5"/>
        <v>0.50059367533960863</v>
      </c>
      <c r="Z176" s="7"/>
    </row>
    <row r="177" spans="1:26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69">
        <f>Q172+1</f>
        <v>1994</v>
      </c>
      <c r="R177" s="69">
        <v>5</v>
      </c>
      <c r="S177" s="89" t="s">
        <v>1517</v>
      </c>
      <c r="T177" s="7" t="str">
        <f t="shared" si="0"/>
        <v>5_1994</v>
      </c>
      <c r="U177" s="247">
        <f t="shared" si="1"/>
        <v>148.19999999999999</v>
      </c>
      <c r="V177" s="248">
        <f t="shared" si="34"/>
        <v>0.67109055661737993</v>
      </c>
      <c r="W177" s="248">
        <f t="shared" si="3"/>
        <v>0.32890944338262007</v>
      </c>
      <c r="X177" s="248">
        <f t="shared" si="35"/>
        <v>0.49940632466039137</v>
      </c>
      <c r="Y177" s="248">
        <f t="shared" si="5"/>
        <v>0.50059367533960863</v>
      </c>
      <c r="Z177" s="7"/>
    </row>
    <row r="178" spans="1:26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69">
        <f>Q172+1</f>
        <v>1994</v>
      </c>
      <c r="R178" s="69">
        <v>6</v>
      </c>
      <c r="S178" s="89" t="s">
        <v>1517</v>
      </c>
      <c r="T178" s="7" t="str">
        <f t="shared" si="0"/>
        <v>6_1994</v>
      </c>
      <c r="U178" s="247">
        <f t="shared" si="1"/>
        <v>148.19999999999999</v>
      </c>
      <c r="V178" s="248">
        <f t="shared" si="34"/>
        <v>0.67109055661737993</v>
      </c>
      <c r="W178" s="248">
        <f t="shared" si="3"/>
        <v>0.32890944338262007</v>
      </c>
      <c r="X178" s="248">
        <f t="shared" si="35"/>
        <v>0.49940632466039137</v>
      </c>
      <c r="Y178" s="248">
        <f t="shared" si="5"/>
        <v>0.50059367533960863</v>
      </c>
      <c r="Z178" s="7"/>
    </row>
    <row r="179" spans="1:26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69">
        <f>Q172+1</f>
        <v>1994</v>
      </c>
      <c r="R179" s="69">
        <v>7</v>
      </c>
      <c r="S179" s="89" t="s">
        <v>1517</v>
      </c>
      <c r="T179" s="7" t="str">
        <f t="shared" si="0"/>
        <v>7_1994</v>
      </c>
      <c r="U179" s="247">
        <f t="shared" si="1"/>
        <v>148.19999999999999</v>
      </c>
      <c r="V179" s="248">
        <f t="shared" si="34"/>
        <v>0.67109055661737993</v>
      </c>
      <c r="W179" s="248">
        <f t="shared" si="3"/>
        <v>0.32890944338262007</v>
      </c>
      <c r="X179" s="248">
        <f t="shared" si="35"/>
        <v>0.49940632466039137</v>
      </c>
      <c r="Y179" s="248">
        <f t="shared" si="5"/>
        <v>0.50059367533960863</v>
      </c>
      <c r="Z179" s="7"/>
    </row>
    <row r="180" spans="1:26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69">
        <f>Q172+1</f>
        <v>1994</v>
      </c>
      <c r="R180" s="69">
        <v>8</v>
      </c>
      <c r="S180" s="89" t="s">
        <v>1517</v>
      </c>
      <c r="T180" s="7" t="str">
        <f t="shared" si="0"/>
        <v>8_1994</v>
      </c>
      <c r="U180" s="247">
        <f t="shared" si="1"/>
        <v>148.19999999999999</v>
      </c>
      <c r="V180" s="248">
        <f t="shared" si="34"/>
        <v>0.67109055661737993</v>
      </c>
      <c r="W180" s="248">
        <f t="shared" si="3"/>
        <v>0.32890944338262007</v>
      </c>
      <c r="X180" s="248">
        <f t="shared" si="35"/>
        <v>0.49940632466039137</v>
      </c>
      <c r="Y180" s="248">
        <f t="shared" si="5"/>
        <v>0.50059367533960863</v>
      </c>
      <c r="Z180" s="7"/>
    </row>
    <row r="181" spans="1:26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69">
        <f>Q172+1</f>
        <v>1994</v>
      </c>
      <c r="R181" s="69">
        <v>9</v>
      </c>
      <c r="S181" s="89" t="s">
        <v>1517</v>
      </c>
      <c r="T181" s="7" t="str">
        <f t="shared" si="0"/>
        <v>9_1994</v>
      </c>
      <c r="U181" s="247">
        <f t="shared" si="1"/>
        <v>148.19999999999999</v>
      </c>
      <c r="V181" s="248">
        <f t="shared" si="34"/>
        <v>0.67109055661737993</v>
      </c>
      <c r="W181" s="248">
        <f t="shared" si="3"/>
        <v>0.32890944338262007</v>
      </c>
      <c r="X181" s="248">
        <f t="shared" si="35"/>
        <v>0.49940632466039137</v>
      </c>
      <c r="Y181" s="248">
        <f t="shared" si="5"/>
        <v>0.50059367533960863</v>
      </c>
      <c r="Z181" s="7"/>
    </row>
    <row r="182" spans="1:26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69">
        <f>Q172+1</f>
        <v>1994</v>
      </c>
      <c r="R182" s="69">
        <v>10</v>
      </c>
      <c r="S182" s="89" t="s">
        <v>1517</v>
      </c>
      <c r="T182" s="7" t="str">
        <f t="shared" si="0"/>
        <v>10_1994</v>
      </c>
      <c r="U182" s="247">
        <f t="shared" si="1"/>
        <v>148.19999999999999</v>
      </c>
      <c r="V182" s="248">
        <f t="shared" si="34"/>
        <v>0.67109055661737993</v>
      </c>
      <c r="W182" s="248">
        <f t="shared" si="3"/>
        <v>0.32890944338262007</v>
      </c>
      <c r="X182" s="248">
        <f t="shared" si="35"/>
        <v>0.49940632466039137</v>
      </c>
      <c r="Y182" s="248">
        <f t="shared" si="5"/>
        <v>0.50059367533960863</v>
      </c>
      <c r="Z182" s="7"/>
    </row>
    <row r="183" spans="1:26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69">
        <f>Q172+1</f>
        <v>1994</v>
      </c>
      <c r="R183" s="69">
        <v>11</v>
      </c>
      <c r="S183" s="89" t="s">
        <v>1517</v>
      </c>
      <c r="T183" s="7" t="str">
        <f t="shared" si="0"/>
        <v>11_1994</v>
      </c>
      <c r="U183" s="247">
        <f t="shared" si="1"/>
        <v>148.19999999999999</v>
      </c>
      <c r="V183" s="248">
        <f t="shared" si="34"/>
        <v>0.67109055661737993</v>
      </c>
      <c r="W183" s="248">
        <f t="shared" si="3"/>
        <v>0.32890944338262007</v>
      </c>
      <c r="X183" s="248">
        <f t="shared" si="35"/>
        <v>0.49940632466039137</v>
      </c>
      <c r="Y183" s="248">
        <f t="shared" si="5"/>
        <v>0.50059367533960863</v>
      </c>
      <c r="Z183" s="7"/>
    </row>
    <row r="184" spans="1:26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69">
        <f>Q172+1</f>
        <v>1994</v>
      </c>
      <c r="R184" s="69">
        <v>12</v>
      </c>
      <c r="S184" s="89" t="s">
        <v>1517</v>
      </c>
      <c r="T184" s="7" t="str">
        <f t="shared" si="0"/>
        <v>12_1994</v>
      </c>
      <c r="U184" s="247">
        <f t="shared" si="1"/>
        <v>148.19999999999999</v>
      </c>
      <c r="V184" s="248">
        <f>+(V196*U184/U196)/(V196*U184/U196+W196*AVERAGE(U184,'PPI USA'!T190)/AVERAGE(U196,'PPI USA'!T202))</f>
        <v>0.67109055661737993</v>
      </c>
      <c r="W184" s="248">
        <f t="shared" si="3"/>
        <v>0.32890944338262007</v>
      </c>
      <c r="X184" s="248">
        <f>+(X196*$U184/$U196)/(X196*$U184/$U196+Y196*AVERAGE($U184,'PPI USA'!$T190)/AVERAGE($U196,'PPI USA'!$T202))</f>
        <v>0.49940632466039137</v>
      </c>
      <c r="Y184" s="248">
        <f t="shared" si="5"/>
        <v>0.50059367533960863</v>
      </c>
      <c r="Z184" s="7"/>
    </row>
    <row r="185" spans="1:26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69">
        <f>Q184+1</f>
        <v>1995</v>
      </c>
      <c r="R185" s="69">
        <v>1</v>
      </c>
      <c r="S185" s="89" t="s">
        <v>1517</v>
      </c>
      <c r="T185" s="7" t="str">
        <f t="shared" si="0"/>
        <v>1_1995</v>
      </c>
      <c r="U185" s="247">
        <f t="shared" si="1"/>
        <v>152.4</v>
      </c>
      <c r="V185" s="248">
        <f t="shared" ref="V185:V195" si="36">+V186</f>
        <v>0.6724958174477923</v>
      </c>
      <c r="W185" s="248">
        <f t="shared" si="3"/>
        <v>0.3275041825522077</v>
      </c>
      <c r="X185" s="248">
        <f t="shared" ref="X185:X195" si="37">+X186</f>
        <v>0.50099968433343667</v>
      </c>
      <c r="Y185" s="248">
        <f t="shared" si="5"/>
        <v>0.49900031566656333</v>
      </c>
      <c r="Z185" s="7"/>
    </row>
    <row r="186" spans="1:26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69">
        <f>Q184+1</f>
        <v>1995</v>
      </c>
      <c r="R186" s="69">
        <v>2</v>
      </c>
      <c r="S186" s="89" t="s">
        <v>1517</v>
      </c>
      <c r="T186" s="7" t="str">
        <f t="shared" si="0"/>
        <v>2_1995</v>
      </c>
      <c r="U186" s="247">
        <f t="shared" si="1"/>
        <v>152.4</v>
      </c>
      <c r="V186" s="248">
        <f t="shared" si="36"/>
        <v>0.6724958174477923</v>
      </c>
      <c r="W186" s="248">
        <f t="shared" si="3"/>
        <v>0.3275041825522077</v>
      </c>
      <c r="X186" s="248">
        <f t="shared" si="37"/>
        <v>0.50099968433343667</v>
      </c>
      <c r="Y186" s="248">
        <f t="shared" si="5"/>
        <v>0.49900031566656333</v>
      </c>
      <c r="Z186" s="7"/>
    </row>
    <row r="187" spans="1:26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69">
        <f>Q184+1</f>
        <v>1995</v>
      </c>
      <c r="R187" s="69">
        <v>3</v>
      </c>
      <c r="S187" s="89" t="s">
        <v>1517</v>
      </c>
      <c r="T187" s="7" t="str">
        <f t="shared" si="0"/>
        <v>3_1995</v>
      </c>
      <c r="U187" s="247">
        <f t="shared" si="1"/>
        <v>152.4</v>
      </c>
      <c r="V187" s="248">
        <f t="shared" si="36"/>
        <v>0.6724958174477923</v>
      </c>
      <c r="W187" s="248">
        <f t="shared" si="3"/>
        <v>0.3275041825522077</v>
      </c>
      <c r="X187" s="248">
        <f t="shared" si="37"/>
        <v>0.50099968433343667</v>
      </c>
      <c r="Y187" s="248">
        <f t="shared" si="5"/>
        <v>0.49900031566656333</v>
      </c>
      <c r="Z187" s="7"/>
    </row>
    <row r="188" spans="1:26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69">
        <f>Q184+1</f>
        <v>1995</v>
      </c>
      <c r="R188" s="69">
        <v>4</v>
      </c>
      <c r="S188" s="89" t="s">
        <v>1517</v>
      </c>
      <c r="T188" s="7" t="str">
        <f t="shared" si="0"/>
        <v>4_1995</v>
      </c>
      <c r="U188" s="247">
        <f t="shared" si="1"/>
        <v>152.4</v>
      </c>
      <c r="V188" s="248">
        <f t="shared" si="36"/>
        <v>0.6724958174477923</v>
      </c>
      <c r="W188" s="248">
        <f t="shared" si="3"/>
        <v>0.3275041825522077</v>
      </c>
      <c r="X188" s="248">
        <f t="shared" si="37"/>
        <v>0.50099968433343667</v>
      </c>
      <c r="Y188" s="248">
        <f t="shared" si="5"/>
        <v>0.49900031566656333</v>
      </c>
      <c r="Z188" s="7"/>
    </row>
    <row r="189" spans="1:26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69">
        <f>Q184+1</f>
        <v>1995</v>
      </c>
      <c r="R189" s="69">
        <v>5</v>
      </c>
      <c r="S189" s="89" t="s">
        <v>1517</v>
      </c>
      <c r="T189" s="7" t="str">
        <f t="shared" si="0"/>
        <v>5_1995</v>
      </c>
      <c r="U189" s="247">
        <f t="shared" si="1"/>
        <v>152.4</v>
      </c>
      <c r="V189" s="248">
        <f t="shared" si="36"/>
        <v>0.6724958174477923</v>
      </c>
      <c r="W189" s="248">
        <f t="shared" si="3"/>
        <v>0.3275041825522077</v>
      </c>
      <c r="X189" s="248">
        <f t="shared" si="37"/>
        <v>0.50099968433343667</v>
      </c>
      <c r="Y189" s="248">
        <f t="shared" si="5"/>
        <v>0.49900031566656333</v>
      </c>
      <c r="Z189" s="7"/>
    </row>
    <row r="190" spans="1:26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69">
        <f>Q184+1</f>
        <v>1995</v>
      </c>
      <c r="R190" s="69">
        <v>6</v>
      </c>
      <c r="S190" s="89" t="s">
        <v>1517</v>
      </c>
      <c r="T190" s="7" t="str">
        <f t="shared" si="0"/>
        <v>6_1995</v>
      </c>
      <c r="U190" s="247">
        <f t="shared" si="1"/>
        <v>152.4</v>
      </c>
      <c r="V190" s="248">
        <f t="shared" si="36"/>
        <v>0.6724958174477923</v>
      </c>
      <c r="W190" s="248">
        <f t="shared" si="3"/>
        <v>0.3275041825522077</v>
      </c>
      <c r="X190" s="248">
        <f t="shared" si="37"/>
        <v>0.50099968433343667</v>
      </c>
      <c r="Y190" s="248">
        <f t="shared" si="5"/>
        <v>0.49900031566656333</v>
      </c>
      <c r="Z190" s="7"/>
    </row>
    <row r="191" spans="1:26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69">
        <f>Q184+1</f>
        <v>1995</v>
      </c>
      <c r="R191" s="69">
        <v>7</v>
      </c>
      <c r="S191" s="89" t="s">
        <v>1517</v>
      </c>
      <c r="T191" s="7" t="str">
        <f t="shared" si="0"/>
        <v>7_1995</v>
      </c>
      <c r="U191" s="247">
        <f t="shared" si="1"/>
        <v>152.4</v>
      </c>
      <c r="V191" s="248">
        <f t="shared" si="36"/>
        <v>0.6724958174477923</v>
      </c>
      <c r="W191" s="248">
        <f t="shared" si="3"/>
        <v>0.3275041825522077</v>
      </c>
      <c r="X191" s="248">
        <f t="shared" si="37"/>
        <v>0.50099968433343667</v>
      </c>
      <c r="Y191" s="248">
        <f t="shared" si="5"/>
        <v>0.49900031566656333</v>
      </c>
      <c r="Z191" s="7"/>
    </row>
    <row r="192" spans="1:26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69">
        <f>Q184+1</f>
        <v>1995</v>
      </c>
      <c r="R192" s="69">
        <v>8</v>
      </c>
      <c r="S192" s="89" t="s">
        <v>1517</v>
      </c>
      <c r="T192" s="7" t="str">
        <f t="shared" si="0"/>
        <v>8_1995</v>
      </c>
      <c r="U192" s="247">
        <f t="shared" si="1"/>
        <v>152.4</v>
      </c>
      <c r="V192" s="248">
        <f t="shared" si="36"/>
        <v>0.6724958174477923</v>
      </c>
      <c r="W192" s="248">
        <f t="shared" si="3"/>
        <v>0.3275041825522077</v>
      </c>
      <c r="X192" s="248">
        <f t="shared" si="37"/>
        <v>0.50099968433343667</v>
      </c>
      <c r="Y192" s="248">
        <f t="shared" si="5"/>
        <v>0.49900031566656333</v>
      </c>
      <c r="Z192" s="7"/>
    </row>
    <row r="193" spans="1:26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69">
        <f>Q184+1</f>
        <v>1995</v>
      </c>
      <c r="R193" s="69">
        <v>9</v>
      </c>
      <c r="S193" s="89" t="s">
        <v>1517</v>
      </c>
      <c r="T193" s="7" t="str">
        <f t="shared" si="0"/>
        <v>9_1995</v>
      </c>
      <c r="U193" s="247">
        <f t="shared" si="1"/>
        <v>152.4</v>
      </c>
      <c r="V193" s="248">
        <f t="shared" si="36"/>
        <v>0.6724958174477923</v>
      </c>
      <c r="W193" s="248">
        <f t="shared" si="3"/>
        <v>0.3275041825522077</v>
      </c>
      <c r="X193" s="248">
        <f t="shared" si="37"/>
        <v>0.50099968433343667</v>
      </c>
      <c r="Y193" s="248">
        <f t="shared" si="5"/>
        <v>0.49900031566656333</v>
      </c>
      <c r="Z193" s="7"/>
    </row>
    <row r="194" spans="1:26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69">
        <f>Q184+1</f>
        <v>1995</v>
      </c>
      <c r="R194" s="69">
        <v>10</v>
      </c>
      <c r="S194" s="89" t="s">
        <v>1517</v>
      </c>
      <c r="T194" s="7" t="str">
        <f t="shared" si="0"/>
        <v>10_1995</v>
      </c>
      <c r="U194" s="247">
        <f t="shared" si="1"/>
        <v>152.4</v>
      </c>
      <c r="V194" s="248">
        <f t="shared" si="36"/>
        <v>0.6724958174477923</v>
      </c>
      <c r="W194" s="248">
        <f t="shared" si="3"/>
        <v>0.3275041825522077</v>
      </c>
      <c r="X194" s="248">
        <f t="shared" si="37"/>
        <v>0.50099968433343667</v>
      </c>
      <c r="Y194" s="248">
        <f t="shared" si="5"/>
        <v>0.49900031566656333</v>
      </c>
      <c r="Z194" s="7"/>
    </row>
    <row r="195" spans="1:26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69">
        <f>Q184+1</f>
        <v>1995</v>
      </c>
      <c r="R195" s="69">
        <v>11</v>
      </c>
      <c r="S195" s="89" t="s">
        <v>1517</v>
      </c>
      <c r="T195" s="7" t="str">
        <f t="shared" si="0"/>
        <v>11_1995</v>
      </c>
      <c r="U195" s="247">
        <f t="shared" si="1"/>
        <v>152.4</v>
      </c>
      <c r="V195" s="248">
        <f t="shared" si="36"/>
        <v>0.6724958174477923</v>
      </c>
      <c r="W195" s="248">
        <f t="shared" si="3"/>
        <v>0.3275041825522077</v>
      </c>
      <c r="X195" s="248">
        <f t="shared" si="37"/>
        <v>0.50099968433343667</v>
      </c>
      <c r="Y195" s="248">
        <f t="shared" si="5"/>
        <v>0.49900031566656333</v>
      </c>
      <c r="Z195" s="7"/>
    </row>
    <row r="196" spans="1:26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69">
        <f>Q184+1</f>
        <v>1995</v>
      </c>
      <c r="R196" s="69">
        <v>12</v>
      </c>
      <c r="S196" s="89" t="s">
        <v>1517</v>
      </c>
      <c r="T196" s="7" t="str">
        <f t="shared" si="0"/>
        <v>12_1995</v>
      </c>
      <c r="U196" s="247">
        <f t="shared" si="1"/>
        <v>152.4</v>
      </c>
      <c r="V196" s="248">
        <f>+(V208*U196/U208)/(V208*U196/U208+W208*AVERAGE(U196,'PPI USA'!T202)/AVERAGE(U208,'PPI USA'!T214))</f>
        <v>0.6724958174477923</v>
      </c>
      <c r="W196" s="248">
        <f t="shared" si="3"/>
        <v>0.3275041825522077</v>
      </c>
      <c r="X196" s="248">
        <f>+(X208*$U196/$U208)/(X208*$U196/$U208+Y208*AVERAGE($U196,'PPI USA'!$T202)/AVERAGE($U208,'PPI USA'!$T214))</f>
        <v>0.50099968433343667</v>
      </c>
      <c r="Y196" s="248">
        <f t="shared" si="5"/>
        <v>0.49900031566656333</v>
      </c>
      <c r="Z196" s="7"/>
    </row>
    <row r="197" spans="1:26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69">
        <f>Q196+1</f>
        <v>1996</v>
      </c>
      <c r="R197" s="69">
        <v>1</v>
      </c>
      <c r="S197" s="89" t="s">
        <v>1517</v>
      </c>
      <c r="T197" s="7" t="str">
        <f t="shared" si="0"/>
        <v>1_1996</v>
      </c>
      <c r="U197" s="247">
        <f t="shared" si="1"/>
        <v>156.9</v>
      </c>
      <c r="V197" s="248">
        <f t="shared" ref="V197:V207" si="38">+V198</f>
        <v>0.67466164668349038</v>
      </c>
      <c r="W197" s="248">
        <f t="shared" si="3"/>
        <v>0.32533835331650962</v>
      </c>
      <c r="X197" s="248">
        <f t="shared" ref="X197:X207" si="39">+X198</f>
        <v>0.50346225713185955</v>
      </c>
      <c r="Y197" s="248">
        <f t="shared" si="5"/>
        <v>0.49653774286814045</v>
      </c>
      <c r="Z197" s="7"/>
    </row>
    <row r="198" spans="1:26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69">
        <f>Q196+1</f>
        <v>1996</v>
      </c>
      <c r="R198" s="69">
        <v>2</v>
      </c>
      <c r="S198" s="89" t="s">
        <v>1517</v>
      </c>
      <c r="T198" s="7" t="str">
        <f t="shared" si="0"/>
        <v>2_1996</v>
      </c>
      <c r="U198" s="247">
        <f t="shared" si="1"/>
        <v>156.9</v>
      </c>
      <c r="V198" s="248">
        <f t="shared" si="38"/>
        <v>0.67466164668349038</v>
      </c>
      <c r="W198" s="248">
        <f t="shared" si="3"/>
        <v>0.32533835331650962</v>
      </c>
      <c r="X198" s="248">
        <f t="shared" si="39"/>
        <v>0.50346225713185955</v>
      </c>
      <c r="Y198" s="248">
        <f t="shared" si="5"/>
        <v>0.49653774286814045</v>
      </c>
      <c r="Z198" s="7"/>
    </row>
    <row r="199" spans="1:26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69">
        <f>Q196+1</f>
        <v>1996</v>
      </c>
      <c r="R199" s="69">
        <v>3</v>
      </c>
      <c r="S199" s="89" t="s">
        <v>1517</v>
      </c>
      <c r="T199" s="7" t="str">
        <f t="shared" si="0"/>
        <v>3_1996</v>
      </c>
      <c r="U199" s="247">
        <f t="shared" si="1"/>
        <v>156.9</v>
      </c>
      <c r="V199" s="248">
        <f t="shared" si="38"/>
        <v>0.67466164668349038</v>
      </c>
      <c r="W199" s="248">
        <f t="shared" si="3"/>
        <v>0.32533835331650962</v>
      </c>
      <c r="X199" s="248">
        <f t="shared" si="39"/>
        <v>0.50346225713185955</v>
      </c>
      <c r="Y199" s="248">
        <f t="shared" si="5"/>
        <v>0.49653774286814045</v>
      </c>
      <c r="Z199" s="7"/>
    </row>
    <row r="200" spans="1:26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69">
        <f>Q196+1</f>
        <v>1996</v>
      </c>
      <c r="R200" s="69">
        <v>4</v>
      </c>
      <c r="S200" s="89" t="s">
        <v>1517</v>
      </c>
      <c r="T200" s="7" t="str">
        <f t="shared" si="0"/>
        <v>4_1996</v>
      </c>
      <c r="U200" s="247">
        <f t="shared" si="1"/>
        <v>156.9</v>
      </c>
      <c r="V200" s="248">
        <f t="shared" si="38"/>
        <v>0.67466164668349038</v>
      </c>
      <c r="W200" s="248">
        <f t="shared" si="3"/>
        <v>0.32533835331650962</v>
      </c>
      <c r="X200" s="248">
        <f t="shared" si="39"/>
        <v>0.50346225713185955</v>
      </c>
      <c r="Y200" s="248">
        <f t="shared" si="5"/>
        <v>0.49653774286814045</v>
      </c>
      <c r="Z200" s="7"/>
    </row>
    <row r="201" spans="1:26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69">
        <f>Q196+1</f>
        <v>1996</v>
      </c>
      <c r="R201" s="69">
        <v>5</v>
      </c>
      <c r="S201" s="89" t="s">
        <v>1517</v>
      </c>
      <c r="T201" s="7" t="str">
        <f t="shared" si="0"/>
        <v>5_1996</v>
      </c>
      <c r="U201" s="247">
        <f t="shared" si="1"/>
        <v>156.9</v>
      </c>
      <c r="V201" s="248">
        <f t="shared" si="38"/>
        <v>0.67466164668349038</v>
      </c>
      <c r="W201" s="248">
        <f t="shared" si="3"/>
        <v>0.32533835331650962</v>
      </c>
      <c r="X201" s="248">
        <f t="shared" si="39"/>
        <v>0.50346225713185955</v>
      </c>
      <c r="Y201" s="248">
        <f t="shared" si="5"/>
        <v>0.49653774286814045</v>
      </c>
      <c r="Z201" s="7"/>
    </row>
    <row r="202" spans="1:26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69">
        <f>Q196+1</f>
        <v>1996</v>
      </c>
      <c r="R202" s="69">
        <v>6</v>
      </c>
      <c r="S202" s="89" t="s">
        <v>1517</v>
      </c>
      <c r="T202" s="7" t="str">
        <f t="shared" si="0"/>
        <v>6_1996</v>
      </c>
      <c r="U202" s="247">
        <f t="shared" si="1"/>
        <v>156.9</v>
      </c>
      <c r="V202" s="248">
        <f t="shared" si="38"/>
        <v>0.67466164668349038</v>
      </c>
      <c r="W202" s="248">
        <f t="shared" si="3"/>
        <v>0.32533835331650962</v>
      </c>
      <c r="X202" s="248">
        <f t="shared" si="39"/>
        <v>0.50346225713185955</v>
      </c>
      <c r="Y202" s="248">
        <f t="shared" si="5"/>
        <v>0.49653774286814045</v>
      </c>
      <c r="Z202" s="7"/>
    </row>
    <row r="203" spans="1:26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69">
        <f>Q196+1</f>
        <v>1996</v>
      </c>
      <c r="R203" s="69">
        <v>7</v>
      </c>
      <c r="S203" s="89" t="s">
        <v>1517</v>
      </c>
      <c r="T203" s="7" t="str">
        <f t="shared" si="0"/>
        <v>7_1996</v>
      </c>
      <c r="U203" s="247">
        <f t="shared" si="1"/>
        <v>156.9</v>
      </c>
      <c r="V203" s="248">
        <f t="shared" si="38"/>
        <v>0.67466164668349038</v>
      </c>
      <c r="W203" s="248">
        <f t="shared" si="3"/>
        <v>0.32533835331650962</v>
      </c>
      <c r="X203" s="248">
        <f t="shared" si="39"/>
        <v>0.50346225713185955</v>
      </c>
      <c r="Y203" s="248">
        <f t="shared" si="5"/>
        <v>0.49653774286814045</v>
      </c>
      <c r="Z203" s="7"/>
    </row>
    <row r="204" spans="1:26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69">
        <f>Q196+1</f>
        <v>1996</v>
      </c>
      <c r="R204" s="69">
        <v>8</v>
      </c>
      <c r="S204" s="89" t="s">
        <v>1517</v>
      </c>
      <c r="T204" s="7" t="str">
        <f t="shared" si="0"/>
        <v>8_1996</v>
      </c>
      <c r="U204" s="247">
        <f t="shared" si="1"/>
        <v>156.9</v>
      </c>
      <c r="V204" s="248">
        <f t="shared" si="38"/>
        <v>0.67466164668349038</v>
      </c>
      <c r="W204" s="248">
        <f t="shared" si="3"/>
        <v>0.32533835331650962</v>
      </c>
      <c r="X204" s="248">
        <f t="shared" si="39"/>
        <v>0.50346225713185955</v>
      </c>
      <c r="Y204" s="248">
        <f t="shared" si="5"/>
        <v>0.49653774286814045</v>
      </c>
      <c r="Z204" s="7"/>
    </row>
    <row r="205" spans="1:26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69">
        <f>Q196+1</f>
        <v>1996</v>
      </c>
      <c r="R205" s="69">
        <v>9</v>
      </c>
      <c r="S205" s="89" t="s">
        <v>1517</v>
      </c>
      <c r="T205" s="7" t="str">
        <f t="shared" si="0"/>
        <v>9_1996</v>
      </c>
      <c r="U205" s="247">
        <f t="shared" si="1"/>
        <v>156.9</v>
      </c>
      <c r="V205" s="248">
        <f t="shared" si="38"/>
        <v>0.67466164668349038</v>
      </c>
      <c r="W205" s="248">
        <f t="shared" si="3"/>
        <v>0.32533835331650962</v>
      </c>
      <c r="X205" s="248">
        <f t="shared" si="39"/>
        <v>0.50346225713185955</v>
      </c>
      <c r="Y205" s="248">
        <f t="shared" si="5"/>
        <v>0.49653774286814045</v>
      </c>
      <c r="Z205" s="7"/>
    </row>
    <row r="206" spans="1:26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69">
        <f>Q196+1</f>
        <v>1996</v>
      </c>
      <c r="R206" s="69">
        <v>10</v>
      </c>
      <c r="S206" s="89" t="s">
        <v>1517</v>
      </c>
      <c r="T206" s="7" t="str">
        <f t="shared" si="0"/>
        <v>10_1996</v>
      </c>
      <c r="U206" s="247">
        <f t="shared" si="1"/>
        <v>156.9</v>
      </c>
      <c r="V206" s="248">
        <f t="shared" si="38"/>
        <v>0.67466164668349038</v>
      </c>
      <c r="W206" s="248">
        <f t="shared" si="3"/>
        <v>0.32533835331650962</v>
      </c>
      <c r="X206" s="248">
        <f t="shared" si="39"/>
        <v>0.50346225713185955</v>
      </c>
      <c r="Y206" s="248">
        <f t="shared" si="5"/>
        <v>0.49653774286814045</v>
      </c>
      <c r="Z206" s="7"/>
    </row>
    <row r="207" spans="1:26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69">
        <f>Q196+1</f>
        <v>1996</v>
      </c>
      <c r="R207" s="69">
        <v>11</v>
      </c>
      <c r="S207" s="89" t="s">
        <v>1517</v>
      </c>
      <c r="T207" s="7" t="str">
        <f t="shared" si="0"/>
        <v>11_1996</v>
      </c>
      <c r="U207" s="247">
        <f t="shared" si="1"/>
        <v>156.9</v>
      </c>
      <c r="V207" s="248">
        <f t="shared" si="38"/>
        <v>0.67466164668349038</v>
      </c>
      <c r="W207" s="248">
        <f t="shared" si="3"/>
        <v>0.32533835331650962</v>
      </c>
      <c r="X207" s="248">
        <f t="shared" si="39"/>
        <v>0.50346225713185955</v>
      </c>
      <c r="Y207" s="248">
        <f t="shared" si="5"/>
        <v>0.49653774286814045</v>
      </c>
      <c r="Z207" s="7"/>
    </row>
    <row r="208" spans="1:26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69">
        <f>Q196+1</f>
        <v>1996</v>
      </c>
      <c r="R208" s="69">
        <v>12</v>
      </c>
      <c r="S208" s="89" t="s">
        <v>1517</v>
      </c>
      <c r="T208" s="7" t="str">
        <f t="shared" si="0"/>
        <v>12_1996</v>
      </c>
      <c r="U208" s="247">
        <f t="shared" si="1"/>
        <v>156.9</v>
      </c>
      <c r="V208" s="248">
        <f>+(V220*U208/U220)/(V220*U208/U220+W220*AVERAGE(U208,'PPI USA'!T214)/AVERAGE(U220,'PPI USA'!T226))</f>
        <v>0.67466164668349038</v>
      </c>
      <c r="W208" s="248">
        <f t="shared" si="3"/>
        <v>0.32533835331650962</v>
      </c>
      <c r="X208" s="248">
        <f>+(X220*$U208/$U220)/(X220*$U208/$U220+Y220*AVERAGE($U208,'PPI USA'!$T214)/AVERAGE($U220,'PPI USA'!$T226))</f>
        <v>0.50346225713185955</v>
      </c>
      <c r="Y208" s="248">
        <f t="shared" si="5"/>
        <v>0.49653774286814045</v>
      </c>
      <c r="Z208" s="7"/>
    </row>
    <row r="209" spans="1:26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69">
        <f>Q208+1</f>
        <v>1997</v>
      </c>
      <c r="R209" s="69">
        <v>1</v>
      </c>
      <c r="S209" s="89" t="s">
        <v>1517</v>
      </c>
      <c r="T209" s="7" t="str">
        <f t="shared" si="0"/>
        <v>1_1997</v>
      </c>
      <c r="U209" s="247">
        <f t="shared" si="1"/>
        <v>160.5</v>
      </c>
      <c r="V209" s="248">
        <f t="shared" ref="V209:V219" si="40">+V210</f>
        <v>0.67718789164898041</v>
      </c>
      <c r="W209" s="248">
        <f t="shared" si="3"/>
        <v>0.32281210835101959</v>
      </c>
      <c r="X209" s="248">
        <f t="shared" ref="X209:X219" si="41">+X210</f>
        <v>0.50634515954078119</v>
      </c>
      <c r="Y209" s="248">
        <f t="shared" si="5"/>
        <v>0.49365484045921881</v>
      </c>
      <c r="Z209" s="7"/>
    </row>
    <row r="210" spans="1:26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69">
        <f>Q208+1</f>
        <v>1997</v>
      </c>
      <c r="R210" s="69">
        <v>2</v>
      </c>
      <c r="S210" s="89" t="s">
        <v>1517</v>
      </c>
      <c r="T210" s="7" t="str">
        <f t="shared" si="0"/>
        <v>2_1997</v>
      </c>
      <c r="U210" s="247">
        <f t="shared" si="1"/>
        <v>160.5</v>
      </c>
      <c r="V210" s="248">
        <f t="shared" si="40"/>
        <v>0.67718789164898041</v>
      </c>
      <c r="W210" s="248">
        <f t="shared" si="3"/>
        <v>0.32281210835101959</v>
      </c>
      <c r="X210" s="248">
        <f t="shared" si="41"/>
        <v>0.50634515954078119</v>
      </c>
      <c r="Y210" s="248">
        <f t="shared" si="5"/>
        <v>0.49365484045921881</v>
      </c>
      <c r="Z210" s="7"/>
    </row>
    <row r="211" spans="1:2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69">
        <f>Q208+1</f>
        <v>1997</v>
      </c>
      <c r="R211" s="69">
        <v>3</v>
      </c>
      <c r="S211" s="89" t="s">
        <v>1517</v>
      </c>
      <c r="T211" s="7" t="str">
        <f t="shared" si="0"/>
        <v>3_1997</v>
      </c>
      <c r="U211" s="247">
        <f t="shared" si="1"/>
        <v>160.5</v>
      </c>
      <c r="V211" s="248">
        <f t="shared" si="40"/>
        <v>0.67718789164898041</v>
      </c>
      <c r="W211" s="248">
        <f t="shared" si="3"/>
        <v>0.32281210835101959</v>
      </c>
      <c r="X211" s="248">
        <f t="shared" si="41"/>
        <v>0.50634515954078119</v>
      </c>
      <c r="Y211" s="248">
        <f t="shared" si="5"/>
        <v>0.49365484045921881</v>
      </c>
      <c r="Z211" s="7"/>
    </row>
    <row r="212" spans="1:2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69">
        <f>Q208+1</f>
        <v>1997</v>
      </c>
      <c r="R212" s="69">
        <v>4</v>
      </c>
      <c r="S212" s="89" t="s">
        <v>1517</v>
      </c>
      <c r="T212" s="7" t="str">
        <f t="shared" si="0"/>
        <v>4_1997</v>
      </c>
      <c r="U212" s="247">
        <f t="shared" si="1"/>
        <v>160.5</v>
      </c>
      <c r="V212" s="248">
        <f t="shared" si="40"/>
        <v>0.67718789164898041</v>
      </c>
      <c r="W212" s="248">
        <f t="shared" si="3"/>
        <v>0.32281210835101959</v>
      </c>
      <c r="X212" s="248">
        <f t="shared" si="41"/>
        <v>0.50634515954078119</v>
      </c>
      <c r="Y212" s="248">
        <f t="shared" si="5"/>
        <v>0.49365484045921881</v>
      </c>
      <c r="Z212" s="7"/>
    </row>
    <row r="213" spans="1:2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69">
        <f>Q208+1</f>
        <v>1997</v>
      </c>
      <c r="R213" s="69">
        <v>5</v>
      </c>
      <c r="S213" s="89" t="s">
        <v>1517</v>
      </c>
      <c r="T213" s="7" t="str">
        <f t="shared" si="0"/>
        <v>5_1997</v>
      </c>
      <c r="U213" s="247">
        <f t="shared" si="1"/>
        <v>160.5</v>
      </c>
      <c r="V213" s="248">
        <f t="shared" si="40"/>
        <v>0.67718789164898041</v>
      </c>
      <c r="W213" s="248">
        <f t="shared" si="3"/>
        <v>0.32281210835101959</v>
      </c>
      <c r="X213" s="248">
        <f t="shared" si="41"/>
        <v>0.50634515954078119</v>
      </c>
      <c r="Y213" s="248">
        <f t="shared" si="5"/>
        <v>0.49365484045921881</v>
      </c>
      <c r="Z213" s="7"/>
    </row>
    <row r="214" spans="1:2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69">
        <f>Q208+1</f>
        <v>1997</v>
      </c>
      <c r="R214" s="69">
        <v>6</v>
      </c>
      <c r="S214" s="89" t="s">
        <v>1517</v>
      </c>
      <c r="T214" s="7" t="str">
        <f t="shared" si="0"/>
        <v>6_1997</v>
      </c>
      <c r="U214" s="247">
        <f t="shared" si="1"/>
        <v>160.5</v>
      </c>
      <c r="V214" s="248">
        <f t="shared" si="40"/>
        <v>0.67718789164898041</v>
      </c>
      <c r="W214" s="248">
        <f t="shared" si="3"/>
        <v>0.32281210835101959</v>
      </c>
      <c r="X214" s="248">
        <f t="shared" si="41"/>
        <v>0.50634515954078119</v>
      </c>
      <c r="Y214" s="248">
        <f t="shared" si="5"/>
        <v>0.49365484045921881</v>
      </c>
      <c r="Z214" s="7"/>
    </row>
    <row r="215" spans="1:26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69">
        <f>Q208+1</f>
        <v>1997</v>
      </c>
      <c r="R215" s="69">
        <v>7</v>
      </c>
      <c r="S215" s="89" t="s">
        <v>1517</v>
      </c>
      <c r="T215" s="7" t="str">
        <f t="shared" si="0"/>
        <v>7_1997</v>
      </c>
      <c r="U215" s="247">
        <f t="shared" si="1"/>
        <v>160.5</v>
      </c>
      <c r="V215" s="248">
        <f t="shared" si="40"/>
        <v>0.67718789164898041</v>
      </c>
      <c r="W215" s="248">
        <f t="shared" si="3"/>
        <v>0.32281210835101959</v>
      </c>
      <c r="X215" s="248">
        <f t="shared" si="41"/>
        <v>0.50634515954078119</v>
      </c>
      <c r="Y215" s="248">
        <f t="shared" si="5"/>
        <v>0.49365484045921881</v>
      </c>
      <c r="Z215" s="7"/>
    </row>
    <row r="216" spans="1:2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69">
        <f>Q208+1</f>
        <v>1997</v>
      </c>
      <c r="R216" s="69">
        <v>8</v>
      </c>
      <c r="S216" s="89" t="s">
        <v>1517</v>
      </c>
      <c r="T216" s="7" t="str">
        <f t="shared" si="0"/>
        <v>8_1997</v>
      </c>
      <c r="U216" s="247">
        <f t="shared" si="1"/>
        <v>160.5</v>
      </c>
      <c r="V216" s="248">
        <f t="shared" si="40"/>
        <v>0.67718789164898041</v>
      </c>
      <c r="W216" s="248">
        <f t="shared" si="3"/>
        <v>0.32281210835101959</v>
      </c>
      <c r="X216" s="248">
        <f t="shared" si="41"/>
        <v>0.50634515954078119</v>
      </c>
      <c r="Y216" s="248">
        <f t="shared" si="5"/>
        <v>0.49365484045921881</v>
      </c>
      <c r="Z216" s="7"/>
    </row>
    <row r="217" spans="1:26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69">
        <f>Q208+1</f>
        <v>1997</v>
      </c>
      <c r="R217" s="69">
        <v>9</v>
      </c>
      <c r="S217" s="89" t="s">
        <v>1517</v>
      </c>
      <c r="T217" s="7" t="str">
        <f t="shared" si="0"/>
        <v>9_1997</v>
      </c>
      <c r="U217" s="247">
        <f t="shared" si="1"/>
        <v>160.5</v>
      </c>
      <c r="V217" s="248">
        <f t="shared" si="40"/>
        <v>0.67718789164898041</v>
      </c>
      <c r="W217" s="248">
        <f t="shared" si="3"/>
        <v>0.32281210835101959</v>
      </c>
      <c r="X217" s="248">
        <f t="shared" si="41"/>
        <v>0.50634515954078119</v>
      </c>
      <c r="Y217" s="248">
        <f t="shared" si="5"/>
        <v>0.49365484045921881</v>
      </c>
      <c r="Z217" s="7"/>
    </row>
    <row r="218" spans="1:26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69">
        <f>Q208+1</f>
        <v>1997</v>
      </c>
      <c r="R218" s="69">
        <v>10</v>
      </c>
      <c r="S218" s="89" t="s">
        <v>1517</v>
      </c>
      <c r="T218" s="7" t="str">
        <f t="shared" si="0"/>
        <v>10_1997</v>
      </c>
      <c r="U218" s="247">
        <f t="shared" si="1"/>
        <v>160.5</v>
      </c>
      <c r="V218" s="248">
        <f t="shared" si="40"/>
        <v>0.67718789164898041</v>
      </c>
      <c r="W218" s="248">
        <f t="shared" si="3"/>
        <v>0.32281210835101959</v>
      </c>
      <c r="X218" s="248">
        <f t="shared" si="41"/>
        <v>0.50634515954078119</v>
      </c>
      <c r="Y218" s="248">
        <f t="shared" si="5"/>
        <v>0.49365484045921881</v>
      </c>
      <c r="Z218" s="7"/>
    </row>
    <row r="219" spans="1:26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69">
        <f>Q208+1</f>
        <v>1997</v>
      </c>
      <c r="R219" s="69">
        <v>11</v>
      </c>
      <c r="S219" s="89" t="s">
        <v>1517</v>
      </c>
      <c r="T219" s="7" t="str">
        <f t="shared" si="0"/>
        <v>11_1997</v>
      </c>
      <c r="U219" s="247">
        <f t="shared" si="1"/>
        <v>160.5</v>
      </c>
      <c r="V219" s="248">
        <f t="shared" si="40"/>
        <v>0.67718789164898041</v>
      </c>
      <c r="W219" s="248">
        <f t="shared" si="3"/>
        <v>0.32281210835101959</v>
      </c>
      <c r="X219" s="248">
        <f t="shared" si="41"/>
        <v>0.50634515954078119</v>
      </c>
      <c r="Y219" s="248">
        <f t="shared" si="5"/>
        <v>0.49365484045921881</v>
      </c>
      <c r="Z219" s="7"/>
    </row>
    <row r="220" spans="1:26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69">
        <f>Q208+1</f>
        <v>1997</v>
      </c>
      <c r="R220" s="69">
        <v>12</v>
      </c>
      <c r="S220" s="89" t="s">
        <v>1517</v>
      </c>
      <c r="T220" s="7" t="str">
        <f t="shared" si="0"/>
        <v>12_1997</v>
      </c>
      <c r="U220" s="247">
        <f t="shared" si="1"/>
        <v>160.5</v>
      </c>
      <c r="V220" s="248">
        <f>+(V232*U220/U232)/(V232*U220/U232+W232*AVERAGE(U220,'PPI USA'!T226)/AVERAGE(U232,'PPI USA'!T238))</f>
        <v>0.67718789164898041</v>
      </c>
      <c r="W220" s="248">
        <f t="shared" si="3"/>
        <v>0.32281210835101959</v>
      </c>
      <c r="X220" s="248">
        <f>+(X232*$U220/$U232)/(X232*$U220/$U232+Y232*AVERAGE($U220,'PPI USA'!$T226)/AVERAGE($U232,'PPI USA'!$T238))</f>
        <v>0.50634515954078119</v>
      </c>
      <c r="Y220" s="248">
        <f t="shared" si="5"/>
        <v>0.49365484045921881</v>
      </c>
      <c r="Z220" s="7"/>
    </row>
    <row r="221" spans="1:26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69">
        <f>Q220+1</f>
        <v>1998</v>
      </c>
      <c r="R221" s="69">
        <v>1</v>
      </c>
      <c r="S221" s="89" t="s">
        <v>1517</v>
      </c>
      <c r="T221" s="7" t="str">
        <f t="shared" si="0"/>
        <v>1_1998</v>
      </c>
      <c r="U221" s="247">
        <f t="shared" si="1"/>
        <v>163</v>
      </c>
      <c r="V221" s="248">
        <f t="shared" ref="V221:V231" si="42">+V222</f>
        <v>0.67911382420215016</v>
      </c>
      <c r="W221" s="248">
        <f t="shared" si="3"/>
        <v>0.32088617579784984</v>
      </c>
      <c r="X221" s="248">
        <f t="shared" ref="X221:X231" si="43">+X222</f>
        <v>0.50855065569507585</v>
      </c>
      <c r="Y221" s="248">
        <f t="shared" si="5"/>
        <v>0.49144934430492415</v>
      </c>
      <c r="Z221" s="7"/>
    </row>
    <row r="222" spans="1:2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69">
        <f>Q220+1</f>
        <v>1998</v>
      </c>
      <c r="R222" s="69">
        <v>2</v>
      </c>
      <c r="S222" s="89" t="s">
        <v>1517</v>
      </c>
      <c r="T222" s="7" t="str">
        <f t="shared" si="0"/>
        <v>2_1998</v>
      </c>
      <c r="U222" s="247">
        <f t="shared" si="1"/>
        <v>163</v>
      </c>
      <c r="V222" s="248">
        <f t="shared" si="42"/>
        <v>0.67911382420215016</v>
      </c>
      <c r="W222" s="248">
        <f t="shared" si="3"/>
        <v>0.32088617579784984</v>
      </c>
      <c r="X222" s="248">
        <f t="shared" si="43"/>
        <v>0.50855065569507585</v>
      </c>
      <c r="Y222" s="248">
        <f t="shared" si="5"/>
        <v>0.49144934430492415</v>
      </c>
      <c r="Z222" s="7"/>
    </row>
    <row r="223" spans="1:2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69">
        <f>Q220+1</f>
        <v>1998</v>
      </c>
      <c r="R223" s="69">
        <v>3</v>
      </c>
      <c r="S223" s="89" t="s">
        <v>1517</v>
      </c>
      <c r="T223" s="7" t="str">
        <f t="shared" si="0"/>
        <v>3_1998</v>
      </c>
      <c r="U223" s="247">
        <f t="shared" si="1"/>
        <v>163</v>
      </c>
      <c r="V223" s="248">
        <f t="shared" si="42"/>
        <v>0.67911382420215016</v>
      </c>
      <c r="W223" s="248">
        <f t="shared" si="3"/>
        <v>0.32088617579784984</v>
      </c>
      <c r="X223" s="248">
        <f t="shared" si="43"/>
        <v>0.50855065569507585</v>
      </c>
      <c r="Y223" s="248">
        <f t="shared" si="5"/>
        <v>0.49144934430492415</v>
      </c>
      <c r="Z223" s="7"/>
    </row>
    <row r="224" spans="1:26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69">
        <f>Q220+1</f>
        <v>1998</v>
      </c>
      <c r="R224" s="69">
        <v>4</v>
      </c>
      <c r="S224" s="89" t="s">
        <v>1517</v>
      </c>
      <c r="T224" s="7" t="str">
        <f t="shared" si="0"/>
        <v>4_1998</v>
      </c>
      <c r="U224" s="247">
        <f t="shared" si="1"/>
        <v>163</v>
      </c>
      <c r="V224" s="248">
        <f t="shared" si="42"/>
        <v>0.67911382420215016</v>
      </c>
      <c r="W224" s="248">
        <f t="shared" si="3"/>
        <v>0.32088617579784984</v>
      </c>
      <c r="X224" s="248">
        <f t="shared" si="43"/>
        <v>0.50855065569507585</v>
      </c>
      <c r="Y224" s="248">
        <f t="shared" si="5"/>
        <v>0.49144934430492415</v>
      </c>
      <c r="Z224" s="7"/>
    </row>
    <row r="225" spans="1:26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69">
        <f>Q220+1</f>
        <v>1998</v>
      </c>
      <c r="R225" s="69">
        <v>5</v>
      </c>
      <c r="S225" s="89" t="s">
        <v>1517</v>
      </c>
      <c r="T225" s="7" t="str">
        <f t="shared" si="0"/>
        <v>5_1998</v>
      </c>
      <c r="U225" s="247">
        <f t="shared" si="1"/>
        <v>163</v>
      </c>
      <c r="V225" s="248">
        <f t="shared" si="42"/>
        <v>0.67911382420215016</v>
      </c>
      <c r="W225" s="248">
        <f t="shared" si="3"/>
        <v>0.32088617579784984</v>
      </c>
      <c r="X225" s="248">
        <f t="shared" si="43"/>
        <v>0.50855065569507585</v>
      </c>
      <c r="Y225" s="248">
        <f t="shared" si="5"/>
        <v>0.49144934430492415</v>
      </c>
      <c r="Z225" s="7"/>
    </row>
    <row r="226" spans="1:26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69">
        <f>Q220+1</f>
        <v>1998</v>
      </c>
      <c r="R226" s="69">
        <v>6</v>
      </c>
      <c r="S226" s="89" t="s">
        <v>1517</v>
      </c>
      <c r="T226" s="7" t="str">
        <f t="shared" si="0"/>
        <v>6_1998</v>
      </c>
      <c r="U226" s="247">
        <f t="shared" si="1"/>
        <v>163</v>
      </c>
      <c r="V226" s="248">
        <f t="shared" si="42"/>
        <v>0.67911382420215016</v>
      </c>
      <c r="W226" s="248">
        <f t="shared" si="3"/>
        <v>0.32088617579784984</v>
      </c>
      <c r="X226" s="248">
        <f t="shared" si="43"/>
        <v>0.50855065569507585</v>
      </c>
      <c r="Y226" s="248">
        <f t="shared" si="5"/>
        <v>0.49144934430492415</v>
      </c>
      <c r="Z226" s="7"/>
    </row>
    <row r="227" spans="1:26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69">
        <f>Q220+1</f>
        <v>1998</v>
      </c>
      <c r="R227" s="69">
        <v>7</v>
      </c>
      <c r="S227" s="89" t="s">
        <v>1517</v>
      </c>
      <c r="T227" s="7" t="str">
        <f t="shared" si="0"/>
        <v>7_1998</v>
      </c>
      <c r="U227" s="247">
        <f t="shared" si="1"/>
        <v>163</v>
      </c>
      <c r="V227" s="248">
        <f t="shared" si="42"/>
        <v>0.67911382420215016</v>
      </c>
      <c r="W227" s="248">
        <f t="shared" si="3"/>
        <v>0.32088617579784984</v>
      </c>
      <c r="X227" s="248">
        <f t="shared" si="43"/>
        <v>0.50855065569507585</v>
      </c>
      <c r="Y227" s="248">
        <f t="shared" si="5"/>
        <v>0.49144934430492415</v>
      </c>
      <c r="Z227" s="7"/>
    </row>
    <row r="228" spans="1:26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69">
        <f>Q220+1</f>
        <v>1998</v>
      </c>
      <c r="R228" s="69">
        <v>8</v>
      </c>
      <c r="S228" s="89" t="s">
        <v>1517</v>
      </c>
      <c r="T228" s="7" t="str">
        <f t="shared" si="0"/>
        <v>8_1998</v>
      </c>
      <c r="U228" s="247">
        <f t="shared" si="1"/>
        <v>163</v>
      </c>
      <c r="V228" s="248">
        <f t="shared" si="42"/>
        <v>0.67911382420215016</v>
      </c>
      <c r="W228" s="248">
        <f t="shared" si="3"/>
        <v>0.32088617579784984</v>
      </c>
      <c r="X228" s="248">
        <f t="shared" si="43"/>
        <v>0.50855065569507585</v>
      </c>
      <c r="Y228" s="248">
        <f t="shared" si="5"/>
        <v>0.49144934430492415</v>
      </c>
      <c r="Z228" s="7"/>
    </row>
    <row r="229" spans="1:26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69">
        <f>Q220+1</f>
        <v>1998</v>
      </c>
      <c r="R229" s="69">
        <v>9</v>
      </c>
      <c r="S229" s="89" t="s">
        <v>1517</v>
      </c>
      <c r="T229" s="7" t="str">
        <f t="shared" si="0"/>
        <v>9_1998</v>
      </c>
      <c r="U229" s="247">
        <f t="shared" si="1"/>
        <v>163</v>
      </c>
      <c r="V229" s="248">
        <f t="shared" si="42"/>
        <v>0.67911382420215016</v>
      </c>
      <c r="W229" s="248">
        <f t="shared" si="3"/>
        <v>0.32088617579784984</v>
      </c>
      <c r="X229" s="248">
        <f t="shared" si="43"/>
        <v>0.50855065569507585</v>
      </c>
      <c r="Y229" s="248">
        <f t="shared" si="5"/>
        <v>0.49144934430492415</v>
      </c>
      <c r="Z229" s="7"/>
    </row>
    <row r="230" spans="1:26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69">
        <f>Q220+1</f>
        <v>1998</v>
      </c>
      <c r="R230" s="69">
        <v>10</v>
      </c>
      <c r="S230" s="89" t="s">
        <v>1517</v>
      </c>
      <c r="T230" s="7" t="str">
        <f t="shared" si="0"/>
        <v>10_1998</v>
      </c>
      <c r="U230" s="247">
        <f t="shared" si="1"/>
        <v>163</v>
      </c>
      <c r="V230" s="248">
        <f t="shared" si="42"/>
        <v>0.67911382420215016</v>
      </c>
      <c r="W230" s="248">
        <f t="shared" si="3"/>
        <v>0.32088617579784984</v>
      </c>
      <c r="X230" s="248">
        <f t="shared" si="43"/>
        <v>0.50855065569507585</v>
      </c>
      <c r="Y230" s="248">
        <f t="shared" si="5"/>
        <v>0.49144934430492415</v>
      </c>
      <c r="Z230" s="7"/>
    </row>
    <row r="231" spans="1:26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69">
        <f>Q220+1</f>
        <v>1998</v>
      </c>
      <c r="R231" s="69">
        <v>11</v>
      </c>
      <c r="S231" s="89" t="s">
        <v>1517</v>
      </c>
      <c r="T231" s="7" t="str">
        <f t="shared" si="0"/>
        <v>11_1998</v>
      </c>
      <c r="U231" s="247">
        <f t="shared" si="1"/>
        <v>163</v>
      </c>
      <c r="V231" s="248">
        <f t="shared" si="42"/>
        <v>0.67911382420215016</v>
      </c>
      <c r="W231" s="248">
        <f t="shared" si="3"/>
        <v>0.32088617579784984</v>
      </c>
      <c r="X231" s="248">
        <f t="shared" si="43"/>
        <v>0.50855065569507585</v>
      </c>
      <c r="Y231" s="248">
        <f t="shared" si="5"/>
        <v>0.49144934430492415</v>
      </c>
      <c r="Z231" s="7"/>
    </row>
    <row r="232" spans="1:26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69">
        <f>Q220+1</f>
        <v>1998</v>
      </c>
      <c r="R232" s="69">
        <v>12</v>
      </c>
      <c r="S232" s="89" t="s">
        <v>1517</v>
      </c>
      <c r="T232" s="7" t="str">
        <f t="shared" si="0"/>
        <v>12_1998</v>
      </c>
      <c r="U232" s="247">
        <f t="shared" si="1"/>
        <v>163</v>
      </c>
      <c r="V232" s="248">
        <f>+(V244*U232/U244)/(V244*U232/U244+W244*AVERAGE(U232,'PPI USA'!T238)/AVERAGE(U244,'PPI USA'!T250))</f>
        <v>0.67911382420215016</v>
      </c>
      <c r="W232" s="248">
        <f t="shared" si="3"/>
        <v>0.32088617579784984</v>
      </c>
      <c r="X232" s="248">
        <f>+(X244*$U232/$U244)/(X244*$U232/$U244+Y244*AVERAGE($U232,'PPI USA'!$T238)/AVERAGE($U244,'PPI USA'!$T250))</f>
        <v>0.50855065569507585</v>
      </c>
      <c r="Y232" s="248">
        <f t="shared" si="5"/>
        <v>0.49144934430492415</v>
      </c>
      <c r="Z232" s="7"/>
    </row>
    <row r="233" spans="1:26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69">
        <f>Q232+1</f>
        <v>1999</v>
      </c>
      <c r="R233" s="69">
        <v>1</v>
      </c>
      <c r="S233" s="89" t="s">
        <v>1517</v>
      </c>
      <c r="T233" s="7" t="str">
        <f t="shared" si="0"/>
        <v>1_1999</v>
      </c>
      <c r="U233" s="247">
        <f t="shared" si="1"/>
        <v>166.6</v>
      </c>
      <c r="V233" s="248">
        <f t="shared" ref="V233:V243" si="44">+V234</f>
        <v>0.68171861002498191</v>
      </c>
      <c r="W233" s="248">
        <f t="shared" si="3"/>
        <v>0.31828138997501809</v>
      </c>
      <c r="X233" s="248">
        <f t="shared" ref="X233:X243" si="45">+X234</f>
        <v>0.51154414520416192</v>
      </c>
      <c r="Y233" s="248">
        <f t="shared" si="5"/>
        <v>0.48845585479583808</v>
      </c>
      <c r="Z233" s="7"/>
    </row>
    <row r="234" spans="1:26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69">
        <f>Q232+1</f>
        <v>1999</v>
      </c>
      <c r="R234" s="69">
        <v>2</v>
      </c>
      <c r="S234" s="89" t="s">
        <v>1517</v>
      </c>
      <c r="T234" s="7" t="str">
        <f t="shared" si="0"/>
        <v>2_1999</v>
      </c>
      <c r="U234" s="247">
        <f t="shared" si="1"/>
        <v>166.6</v>
      </c>
      <c r="V234" s="248">
        <f t="shared" si="44"/>
        <v>0.68171861002498191</v>
      </c>
      <c r="W234" s="248">
        <f t="shared" si="3"/>
        <v>0.31828138997501809</v>
      </c>
      <c r="X234" s="248">
        <f t="shared" si="45"/>
        <v>0.51154414520416192</v>
      </c>
      <c r="Y234" s="248">
        <f t="shared" si="5"/>
        <v>0.48845585479583808</v>
      </c>
      <c r="Z234" s="7"/>
    </row>
    <row r="235" spans="1:26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69">
        <f>Q232+1</f>
        <v>1999</v>
      </c>
      <c r="R235" s="69">
        <v>3</v>
      </c>
      <c r="S235" s="89" t="s">
        <v>1517</v>
      </c>
      <c r="T235" s="7" t="str">
        <f t="shared" si="0"/>
        <v>3_1999</v>
      </c>
      <c r="U235" s="247">
        <f t="shared" si="1"/>
        <v>166.6</v>
      </c>
      <c r="V235" s="248">
        <f t="shared" si="44"/>
        <v>0.68171861002498191</v>
      </c>
      <c r="W235" s="248">
        <f t="shared" si="3"/>
        <v>0.31828138997501809</v>
      </c>
      <c r="X235" s="248">
        <f t="shared" si="45"/>
        <v>0.51154414520416192</v>
      </c>
      <c r="Y235" s="248">
        <f t="shared" si="5"/>
        <v>0.48845585479583808</v>
      </c>
      <c r="Z235" s="7"/>
    </row>
    <row r="236" spans="1:26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69">
        <f>Q232+1</f>
        <v>1999</v>
      </c>
      <c r="R236" s="69">
        <v>4</v>
      </c>
      <c r="S236" s="89" t="s">
        <v>1517</v>
      </c>
      <c r="T236" s="7" t="str">
        <f t="shared" si="0"/>
        <v>4_1999</v>
      </c>
      <c r="U236" s="247">
        <f t="shared" si="1"/>
        <v>166.6</v>
      </c>
      <c r="V236" s="248">
        <f t="shared" si="44"/>
        <v>0.68171861002498191</v>
      </c>
      <c r="W236" s="248">
        <f t="shared" si="3"/>
        <v>0.31828138997501809</v>
      </c>
      <c r="X236" s="248">
        <f t="shared" si="45"/>
        <v>0.51154414520416192</v>
      </c>
      <c r="Y236" s="248">
        <f t="shared" si="5"/>
        <v>0.48845585479583808</v>
      </c>
      <c r="Z236" s="7"/>
    </row>
    <row r="237" spans="1:26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69">
        <f>Q232+1</f>
        <v>1999</v>
      </c>
      <c r="R237" s="69">
        <v>5</v>
      </c>
      <c r="S237" s="89" t="s">
        <v>1517</v>
      </c>
      <c r="T237" s="7" t="str">
        <f t="shared" si="0"/>
        <v>5_1999</v>
      </c>
      <c r="U237" s="247">
        <f t="shared" si="1"/>
        <v>166.6</v>
      </c>
      <c r="V237" s="248">
        <f t="shared" si="44"/>
        <v>0.68171861002498191</v>
      </c>
      <c r="W237" s="248">
        <f t="shared" si="3"/>
        <v>0.31828138997501809</v>
      </c>
      <c r="X237" s="248">
        <f t="shared" si="45"/>
        <v>0.51154414520416192</v>
      </c>
      <c r="Y237" s="248">
        <f t="shared" si="5"/>
        <v>0.48845585479583808</v>
      </c>
      <c r="Z237" s="7"/>
    </row>
    <row r="238" spans="1:26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69">
        <f>Q232+1</f>
        <v>1999</v>
      </c>
      <c r="R238" s="69">
        <v>6</v>
      </c>
      <c r="S238" s="89" t="s">
        <v>1517</v>
      </c>
      <c r="T238" s="7" t="str">
        <f t="shared" si="0"/>
        <v>6_1999</v>
      </c>
      <c r="U238" s="247">
        <f t="shared" si="1"/>
        <v>166.6</v>
      </c>
      <c r="V238" s="248">
        <f t="shared" si="44"/>
        <v>0.68171861002498191</v>
      </c>
      <c r="W238" s="248">
        <f t="shared" si="3"/>
        <v>0.31828138997501809</v>
      </c>
      <c r="X238" s="248">
        <f t="shared" si="45"/>
        <v>0.51154414520416192</v>
      </c>
      <c r="Y238" s="248">
        <f t="shared" si="5"/>
        <v>0.48845585479583808</v>
      </c>
      <c r="Z238" s="7"/>
    </row>
    <row r="239" spans="1:26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69">
        <f>Q232+1</f>
        <v>1999</v>
      </c>
      <c r="R239" s="69">
        <v>7</v>
      </c>
      <c r="S239" s="89" t="s">
        <v>1517</v>
      </c>
      <c r="T239" s="7" t="str">
        <f t="shared" si="0"/>
        <v>7_1999</v>
      </c>
      <c r="U239" s="247">
        <f t="shared" si="1"/>
        <v>166.6</v>
      </c>
      <c r="V239" s="248">
        <f t="shared" si="44"/>
        <v>0.68171861002498191</v>
      </c>
      <c r="W239" s="248">
        <f t="shared" si="3"/>
        <v>0.31828138997501809</v>
      </c>
      <c r="X239" s="248">
        <f t="shared" si="45"/>
        <v>0.51154414520416192</v>
      </c>
      <c r="Y239" s="248">
        <f t="shared" si="5"/>
        <v>0.48845585479583808</v>
      </c>
      <c r="Z239" s="7"/>
    </row>
    <row r="240" spans="1:26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69">
        <f>Q232+1</f>
        <v>1999</v>
      </c>
      <c r="R240" s="69">
        <v>8</v>
      </c>
      <c r="S240" s="89" t="s">
        <v>1517</v>
      </c>
      <c r="T240" s="7" t="str">
        <f t="shared" si="0"/>
        <v>8_1999</v>
      </c>
      <c r="U240" s="247">
        <f t="shared" si="1"/>
        <v>166.6</v>
      </c>
      <c r="V240" s="248">
        <f t="shared" si="44"/>
        <v>0.68171861002498191</v>
      </c>
      <c r="W240" s="248">
        <f t="shared" si="3"/>
        <v>0.31828138997501809</v>
      </c>
      <c r="X240" s="248">
        <f t="shared" si="45"/>
        <v>0.51154414520416192</v>
      </c>
      <c r="Y240" s="248">
        <f t="shared" si="5"/>
        <v>0.48845585479583808</v>
      </c>
      <c r="Z240" s="7"/>
    </row>
    <row r="241" spans="1:26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69">
        <f>Q232+1</f>
        <v>1999</v>
      </c>
      <c r="R241" s="69">
        <v>9</v>
      </c>
      <c r="S241" s="89" t="s">
        <v>1517</v>
      </c>
      <c r="T241" s="7" t="str">
        <f t="shared" si="0"/>
        <v>9_1999</v>
      </c>
      <c r="U241" s="247">
        <f t="shared" si="1"/>
        <v>166.6</v>
      </c>
      <c r="V241" s="248">
        <f t="shared" si="44"/>
        <v>0.68171861002498191</v>
      </c>
      <c r="W241" s="248">
        <f t="shared" si="3"/>
        <v>0.31828138997501809</v>
      </c>
      <c r="X241" s="248">
        <f t="shared" si="45"/>
        <v>0.51154414520416192</v>
      </c>
      <c r="Y241" s="248">
        <f t="shared" si="5"/>
        <v>0.48845585479583808</v>
      </c>
      <c r="Z241" s="7"/>
    </row>
    <row r="242" spans="1:26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69">
        <f>Q232+1</f>
        <v>1999</v>
      </c>
      <c r="R242" s="69">
        <v>10</v>
      </c>
      <c r="S242" s="89" t="s">
        <v>1517</v>
      </c>
      <c r="T242" s="7" t="str">
        <f t="shared" si="0"/>
        <v>10_1999</v>
      </c>
      <c r="U242" s="247">
        <f t="shared" si="1"/>
        <v>166.6</v>
      </c>
      <c r="V242" s="248">
        <f t="shared" si="44"/>
        <v>0.68171861002498191</v>
      </c>
      <c r="W242" s="248">
        <f t="shared" si="3"/>
        <v>0.31828138997501809</v>
      </c>
      <c r="X242" s="248">
        <f t="shared" si="45"/>
        <v>0.51154414520416192</v>
      </c>
      <c r="Y242" s="248">
        <f t="shared" si="5"/>
        <v>0.48845585479583808</v>
      </c>
      <c r="Z242" s="7"/>
    </row>
    <row r="243" spans="1:26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69">
        <f>Q232+1</f>
        <v>1999</v>
      </c>
      <c r="R243" s="69">
        <v>11</v>
      </c>
      <c r="S243" s="89" t="s">
        <v>1517</v>
      </c>
      <c r="T243" s="7" t="str">
        <f t="shared" si="0"/>
        <v>11_1999</v>
      </c>
      <c r="U243" s="247">
        <f t="shared" si="1"/>
        <v>166.6</v>
      </c>
      <c r="V243" s="248">
        <f t="shared" si="44"/>
        <v>0.68171861002498191</v>
      </c>
      <c r="W243" s="248">
        <f t="shared" si="3"/>
        <v>0.31828138997501809</v>
      </c>
      <c r="X243" s="248">
        <f t="shared" si="45"/>
        <v>0.51154414520416192</v>
      </c>
      <c r="Y243" s="248">
        <f t="shared" si="5"/>
        <v>0.48845585479583808</v>
      </c>
      <c r="Z243" s="7"/>
    </row>
    <row r="244" spans="1:26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69">
        <f>Q232+1</f>
        <v>1999</v>
      </c>
      <c r="R244" s="69">
        <v>12</v>
      </c>
      <c r="S244" s="89" t="s">
        <v>1517</v>
      </c>
      <c r="T244" s="7" t="str">
        <f t="shared" si="0"/>
        <v>12_1999</v>
      </c>
      <c r="U244" s="247">
        <f t="shared" si="1"/>
        <v>166.6</v>
      </c>
      <c r="V244" s="248">
        <f>+(V256*U244/U256)/(V256*U244/U256+W256*AVERAGE(U244,'PPI USA'!T250)/AVERAGE(U256,'PPI USA'!T262))</f>
        <v>0.68171861002498191</v>
      </c>
      <c r="W244" s="248">
        <f t="shared" si="3"/>
        <v>0.31828138997501809</v>
      </c>
      <c r="X244" s="248">
        <f>+(X256*$U244/$U256)/(X256*$U244/$U256+Y256*AVERAGE($U244,'PPI USA'!$T250)/AVERAGE($U256,'PPI USA'!$T262))</f>
        <v>0.51154414520416192</v>
      </c>
      <c r="Y244" s="248">
        <f t="shared" si="5"/>
        <v>0.48845585479583808</v>
      </c>
      <c r="Z244" s="7"/>
    </row>
    <row r="245" spans="1:26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69">
        <f>Q244+1</f>
        <v>2000</v>
      </c>
      <c r="R245" s="69">
        <v>1</v>
      </c>
      <c r="S245" s="89" t="s">
        <v>1517</v>
      </c>
      <c r="T245" s="7" t="str">
        <f t="shared" si="0"/>
        <v>1_2000</v>
      </c>
      <c r="U245" s="247">
        <f t="shared" si="1"/>
        <v>172.2</v>
      </c>
      <c r="V245" s="248">
        <f t="shared" ref="V245:V255" si="46">+V246</f>
        <v>0.68282244560590366</v>
      </c>
      <c r="W245" s="248">
        <f t="shared" si="3"/>
        <v>0.31717755439409634</v>
      </c>
      <c r="X245" s="248">
        <f t="shared" ref="X245:X255" si="47">+X246</f>
        <v>0.51281639554415048</v>
      </c>
      <c r="Y245" s="248">
        <f t="shared" si="5"/>
        <v>0.48718360445584952</v>
      </c>
      <c r="Z245" s="7"/>
    </row>
    <row r="246" spans="1:26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69">
        <f>Q244+1</f>
        <v>2000</v>
      </c>
      <c r="R246" s="69">
        <v>2</v>
      </c>
      <c r="S246" s="89" t="s">
        <v>1517</v>
      </c>
      <c r="T246" s="7" t="str">
        <f t="shared" si="0"/>
        <v>2_2000</v>
      </c>
      <c r="U246" s="247">
        <f t="shared" si="1"/>
        <v>172.2</v>
      </c>
      <c r="V246" s="248">
        <f t="shared" si="46"/>
        <v>0.68282244560590366</v>
      </c>
      <c r="W246" s="248">
        <f t="shared" si="3"/>
        <v>0.31717755439409634</v>
      </c>
      <c r="X246" s="248">
        <f t="shared" si="47"/>
        <v>0.51281639554415048</v>
      </c>
      <c r="Y246" s="248">
        <f t="shared" si="5"/>
        <v>0.48718360445584952</v>
      </c>
      <c r="Z246" s="7"/>
    </row>
    <row r="247" spans="1:26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69">
        <f>Q244+1</f>
        <v>2000</v>
      </c>
      <c r="R247" s="69">
        <v>3</v>
      </c>
      <c r="S247" s="89" t="s">
        <v>1517</v>
      </c>
      <c r="T247" s="7" t="str">
        <f t="shared" si="0"/>
        <v>3_2000</v>
      </c>
      <c r="U247" s="247">
        <f t="shared" si="1"/>
        <v>172.2</v>
      </c>
      <c r="V247" s="248">
        <f t="shared" si="46"/>
        <v>0.68282244560590366</v>
      </c>
      <c r="W247" s="248">
        <f t="shared" si="3"/>
        <v>0.31717755439409634</v>
      </c>
      <c r="X247" s="248">
        <f t="shared" si="47"/>
        <v>0.51281639554415048</v>
      </c>
      <c r="Y247" s="248">
        <f t="shared" si="5"/>
        <v>0.48718360445584952</v>
      </c>
      <c r="Z247" s="7"/>
    </row>
    <row r="248" spans="1:26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69">
        <f>Q244+1</f>
        <v>2000</v>
      </c>
      <c r="R248" s="69">
        <v>4</v>
      </c>
      <c r="S248" s="89" t="s">
        <v>1517</v>
      </c>
      <c r="T248" s="7" t="str">
        <f t="shared" si="0"/>
        <v>4_2000</v>
      </c>
      <c r="U248" s="247">
        <f t="shared" si="1"/>
        <v>172.2</v>
      </c>
      <c r="V248" s="248">
        <f t="shared" si="46"/>
        <v>0.68282244560590366</v>
      </c>
      <c r="W248" s="248">
        <f t="shared" si="3"/>
        <v>0.31717755439409634</v>
      </c>
      <c r="X248" s="248">
        <f t="shared" si="47"/>
        <v>0.51281639554415048</v>
      </c>
      <c r="Y248" s="248">
        <f t="shared" si="5"/>
        <v>0.48718360445584952</v>
      </c>
      <c r="Z248" s="7"/>
    </row>
    <row r="249" spans="1:26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69">
        <f>Q244+1</f>
        <v>2000</v>
      </c>
      <c r="R249" s="69">
        <v>5</v>
      </c>
      <c r="S249" s="89" t="s">
        <v>1517</v>
      </c>
      <c r="T249" s="7" t="str">
        <f t="shared" si="0"/>
        <v>5_2000</v>
      </c>
      <c r="U249" s="247">
        <f t="shared" si="1"/>
        <v>172.2</v>
      </c>
      <c r="V249" s="248">
        <f t="shared" si="46"/>
        <v>0.68282244560590366</v>
      </c>
      <c r="W249" s="248">
        <f t="shared" si="3"/>
        <v>0.31717755439409634</v>
      </c>
      <c r="X249" s="248">
        <f t="shared" si="47"/>
        <v>0.51281639554415048</v>
      </c>
      <c r="Y249" s="248">
        <f t="shared" si="5"/>
        <v>0.48718360445584952</v>
      </c>
      <c r="Z249" s="7"/>
    </row>
    <row r="250" spans="1:26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69">
        <f>Q244+1</f>
        <v>2000</v>
      </c>
      <c r="R250" s="69">
        <v>6</v>
      </c>
      <c r="S250" s="89" t="s">
        <v>1517</v>
      </c>
      <c r="T250" s="7" t="str">
        <f t="shared" si="0"/>
        <v>6_2000</v>
      </c>
      <c r="U250" s="247">
        <f t="shared" si="1"/>
        <v>172.2</v>
      </c>
      <c r="V250" s="248">
        <f t="shared" si="46"/>
        <v>0.68282244560590366</v>
      </c>
      <c r="W250" s="248">
        <f t="shared" si="3"/>
        <v>0.31717755439409634</v>
      </c>
      <c r="X250" s="248">
        <f t="shared" si="47"/>
        <v>0.51281639554415048</v>
      </c>
      <c r="Y250" s="248">
        <f t="shared" si="5"/>
        <v>0.48718360445584952</v>
      </c>
      <c r="Z250" s="7"/>
    </row>
    <row r="251" spans="1:26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69">
        <f>Q244+1</f>
        <v>2000</v>
      </c>
      <c r="R251" s="69">
        <v>7</v>
      </c>
      <c r="S251" s="89" t="s">
        <v>1517</v>
      </c>
      <c r="T251" s="7" t="str">
        <f t="shared" si="0"/>
        <v>7_2000</v>
      </c>
      <c r="U251" s="247">
        <f t="shared" si="1"/>
        <v>172.2</v>
      </c>
      <c r="V251" s="248">
        <f t="shared" si="46"/>
        <v>0.68282244560590366</v>
      </c>
      <c r="W251" s="248">
        <f t="shared" si="3"/>
        <v>0.31717755439409634</v>
      </c>
      <c r="X251" s="248">
        <f t="shared" si="47"/>
        <v>0.51281639554415048</v>
      </c>
      <c r="Y251" s="248">
        <f t="shared" si="5"/>
        <v>0.48718360445584952</v>
      </c>
      <c r="Z251" s="7"/>
    </row>
    <row r="252" spans="1:26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69">
        <f>Q244+1</f>
        <v>2000</v>
      </c>
      <c r="R252" s="69">
        <v>8</v>
      </c>
      <c r="S252" s="89" t="s">
        <v>1517</v>
      </c>
      <c r="T252" s="7" t="str">
        <f t="shared" si="0"/>
        <v>8_2000</v>
      </c>
      <c r="U252" s="247">
        <f t="shared" si="1"/>
        <v>172.2</v>
      </c>
      <c r="V252" s="248">
        <f t="shared" si="46"/>
        <v>0.68282244560590366</v>
      </c>
      <c r="W252" s="248">
        <f t="shared" si="3"/>
        <v>0.31717755439409634</v>
      </c>
      <c r="X252" s="248">
        <f t="shared" si="47"/>
        <v>0.51281639554415048</v>
      </c>
      <c r="Y252" s="248">
        <f t="shared" si="5"/>
        <v>0.48718360445584952</v>
      </c>
      <c r="Z252" s="7"/>
    </row>
    <row r="253" spans="1:26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69">
        <f>Q244+1</f>
        <v>2000</v>
      </c>
      <c r="R253" s="69">
        <v>9</v>
      </c>
      <c r="S253" s="89" t="s">
        <v>1517</v>
      </c>
      <c r="T253" s="7" t="str">
        <f t="shared" si="0"/>
        <v>9_2000</v>
      </c>
      <c r="U253" s="247">
        <f t="shared" si="1"/>
        <v>172.2</v>
      </c>
      <c r="V253" s="248">
        <f t="shared" si="46"/>
        <v>0.68282244560590366</v>
      </c>
      <c r="W253" s="248">
        <f t="shared" si="3"/>
        <v>0.31717755439409634</v>
      </c>
      <c r="X253" s="248">
        <f t="shared" si="47"/>
        <v>0.51281639554415048</v>
      </c>
      <c r="Y253" s="248">
        <f t="shared" si="5"/>
        <v>0.48718360445584952</v>
      </c>
      <c r="Z253" s="7"/>
    </row>
    <row r="254" spans="1:26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69">
        <f>Q244+1</f>
        <v>2000</v>
      </c>
      <c r="R254" s="69">
        <v>10</v>
      </c>
      <c r="S254" s="89" t="s">
        <v>1517</v>
      </c>
      <c r="T254" s="7" t="str">
        <f t="shared" si="0"/>
        <v>10_2000</v>
      </c>
      <c r="U254" s="247">
        <f t="shared" si="1"/>
        <v>172.2</v>
      </c>
      <c r="V254" s="248">
        <f t="shared" si="46"/>
        <v>0.68282244560590366</v>
      </c>
      <c r="W254" s="248">
        <f t="shared" si="3"/>
        <v>0.31717755439409634</v>
      </c>
      <c r="X254" s="248">
        <f t="shared" si="47"/>
        <v>0.51281639554415048</v>
      </c>
      <c r="Y254" s="248">
        <f t="shared" si="5"/>
        <v>0.48718360445584952</v>
      </c>
      <c r="Z254" s="7"/>
    </row>
    <row r="255" spans="1:26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69">
        <f>Q244+1</f>
        <v>2000</v>
      </c>
      <c r="R255" s="69">
        <v>11</v>
      </c>
      <c r="S255" s="89" t="s">
        <v>1517</v>
      </c>
      <c r="T255" s="7" t="str">
        <f t="shared" si="0"/>
        <v>11_2000</v>
      </c>
      <c r="U255" s="247">
        <f t="shared" si="1"/>
        <v>172.2</v>
      </c>
      <c r="V255" s="248">
        <f t="shared" si="46"/>
        <v>0.68282244560590366</v>
      </c>
      <c r="W255" s="248">
        <f t="shared" si="3"/>
        <v>0.31717755439409634</v>
      </c>
      <c r="X255" s="248">
        <f t="shared" si="47"/>
        <v>0.51281639554415048</v>
      </c>
      <c r="Y255" s="248">
        <f t="shared" si="5"/>
        <v>0.48718360445584952</v>
      </c>
      <c r="Z255" s="7"/>
    </row>
    <row r="256" spans="1:26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69">
        <f>Q244+1</f>
        <v>2000</v>
      </c>
      <c r="R256" s="69">
        <v>12</v>
      </c>
      <c r="S256" s="89" t="s">
        <v>1517</v>
      </c>
      <c r="T256" s="7" t="str">
        <f t="shared" si="0"/>
        <v>12_2000</v>
      </c>
      <c r="U256" s="247">
        <f t="shared" si="1"/>
        <v>172.2</v>
      </c>
      <c r="V256" s="248">
        <f>+(V268*U256/U268)/(V268*U256/U268+W268*AVERAGE(U256,'PPI USA'!T262)/AVERAGE(U268,'PPI USA'!T274))</f>
        <v>0.68282244560590366</v>
      </c>
      <c r="W256" s="248">
        <f t="shared" si="3"/>
        <v>0.31717755439409634</v>
      </c>
      <c r="X256" s="248">
        <f>+(X268*$U256/$U268)/(X268*$U256/$U268+Y268*AVERAGE($U256,'PPI USA'!$T262)/AVERAGE($U268,'PPI USA'!$T274))</f>
        <v>0.51281639554415048</v>
      </c>
      <c r="Y256" s="248">
        <f t="shared" si="5"/>
        <v>0.48718360445584952</v>
      </c>
      <c r="Z256" s="7"/>
    </row>
    <row r="257" spans="1:26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69">
        <f>Q256+1</f>
        <v>2001</v>
      </c>
      <c r="R257" s="69">
        <v>1</v>
      </c>
      <c r="S257" s="89" t="s">
        <v>1517</v>
      </c>
      <c r="T257" s="7" t="str">
        <f t="shared" si="0"/>
        <v>1_2001</v>
      </c>
      <c r="U257" s="247">
        <f t="shared" si="1"/>
        <v>177.1</v>
      </c>
      <c r="V257" s="248">
        <f t="shared" ref="V257:V267" si="48">+V258</f>
        <v>0.67915417987956239</v>
      </c>
      <c r="W257" s="248">
        <f t="shared" si="3"/>
        <v>0.32084582012043761</v>
      </c>
      <c r="X257" s="248">
        <f t="shared" ref="X257:X267" si="49">+X258</f>
        <v>0.50859694042773451</v>
      </c>
      <c r="Y257" s="248">
        <f t="shared" si="5"/>
        <v>0.49140305957226549</v>
      </c>
      <c r="Z257" s="7"/>
    </row>
    <row r="258" spans="1:26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69">
        <f>Q256+1</f>
        <v>2001</v>
      </c>
      <c r="R258" s="69">
        <v>2</v>
      </c>
      <c r="S258" s="89" t="s">
        <v>1517</v>
      </c>
      <c r="T258" s="7" t="str">
        <f t="shared" si="0"/>
        <v>2_2001</v>
      </c>
      <c r="U258" s="247">
        <f t="shared" si="1"/>
        <v>177.1</v>
      </c>
      <c r="V258" s="248">
        <f t="shared" si="48"/>
        <v>0.67915417987956239</v>
      </c>
      <c r="W258" s="248">
        <f t="shared" si="3"/>
        <v>0.32084582012043761</v>
      </c>
      <c r="X258" s="248">
        <f t="shared" si="49"/>
        <v>0.50859694042773451</v>
      </c>
      <c r="Y258" s="248">
        <f t="shared" si="5"/>
        <v>0.49140305957226549</v>
      </c>
      <c r="Z258" s="7"/>
    </row>
    <row r="259" spans="1:26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69">
        <f>Q256+1</f>
        <v>2001</v>
      </c>
      <c r="R259" s="69">
        <v>3</v>
      </c>
      <c r="S259" s="89" t="s">
        <v>1517</v>
      </c>
      <c r="T259" s="7" t="str">
        <f t="shared" si="0"/>
        <v>3_2001</v>
      </c>
      <c r="U259" s="247">
        <f t="shared" si="1"/>
        <v>177.1</v>
      </c>
      <c r="V259" s="248">
        <f t="shared" si="48"/>
        <v>0.67915417987956239</v>
      </c>
      <c r="W259" s="248">
        <f t="shared" si="3"/>
        <v>0.32084582012043761</v>
      </c>
      <c r="X259" s="248">
        <f t="shared" si="49"/>
        <v>0.50859694042773451</v>
      </c>
      <c r="Y259" s="248">
        <f t="shared" si="5"/>
        <v>0.49140305957226549</v>
      </c>
      <c r="Z259" s="7"/>
    </row>
    <row r="260" spans="1:26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69">
        <f>Q256+1</f>
        <v>2001</v>
      </c>
      <c r="R260" s="69">
        <v>4</v>
      </c>
      <c r="S260" s="89" t="s">
        <v>1517</v>
      </c>
      <c r="T260" s="7" t="str">
        <f t="shared" ref="T260:T514" si="50">R260&amp;"_"&amp;Q260</f>
        <v>4_2001</v>
      </c>
      <c r="U260" s="247">
        <f t="shared" ref="U260:U514" si="51">VLOOKUP(Q260,$A:$N,MATCH(S260,$A$12:$N$12,0),FALSE)</f>
        <v>177.1</v>
      </c>
      <c r="V260" s="248">
        <f t="shared" si="48"/>
        <v>0.67915417987956239</v>
      </c>
      <c r="W260" s="248">
        <f t="shared" ref="W260:W496" si="52">1-V260</f>
        <v>0.32084582012043761</v>
      </c>
      <c r="X260" s="248">
        <f t="shared" si="49"/>
        <v>0.50859694042773451</v>
      </c>
      <c r="Y260" s="248">
        <f t="shared" ref="Y260:Y496" si="53">1-X260</f>
        <v>0.49140305957226549</v>
      </c>
      <c r="Z260" s="7"/>
    </row>
    <row r="261" spans="1:26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69">
        <f>Q256+1</f>
        <v>2001</v>
      </c>
      <c r="R261" s="69">
        <v>5</v>
      </c>
      <c r="S261" s="89" t="s">
        <v>1517</v>
      </c>
      <c r="T261" s="7" t="str">
        <f t="shared" si="50"/>
        <v>5_2001</v>
      </c>
      <c r="U261" s="247">
        <f t="shared" si="51"/>
        <v>177.1</v>
      </c>
      <c r="V261" s="248">
        <f t="shared" si="48"/>
        <v>0.67915417987956239</v>
      </c>
      <c r="W261" s="248">
        <f t="shared" si="52"/>
        <v>0.32084582012043761</v>
      </c>
      <c r="X261" s="248">
        <f t="shared" si="49"/>
        <v>0.50859694042773451</v>
      </c>
      <c r="Y261" s="248">
        <f t="shared" si="53"/>
        <v>0.49140305957226549</v>
      </c>
      <c r="Z261" s="7"/>
    </row>
    <row r="262" spans="1:26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69">
        <f>Q256+1</f>
        <v>2001</v>
      </c>
      <c r="R262" s="69">
        <v>6</v>
      </c>
      <c r="S262" s="89" t="s">
        <v>1517</v>
      </c>
      <c r="T262" s="7" t="str">
        <f t="shared" si="50"/>
        <v>6_2001</v>
      </c>
      <c r="U262" s="247">
        <f t="shared" si="51"/>
        <v>177.1</v>
      </c>
      <c r="V262" s="248">
        <f t="shared" si="48"/>
        <v>0.67915417987956239</v>
      </c>
      <c r="W262" s="248">
        <f t="shared" si="52"/>
        <v>0.32084582012043761</v>
      </c>
      <c r="X262" s="248">
        <f t="shared" si="49"/>
        <v>0.50859694042773451</v>
      </c>
      <c r="Y262" s="248">
        <f t="shared" si="53"/>
        <v>0.49140305957226549</v>
      </c>
      <c r="Z262" s="7"/>
    </row>
    <row r="263" spans="1:26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69">
        <f>Q256+1</f>
        <v>2001</v>
      </c>
      <c r="R263" s="69">
        <v>7</v>
      </c>
      <c r="S263" s="89" t="s">
        <v>1517</v>
      </c>
      <c r="T263" s="7" t="str">
        <f t="shared" si="50"/>
        <v>7_2001</v>
      </c>
      <c r="U263" s="247">
        <f t="shared" si="51"/>
        <v>177.1</v>
      </c>
      <c r="V263" s="248">
        <f t="shared" si="48"/>
        <v>0.67915417987956239</v>
      </c>
      <c r="W263" s="248">
        <f t="shared" si="52"/>
        <v>0.32084582012043761</v>
      </c>
      <c r="X263" s="248">
        <f t="shared" si="49"/>
        <v>0.50859694042773451</v>
      </c>
      <c r="Y263" s="248">
        <f t="shared" si="53"/>
        <v>0.49140305957226549</v>
      </c>
      <c r="Z263" s="7"/>
    </row>
    <row r="264" spans="1:26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69">
        <f>Q256+1</f>
        <v>2001</v>
      </c>
      <c r="R264" s="69">
        <v>8</v>
      </c>
      <c r="S264" s="89" t="s">
        <v>1517</v>
      </c>
      <c r="T264" s="7" t="str">
        <f t="shared" si="50"/>
        <v>8_2001</v>
      </c>
      <c r="U264" s="247">
        <f t="shared" si="51"/>
        <v>177.1</v>
      </c>
      <c r="V264" s="248">
        <f t="shared" si="48"/>
        <v>0.67915417987956239</v>
      </c>
      <c r="W264" s="248">
        <f t="shared" si="52"/>
        <v>0.32084582012043761</v>
      </c>
      <c r="X264" s="248">
        <f t="shared" si="49"/>
        <v>0.50859694042773451</v>
      </c>
      <c r="Y264" s="248">
        <f t="shared" si="53"/>
        <v>0.49140305957226549</v>
      </c>
      <c r="Z264" s="7"/>
    </row>
    <row r="265" spans="1:26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69">
        <f>Q256+1</f>
        <v>2001</v>
      </c>
      <c r="R265" s="69">
        <v>9</v>
      </c>
      <c r="S265" s="89" t="s">
        <v>1517</v>
      </c>
      <c r="T265" s="7" t="str">
        <f t="shared" si="50"/>
        <v>9_2001</v>
      </c>
      <c r="U265" s="247">
        <f t="shared" si="51"/>
        <v>177.1</v>
      </c>
      <c r="V265" s="248">
        <f t="shared" si="48"/>
        <v>0.67915417987956239</v>
      </c>
      <c r="W265" s="248">
        <f t="shared" si="52"/>
        <v>0.32084582012043761</v>
      </c>
      <c r="X265" s="248">
        <f t="shared" si="49"/>
        <v>0.50859694042773451</v>
      </c>
      <c r="Y265" s="248">
        <f t="shared" si="53"/>
        <v>0.49140305957226549</v>
      </c>
      <c r="Z265" s="7"/>
    </row>
    <row r="266" spans="1:26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69">
        <f>Q256+1</f>
        <v>2001</v>
      </c>
      <c r="R266" s="69">
        <v>10</v>
      </c>
      <c r="S266" s="89" t="s">
        <v>1517</v>
      </c>
      <c r="T266" s="7" t="str">
        <f t="shared" si="50"/>
        <v>10_2001</v>
      </c>
      <c r="U266" s="247">
        <f t="shared" si="51"/>
        <v>177.1</v>
      </c>
      <c r="V266" s="248">
        <f t="shared" si="48"/>
        <v>0.67915417987956239</v>
      </c>
      <c r="W266" s="248">
        <f t="shared" si="52"/>
        <v>0.32084582012043761</v>
      </c>
      <c r="X266" s="248">
        <f t="shared" si="49"/>
        <v>0.50859694042773451</v>
      </c>
      <c r="Y266" s="248">
        <f t="shared" si="53"/>
        <v>0.49140305957226549</v>
      </c>
      <c r="Z266" s="7"/>
    </row>
    <row r="267" spans="1:26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69">
        <f>Q256+1</f>
        <v>2001</v>
      </c>
      <c r="R267" s="69">
        <v>11</v>
      </c>
      <c r="S267" s="89" t="s">
        <v>1517</v>
      </c>
      <c r="T267" s="7" t="str">
        <f t="shared" si="50"/>
        <v>11_2001</v>
      </c>
      <c r="U267" s="247">
        <f t="shared" si="51"/>
        <v>177.1</v>
      </c>
      <c r="V267" s="248">
        <f t="shared" si="48"/>
        <v>0.67915417987956239</v>
      </c>
      <c r="W267" s="248">
        <f t="shared" si="52"/>
        <v>0.32084582012043761</v>
      </c>
      <c r="X267" s="248">
        <f t="shared" si="49"/>
        <v>0.50859694042773451</v>
      </c>
      <c r="Y267" s="248">
        <f t="shared" si="53"/>
        <v>0.49140305957226549</v>
      </c>
      <c r="Z267" s="7"/>
    </row>
    <row r="268" spans="1:26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69">
        <f>Q256+1</f>
        <v>2001</v>
      </c>
      <c r="R268" s="69">
        <v>12</v>
      </c>
      <c r="S268" s="89" t="s">
        <v>1517</v>
      </c>
      <c r="T268" s="7" t="str">
        <f t="shared" si="50"/>
        <v>12_2001</v>
      </c>
      <c r="U268" s="247">
        <f t="shared" si="51"/>
        <v>177.1</v>
      </c>
      <c r="V268" s="248">
        <f>+(V280*U268/U280)/(V280*U268/U280+W280*AVERAGE(U268,'PPI USA'!T274)/AVERAGE(U280,'PPI USA'!T286))</f>
        <v>0.67915417987956239</v>
      </c>
      <c r="W268" s="248">
        <f t="shared" si="52"/>
        <v>0.32084582012043761</v>
      </c>
      <c r="X268" s="248">
        <f>+(X280*$U268/$U280)/(X280*$U268/$U280+Y280*AVERAGE($U268,'PPI USA'!$T274)/AVERAGE($U280,'PPI USA'!$T286))</f>
        <v>0.50859694042773451</v>
      </c>
      <c r="Y268" s="248">
        <f t="shared" si="53"/>
        <v>0.49140305957226549</v>
      </c>
      <c r="Z268" s="7"/>
    </row>
    <row r="269" spans="1:26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69">
        <f>Q268+1</f>
        <v>2002</v>
      </c>
      <c r="R269" s="69">
        <v>1</v>
      </c>
      <c r="S269" s="89" t="s">
        <v>1517</v>
      </c>
      <c r="T269" s="7" t="str">
        <f t="shared" si="50"/>
        <v>1_2002</v>
      </c>
      <c r="U269" s="247">
        <f t="shared" si="51"/>
        <v>179.9</v>
      </c>
      <c r="V269" s="248">
        <f t="shared" ref="V269:V279" si="54">+V270</f>
        <v>0.68124675757695474</v>
      </c>
      <c r="W269" s="248">
        <f t="shared" si="52"/>
        <v>0.31875324242304526</v>
      </c>
      <c r="X269" s="248">
        <f t="shared" ref="X269:X279" si="55">+X270</f>
        <v>0.51100097296585234</v>
      </c>
      <c r="Y269" s="248">
        <f t="shared" si="53"/>
        <v>0.48899902703414766</v>
      </c>
      <c r="Z269" s="7"/>
    </row>
    <row r="270" spans="1:26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69">
        <f>Q268+1</f>
        <v>2002</v>
      </c>
      <c r="R270" s="69">
        <v>2</v>
      </c>
      <c r="S270" s="89" t="s">
        <v>1517</v>
      </c>
      <c r="T270" s="7" t="str">
        <f t="shared" si="50"/>
        <v>2_2002</v>
      </c>
      <c r="U270" s="247">
        <f t="shared" si="51"/>
        <v>179.9</v>
      </c>
      <c r="V270" s="248">
        <f t="shared" si="54"/>
        <v>0.68124675757695474</v>
      </c>
      <c r="W270" s="248">
        <f t="shared" si="52"/>
        <v>0.31875324242304526</v>
      </c>
      <c r="X270" s="248">
        <f t="shared" si="55"/>
        <v>0.51100097296585234</v>
      </c>
      <c r="Y270" s="248">
        <f t="shared" si="53"/>
        <v>0.48899902703414766</v>
      </c>
      <c r="Z270" s="7"/>
    </row>
    <row r="271" spans="1:26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69">
        <f>Q268+1</f>
        <v>2002</v>
      </c>
      <c r="R271" s="69">
        <v>3</v>
      </c>
      <c r="S271" s="89" t="s">
        <v>1517</v>
      </c>
      <c r="T271" s="7" t="str">
        <f t="shared" si="50"/>
        <v>3_2002</v>
      </c>
      <c r="U271" s="247">
        <f t="shared" si="51"/>
        <v>179.9</v>
      </c>
      <c r="V271" s="248">
        <f t="shared" si="54"/>
        <v>0.68124675757695474</v>
      </c>
      <c r="W271" s="248">
        <f t="shared" si="52"/>
        <v>0.31875324242304526</v>
      </c>
      <c r="X271" s="248">
        <f t="shared" si="55"/>
        <v>0.51100097296585234</v>
      </c>
      <c r="Y271" s="248">
        <f t="shared" si="53"/>
        <v>0.48899902703414766</v>
      </c>
      <c r="Z271" s="7"/>
    </row>
    <row r="272" spans="1:26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69">
        <f>Q268+1</f>
        <v>2002</v>
      </c>
      <c r="R272" s="69">
        <v>4</v>
      </c>
      <c r="S272" s="89" t="s">
        <v>1517</v>
      </c>
      <c r="T272" s="7" t="str">
        <f t="shared" si="50"/>
        <v>4_2002</v>
      </c>
      <c r="U272" s="247">
        <f t="shared" si="51"/>
        <v>179.9</v>
      </c>
      <c r="V272" s="248">
        <f t="shared" si="54"/>
        <v>0.68124675757695474</v>
      </c>
      <c r="W272" s="248">
        <f t="shared" si="52"/>
        <v>0.31875324242304526</v>
      </c>
      <c r="X272" s="248">
        <f t="shared" si="55"/>
        <v>0.51100097296585234</v>
      </c>
      <c r="Y272" s="248">
        <f t="shared" si="53"/>
        <v>0.48899902703414766</v>
      </c>
      <c r="Z272" s="7"/>
    </row>
    <row r="273" spans="1:26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69">
        <f>Q268+1</f>
        <v>2002</v>
      </c>
      <c r="R273" s="69">
        <v>5</v>
      </c>
      <c r="S273" s="89" t="s">
        <v>1517</v>
      </c>
      <c r="T273" s="7" t="str">
        <f t="shared" si="50"/>
        <v>5_2002</v>
      </c>
      <c r="U273" s="247">
        <f t="shared" si="51"/>
        <v>179.9</v>
      </c>
      <c r="V273" s="248">
        <f t="shared" si="54"/>
        <v>0.68124675757695474</v>
      </c>
      <c r="W273" s="248">
        <f t="shared" si="52"/>
        <v>0.31875324242304526</v>
      </c>
      <c r="X273" s="248">
        <f t="shared" si="55"/>
        <v>0.51100097296585234</v>
      </c>
      <c r="Y273" s="248">
        <f t="shared" si="53"/>
        <v>0.48899902703414766</v>
      </c>
      <c r="Z273" s="7"/>
    </row>
    <row r="274" spans="1:26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69">
        <f>Q268+1</f>
        <v>2002</v>
      </c>
      <c r="R274" s="69">
        <v>6</v>
      </c>
      <c r="S274" s="89" t="s">
        <v>1517</v>
      </c>
      <c r="T274" s="7" t="str">
        <f t="shared" si="50"/>
        <v>6_2002</v>
      </c>
      <c r="U274" s="247">
        <f t="shared" si="51"/>
        <v>179.9</v>
      </c>
      <c r="V274" s="248">
        <f t="shared" si="54"/>
        <v>0.68124675757695474</v>
      </c>
      <c r="W274" s="248">
        <f t="shared" si="52"/>
        <v>0.31875324242304526</v>
      </c>
      <c r="X274" s="248">
        <f t="shared" si="55"/>
        <v>0.51100097296585234</v>
      </c>
      <c r="Y274" s="248">
        <f t="shared" si="53"/>
        <v>0.48899902703414766</v>
      </c>
      <c r="Z274" s="7"/>
    </row>
    <row r="275" spans="1:26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69">
        <f>Q268+1</f>
        <v>2002</v>
      </c>
      <c r="R275" s="69">
        <v>7</v>
      </c>
      <c r="S275" s="89" t="s">
        <v>1517</v>
      </c>
      <c r="T275" s="7" t="str">
        <f t="shared" si="50"/>
        <v>7_2002</v>
      </c>
      <c r="U275" s="247">
        <f t="shared" si="51"/>
        <v>179.9</v>
      </c>
      <c r="V275" s="248">
        <f t="shared" si="54"/>
        <v>0.68124675757695474</v>
      </c>
      <c r="W275" s="248">
        <f t="shared" si="52"/>
        <v>0.31875324242304526</v>
      </c>
      <c r="X275" s="248">
        <f t="shared" si="55"/>
        <v>0.51100097296585234</v>
      </c>
      <c r="Y275" s="248">
        <f t="shared" si="53"/>
        <v>0.48899902703414766</v>
      </c>
      <c r="Z275" s="7"/>
    </row>
    <row r="276" spans="1:26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69">
        <f>Q268+1</f>
        <v>2002</v>
      </c>
      <c r="R276" s="69">
        <v>8</v>
      </c>
      <c r="S276" s="89" t="s">
        <v>1517</v>
      </c>
      <c r="T276" s="7" t="str">
        <f t="shared" si="50"/>
        <v>8_2002</v>
      </c>
      <c r="U276" s="247">
        <f t="shared" si="51"/>
        <v>179.9</v>
      </c>
      <c r="V276" s="248">
        <f t="shared" si="54"/>
        <v>0.68124675757695474</v>
      </c>
      <c r="W276" s="248">
        <f t="shared" si="52"/>
        <v>0.31875324242304526</v>
      </c>
      <c r="X276" s="248">
        <f t="shared" si="55"/>
        <v>0.51100097296585234</v>
      </c>
      <c r="Y276" s="248">
        <f t="shared" si="53"/>
        <v>0.48899902703414766</v>
      </c>
      <c r="Z276" s="7"/>
    </row>
    <row r="277" spans="1:26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69">
        <f>Q268+1</f>
        <v>2002</v>
      </c>
      <c r="R277" s="69">
        <v>9</v>
      </c>
      <c r="S277" s="89" t="s">
        <v>1517</v>
      </c>
      <c r="T277" s="7" t="str">
        <f t="shared" si="50"/>
        <v>9_2002</v>
      </c>
      <c r="U277" s="247">
        <f t="shared" si="51"/>
        <v>179.9</v>
      </c>
      <c r="V277" s="248">
        <f t="shared" si="54"/>
        <v>0.68124675757695474</v>
      </c>
      <c r="W277" s="248">
        <f t="shared" si="52"/>
        <v>0.31875324242304526</v>
      </c>
      <c r="X277" s="248">
        <f t="shared" si="55"/>
        <v>0.51100097296585234</v>
      </c>
      <c r="Y277" s="248">
        <f t="shared" si="53"/>
        <v>0.48899902703414766</v>
      </c>
      <c r="Z277" s="7"/>
    </row>
    <row r="278" spans="1:26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69">
        <f>Q268+1</f>
        <v>2002</v>
      </c>
      <c r="R278" s="69">
        <v>10</v>
      </c>
      <c r="S278" s="89" t="s">
        <v>1517</v>
      </c>
      <c r="T278" s="7" t="str">
        <f t="shared" si="50"/>
        <v>10_2002</v>
      </c>
      <c r="U278" s="247">
        <f t="shared" si="51"/>
        <v>179.9</v>
      </c>
      <c r="V278" s="248">
        <f t="shared" si="54"/>
        <v>0.68124675757695474</v>
      </c>
      <c r="W278" s="248">
        <f t="shared" si="52"/>
        <v>0.31875324242304526</v>
      </c>
      <c r="X278" s="248">
        <f t="shared" si="55"/>
        <v>0.51100097296585234</v>
      </c>
      <c r="Y278" s="248">
        <f t="shared" si="53"/>
        <v>0.48899902703414766</v>
      </c>
      <c r="Z278" s="7"/>
    </row>
    <row r="279" spans="1:26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69">
        <f>Q268+1</f>
        <v>2002</v>
      </c>
      <c r="R279" s="69">
        <v>11</v>
      </c>
      <c r="S279" s="89" t="s">
        <v>1517</v>
      </c>
      <c r="T279" s="7" t="str">
        <f t="shared" si="50"/>
        <v>11_2002</v>
      </c>
      <c r="U279" s="247">
        <f t="shared" si="51"/>
        <v>179.9</v>
      </c>
      <c r="V279" s="248">
        <f t="shared" si="54"/>
        <v>0.68124675757695474</v>
      </c>
      <c r="W279" s="248">
        <f t="shared" si="52"/>
        <v>0.31875324242304526</v>
      </c>
      <c r="X279" s="248">
        <f t="shared" si="55"/>
        <v>0.51100097296585234</v>
      </c>
      <c r="Y279" s="248">
        <f t="shared" si="53"/>
        <v>0.48899902703414766</v>
      </c>
      <c r="Z279" s="7"/>
    </row>
    <row r="280" spans="1:26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69">
        <f>Q268+1</f>
        <v>2002</v>
      </c>
      <c r="R280" s="69">
        <v>12</v>
      </c>
      <c r="S280" s="89" t="s">
        <v>1517</v>
      </c>
      <c r="T280" s="7" t="str">
        <f t="shared" si="50"/>
        <v>12_2002</v>
      </c>
      <c r="U280" s="247">
        <f t="shared" si="51"/>
        <v>179.9</v>
      </c>
      <c r="V280" s="248">
        <f>+(V292*U280/U292)/(V292*U280/U292+W292*AVERAGE(U280,'PPI USA'!T286)/AVERAGE(U292,'PPI USA'!T298))</f>
        <v>0.68124675757695474</v>
      </c>
      <c r="W280" s="248">
        <f t="shared" si="52"/>
        <v>0.31875324242304526</v>
      </c>
      <c r="X280" s="248">
        <f>+(X292*$U280/$U292)/(X292*$U280/$U292+Y292*AVERAGE($U280,'PPI USA'!$T286)/AVERAGE($U292,'PPI USA'!$T298))</f>
        <v>0.51100097296585234</v>
      </c>
      <c r="Y280" s="248">
        <f t="shared" si="53"/>
        <v>0.48899902703414766</v>
      </c>
      <c r="Z280" s="7"/>
    </row>
    <row r="281" spans="1:26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69">
        <f>Q280+1</f>
        <v>2003</v>
      </c>
      <c r="R281" s="69">
        <v>1</v>
      </c>
      <c r="S281" s="89" t="s">
        <v>1517</v>
      </c>
      <c r="T281" s="7" t="str">
        <f t="shared" si="50"/>
        <v>1_2003</v>
      </c>
      <c r="U281" s="247">
        <f t="shared" si="51"/>
        <v>184</v>
      </c>
      <c r="V281" s="248">
        <f t="shared" ref="V281:V291" si="56">+V282</f>
        <v>0.67966838867333434</v>
      </c>
      <c r="W281" s="248">
        <f t="shared" si="52"/>
        <v>0.32033161132666566</v>
      </c>
      <c r="X281" s="248">
        <f t="shared" ref="X281:X291" si="57">+X282</f>
        <v>0.509186952863521</v>
      </c>
      <c r="Y281" s="248">
        <f t="shared" si="53"/>
        <v>0.490813047136479</v>
      </c>
      <c r="Z281" s="7"/>
    </row>
    <row r="282" spans="1:26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69">
        <f>Q280+1</f>
        <v>2003</v>
      </c>
      <c r="R282" s="69">
        <v>2</v>
      </c>
      <c r="S282" s="89" t="s">
        <v>1517</v>
      </c>
      <c r="T282" s="7" t="str">
        <f t="shared" si="50"/>
        <v>2_2003</v>
      </c>
      <c r="U282" s="247">
        <f t="shared" si="51"/>
        <v>184</v>
      </c>
      <c r="V282" s="248">
        <f t="shared" si="56"/>
        <v>0.67966838867333434</v>
      </c>
      <c r="W282" s="248">
        <f t="shared" si="52"/>
        <v>0.32033161132666566</v>
      </c>
      <c r="X282" s="248">
        <f t="shared" si="57"/>
        <v>0.509186952863521</v>
      </c>
      <c r="Y282" s="248">
        <f t="shared" si="53"/>
        <v>0.490813047136479</v>
      </c>
      <c r="Z282" s="7"/>
    </row>
    <row r="283" spans="1:26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69">
        <f>Q280+1</f>
        <v>2003</v>
      </c>
      <c r="R283" s="69">
        <v>3</v>
      </c>
      <c r="S283" s="89" t="s">
        <v>1517</v>
      </c>
      <c r="T283" s="7" t="str">
        <f t="shared" si="50"/>
        <v>3_2003</v>
      </c>
      <c r="U283" s="247">
        <f t="shared" si="51"/>
        <v>184</v>
      </c>
      <c r="V283" s="248">
        <f t="shared" si="56"/>
        <v>0.67966838867333434</v>
      </c>
      <c r="W283" s="248">
        <f t="shared" si="52"/>
        <v>0.32033161132666566</v>
      </c>
      <c r="X283" s="248">
        <f t="shared" si="57"/>
        <v>0.509186952863521</v>
      </c>
      <c r="Y283" s="248">
        <f t="shared" si="53"/>
        <v>0.490813047136479</v>
      </c>
      <c r="Z283" s="7"/>
    </row>
    <row r="284" spans="1:26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69">
        <f>Q280+1</f>
        <v>2003</v>
      </c>
      <c r="R284" s="69">
        <v>4</v>
      </c>
      <c r="S284" s="89" t="s">
        <v>1517</v>
      </c>
      <c r="T284" s="7" t="str">
        <f t="shared" si="50"/>
        <v>4_2003</v>
      </c>
      <c r="U284" s="247">
        <f t="shared" si="51"/>
        <v>184</v>
      </c>
      <c r="V284" s="248">
        <f t="shared" si="56"/>
        <v>0.67966838867333434</v>
      </c>
      <c r="W284" s="248">
        <f t="shared" si="52"/>
        <v>0.32033161132666566</v>
      </c>
      <c r="X284" s="248">
        <f t="shared" si="57"/>
        <v>0.509186952863521</v>
      </c>
      <c r="Y284" s="248">
        <f t="shared" si="53"/>
        <v>0.490813047136479</v>
      </c>
      <c r="Z284" s="7"/>
    </row>
    <row r="285" spans="1:26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69">
        <f>Q280+1</f>
        <v>2003</v>
      </c>
      <c r="R285" s="69">
        <v>5</v>
      </c>
      <c r="S285" s="89" t="s">
        <v>1517</v>
      </c>
      <c r="T285" s="7" t="str">
        <f t="shared" si="50"/>
        <v>5_2003</v>
      </c>
      <c r="U285" s="247">
        <f t="shared" si="51"/>
        <v>184</v>
      </c>
      <c r="V285" s="248">
        <f t="shared" si="56"/>
        <v>0.67966838867333434</v>
      </c>
      <c r="W285" s="248">
        <f t="shared" si="52"/>
        <v>0.32033161132666566</v>
      </c>
      <c r="X285" s="248">
        <f t="shared" si="57"/>
        <v>0.509186952863521</v>
      </c>
      <c r="Y285" s="248">
        <f t="shared" si="53"/>
        <v>0.490813047136479</v>
      </c>
      <c r="Z285" s="7"/>
    </row>
    <row r="286" spans="1:26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69">
        <f>Q280+1</f>
        <v>2003</v>
      </c>
      <c r="R286" s="69">
        <v>6</v>
      </c>
      <c r="S286" s="89" t="s">
        <v>1517</v>
      </c>
      <c r="T286" s="7" t="str">
        <f t="shared" si="50"/>
        <v>6_2003</v>
      </c>
      <c r="U286" s="247">
        <f t="shared" si="51"/>
        <v>184</v>
      </c>
      <c r="V286" s="248">
        <f t="shared" si="56"/>
        <v>0.67966838867333434</v>
      </c>
      <c r="W286" s="248">
        <f t="shared" si="52"/>
        <v>0.32033161132666566</v>
      </c>
      <c r="X286" s="248">
        <f t="shared" si="57"/>
        <v>0.509186952863521</v>
      </c>
      <c r="Y286" s="248">
        <f t="shared" si="53"/>
        <v>0.490813047136479</v>
      </c>
      <c r="Z286" s="7"/>
    </row>
    <row r="287" spans="1:26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69">
        <f>Q280+1</f>
        <v>2003</v>
      </c>
      <c r="R287" s="69">
        <v>7</v>
      </c>
      <c r="S287" s="89" t="s">
        <v>1517</v>
      </c>
      <c r="T287" s="7" t="str">
        <f t="shared" si="50"/>
        <v>7_2003</v>
      </c>
      <c r="U287" s="247">
        <f t="shared" si="51"/>
        <v>184</v>
      </c>
      <c r="V287" s="248">
        <f t="shared" si="56"/>
        <v>0.67966838867333434</v>
      </c>
      <c r="W287" s="248">
        <f t="shared" si="52"/>
        <v>0.32033161132666566</v>
      </c>
      <c r="X287" s="248">
        <f t="shared" si="57"/>
        <v>0.509186952863521</v>
      </c>
      <c r="Y287" s="248">
        <f t="shared" si="53"/>
        <v>0.490813047136479</v>
      </c>
      <c r="Z287" s="7"/>
    </row>
    <row r="288" spans="1:26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69">
        <f>Q280+1</f>
        <v>2003</v>
      </c>
      <c r="R288" s="69">
        <v>8</v>
      </c>
      <c r="S288" s="89" t="s">
        <v>1517</v>
      </c>
      <c r="T288" s="7" t="str">
        <f t="shared" si="50"/>
        <v>8_2003</v>
      </c>
      <c r="U288" s="247">
        <f t="shared" si="51"/>
        <v>184</v>
      </c>
      <c r="V288" s="248">
        <f t="shared" si="56"/>
        <v>0.67966838867333434</v>
      </c>
      <c r="W288" s="248">
        <f t="shared" si="52"/>
        <v>0.32033161132666566</v>
      </c>
      <c r="X288" s="248">
        <f t="shared" si="57"/>
        <v>0.509186952863521</v>
      </c>
      <c r="Y288" s="248">
        <f t="shared" si="53"/>
        <v>0.490813047136479</v>
      </c>
      <c r="Z288" s="7"/>
    </row>
    <row r="289" spans="1:26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69">
        <f>Q280+1</f>
        <v>2003</v>
      </c>
      <c r="R289" s="69">
        <v>9</v>
      </c>
      <c r="S289" s="89" t="s">
        <v>1517</v>
      </c>
      <c r="T289" s="7" t="str">
        <f t="shared" si="50"/>
        <v>9_2003</v>
      </c>
      <c r="U289" s="247">
        <f t="shared" si="51"/>
        <v>184</v>
      </c>
      <c r="V289" s="248">
        <f t="shared" si="56"/>
        <v>0.67966838867333434</v>
      </c>
      <c r="W289" s="248">
        <f t="shared" si="52"/>
        <v>0.32033161132666566</v>
      </c>
      <c r="X289" s="248">
        <f t="shared" si="57"/>
        <v>0.509186952863521</v>
      </c>
      <c r="Y289" s="248">
        <f t="shared" si="53"/>
        <v>0.490813047136479</v>
      </c>
      <c r="Z289" s="7"/>
    </row>
    <row r="290" spans="1:26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69">
        <f>Q280+1</f>
        <v>2003</v>
      </c>
      <c r="R290" s="69">
        <v>10</v>
      </c>
      <c r="S290" s="89" t="s">
        <v>1517</v>
      </c>
      <c r="T290" s="7" t="str">
        <f t="shared" si="50"/>
        <v>10_2003</v>
      </c>
      <c r="U290" s="247">
        <f t="shared" si="51"/>
        <v>184</v>
      </c>
      <c r="V290" s="248">
        <f t="shared" si="56"/>
        <v>0.67966838867333434</v>
      </c>
      <c r="W290" s="248">
        <f t="shared" si="52"/>
        <v>0.32033161132666566</v>
      </c>
      <c r="X290" s="248">
        <f t="shared" si="57"/>
        <v>0.509186952863521</v>
      </c>
      <c r="Y290" s="248">
        <f t="shared" si="53"/>
        <v>0.490813047136479</v>
      </c>
      <c r="Z290" s="7"/>
    </row>
    <row r="291" spans="1:26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69">
        <f>Q280+1</f>
        <v>2003</v>
      </c>
      <c r="R291" s="69">
        <v>11</v>
      </c>
      <c r="S291" s="89" t="s">
        <v>1517</v>
      </c>
      <c r="T291" s="7" t="str">
        <f t="shared" si="50"/>
        <v>11_2003</v>
      </c>
      <c r="U291" s="247">
        <f t="shared" si="51"/>
        <v>184</v>
      </c>
      <c r="V291" s="248">
        <f t="shared" si="56"/>
        <v>0.67966838867333434</v>
      </c>
      <c r="W291" s="248">
        <f t="shared" si="52"/>
        <v>0.32033161132666566</v>
      </c>
      <c r="X291" s="248">
        <f t="shared" si="57"/>
        <v>0.509186952863521</v>
      </c>
      <c r="Y291" s="248">
        <f t="shared" si="53"/>
        <v>0.490813047136479</v>
      </c>
      <c r="Z291" s="7"/>
    </row>
    <row r="292" spans="1:26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69">
        <f>Q280+1</f>
        <v>2003</v>
      </c>
      <c r="R292" s="69">
        <v>12</v>
      </c>
      <c r="S292" s="89" t="s">
        <v>1517</v>
      </c>
      <c r="T292" s="7" t="str">
        <f t="shared" si="50"/>
        <v>12_2003</v>
      </c>
      <c r="U292" s="247">
        <f t="shared" si="51"/>
        <v>184</v>
      </c>
      <c r="V292" s="248">
        <f>+(V304*U292/U304)/(V304*U292/U304+W304*AVERAGE(U292,'PPI USA'!T298)/AVERAGE(U304,'PPI USA'!T310))</f>
        <v>0.67966838867333434</v>
      </c>
      <c r="W292" s="248">
        <f t="shared" si="52"/>
        <v>0.32033161132666566</v>
      </c>
      <c r="X292" s="248">
        <f>+(X304*$U292/$U304)/(X304*$U292/$U304+Y304*AVERAGE($U292,'PPI USA'!$T298)/AVERAGE($U304,'PPI USA'!$T310))</f>
        <v>0.509186952863521</v>
      </c>
      <c r="Y292" s="248">
        <f t="shared" si="53"/>
        <v>0.490813047136479</v>
      </c>
      <c r="Z292" s="7"/>
    </row>
    <row r="293" spans="1:26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69">
        <f>Q292+1</f>
        <v>2004</v>
      </c>
      <c r="R293" s="69">
        <v>1</v>
      </c>
      <c r="S293" s="89" t="s">
        <v>1517</v>
      </c>
      <c r="T293" s="7" t="str">
        <f t="shared" si="50"/>
        <v>1_2004</v>
      </c>
      <c r="U293" s="247">
        <f t="shared" si="51"/>
        <v>188.9</v>
      </c>
      <c r="V293" s="248">
        <f t="shared" ref="V293:V303" si="58">+V294</f>
        <v>0.68116912558338294</v>
      </c>
      <c r="W293" s="248">
        <f t="shared" si="52"/>
        <v>0.31883087441661706</v>
      </c>
      <c r="X293" s="248">
        <f t="shared" ref="X293:X303" si="59">+X294</f>
        <v>0.51091164550905577</v>
      </c>
      <c r="Y293" s="248">
        <f t="shared" si="53"/>
        <v>0.48908835449094423</v>
      </c>
      <c r="Z293" s="7"/>
    </row>
    <row r="294" spans="1:26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69">
        <f>Q292+1</f>
        <v>2004</v>
      </c>
      <c r="R294" s="69">
        <v>2</v>
      </c>
      <c r="S294" s="89" t="s">
        <v>1517</v>
      </c>
      <c r="T294" s="7" t="str">
        <f t="shared" si="50"/>
        <v>2_2004</v>
      </c>
      <c r="U294" s="247">
        <f t="shared" si="51"/>
        <v>188.9</v>
      </c>
      <c r="V294" s="248">
        <f t="shared" si="58"/>
        <v>0.68116912558338294</v>
      </c>
      <c r="W294" s="248">
        <f t="shared" si="52"/>
        <v>0.31883087441661706</v>
      </c>
      <c r="X294" s="248">
        <f t="shared" si="59"/>
        <v>0.51091164550905577</v>
      </c>
      <c r="Y294" s="248">
        <f t="shared" si="53"/>
        <v>0.48908835449094423</v>
      </c>
      <c r="Z294" s="7"/>
    </row>
    <row r="295" spans="1:26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69">
        <f>Q292+1</f>
        <v>2004</v>
      </c>
      <c r="R295" s="69">
        <v>3</v>
      </c>
      <c r="S295" s="89" t="s">
        <v>1517</v>
      </c>
      <c r="T295" s="7" t="str">
        <f t="shared" si="50"/>
        <v>3_2004</v>
      </c>
      <c r="U295" s="247">
        <f t="shared" si="51"/>
        <v>188.9</v>
      </c>
      <c r="V295" s="248">
        <f t="shared" si="58"/>
        <v>0.68116912558338294</v>
      </c>
      <c r="W295" s="248">
        <f t="shared" si="52"/>
        <v>0.31883087441661706</v>
      </c>
      <c r="X295" s="248">
        <f t="shared" si="59"/>
        <v>0.51091164550905577</v>
      </c>
      <c r="Y295" s="248">
        <f t="shared" si="53"/>
        <v>0.48908835449094423</v>
      </c>
      <c r="Z295" s="7"/>
    </row>
    <row r="296" spans="1:26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69">
        <f>Q292+1</f>
        <v>2004</v>
      </c>
      <c r="R296" s="69">
        <v>4</v>
      </c>
      <c r="S296" s="89" t="s">
        <v>1517</v>
      </c>
      <c r="T296" s="7" t="str">
        <f t="shared" si="50"/>
        <v>4_2004</v>
      </c>
      <c r="U296" s="247">
        <f t="shared" si="51"/>
        <v>188.9</v>
      </c>
      <c r="V296" s="248">
        <f t="shared" si="58"/>
        <v>0.68116912558338294</v>
      </c>
      <c r="W296" s="248">
        <f t="shared" si="52"/>
        <v>0.31883087441661706</v>
      </c>
      <c r="X296" s="248">
        <f t="shared" si="59"/>
        <v>0.51091164550905577</v>
      </c>
      <c r="Y296" s="248">
        <f t="shared" si="53"/>
        <v>0.48908835449094423</v>
      </c>
      <c r="Z296" s="7"/>
    </row>
    <row r="297" spans="1:26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69">
        <f>Q292+1</f>
        <v>2004</v>
      </c>
      <c r="R297" s="69">
        <v>5</v>
      </c>
      <c r="S297" s="89" t="s">
        <v>1517</v>
      </c>
      <c r="T297" s="7" t="str">
        <f t="shared" si="50"/>
        <v>5_2004</v>
      </c>
      <c r="U297" s="247">
        <f t="shared" si="51"/>
        <v>188.9</v>
      </c>
      <c r="V297" s="248">
        <f t="shared" si="58"/>
        <v>0.68116912558338294</v>
      </c>
      <c r="W297" s="248">
        <f t="shared" si="52"/>
        <v>0.31883087441661706</v>
      </c>
      <c r="X297" s="248">
        <f t="shared" si="59"/>
        <v>0.51091164550905577</v>
      </c>
      <c r="Y297" s="248">
        <f t="shared" si="53"/>
        <v>0.48908835449094423</v>
      </c>
      <c r="Z297" s="7"/>
    </row>
    <row r="298" spans="1:26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69">
        <f>Q292+1</f>
        <v>2004</v>
      </c>
      <c r="R298" s="69">
        <v>6</v>
      </c>
      <c r="S298" s="89" t="s">
        <v>1517</v>
      </c>
      <c r="T298" s="7" t="str">
        <f t="shared" si="50"/>
        <v>6_2004</v>
      </c>
      <c r="U298" s="247">
        <f t="shared" si="51"/>
        <v>188.9</v>
      </c>
      <c r="V298" s="248">
        <f t="shared" si="58"/>
        <v>0.68116912558338294</v>
      </c>
      <c r="W298" s="248">
        <f t="shared" si="52"/>
        <v>0.31883087441661706</v>
      </c>
      <c r="X298" s="248">
        <f t="shared" si="59"/>
        <v>0.51091164550905577</v>
      </c>
      <c r="Y298" s="248">
        <f t="shared" si="53"/>
        <v>0.48908835449094423</v>
      </c>
      <c r="Z298" s="7"/>
    </row>
    <row r="299" spans="1:26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69">
        <f>Q292+1</f>
        <v>2004</v>
      </c>
      <c r="R299" s="69">
        <v>7</v>
      </c>
      <c r="S299" s="89" t="s">
        <v>1517</v>
      </c>
      <c r="T299" s="7" t="str">
        <f t="shared" si="50"/>
        <v>7_2004</v>
      </c>
      <c r="U299" s="247">
        <f t="shared" si="51"/>
        <v>188.9</v>
      </c>
      <c r="V299" s="248">
        <f t="shared" si="58"/>
        <v>0.68116912558338294</v>
      </c>
      <c r="W299" s="248">
        <f t="shared" si="52"/>
        <v>0.31883087441661706</v>
      </c>
      <c r="X299" s="248">
        <f t="shared" si="59"/>
        <v>0.51091164550905577</v>
      </c>
      <c r="Y299" s="248">
        <f t="shared" si="53"/>
        <v>0.48908835449094423</v>
      </c>
      <c r="Z299" s="7"/>
    </row>
    <row r="300" spans="1:26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69">
        <f>Q292+1</f>
        <v>2004</v>
      </c>
      <c r="R300" s="69">
        <v>8</v>
      </c>
      <c r="S300" s="89" t="s">
        <v>1517</v>
      </c>
      <c r="T300" s="7" t="str">
        <f t="shared" si="50"/>
        <v>8_2004</v>
      </c>
      <c r="U300" s="247">
        <f t="shared" si="51"/>
        <v>188.9</v>
      </c>
      <c r="V300" s="248">
        <f t="shared" si="58"/>
        <v>0.68116912558338294</v>
      </c>
      <c r="W300" s="248">
        <f t="shared" si="52"/>
        <v>0.31883087441661706</v>
      </c>
      <c r="X300" s="248">
        <f t="shared" si="59"/>
        <v>0.51091164550905577</v>
      </c>
      <c r="Y300" s="248">
        <f t="shared" si="53"/>
        <v>0.48908835449094423</v>
      </c>
      <c r="Z300" s="7"/>
    </row>
    <row r="301" spans="1:26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69">
        <f>Q292+1</f>
        <v>2004</v>
      </c>
      <c r="R301" s="69">
        <v>9</v>
      </c>
      <c r="S301" s="89" t="s">
        <v>1517</v>
      </c>
      <c r="T301" s="7" t="str">
        <f t="shared" si="50"/>
        <v>9_2004</v>
      </c>
      <c r="U301" s="247">
        <f t="shared" si="51"/>
        <v>188.9</v>
      </c>
      <c r="V301" s="248">
        <f t="shared" si="58"/>
        <v>0.68116912558338294</v>
      </c>
      <c r="W301" s="248">
        <f t="shared" si="52"/>
        <v>0.31883087441661706</v>
      </c>
      <c r="X301" s="248">
        <f t="shared" si="59"/>
        <v>0.51091164550905577</v>
      </c>
      <c r="Y301" s="248">
        <f t="shared" si="53"/>
        <v>0.48908835449094423</v>
      </c>
      <c r="Z301" s="7"/>
    </row>
    <row r="302" spans="1:26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69">
        <f>Q292+1</f>
        <v>2004</v>
      </c>
      <c r="R302" s="69">
        <v>10</v>
      </c>
      <c r="S302" s="89" t="s">
        <v>1517</v>
      </c>
      <c r="T302" s="7" t="str">
        <f t="shared" si="50"/>
        <v>10_2004</v>
      </c>
      <c r="U302" s="247">
        <f t="shared" si="51"/>
        <v>188.9</v>
      </c>
      <c r="V302" s="248">
        <f t="shared" si="58"/>
        <v>0.68116912558338294</v>
      </c>
      <c r="W302" s="248">
        <f t="shared" si="52"/>
        <v>0.31883087441661706</v>
      </c>
      <c r="X302" s="248">
        <f t="shared" si="59"/>
        <v>0.51091164550905577</v>
      </c>
      <c r="Y302" s="248">
        <f t="shared" si="53"/>
        <v>0.48908835449094423</v>
      </c>
      <c r="Z302" s="7"/>
    </row>
    <row r="303" spans="1:26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69">
        <f>Q292+1</f>
        <v>2004</v>
      </c>
      <c r="R303" s="69">
        <v>11</v>
      </c>
      <c r="S303" s="89" t="s">
        <v>1517</v>
      </c>
      <c r="T303" s="7" t="str">
        <f t="shared" si="50"/>
        <v>11_2004</v>
      </c>
      <c r="U303" s="247">
        <f t="shared" si="51"/>
        <v>188.9</v>
      </c>
      <c r="V303" s="248">
        <f t="shared" si="58"/>
        <v>0.68116912558338294</v>
      </c>
      <c r="W303" s="248">
        <f t="shared" si="52"/>
        <v>0.31883087441661706</v>
      </c>
      <c r="X303" s="248">
        <f t="shared" si="59"/>
        <v>0.51091164550905577</v>
      </c>
      <c r="Y303" s="248">
        <f t="shared" si="53"/>
        <v>0.48908835449094423</v>
      </c>
      <c r="Z303" s="7"/>
    </row>
    <row r="304" spans="1:26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69">
        <f>Q292+1</f>
        <v>2004</v>
      </c>
      <c r="R304" s="69">
        <v>12</v>
      </c>
      <c r="S304" s="89" t="s">
        <v>1517</v>
      </c>
      <c r="T304" s="7" t="str">
        <f t="shared" si="50"/>
        <v>12_2004</v>
      </c>
      <c r="U304" s="247">
        <f t="shared" si="51"/>
        <v>188.9</v>
      </c>
      <c r="V304" s="248">
        <f>+(V316*U304/U316)/(V316*U304/U316+W316*AVERAGE(U304,'PPI USA'!T310)/AVERAGE(U316,'PPI USA'!T322))</f>
        <v>0.68116912558338294</v>
      </c>
      <c r="W304" s="248">
        <f t="shared" si="52"/>
        <v>0.31883087441661706</v>
      </c>
      <c r="X304" s="248">
        <f>+(X316*$U304/$U316)/(X316*$U304/$U316+Y316*AVERAGE($U304,'PPI USA'!$T310)/AVERAGE($U316,'PPI USA'!$T322))</f>
        <v>0.51091164550905577</v>
      </c>
      <c r="Y304" s="248">
        <f t="shared" si="53"/>
        <v>0.48908835449094423</v>
      </c>
      <c r="Z304" s="7"/>
    </row>
    <row r="305" spans="1:26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69">
        <f>Q304+1</f>
        <v>2005</v>
      </c>
      <c r="R305" s="69">
        <v>1</v>
      </c>
      <c r="S305" s="89" t="s">
        <v>1517</v>
      </c>
      <c r="T305" s="7" t="str">
        <f t="shared" si="50"/>
        <v>1_2005</v>
      </c>
      <c r="U305" s="247">
        <f t="shared" si="51"/>
        <v>195.3</v>
      </c>
      <c r="V305" s="248">
        <f t="shared" ref="V305:V315" si="60">+V306</f>
        <v>0.67888602568792966</v>
      </c>
      <c r="W305" s="248">
        <f t="shared" si="52"/>
        <v>0.32111397431207034</v>
      </c>
      <c r="X305" s="248">
        <f t="shared" ref="X305:X315" si="61">+X306</f>
        <v>0.50828944385363772</v>
      </c>
      <c r="Y305" s="248">
        <f t="shared" si="53"/>
        <v>0.49171055614636228</v>
      </c>
      <c r="Z305" s="7"/>
    </row>
    <row r="306" spans="1:26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69">
        <f>Q304+1</f>
        <v>2005</v>
      </c>
      <c r="R306" s="69">
        <v>2</v>
      </c>
      <c r="S306" s="89" t="s">
        <v>1517</v>
      </c>
      <c r="T306" s="7" t="str">
        <f t="shared" si="50"/>
        <v>2_2005</v>
      </c>
      <c r="U306" s="247">
        <f t="shared" si="51"/>
        <v>195.3</v>
      </c>
      <c r="V306" s="248">
        <f t="shared" si="60"/>
        <v>0.67888602568792966</v>
      </c>
      <c r="W306" s="248">
        <f t="shared" si="52"/>
        <v>0.32111397431207034</v>
      </c>
      <c r="X306" s="248">
        <f t="shared" si="61"/>
        <v>0.50828944385363772</v>
      </c>
      <c r="Y306" s="248">
        <f t="shared" si="53"/>
        <v>0.49171055614636228</v>
      </c>
      <c r="Z306" s="7"/>
    </row>
    <row r="307" spans="1:26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69">
        <f>Q304+1</f>
        <v>2005</v>
      </c>
      <c r="R307" s="69">
        <v>3</v>
      </c>
      <c r="S307" s="89" t="s">
        <v>1517</v>
      </c>
      <c r="T307" s="7" t="str">
        <f t="shared" si="50"/>
        <v>3_2005</v>
      </c>
      <c r="U307" s="247">
        <f t="shared" si="51"/>
        <v>195.3</v>
      </c>
      <c r="V307" s="248">
        <f t="shared" si="60"/>
        <v>0.67888602568792966</v>
      </c>
      <c r="W307" s="248">
        <f t="shared" si="52"/>
        <v>0.32111397431207034</v>
      </c>
      <c r="X307" s="248">
        <f t="shared" si="61"/>
        <v>0.50828944385363772</v>
      </c>
      <c r="Y307" s="248">
        <f t="shared" si="53"/>
        <v>0.49171055614636228</v>
      </c>
      <c r="Z307" s="7"/>
    </row>
    <row r="308" spans="1:26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69">
        <f>Q304+1</f>
        <v>2005</v>
      </c>
      <c r="R308" s="69">
        <v>4</v>
      </c>
      <c r="S308" s="89" t="s">
        <v>1517</v>
      </c>
      <c r="T308" s="7" t="str">
        <f t="shared" si="50"/>
        <v>4_2005</v>
      </c>
      <c r="U308" s="247">
        <f t="shared" si="51"/>
        <v>195.3</v>
      </c>
      <c r="V308" s="248">
        <f t="shared" si="60"/>
        <v>0.67888602568792966</v>
      </c>
      <c r="W308" s="248">
        <f t="shared" si="52"/>
        <v>0.32111397431207034</v>
      </c>
      <c r="X308" s="248">
        <f t="shared" si="61"/>
        <v>0.50828944385363772</v>
      </c>
      <c r="Y308" s="248">
        <f t="shared" si="53"/>
        <v>0.49171055614636228</v>
      </c>
      <c r="Z308" s="7"/>
    </row>
    <row r="309" spans="1:26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69">
        <f>Q304+1</f>
        <v>2005</v>
      </c>
      <c r="R309" s="69">
        <v>5</v>
      </c>
      <c r="S309" s="89" t="s">
        <v>1517</v>
      </c>
      <c r="T309" s="7" t="str">
        <f t="shared" si="50"/>
        <v>5_2005</v>
      </c>
      <c r="U309" s="247">
        <f t="shared" si="51"/>
        <v>195.3</v>
      </c>
      <c r="V309" s="248">
        <f t="shared" si="60"/>
        <v>0.67888602568792966</v>
      </c>
      <c r="W309" s="248">
        <f t="shared" si="52"/>
        <v>0.32111397431207034</v>
      </c>
      <c r="X309" s="248">
        <f t="shared" si="61"/>
        <v>0.50828944385363772</v>
      </c>
      <c r="Y309" s="248">
        <f t="shared" si="53"/>
        <v>0.49171055614636228</v>
      </c>
      <c r="Z309" s="7"/>
    </row>
    <row r="310" spans="1:26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69">
        <f>Q304+1</f>
        <v>2005</v>
      </c>
      <c r="R310" s="69">
        <v>6</v>
      </c>
      <c r="S310" s="89" t="s">
        <v>1517</v>
      </c>
      <c r="T310" s="7" t="str">
        <f t="shared" si="50"/>
        <v>6_2005</v>
      </c>
      <c r="U310" s="247">
        <f t="shared" si="51"/>
        <v>195.3</v>
      </c>
      <c r="V310" s="248">
        <f t="shared" si="60"/>
        <v>0.67888602568792966</v>
      </c>
      <c r="W310" s="248">
        <f t="shared" si="52"/>
        <v>0.32111397431207034</v>
      </c>
      <c r="X310" s="248">
        <f t="shared" si="61"/>
        <v>0.50828944385363772</v>
      </c>
      <c r="Y310" s="248">
        <f t="shared" si="53"/>
        <v>0.49171055614636228</v>
      </c>
      <c r="Z310" s="7"/>
    </row>
    <row r="311" spans="1:26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69">
        <f>Q304+1</f>
        <v>2005</v>
      </c>
      <c r="R311" s="69">
        <v>7</v>
      </c>
      <c r="S311" s="89" t="s">
        <v>1517</v>
      </c>
      <c r="T311" s="7" t="str">
        <f t="shared" si="50"/>
        <v>7_2005</v>
      </c>
      <c r="U311" s="247">
        <f t="shared" si="51"/>
        <v>195.3</v>
      </c>
      <c r="V311" s="248">
        <f t="shared" si="60"/>
        <v>0.67888602568792966</v>
      </c>
      <c r="W311" s="248">
        <f t="shared" si="52"/>
        <v>0.32111397431207034</v>
      </c>
      <c r="X311" s="248">
        <f t="shared" si="61"/>
        <v>0.50828944385363772</v>
      </c>
      <c r="Y311" s="248">
        <f t="shared" si="53"/>
        <v>0.49171055614636228</v>
      </c>
      <c r="Z311" s="7"/>
    </row>
    <row r="312" spans="1:26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69">
        <f>Q304+1</f>
        <v>2005</v>
      </c>
      <c r="R312" s="69">
        <v>8</v>
      </c>
      <c r="S312" s="89" t="s">
        <v>1517</v>
      </c>
      <c r="T312" s="7" t="str">
        <f t="shared" si="50"/>
        <v>8_2005</v>
      </c>
      <c r="U312" s="247">
        <f t="shared" si="51"/>
        <v>195.3</v>
      </c>
      <c r="V312" s="248">
        <f t="shared" si="60"/>
        <v>0.67888602568792966</v>
      </c>
      <c r="W312" s="248">
        <f t="shared" si="52"/>
        <v>0.32111397431207034</v>
      </c>
      <c r="X312" s="248">
        <f t="shared" si="61"/>
        <v>0.50828944385363772</v>
      </c>
      <c r="Y312" s="248">
        <f t="shared" si="53"/>
        <v>0.49171055614636228</v>
      </c>
      <c r="Z312" s="7"/>
    </row>
    <row r="313" spans="1:26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69">
        <f>Q304+1</f>
        <v>2005</v>
      </c>
      <c r="R313" s="69">
        <v>9</v>
      </c>
      <c r="S313" s="89" t="s">
        <v>1517</v>
      </c>
      <c r="T313" s="7" t="str">
        <f t="shared" si="50"/>
        <v>9_2005</v>
      </c>
      <c r="U313" s="247">
        <f t="shared" si="51"/>
        <v>195.3</v>
      </c>
      <c r="V313" s="248">
        <f t="shared" si="60"/>
        <v>0.67888602568792966</v>
      </c>
      <c r="W313" s="248">
        <f t="shared" si="52"/>
        <v>0.32111397431207034</v>
      </c>
      <c r="X313" s="248">
        <f t="shared" si="61"/>
        <v>0.50828944385363772</v>
      </c>
      <c r="Y313" s="248">
        <f t="shared" si="53"/>
        <v>0.49171055614636228</v>
      </c>
      <c r="Z313" s="7"/>
    </row>
    <row r="314" spans="1:26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69">
        <f>Q304+1</f>
        <v>2005</v>
      </c>
      <c r="R314" s="69">
        <v>10</v>
      </c>
      <c r="S314" s="89" t="s">
        <v>1517</v>
      </c>
      <c r="T314" s="7" t="str">
        <f t="shared" si="50"/>
        <v>10_2005</v>
      </c>
      <c r="U314" s="247">
        <f t="shared" si="51"/>
        <v>195.3</v>
      </c>
      <c r="V314" s="248">
        <f t="shared" si="60"/>
        <v>0.67888602568792966</v>
      </c>
      <c r="W314" s="248">
        <f t="shared" si="52"/>
        <v>0.32111397431207034</v>
      </c>
      <c r="X314" s="248">
        <f t="shared" si="61"/>
        <v>0.50828944385363772</v>
      </c>
      <c r="Y314" s="248">
        <f t="shared" si="53"/>
        <v>0.49171055614636228</v>
      </c>
      <c r="Z314" s="7"/>
    </row>
    <row r="315" spans="1:26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69">
        <f>Q304+1</f>
        <v>2005</v>
      </c>
      <c r="R315" s="69">
        <v>11</v>
      </c>
      <c r="S315" s="89" t="s">
        <v>1517</v>
      </c>
      <c r="T315" s="7" t="str">
        <f t="shared" si="50"/>
        <v>11_2005</v>
      </c>
      <c r="U315" s="247">
        <f t="shared" si="51"/>
        <v>195.3</v>
      </c>
      <c r="V315" s="248">
        <f t="shared" si="60"/>
        <v>0.67888602568792966</v>
      </c>
      <c r="W315" s="248">
        <f t="shared" si="52"/>
        <v>0.32111397431207034</v>
      </c>
      <c r="X315" s="248">
        <f t="shared" si="61"/>
        <v>0.50828944385363772</v>
      </c>
      <c r="Y315" s="248">
        <f t="shared" si="53"/>
        <v>0.49171055614636228</v>
      </c>
      <c r="Z315" s="7"/>
    </row>
    <row r="316" spans="1:26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69">
        <f>Q304+1</f>
        <v>2005</v>
      </c>
      <c r="R316" s="69">
        <v>12</v>
      </c>
      <c r="S316" s="89" t="s">
        <v>1517</v>
      </c>
      <c r="T316" s="7" t="str">
        <f t="shared" si="50"/>
        <v>12_2005</v>
      </c>
      <c r="U316" s="247">
        <f t="shared" si="51"/>
        <v>195.3</v>
      </c>
      <c r="V316" s="248">
        <f>+(V328*U316/U328)/(V328*U316/U328+W328*AVERAGE(U316,'PPI USA'!T322)/AVERAGE(U328,'PPI USA'!T334))</f>
        <v>0.67888602568792966</v>
      </c>
      <c r="W316" s="248">
        <f t="shared" si="52"/>
        <v>0.32111397431207034</v>
      </c>
      <c r="X316" s="248">
        <f>+(X328*$U316/$U328)/(X328*$U316/$U328+Y328*AVERAGE($U316,'PPI USA'!$T322)/AVERAGE($U328,'PPI USA'!$T334))</f>
        <v>0.50828944385363772</v>
      </c>
      <c r="Y316" s="248">
        <f t="shared" si="53"/>
        <v>0.49171055614636228</v>
      </c>
      <c r="Z316" s="7"/>
    </row>
    <row r="317" spans="1:26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69">
        <f>Q316+1</f>
        <v>2006</v>
      </c>
      <c r="R317" s="69">
        <v>1</v>
      </c>
      <c r="S317" s="89" t="s">
        <v>1517</v>
      </c>
      <c r="T317" s="7" t="str">
        <f t="shared" si="50"/>
        <v>1_2006</v>
      </c>
      <c r="U317" s="247">
        <f t="shared" si="51"/>
        <v>201.6</v>
      </c>
      <c r="V317" s="248">
        <f t="shared" ref="V317:V327" si="62">+V318</f>
        <v>0.67263024008352756</v>
      </c>
      <c r="W317" s="248">
        <f t="shared" si="52"/>
        <v>0.32736975991647244</v>
      </c>
      <c r="X317" s="248">
        <f t="shared" ref="X317:X327" si="63">+X318</f>
        <v>0.50115228263529643</v>
      </c>
      <c r="Y317" s="248">
        <f t="shared" si="53"/>
        <v>0.49884771736470357</v>
      </c>
      <c r="Z317" s="7"/>
    </row>
    <row r="318" spans="1:26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69">
        <f>Q316+1</f>
        <v>2006</v>
      </c>
      <c r="R318" s="69">
        <v>2</v>
      </c>
      <c r="S318" s="89" t="s">
        <v>1517</v>
      </c>
      <c r="T318" s="7" t="str">
        <f t="shared" si="50"/>
        <v>2_2006</v>
      </c>
      <c r="U318" s="247">
        <f t="shared" si="51"/>
        <v>201.6</v>
      </c>
      <c r="V318" s="248">
        <f t="shared" si="62"/>
        <v>0.67263024008352756</v>
      </c>
      <c r="W318" s="248">
        <f t="shared" si="52"/>
        <v>0.32736975991647244</v>
      </c>
      <c r="X318" s="248">
        <f t="shared" si="63"/>
        <v>0.50115228263529643</v>
      </c>
      <c r="Y318" s="248">
        <f t="shared" si="53"/>
        <v>0.49884771736470357</v>
      </c>
      <c r="Z318" s="7"/>
    </row>
    <row r="319" spans="1:26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69">
        <f>Q316+1</f>
        <v>2006</v>
      </c>
      <c r="R319" s="69">
        <v>3</v>
      </c>
      <c r="S319" s="89" t="s">
        <v>1517</v>
      </c>
      <c r="T319" s="7" t="str">
        <f t="shared" si="50"/>
        <v>3_2006</v>
      </c>
      <c r="U319" s="247">
        <f t="shared" si="51"/>
        <v>201.6</v>
      </c>
      <c r="V319" s="248">
        <f t="shared" si="62"/>
        <v>0.67263024008352756</v>
      </c>
      <c r="W319" s="248">
        <f t="shared" si="52"/>
        <v>0.32736975991647244</v>
      </c>
      <c r="X319" s="248">
        <f t="shared" si="63"/>
        <v>0.50115228263529643</v>
      </c>
      <c r="Y319" s="248">
        <f t="shared" si="53"/>
        <v>0.49884771736470357</v>
      </c>
      <c r="Z319" s="7"/>
    </row>
    <row r="320" spans="1:26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69">
        <f>Q316+1</f>
        <v>2006</v>
      </c>
      <c r="R320" s="69">
        <v>4</v>
      </c>
      <c r="S320" s="89" t="s">
        <v>1517</v>
      </c>
      <c r="T320" s="7" t="str">
        <f t="shared" si="50"/>
        <v>4_2006</v>
      </c>
      <c r="U320" s="247">
        <f t="shared" si="51"/>
        <v>201.6</v>
      </c>
      <c r="V320" s="248">
        <f t="shared" si="62"/>
        <v>0.67263024008352756</v>
      </c>
      <c r="W320" s="248">
        <f t="shared" si="52"/>
        <v>0.32736975991647244</v>
      </c>
      <c r="X320" s="248">
        <f t="shared" si="63"/>
        <v>0.50115228263529643</v>
      </c>
      <c r="Y320" s="248">
        <f t="shared" si="53"/>
        <v>0.49884771736470357</v>
      </c>
      <c r="Z320" s="7"/>
    </row>
    <row r="321" spans="1:26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69">
        <f>Q316+1</f>
        <v>2006</v>
      </c>
      <c r="R321" s="69">
        <v>5</v>
      </c>
      <c r="S321" s="89" t="s">
        <v>1517</v>
      </c>
      <c r="T321" s="7" t="str">
        <f t="shared" si="50"/>
        <v>5_2006</v>
      </c>
      <c r="U321" s="247">
        <f t="shared" si="51"/>
        <v>201.6</v>
      </c>
      <c r="V321" s="248">
        <f t="shared" si="62"/>
        <v>0.67263024008352756</v>
      </c>
      <c r="W321" s="248">
        <f t="shared" si="52"/>
        <v>0.32736975991647244</v>
      </c>
      <c r="X321" s="248">
        <f t="shared" si="63"/>
        <v>0.50115228263529643</v>
      </c>
      <c r="Y321" s="248">
        <f t="shared" si="53"/>
        <v>0.49884771736470357</v>
      </c>
      <c r="Z321" s="7"/>
    </row>
    <row r="322" spans="1:26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69">
        <f>Q316+1</f>
        <v>2006</v>
      </c>
      <c r="R322" s="69">
        <v>6</v>
      </c>
      <c r="S322" s="89" t="s">
        <v>1517</v>
      </c>
      <c r="T322" s="7" t="str">
        <f t="shared" si="50"/>
        <v>6_2006</v>
      </c>
      <c r="U322" s="247">
        <f t="shared" si="51"/>
        <v>201.6</v>
      </c>
      <c r="V322" s="248">
        <f t="shared" si="62"/>
        <v>0.67263024008352756</v>
      </c>
      <c r="W322" s="248">
        <f t="shared" si="52"/>
        <v>0.32736975991647244</v>
      </c>
      <c r="X322" s="248">
        <f t="shared" si="63"/>
        <v>0.50115228263529643</v>
      </c>
      <c r="Y322" s="248">
        <f t="shared" si="53"/>
        <v>0.49884771736470357</v>
      </c>
      <c r="Z322" s="7"/>
    </row>
    <row r="323" spans="1:26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69">
        <f>Q316+1</f>
        <v>2006</v>
      </c>
      <c r="R323" s="69">
        <v>7</v>
      </c>
      <c r="S323" s="89" t="s">
        <v>1517</v>
      </c>
      <c r="T323" s="7" t="str">
        <f t="shared" si="50"/>
        <v>7_2006</v>
      </c>
      <c r="U323" s="247">
        <f t="shared" si="51"/>
        <v>201.6</v>
      </c>
      <c r="V323" s="248">
        <f t="shared" si="62"/>
        <v>0.67263024008352756</v>
      </c>
      <c r="W323" s="248">
        <f t="shared" si="52"/>
        <v>0.32736975991647244</v>
      </c>
      <c r="X323" s="248">
        <f t="shared" si="63"/>
        <v>0.50115228263529643</v>
      </c>
      <c r="Y323" s="248">
        <f t="shared" si="53"/>
        <v>0.49884771736470357</v>
      </c>
      <c r="Z323" s="7"/>
    </row>
    <row r="324" spans="1:26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69">
        <f>Q316+1</f>
        <v>2006</v>
      </c>
      <c r="R324" s="69">
        <v>8</v>
      </c>
      <c r="S324" s="89" t="s">
        <v>1517</v>
      </c>
      <c r="T324" s="7" t="str">
        <f t="shared" si="50"/>
        <v>8_2006</v>
      </c>
      <c r="U324" s="247">
        <f t="shared" si="51"/>
        <v>201.6</v>
      </c>
      <c r="V324" s="248">
        <f t="shared" si="62"/>
        <v>0.67263024008352756</v>
      </c>
      <c r="W324" s="248">
        <f t="shared" si="52"/>
        <v>0.32736975991647244</v>
      </c>
      <c r="X324" s="248">
        <f t="shared" si="63"/>
        <v>0.50115228263529643</v>
      </c>
      <c r="Y324" s="248">
        <f t="shared" si="53"/>
        <v>0.49884771736470357</v>
      </c>
      <c r="Z324" s="7"/>
    </row>
    <row r="325" spans="1:26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69">
        <f>Q316+1</f>
        <v>2006</v>
      </c>
      <c r="R325" s="69">
        <v>9</v>
      </c>
      <c r="S325" s="89" t="s">
        <v>1517</v>
      </c>
      <c r="T325" s="7" t="str">
        <f t="shared" si="50"/>
        <v>9_2006</v>
      </c>
      <c r="U325" s="247">
        <f t="shared" si="51"/>
        <v>201.6</v>
      </c>
      <c r="V325" s="248">
        <f t="shared" si="62"/>
        <v>0.67263024008352756</v>
      </c>
      <c r="W325" s="248">
        <f t="shared" si="52"/>
        <v>0.32736975991647244</v>
      </c>
      <c r="X325" s="248">
        <f t="shared" si="63"/>
        <v>0.50115228263529643</v>
      </c>
      <c r="Y325" s="248">
        <f t="shared" si="53"/>
        <v>0.49884771736470357</v>
      </c>
      <c r="Z325" s="7"/>
    </row>
    <row r="326" spans="1:26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69">
        <f>Q316+1</f>
        <v>2006</v>
      </c>
      <c r="R326" s="69">
        <v>10</v>
      </c>
      <c r="S326" s="89" t="s">
        <v>1517</v>
      </c>
      <c r="T326" s="7" t="str">
        <f t="shared" si="50"/>
        <v>10_2006</v>
      </c>
      <c r="U326" s="247">
        <f t="shared" si="51"/>
        <v>201.6</v>
      </c>
      <c r="V326" s="248">
        <f t="shared" si="62"/>
        <v>0.67263024008352756</v>
      </c>
      <c r="W326" s="248">
        <f t="shared" si="52"/>
        <v>0.32736975991647244</v>
      </c>
      <c r="X326" s="248">
        <f t="shared" si="63"/>
        <v>0.50115228263529643</v>
      </c>
      <c r="Y326" s="248">
        <f t="shared" si="53"/>
        <v>0.49884771736470357</v>
      </c>
      <c r="Z326" s="7"/>
    </row>
    <row r="327" spans="1:26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69">
        <f>Q316+1</f>
        <v>2006</v>
      </c>
      <c r="R327" s="69">
        <v>11</v>
      </c>
      <c r="S327" s="89" t="s">
        <v>1517</v>
      </c>
      <c r="T327" s="7" t="str">
        <f t="shared" si="50"/>
        <v>11_2006</v>
      </c>
      <c r="U327" s="247">
        <f t="shared" si="51"/>
        <v>201.6</v>
      </c>
      <c r="V327" s="248">
        <f t="shared" si="62"/>
        <v>0.67263024008352756</v>
      </c>
      <c r="W327" s="248">
        <f t="shared" si="52"/>
        <v>0.32736975991647244</v>
      </c>
      <c r="X327" s="248">
        <f t="shared" si="63"/>
        <v>0.50115228263529643</v>
      </c>
      <c r="Y327" s="248">
        <f t="shared" si="53"/>
        <v>0.49884771736470357</v>
      </c>
      <c r="Z327" s="7"/>
    </row>
    <row r="328" spans="1:26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69">
        <f>Q316+1</f>
        <v>2006</v>
      </c>
      <c r="R328" s="69">
        <v>12</v>
      </c>
      <c r="S328" s="89" t="s">
        <v>1517</v>
      </c>
      <c r="T328" s="7" t="str">
        <f t="shared" si="50"/>
        <v>12_2006</v>
      </c>
      <c r="U328" s="247">
        <f t="shared" si="51"/>
        <v>201.6</v>
      </c>
      <c r="V328" s="248">
        <f>+(V340*U328/U340)/(V340*U328/U340+W340*AVERAGE(U328,'PPI USA'!T334)/AVERAGE(U340,'PPI USA'!T346))</f>
        <v>0.67263024008352756</v>
      </c>
      <c r="W328" s="248">
        <f t="shared" si="52"/>
        <v>0.32736975991647244</v>
      </c>
      <c r="X328" s="248">
        <f>+(X340*$U328/$U340)/(X340*$U328/$U340+Y340*AVERAGE($U328,'PPI USA'!$T334)/AVERAGE($U340,'PPI USA'!$T346))</f>
        <v>0.50115228263529643</v>
      </c>
      <c r="Y328" s="248">
        <f t="shared" si="53"/>
        <v>0.49884771736470357</v>
      </c>
      <c r="Z328" s="7"/>
    </row>
    <row r="329" spans="1:26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69">
        <f>Q328+1</f>
        <v>2007</v>
      </c>
      <c r="R329" s="69">
        <v>1</v>
      </c>
      <c r="S329" s="89" t="s">
        <v>1517</v>
      </c>
      <c r="T329" s="7" t="str">
        <f t="shared" si="50"/>
        <v>1_2007</v>
      </c>
      <c r="U329" s="247">
        <f t="shared" si="51"/>
        <v>207.34200000000001</v>
      </c>
      <c r="V329" s="248">
        <f t="shared" ref="V329:V339" si="64">+V330</f>
        <v>0.67123734379962852</v>
      </c>
      <c r="W329" s="248">
        <f t="shared" si="52"/>
        <v>0.32876265620037148</v>
      </c>
      <c r="X329" s="248">
        <f t="shared" ref="X329:X339" si="65">+X330</f>
        <v>0.49957259686190569</v>
      </c>
      <c r="Y329" s="248">
        <f t="shared" si="53"/>
        <v>0.50042740313809431</v>
      </c>
      <c r="Z329" s="7"/>
    </row>
    <row r="330" spans="1:26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69">
        <f>Q328+1</f>
        <v>2007</v>
      </c>
      <c r="R330" s="69">
        <v>2</v>
      </c>
      <c r="S330" s="89" t="s">
        <v>1517</v>
      </c>
      <c r="T330" s="7" t="str">
        <f t="shared" si="50"/>
        <v>2_2007</v>
      </c>
      <c r="U330" s="247">
        <f t="shared" si="51"/>
        <v>207.34200000000001</v>
      </c>
      <c r="V330" s="248">
        <f t="shared" si="64"/>
        <v>0.67123734379962852</v>
      </c>
      <c r="W330" s="248">
        <f t="shared" si="52"/>
        <v>0.32876265620037148</v>
      </c>
      <c r="X330" s="248">
        <f t="shared" si="65"/>
        <v>0.49957259686190569</v>
      </c>
      <c r="Y330" s="248">
        <f t="shared" si="53"/>
        <v>0.50042740313809431</v>
      </c>
      <c r="Z330" s="7"/>
    </row>
    <row r="331" spans="1:26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69">
        <f>Q328+1</f>
        <v>2007</v>
      </c>
      <c r="R331" s="69">
        <v>3</v>
      </c>
      <c r="S331" s="89" t="s">
        <v>1517</v>
      </c>
      <c r="T331" s="7" t="str">
        <f t="shared" si="50"/>
        <v>3_2007</v>
      </c>
      <c r="U331" s="247">
        <f t="shared" si="51"/>
        <v>207.34200000000001</v>
      </c>
      <c r="V331" s="248">
        <f t="shared" si="64"/>
        <v>0.67123734379962852</v>
      </c>
      <c r="W331" s="248">
        <f t="shared" si="52"/>
        <v>0.32876265620037148</v>
      </c>
      <c r="X331" s="248">
        <f t="shared" si="65"/>
        <v>0.49957259686190569</v>
      </c>
      <c r="Y331" s="248">
        <f t="shared" si="53"/>
        <v>0.50042740313809431</v>
      </c>
      <c r="Z331" s="7"/>
    </row>
    <row r="332" spans="1:26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69">
        <f>Q328+1</f>
        <v>2007</v>
      </c>
      <c r="R332" s="69">
        <v>4</v>
      </c>
      <c r="S332" s="89" t="s">
        <v>1517</v>
      </c>
      <c r="T332" s="7" t="str">
        <f t="shared" si="50"/>
        <v>4_2007</v>
      </c>
      <c r="U332" s="247">
        <f t="shared" si="51"/>
        <v>207.34200000000001</v>
      </c>
      <c r="V332" s="248">
        <f t="shared" si="64"/>
        <v>0.67123734379962852</v>
      </c>
      <c r="W332" s="248">
        <f t="shared" si="52"/>
        <v>0.32876265620037148</v>
      </c>
      <c r="X332" s="248">
        <f t="shared" si="65"/>
        <v>0.49957259686190569</v>
      </c>
      <c r="Y332" s="248">
        <f t="shared" si="53"/>
        <v>0.50042740313809431</v>
      </c>
      <c r="Z332" s="7"/>
    </row>
    <row r="333" spans="1:26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69">
        <f>Q328+1</f>
        <v>2007</v>
      </c>
      <c r="R333" s="69">
        <v>5</v>
      </c>
      <c r="S333" s="89" t="s">
        <v>1517</v>
      </c>
      <c r="T333" s="7" t="str">
        <f t="shared" si="50"/>
        <v>5_2007</v>
      </c>
      <c r="U333" s="247">
        <f t="shared" si="51"/>
        <v>207.34200000000001</v>
      </c>
      <c r="V333" s="248">
        <f t="shared" si="64"/>
        <v>0.67123734379962852</v>
      </c>
      <c r="W333" s="248">
        <f t="shared" si="52"/>
        <v>0.32876265620037148</v>
      </c>
      <c r="X333" s="248">
        <f t="shared" si="65"/>
        <v>0.49957259686190569</v>
      </c>
      <c r="Y333" s="248">
        <f t="shared" si="53"/>
        <v>0.50042740313809431</v>
      </c>
      <c r="Z333" s="7"/>
    </row>
    <row r="334" spans="1:26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69">
        <f>Q328+1</f>
        <v>2007</v>
      </c>
      <c r="R334" s="69">
        <v>6</v>
      </c>
      <c r="S334" s="89" t="s">
        <v>1517</v>
      </c>
      <c r="T334" s="7" t="str">
        <f t="shared" si="50"/>
        <v>6_2007</v>
      </c>
      <c r="U334" s="247">
        <f t="shared" si="51"/>
        <v>207.34200000000001</v>
      </c>
      <c r="V334" s="248">
        <f t="shared" si="64"/>
        <v>0.67123734379962852</v>
      </c>
      <c r="W334" s="248">
        <f t="shared" si="52"/>
        <v>0.32876265620037148</v>
      </c>
      <c r="X334" s="248">
        <f t="shared" si="65"/>
        <v>0.49957259686190569</v>
      </c>
      <c r="Y334" s="248">
        <f t="shared" si="53"/>
        <v>0.50042740313809431</v>
      </c>
      <c r="Z334" s="7"/>
    </row>
    <row r="335" spans="1:26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69">
        <f>Q328+1</f>
        <v>2007</v>
      </c>
      <c r="R335" s="69">
        <v>7</v>
      </c>
      <c r="S335" s="89" t="s">
        <v>1517</v>
      </c>
      <c r="T335" s="7" t="str">
        <f t="shared" si="50"/>
        <v>7_2007</v>
      </c>
      <c r="U335" s="247">
        <f t="shared" si="51"/>
        <v>207.34200000000001</v>
      </c>
      <c r="V335" s="248">
        <f t="shared" si="64"/>
        <v>0.67123734379962852</v>
      </c>
      <c r="W335" s="248">
        <f t="shared" si="52"/>
        <v>0.32876265620037148</v>
      </c>
      <c r="X335" s="248">
        <f t="shared" si="65"/>
        <v>0.49957259686190569</v>
      </c>
      <c r="Y335" s="248">
        <f t="shared" si="53"/>
        <v>0.50042740313809431</v>
      </c>
      <c r="Z335" s="7"/>
    </row>
    <row r="336" spans="1:26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69">
        <f>Q328+1</f>
        <v>2007</v>
      </c>
      <c r="R336" s="69">
        <v>8</v>
      </c>
      <c r="S336" s="89" t="s">
        <v>1517</v>
      </c>
      <c r="T336" s="7" t="str">
        <f t="shared" si="50"/>
        <v>8_2007</v>
      </c>
      <c r="U336" s="247">
        <f t="shared" si="51"/>
        <v>207.34200000000001</v>
      </c>
      <c r="V336" s="248">
        <f t="shared" si="64"/>
        <v>0.67123734379962852</v>
      </c>
      <c r="W336" s="248">
        <f t="shared" si="52"/>
        <v>0.32876265620037148</v>
      </c>
      <c r="X336" s="248">
        <f t="shared" si="65"/>
        <v>0.49957259686190569</v>
      </c>
      <c r="Y336" s="248">
        <f t="shared" si="53"/>
        <v>0.50042740313809431</v>
      </c>
      <c r="Z336" s="7"/>
    </row>
    <row r="337" spans="1:26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69">
        <f>Q328+1</f>
        <v>2007</v>
      </c>
      <c r="R337" s="69">
        <v>9</v>
      </c>
      <c r="S337" s="89" t="s">
        <v>1517</v>
      </c>
      <c r="T337" s="7" t="str">
        <f t="shared" si="50"/>
        <v>9_2007</v>
      </c>
      <c r="U337" s="247">
        <f t="shared" si="51"/>
        <v>207.34200000000001</v>
      </c>
      <c r="V337" s="248">
        <f t="shared" si="64"/>
        <v>0.67123734379962852</v>
      </c>
      <c r="W337" s="248">
        <f t="shared" si="52"/>
        <v>0.32876265620037148</v>
      </c>
      <c r="X337" s="248">
        <f t="shared" si="65"/>
        <v>0.49957259686190569</v>
      </c>
      <c r="Y337" s="248">
        <f t="shared" si="53"/>
        <v>0.50042740313809431</v>
      </c>
      <c r="Z337" s="7"/>
    </row>
    <row r="338" spans="1:26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69">
        <f>Q328+1</f>
        <v>2007</v>
      </c>
      <c r="R338" s="69">
        <v>10</v>
      </c>
      <c r="S338" s="89" t="s">
        <v>1517</v>
      </c>
      <c r="T338" s="7" t="str">
        <f t="shared" si="50"/>
        <v>10_2007</v>
      </c>
      <c r="U338" s="247">
        <f t="shared" si="51"/>
        <v>207.34200000000001</v>
      </c>
      <c r="V338" s="248">
        <f t="shared" si="64"/>
        <v>0.67123734379962852</v>
      </c>
      <c r="W338" s="248">
        <f t="shared" si="52"/>
        <v>0.32876265620037148</v>
      </c>
      <c r="X338" s="248">
        <f t="shared" si="65"/>
        <v>0.49957259686190569</v>
      </c>
      <c r="Y338" s="248">
        <f t="shared" si="53"/>
        <v>0.50042740313809431</v>
      </c>
      <c r="Z338" s="7"/>
    </row>
    <row r="339" spans="1:26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69">
        <f>Q328+1</f>
        <v>2007</v>
      </c>
      <c r="R339" s="69">
        <v>11</v>
      </c>
      <c r="S339" s="89" t="s">
        <v>1517</v>
      </c>
      <c r="T339" s="7" t="str">
        <f t="shared" si="50"/>
        <v>11_2007</v>
      </c>
      <c r="U339" s="247">
        <f t="shared" si="51"/>
        <v>207.34200000000001</v>
      </c>
      <c r="V339" s="248">
        <f t="shared" si="64"/>
        <v>0.67123734379962852</v>
      </c>
      <c r="W339" s="248">
        <f t="shared" si="52"/>
        <v>0.32876265620037148</v>
      </c>
      <c r="X339" s="248">
        <f t="shared" si="65"/>
        <v>0.49957259686190569</v>
      </c>
      <c r="Y339" s="248">
        <f t="shared" si="53"/>
        <v>0.50042740313809431</v>
      </c>
      <c r="Z339" s="7"/>
    </row>
    <row r="340" spans="1:26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69">
        <f>Q328+1</f>
        <v>2007</v>
      </c>
      <c r="R340" s="69">
        <v>12</v>
      </c>
      <c r="S340" s="89" t="s">
        <v>1517</v>
      </c>
      <c r="T340" s="7" t="str">
        <f t="shared" si="50"/>
        <v>12_2007</v>
      </c>
      <c r="U340" s="247">
        <f t="shared" si="51"/>
        <v>207.34200000000001</v>
      </c>
      <c r="V340" s="248">
        <f>+(V352*U340/U352)/(V352*U340/U352+W352*AVERAGE(U340,'PPI USA'!T346)/AVERAGE(U352,'PPI USA'!T358))</f>
        <v>0.67123734379962852</v>
      </c>
      <c r="W340" s="248">
        <f t="shared" si="52"/>
        <v>0.32876265620037148</v>
      </c>
      <c r="X340" s="248">
        <f>+(X352*$U340/$U352)/(X352*$U340/$U352+Y352*AVERAGE($U340,'PPI USA'!$T346)/AVERAGE($U352,'PPI USA'!$T358))</f>
        <v>0.49957259686190569</v>
      </c>
      <c r="Y340" s="248">
        <f t="shared" si="53"/>
        <v>0.50042740313809431</v>
      </c>
      <c r="Z340" s="7"/>
    </row>
    <row r="341" spans="1:26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69">
        <f>Q340+1</f>
        <v>2008</v>
      </c>
      <c r="R341" s="69">
        <v>1</v>
      </c>
      <c r="S341" s="89" t="s">
        <v>1517</v>
      </c>
      <c r="T341" s="7" t="str">
        <f t="shared" si="50"/>
        <v>1_2008</v>
      </c>
      <c r="U341" s="247">
        <f t="shared" si="51"/>
        <v>215.303</v>
      </c>
      <c r="V341" s="248">
        <f t="shared" ref="V341:V351" si="66">+V342</f>
        <v>0.67018812038291731</v>
      </c>
      <c r="W341" s="248">
        <f t="shared" si="52"/>
        <v>0.32981187961708269</v>
      </c>
      <c r="X341" s="248">
        <f t="shared" ref="X341:X351" si="67">+X342</f>
        <v>0.49838492968660258</v>
      </c>
      <c r="Y341" s="248">
        <f t="shared" si="53"/>
        <v>0.50161507031339747</v>
      </c>
      <c r="Z341" s="7"/>
    </row>
    <row r="342" spans="1:26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69">
        <f>Q340+1</f>
        <v>2008</v>
      </c>
      <c r="R342" s="69">
        <v>2</v>
      </c>
      <c r="S342" s="89" t="s">
        <v>1517</v>
      </c>
      <c r="T342" s="7" t="str">
        <f t="shared" si="50"/>
        <v>2_2008</v>
      </c>
      <c r="U342" s="247">
        <f t="shared" si="51"/>
        <v>215.303</v>
      </c>
      <c r="V342" s="248">
        <f t="shared" si="66"/>
        <v>0.67018812038291731</v>
      </c>
      <c r="W342" s="248">
        <f t="shared" si="52"/>
        <v>0.32981187961708269</v>
      </c>
      <c r="X342" s="248">
        <f t="shared" si="67"/>
        <v>0.49838492968660258</v>
      </c>
      <c r="Y342" s="248">
        <f t="shared" si="53"/>
        <v>0.50161507031339747</v>
      </c>
      <c r="Z342" s="7"/>
    </row>
    <row r="343" spans="1:26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69">
        <f>Q340+1</f>
        <v>2008</v>
      </c>
      <c r="R343" s="69">
        <v>3</v>
      </c>
      <c r="S343" s="89" t="s">
        <v>1517</v>
      </c>
      <c r="T343" s="7" t="str">
        <f t="shared" si="50"/>
        <v>3_2008</v>
      </c>
      <c r="U343" s="247">
        <f t="shared" si="51"/>
        <v>215.303</v>
      </c>
      <c r="V343" s="248">
        <f t="shared" si="66"/>
        <v>0.67018812038291731</v>
      </c>
      <c r="W343" s="248">
        <f t="shared" si="52"/>
        <v>0.32981187961708269</v>
      </c>
      <c r="X343" s="248">
        <f t="shared" si="67"/>
        <v>0.49838492968660258</v>
      </c>
      <c r="Y343" s="248">
        <f t="shared" si="53"/>
        <v>0.50161507031339747</v>
      </c>
      <c r="Z343" s="7"/>
    </row>
    <row r="344" spans="1:26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69">
        <f>Q340+1</f>
        <v>2008</v>
      </c>
      <c r="R344" s="69">
        <v>4</v>
      </c>
      <c r="S344" s="89" t="s">
        <v>1517</v>
      </c>
      <c r="T344" s="7" t="str">
        <f t="shared" si="50"/>
        <v>4_2008</v>
      </c>
      <c r="U344" s="247">
        <f t="shared" si="51"/>
        <v>215.303</v>
      </c>
      <c r="V344" s="248">
        <f t="shared" si="66"/>
        <v>0.67018812038291731</v>
      </c>
      <c r="W344" s="248">
        <f t="shared" si="52"/>
        <v>0.32981187961708269</v>
      </c>
      <c r="X344" s="248">
        <f t="shared" si="67"/>
        <v>0.49838492968660258</v>
      </c>
      <c r="Y344" s="248">
        <f t="shared" si="53"/>
        <v>0.50161507031339747</v>
      </c>
      <c r="Z344" s="7"/>
    </row>
    <row r="345" spans="1:26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69">
        <f>Q340+1</f>
        <v>2008</v>
      </c>
      <c r="R345" s="69">
        <v>5</v>
      </c>
      <c r="S345" s="89" t="s">
        <v>1517</v>
      </c>
      <c r="T345" s="7" t="str">
        <f t="shared" si="50"/>
        <v>5_2008</v>
      </c>
      <c r="U345" s="247">
        <f t="shared" si="51"/>
        <v>215.303</v>
      </c>
      <c r="V345" s="248">
        <f t="shared" si="66"/>
        <v>0.67018812038291731</v>
      </c>
      <c r="W345" s="248">
        <f t="shared" si="52"/>
        <v>0.32981187961708269</v>
      </c>
      <c r="X345" s="248">
        <f t="shared" si="67"/>
        <v>0.49838492968660258</v>
      </c>
      <c r="Y345" s="248">
        <f t="shared" si="53"/>
        <v>0.50161507031339747</v>
      </c>
      <c r="Z345" s="7"/>
    </row>
    <row r="346" spans="1:26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69">
        <f>Q340+1</f>
        <v>2008</v>
      </c>
      <c r="R346" s="69">
        <v>6</v>
      </c>
      <c r="S346" s="89" t="s">
        <v>1517</v>
      </c>
      <c r="T346" s="7" t="str">
        <f t="shared" si="50"/>
        <v>6_2008</v>
      </c>
      <c r="U346" s="247">
        <f t="shared" si="51"/>
        <v>215.303</v>
      </c>
      <c r="V346" s="248">
        <f t="shared" si="66"/>
        <v>0.67018812038291731</v>
      </c>
      <c r="W346" s="248">
        <f t="shared" si="52"/>
        <v>0.32981187961708269</v>
      </c>
      <c r="X346" s="248">
        <f t="shared" si="67"/>
        <v>0.49838492968660258</v>
      </c>
      <c r="Y346" s="248">
        <f t="shared" si="53"/>
        <v>0.50161507031339747</v>
      </c>
      <c r="Z346" s="7"/>
    </row>
    <row r="347" spans="1:26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69">
        <f>Q340+1</f>
        <v>2008</v>
      </c>
      <c r="R347" s="69">
        <v>7</v>
      </c>
      <c r="S347" s="89" t="s">
        <v>1517</v>
      </c>
      <c r="T347" s="7" t="str">
        <f t="shared" si="50"/>
        <v>7_2008</v>
      </c>
      <c r="U347" s="247">
        <f t="shared" si="51"/>
        <v>215.303</v>
      </c>
      <c r="V347" s="248">
        <f t="shared" si="66"/>
        <v>0.67018812038291731</v>
      </c>
      <c r="W347" s="248">
        <f t="shared" si="52"/>
        <v>0.32981187961708269</v>
      </c>
      <c r="X347" s="248">
        <f t="shared" si="67"/>
        <v>0.49838492968660258</v>
      </c>
      <c r="Y347" s="248">
        <f t="shared" si="53"/>
        <v>0.50161507031339747</v>
      </c>
      <c r="Z347" s="7"/>
    </row>
    <row r="348" spans="1:26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69">
        <f>Q340+1</f>
        <v>2008</v>
      </c>
      <c r="R348" s="69">
        <v>8</v>
      </c>
      <c r="S348" s="89" t="s">
        <v>1517</v>
      </c>
      <c r="T348" s="7" t="str">
        <f t="shared" si="50"/>
        <v>8_2008</v>
      </c>
      <c r="U348" s="247">
        <f t="shared" si="51"/>
        <v>215.303</v>
      </c>
      <c r="V348" s="248">
        <f t="shared" si="66"/>
        <v>0.67018812038291731</v>
      </c>
      <c r="W348" s="248">
        <f t="shared" si="52"/>
        <v>0.32981187961708269</v>
      </c>
      <c r="X348" s="248">
        <f t="shared" si="67"/>
        <v>0.49838492968660258</v>
      </c>
      <c r="Y348" s="248">
        <f t="shared" si="53"/>
        <v>0.50161507031339747</v>
      </c>
      <c r="Z348" s="7"/>
    </row>
    <row r="349" spans="1:26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69">
        <f>Q340+1</f>
        <v>2008</v>
      </c>
      <c r="R349" s="69">
        <v>9</v>
      </c>
      <c r="S349" s="89" t="s">
        <v>1517</v>
      </c>
      <c r="T349" s="7" t="str">
        <f t="shared" si="50"/>
        <v>9_2008</v>
      </c>
      <c r="U349" s="247">
        <f t="shared" si="51"/>
        <v>215.303</v>
      </c>
      <c r="V349" s="248">
        <f t="shared" si="66"/>
        <v>0.67018812038291731</v>
      </c>
      <c r="W349" s="248">
        <f t="shared" si="52"/>
        <v>0.32981187961708269</v>
      </c>
      <c r="X349" s="248">
        <f t="shared" si="67"/>
        <v>0.49838492968660258</v>
      </c>
      <c r="Y349" s="248">
        <f t="shared" si="53"/>
        <v>0.50161507031339747</v>
      </c>
      <c r="Z349" s="7"/>
    </row>
    <row r="350" spans="1:26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69">
        <f>Q340+1</f>
        <v>2008</v>
      </c>
      <c r="R350" s="69">
        <v>10</v>
      </c>
      <c r="S350" s="89" t="s">
        <v>1517</v>
      </c>
      <c r="T350" s="7" t="str">
        <f t="shared" si="50"/>
        <v>10_2008</v>
      </c>
      <c r="U350" s="247">
        <f t="shared" si="51"/>
        <v>215.303</v>
      </c>
      <c r="V350" s="248">
        <f t="shared" si="66"/>
        <v>0.67018812038291731</v>
      </c>
      <c r="W350" s="248">
        <f t="shared" si="52"/>
        <v>0.32981187961708269</v>
      </c>
      <c r="X350" s="248">
        <f t="shared" si="67"/>
        <v>0.49838492968660258</v>
      </c>
      <c r="Y350" s="248">
        <f t="shared" si="53"/>
        <v>0.50161507031339747</v>
      </c>
      <c r="Z350" s="7"/>
    </row>
    <row r="351" spans="1:26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69">
        <f>Q340+1</f>
        <v>2008</v>
      </c>
      <c r="R351" s="69">
        <v>11</v>
      </c>
      <c r="S351" s="89" t="s">
        <v>1517</v>
      </c>
      <c r="T351" s="7" t="str">
        <f t="shared" si="50"/>
        <v>11_2008</v>
      </c>
      <c r="U351" s="247">
        <f t="shared" si="51"/>
        <v>215.303</v>
      </c>
      <c r="V351" s="248">
        <f t="shared" si="66"/>
        <v>0.67018812038291731</v>
      </c>
      <c r="W351" s="248">
        <f t="shared" si="52"/>
        <v>0.32981187961708269</v>
      </c>
      <c r="X351" s="248">
        <f t="shared" si="67"/>
        <v>0.49838492968660258</v>
      </c>
      <c r="Y351" s="248">
        <f t="shared" si="53"/>
        <v>0.50161507031339747</v>
      </c>
      <c r="Z351" s="7"/>
    </row>
    <row r="352" spans="1:26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69">
        <f>Q340+1</f>
        <v>2008</v>
      </c>
      <c r="R352" s="69">
        <v>12</v>
      </c>
      <c r="S352" s="89" t="s">
        <v>1517</v>
      </c>
      <c r="T352" s="7" t="str">
        <f t="shared" si="50"/>
        <v>12_2008</v>
      </c>
      <c r="U352" s="247">
        <f t="shared" si="51"/>
        <v>215.303</v>
      </c>
      <c r="V352" s="248">
        <f>+(V364*U352/U364)/(V364*U352/U364+W364*AVERAGE(U352,'PPI USA'!T358)/AVERAGE(U364,'PPI USA'!T370))</f>
        <v>0.67018812038291731</v>
      </c>
      <c r="W352" s="248">
        <f t="shared" si="52"/>
        <v>0.32981187961708269</v>
      </c>
      <c r="X352" s="248">
        <f>+(X364*$U352/$U364)/(X364*$U352/$U364+Y364*AVERAGE($U352,'PPI USA'!$T358)/AVERAGE($U364,'PPI USA'!$T370))</f>
        <v>0.49838492968660258</v>
      </c>
      <c r="Y352" s="248">
        <f t="shared" si="53"/>
        <v>0.50161507031339747</v>
      </c>
      <c r="Z352" s="7"/>
    </row>
    <row r="353" spans="1:26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69">
        <f>Q352+1</f>
        <v>2009</v>
      </c>
      <c r="R353" s="69">
        <v>1</v>
      </c>
      <c r="S353" s="89" t="s">
        <v>1517</v>
      </c>
      <c r="T353" s="7" t="str">
        <f t="shared" si="50"/>
        <v>1_2009</v>
      </c>
      <c r="U353" s="247">
        <f t="shared" si="51"/>
        <v>214.53700000000001</v>
      </c>
      <c r="V353" s="248">
        <f t="shared" ref="V353:V363" si="68">+V354</f>
        <v>0.66997101349938215</v>
      </c>
      <c r="W353" s="248">
        <f t="shared" si="52"/>
        <v>0.33002898650061785</v>
      </c>
      <c r="X353" s="248">
        <f t="shared" ref="X353:X363" si="69">+X354</f>
        <v>0.49813941766071862</v>
      </c>
      <c r="Y353" s="248">
        <f t="shared" si="53"/>
        <v>0.50186058233928144</v>
      </c>
      <c r="Z353" s="7"/>
    </row>
    <row r="354" spans="1:26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69">
        <f>Q352+1</f>
        <v>2009</v>
      </c>
      <c r="R354" s="69">
        <v>2</v>
      </c>
      <c r="S354" s="89" t="s">
        <v>1517</v>
      </c>
      <c r="T354" s="7" t="str">
        <f t="shared" si="50"/>
        <v>2_2009</v>
      </c>
      <c r="U354" s="247">
        <f t="shared" si="51"/>
        <v>214.53700000000001</v>
      </c>
      <c r="V354" s="248">
        <f t="shared" si="68"/>
        <v>0.66997101349938215</v>
      </c>
      <c r="W354" s="248">
        <f t="shared" si="52"/>
        <v>0.33002898650061785</v>
      </c>
      <c r="X354" s="248">
        <f t="shared" si="69"/>
        <v>0.49813941766071862</v>
      </c>
      <c r="Y354" s="248">
        <f t="shared" si="53"/>
        <v>0.50186058233928144</v>
      </c>
      <c r="Z354" s="7"/>
    </row>
    <row r="355" spans="1:26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69">
        <f>Q352+1</f>
        <v>2009</v>
      </c>
      <c r="R355" s="69">
        <v>3</v>
      </c>
      <c r="S355" s="89" t="s">
        <v>1517</v>
      </c>
      <c r="T355" s="7" t="str">
        <f t="shared" si="50"/>
        <v>3_2009</v>
      </c>
      <c r="U355" s="247">
        <f t="shared" si="51"/>
        <v>214.53700000000001</v>
      </c>
      <c r="V355" s="248">
        <f t="shared" si="68"/>
        <v>0.66997101349938215</v>
      </c>
      <c r="W355" s="248">
        <f t="shared" si="52"/>
        <v>0.33002898650061785</v>
      </c>
      <c r="X355" s="248">
        <f t="shared" si="69"/>
        <v>0.49813941766071862</v>
      </c>
      <c r="Y355" s="248">
        <f t="shared" si="53"/>
        <v>0.50186058233928144</v>
      </c>
      <c r="Z355" s="7"/>
    </row>
    <row r="356" spans="1:26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69">
        <f>Q352+1</f>
        <v>2009</v>
      </c>
      <c r="R356" s="69">
        <v>4</v>
      </c>
      <c r="S356" s="89" t="s">
        <v>1517</v>
      </c>
      <c r="T356" s="7" t="str">
        <f t="shared" si="50"/>
        <v>4_2009</v>
      </c>
      <c r="U356" s="247">
        <f t="shared" si="51"/>
        <v>214.53700000000001</v>
      </c>
      <c r="V356" s="248">
        <f t="shared" si="68"/>
        <v>0.66997101349938215</v>
      </c>
      <c r="W356" s="248">
        <f t="shared" si="52"/>
        <v>0.33002898650061785</v>
      </c>
      <c r="X356" s="248">
        <f t="shared" si="69"/>
        <v>0.49813941766071862</v>
      </c>
      <c r="Y356" s="248">
        <f t="shared" si="53"/>
        <v>0.50186058233928144</v>
      </c>
      <c r="Z356" s="7"/>
    </row>
    <row r="357" spans="1:26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69">
        <f>Q352+1</f>
        <v>2009</v>
      </c>
      <c r="R357" s="69">
        <v>5</v>
      </c>
      <c r="S357" s="89" t="s">
        <v>1517</v>
      </c>
      <c r="T357" s="7" t="str">
        <f t="shared" si="50"/>
        <v>5_2009</v>
      </c>
      <c r="U357" s="247">
        <f t="shared" si="51"/>
        <v>214.53700000000001</v>
      </c>
      <c r="V357" s="248">
        <f t="shared" si="68"/>
        <v>0.66997101349938215</v>
      </c>
      <c r="W357" s="248">
        <f t="shared" si="52"/>
        <v>0.33002898650061785</v>
      </c>
      <c r="X357" s="248">
        <f t="shared" si="69"/>
        <v>0.49813941766071862</v>
      </c>
      <c r="Y357" s="248">
        <f t="shared" si="53"/>
        <v>0.50186058233928144</v>
      </c>
      <c r="Z357" s="7"/>
    </row>
    <row r="358" spans="1:26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69">
        <f>Q352+1</f>
        <v>2009</v>
      </c>
      <c r="R358" s="69">
        <v>6</v>
      </c>
      <c r="S358" s="89" t="s">
        <v>1517</v>
      </c>
      <c r="T358" s="7" t="str">
        <f t="shared" si="50"/>
        <v>6_2009</v>
      </c>
      <c r="U358" s="247">
        <f t="shared" si="51"/>
        <v>214.53700000000001</v>
      </c>
      <c r="V358" s="248">
        <f t="shared" si="68"/>
        <v>0.66997101349938215</v>
      </c>
      <c r="W358" s="248">
        <f t="shared" si="52"/>
        <v>0.33002898650061785</v>
      </c>
      <c r="X358" s="248">
        <f t="shared" si="69"/>
        <v>0.49813941766071862</v>
      </c>
      <c r="Y358" s="248">
        <f t="shared" si="53"/>
        <v>0.50186058233928144</v>
      </c>
      <c r="Z358" s="7"/>
    </row>
    <row r="359" spans="1:26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69">
        <f>Q352+1</f>
        <v>2009</v>
      </c>
      <c r="R359" s="69">
        <v>7</v>
      </c>
      <c r="S359" s="89" t="s">
        <v>1517</v>
      </c>
      <c r="T359" s="7" t="str">
        <f t="shared" si="50"/>
        <v>7_2009</v>
      </c>
      <c r="U359" s="247">
        <f t="shared" si="51"/>
        <v>214.53700000000001</v>
      </c>
      <c r="V359" s="248">
        <f t="shared" si="68"/>
        <v>0.66997101349938215</v>
      </c>
      <c r="W359" s="248">
        <f t="shared" si="52"/>
        <v>0.33002898650061785</v>
      </c>
      <c r="X359" s="248">
        <f t="shared" si="69"/>
        <v>0.49813941766071862</v>
      </c>
      <c r="Y359" s="248">
        <f t="shared" si="53"/>
        <v>0.50186058233928144</v>
      </c>
      <c r="Z359" s="7"/>
    </row>
    <row r="360" spans="1:26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69">
        <f>Q352+1</f>
        <v>2009</v>
      </c>
      <c r="R360" s="69">
        <v>8</v>
      </c>
      <c r="S360" s="89" t="s">
        <v>1517</v>
      </c>
      <c r="T360" s="7" t="str">
        <f t="shared" si="50"/>
        <v>8_2009</v>
      </c>
      <c r="U360" s="247">
        <f t="shared" si="51"/>
        <v>214.53700000000001</v>
      </c>
      <c r="V360" s="248">
        <f t="shared" si="68"/>
        <v>0.66997101349938215</v>
      </c>
      <c r="W360" s="248">
        <f t="shared" si="52"/>
        <v>0.33002898650061785</v>
      </c>
      <c r="X360" s="248">
        <f t="shared" si="69"/>
        <v>0.49813941766071862</v>
      </c>
      <c r="Y360" s="248">
        <f t="shared" si="53"/>
        <v>0.50186058233928144</v>
      </c>
      <c r="Z360" s="7"/>
    </row>
    <row r="361" spans="1:26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69">
        <f>Q352+1</f>
        <v>2009</v>
      </c>
      <c r="R361" s="69">
        <v>9</v>
      </c>
      <c r="S361" s="89" t="s">
        <v>1517</v>
      </c>
      <c r="T361" s="7" t="str">
        <f t="shared" si="50"/>
        <v>9_2009</v>
      </c>
      <c r="U361" s="247">
        <f t="shared" si="51"/>
        <v>214.53700000000001</v>
      </c>
      <c r="V361" s="248">
        <f t="shared" si="68"/>
        <v>0.66997101349938215</v>
      </c>
      <c r="W361" s="248">
        <f t="shared" si="52"/>
        <v>0.33002898650061785</v>
      </c>
      <c r="X361" s="248">
        <f t="shared" si="69"/>
        <v>0.49813941766071862</v>
      </c>
      <c r="Y361" s="248">
        <f t="shared" si="53"/>
        <v>0.50186058233928144</v>
      </c>
      <c r="Z361" s="7"/>
    </row>
    <row r="362" spans="1:26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69">
        <f>Q352+1</f>
        <v>2009</v>
      </c>
      <c r="R362" s="69">
        <v>10</v>
      </c>
      <c r="S362" s="89" t="s">
        <v>1517</v>
      </c>
      <c r="T362" s="7" t="str">
        <f t="shared" si="50"/>
        <v>10_2009</v>
      </c>
      <c r="U362" s="247">
        <f t="shared" si="51"/>
        <v>214.53700000000001</v>
      </c>
      <c r="V362" s="248">
        <f t="shared" si="68"/>
        <v>0.66997101349938215</v>
      </c>
      <c r="W362" s="248">
        <f t="shared" si="52"/>
        <v>0.33002898650061785</v>
      </c>
      <c r="X362" s="248">
        <f t="shared" si="69"/>
        <v>0.49813941766071862</v>
      </c>
      <c r="Y362" s="248">
        <f t="shared" si="53"/>
        <v>0.50186058233928144</v>
      </c>
      <c r="Z362" s="7"/>
    </row>
    <row r="363" spans="1:26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69">
        <f>Q352+1</f>
        <v>2009</v>
      </c>
      <c r="R363" s="69">
        <v>11</v>
      </c>
      <c r="S363" s="89" t="s">
        <v>1517</v>
      </c>
      <c r="T363" s="7" t="str">
        <f t="shared" si="50"/>
        <v>11_2009</v>
      </c>
      <c r="U363" s="247">
        <f t="shared" si="51"/>
        <v>214.53700000000001</v>
      </c>
      <c r="V363" s="248">
        <f t="shared" si="68"/>
        <v>0.66997101349938215</v>
      </c>
      <c r="W363" s="248">
        <f t="shared" si="52"/>
        <v>0.33002898650061785</v>
      </c>
      <c r="X363" s="248">
        <f t="shared" si="69"/>
        <v>0.49813941766071862</v>
      </c>
      <c r="Y363" s="248">
        <f t="shared" si="53"/>
        <v>0.50186058233928144</v>
      </c>
      <c r="Z363" s="7"/>
    </row>
    <row r="364" spans="1:26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69">
        <f>Q352+1</f>
        <v>2009</v>
      </c>
      <c r="R364" s="69">
        <v>12</v>
      </c>
      <c r="S364" s="89" t="s">
        <v>1517</v>
      </c>
      <c r="T364" s="7" t="str">
        <f t="shared" si="50"/>
        <v>12_2009</v>
      </c>
      <c r="U364" s="247">
        <f t="shared" si="51"/>
        <v>214.53700000000001</v>
      </c>
      <c r="V364" s="248">
        <f>+(V376*U364/U376)/(V376*U364/U376+W376*AVERAGE(U364,'PPI USA'!T370)/AVERAGE(U376,'PPI USA'!T382))</f>
        <v>0.66997101349938215</v>
      </c>
      <c r="W364" s="248">
        <f t="shared" si="52"/>
        <v>0.33002898650061785</v>
      </c>
      <c r="X364" s="248">
        <f>+(X376*$U364/$U376)/(X376*$U364/$U376+Y376*AVERAGE($U364,'PPI USA'!$T370)/AVERAGE($U376,'PPI USA'!$T382))</f>
        <v>0.49813941766071862</v>
      </c>
      <c r="Y364" s="248">
        <f t="shared" si="53"/>
        <v>0.50186058233928144</v>
      </c>
      <c r="Z364" s="7"/>
    </row>
    <row r="365" spans="1:26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69">
        <f>Q364+1</f>
        <v>2010</v>
      </c>
      <c r="R365" s="69">
        <v>1</v>
      </c>
      <c r="S365" s="89" t="s">
        <v>1517</v>
      </c>
      <c r="T365" s="7" t="str">
        <f t="shared" si="50"/>
        <v>1_2010</v>
      </c>
      <c r="U365" s="247">
        <f t="shared" si="51"/>
        <v>218.05600000000001</v>
      </c>
      <c r="V365" s="248">
        <f t="shared" ref="V365:V375" si="70">+V366</f>
        <v>0.67050107279443949</v>
      </c>
      <c r="W365" s="248">
        <f t="shared" si="52"/>
        <v>0.32949892720556051</v>
      </c>
      <c r="X365" s="248">
        <f t="shared" ref="X365:X375" si="71">+X366</f>
        <v>0.4987389730136107</v>
      </c>
      <c r="Y365" s="248">
        <f t="shared" si="53"/>
        <v>0.5012610269863893</v>
      </c>
      <c r="Z365" s="7"/>
    </row>
    <row r="366" spans="1:26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69">
        <f>Q364+1</f>
        <v>2010</v>
      </c>
      <c r="R366" s="69">
        <v>2</v>
      </c>
      <c r="S366" s="89" t="s">
        <v>1517</v>
      </c>
      <c r="T366" s="7" t="str">
        <f t="shared" si="50"/>
        <v>2_2010</v>
      </c>
      <c r="U366" s="247">
        <f t="shared" si="51"/>
        <v>218.05600000000001</v>
      </c>
      <c r="V366" s="248">
        <f t="shared" si="70"/>
        <v>0.67050107279443949</v>
      </c>
      <c r="W366" s="248">
        <f t="shared" si="52"/>
        <v>0.32949892720556051</v>
      </c>
      <c r="X366" s="248">
        <f t="shared" si="71"/>
        <v>0.4987389730136107</v>
      </c>
      <c r="Y366" s="248">
        <f t="shared" si="53"/>
        <v>0.5012610269863893</v>
      </c>
      <c r="Z366" s="7"/>
    </row>
    <row r="367" spans="1:26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69">
        <f>Q364+1</f>
        <v>2010</v>
      </c>
      <c r="R367" s="69">
        <v>3</v>
      </c>
      <c r="S367" s="89" t="s">
        <v>1517</v>
      </c>
      <c r="T367" s="7" t="str">
        <f t="shared" si="50"/>
        <v>3_2010</v>
      </c>
      <c r="U367" s="247">
        <f t="shared" si="51"/>
        <v>218.05600000000001</v>
      </c>
      <c r="V367" s="248">
        <f t="shared" si="70"/>
        <v>0.67050107279443949</v>
      </c>
      <c r="W367" s="248">
        <f t="shared" si="52"/>
        <v>0.32949892720556051</v>
      </c>
      <c r="X367" s="248">
        <f t="shared" si="71"/>
        <v>0.4987389730136107</v>
      </c>
      <c r="Y367" s="248">
        <f t="shared" si="53"/>
        <v>0.5012610269863893</v>
      </c>
      <c r="Z367" s="7"/>
    </row>
    <row r="368" spans="1:26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69">
        <f>Q364+1</f>
        <v>2010</v>
      </c>
      <c r="R368" s="69">
        <v>4</v>
      </c>
      <c r="S368" s="89" t="s">
        <v>1517</v>
      </c>
      <c r="T368" s="7" t="str">
        <f t="shared" si="50"/>
        <v>4_2010</v>
      </c>
      <c r="U368" s="247">
        <f t="shared" si="51"/>
        <v>218.05600000000001</v>
      </c>
      <c r="V368" s="248">
        <f t="shared" si="70"/>
        <v>0.67050107279443949</v>
      </c>
      <c r="W368" s="248">
        <f t="shared" si="52"/>
        <v>0.32949892720556051</v>
      </c>
      <c r="X368" s="248">
        <f t="shared" si="71"/>
        <v>0.4987389730136107</v>
      </c>
      <c r="Y368" s="248">
        <f t="shared" si="53"/>
        <v>0.5012610269863893</v>
      </c>
      <c r="Z368" s="7"/>
    </row>
    <row r="369" spans="1:26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69">
        <f>Q364+1</f>
        <v>2010</v>
      </c>
      <c r="R369" s="69">
        <v>5</v>
      </c>
      <c r="S369" s="89" t="s">
        <v>1517</v>
      </c>
      <c r="T369" s="7" t="str">
        <f t="shared" si="50"/>
        <v>5_2010</v>
      </c>
      <c r="U369" s="247">
        <f t="shared" si="51"/>
        <v>218.05600000000001</v>
      </c>
      <c r="V369" s="248">
        <f t="shared" si="70"/>
        <v>0.67050107279443949</v>
      </c>
      <c r="W369" s="248">
        <f t="shared" si="52"/>
        <v>0.32949892720556051</v>
      </c>
      <c r="X369" s="248">
        <f t="shared" si="71"/>
        <v>0.4987389730136107</v>
      </c>
      <c r="Y369" s="248">
        <f t="shared" si="53"/>
        <v>0.5012610269863893</v>
      </c>
      <c r="Z369" s="7"/>
    </row>
    <row r="370" spans="1:26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69">
        <f>Q364+1</f>
        <v>2010</v>
      </c>
      <c r="R370" s="69">
        <v>6</v>
      </c>
      <c r="S370" s="89" t="s">
        <v>1517</v>
      </c>
      <c r="T370" s="7" t="str">
        <f t="shared" si="50"/>
        <v>6_2010</v>
      </c>
      <c r="U370" s="247">
        <f t="shared" si="51"/>
        <v>218.05600000000001</v>
      </c>
      <c r="V370" s="248">
        <f t="shared" si="70"/>
        <v>0.67050107279443949</v>
      </c>
      <c r="W370" s="248">
        <f t="shared" si="52"/>
        <v>0.32949892720556051</v>
      </c>
      <c r="X370" s="248">
        <f t="shared" si="71"/>
        <v>0.4987389730136107</v>
      </c>
      <c r="Y370" s="248">
        <f t="shared" si="53"/>
        <v>0.5012610269863893</v>
      </c>
      <c r="Z370" s="7"/>
    </row>
    <row r="371" spans="1:26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69">
        <f>Q364+1</f>
        <v>2010</v>
      </c>
      <c r="R371" s="69">
        <v>7</v>
      </c>
      <c r="S371" s="89" t="s">
        <v>1517</v>
      </c>
      <c r="T371" s="7" t="str">
        <f t="shared" si="50"/>
        <v>7_2010</v>
      </c>
      <c r="U371" s="247">
        <f t="shared" si="51"/>
        <v>218.05600000000001</v>
      </c>
      <c r="V371" s="248">
        <f t="shared" si="70"/>
        <v>0.67050107279443949</v>
      </c>
      <c r="W371" s="248">
        <f t="shared" si="52"/>
        <v>0.32949892720556051</v>
      </c>
      <c r="X371" s="248">
        <f t="shared" si="71"/>
        <v>0.4987389730136107</v>
      </c>
      <c r="Y371" s="248">
        <f t="shared" si="53"/>
        <v>0.5012610269863893</v>
      </c>
      <c r="Z371" s="7"/>
    </row>
    <row r="372" spans="1:26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69">
        <f>Q364+1</f>
        <v>2010</v>
      </c>
      <c r="R372" s="69">
        <v>8</v>
      </c>
      <c r="S372" s="89" t="s">
        <v>1517</v>
      </c>
      <c r="T372" s="7" t="str">
        <f t="shared" si="50"/>
        <v>8_2010</v>
      </c>
      <c r="U372" s="247">
        <f t="shared" si="51"/>
        <v>218.05600000000001</v>
      </c>
      <c r="V372" s="248">
        <f t="shared" si="70"/>
        <v>0.67050107279443949</v>
      </c>
      <c r="W372" s="248">
        <f t="shared" si="52"/>
        <v>0.32949892720556051</v>
      </c>
      <c r="X372" s="248">
        <f t="shared" si="71"/>
        <v>0.4987389730136107</v>
      </c>
      <c r="Y372" s="248">
        <f t="shared" si="53"/>
        <v>0.5012610269863893</v>
      </c>
      <c r="Z372" s="7"/>
    </row>
    <row r="373" spans="1:26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69">
        <f>Q364+1</f>
        <v>2010</v>
      </c>
      <c r="R373" s="69">
        <v>9</v>
      </c>
      <c r="S373" s="89" t="s">
        <v>1517</v>
      </c>
      <c r="T373" s="7" t="str">
        <f t="shared" si="50"/>
        <v>9_2010</v>
      </c>
      <c r="U373" s="247">
        <f t="shared" si="51"/>
        <v>218.05600000000001</v>
      </c>
      <c r="V373" s="248">
        <f t="shared" si="70"/>
        <v>0.67050107279443949</v>
      </c>
      <c r="W373" s="248">
        <f t="shared" si="52"/>
        <v>0.32949892720556051</v>
      </c>
      <c r="X373" s="248">
        <f t="shared" si="71"/>
        <v>0.4987389730136107</v>
      </c>
      <c r="Y373" s="248">
        <f t="shared" si="53"/>
        <v>0.5012610269863893</v>
      </c>
      <c r="Z373" s="7"/>
    </row>
    <row r="374" spans="1:26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69">
        <f>Q364+1</f>
        <v>2010</v>
      </c>
      <c r="R374" s="69">
        <v>10</v>
      </c>
      <c r="S374" s="89" t="s">
        <v>1517</v>
      </c>
      <c r="T374" s="7" t="str">
        <f t="shared" si="50"/>
        <v>10_2010</v>
      </c>
      <c r="U374" s="247">
        <f t="shared" si="51"/>
        <v>218.05600000000001</v>
      </c>
      <c r="V374" s="248">
        <f t="shared" si="70"/>
        <v>0.67050107279443949</v>
      </c>
      <c r="W374" s="248">
        <f t="shared" si="52"/>
        <v>0.32949892720556051</v>
      </c>
      <c r="X374" s="248">
        <f t="shared" si="71"/>
        <v>0.4987389730136107</v>
      </c>
      <c r="Y374" s="248">
        <f t="shared" si="53"/>
        <v>0.5012610269863893</v>
      </c>
      <c r="Z374" s="7"/>
    </row>
    <row r="375" spans="1:26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69">
        <f>Q364+1</f>
        <v>2010</v>
      </c>
      <c r="R375" s="69">
        <v>11</v>
      </c>
      <c r="S375" s="89" t="s">
        <v>1517</v>
      </c>
      <c r="T375" s="7" t="str">
        <f t="shared" si="50"/>
        <v>11_2010</v>
      </c>
      <c r="U375" s="247">
        <f t="shared" si="51"/>
        <v>218.05600000000001</v>
      </c>
      <c r="V375" s="248">
        <f t="shared" si="70"/>
        <v>0.67050107279443949</v>
      </c>
      <c r="W375" s="248">
        <f t="shared" si="52"/>
        <v>0.32949892720556051</v>
      </c>
      <c r="X375" s="248">
        <f t="shared" si="71"/>
        <v>0.4987389730136107</v>
      </c>
      <c r="Y375" s="248">
        <f t="shared" si="53"/>
        <v>0.5012610269863893</v>
      </c>
      <c r="Z375" s="7"/>
    </row>
    <row r="376" spans="1:26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69">
        <f>Q364+1</f>
        <v>2010</v>
      </c>
      <c r="R376" s="69">
        <v>12</v>
      </c>
      <c r="S376" s="89" t="s">
        <v>1517</v>
      </c>
      <c r="T376" s="7" t="str">
        <f t="shared" si="50"/>
        <v>12_2010</v>
      </c>
      <c r="U376" s="247">
        <f t="shared" si="51"/>
        <v>218.05600000000001</v>
      </c>
      <c r="V376" s="248">
        <f>+(V388*U376/U388)/(V388*U376/U388+W388*AVERAGE(U376,'PPI USA'!T382)/AVERAGE(U388,'PPI USA'!T394))</f>
        <v>0.67050107279443949</v>
      </c>
      <c r="W376" s="248">
        <f t="shared" si="52"/>
        <v>0.32949892720556051</v>
      </c>
      <c r="X376" s="248">
        <f>+(X388*$U376/$U388)/(X388*$U376/$U388+Y388*AVERAGE($U376,'PPI USA'!$T382)/AVERAGE($U388,'PPI USA'!$T394))</f>
        <v>0.4987389730136107</v>
      </c>
      <c r="Y376" s="248">
        <f t="shared" si="53"/>
        <v>0.5012610269863893</v>
      </c>
      <c r="Z376" s="7"/>
    </row>
    <row r="377" spans="1:26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69">
        <f>Q376+1</f>
        <v>2011</v>
      </c>
      <c r="R377" s="69">
        <v>1</v>
      </c>
      <c r="S377" s="89" t="s">
        <v>1517</v>
      </c>
      <c r="T377" s="7" t="str">
        <f t="shared" si="50"/>
        <v>1_2011</v>
      </c>
      <c r="U377" s="247">
        <f t="shared" si="51"/>
        <v>224.93899999999999</v>
      </c>
      <c r="V377" s="248">
        <f t="shared" ref="V377:V387" si="72">+V378</f>
        <v>0.6684022975047168</v>
      </c>
      <c r="W377" s="248">
        <f t="shared" si="52"/>
        <v>0.3315977024952832</v>
      </c>
      <c r="X377" s="248">
        <f t="shared" ref="X377:X387" si="73">+X378</f>
        <v>0.49636791791307899</v>
      </c>
      <c r="Y377" s="248">
        <f t="shared" si="53"/>
        <v>0.50363208208692101</v>
      </c>
      <c r="Z377" s="7"/>
    </row>
    <row r="378" spans="1:26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69">
        <f>Q376+1</f>
        <v>2011</v>
      </c>
      <c r="R378" s="69">
        <v>2</v>
      </c>
      <c r="S378" s="89" t="s">
        <v>1517</v>
      </c>
      <c r="T378" s="7" t="str">
        <f t="shared" si="50"/>
        <v>2_2011</v>
      </c>
      <c r="U378" s="247">
        <f t="shared" si="51"/>
        <v>224.93899999999999</v>
      </c>
      <c r="V378" s="248">
        <f t="shared" si="72"/>
        <v>0.6684022975047168</v>
      </c>
      <c r="W378" s="248">
        <f t="shared" si="52"/>
        <v>0.3315977024952832</v>
      </c>
      <c r="X378" s="248">
        <f t="shared" si="73"/>
        <v>0.49636791791307899</v>
      </c>
      <c r="Y378" s="248">
        <f t="shared" si="53"/>
        <v>0.50363208208692101</v>
      </c>
      <c r="Z378" s="7"/>
    </row>
    <row r="379" spans="1:26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69">
        <f>Q376+1</f>
        <v>2011</v>
      </c>
      <c r="R379" s="69">
        <v>3</v>
      </c>
      <c r="S379" s="89" t="s">
        <v>1517</v>
      </c>
      <c r="T379" s="7" t="str">
        <f t="shared" si="50"/>
        <v>3_2011</v>
      </c>
      <c r="U379" s="247">
        <f t="shared" si="51"/>
        <v>224.93899999999999</v>
      </c>
      <c r="V379" s="248">
        <f t="shared" si="72"/>
        <v>0.6684022975047168</v>
      </c>
      <c r="W379" s="248">
        <f t="shared" si="52"/>
        <v>0.3315977024952832</v>
      </c>
      <c r="X379" s="248">
        <f t="shared" si="73"/>
        <v>0.49636791791307899</v>
      </c>
      <c r="Y379" s="248">
        <f t="shared" si="53"/>
        <v>0.50363208208692101</v>
      </c>
      <c r="Z379" s="7"/>
    </row>
    <row r="380" spans="1:26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69">
        <f>Q376+1</f>
        <v>2011</v>
      </c>
      <c r="R380" s="69">
        <v>4</v>
      </c>
      <c r="S380" s="89" t="s">
        <v>1517</v>
      </c>
      <c r="T380" s="7" t="str">
        <f t="shared" si="50"/>
        <v>4_2011</v>
      </c>
      <c r="U380" s="247">
        <f t="shared" si="51"/>
        <v>224.93899999999999</v>
      </c>
      <c r="V380" s="248">
        <f t="shared" si="72"/>
        <v>0.6684022975047168</v>
      </c>
      <c r="W380" s="248">
        <f t="shared" si="52"/>
        <v>0.3315977024952832</v>
      </c>
      <c r="X380" s="248">
        <f t="shared" si="73"/>
        <v>0.49636791791307899</v>
      </c>
      <c r="Y380" s="248">
        <f t="shared" si="53"/>
        <v>0.50363208208692101</v>
      </c>
      <c r="Z380" s="7"/>
    </row>
    <row r="381" spans="1:26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69">
        <f>Q376+1</f>
        <v>2011</v>
      </c>
      <c r="R381" s="69">
        <v>5</v>
      </c>
      <c r="S381" s="89" t="s">
        <v>1517</v>
      </c>
      <c r="T381" s="7" t="str">
        <f t="shared" si="50"/>
        <v>5_2011</v>
      </c>
      <c r="U381" s="247">
        <f t="shared" si="51"/>
        <v>224.93899999999999</v>
      </c>
      <c r="V381" s="248">
        <f t="shared" si="72"/>
        <v>0.6684022975047168</v>
      </c>
      <c r="W381" s="248">
        <f t="shared" si="52"/>
        <v>0.3315977024952832</v>
      </c>
      <c r="X381" s="248">
        <f t="shared" si="73"/>
        <v>0.49636791791307899</v>
      </c>
      <c r="Y381" s="248">
        <f t="shared" si="53"/>
        <v>0.50363208208692101</v>
      </c>
      <c r="Z381" s="7"/>
    </row>
    <row r="382" spans="1:26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69">
        <f>Q376+1</f>
        <v>2011</v>
      </c>
      <c r="R382" s="69">
        <v>6</v>
      </c>
      <c r="S382" s="89" t="s">
        <v>1517</v>
      </c>
      <c r="T382" s="7" t="str">
        <f t="shared" si="50"/>
        <v>6_2011</v>
      </c>
      <c r="U382" s="247">
        <f t="shared" si="51"/>
        <v>224.93899999999999</v>
      </c>
      <c r="V382" s="248">
        <f t="shared" si="72"/>
        <v>0.6684022975047168</v>
      </c>
      <c r="W382" s="248">
        <f t="shared" si="52"/>
        <v>0.3315977024952832</v>
      </c>
      <c r="X382" s="248">
        <f t="shared" si="73"/>
        <v>0.49636791791307899</v>
      </c>
      <c r="Y382" s="248">
        <f t="shared" si="53"/>
        <v>0.50363208208692101</v>
      </c>
      <c r="Z382" s="7"/>
    </row>
    <row r="383" spans="1:26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69">
        <f>Q376+1</f>
        <v>2011</v>
      </c>
      <c r="R383" s="69">
        <v>7</v>
      </c>
      <c r="S383" s="89" t="s">
        <v>1517</v>
      </c>
      <c r="T383" s="7" t="str">
        <f t="shared" si="50"/>
        <v>7_2011</v>
      </c>
      <c r="U383" s="247">
        <f t="shared" si="51"/>
        <v>224.93899999999999</v>
      </c>
      <c r="V383" s="248">
        <f t="shared" si="72"/>
        <v>0.6684022975047168</v>
      </c>
      <c r="W383" s="248">
        <f t="shared" si="52"/>
        <v>0.3315977024952832</v>
      </c>
      <c r="X383" s="248">
        <f t="shared" si="73"/>
        <v>0.49636791791307899</v>
      </c>
      <c r="Y383" s="248">
        <f t="shared" si="53"/>
        <v>0.50363208208692101</v>
      </c>
      <c r="Z383" s="7"/>
    </row>
    <row r="384" spans="1:26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69">
        <f>Q376+1</f>
        <v>2011</v>
      </c>
      <c r="R384" s="69">
        <v>8</v>
      </c>
      <c r="S384" s="89" t="s">
        <v>1517</v>
      </c>
      <c r="T384" s="7" t="str">
        <f t="shared" si="50"/>
        <v>8_2011</v>
      </c>
      <c r="U384" s="247">
        <f t="shared" si="51"/>
        <v>224.93899999999999</v>
      </c>
      <c r="V384" s="248">
        <f t="shared" si="72"/>
        <v>0.6684022975047168</v>
      </c>
      <c r="W384" s="248">
        <f t="shared" si="52"/>
        <v>0.3315977024952832</v>
      </c>
      <c r="X384" s="248">
        <f t="shared" si="73"/>
        <v>0.49636791791307899</v>
      </c>
      <c r="Y384" s="248">
        <f t="shared" si="53"/>
        <v>0.50363208208692101</v>
      </c>
      <c r="Z384" s="7"/>
    </row>
    <row r="385" spans="1:26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69">
        <f>Q376+1</f>
        <v>2011</v>
      </c>
      <c r="R385" s="69">
        <v>9</v>
      </c>
      <c r="S385" s="89" t="s">
        <v>1517</v>
      </c>
      <c r="T385" s="7" t="str">
        <f t="shared" si="50"/>
        <v>9_2011</v>
      </c>
      <c r="U385" s="247">
        <f t="shared" si="51"/>
        <v>224.93899999999999</v>
      </c>
      <c r="V385" s="248">
        <f t="shared" si="72"/>
        <v>0.6684022975047168</v>
      </c>
      <c r="W385" s="248">
        <f t="shared" si="52"/>
        <v>0.3315977024952832</v>
      </c>
      <c r="X385" s="248">
        <f t="shared" si="73"/>
        <v>0.49636791791307899</v>
      </c>
      <c r="Y385" s="248">
        <f t="shared" si="53"/>
        <v>0.50363208208692101</v>
      </c>
      <c r="Z385" s="7"/>
    </row>
    <row r="386" spans="1:26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69">
        <f>Q376+1</f>
        <v>2011</v>
      </c>
      <c r="R386" s="69">
        <v>10</v>
      </c>
      <c r="S386" s="89" t="s">
        <v>1517</v>
      </c>
      <c r="T386" s="7" t="str">
        <f t="shared" si="50"/>
        <v>10_2011</v>
      </c>
      <c r="U386" s="247">
        <f t="shared" si="51"/>
        <v>224.93899999999999</v>
      </c>
      <c r="V386" s="248">
        <f t="shared" si="72"/>
        <v>0.6684022975047168</v>
      </c>
      <c r="W386" s="248">
        <f t="shared" si="52"/>
        <v>0.3315977024952832</v>
      </c>
      <c r="X386" s="248">
        <f t="shared" si="73"/>
        <v>0.49636791791307899</v>
      </c>
      <c r="Y386" s="248">
        <f t="shared" si="53"/>
        <v>0.50363208208692101</v>
      </c>
      <c r="Z386" s="7"/>
    </row>
    <row r="387" spans="1:26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69">
        <f>Q376+1</f>
        <v>2011</v>
      </c>
      <c r="R387" s="69">
        <v>11</v>
      </c>
      <c r="S387" s="89" t="s">
        <v>1517</v>
      </c>
      <c r="T387" s="7" t="str">
        <f t="shared" si="50"/>
        <v>11_2011</v>
      </c>
      <c r="U387" s="247">
        <f t="shared" si="51"/>
        <v>224.93899999999999</v>
      </c>
      <c r="V387" s="248">
        <f t="shared" si="72"/>
        <v>0.6684022975047168</v>
      </c>
      <c r="W387" s="248">
        <f t="shared" si="52"/>
        <v>0.3315977024952832</v>
      </c>
      <c r="X387" s="248">
        <f t="shared" si="73"/>
        <v>0.49636791791307899</v>
      </c>
      <c r="Y387" s="248">
        <f t="shared" si="53"/>
        <v>0.50363208208692101</v>
      </c>
      <c r="Z387" s="7"/>
    </row>
    <row r="388" spans="1:26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69">
        <f>Q376+1</f>
        <v>2011</v>
      </c>
      <c r="R388" s="69">
        <v>12</v>
      </c>
      <c r="S388" s="89" t="s">
        <v>1517</v>
      </c>
      <c r="T388" s="7" t="str">
        <f t="shared" si="50"/>
        <v>12_2011</v>
      </c>
      <c r="U388" s="247">
        <f t="shared" si="51"/>
        <v>224.93899999999999</v>
      </c>
      <c r="V388" s="248">
        <f>+(V400*U388/U400)/(V400*U388/U400+W400*AVERAGE(U388,'PPI USA'!T394)/AVERAGE(U400,'PPI USA'!T406))</f>
        <v>0.6684022975047168</v>
      </c>
      <c r="W388" s="248">
        <f t="shared" si="52"/>
        <v>0.3315977024952832</v>
      </c>
      <c r="X388" s="248">
        <f>+(X400*$U388/$U400)/(X400*$U388/$U400+Y400*AVERAGE($U388,'PPI USA'!$T394)/AVERAGE($U400,'PPI USA'!$T406))</f>
        <v>0.49636791791307899</v>
      </c>
      <c r="Y388" s="248">
        <f t="shared" si="53"/>
        <v>0.50363208208692101</v>
      </c>
      <c r="Z388" s="7"/>
    </row>
    <row r="389" spans="1:26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69">
        <f>Q388+1</f>
        <v>2012</v>
      </c>
      <c r="R389" s="69">
        <v>1</v>
      </c>
      <c r="S389" s="89" t="s">
        <v>1517</v>
      </c>
      <c r="T389" s="7" t="str">
        <f t="shared" si="50"/>
        <v>1_2012</v>
      </c>
      <c r="U389" s="247">
        <f t="shared" si="51"/>
        <v>229.59399999999999</v>
      </c>
      <c r="V389" s="248">
        <f t="shared" ref="V389:V399" si="74">+V390</f>
        <v>0.66730871354337351</v>
      </c>
      <c r="W389" s="248">
        <f t="shared" si="52"/>
        <v>0.33269128645662649</v>
      </c>
      <c r="X389" s="248">
        <f t="shared" ref="X389:X399" si="75">+X390</f>
        <v>0.49513551903851311</v>
      </c>
      <c r="Y389" s="248">
        <f t="shared" si="53"/>
        <v>0.50486448096148684</v>
      </c>
      <c r="Z389" s="7"/>
    </row>
    <row r="390" spans="1:26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69">
        <f>Q388+1</f>
        <v>2012</v>
      </c>
      <c r="R390" s="69">
        <v>2</v>
      </c>
      <c r="S390" s="89" t="s">
        <v>1517</v>
      </c>
      <c r="T390" s="7" t="str">
        <f t="shared" si="50"/>
        <v>2_2012</v>
      </c>
      <c r="U390" s="247">
        <f t="shared" si="51"/>
        <v>229.59399999999999</v>
      </c>
      <c r="V390" s="248">
        <f t="shared" si="74"/>
        <v>0.66730871354337351</v>
      </c>
      <c r="W390" s="248">
        <f t="shared" si="52"/>
        <v>0.33269128645662649</v>
      </c>
      <c r="X390" s="248">
        <f t="shared" si="75"/>
        <v>0.49513551903851311</v>
      </c>
      <c r="Y390" s="248">
        <f t="shared" si="53"/>
        <v>0.50486448096148684</v>
      </c>
      <c r="Z390" s="7"/>
    </row>
    <row r="391" spans="1:26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69">
        <f>Q388+1</f>
        <v>2012</v>
      </c>
      <c r="R391" s="69">
        <v>3</v>
      </c>
      <c r="S391" s="89" t="s">
        <v>1517</v>
      </c>
      <c r="T391" s="7" t="str">
        <f t="shared" si="50"/>
        <v>3_2012</v>
      </c>
      <c r="U391" s="247">
        <f t="shared" si="51"/>
        <v>229.59399999999999</v>
      </c>
      <c r="V391" s="248">
        <f t="shared" si="74"/>
        <v>0.66730871354337351</v>
      </c>
      <c r="W391" s="248">
        <f t="shared" si="52"/>
        <v>0.33269128645662649</v>
      </c>
      <c r="X391" s="248">
        <f t="shared" si="75"/>
        <v>0.49513551903851311</v>
      </c>
      <c r="Y391" s="248">
        <f t="shared" si="53"/>
        <v>0.50486448096148684</v>
      </c>
      <c r="Z391" s="7"/>
    </row>
    <row r="392" spans="1:26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69">
        <f>Q388+1</f>
        <v>2012</v>
      </c>
      <c r="R392" s="69">
        <v>4</v>
      </c>
      <c r="S392" s="89" t="s">
        <v>1517</v>
      </c>
      <c r="T392" s="7" t="str">
        <f t="shared" si="50"/>
        <v>4_2012</v>
      </c>
      <c r="U392" s="247">
        <f t="shared" si="51"/>
        <v>229.59399999999999</v>
      </c>
      <c r="V392" s="248">
        <f t="shared" si="74"/>
        <v>0.66730871354337351</v>
      </c>
      <c r="W392" s="248">
        <f t="shared" si="52"/>
        <v>0.33269128645662649</v>
      </c>
      <c r="X392" s="248">
        <f t="shared" si="75"/>
        <v>0.49513551903851311</v>
      </c>
      <c r="Y392" s="248">
        <f t="shared" si="53"/>
        <v>0.50486448096148684</v>
      </c>
      <c r="Z392" s="7"/>
    </row>
    <row r="393" spans="1:26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69">
        <f>Q388+1</f>
        <v>2012</v>
      </c>
      <c r="R393" s="69">
        <v>5</v>
      </c>
      <c r="S393" s="89" t="s">
        <v>1517</v>
      </c>
      <c r="T393" s="7" t="str">
        <f t="shared" si="50"/>
        <v>5_2012</v>
      </c>
      <c r="U393" s="247">
        <f t="shared" si="51"/>
        <v>229.59399999999999</v>
      </c>
      <c r="V393" s="248">
        <f t="shared" si="74"/>
        <v>0.66730871354337351</v>
      </c>
      <c r="W393" s="248">
        <f t="shared" si="52"/>
        <v>0.33269128645662649</v>
      </c>
      <c r="X393" s="248">
        <f t="shared" si="75"/>
        <v>0.49513551903851311</v>
      </c>
      <c r="Y393" s="248">
        <f t="shared" si="53"/>
        <v>0.50486448096148684</v>
      </c>
      <c r="Z393" s="7"/>
    </row>
    <row r="394" spans="1:26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69">
        <f>Q388+1</f>
        <v>2012</v>
      </c>
      <c r="R394" s="69">
        <v>6</v>
      </c>
      <c r="S394" s="89" t="s">
        <v>1517</v>
      </c>
      <c r="T394" s="7" t="str">
        <f t="shared" si="50"/>
        <v>6_2012</v>
      </c>
      <c r="U394" s="247">
        <f t="shared" si="51"/>
        <v>229.59399999999999</v>
      </c>
      <c r="V394" s="248">
        <f t="shared" si="74"/>
        <v>0.66730871354337351</v>
      </c>
      <c r="W394" s="248">
        <f t="shared" si="52"/>
        <v>0.33269128645662649</v>
      </c>
      <c r="X394" s="248">
        <f t="shared" si="75"/>
        <v>0.49513551903851311</v>
      </c>
      <c r="Y394" s="248">
        <f t="shared" si="53"/>
        <v>0.50486448096148684</v>
      </c>
      <c r="Z394" s="7"/>
    </row>
    <row r="395" spans="1:26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69">
        <f>Q388+1</f>
        <v>2012</v>
      </c>
      <c r="R395" s="69">
        <v>7</v>
      </c>
      <c r="S395" s="89" t="s">
        <v>1517</v>
      </c>
      <c r="T395" s="7" t="str">
        <f t="shared" si="50"/>
        <v>7_2012</v>
      </c>
      <c r="U395" s="247">
        <f t="shared" si="51"/>
        <v>229.59399999999999</v>
      </c>
      <c r="V395" s="248">
        <f t="shared" si="74"/>
        <v>0.66730871354337351</v>
      </c>
      <c r="W395" s="248">
        <f t="shared" si="52"/>
        <v>0.33269128645662649</v>
      </c>
      <c r="X395" s="248">
        <f t="shared" si="75"/>
        <v>0.49513551903851311</v>
      </c>
      <c r="Y395" s="248">
        <f t="shared" si="53"/>
        <v>0.50486448096148684</v>
      </c>
      <c r="Z395" s="7"/>
    </row>
    <row r="396" spans="1:26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69">
        <f>Q388+1</f>
        <v>2012</v>
      </c>
      <c r="R396" s="69">
        <v>8</v>
      </c>
      <c r="S396" s="89" t="s">
        <v>1517</v>
      </c>
      <c r="T396" s="7" t="str">
        <f t="shared" si="50"/>
        <v>8_2012</v>
      </c>
      <c r="U396" s="247">
        <f t="shared" si="51"/>
        <v>229.59399999999999</v>
      </c>
      <c r="V396" s="248">
        <f t="shared" si="74"/>
        <v>0.66730871354337351</v>
      </c>
      <c r="W396" s="248">
        <f t="shared" si="52"/>
        <v>0.33269128645662649</v>
      </c>
      <c r="X396" s="248">
        <f t="shared" si="75"/>
        <v>0.49513551903851311</v>
      </c>
      <c r="Y396" s="248">
        <f t="shared" si="53"/>
        <v>0.50486448096148684</v>
      </c>
      <c r="Z396" s="7"/>
    </row>
    <row r="397" spans="1:26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69">
        <f>Q388+1</f>
        <v>2012</v>
      </c>
      <c r="R397" s="69">
        <v>9</v>
      </c>
      <c r="S397" s="89" t="s">
        <v>1517</v>
      </c>
      <c r="T397" s="7" t="str">
        <f t="shared" si="50"/>
        <v>9_2012</v>
      </c>
      <c r="U397" s="247">
        <f t="shared" si="51"/>
        <v>229.59399999999999</v>
      </c>
      <c r="V397" s="248">
        <f t="shared" si="74"/>
        <v>0.66730871354337351</v>
      </c>
      <c r="W397" s="248">
        <f t="shared" si="52"/>
        <v>0.33269128645662649</v>
      </c>
      <c r="X397" s="248">
        <f t="shared" si="75"/>
        <v>0.49513551903851311</v>
      </c>
      <c r="Y397" s="248">
        <f t="shared" si="53"/>
        <v>0.50486448096148684</v>
      </c>
      <c r="Z397" s="7"/>
    </row>
    <row r="398" spans="1:26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69">
        <f>Q388+1</f>
        <v>2012</v>
      </c>
      <c r="R398" s="69">
        <v>10</v>
      </c>
      <c r="S398" s="89" t="s">
        <v>1517</v>
      </c>
      <c r="T398" s="7" t="str">
        <f t="shared" si="50"/>
        <v>10_2012</v>
      </c>
      <c r="U398" s="247">
        <f t="shared" si="51"/>
        <v>229.59399999999999</v>
      </c>
      <c r="V398" s="248">
        <f t="shared" si="74"/>
        <v>0.66730871354337351</v>
      </c>
      <c r="W398" s="248">
        <f t="shared" si="52"/>
        <v>0.33269128645662649</v>
      </c>
      <c r="X398" s="248">
        <f t="shared" si="75"/>
        <v>0.49513551903851311</v>
      </c>
      <c r="Y398" s="248">
        <f t="shared" si="53"/>
        <v>0.50486448096148684</v>
      </c>
      <c r="Z398" s="7"/>
    </row>
    <row r="399" spans="1:26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69">
        <f>Q388+1</f>
        <v>2012</v>
      </c>
      <c r="R399" s="69">
        <v>11</v>
      </c>
      <c r="S399" s="89" t="s">
        <v>1517</v>
      </c>
      <c r="T399" s="7" t="str">
        <f t="shared" si="50"/>
        <v>11_2012</v>
      </c>
      <c r="U399" s="247">
        <f t="shared" si="51"/>
        <v>229.59399999999999</v>
      </c>
      <c r="V399" s="248">
        <f t="shared" si="74"/>
        <v>0.66730871354337351</v>
      </c>
      <c r="W399" s="248">
        <f t="shared" si="52"/>
        <v>0.33269128645662649</v>
      </c>
      <c r="X399" s="248">
        <f t="shared" si="75"/>
        <v>0.49513551903851311</v>
      </c>
      <c r="Y399" s="248">
        <f t="shared" si="53"/>
        <v>0.50486448096148684</v>
      </c>
      <c r="Z399" s="7"/>
    </row>
    <row r="400" spans="1:26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69">
        <f>Q388+1</f>
        <v>2012</v>
      </c>
      <c r="R400" s="69">
        <v>12</v>
      </c>
      <c r="S400" s="89" t="s">
        <v>1517</v>
      </c>
      <c r="T400" s="7" t="str">
        <f t="shared" si="50"/>
        <v>12_2012</v>
      </c>
      <c r="U400" s="247">
        <f t="shared" si="51"/>
        <v>229.59399999999999</v>
      </c>
      <c r="V400" s="248">
        <f>+(V412*U400/U412)/(V412*U400/U412+W412*AVERAGE(U400,'PPI USA'!T406)/AVERAGE(U412,'PPI USA'!T418))</f>
        <v>0.66730871354337351</v>
      </c>
      <c r="W400" s="248">
        <f t="shared" si="52"/>
        <v>0.33269128645662649</v>
      </c>
      <c r="X400" s="248">
        <f>+(X412*$U400/$U412)/(X412*$U400/$U412+Y412*AVERAGE($U400,'PPI USA'!$T406)/AVERAGE($U412,'PPI USA'!$T418))</f>
        <v>0.49513551903851311</v>
      </c>
      <c r="Y400" s="248">
        <f t="shared" si="53"/>
        <v>0.50486448096148684</v>
      </c>
      <c r="Z400" s="7"/>
    </row>
    <row r="401" spans="1:26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69">
        <f>Q400+1</f>
        <v>2013</v>
      </c>
      <c r="R401" s="69">
        <v>1</v>
      </c>
      <c r="S401" s="89" t="s">
        <v>1527</v>
      </c>
      <c r="T401" s="7" t="str">
        <f t="shared" si="50"/>
        <v>1_2013</v>
      </c>
      <c r="U401" s="247">
        <f t="shared" si="51"/>
        <v>230.28</v>
      </c>
      <c r="V401" s="248">
        <f t="shared" ref="V401:V411" si="76">+V402</f>
        <v>0.67305131835944076</v>
      </c>
      <c r="W401" s="248">
        <f t="shared" si="52"/>
        <v>0.32694868164055924</v>
      </c>
      <c r="X401" s="248">
        <f t="shared" ref="X401:X411" si="77">+X402</f>
        <v>0.50163050295255052</v>
      </c>
      <c r="Y401" s="248">
        <f t="shared" si="53"/>
        <v>0.49836949704744948</v>
      </c>
      <c r="Z401" s="7"/>
    </row>
    <row r="402" spans="1:26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69">
        <f>Q400+1</f>
        <v>2013</v>
      </c>
      <c r="R402" s="69">
        <v>2</v>
      </c>
      <c r="S402" s="89" t="s">
        <v>1528</v>
      </c>
      <c r="T402" s="7" t="str">
        <f t="shared" si="50"/>
        <v>2_2013</v>
      </c>
      <c r="U402" s="247">
        <f t="shared" si="51"/>
        <v>232.166</v>
      </c>
      <c r="V402" s="248">
        <f t="shared" si="76"/>
        <v>0.67305131835944076</v>
      </c>
      <c r="W402" s="248">
        <f t="shared" si="52"/>
        <v>0.32694868164055924</v>
      </c>
      <c r="X402" s="248">
        <f t="shared" si="77"/>
        <v>0.50163050295255052</v>
      </c>
      <c r="Y402" s="248">
        <f t="shared" si="53"/>
        <v>0.49836949704744948</v>
      </c>
      <c r="Z402" s="7"/>
    </row>
    <row r="403" spans="1:26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69">
        <f>Q400+1</f>
        <v>2013</v>
      </c>
      <c r="R403" s="69">
        <v>3</v>
      </c>
      <c r="S403" s="89" t="s">
        <v>1529</v>
      </c>
      <c r="T403" s="7" t="str">
        <f t="shared" si="50"/>
        <v>3_2013</v>
      </c>
      <c r="U403" s="247">
        <f t="shared" si="51"/>
        <v>232.773</v>
      </c>
      <c r="V403" s="248">
        <f t="shared" si="76"/>
        <v>0.67305131835944076</v>
      </c>
      <c r="W403" s="248">
        <f t="shared" si="52"/>
        <v>0.32694868164055924</v>
      </c>
      <c r="X403" s="248">
        <f t="shared" si="77"/>
        <v>0.50163050295255052</v>
      </c>
      <c r="Y403" s="248">
        <f t="shared" si="53"/>
        <v>0.49836949704744948</v>
      </c>
      <c r="Z403" s="7"/>
    </row>
    <row r="404" spans="1:26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69">
        <f>Q400+1</f>
        <v>2013</v>
      </c>
      <c r="R404" s="69">
        <v>4</v>
      </c>
      <c r="S404" s="89" t="s">
        <v>1530</v>
      </c>
      <c r="T404" s="7" t="str">
        <f t="shared" si="50"/>
        <v>4_2013</v>
      </c>
      <c r="U404" s="247">
        <f t="shared" si="51"/>
        <v>232.53100000000001</v>
      </c>
      <c r="V404" s="248">
        <f t="shared" si="76"/>
        <v>0.67305131835944076</v>
      </c>
      <c r="W404" s="248">
        <f t="shared" si="52"/>
        <v>0.32694868164055924</v>
      </c>
      <c r="X404" s="248">
        <f t="shared" si="77"/>
        <v>0.50163050295255052</v>
      </c>
      <c r="Y404" s="248">
        <f t="shared" si="53"/>
        <v>0.49836949704744948</v>
      </c>
      <c r="Z404" s="7"/>
    </row>
    <row r="405" spans="1:26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69">
        <f>Q400+1</f>
        <v>2013</v>
      </c>
      <c r="R405" s="69">
        <v>5</v>
      </c>
      <c r="S405" s="89" t="s">
        <v>1531</v>
      </c>
      <c r="T405" s="7" t="str">
        <f t="shared" si="50"/>
        <v>5_2013</v>
      </c>
      <c r="U405" s="247">
        <f t="shared" si="51"/>
        <v>232.94499999999999</v>
      </c>
      <c r="V405" s="248">
        <f t="shared" si="76"/>
        <v>0.67305131835944076</v>
      </c>
      <c r="W405" s="248">
        <f t="shared" si="52"/>
        <v>0.32694868164055924</v>
      </c>
      <c r="X405" s="248">
        <f t="shared" si="77"/>
        <v>0.50163050295255052</v>
      </c>
      <c r="Y405" s="248">
        <f t="shared" si="53"/>
        <v>0.49836949704744948</v>
      </c>
      <c r="Z405" s="7"/>
    </row>
    <row r="406" spans="1:26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69">
        <f>Q400+1</f>
        <v>2013</v>
      </c>
      <c r="R406" s="69">
        <v>6</v>
      </c>
      <c r="S406" s="89" t="s">
        <v>1532</v>
      </c>
      <c r="T406" s="7" t="str">
        <f t="shared" si="50"/>
        <v>6_2013</v>
      </c>
      <c r="U406" s="247">
        <f t="shared" si="51"/>
        <v>233.50399999999999</v>
      </c>
      <c r="V406" s="248">
        <f t="shared" si="76"/>
        <v>0.67305131835944076</v>
      </c>
      <c r="W406" s="248">
        <f t="shared" si="52"/>
        <v>0.32694868164055924</v>
      </c>
      <c r="X406" s="248">
        <f t="shared" si="77"/>
        <v>0.50163050295255052</v>
      </c>
      <c r="Y406" s="248">
        <f t="shared" si="53"/>
        <v>0.49836949704744948</v>
      </c>
      <c r="Z406" s="7"/>
    </row>
    <row r="407" spans="1:26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69">
        <f>Q400+1</f>
        <v>2013</v>
      </c>
      <c r="R407" s="69">
        <v>7</v>
      </c>
      <c r="S407" s="89" t="s">
        <v>1533</v>
      </c>
      <c r="T407" s="7" t="str">
        <f t="shared" si="50"/>
        <v>7_2013</v>
      </c>
      <c r="U407" s="247">
        <f t="shared" si="51"/>
        <v>233.596</v>
      </c>
      <c r="V407" s="248">
        <f t="shared" si="76"/>
        <v>0.67305131835944076</v>
      </c>
      <c r="W407" s="248">
        <f t="shared" si="52"/>
        <v>0.32694868164055924</v>
      </c>
      <c r="X407" s="248">
        <f t="shared" si="77"/>
        <v>0.50163050295255052</v>
      </c>
      <c r="Y407" s="248">
        <f t="shared" si="53"/>
        <v>0.49836949704744948</v>
      </c>
      <c r="Z407" s="7"/>
    </row>
    <row r="408" spans="1:26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69">
        <f>Q400+1</f>
        <v>2013</v>
      </c>
      <c r="R408" s="69">
        <v>8</v>
      </c>
      <c r="S408" s="89" t="s">
        <v>1534</v>
      </c>
      <c r="T408" s="7" t="str">
        <f t="shared" si="50"/>
        <v>8_2013</v>
      </c>
      <c r="U408" s="247">
        <f t="shared" si="51"/>
        <v>233.87700000000001</v>
      </c>
      <c r="V408" s="248">
        <f t="shared" si="76"/>
        <v>0.67305131835944076</v>
      </c>
      <c r="W408" s="248">
        <f t="shared" si="52"/>
        <v>0.32694868164055924</v>
      </c>
      <c r="X408" s="248">
        <f t="shared" si="77"/>
        <v>0.50163050295255052</v>
      </c>
      <c r="Y408" s="248">
        <f t="shared" si="53"/>
        <v>0.49836949704744948</v>
      </c>
      <c r="Z408" s="7"/>
    </row>
    <row r="409" spans="1:26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69">
        <f>Q400+1</f>
        <v>2013</v>
      </c>
      <c r="R409" s="69">
        <v>9</v>
      </c>
      <c r="S409" s="89" t="s">
        <v>1535</v>
      </c>
      <c r="T409" s="7" t="str">
        <f t="shared" si="50"/>
        <v>9_2013</v>
      </c>
      <c r="U409" s="247">
        <f t="shared" si="51"/>
        <v>234.149</v>
      </c>
      <c r="V409" s="248">
        <f t="shared" si="76"/>
        <v>0.67305131835944076</v>
      </c>
      <c r="W409" s="248">
        <f t="shared" si="52"/>
        <v>0.32694868164055924</v>
      </c>
      <c r="X409" s="248">
        <f t="shared" si="77"/>
        <v>0.50163050295255052</v>
      </c>
      <c r="Y409" s="248">
        <f t="shared" si="53"/>
        <v>0.49836949704744948</v>
      </c>
      <c r="Z409" s="7"/>
    </row>
    <row r="410" spans="1:26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69">
        <f>Q400+1</f>
        <v>2013</v>
      </c>
      <c r="R410" s="69">
        <v>10</v>
      </c>
      <c r="S410" s="89" t="s">
        <v>1536</v>
      </c>
      <c r="T410" s="7" t="str">
        <f t="shared" si="50"/>
        <v>10_2013</v>
      </c>
      <c r="U410" s="247">
        <f t="shared" si="51"/>
        <v>233.54599999999999</v>
      </c>
      <c r="V410" s="248">
        <f t="shared" si="76"/>
        <v>0.67305131835944076</v>
      </c>
      <c r="W410" s="248">
        <f t="shared" si="52"/>
        <v>0.32694868164055924</v>
      </c>
      <c r="X410" s="248">
        <f t="shared" si="77"/>
        <v>0.50163050295255052</v>
      </c>
      <c r="Y410" s="248">
        <f t="shared" si="53"/>
        <v>0.49836949704744948</v>
      </c>
      <c r="Z410" s="7"/>
    </row>
    <row r="411" spans="1:26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69">
        <f>Q400+1</f>
        <v>2013</v>
      </c>
      <c r="R411" s="69">
        <v>11</v>
      </c>
      <c r="S411" s="89" t="s">
        <v>1537</v>
      </c>
      <c r="T411" s="7" t="str">
        <f t="shared" si="50"/>
        <v>11_2013</v>
      </c>
      <c r="U411" s="247">
        <f t="shared" si="51"/>
        <v>233.06899999999999</v>
      </c>
      <c r="V411" s="248">
        <f t="shared" si="76"/>
        <v>0.67305131835944076</v>
      </c>
      <c r="W411" s="248">
        <f t="shared" si="52"/>
        <v>0.32694868164055924</v>
      </c>
      <c r="X411" s="248">
        <f t="shared" si="77"/>
        <v>0.50163050295255052</v>
      </c>
      <c r="Y411" s="248">
        <f t="shared" si="53"/>
        <v>0.49836949704744948</v>
      </c>
      <c r="Z411" s="7"/>
    </row>
    <row r="412" spans="1:26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69">
        <f>Q400+1</f>
        <v>2013</v>
      </c>
      <c r="R412" s="69">
        <v>12</v>
      </c>
      <c r="S412" s="89" t="s">
        <v>1538</v>
      </c>
      <c r="T412" s="7" t="str">
        <f t="shared" si="50"/>
        <v>12_2013</v>
      </c>
      <c r="U412" s="247">
        <f t="shared" si="51"/>
        <v>233.04900000000001</v>
      </c>
      <c r="V412" s="248">
        <f>+(V424*U412/U424)/(V424*U412/U424+W424*AVERAGE(U412,'PPI USA'!T418)/AVERAGE(U424,'PPI USA'!T430))</f>
        <v>0.67305131835944076</v>
      </c>
      <c r="W412" s="248">
        <f t="shared" si="52"/>
        <v>0.32694868164055924</v>
      </c>
      <c r="X412" s="248">
        <f>+(X424*$U412/$U424)/(X424*$U412/$U424+Y424*AVERAGE($U412,'PPI USA'!$T418)/AVERAGE($U424,'PPI USA'!$T430))</f>
        <v>0.50163050295255052</v>
      </c>
      <c r="Y412" s="248">
        <f t="shared" si="53"/>
        <v>0.49836949704744948</v>
      </c>
      <c r="Z412" s="7"/>
    </row>
    <row r="413" spans="1:26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69">
        <f>Q412+1</f>
        <v>2014</v>
      </c>
      <c r="R413" s="69">
        <v>1</v>
      </c>
      <c r="S413" s="89" t="s">
        <v>1527</v>
      </c>
      <c r="T413" s="7" t="str">
        <f t="shared" si="50"/>
        <v>1_2014</v>
      </c>
      <c r="U413" s="247">
        <f t="shared" si="51"/>
        <v>233.916</v>
      </c>
      <c r="V413" s="248">
        <f t="shared" ref="V413:V423" si="78">+V414</f>
        <v>0.66756601812039096</v>
      </c>
      <c r="W413" s="248">
        <f t="shared" si="52"/>
        <v>0.33243398187960904</v>
      </c>
      <c r="X413" s="248">
        <f t="shared" ref="X413:X423" si="79">+X414</f>
        <v>0.49542529667095003</v>
      </c>
      <c r="Y413" s="248">
        <f t="shared" si="53"/>
        <v>0.50457470332904997</v>
      </c>
      <c r="Z413" s="7"/>
    </row>
    <row r="414" spans="1:26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69">
        <f>Q412+1</f>
        <v>2014</v>
      </c>
      <c r="R414" s="69">
        <v>2</v>
      </c>
      <c r="S414" s="89" t="s">
        <v>1528</v>
      </c>
      <c r="T414" s="7" t="str">
        <f t="shared" si="50"/>
        <v>2_2014</v>
      </c>
      <c r="U414" s="247">
        <f t="shared" si="51"/>
        <v>234.78100000000001</v>
      </c>
      <c r="V414" s="248">
        <f t="shared" si="78"/>
        <v>0.66756601812039096</v>
      </c>
      <c r="W414" s="248">
        <f t="shared" si="52"/>
        <v>0.33243398187960904</v>
      </c>
      <c r="X414" s="248">
        <f t="shared" si="79"/>
        <v>0.49542529667095003</v>
      </c>
      <c r="Y414" s="248">
        <f t="shared" si="53"/>
        <v>0.50457470332904997</v>
      </c>
      <c r="Z414" s="7"/>
    </row>
    <row r="415" spans="1:26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69">
        <f>Q412+1</f>
        <v>2014</v>
      </c>
      <c r="R415" s="69">
        <v>3</v>
      </c>
      <c r="S415" s="89" t="s">
        <v>1529</v>
      </c>
      <c r="T415" s="7" t="str">
        <f t="shared" si="50"/>
        <v>3_2014</v>
      </c>
      <c r="U415" s="247">
        <f t="shared" si="51"/>
        <v>236.29300000000001</v>
      </c>
      <c r="V415" s="248">
        <f t="shared" si="78"/>
        <v>0.66756601812039096</v>
      </c>
      <c r="W415" s="248">
        <f t="shared" si="52"/>
        <v>0.33243398187960904</v>
      </c>
      <c r="X415" s="248">
        <f t="shared" si="79"/>
        <v>0.49542529667095003</v>
      </c>
      <c r="Y415" s="248">
        <f t="shared" si="53"/>
        <v>0.50457470332904997</v>
      </c>
      <c r="Z415" s="7"/>
    </row>
    <row r="416" spans="1:26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69">
        <f>Q412+1</f>
        <v>2014</v>
      </c>
      <c r="R416" s="69">
        <v>4</v>
      </c>
      <c r="S416" s="89" t="s">
        <v>1530</v>
      </c>
      <c r="T416" s="7" t="str">
        <f t="shared" si="50"/>
        <v>4_2014</v>
      </c>
      <c r="U416" s="247">
        <f t="shared" si="51"/>
        <v>237.072</v>
      </c>
      <c r="V416" s="248">
        <f t="shared" si="78"/>
        <v>0.66756601812039096</v>
      </c>
      <c r="W416" s="248">
        <f t="shared" si="52"/>
        <v>0.33243398187960904</v>
      </c>
      <c r="X416" s="248">
        <f t="shared" si="79"/>
        <v>0.49542529667095003</v>
      </c>
      <c r="Y416" s="248">
        <f t="shared" si="53"/>
        <v>0.50457470332904997</v>
      </c>
      <c r="Z416" s="7"/>
    </row>
    <row r="417" spans="1:26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69">
        <f>Q412+1</f>
        <v>2014</v>
      </c>
      <c r="R417" s="69">
        <v>5</v>
      </c>
      <c r="S417" s="89" t="s">
        <v>1531</v>
      </c>
      <c r="T417" s="7" t="str">
        <f t="shared" si="50"/>
        <v>5_2014</v>
      </c>
      <c r="U417" s="247">
        <f t="shared" si="51"/>
        <v>237.9</v>
      </c>
      <c r="V417" s="248">
        <f t="shared" si="78"/>
        <v>0.66756601812039096</v>
      </c>
      <c r="W417" s="248">
        <f t="shared" si="52"/>
        <v>0.33243398187960904</v>
      </c>
      <c r="X417" s="248">
        <f t="shared" si="79"/>
        <v>0.49542529667095003</v>
      </c>
      <c r="Y417" s="248">
        <f t="shared" si="53"/>
        <v>0.50457470332904997</v>
      </c>
      <c r="Z417" s="7"/>
    </row>
    <row r="418" spans="1:26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69">
        <f>Q412+1</f>
        <v>2014</v>
      </c>
      <c r="R418" s="69">
        <v>6</v>
      </c>
      <c r="S418" s="89" t="s">
        <v>1532</v>
      </c>
      <c r="T418" s="7" t="str">
        <f t="shared" si="50"/>
        <v>6_2014</v>
      </c>
      <c r="U418" s="247">
        <f t="shared" si="51"/>
        <v>238.34299999999999</v>
      </c>
      <c r="V418" s="248">
        <f t="shared" si="78"/>
        <v>0.66756601812039096</v>
      </c>
      <c r="W418" s="248">
        <f t="shared" si="52"/>
        <v>0.33243398187960904</v>
      </c>
      <c r="X418" s="248">
        <f t="shared" si="79"/>
        <v>0.49542529667095003</v>
      </c>
      <c r="Y418" s="248">
        <f t="shared" si="53"/>
        <v>0.50457470332904997</v>
      </c>
      <c r="Z418" s="7"/>
    </row>
    <row r="419" spans="1:26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69">
        <f>Q412+1</f>
        <v>2014</v>
      </c>
      <c r="R419" s="69">
        <v>7</v>
      </c>
      <c r="S419" s="89" t="s">
        <v>1533</v>
      </c>
      <c r="T419" s="7" t="str">
        <f t="shared" si="50"/>
        <v>7_2014</v>
      </c>
      <c r="U419" s="247">
        <f t="shared" si="51"/>
        <v>238.25</v>
      </c>
      <c r="V419" s="248">
        <f t="shared" si="78"/>
        <v>0.66756601812039096</v>
      </c>
      <c r="W419" s="248">
        <f t="shared" si="52"/>
        <v>0.33243398187960904</v>
      </c>
      <c r="X419" s="248">
        <f t="shared" si="79"/>
        <v>0.49542529667095003</v>
      </c>
      <c r="Y419" s="248">
        <f t="shared" si="53"/>
        <v>0.50457470332904997</v>
      </c>
      <c r="Z419" s="7"/>
    </row>
    <row r="420" spans="1:26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69">
        <f>Q412+1</f>
        <v>2014</v>
      </c>
      <c r="R420" s="69">
        <v>8</v>
      </c>
      <c r="S420" s="89" t="s">
        <v>1534</v>
      </c>
      <c r="T420" s="7" t="str">
        <f t="shared" si="50"/>
        <v>8_2014</v>
      </c>
      <c r="U420" s="247">
        <f t="shared" si="51"/>
        <v>237.852</v>
      </c>
      <c r="V420" s="248">
        <f t="shared" si="78"/>
        <v>0.66756601812039096</v>
      </c>
      <c r="W420" s="248">
        <f t="shared" si="52"/>
        <v>0.33243398187960904</v>
      </c>
      <c r="X420" s="248">
        <f t="shared" si="79"/>
        <v>0.49542529667095003</v>
      </c>
      <c r="Y420" s="248">
        <f t="shared" si="53"/>
        <v>0.50457470332904997</v>
      </c>
      <c r="Z420" s="7"/>
    </row>
    <row r="421" spans="1:26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69">
        <f>Q412+1</f>
        <v>2014</v>
      </c>
      <c r="R421" s="69">
        <v>9</v>
      </c>
      <c r="S421" s="89" t="s">
        <v>1535</v>
      </c>
      <c r="T421" s="7" t="str">
        <f t="shared" si="50"/>
        <v>9_2014</v>
      </c>
      <c r="U421" s="247">
        <f t="shared" si="51"/>
        <v>238.03100000000001</v>
      </c>
      <c r="V421" s="248">
        <f t="shared" si="78"/>
        <v>0.66756601812039096</v>
      </c>
      <c r="W421" s="248">
        <f t="shared" si="52"/>
        <v>0.33243398187960904</v>
      </c>
      <c r="X421" s="248">
        <f t="shared" si="79"/>
        <v>0.49542529667095003</v>
      </c>
      <c r="Y421" s="248">
        <f t="shared" si="53"/>
        <v>0.50457470332904997</v>
      </c>
      <c r="Z421" s="7"/>
    </row>
    <row r="422" spans="1:26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69">
        <f>Q412+1</f>
        <v>2014</v>
      </c>
      <c r="R422" s="69">
        <v>10</v>
      </c>
      <c r="S422" s="89" t="s">
        <v>1536</v>
      </c>
      <c r="T422" s="7" t="str">
        <f t="shared" si="50"/>
        <v>10_2014</v>
      </c>
      <c r="U422" s="247">
        <f t="shared" si="51"/>
        <v>237.43299999999999</v>
      </c>
      <c r="V422" s="248">
        <f t="shared" si="78"/>
        <v>0.66756601812039096</v>
      </c>
      <c r="W422" s="248">
        <f t="shared" si="52"/>
        <v>0.33243398187960904</v>
      </c>
      <c r="X422" s="248">
        <f t="shared" si="79"/>
        <v>0.49542529667095003</v>
      </c>
      <c r="Y422" s="248">
        <f t="shared" si="53"/>
        <v>0.50457470332904997</v>
      </c>
      <c r="Z422" s="7"/>
    </row>
    <row r="423" spans="1:26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69">
        <f>Q412+1</f>
        <v>2014</v>
      </c>
      <c r="R423" s="69">
        <v>11</v>
      </c>
      <c r="S423" s="89" t="s">
        <v>1537</v>
      </c>
      <c r="T423" s="7" t="str">
        <f t="shared" si="50"/>
        <v>11_2014</v>
      </c>
      <c r="U423" s="247">
        <f t="shared" si="51"/>
        <v>236.15100000000001</v>
      </c>
      <c r="V423" s="248">
        <f t="shared" si="78"/>
        <v>0.66756601812039096</v>
      </c>
      <c r="W423" s="248">
        <f t="shared" si="52"/>
        <v>0.33243398187960904</v>
      </c>
      <c r="X423" s="248">
        <f t="shared" si="79"/>
        <v>0.49542529667095003</v>
      </c>
      <c r="Y423" s="248">
        <f t="shared" si="53"/>
        <v>0.50457470332904997</v>
      </c>
      <c r="Z423" s="7"/>
    </row>
    <row r="424" spans="1:26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69">
        <f>Q412+1</f>
        <v>2014</v>
      </c>
      <c r="R424" s="69">
        <v>12</v>
      </c>
      <c r="S424" s="89" t="s">
        <v>1538</v>
      </c>
      <c r="T424" s="7" t="str">
        <f t="shared" si="50"/>
        <v>12_2014</v>
      </c>
      <c r="U424" s="247">
        <f t="shared" si="51"/>
        <v>234.81200000000001</v>
      </c>
      <c r="V424" s="248">
        <f>+(V436*U424/U436)/(V436*U424/U436+W436*AVERAGE(U424,'PPI USA'!T430)/AVERAGE(U436,'PPI USA'!T442))</f>
        <v>0.66756601812039096</v>
      </c>
      <c r="W424" s="248">
        <f t="shared" si="52"/>
        <v>0.33243398187960904</v>
      </c>
      <c r="X424" s="248">
        <f>+(X436*$U424/$U436)/(X436*$U424/$U436+Y436*AVERAGE($U424,'PPI USA'!$T430)/AVERAGE($U436,'PPI USA'!$T442))</f>
        <v>0.49542529667095003</v>
      </c>
      <c r="Y424" s="248">
        <f t="shared" si="53"/>
        <v>0.50457470332904997</v>
      </c>
      <c r="Z424" s="7"/>
    </row>
    <row r="425" spans="1:26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69">
        <v>2015</v>
      </c>
      <c r="R425" s="69">
        <v>1</v>
      </c>
      <c r="S425" s="89" t="s">
        <v>1527</v>
      </c>
      <c r="T425" s="7" t="str">
        <f t="shared" si="50"/>
        <v>1_2015</v>
      </c>
      <c r="U425" s="247">
        <f t="shared" si="51"/>
        <v>233.70699999999999</v>
      </c>
      <c r="V425" s="248">
        <f t="shared" ref="V425:V435" si="80">+V426</f>
        <v>0.6679408278919865</v>
      </c>
      <c r="W425" s="248">
        <f t="shared" si="52"/>
        <v>0.3320591721080135</v>
      </c>
      <c r="X425" s="248">
        <f t="shared" ref="X425:X435" si="81">+X426</f>
        <v>0.49584761624008583</v>
      </c>
      <c r="Y425" s="248">
        <f t="shared" si="53"/>
        <v>0.50415238375991422</v>
      </c>
      <c r="Z425" s="7"/>
    </row>
    <row r="426" spans="1:26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69">
        <v>2015</v>
      </c>
      <c r="R426" s="69">
        <v>2</v>
      </c>
      <c r="S426" s="89" t="s">
        <v>1528</v>
      </c>
      <c r="T426" s="7" t="str">
        <f t="shared" si="50"/>
        <v>2_2015</v>
      </c>
      <c r="U426" s="247">
        <f t="shared" si="51"/>
        <v>234.72200000000001</v>
      </c>
      <c r="V426" s="248">
        <f t="shared" si="80"/>
        <v>0.6679408278919865</v>
      </c>
      <c r="W426" s="248">
        <f t="shared" si="52"/>
        <v>0.3320591721080135</v>
      </c>
      <c r="X426" s="248">
        <f t="shared" si="81"/>
        <v>0.49584761624008583</v>
      </c>
      <c r="Y426" s="248">
        <f t="shared" si="53"/>
        <v>0.50415238375991422</v>
      </c>
      <c r="Z426" s="7"/>
    </row>
    <row r="427" spans="1:26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69">
        <v>2015</v>
      </c>
      <c r="R427" s="69">
        <v>3</v>
      </c>
      <c r="S427" s="89" t="s">
        <v>1529</v>
      </c>
      <c r="T427" s="7" t="str">
        <f t="shared" si="50"/>
        <v>3_2015</v>
      </c>
      <c r="U427" s="247">
        <f t="shared" si="51"/>
        <v>236.119</v>
      </c>
      <c r="V427" s="248">
        <f t="shared" si="80"/>
        <v>0.6679408278919865</v>
      </c>
      <c r="W427" s="248">
        <f t="shared" si="52"/>
        <v>0.3320591721080135</v>
      </c>
      <c r="X427" s="248">
        <f t="shared" si="81"/>
        <v>0.49584761624008583</v>
      </c>
      <c r="Y427" s="248">
        <f t="shared" si="53"/>
        <v>0.50415238375991422</v>
      </c>
      <c r="Z427" s="7"/>
    </row>
    <row r="428" spans="1:26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69">
        <v>2015</v>
      </c>
      <c r="R428" s="69">
        <v>4</v>
      </c>
      <c r="S428" s="89" t="s">
        <v>1530</v>
      </c>
      <c r="T428" s="7" t="str">
        <f t="shared" si="50"/>
        <v>4_2015</v>
      </c>
      <c r="U428" s="247">
        <f t="shared" si="51"/>
        <v>236.59899999999999</v>
      </c>
      <c r="V428" s="248">
        <f t="shared" si="80"/>
        <v>0.6679408278919865</v>
      </c>
      <c r="W428" s="248">
        <f t="shared" si="52"/>
        <v>0.3320591721080135</v>
      </c>
      <c r="X428" s="248">
        <f t="shared" si="81"/>
        <v>0.49584761624008583</v>
      </c>
      <c r="Y428" s="248">
        <f t="shared" si="53"/>
        <v>0.50415238375991422</v>
      </c>
      <c r="Z428" s="7"/>
    </row>
    <row r="429" spans="1:26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69">
        <v>2015</v>
      </c>
      <c r="R429" s="69">
        <v>5</v>
      </c>
      <c r="S429" s="89" t="s">
        <v>1531</v>
      </c>
      <c r="T429" s="7" t="str">
        <f t="shared" si="50"/>
        <v>5_2015</v>
      </c>
      <c r="U429" s="247">
        <f t="shared" si="51"/>
        <v>237.80500000000001</v>
      </c>
      <c r="V429" s="248">
        <f t="shared" si="80"/>
        <v>0.6679408278919865</v>
      </c>
      <c r="W429" s="248">
        <f t="shared" si="52"/>
        <v>0.3320591721080135</v>
      </c>
      <c r="X429" s="248">
        <f t="shared" si="81"/>
        <v>0.49584761624008583</v>
      </c>
      <c r="Y429" s="248">
        <f t="shared" si="53"/>
        <v>0.50415238375991422</v>
      </c>
      <c r="Z429" s="7"/>
    </row>
    <row r="430" spans="1:26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69">
        <v>2015</v>
      </c>
      <c r="R430" s="69">
        <v>6</v>
      </c>
      <c r="S430" s="89" t="s">
        <v>1532</v>
      </c>
      <c r="T430" s="7" t="str">
        <f t="shared" si="50"/>
        <v>6_2015</v>
      </c>
      <c r="U430" s="247">
        <f t="shared" si="51"/>
        <v>238.63800000000001</v>
      </c>
      <c r="V430" s="248">
        <f t="shared" si="80"/>
        <v>0.6679408278919865</v>
      </c>
      <c r="W430" s="248">
        <f t="shared" si="52"/>
        <v>0.3320591721080135</v>
      </c>
      <c r="X430" s="248">
        <f t="shared" si="81"/>
        <v>0.49584761624008583</v>
      </c>
      <c r="Y430" s="248">
        <f t="shared" si="53"/>
        <v>0.50415238375991422</v>
      </c>
      <c r="Z430" s="7"/>
    </row>
    <row r="431" spans="1:26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69">
        <v>2015</v>
      </c>
      <c r="R431" s="69">
        <v>7</v>
      </c>
      <c r="S431" s="89" t="s">
        <v>1533</v>
      </c>
      <c r="T431" s="7" t="str">
        <f t="shared" si="50"/>
        <v>7_2015</v>
      </c>
      <c r="U431" s="247">
        <f t="shared" si="51"/>
        <v>238.654</v>
      </c>
      <c r="V431" s="248">
        <f t="shared" si="80"/>
        <v>0.6679408278919865</v>
      </c>
      <c r="W431" s="248">
        <f t="shared" si="52"/>
        <v>0.3320591721080135</v>
      </c>
      <c r="X431" s="248">
        <f t="shared" si="81"/>
        <v>0.49584761624008583</v>
      </c>
      <c r="Y431" s="248">
        <f t="shared" si="53"/>
        <v>0.50415238375991422</v>
      </c>
      <c r="Z431" s="7"/>
    </row>
    <row r="432" spans="1:26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69">
        <v>2015</v>
      </c>
      <c r="R432" s="69">
        <v>8</v>
      </c>
      <c r="S432" s="89" t="s">
        <v>1534</v>
      </c>
      <c r="T432" s="7" t="str">
        <f t="shared" si="50"/>
        <v>8_2015</v>
      </c>
      <c r="U432" s="247">
        <f t="shared" si="51"/>
        <v>238.316</v>
      </c>
      <c r="V432" s="248">
        <f t="shared" si="80"/>
        <v>0.6679408278919865</v>
      </c>
      <c r="W432" s="248">
        <f t="shared" si="52"/>
        <v>0.3320591721080135</v>
      </c>
      <c r="X432" s="248">
        <f t="shared" si="81"/>
        <v>0.49584761624008583</v>
      </c>
      <c r="Y432" s="248">
        <f t="shared" si="53"/>
        <v>0.50415238375991422</v>
      </c>
      <c r="Z432" s="7"/>
    </row>
    <row r="433" spans="1:26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69">
        <v>2015</v>
      </c>
      <c r="R433" s="69">
        <v>9</v>
      </c>
      <c r="S433" s="89" t="s">
        <v>1535</v>
      </c>
      <c r="T433" s="7" t="str">
        <f t="shared" si="50"/>
        <v>9_2015</v>
      </c>
      <c r="U433" s="247">
        <f t="shared" si="51"/>
        <v>237.94499999999999</v>
      </c>
      <c r="V433" s="248">
        <f t="shared" si="80"/>
        <v>0.6679408278919865</v>
      </c>
      <c r="W433" s="248">
        <f t="shared" si="52"/>
        <v>0.3320591721080135</v>
      </c>
      <c r="X433" s="248">
        <f t="shared" si="81"/>
        <v>0.49584761624008583</v>
      </c>
      <c r="Y433" s="248">
        <f t="shared" si="53"/>
        <v>0.50415238375991422</v>
      </c>
      <c r="Z433" s="7"/>
    </row>
    <row r="434" spans="1:26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69">
        <v>2015</v>
      </c>
      <c r="R434" s="69">
        <v>10</v>
      </c>
      <c r="S434" s="89" t="s">
        <v>1536</v>
      </c>
      <c r="T434" s="7" t="str">
        <f t="shared" si="50"/>
        <v>10_2015</v>
      </c>
      <c r="U434" s="247">
        <f t="shared" si="51"/>
        <v>237.83799999999999</v>
      </c>
      <c r="V434" s="248">
        <f t="shared" si="80"/>
        <v>0.6679408278919865</v>
      </c>
      <c r="W434" s="248">
        <f t="shared" si="52"/>
        <v>0.3320591721080135</v>
      </c>
      <c r="X434" s="248">
        <f t="shared" si="81"/>
        <v>0.49584761624008583</v>
      </c>
      <c r="Y434" s="248">
        <f t="shared" si="53"/>
        <v>0.50415238375991422</v>
      </c>
      <c r="Z434" s="7"/>
    </row>
    <row r="435" spans="1:26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69">
        <v>2015</v>
      </c>
      <c r="R435" s="69">
        <v>11</v>
      </c>
      <c r="S435" s="89" t="s">
        <v>1537</v>
      </c>
      <c r="T435" s="7" t="str">
        <f t="shared" si="50"/>
        <v>11_2015</v>
      </c>
      <c r="U435" s="247">
        <f t="shared" si="51"/>
        <v>237.33600000000001</v>
      </c>
      <c r="V435" s="248">
        <f t="shared" si="80"/>
        <v>0.6679408278919865</v>
      </c>
      <c r="W435" s="248">
        <f t="shared" si="52"/>
        <v>0.3320591721080135</v>
      </c>
      <c r="X435" s="248">
        <f t="shared" si="81"/>
        <v>0.49584761624008583</v>
      </c>
      <c r="Y435" s="248">
        <f t="shared" si="53"/>
        <v>0.50415238375991422</v>
      </c>
      <c r="Z435" s="7"/>
    </row>
    <row r="436" spans="1:26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69">
        <v>2015</v>
      </c>
      <c r="R436" s="69">
        <v>12</v>
      </c>
      <c r="S436" s="89" t="s">
        <v>1538</v>
      </c>
      <c r="T436" s="7" t="str">
        <f t="shared" si="50"/>
        <v>12_2015</v>
      </c>
      <c r="U436" s="247">
        <f t="shared" si="51"/>
        <v>236.52500000000001</v>
      </c>
      <c r="V436" s="248">
        <f>+(V448*U436/U448)/(V448*U436/U448+W448*AVERAGE(U436,'PPI USA'!T442)/AVERAGE(U448,'PPI USA'!T454))</f>
        <v>0.6679408278919865</v>
      </c>
      <c r="W436" s="248">
        <f t="shared" si="52"/>
        <v>0.3320591721080135</v>
      </c>
      <c r="X436" s="248">
        <f>+(X448*$U436/$U448)/(X448*$U436/$U448+Y448*AVERAGE($U436,'PPI USA'!$T442)/AVERAGE($U448,'PPI USA'!$T454))</f>
        <v>0.49584761624008583</v>
      </c>
      <c r="Y436" s="248">
        <f t="shared" si="53"/>
        <v>0.50415238375991422</v>
      </c>
      <c r="Z436" s="7"/>
    </row>
    <row r="437" spans="1:26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69">
        <v>2016</v>
      </c>
      <c r="R437" s="69">
        <v>1</v>
      </c>
      <c r="S437" s="89" t="s">
        <v>1527</v>
      </c>
      <c r="T437" s="7" t="str">
        <f t="shared" si="50"/>
        <v>1_2016</v>
      </c>
      <c r="U437" s="247">
        <f t="shared" si="51"/>
        <v>236.916</v>
      </c>
      <c r="V437" s="248">
        <f t="shared" ref="V437:V447" si="82">+V438</f>
        <v>0.67131212484522451</v>
      </c>
      <c r="W437" s="248">
        <f t="shared" si="52"/>
        <v>0.32868787515477549</v>
      </c>
      <c r="X437" s="248">
        <f t="shared" ref="X437:X447" si="83">+X438</f>
        <v>0.49965731919331663</v>
      </c>
      <c r="Y437" s="248">
        <f t="shared" si="53"/>
        <v>0.50034268080668332</v>
      </c>
      <c r="Z437" s="7"/>
    </row>
    <row r="438" spans="1:26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69">
        <v>2016</v>
      </c>
      <c r="R438" s="69">
        <v>2</v>
      </c>
      <c r="S438" s="89" t="s">
        <v>1528</v>
      </c>
      <c r="T438" s="7" t="str">
        <f t="shared" si="50"/>
        <v>2_2016</v>
      </c>
      <c r="U438" s="247">
        <f t="shared" si="51"/>
        <v>237.11099999999999</v>
      </c>
      <c r="V438" s="248">
        <f t="shared" si="82"/>
        <v>0.67131212484522451</v>
      </c>
      <c r="W438" s="248">
        <f t="shared" si="52"/>
        <v>0.32868787515477549</v>
      </c>
      <c r="X438" s="248">
        <f t="shared" si="83"/>
        <v>0.49965731919331663</v>
      </c>
      <c r="Y438" s="248">
        <f t="shared" si="53"/>
        <v>0.50034268080668332</v>
      </c>
      <c r="Z438" s="7"/>
    </row>
    <row r="439" spans="1:26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69">
        <v>2016</v>
      </c>
      <c r="R439" s="69">
        <v>3</v>
      </c>
      <c r="S439" s="89" t="s">
        <v>1529</v>
      </c>
      <c r="T439" s="7" t="str">
        <f t="shared" si="50"/>
        <v>3_2016</v>
      </c>
      <c r="U439" s="247">
        <f t="shared" si="51"/>
        <v>238.13200000000001</v>
      </c>
      <c r="V439" s="248">
        <f t="shared" si="82"/>
        <v>0.67131212484522451</v>
      </c>
      <c r="W439" s="248">
        <f t="shared" si="52"/>
        <v>0.32868787515477549</v>
      </c>
      <c r="X439" s="248">
        <f t="shared" si="83"/>
        <v>0.49965731919331663</v>
      </c>
      <c r="Y439" s="248">
        <f t="shared" si="53"/>
        <v>0.50034268080668332</v>
      </c>
      <c r="Z439" s="7"/>
    </row>
    <row r="440" spans="1:26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69">
        <v>2016</v>
      </c>
      <c r="R440" s="69">
        <v>4</v>
      </c>
      <c r="S440" s="89" t="s">
        <v>1530</v>
      </c>
      <c r="T440" s="7" t="str">
        <f t="shared" si="50"/>
        <v>4_2016</v>
      </c>
      <c r="U440" s="247">
        <f t="shared" si="51"/>
        <v>239.261</v>
      </c>
      <c r="V440" s="248">
        <f t="shared" si="82"/>
        <v>0.67131212484522451</v>
      </c>
      <c r="W440" s="248">
        <f t="shared" si="52"/>
        <v>0.32868787515477549</v>
      </c>
      <c r="X440" s="248">
        <f t="shared" si="83"/>
        <v>0.49965731919331663</v>
      </c>
      <c r="Y440" s="248">
        <f t="shared" si="53"/>
        <v>0.50034268080668332</v>
      </c>
      <c r="Z440" s="7"/>
    </row>
    <row r="441" spans="1:26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69">
        <v>2016</v>
      </c>
      <c r="R441" s="69">
        <v>5</v>
      </c>
      <c r="S441" s="89" t="s">
        <v>1531</v>
      </c>
      <c r="T441" s="7" t="str">
        <f t="shared" si="50"/>
        <v>5_2016</v>
      </c>
      <c r="U441" s="247">
        <f t="shared" si="51"/>
        <v>240.22900000000001</v>
      </c>
      <c r="V441" s="248">
        <f t="shared" si="82"/>
        <v>0.67131212484522451</v>
      </c>
      <c r="W441" s="248">
        <f t="shared" si="52"/>
        <v>0.32868787515477549</v>
      </c>
      <c r="X441" s="248">
        <f t="shared" si="83"/>
        <v>0.49965731919331663</v>
      </c>
      <c r="Y441" s="248">
        <f t="shared" si="53"/>
        <v>0.50034268080668332</v>
      </c>
      <c r="Z441" s="7"/>
    </row>
    <row r="442" spans="1:26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69">
        <v>2016</v>
      </c>
      <c r="R442" s="69">
        <v>6</v>
      </c>
      <c r="S442" s="89" t="s">
        <v>1532</v>
      </c>
      <c r="T442" s="7" t="str">
        <f t="shared" si="50"/>
        <v>6_2016</v>
      </c>
      <c r="U442" s="247">
        <f t="shared" si="51"/>
        <v>241.018</v>
      </c>
      <c r="V442" s="248">
        <f t="shared" si="82"/>
        <v>0.67131212484522451</v>
      </c>
      <c r="W442" s="248">
        <f t="shared" si="52"/>
        <v>0.32868787515477549</v>
      </c>
      <c r="X442" s="248">
        <f t="shared" si="83"/>
        <v>0.49965731919331663</v>
      </c>
      <c r="Y442" s="248">
        <f t="shared" si="53"/>
        <v>0.50034268080668332</v>
      </c>
      <c r="Z442" s="7"/>
    </row>
    <row r="443" spans="1:26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69">
        <v>2016</v>
      </c>
      <c r="R443" s="69">
        <v>7</v>
      </c>
      <c r="S443" s="89" t="s">
        <v>1533</v>
      </c>
      <c r="T443" s="7" t="str">
        <f t="shared" si="50"/>
        <v>7_2016</v>
      </c>
      <c r="U443" s="247">
        <f t="shared" si="51"/>
        <v>240.62799999999999</v>
      </c>
      <c r="V443" s="248">
        <f t="shared" si="82"/>
        <v>0.67131212484522451</v>
      </c>
      <c r="W443" s="248">
        <f t="shared" si="52"/>
        <v>0.32868787515477549</v>
      </c>
      <c r="X443" s="248">
        <f t="shared" si="83"/>
        <v>0.49965731919331663</v>
      </c>
      <c r="Y443" s="248">
        <f t="shared" si="53"/>
        <v>0.50034268080668332</v>
      </c>
      <c r="Z443" s="7"/>
    </row>
    <row r="444" spans="1:26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69">
        <v>2016</v>
      </c>
      <c r="R444" s="69">
        <v>8</v>
      </c>
      <c r="S444" s="89" t="s">
        <v>1534</v>
      </c>
      <c r="T444" s="7" t="str">
        <f t="shared" si="50"/>
        <v>8_2016</v>
      </c>
      <c r="U444" s="247">
        <f t="shared" si="51"/>
        <v>240.84899999999999</v>
      </c>
      <c r="V444" s="248">
        <f t="shared" si="82"/>
        <v>0.67131212484522451</v>
      </c>
      <c r="W444" s="248">
        <f t="shared" si="52"/>
        <v>0.32868787515477549</v>
      </c>
      <c r="X444" s="248">
        <f t="shared" si="83"/>
        <v>0.49965731919331663</v>
      </c>
      <c r="Y444" s="248">
        <f t="shared" si="53"/>
        <v>0.50034268080668332</v>
      </c>
      <c r="Z444" s="7"/>
    </row>
    <row r="445" spans="1:26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69">
        <v>2016</v>
      </c>
      <c r="R445" s="69">
        <v>9</v>
      </c>
      <c r="S445" s="89" t="s">
        <v>1535</v>
      </c>
      <c r="T445" s="7" t="str">
        <f t="shared" si="50"/>
        <v>9_2016</v>
      </c>
      <c r="U445" s="247">
        <f t="shared" si="51"/>
        <v>241.428</v>
      </c>
      <c r="V445" s="248">
        <f t="shared" si="82"/>
        <v>0.67131212484522451</v>
      </c>
      <c r="W445" s="248">
        <f t="shared" si="52"/>
        <v>0.32868787515477549</v>
      </c>
      <c r="X445" s="248">
        <f t="shared" si="83"/>
        <v>0.49965731919331663</v>
      </c>
      <c r="Y445" s="248">
        <f t="shared" si="53"/>
        <v>0.50034268080668332</v>
      </c>
      <c r="Z445" s="7"/>
    </row>
    <row r="446" spans="1:26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69">
        <v>2016</v>
      </c>
      <c r="R446" s="69">
        <v>10</v>
      </c>
      <c r="S446" s="89" t="s">
        <v>1536</v>
      </c>
      <c r="T446" s="7" t="str">
        <f t="shared" si="50"/>
        <v>10_2016</v>
      </c>
      <c r="U446" s="247">
        <f t="shared" si="51"/>
        <v>241.72900000000001</v>
      </c>
      <c r="V446" s="248">
        <f t="shared" si="82"/>
        <v>0.67131212484522451</v>
      </c>
      <c r="W446" s="248">
        <f t="shared" si="52"/>
        <v>0.32868787515477549</v>
      </c>
      <c r="X446" s="248">
        <f t="shared" si="83"/>
        <v>0.49965731919331663</v>
      </c>
      <c r="Y446" s="248">
        <f t="shared" si="53"/>
        <v>0.50034268080668332</v>
      </c>
      <c r="Z446" s="7"/>
    </row>
    <row r="447" spans="1:26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69">
        <v>2016</v>
      </c>
      <c r="R447" s="69">
        <v>11</v>
      </c>
      <c r="S447" s="89" t="s">
        <v>1537</v>
      </c>
      <c r="T447" s="7" t="str">
        <f t="shared" si="50"/>
        <v>11_2016</v>
      </c>
      <c r="U447" s="247">
        <f t="shared" si="51"/>
        <v>241.35300000000001</v>
      </c>
      <c r="V447" s="248">
        <f t="shared" si="82"/>
        <v>0.67131212484522451</v>
      </c>
      <c r="W447" s="248">
        <f t="shared" si="52"/>
        <v>0.32868787515477549</v>
      </c>
      <c r="X447" s="248">
        <f t="shared" si="83"/>
        <v>0.49965731919331663</v>
      </c>
      <c r="Y447" s="248">
        <f t="shared" si="53"/>
        <v>0.50034268080668332</v>
      </c>
      <c r="Z447" s="7"/>
    </row>
    <row r="448" spans="1:26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69">
        <v>2016</v>
      </c>
      <c r="R448" s="69">
        <v>12</v>
      </c>
      <c r="S448" s="89" t="s">
        <v>1538</v>
      </c>
      <c r="T448" s="7" t="str">
        <f t="shared" si="50"/>
        <v>12_2016</v>
      </c>
      <c r="U448" s="247">
        <f t="shared" si="51"/>
        <v>241.43199999999999</v>
      </c>
      <c r="V448" s="248">
        <f>+(V460*U448/U460)/(V460*U448/U460+W460*AVERAGE(U448,'PPI USA'!T454)/AVERAGE(U460,'PPI USA'!T466))</f>
        <v>0.67131212484522451</v>
      </c>
      <c r="W448" s="248">
        <f t="shared" si="52"/>
        <v>0.32868787515477549</v>
      </c>
      <c r="X448" s="248">
        <f>+(X460*$U448/$U460)/(X460*$U448/$U460+Y460*AVERAGE($U448,'PPI USA'!$T454)/AVERAGE($U460,'PPI USA'!$T466))</f>
        <v>0.49965731919331663</v>
      </c>
      <c r="Y448" s="248">
        <f t="shared" si="53"/>
        <v>0.50034268080668332</v>
      </c>
      <c r="Z448" s="7"/>
    </row>
    <row r="449" spans="1:26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69">
        <v>2017</v>
      </c>
      <c r="R449" s="69">
        <v>1</v>
      </c>
      <c r="S449" s="89" t="s">
        <v>1527</v>
      </c>
      <c r="T449" s="7" t="str">
        <f t="shared" si="50"/>
        <v>1_2017</v>
      </c>
      <c r="U449" s="247">
        <f t="shared" si="51"/>
        <v>242.839</v>
      </c>
      <c r="V449" s="248">
        <f t="shared" ref="V449:V459" si="84">+V450</f>
        <v>0.66204311420409623</v>
      </c>
      <c r="W449" s="248">
        <f t="shared" si="52"/>
        <v>0.33795688579590377</v>
      </c>
      <c r="X449" s="248">
        <f t="shared" ref="X449:X459" si="85">+X450</f>
        <v>0.48923067262022524</v>
      </c>
      <c r="Y449" s="248">
        <f t="shared" si="53"/>
        <v>0.51076932737977476</v>
      </c>
      <c r="Z449" s="7"/>
    </row>
    <row r="450" spans="1:26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69">
        <v>2017</v>
      </c>
      <c r="R450" s="69">
        <v>2</v>
      </c>
      <c r="S450" s="89" t="s">
        <v>1528</v>
      </c>
      <c r="T450" s="7" t="str">
        <f t="shared" si="50"/>
        <v>2_2017</v>
      </c>
      <c r="U450" s="247">
        <f t="shared" si="51"/>
        <v>243.60300000000001</v>
      </c>
      <c r="V450" s="248">
        <f t="shared" si="84"/>
        <v>0.66204311420409623</v>
      </c>
      <c r="W450" s="248">
        <f t="shared" si="52"/>
        <v>0.33795688579590377</v>
      </c>
      <c r="X450" s="248">
        <f t="shared" si="85"/>
        <v>0.48923067262022524</v>
      </c>
      <c r="Y450" s="248">
        <f t="shared" si="53"/>
        <v>0.51076932737977476</v>
      </c>
      <c r="Z450" s="7"/>
    </row>
    <row r="451" spans="1:26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69">
        <v>2017</v>
      </c>
      <c r="R451" s="69">
        <v>3</v>
      </c>
      <c r="S451" s="89" t="s">
        <v>1529</v>
      </c>
      <c r="T451" s="7" t="str">
        <f t="shared" si="50"/>
        <v>3_2017</v>
      </c>
      <c r="U451" s="247">
        <f t="shared" si="51"/>
        <v>243.80099999999999</v>
      </c>
      <c r="V451" s="248">
        <f t="shared" si="84"/>
        <v>0.66204311420409623</v>
      </c>
      <c r="W451" s="248">
        <f t="shared" si="52"/>
        <v>0.33795688579590377</v>
      </c>
      <c r="X451" s="248">
        <f t="shared" si="85"/>
        <v>0.48923067262022524</v>
      </c>
      <c r="Y451" s="248">
        <f t="shared" si="53"/>
        <v>0.51076932737977476</v>
      </c>
      <c r="Z451" s="7"/>
    </row>
    <row r="452" spans="1:26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69">
        <v>2017</v>
      </c>
      <c r="R452" s="69">
        <v>4</v>
      </c>
      <c r="S452" s="89" t="s">
        <v>1530</v>
      </c>
      <c r="T452" s="7" t="str">
        <f t="shared" si="50"/>
        <v>4_2017</v>
      </c>
      <c r="U452" s="247">
        <f t="shared" si="51"/>
        <v>244.524</v>
      </c>
      <c r="V452" s="248">
        <f t="shared" si="84"/>
        <v>0.66204311420409623</v>
      </c>
      <c r="W452" s="248">
        <f t="shared" si="52"/>
        <v>0.33795688579590377</v>
      </c>
      <c r="X452" s="248">
        <f t="shared" si="85"/>
        <v>0.48923067262022524</v>
      </c>
      <c r="Y452" s="248">
        <f t="shared" si="53"/>
        <v>0.51076932737977476</v>
      </c>
      <c r="Z452" s="7"/>
    </row>
    <row r="453" spans="1:26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69">
        <v>2017</v>
      </c>
      <c r="R453" s="69">
        <v>5</v>
      </c>
      <c r="S453" s="89" t="s">
        <v>1531</v>
      </c>
      <c r="T453" s="7" t="str">
        <f t="shared" si="50"/>
        <v>5_2017</v>
      </c>
      <c r="U453" s="247">
        <f t="shared" si="51"/>
        <v>244.733</v>
      </c>
      <c r="V453" s="248">
        <f t="shared" si="84"/>
        <v>0.66204311420409623</v>
      </c>
      <c r="W453" s="248">
        <f t="shared" si="52"/>
        <v>0.33795688579590377</v>
      </c>
      <c r="X453" s="248">
        <f t="shared" si="85"/>
        <v>0.48923067262022524</v>
      </c>
      <c r="Y453" s="248">
        <f t="shared" si="53"/>
        <v>0.51076932737977476</v>
      </c>
      <c r="Z453" s="7"/>
    </row>
    <row r="454" spans="1:26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69">
        <v>2017</v>
      </c>
      <c r="R454" s="69">
        <v>6</v>
      </c>
      <c r="S454" s="89" t="s">
        <v>1532</v>
      </c>
      <c r="T454" s="7" t="str">
        <f t="shared" si="50"/>
        <v>6_2017</v>
      </c>
      <c r="U454" s="247">
        <f t="shared" si="51"/>
        <v>244.95500000000001</v>
      </c>
      <c r="V454" s="248">
        <f t="shared" si="84"/>
        <v>0.66204311420409623</v>
      </c>
      <c r="W454" s="248">
        <f t="shared" si="52"/>
        <v>0.33795688579590377</v>
      </c>
      <c r="X454" s="248">
        <f t="shared" si="85"/>
        <v>0.48923067262022524</v>
      </c>
      <c r="Y454" s="248">
        <f t="shared" si="53"/>
        <v>0.51076932737977476</v>
      </c>
      <c r="Z454" s="7"/>
    </row>
    <row r="455" spans="1:26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69">
        <v>2017</v>
      </c>
      <c r="R455" s="69">
        <v>7</v>
      </c>
      <c r="S455" s="89" t="s">
        <v>1533</v>
      </c>
      <c r="T455" s="7" t="str">
        <f t="shared" si="50"/>
        <v>7_2017</v>
      </c>
      <c r="U455" s="247">
        <f t="shared" si="51"/>
        <v>244.786</v>
      </c>
      <c r="V455" s="248">
        <f t="shared" si="84"/>
        <v>0.66204311420409623</v>
      </c>
      <c r="W455" s="248">
        <f t="shared" si="52"/>
        <v>0.33795688579590377</v>
      </c>
      <c r="X455" s="248">
        <f t="shared" si="85"/>
        <v>0.48923067262022524</v>
      </c>
      <c r="Y455" s="248">
        <f t="shared" si="53"/>
        <v>0.51076932737977476</v>
      </c>
      <c r="Z455" s="7"/>
    </row>
    <row r="456" spans="1:26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69">
        <v>2017</v>
      </c>
      <c r="R456" s="69">
        <v>8</v>
      </c>
      <c r="S456" s="89" t="s">
        <v>1534</v>
      </c>
      <c r="T456" s="7" t="str">
        <f t="shared" si="50"/>
        <v>8_2017</v>
      </c>
      <c r="U456" s="247">
        <f t="shared" si="51"/>
        <v>245.51900000000001</v>
      </c>
      <c r="V456" s="248">
        <f t="shared" si="84"/>
        <v>0.66204311420409623</v>
      </c>
      <c r="W456" s="248">
        <f t="shared" si="52"/>
        <v>0.33795688579590377</v>
      </c>
      <c r="X456" s="248">
        <f t="shared" si="85"/>
        <v>0.48923067262022524</v>
      </c>
      <c r="Y456" s="248">
        <f t="shared" si="53"/>
        <v>0.51076932737977476</v>
      </c>
      <c r="Z456" s="7"/>
    </row>
    <row r="457" spans="1:26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69">
        <v>2017</v>
      </c>
      <c r="R457" s="69">
        <v>9</v>
      </c>
      <c r="S457" s="89" t="s">
        <v>1535</v>
      </c>
      <c r="T457" s="7" t="str">
        <f t="shared" si="50"/>
        <v>9_2017</v>
      </c>
      <c r="U457" s="247">
        <f t="shared" si="51"/>
        <v>246.81899999999999</v>
      </c>
      <c r="V457" s="248">
        <f t="shared" si="84"/>
        <v>0.66204311420409623</v>
      </c>
      <c r="W457" s="248">
        <f t="shared" si="52"/>
        <v>0.33795688579590377</v>
      </c>
      <c r="X457" s="248">
        <f t="shared" si="85"/>
        <v>0.48923067262022524</v>
      </c>
      <c r="Y457" s="248">
        <f t="shared" si="53"/>
        <v>0.51076932737977476</v>
      </c>
      <c r="Z457" s="7"/>
    </row>
    <row r="458" spans="1:26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69">
        <v>2017</v>
      </c>
      <c r="R458" s="69">
        <v>10</v>
      </c>
      <c r="S458" s="89" t="s">
        <v>1536</v>
      </c>
      <c r="T458" s="7" t="str">
        <f t="shared" si="50"/>
        <v>10_2017</v>
      </c>
      <c r="U458" s="247">
        <f t="shared" si="51"/>
        <v>246.66300000000001</v>
      </c>
      <c r="V458" s="248">
        <f t="shared" si="84"/>
        <v>0.66204311420409623</v>
      </c>
      <c r="W458" s="248">
        <f t="shared" si="52"/>
        <v>0.33795688579590377</v>
      </c>
      <c r="X458" s="248">
        <f t="shared" si="85"/>
        <v>0.48923067262022524</v>
      </c>
      <c r="Y458" s="248">
        <f t="shared" si="53"/>
        <v>0.51076932737977476</v>
      </c>
      <c r="Z458" s="7"/>
    </row>
    <row r="459" spans="1:26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69">
        <v>2017</v>
      </c>
      <c r="R459" s="69">
        <v>11</v>
      </c>
      <c r="S459" s="89" t="s">
        <v>1537</v>
      </c>
      <c r="T459" s="7" t="str">
        <f t="shared" si="50"/>
        <v>11_2017</v>
      </c>
      <c r="U459" s="247">
        <f t="shared" si="51"/>
        <v>246.66900000000001</v>
      </c>
      <c r="V459" s="248">
        <f t="shared" si="84"/>
        <v>0.66204311420409623</v>
      </c>
      <c r="W459" s="248">
        <f t="shared" si="52"/>
        <v>0.33795688579590377</v>
      </c>
      <c r="X459" s="248">
        <f t="shared" si="85"/>
        <v>0.48923067262022524</v>
      </c>
      <c r="Y459" s="248">
        <f t="shared" si="53"/>
        <v>0.51076932737977476</v>
      </c>
      <c r="Z459" s="7"/>
    </row>
    <row r="460" spans="1:26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69">
        <v>2017</v>
      </c>
      <c r="R460" s="69">
        <v>12</v>
      </c>
      <c r="S460" s="89" t="s">
        <v>1538</v>
      </c>
      <c r="T460" s="7" t="str">
        <f t="shared" si="50"/>
        <v>12_2017</v>
      </c>
      <c r="U460" s="247">
        <f t="shared" si="51"/>
        <v>246.524</v>
      </c>
      <c r="V460" s="248">
        <f>+(V472*U460/U472)/(V472*U460/U472+W472*AVERAGE(U460,'PPI USA'!T466)/AVERAGE(U472,'PPI USA'!T478))</f>
        <v>0.66204311420409623</v>
      </c>
      <c r="W460" s="248">
        <f t="shared" si="52"/>
        <v>0.33795688579590377</v>
      </c>
      <c r="X460" s="248">
        <f>+(X472*$U460/$U472)/(X472*$U460/$U472+Y472*AVERAGE($U460,'PPI USA'!$T466)/AVERAGE($U472,'PPI USA'!$T478))</f>
        <v>0.48923067262022524</v>
      </c>
      <c r="Y460" s="248">
        <f t="shared" si="53"/>
        <v>0.51076932737977476</v>
      </c>
      <c r="Z460" s="7"/>
    </row>
    <row r="461" spans="1:26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69">
        <v>2018</v>
      </c>
      <c r="R461" s="69">
        <v>1</v>
      </c>
      <c r="S461" s="89" t="s">
        <v>1527</v>
      </c>
      <c r="T461" s="7" t="str">
        <f t="shared" si="50"/>
        <v>1_2018</v>
      </c>
      <c r="U461" s="247">
        <f t="shared" si="51"/>
        <v>247.86699999999999</v>
      </c>
      <c r="V461" s="248">
        <f t="shared" ref="V461:V471" si="86">+V462</f>
        <v>0.66243304941135561</v>
      </c>
      <c r="W461" s="248">
        <f t="shared" si="52"/>
        <v>0.33756695058864439</v>
      </c>
      <c r="X461" s="248">
        <f t="shared" ref="X461:X471" si="87">+X462</f>
        <v>0.48966629901144693</v>
      </c>
      <c r="Y461" s="248">
        <f t="shared" si="53"/>
        <v>0.51033370098855313</v>
      </c>
      <c r="Z461" s="7"/>
    </row>
    <row r="462" spans="1:26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69">
        <v>2018</v>
      </c>
      <c r="R462" s="69">
        <v>2</v>
      </c>
      <c r="S462" s="89" t="s">
        <v>1528</v>
      </c>
      <c r="T462" s="7" t="str">
        <f t="shared" si="50"/>
        <v>2_2018</v>
      </c>
      <c r="U462" s="247">
        <f t="shared" si="51"/>
        <v>248.99100000000001</v>
      </c>
      <c r="V462" s="248">
        <f t="shared" si="86"/>
        <v>0.66243304941135561</v>
      </c>
      <c r="W462" s="248">
        <f t="shared" si="52"/>
        <v>0.33756695058864439</v>
      </c>
      <c r="X462" s="248">
        <f t="shared" si="87"/>
        <v>0.48966629901144693</v>
      </c>
      <c r="Y462" s="248">
        <f t="shared" si="53"/>
        <v>0.51033370098855313</v>
      </c>
      <c r="Z462" s="7"/>
    </row>
    <row r="463" spans="1:26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69">
        <v>2018</v>
      </c>
      <c r="R463" s="69">
        <v>3</v>
      </c>
      <c r="S463" s="89" t="s">
        <v>1529</v>
      </c>
      <c r="T463" s="7" t="str">
        <f t="shared" si="50"/>
        <v>3_2018</v>
      </c>
      <c r="U463" s="247">
        <f t="shared" si="51"/>
        <v>249.554</v>
      </c>
      <c r="V463" s="248">
        <f t="shared" si="86"/>
        <v>0.66243304941135561</v>
      </c>
      <c r="W463" s="248">
        <f t="shared" si="52"/>
        <v>0.33756695058864439</v>
      </c>
      <c r="X463" s="248">
        <f t="shared" si="87"/>
        <v>0.48966629901144693</v>
      </c>
      <c r="Y463" s="248">
        <f t="shared" si="53"/>
        <v>0.51033370098855313</v>
      </c>
      <c r="Z463" s="7"/>
    </row>
    <row r="464" spans="1:26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69">
        <v>2018</v>
      </c>
      <c r="R464" s="69">
        <v>4</v>
      </c>
      <c r="S464" s="89" t="s">
        <v>1530</v>
      </c>
      <c r="T464" s="7" t="str">
        <f t="shared" si="50"/>
        <v>4_2018</v>
      </c>
      <c r="U464" s="247">
        <f t="shared" si="51"/>
        <v>250.54599999999999</v>
      </c>
      <c r="V464" s="248">
        <f t="shared" si="86"/>
        <v>0.66243304941135561</v>
      </c>
      <c r="W464" s="248">
        <f t="shared" si="52"/>
        <v>0.33756695058864439</v>
      </c>
      <c r="X464" s="248">
        <f t="shared" si="87"/>
        <v>0.48966629901144693</v>
      </c>
      <c r="Y464" s="248">
        <f t="shared" si="53"/>
        <v>0.51033370098855313</v>
      </c>
      <c r="Z464" s="7"/>
    </row>
    <row r="465" spans="1:26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69">
        <v>2018</v>
      </c>
      <c r="R465" s="69">
        <v>5</v>
      </c>
      <c r="S465" s="89" t="s">
        <v>1531</v>
      </c>
      <c r="T465" s="7" t="str">
        <f t="shared" si="50"/>
        <v>5_2018</v>
      </c>
      <c r="U465" s="247">
        <f t="shared" si="51"/>
        <v>251.58799999999999</v>
      </c>
      <c r="V465" s="248">
        <f t="shared" si="86"/>
        <v>0.66243304941135561</v>
      </c>
      <c r="W465" s="248">
        <f t="shared" si="52"/>
        <v>0.33756695058864439</v>
      </c>
      <c r="X465" s="248">
        <f t="shared" si="87"/>
        <v>0.48966629901144693</v>
      </c>
      <c r="Y465" s="248">
        <f t="shared" si="53"/>
        <v>0.51033370098855313</v>
      </c>
      <c r="Z465" s="7"/>
    </row>
    <row r="466" spans="1:26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69">
        <v>2018</v>
      </c>
      <c r="R466" s="69">
        <v>6</v>
      </c>
      <c r="S466" s="89" t="s">
        <v>1532</v>
      </c>
      <c r="T466" s="7" t="str">
        <f t="shared" si="50"/>
        <v>6_2018</v>
      </c>
      <c r="U466" s="247">
        <f t="shared" si="51"/>
        <v>251.989</v>
      </c>
      <c r="V466" s="248">
        <f t="shared" si="86"/>
        <v>0.66243304941135561</v>
      </c>
      <c r="W466" s="248">
        <f t="shared" si="52"/>
        <v>0.33756695058864439</v>
      </c>
      <c r="X466" s="248">
        <f t="shared" si="87"/>
        <v>0.48966629901144693</v>
      </c>
      <c r="Y466" s="248">
        <f t="shared" si="53"/>
        <v>0.51033370098855313</v>
      </c>
      <c r="Z466" s="7"/>
    </row>
    <row r="467" spans="1:26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69">
        <v>2018</v>
      </c>
      <c r="R467" s="69">
        <v>7</v>
      </c>
      <c r="S467" s="89" t="s">
        <v>1533</v>
      </c>
      <c r="T467" s="7" t="str">
        <f t="shared" si="50"/>
        <v>7_2018</v>
      </c>
      <c r="U467" s="247">
        <f t="shared" si="51"/>
        <v>252.006</v>
      </c>
      <c r="V467" s="248">
        <f t="shared" si="86"/>
        <v>0.66243304941135561</v>
      </c>
      <c r="W467" s="248">
        <f t="shared" si="52"/>
        <v>0.33756695058864439</v>
      </c>
      <c r="X467" s="248">
        <f t="shared" si="87"/>
        <v>0.48966629901144693</v>
      </c>
      <c r="Y467" s="248">
        <f t="shared" si="53"/>
        <v>0.51033370098855313</v>
      </c>
      <c r="Z467" s="7"/>
    </row>
    <row r="468" spans="1:26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69">
        <v>2018</v>
      </c>
      <c r="R468" s="69">
        <v>8</v>
      </c>
      <c r="S468" s="89" t="s">
        <v>1534</v>
      </c>
      <c r="T468" s="7" t="str">
        <f t="shared" si="50"/>
        <v>8_2018</v>
      </c>
      <c r="U468" s="247">
        <f t="shared" si="51"/>
        <v>252.14599999999999</v>
      </c>
      <c r="V468" s="248">
        <f t="shared" si="86"/>
        <v>0.66243304941135561</v>
      </c>
      <c r="W468" s="248">
        <f t="shared" si="52"/>
        <v>0.33756695058864439</v>
      </c>
      <c r="X468" s="248">
        <f t="shared" si="87"/>
        <v>0.48966629901144693</v>
      </c>
      <c r="Y468" s="248">
        <f t="shared" si="53"/>
        <v>0.51033370098855313</v>
      </c>
      <c r="Z468" s="7"/>
    </row>
    <row r="469" spans="1:26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69">
        <v>2018</v>
      </c>
      <c r="R469" s="69">
        <v>9</v>
      </c>
      <c r="S469" s="89" t="s">
        <v>1535</v>
      </c>
      <c r="T469" s="7" t="str">
        <f t="shared" si="50"/>
        <v>9_2018</v>
      </c>
      <c r="U469" s="247">
        <f t="shared" si="51"/>
        <v>252.43899999999999</v>
      </c>
      <c r="V469" s="248">
        <f t="shared" si="86"/>
        <v>0.66243304941135561</v>
      </c>
      <c r="W469" s="248">
        <f t="shared" si="52"/>
        <v>0.33756695058864439</v>
      </c>
      <c r="X469" s="248">
        <f t="shared" si="87"/>
        <v>0.48966629901144693</v>
      </c>
      <c r="Y469" s="248">
        <f t="shared" si="53"/>
        <v>0.51033370098855313</v>
      </c>
      <c r="Z469" s="7"/>
    </row>
    <row r="470" spans="1:26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69">
        <v>2018</v>
      </c>
      <c r="R470" s="69">
        <v>10</v>
      </c>
      <c r="S470" s="89" t="s">
        <v>1536</v>
      </c>
      <c r="T470" s="7" t="str">
        <f t="shared" si="50"/>
        <v>10_2018</v>
      </c>
      <c r="U470" s="247">
        <f t="shared" si="51"/>
        <v>252.88499999999999</v>
      </c>
      <c r="V470" s="248">
        <f t="shared" si="86"/>
        <v>0.66243304941135561</v>
      </c>
      <c r="W470" s="248">
        <f t="shared" si="52"/>
        <v>0.33756695058864439</v>
      </c>
      <c r="X470" s="248">
        <f t="shared" si="87"/>
        <v>0.48966629901144693</v>
      </c>
      <c r="Y470" s="248">
        <f t="shared" si="53"/>
        <v>0.51033370098855313</v>
      </c>
      <c r="Z470" s="7"/>
    </row>
    <row r="471" spans="1:26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69">
        <v>2018</v>
      </c>
      <c r="R471" s="69">
        <v>11</v>
      </c>
      <c r="S471" s="89" t="s">
        <v>1537</v>
      </c>
      <c r="T471" s="7" t="str">
        <f t="shared" si="50"/>
        <v>11_2018</v>
      </c>
      <c r="U471" s="247">
        <f t="shared" si="51"/>
        <v>252.03800000000001</v>
      </c>
      <c r="V471" s="248">
        <f t="shared" si="86"/>
        <v>0.66243304941135561</v>
      </c>
      <c r="W471" s="248">
        <f t="shared" si="52"/>
        <v>0.33756695058864439</v>
      </c>
      <c r="X471" s="248">
        <f t="shared" si="87"/>
        <v>0.48966629901144693</v>
      </c>
      <c r="Y471" s="248">
        <f t="shared" si="53"/>
        <v>0.51033370098855313</v>
      </c>
      <c r="Z471" s="7"/>
    </row>
    <row r="472" spans="1:26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69">
        <v>2018</v>
      </c>
      <c r="R472" s="69">
        <v>12</v>
      </c>
      <c r="S472" s="89" t="s">
        <v>1538</v>
      </c>
      <c r="T472" s="7" t="str">
        <f t="shared" si="50"/>
        <v>12_2018</v>
      </c>
      <c r="U472" s="247">
        <f t="shared" si="51"/>
        <v>251.233</v>
      </c>
      <c r="V472" s="248">
        <f>+(V484*U472/U484)/(V484*U472/U484+W484*AVERAGE(U472,'PPI USA'!T478)/AVERAGE(U484,'PPI USA'!T490))</f>
        <v>0.66243304941135561</v>
      </c>
      <c r="W472" s="248">
        <f t="shared" si="52"/>
        <v>0.33756695058864439</v>
      </c>
      <c r="X472" s="248">
        <f>+(X484*$U472/$U484)/(X484*$U472/$U484+Y484*AVERAGE($U472,'PPI USA'!$T478)/AVERAGE($U484,'PPI USA'!$T490))</f>
        <v>0.48966629901144693</v>
      </c>
      <c r="Y472" s="248">
        <f t="shared" si="53"/>
        <v>0.51033370098855313</v>
      </c>
      <c r="Z472" s="7"/>
    </row>
    <row r="473" spans="1:26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69">
        <v>2019</v>
      </c>
      <c r="R473" s="69">
        <v>1</v>
      </c>
      <c r="S473" s="89" t="s">
        <v>1527</v>
      </c>
      <c r="T473" s="7" t="str">
        <f t="shared" si="50"/>
        <v>1_2019</v>
      </c>
      <c r="U473" s="247">
        <f t="shared" si="51"/>
        <v>251.71199999999999</v>
      </c>
      <c r="V473" s="248">
        <f t="shared" ref="V473:V483" si="88">+V474</f>
        <v>0.66813382685394751</v>
      </c>
      <c r="W473" s="248">
        <f t="shared" si="52"/>
        <v>0.33186617314605249</v>
      </c>
      <c r="X473" s="248">
        <f t="shared" ref="X473:X483" si="89">+X474</f>
        <v>0.49606517501108732</v>
      </c>
      <c r="Y473" s="248">
        <f t="shared" si="53"/>
        <v>0.50393482498891262</v>
      </c>
      <c r="Z473" s="7"/>
    </row>
    <row r="474" spans="1:26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69">
        <v>2019</v>
      </c>
      <c r="R474" s="69">
        <v>2</v>
      </c>
      <c r="S474" s="89" t="s">
        <v>1528</v>
      </c>
      <c r="T474" s="7" t="str">
        <f t="shared" si="50"/>
        <v>2_2019</v>
      </c>
      <c r="U474" s="247">
        <f t="shared" si="51"/>
        <v>252.77600000000001</v>
      </c>
      <c r="V474" s="248">
        <f t="shared" si="88"/>
        <v>0.66813382685394751</v>
      </c>
      <c r="W474" s="248">
        <f t="shared" si="52"/>
        <v>0.33186617314605249</v>
      </c>
      <c r="X474" s="248">
        <f t="shared" si="89"/>
        <v>0.49606517501108732</v>
      </c>
      <c r="Y474" s="248">
        <f t="shared" si="53"/>
        <v>0.50393482498891262</v>
      </c>
      <c r="Z474" s="7"/>
    </row>
    <row r="475" spans="1:26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69">
        <v>2019</v>
      </c>
      <c r="R475" s="69">
        <v>3</v>
      </c>
      <c r="S475" s="89" t="s">
        <v>1529</v>
      </c>
      <c r="T475" s="7" t="str">
        <f t="shared" si="50"/>
        <v>3_2019</v>
      </c>
      <c r="U475" s="247">
        <f t="shared" si="51"/>
        <v>254.202</v>
      </c>
      <c r="V475" s="248">
        <f t="shared" si="88"/>
        <v>0.66813382685394751</v>
      </c>
      <c r="W475" s="248">
        <f t="shared" si="52"/>
        <v>0.33186617314605249</v>
      </c>
      <c r="X475" s="248">
        <f t="shared" si="89"/>
        <v>0.49606517501108732</v>
      </c>
      <c r="Y475" s="248">
        <f t="shared" si="53"/>
        <v>0.50393482498891262</v>
      </c>
      <c r="Z475" s="7"/>
    </row>
    <row r="476" spans="1:26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69">
        <v>2019</v>
      </c>
      <c r="R476" s="69">
        <v>4</v>
      </c>
      <c r="S476" s="89" t="s">
        <v>1530</v>
      </c>
      <c r="T476" s="7" t="str">
        <f t="shared" si="50"/>
        <v>4_2019</v>
      </c>
      <c r="U476" s="247">
        <f t="shared" si="51"/>
        <v>255.548</v>
      </c>
      <c r="V476" s="248">
        <f t="shared" si="88"/>
        <v>0.66813382685394751</v>
      </c>
      <c r="W476" s="248">
        <f t="shared" si="52"/>
        <v>0.33186617314605249</v>
      </c>
      <c r="X476" s="248">
        <f t="shared" si="89"/>
        <v>0.49606517501108732</v>
      </c>
      <c r="Y476" s="248">
        <f t="shared" si="53"/>
        <v>0.50393482498891262</v>
      </c>
      <c r="Z476" s="7"/>
    </row>
    <row r="477" spans="1:26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69">
        <v>2019</v>
      </c>
      <c r="R477" s="69">
        <v>5</v>
      </c>
      <c r="S477" s="89" t="s">
        <v>1531</v>
      </c>
      <c r="T477" s="7" t="str">
        <f t="shared" si="50"/>
        <v>5_2019</v>
      </c>
      <c r="U477" s="247">
        <f t="shared" si="51"/>
        <v>256.09199999999998</v>
      </c>
      <c r="V477" s="248">
        <f t="shared" si="88"/>
        <v>0.66813382685394751</v>
      </c>
      <c r="W477" s="248">
        <f t="shared" si="52"/>
        <v>0.33186617314605249</v>
      </c>
      <c r="X477" s="248">
        <f t="shared" si="89"/>
        <v>0.49606517501108732</v>
      </c>
      <c r="Y477" s="248">
        <f t="shared" si="53"/>
        <v>0.50393482498891262</v>
      </c>
      <c r="Z477" s="7"/>
    </row>
    <row r="478" spans="1:26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69">
        <v>2019</v>
      </c>
      <c r="R478" s="69">
        <v>6</v>
      </c>
      <c r="S478" s="89" t="s">
        <v>1532</v>
      </c>
      <c r="T478" s="7" t="str">
        <f t="shared" si="50"/>
        <v>6_2019</v>
      </c>
      <c r="U478" s="247">
        <f t="shared" si="51"/>
        <v>256.14299999999997</v>
      </c>
      <c r="V478" s="248">
        <f t="shared" si="88"/>
        <v>0.66813382685394751</v>
      </c>
      <c r="W478" s="248">
        <f t="shared" si="52"/>
        <v>0.33186617314605249</v>
      </c>
      <c r="X478" s="248">
        <f t="shared" si="89"/>
        <v>0.49606517501108732</v>
      </c>
      <c r="Y478" s="248">
        <f t="shared" si="53"/>
        <v>0.50393482498891262</v>
      </c>
      <c r="Z478" s="7"/>
    </row>
    <row r="479" spans="1:26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69">
        <v>2019</v>
      </c>
      <c r="R479" s="69">
        <v>7</v>
      </c>
      <c r="S479" s="89" t="s">
        <v>1533</v>
      </c>
      <c r="T479" s="7" t="str">
        <f t="shared" si="50"/>
        <v>7_2019</v>
      </c>
      <c r="U479" s="247">
        <f t="shared" si="51"/>
        <v>256.57100000000003</v>
      </c>
      <c r="V479" s="248">
        <f t="shared" si="88"/>
        <v>0.66813382685394751</v>
      </c>
      <c r="W479" s="248">
        <f t="shared" si="52"/>
        <v>0.33186617314605249</v>
      </c>
      <c r="X479" s="248">
        <f t="shared" si="89"/>
        <v>0.49606517501108732</v>
      </c>
      <c r="Y479" s="248">
        <f t="shared" si="53"/>
        <v>0.50393482498891262</v>
      </c>
      <c r="Z479" s="7"/>
    </row>
    <row r="480" spans="1:26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69">
        <v>2019</v>
      </c>
      <c r="R480" s="69">
        <v>8</v>
      </c>
      <c r="S480" s="89" t="s">
        <v>1534</v>
      </c>
      <c r="T480" s="7" t="str">
        <f t="shared" si="50"/>
        <v>8_2019</v>
      </c>
      <c r="U480" s="247">
        <f t="shared" si="51"/>
        <v>256.55799999999999</v>
      </c>
      <c r="V480" s="248">
        <f t="shared" si="88"/>
        <v>0.66813382685394751</v>
      </c>
      <c r="W480" s="248">
        <f t="shared" si="52"/>
        <v>0.33186617314605249</v>
      </c>
      <c r="X480" s="248">
        <f t="shared" si="89"/>
        <v>0.49606517501108732</v>
      </c>
      <c r="Y480" s="248">
        <f t="shared" si="53"/>
        <v>0.50393482498891262</v>
      </c>
      <c r="Z480" s="7"/>
    </row>
    <row r="481" spans="1:26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69">
        <v>2019</v>
      </c>
      <c r="R481" s="69">
        <v>9</v>
      </c>
      <c r="S481" s="89" t="s">
        <v>1535</v>
      </c>
      <c r="T481" s="7" t="str">
        <f t="shared" si="50"/>
        <v>9_2019</v>
      </c>
      <c r="U481" s="247">
        <f t="shared" si="51"/>
        <v>256.75900000000001</v>
      </c>
      <c r="V481" s="248">
        <f t="shared" si="88"/>
        <v>0.66813382685394751</v>
      </c>
      <c r="W481" s="248">
        <f t="shared" si="52"/>
        <v>0.33186617314605249</v>
      </c>
      <c r="X481" s="248">
        <f t="shared" si="89"/>
        <v>0.49606517501108732</v>
      </c>
      <c r="Y481" s="248">
        <f t="shared" si="53"/>
        <v>0.50393482498891262</v>
      </c>
      <c r="Z481" s="7"/>
    </row>
    <row r="482" spans="1:26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69">
        <v>2019</v>
      </c>
      <c r="R482" s="69">
        <v>10</v>
      </c>
      <c r="S482" s="89" t="s">
        <v>1536</v>
      </c>
      <c r="T482" s="7" t="str">
        <f t="shared" si="50"/>
        <v>10_2019</v>
      </c>
      <c r="U482" s="247">
        <f t="shared" si="51"/>
        <v>257.346</v>
      </c>
      <c r="V482" s="248">
        <f t="shared" si="88"/>
        <v>0.66813382685394751</v>
      </c>
      <c r="W482" s="248">
        <f t="shared" si="52"/>
        <v>0.33186617314605249</v>
      </c>
      <c r="X482" s="248">
        <f t="shared" si="89"/>
        <v>0.49606517501108732</v>
      </c>
      <c r="Y482" s="248">
        <f t="shared" si="53"/>
        <v>0.50393482498891262</v>
      </c>
      <c r="Z482" s="7"/>
    </row>
    <row r="483" spans="1:26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69">
        <v>2019</v>
      </c>
      <c r="R483" s="69">
        <v>11</v>
      </c>
      <c r="S483" s="89" t="s">
        <v>1537</v>
      </c>
      <c r="T483" s="7" t="str">
        <f t="shared" si="50"/>
        <v>11_2019</v>
      </c>
      <c r="U483" s="247">
        <f t="shared" si="51"/>
        <v>257.20800000000003</v>
      </c>
      <c r="V483" s="248">
        <f t="shared" si="88"/>
        <v>0.66813382685394751</v>
      </c>
      <c r="W483" s="248">
        <f t="shared" si="52"/>
        <v>0.33186617314605249</v>
      </c>
      <c r="X483" s="248">
        <f t="shared" si="89"/>
        <v>0.49606517501108732</v>
      </c>
      <c r="Y483" s="248">
        <f t="shared" si="53"/>
        <v>0.50393482498891262</v>
      </c>
      <c r="Z483" s="7"/>
    </row>
    <row r="484" spans="1:26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69">
        <v>2019</v>
      </c>
      <c r="R484" s="69">
        <v>12</v>
      </c>
      <c r="S484" s="89" t="s">
        <v>1538</v>
      </c>
      <c r="T484" s="7" t="str">
        <f t="shared" si="50"/>
        <v>12_2019</v>
      </c>
      <c r="U484" s="247">
        <f t="shared" si="51"/>
        <v>256.97399999999999</v>
      </c>
      <c r="V484" s="248">
        <f>+(V496*$U484/$U496)/(V496*$U484/$U496+W496*AVERAGE($U484,'PPI USA'!$T490)/AVERAGE($U496,'PPI USA'!$T502))</f>
        <v>0.66813382685394751</v>
      </c>
      <c r="W484" s="248">
        <f t="shared" si="52"/>
        <v>0.33186617314605249</v>
      </c>
      <c r="X484" s="248">
        <f>+(X496*$U484/$U496)/(X496*$U484/$U496+Y496*AVERAGE($U484,'PPI USA'!$T490)/AVERAGE($U496,'PPI USA'!$T502))</f>
        <v>0.49606517501108732</v>
      </c>
      <c r="Y484" s="248">
        <f t="shared" si="53"/>
        <v>0.50393482498891262</v>
      </c>
      <c r="Z484" s="7"/>
    </row>
    <row r="485" spans="1:26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69">
        <v>2020</v>
      </c>
      <c r="R485" s="69">
        <v>1</v>
      </c>
      <c r="S485" s="89" t="s">
        <v>1527</v>
      </c>
      <c r="T485" s="7" t="str">
        <f t="shared" si="50"/>
        <v>1_2020</v>
      </c>
      <c r="U485" s="247">
        <f t="shared" si="51"/>
        <v>257.971</v>
      </c>
      <c r="V485" s="248">
        <f t="shared" ref="V485:V495" si="90">+V486</f>
        <v>0.66927315445418356</v>
      </c>
      <c r="W485" s="248">
        <f t="shared" si="52"/>
        <v>0.33072684554581644</v>
      </c>
      <c r="X485" s="248">
        <f t="shared" ref="X485:X495" si="91">+X486</f>
        <v>0.49735081517553736</v>
      </c>
      <c r="Y485" s="248">
        <f t="shared" si="53"/>
        <v>0.50264918482446264</v>
      </c>
      <c r="Z485" s="7"/>
    </row>
    <row r="486" spans="1:26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69">
        <v>2020</v>
      </c>
      <c r="R486" s="69">
        <v>2</v>
      </c>
      <c r="S486" s="89" t="s">
        <v>1528</v>
      </c>
      <c r="T486" s="7" t="str">
        <f t="shared" si="50"/>
        <v>2_2020</v>
      </c>
      <c r="U486" s="247">
        <f t="shared" si="51"/>
        <v>258.678</v>
      </c>
      <c r="V486" s="248">
        <f t="shared" si="90"/>
        <v>0.66927315445418356</v>
      </c>
      <c r="W486" s="248">
        <f t="shared" si="52"/>
        <v>0.33072684554581644</v>
      </c>
      <c r="X486" s="248">
        <f t="shared" si="91"/>
        <v>0.49735081517553736</v>
      </c>
      <c r="Y486" s="248">
        <f t="shared" si="53"/>
        <v>0.50264918482446264</v>
      </c>
      <c r="Z486" s="7"/>
    </row>
    <row r="487" spans="1:26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69">
        <v>2020</v>
      </c>
      <c r="R487" s="69">
        <v>3</v>
      </c>
      <c r="S487" s="89" t="s">
        <v>1529</v>
      </c>
      <c r="T487" s="7" t="str">
        <f t="shared" si="50"/>
        <v>3_2020</v>
      </c>
      <c r="U487" s="247">
        <f t="shared" si="51"/>
        <v>258.11500000000001</v>
      </c>
      <c r="V487" s="248">
        <f t="shared" si="90"/>
        <v>0.66927315445418356</v>
      </c>
      <c r="W487" s="248">
        <f t="shared" si="52"/>
        <v>0.33072684554581644</v>
      </c>
      <c r="X487" s="248">
        <f t="shared" si="91"/>
        <v>0.49735081517553736</v>
      </c>
      <c r="Y487" s="248">
        <f t="shared" si="53"/>
        <v>0.50264918482446264</v>
      </c>
      <c r="Z487" s="7"/>
    </row>
    <row r="488" spans="1:26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69">
        <v>2020</v>
      </c>
      <c r="R488" s="69">
        <v>4</v>
      </c>
      <c r="S488" s="89" t="s">
        <v>1530</v>
      </c>
      <c r="T488" s="7" t="str">
        <f t="shared" si="50"/>
        <v>4_2020</v>
      </c>
      <c r="U488" s="247">
        <f t="shared" si="51"/>
        <v>256.38900000000001</v>
      </c>
      <c r="V488" s="248">
        <f t="shared" si="90"/>
        <v>0.66927315445418356</v>
      </c>
      <c r="W488" s="248">
        <f t="shared" si="52"/>
        <v>0.33072684554581644</v>
      </c>
      <c r="X488" s="248">
        <f t="shared" si="91"/>
        <v>0.49735081517553736</v>
      </c>
      <c r="Y488" s="248">
        <f t="shared" si="53"/>
        <v>0.50264918482446264</v>
      </c>
      <c r="Z488" s="7"/>
    </row>
    <row r="489" spans="1:26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69">
        <v>2020</v>
      </c>
      <c r="R489" s="69">
        <v>5</v>
      </c>
      <c r="S489" s="89" t="s">
        <v>1531</v>
      </c>
      <c r="T489" s="7" t="str">
        <f t="shared" si="50"/>
        <v>5_2020</v>
      </c>
      <c r="U489" s="247">
        <f t="shared" si="51"/>
        <v>256.39400000000001</v>
      </c>
      <c r="V489" s="248">
        <f t="shared" si="90"/>
        <v>0.66927315445418356</v>
      </c>
      <c r="W489" s="248">
        <f t="shared" si="52"/>
        <v>0.33072684554581644</v>
      </c>
      <c r="X489" s="248">
        <f t="shared" si="91"/>
        <v>0.49735081517553736</v>
      </c>
      <c r="Y489" s="248">
        <f t="shared" si="53"/>
        <v>0.50264918482446264</v>
      </c>
      <c r="Z489" s="7"/>
    </row>
    <row r="490" spans="1:26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69">
        <v>2020</v>
      </c>
      <c r="R490" s="69">
        <v>6</v>
      </c>
      <c r="S490" s="89" t="s">
        <v>1532</v>
      </c>
      <c r="T490" s="7" t="str">
        <f t="shared" si="50"/>
        <v>6_2020</v>
      </c>
      <c r="U490" s="247">
        <f t="shared" si="51"/>
        <v>257.79700000000003</v>
      </c>
      <c r="V490" s="248">
        <f t="shared" si="90"/>
        <v>0.66927315445418356</v>
      </c>
      <c r="W490" s="248">
        <f t="shared" si="52"/>
        <v>0.33072684554581644</v>
      </c>
      <c r="X490" s="248">
        <f t="shared" si="91"/>
        <v>0.49735081517553736</v>
      </c>
      <c r="Y490" s="248">
        <f t="shared" si="53"/>
        <v>0.50264918482446264</v>
      </c>
      <c r="Z490" s="7"/>
    </row>
    <row r="491" spans="1:26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69">
        <v>2020</v>
      </c>
      <c r="R491" s="69">
        <v>7</v>
      </c>
      <c r="S491" s="89" t="s">
        <v>1533</v>
      </c>
      <c r="T491" s="7" t="str">
        <f t="shared" si="50"/>
        <v>7_2020</v>
      </c>
      <c r="U491" s="247">
        <f t="shared" si="51"/>
        <v>259.101</v>
      </c>
      <c r="V491" s="248">
        <f t="shared" si="90"/>
        <v>0.66927315445418356</v>
      </c>
      <c r="W491" s="248">
        <f t="shared" si="52"/>
        <v>0.33072684554581644</v>
      </c>
      <c r="X491" s="248">
        <f t="shared" si="91"/>
        <v>0.49735081517553736</v>
      </c>
      <c r="Y491" s="248">
        <f t="shared" si="53"/>
        <v>0.50264918482446264</v>
      </c>
      <c r="Z491" s="7"/>
    </row>
    <row r="492" spans="1:26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69">
        <v>2020</v>
      </c>
      <c r="R492" s="69">
        <v>8</v>
      </c>
      <c r="S492" s="89" t="s">
        <v>1534</v>
      </c>
      <c r="T492" s="7" t="str">
        <f t="shared" si="50"/>
        <v>8_2020</v>
      </c>
      <c r="U492" s="247">
        <f t="shared" si="51"/>
        <v>259.91800000000001</v>
      </c>
      <c r="V492" s="248">
        <f t="shared" si="90"/>
        <v>0.66927315445418356</v>
      </c>
      <c r="W492" s="248">
        <f t="shared" si="52"/>
        <v>0.33072684554581644</v>
      </c>
      <c r="X492" s="248">
        <f t="shared" si="91"/>
        <v>0.49735081517553736</v>
      </c>
      <c r="Y492" s="248">
        <f t="shared" si="53"/>
        <v>0.50264918482446264</v>
      </c>
      <c r="Z492" s="7"/>
    </row>
    <row r="493" spans="1:26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69">
        <v>2020</v>
      </c>
      <c r="R493" s="69">
        <v>9</v>
      </c>
      <c r="S493" s="89" t="s">
        <v>1535</v>
      </c>
      <c r="T493" s="7" t="str">
        <f t="shared" si="50"/>
        <v>9_2020</v>
      </c>
      <c r="U493" s="247">
        <f t="shared" si="51"/>
        <v>260.27999999999997</v>
      </c>
      <c r="V493" s="248">
        <f t="shared" si="90"/>
        <v>0.66927315445418356</v>
      </c>
      <c r="W493" s="248">
        <f t="shared" si="52"/>
        <v>0.33072684554581644</v>
      </c>
      <c r="X493" s="248">
        <f t="shared" si="91"/>
        <v>0.49735081517553736</v>
      </c>
      <c r="Y493" s="248">
        <f t="shared" si="53"/>
        <v>0.50264918482446264</v>
      </c>
      <c r="Z493" s="7"/>
    </row>
    <row r="494" spans="1:26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69">
        <v>2020</v>
      </c>
      <c r="R494" s="69">
        <v>10</v>
      </c>
      <c r="S494" s="89" t="s">
        <v>1536</v>
      </c>
      <c r="T494" s="7" t="str">
        <f t="shared" si="50"/>
        <v>10_2020</v>
      </c>
      <c r="U494" s="247">
        <f t="shared" si="51"/>
        <v>260.38799999999998</v>
      </c>
      <c r="V494" s="248">
        <f t="shared" si="90"/>
        <v>0.66927315445418356</v>
      </c>
      <c r="W494" s="248">
        <f t="shared" si="52"/>
        <v>0.33072684554581644</v>
      </c>
      <c r="X494" s="248">
        <f t="shared" si="91"/>
        <v>0.49735081517553736</v>
      </c>
      <c r="Y494" s="248">
        <f t="shared" si="53"/>
        <v>0.50264918482446264</v>
      </c>
      <c r="Z494" s="7"/>
    </row>
    <row r="495" spans="1:26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69">
        <v>2020</v>
      </c>
      <c r="R495" s="69">
        <v>11</v>
      </c>
      <c r="S495" s="89" t="s">
        <v>1537</v>
      </c>
      <c r="T495" s="7" t="str">
        <f t="shared" si="50"/>
        <v>11_2020</v>
      </c>
      <c r="U495" s="247">
        <f t="shared" si="51"/>
        <v>260.22899999999998</v>
      </c>
      <c r="V495" s="248">
        <f t="shared" si="90"/>
        <v>0.66927315445418356</v>
      </c>
      <c r="W495" s="248">
        <f t="shared" si="52"/>
        <v>0.33072684554581644</v>
      </c>
      <c r="X495" s="248">
        <f t="shared" si="91"/>
        <v>0.49735081517553736</v>
      </c>
      <c r="Y495" s="248">
        <f t="shared" si="53"/>
        <v>0.50264918482446264</v>
      </c>
      <c r="Z495" s="7"/>
    </row>
    <row r="496" spans="1:26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69">
        <v>2020</v>
      </c>
      <c r="R496" s="69">
        <v>12</v>
      </c>
      <c r="S496" s="89" t="s">
        <v>1538</v>
      </c>
      <c r="T496" s="7" t="str">
        <f t="shared" si="50"/>
        <v>12_2020</v>
      </c>
      <c r="U496" s="247">
        <f t="shared" si="51"/>
        <v>260.47399999999999</v>
      </c>
      <c r="V496" s="248">
        <f>+(V508*$U496/$U508)/(V508*$U496/$U508+W508*AVERAGE($U496,'PPI USA'!$T502)/AVERAGE($U508,'PPI USA'!$T514))</f>
        <v>0.66927315445418356</v>
      </c>
      <c r="W496" s="248">
        <f t="shared" si="52"/>
        <v>0.33072684554581644</v>
      </c>
      <c r="X496" s="248">
        <f>+(X508*$U496/$U508)/(X508*$U496/$U508+Y508*AVERAGE($U496,'PPI USA'!$T502)/AVERAGE($U508,'PPI USA'!$T514))</f>
        <v>0.49735081517553736</v>
      </c>
      <c r="Y496" s="248">
        <f t="shared" si="53"/>
        <v>0.50264918482446264</v>
      </c>
      <c r="Z496" s="7"/>
    </row>
    <row r="497" spans="1:26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69">
        <v>2021</v>
      </c>
      <c r="R497" s="69">
        <v>1</v>
      </c>
      <c r="S497" s="89" t="s">
        <v>1527</v>
      </c>
      <c r="T497" s="7" t="str">
        <f t="shared" si="50"/>
        <v>1_2021</v>
      </c>
      <c r="U497" s="247">
        <f t="shared" si="51"/>
        <v>261.58199999999999</v>
      </c>
      <c r="V497" s="248">
        <f t="shared" ref="V497:V507" si="92">+$V$508</f>
        <v>0.66846110729831154</v>
      </c>
      <c r="W497" s="248">
        <f t="shared" ref="W497:W507" si="93">+$W$508</f>
        <v>0.33153889270168846</v>
      </c>
      <c r="X497" s="248">
        <f t="shared" ref="X497:X507" si="94">+$X$508</f>
        <v>0.49643425205632991</v>
      </c>
      <c r="Y497" s="248">
        <f t="shared" ref="Y497:Y507" si="95">+$Y$508</f>
        <v>0.50356574794367015</v>
      </c>
      <c r="Z497" s="7"/>
    </row>
    <row r="498" spans="1:26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69">
        <v>2021</v>
      </c>
      <c r="R498" s="69">
        <v>2</v>
      </c>
      <c r="S498" s="89" t="s">
        <v>1528</v>
      </c>
      <c r="T498" s="7" t="str">
        <f t="shared" si="50"/>
        <v>2_2021</v>
      </c>
      <c r="U498" s="247">
        <f t="shared" si="51"/>
        <v>263.01400000000001</v>
      </c>
      <c r="V498" s="248">
        <f t="shared" si="92"/>
        <v>0.66846110729831154</v>
      </c>
      <c r="W498" s="248">
        <f t="shared" si="93"/>
        <v>0.33153889270168846</v>
      </c>
      <c r="X498" s="248">
        <f t="shared" si="94"/>
        <v>0.49643425205632991</v>
      </c>
      <c r="Y498" s="248">
        <f t="shared" si="95"/>
        <v>0.50356574794367015</v>
      </c>
      <c r="Z498" s="7"/>
    </row>
    <row r="499" spans="1:26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69">
        <v>2021</v>
      </c>
      <c r="R499" s="69">
        <v>3</v>
      </c>
      <c r="S499" s="89" t="s">
        <v>1529</v>
      </c>
      <c r="T499" s="7" t="str">
        <f t="shared" si="50"/>
        <v>3_2021</v>
      </c>
      <c r="U499" s="247">
        <f t="shared" si="51"/>
        <v>264.87700000000001</v>
      </c>
      <c r="V499" s="248">
        <f t="shared" si="92"/>
        <v>0.66846110729831154</v>
      </c>
      <c r="W499" s="248">
        <f t="shared" si="93"/>
        <v>0.33153889270168846</v>
      </c>
      <c r="X499" s="248">
        <f t="shared" si="94"/>
        <v>0.49643425205632991</v>
      </c>
      <c r="Y499" s="248">
        <f t="shared" si="95"/>
        <v>0.50356574794367015</v>
      </c>
      <c r="Z499" s="7"/>
    </row>
    <row r="500" spans="1:26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69">
        <v>2021</v>
      </c>
      <c r="R500" s="69">
        <v>4</v>
      </c>
      <c r="S500" s="89" t="s">
        <v>1530</v>
      </c>
      <c r="T500" s="7" t="str">
        <f t="shared" si="50"/>
        <v>4_2021</v>
      </c>
      <c r="U500" s="247">
        <f t="shared" si="51"/>
        <v>267.05399999999997</v>
      </c>
      <c r="V500" s="248">
        <f t="shared" si="92"/>
        <v>0.66846110729831154</v>
      </c>
      <c r="W500" s="248">
        <f t="shared" si="93"/>
        <v>0.33153889270168846</v>
      </c>
      <c r="X500" s="248">
        <f t="shared" si="94"/>
        <v>0.49643425205632991</v>
      </c>
      <c r="Y500" s="248">
        <f t="shared" si="95"/>
        <v>0.50356574794367015</v>
      </c>
      <c r="Z500" s="7"/>
    </row>
    <row r="501" spans="1:26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69">
        <v>2021</v>
      </c>
      <c r="R501" s="69">
        <v>5</v>
      </c>
      <c r="S501" s="89" t="s">
        <v>1531</v>
      </c>
      <c r="T501" s="7" t="str">
        <f t="shared" si="50"/>
        <v>5_2021</v>
      </c>
      <c r="U501" s="247">
        <f t="shared" si="51"/>
        <v>269.19499999999999</v>
      </c>
      <c r="V501" s="248">
        <f t="shared" si="92"/>
        <v>0.66846110729831154</v>
      </c>
      <c r="W501" s="248">
        <f t="shared" si="93"/>
        <v>0.33153889270168846</v>
      </c>
      <c r="X501" s="248">
        <f t="shared" si="94"/>
        <v>0.49643425205632991</v>
      </c>
      <c r="Y501" s="248">
        <f t="shared" si="95"/>
        <v>0.50356574794367015</v>
      </c>
      <c r="Z501" s="7"/>
    </row>
    <row r="502" spans="1:26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69">
        <v>2021</v>
      </c>
      <c r="R502" s="69">
        <v>6</v>
      </c>
      <c r="S502" s="89" t="s">
        <v>1532</v>
      </c>
      <c r="T502" s="7" t="str">
        <f t="shared" si="50"/>
        <v>6_2021</v>
      </c>
      <c r="U502" s="247">
        <f t="shared" si="51"/>
        <v>271.69600000000003</v>
      </c>
      <c r="V502" s="248">
        <f t="shared" si="92"/>
        <v>0.66846110729831154</v>
      </c>
      <c r="W502" s="248">
        <f t="shared" si="93"/>
        <v>0.33153889270168846</v>
      </c>
      <c r="X502" s="248">
        <f t="shared" si="94"/>
        <v>0.49643425205632991</v>
      </c>
      <c r="Y502" s="248">
        <f t="shared" si="95"/>
        <v>0.50356574794367015</v>
      </c>
      <c r="Z502" s="7"/>
    </row>
    <row r="503" spans="1:26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69">
        <v>2021</v>
      </c>
      <c r="R503" s="69">
        <v>7</v>
      </c>
      <c r="S503" s="89" t="s">
        <v>1533</v>
      </c>
      <c r="T503" s="7" t="str">
        <f t="shared" si="50"/>
        <v>7_2021</v>
      </c>
      <c r="U503" s="247">
        <f t="shared" si="51"/>
        <v>273.00299999999999</v>
      </c>
      <c r="V503" s="248">
        <f t="shared" si="92"/>
        <v>0.66846110729831154</v>
      </c>
      <c r="W503" s="248">
        <f t="shared" si="93"/>
        <v>0.33153889270168846</v>
      </c>
      <c r="X503" s="248">
        <f t="shared" si="94"/>
        <v>0.49643425205632991</v>
      </c>
      <c r="Y503" s="248">
        <f t="shared" si="95"/>
        <v>0.50356574794367015</v>
      </c>
      <c r="Z503" s="7"/>
    </row>
    <row r="504" spans="1:26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69">
        <v>2021</v>
      </c>
      <c r="R504" s="69">
        <v>8</v>
      </c>
      <c r="S504" s="89" t="s">
        <v>1534</v>
      </c>
      <c r="T504" s="7" t="str">
        <f t="shared" si="50"/>
        <v>8_2021</v>
      </c>
      <c r="U504" s="247">
        <f t="shared" si="51"/>
        <v>273.56700000000001</v>
      </c>
      <c r="V504" s="248">
        <f t="shared" si="92"/>
        <v>0.66846110729831154</v>
      </c>
      <c r="W504" s="248">
        <f t="shared" si="93"/>
        <v>0.33153889270168846</v>
      </c>
      <c r="X504" s="248">
        <f t="shared" si="94"/>
        <v>0.49643425205632991</v>
      </c>
      <c r="Y504" s="248">
        <f t="shared" si="95"/>
        <v>0.50356574794367015</v>
      </c>
      <c r="Z504" s="7"/>
    </row>
    <row r="505" spans="1:26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69">
        <v>2021</v>
      </c>
      <c r="R505" s="69">
        <v>9</v>
      </c>
      <c r="S505" s="89" t="s">
        <v>1535</v>
      </c>
      <c r="T505" s="7" t="str">
        <f t="shared" si="50"/>
        <v>9_2021</v>
      </c>
      <c r="U505" s="247">
        <f t="shared" si="51"/>
        <v>274.31</v>
      </c>
      <c r="V505" s="248">
        <f t="shared" si="92"/>
        <v>0.66846110729831154</v>
      </c>
      <c r="W505" s="248">
        <f t="shared" si="93"/>
        <v>0.33153889270168846</v>
      </c>
      <c r="X505" s="248">
        <f t="shared" si="94"/>
        <v>0.49643425205632991</v>
      </c>
      <c r="Y505" s="248">
        <f t="shared" si="95"/>
        <v>0.50356574794367015</v>
      </c>
      <c r="Z505" s="7"/>
    </row>
    <row r="506" spans="1:26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69">
        <v>2021</v>
      </c>
      <c r="R506" s="69">
        <v>10</v>
      </c>
      <c r="S506" s="89" t="s">
        <v>1536</v>
      </c>
      <c r="T506" s="7" t="str">
        <f t="shared" si="50"/>
        <v>10_2021</v>
      </c>
      <c r="U506" s="247">
        <f t="shared" si="51"/>
        <v>276.589</v>
      </c>
      <c r="V506" s="248">
        <f t="shared" si="92"/>
        <v>0.66846110729831154</v>
      </c>
      <c r="W506" s="248">
        <f t="shared" si="93"/>
        <v>0.33153889270168846</v>
      </c>
      <c r="X506" s="248">
        <f t="shared" si="94"/>
        <v>0.49643425205632991</v>
      </c>
      <c r="Y506" s="248">
        <f t="shared" si="95"/>
        <v>0.50356574794367015</v>
      </c>
      <c r="Z506" s="7"/>
    </row>
    <row r="507" spans="1:26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69">
        <v>2021</v>
      </c>
      <c r="R507" s="69">
        <v>11</v>
      </c>
      <c r="S507" s="89" t="s">
        <v>1537</v>
      </c>
      <c r="T507" s="7" t="str">
        <f t="shared" si="50"/>
        <v>11_2021</v>
      </c>
      <c r="U507" s="247">
        <f t="shared" si="51"/>
        <v>277.94799999999998</v>
      </c>
      <c r="V507" s="248">
        <f t="shared" si="92"/>
        <v>0.66846110729831154</v>
      </c>
      <c r="W507" s="248">
        <f t="shared" si="93"/>
        <v>0.33153889270168846</v>
      </c>
      <c r="X507" s="248">
        <f t="shared" si="94"/>
        <v>0.49643425205632991</v>
      </c>
      <c r="Y507" s="248">
        <f t="shared" si="95"/>
        <v>0.50356574794367015</v>
      </c>
      <c r="Z507" s="7"/>
    </row>
    <row r="508" spans="1:26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69">
        <v>2021</v>
      </c>
      <c r="R508" s="69">
        <v>12</v>
      </c>
      <c r="S508" s="89" t="s">
        <v>1538</v>
      </c>
      <c r="T508" s="7" t="str">
        <f t="shared" si="50"/>
        <v>12_2021</v>
      </c>
      <c r="U508" s="247">
        <f t="shared" si="51"/>
        <v>278.80200000000002</v>
      </c>
      <c r="V508" s="248">
        <f>+(V520*$U508/$U520)/(V520*$U508/$U520+W520*AVERAGE($U508,'PPI USA'!$T514)/AVERAGE($U520,'PPI USA'!$T526))</f>
        <v>0.66846110729831154</v>
      </c>
      <c r="W508" s="248">
        <f>1-V508</f>
        <v>0.33153889270168846</v>
      </c>
      <c r="X508" s="248">
        <f>+(X520*$U508/$U520)/(X520*$U508/$U520+Y520*AVERAGE($U508,'PPI USA'!$T514)/AVERAGE($U520,'PPI USA'!$T526))</f>
        <v>0.49643425205632991</v>
      </c>
      <c r="Y508" s="248">
        <f>1-X508</f>
        <v>0.50356574794367015</v>
      </c>
      <c r="Z508" s="7"/>
    </row>
    <row r="509" spans="1:26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69">
        <v>2022</v>
      </c>
      <c r="R509" s="69">
        <v>1</v>
      </c>
      <c r="S509" s="89" t="s">
        <v>1527</v>
      </c>
      <c r="T509" s="7" t="str">
        <f t="shared" si="50"/>
        <v>1_2022</v>
      </c>
      <c r="U509" s="247">
        <f t="shared" si="51"/>
        <v>281.14800000000002</v>
      </c>
      <c r="V509" s="248">
        <f t="shared" ref="V509:V519" si="96">+$V$520</f>
        <v>0.664050031080343</v>
      </c>
      <c r="W509" s="248">
        <f t="shared" ref="W509:W519" si="97">+$W$520</f>
        <v>0.335949968919657</v>
      </c>
      <c r="X509" s="248">
        <f t="shared" ref="X509:X519" si="98">+$X$520</f>
        <v>0.49147555720133557</v>
      </c>
      <c r="Y509" s="248">
        <f t="shared" ref="Y509:Y519" si="99">+$Y$520</f>
        <v>0.50852444279866438</v>
      </c>
      <c r="Z509" s="7"/>
    </row>
    <row r="510" spans="1:26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69">
        <v>2022</v>
      </c>
      <c r="R510" s="69">
        <v>2</v>
      </c>
      <c r="S510" s="89" t="s">
        <v>1528</v>
      </c>
      <c r="T510" s="7" t="str">
        <f t="shared" si="50"/>
        <v>2_2022</v>
      </c>
      <c r="U510" s="247">
        <f t="shared" si="51"/>
        <v>283.71600000000001</v>
      </c>
      <c r="V510" s="248">
        <f t="shared" si="96"/>
        <v>0.664050031080343</v>
      </c>
      <c r="W510" s="248">
        <f t="shared" si="97"/>
        <v>0.335949968919657</v>
      </c>
      <c r="X510" s="248">
        <f t="shared" si="98"/>
        <v>0.49147555720133557</v>
      </c>
      <c r="Y510" s="248">
        <f t="shared" si="99"/>
        <v>0.50852444279866438</v>
      </c>
      <c r="Z510" s="7"/>
    </row>
    <row r="511" spans="1:26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69">
        <v>2022</v>
      </c>
      <c r="R511" s="69">
        <v>3</v>
      </c>
      <c r="S511" s="89" t="s">
        <v>1529</v>
      </c>
      <c r="T511" s="7" t="str">
        <f t="shared" si="50"/>
        <v>3_2022</v>
      </c>
      <c r="U511" s="247">
        <f t="shared" si="51"/>
        <v>287.50400000000002</v>
      </c>
      <c r="V511" s="248">
        <f t="shared" si="96"/>
        <v>0.664050031080343</v>
      </c>
      <c r="W511" s="248">
        <f t="shared" si="97"/>
        <v>0.335949968919657</v>
      </c>
      <c r="X511" s="248">
        <f t="shared" si="98"/>
        <v>0.49147555720133557</v>
      </c>
      <c r="Y511" s="248">
        <f t="shared" si="99"/>
        <v>0.50852444279866438</v>
      </c>
      <c r="Z511" s="7"/>
    </row>
    <row r="512" spans="1:26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69">
        <v>2022</v>
      </c>
      <c r="R512" s="69">
        <v>4</v>
      </c>
      <c r="S512" s="89" t="s">
        <v>1530</v>
      </c>
      <c r="T512" s="7" t="str">
        <f t="shared" si="50"/>
        <v>4_2022</v>
      </c>
      <c r="U512" s="247">
        <f t="shared" si="51"/>
        <v>289.10899999999998</v>
      </c>
      <c r="V512" s="248">
        <f t="shared" si="96"/>
        <v>0.664050031080343</v>
      </c>
      <c r="W512" s="248">
        <f t="shared" si="97"/>
        <v>0.335949968919657</v>
      </c>
      <c r="X512" s="248">
        <f t="shared" si="98"/>
        <v>0.49147555720133557</v>
      </c>
      <c r="Y512" s="248">
        <f t="shared" si="99"/>
        <v>0.50852444279866438</v>
      </c>
      <c r="Z512" s="7"/>
    </row>
    <row r="513" spans="1:26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69">
        <v>2022</v>
      </c>
      <c r="R513" s="69">
        <v>5</v>
      </c>
      <c r="S513" s="89" t="s">
        <v>1531</v>
      </c>
      <c r="T513" s="7" t="str">
        <f t="shared" si="50"/>
        <v>5_2022</v>
      </c>
      <c r="U513" s="247">
        <f t="shared" si="51"/>
        <v>292.29599999999999</v>
      </c>
      <c r="V513" s="248">
        <f t="shared" si="96"/>
        <v>0.664050031080343</v>
      </c>
      <c r="W513" s="248">
        <f t="shared" si="97"/>
        <v>0.335949968919657</v>
      </c>
      <c r="X513" s="248">
        <f t="shared" si="98"/>
        <v>0.49147555720133557</v>
      </c>
      <c r="Y513" s="248">
        <f t="shared" si="99"/>
        <v>0.50852444279866438</v>
      </c>
      <c r="Z513" s="7"/>
    </row>
    <row r="514" spans="1:26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69">
        <v>2022</v>
      </c>
      <c r="R514" s="69">
        <v>6</v>
      </c>
      <c r="S514" s="89" t="s">
        <v>1532</v>
      </c>
      <c r="T514" s="7" t="str">
        <f t="shared" si="50"/>
        <v>6_2022</v>
      </c>
      <c r="U514" s="247">
        <f t="shared" si="51"/>
        <v>296.31099999999998</v>
      </c>
      <c r="V514" s="248">
        <f t="shared" si="96"/>
        <v>0.664050031080343</v>
      </c>
      <c r="W514" s="248">
        <f t="shared" si="97"/>
        <v>0.335949968919657</v>
      </c>
      <c r="X514" s="248">
        <f t="shared" si="98"/>
        <v>0.49147555720133557</v>
      </c>
      <c r="Y514" s="248">
        <f t="shared" si="99"/>
        <v>0.50852444279866438</v>
      </c>
      <c r="Z514" s="7"/>
    </row>
    <row r="515" spans="1:26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69">
        <v>2022</v>
      </c>
      <c r="R515" s="69">
        <v>7</v>
      </c>
      <c r="S515" s="89" t="s">
        <v>1533</v>
      </c>
      <c r="T515" s="7" t="str">
        <f t="shared" ref="T515:T544" si="100">R515&amp;"_"&amp;Q515</f>
        <v>7_2022</v>
      </c>
      <c r="U515" s="247">
        <f t="shared" ref="U515:U544" si="101">VLOOKUP(Q515,$A:$N,MATCH(S515,$A$12:$N$12,0),FALSE)</f>
        <v>296.27600000000001</v>
      </c>
      <c r="V515" s="248">
        <f t="shared" si="96"/>
        <v>0.664050031080343</v>
      </c>
      <c r="W515" s="248">
        <f t="shared" si="97"/>
        <v>0.335949968919657</v>
      </c>
      <c r="X515" s="248">
        <f t="shared" si="98"/>
        <v>0.49147555720133557</v>
      </c>
      <c r="Y515" s="248">
        <f t="shared" si="99"/>
        <v>0.50852444279866438</v>
      </c>
      <c r="Z515" s="7"/>
    </row>
    <row r="516" spans="1:26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69">
        <v>2022</v>
      </c>
      <c r="R516" s="69">
        <v>8</v>
      </c>
      <c r="S516" s="89" t="s">
        <v>1534</v>
      </c>
      <c r="T516" s="7" t="str">
        <f t="shared" si="100"/>
        <v>8_2022</v>
      </c>
      <c r="U516" s="247">
        <f t="shared" si="101"/>
        <v>296.17099999999999</v>
      </c>
      <c r="V516" s="248">
        <f t="shared" si="96"/>
        <v>0.664050031080343</v>
      </c>
      <c r="W516" s="248">
        <f t="shared" si="97"/>
        <v>0.335949968919657</v>
      </c>
      <c r="X516" s="248">
        <f t="shared" si="98"/>
        <v>0.49147555720133557</v>
      </c>
      <c r="Y516" s="248">
        <f t="shared" si="99"/>
        <v>0.50852444279866438</v>
      </c>
      <c r="Z516" s="7"/>
    </row>
    <row r="517" spans="1:26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69">
        <v>2022</v>
      </c>
      <c r="R517" s="69">
        <v>9</v>
      </c>
      <c r="S517" s="89" t="s">
        <v>1535</v>
      </c>
      <c r="T517" s="7" t="str">
        <f t="shared" si="100"/>
        <v>9_2022</v>
      </c>
      <c r="U517" s="247">
        <f t="shared" si="101"/>
        <v>296.80799999999999</v>
      </c>
      <c r="V517" s="248">
        <f t="shared" si="96"/>
        <v>0.664050031080343</v>
      </c>
      <c r="W517" s="248">
        <f t="shared" si="97"/>
        <v>0.335949968919657</v>
      </c>
      <c r="X517" s="248">
        <f t="shared" si="98"/>
        <v>0.49147555720133557</v>
      </c>
      <c r="Y517" s="248">
        <f t="shared" si="99"/>
        <v>0.50852444279866438</v>
      </c>
      <c r="Z517" s="7"/>
    </row>
    <row r="518" spans="1:26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69">
        <v>2022</v>
      </c>
      <c r="R518" s="69">
        <v>10</v>
      </c>
      <c r="S518" s="89" t="s">
        <v>1536</v>
      </c>
      <c r="T518" s="7" t="str">
        <f t="shared" si="100"/>
        <v>10_2022</v>
      </c>
      <c r="U518" s="247">
        <f t="shared" si="101"/>
        <v>298.012</v>
      </c>
      <c r="V518" s="248">
        <f t="shared" si="96"/>
        <v>0.664050031080343</v>
      </c>
      <c r="W518" s="248">
        <f t="shared" si="97"/>
        <v>0.335949968919657</v>
      </c>
      <c r="X518" s="248">
        <f t="shared" si="98"/>
        <v>0.49147555720133557</v>
      </c>
      <c r="Y518" s="248">
        <f t="shared" si="99"/>
        <v>0.50852444279866438</v>
      </c>
      <c r="Z518" s="7"/>
    </row>
    <row r="519" spans="1:26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69">
        <v>2022</v>
      </c>
      <c r="R519" s="69">
        <v>11</v>
      </c>
      <c r="S519" s="89" t="s">
        <v>1537</v>
      </c>
      <c r="T519" s="7" t="str">
        <f t="shared" si="100"/>
        <v>11_2022</v>
      </c>
      <c r="U519" s="247">
        <f t="shared" si="101"/>
        <v>297.71100000000001</v>
      </c>
      <c r="V519" s="248">
        <f t="shared" si="96"/>
        <v>0.664050031080343</v>
      </c>
      <c r="W519" s="248">
        <f t="shared" si="97"/>
        <v>0.335949968919657</v>
      </c>
      <c r="X519" s="248">
        <f t="shared" si="98"/>
        <v>0.49147555720133557</v>
      </c>
      <c r="Y519" s="248">
        <f t="shared" si="99"/>
        <v>0.50852444279866438</v>
      </c>
      <c r="Z519" s="7"/>
    </row>
    <row r="520" spans="1:26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69">
        <v>2022</v>
      </c>
      <c r="R520" s="69">
        <v>12</v>
      </c>
      <c r="S520" s="89" t="s">
        <v>1538</v>
      </c>
      <c r="T520" s="7" t="str">
        <f t="shared" si="100"/>
        <v>12_2022</v>
      </c>
      <c r="U520" s="247">
        <f t="shared" si="101"/>
        <v>296.79700000000003</v>
      </c>
      <c r="V520" s="248">
        <f>+(V532*$U520/$U532)/(V532*$U520/$U532+W532*AVERAGE($U520,'PPI USA'!$T526)/AVERAGE($U532,'PPI USA'!$T538))</f>
        <v>0.664050031080343</v>
      </c>
      <c r="W520" s="248">
        <f>1-V520</f>
        <v>0.335949968919657</v>
      </c>
      <c r="X520" s="248">
        <f>+(X532*$U520/$U532)/(X532*$U520/$U532+Y532*AVERAGE($U520,'PPI USA'!$T526)/AVERAGE($U532,'PPI USA'!$T538))</f>
        <v>0.49147555720133557</v>
      </c>
      <c r="Y520" s="248">
        <f>1-X520</f>
        <v>0.50852444279866438</v>
      </c>
      <c r="Z520" s="7"/>
    </row>
    <row r="521" spans="1:26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69">
        <v>2023</v>
      </c>
      <c r="R521" s="69">
        <v>1</v>
      </c>
      <c r="S521" s="89" t="s">
        <v>1527</v>
      </c>
      <c r="T521" s="7" t="str">
        <f t="shared" si="100"/>
        <v>1_2023</v>
      </c>
      <c r="U521" s="247">
        <f t="shared" si="101"/>
        <v>299.17</v>
      </c>
      <c r="V521" s="248">
        <f t="shared" ref="V521:V531" si="102">+$V$532</f>
        <v>0.66203909341616807</v>
      </c>
      <c r="W521" s="248">
        <f t="shared" ref="W521:W531" si="103">+$W$532</f>
        <v>0.33796090658383193</v>
      </c>
      <c r="X521" s="248">
        <f t="shared" ref="X521:X531" si="104">+$X$532</f>
        <v>0.48922618205785284</v>
      </c>
      <c r="Y521" s="248">
        <f t="shared" ref="Y521:Y531" si="105">+$Y$532</f>
        <v>0.51077381794214716</v>
      </c>
      <c r="Z521" s="7"/>
    </row>
    <row r="522" spans="1:26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69">
        <v>2023</v>
      </c>
      <c r="R522" s="69">
        <v>2</v>
      </c>
      <c r="S522" s="89" t="s">
        <v>1528</v>
      </c>
      <c r="T522" s="7" t="str">
        <f t="shared" si="100"/>
        <v>2_2023</v>
      </c>
      <c r="U522" s="247">
        <f t="shared" si="101"/>
        <v>300.83999999999997</v>
      </c>
      <c r="V522" s="248">
        <f t="shared" si="102"/>
        <v>0.66203909341616807</v>
      </c>
      <c r="W522" s="248">
        <f t="shared" si="103"/>
        <v>0.33796090658383193</v>
      </c>
      <c r="X522" s="248">
        <f t="shared" si="104"/>
        <v>0.48922618205785284</v>
      </c>
      <c r="Y522" s="248">
        <f t="shared" si="105"/>
        <v>0.51077381794214716</v>
      </c>
      <c r="Z522" s="7"/>
    </row>
    <row r="523" spans="1:26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69">
        <v>2023</v>
      </c>
      <c r="R523" s="69">
        <v>3</v>
      </c>
      <c r="S523" s="89" t="s">
        <v>1529</v>
      </c>
      <c r="T523" s="7" t="str">
        <f t="shared" si="100"/>
        <v>3_2023</v>
      </c>
      <c r="U523" s="247">
        <f t="shared" si="101"/>
        <v>301.83600000000001</v>
      </c>
      <c r="V523" s="248">
        <f t="shared" si="102"/>
        <v>0.66203909341616807</v>
      </c>
      <c r="W523" s="248">
        <f t="shared" si="103"/>
        <v>0.33796090658383193</v>
      </c>
      <c r="X523" s="248">
        <f t="shared" si="104"/>
        <v>0.48922618205785284</v>
      </c>
      <c r="Y523" s="248">
        <f t="shared" si="105"/>
        <v>0.51077381794214716</v>
      </c>
      <c r="Z523" s="7"/>
    </row>
    <row r="524" spans="1:26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69">
        <v>2023</v>
      </c>
      <c r="R524" s="69">
        <v>4</v>
      </c>
      <c r="S524" s="89" t="s">
        <v>1530</v>
      </c>
      <c r="T524" s="7" t="str">
        <f t="shared" si="100"/>
        <v>4_2023</v>
      </c>
      <c r="U524" s="247">
        <f t="shared" si="101"/>
        <v>303.363</v>
      </c>
      <c r="V524" s="248">
        <f t="shared" si="102"/>
        <v>0.66203909341616807</v>
      </c>
      <c r="W524" s="248">
        <f t="shared" si="103"/>
        <v>0.33796090658383193</v>
      </c>
      <c r="X524" s="248">
        <f t="shared" si="104"/>
        <v>0.48922618205785284</v>
      </c>
      <c r="Y524" s="248">
        <f t="shared" si="105"/>
        <v>0.51077381794214716</v>
      </c>
      <c r="Z524" s="7"/>
    </row>
    <row r="525" spans="1:26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69">
        <v>2023</v>
      </c>
      <c r="R525" s="69">
        <v>5</v>
      </c>
      <c r="S525" s="89" t="s">
        <v>1531</v>
      </c>
      <c r="T525" s="7" t="str">
        <f t="shared" si="100"/>
        <v>5_2023</v>
      </c>
      <c r="U525" s="247">
        <f t="shared" si="101"/>
        <v>304.12700000000001</v>
      </c>
      <c r="V525" s="248">
        <f t="shared" si="102"/>
        <v>0.66203909341616807</v>
      </c>
      <c r="W525" s="248">
        <f t="shared" si="103"/>
        <v>0.33796090658383193</v>
      </c>
      <c r="X525" s="248">
        <f t="shared" si="104"/>
        <v>0.48922618205785284</v>
      </c>
      <c r="Y525" s="248">
        <f t="shared" si="105"/>
        <v>0.51077381794214716</v>
      </c>
      <c r="Z525" s="7"/>
    </row>
    <row r="526" spans="1:26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69">
        <v>2023</v>
      </c>
      <c r="R526" s="69">
        <v>6</v>
      </c>
      <c r="S526" s="89" t="s">
        <v>1532</v>
      </c>
      <c r="T526" s="7" t="str">
        <f t="shared" si="100"/>
        <v>6_2023</v>
      </c>
      <c r="U526" s="247">
        <f t="shared" si="101"/>
        <v>305.10899999999998</v>
      </c>
      <c r="V526" s="248">
        <f t="shared" si="102"/>
        <v>0.66203909341616807</v>
      </c>
      <c r="W526" s="248">
        <f t="shared" si="103"/>
        <v>0.33796090658383193</v>
      </c>
      <c r="X526" s="248">
        <f t="shared" si="104"/>
        <v>0.48922618205785284</v>
      </c>
      <c r="Y526" s="248">
        <f t="shared" si="105"/>
        <v>0.51077381794214716</v>
      </c>
      <c r="Z526" s="7"/>
    </row>
    <row r="527" spans="1:26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69">
        <v>2023</v>
      </c>
      <c r="R527" s="69">
        <v>7</v>
      </c>
      <c r="S527" s="89" t="s">
        <v>1533</v>
      </c>
      <c r="T527" s="7" t="str">
        <f t="shared" si="100"/>
        <v>7_2023</v>
      </c>
      <c r="U527" s="247">
        <f t="shared" si="101"/>
        <v>305.69099999999997</v>
      </c>
      <c r="V527" s="248">
        <f t="shared" si="102"/>
        <v>0.66203909341616807</v>
      </c>
      <c r="W527" s="248">
        <f t="shared" si="103"/>
        <v>0.33796090658383193</v>
      </c>
      <c r="X527" s="248">
        <f t="shared" si="104"/>
        <v>0.48922618205785284</v>
      </c>
      <c r="Y527" s="248">
        <f t="shared" si="105"/>
        <v>0.51077381794214716</v>
      </c>
      <c r="Z527" s="7"/>
    </row>
    <row r="528" spans="1:26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69">
        <v>2023</v>
      </c>
      <c r="R528" s="69">
        <v>8</v>
      </c>
      <c r="S528" s="89" t="s">
        <v>1534</v>
      </c>
      <c r="T528" s="7" t="str">
        <f t="shared" si="100"/>
        <v>8_2023</v>
      </c>
      <c r="U528" s="247">
        <f t="shared" si="101"/>
        <v>307.02600000000001</v>
      </c>
      <c r="V528" s="248">
        <f t="shared" si="102"/>
        <v>0.66203909341616807</v>
      </c>
      <c r="W528" s="248">
        <f t="shared" si="103"/>
        <v>0.33796090658383193</v>
      </c>
      <c r="X528" s="248">
        <f t="shared" si="104"/>
        <v>0.48922618205785284</v>
      </c>
      <c r="Y528" s="248">
        <f t="shared" si="105"/>
        <v>0.51077381794214716</v>
      </c>
      <c r="Z528" s="7"/>
    </row>
    <row r="529" spans="1:26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69">
        <v>2023</v>
      </c>
      <c r="R529" s="69">
        <v>9</v>
      </c>
      <c r="S529" s="89" t="s">
        <v>1535</v>
      </c>
      <c r="T529" s="7" t="str">
        <f t="shared" si="100"/>
        <v>9_2023</v>
      </c>
      <c r="U529" s="247">
        <f t="shared" si="101"/>
        <v>307.78899999999999</v>
      </c>
      <c r="V529" s="248">
        <f t="shared" si="102"/>
        <v>0.66203909341616807</v>
      </c>
      <c r="W529" s="248">
        <f t="shared" si="103"/>
        <v>0.33796090658383193</v>
      </c>
      <c r="X529" s="248">
        <f t="shared" si="104"/>
        <v>0.48922618205785284</v>
      </c>
      <c r="Y529" s="248">
        <f t="shared" si="105"/>
        <v>0.51077381794214716</v>
      </c>
      <c r="Z529" s="7"/>
    </row>
    <row r="530" spans="1:26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69">
        <v>2023</v>
      </c>
      <c r="R530" s="69">
        <v>10</v>
      </c>
      <c r="S530" s="89" t="s">
        <v>1536</v>
      </c>
      <c r="T530" s="7" t="str">
        <f t="shared" si="100"/>
        <v>10_2023</v>
      </c>
      <c r="U530" s="247">
        <f t="shared" si="101"/>
        <v>307.67099999999999</v>
      </c>
      <c r="V530" s="248">
        <f t="shared" si="102"/>
        <v>0.66203909341616807</v>
      </c>
      <c r="W530" s="248">
        <f t="shared" si="103"/>
        <v>0.33796090658383193</v>
      </c>
      <c r="X530" s="248">
        <f t="shared" si="104"/>
        <v>0.48922618205785284</v>
      </c>
      <c r="Y530" s="248">
        <f t="shared" si="105"/>
        <v>0.51077381794214716</v>
      </c>
      <c r="Z530" s="7"/>
    </row>
    <row r="531" spans="1:26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69">
        <v>2023</v>
      </c>
      <c r="R531" s="69">
        <v>11</v>
      </c>
      <c r="S531" s="89" t="s">
        <v>1537</v>
      </c>
      <c r="T531" s="7" t="str">
        <f t="shared" si="100"/>
        <v>11_2023</v>
      </c>
      <c r="U531" s="247">
        <f t="shared" si="101"/>
        <v>307.05099999999999</v>
      </c>
      <c r="V531" s="248">
        <f t="shared" si="102"/>
        <v>0.66203909341616807</v>
      </c>
      <c r="W531" s="248">
        <f t="shared" si="103"/>
        <v>0.33796090658383193</v>
      </c>
      <c r="X531" s="248">
        <f t="shared" si="104"/>
        <v>0.48922618205785284</v>
      </c>
      <c r="Y531" s="248">
        <f t="shared" si="105"/>
        <v>0.51077381794214716</v>
      </c>
      <c r="Z531" s="7"/>
    </row>
    <row r="532" spans="1:26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69">
        <v>2023</v>
      </c>
      <c r="R532" s="69">
        <v>12</v>
      </c>
      <c r="S532" s="89" t="s">
        <v>1538</v>
      </c>
      <c r="T532" s="7" t="str">
        <f t="shared" si="100"/>
        <v>12_2023</v>
      </c>
      <c r="U532" s="247">
        <f t="shared" si="101"/>
        <v>306.74599999999998</v>
      </c>
      <c r="V532" s="248">
        <f>+(V544*$U532/$U544)/(V544*$U532/$U544+W544*AVERAGE($U532,'PPI USA'!$T538)/AVERAGE($U544,'PPI USA'!$T550))</f>
        <v>0.66203909341616807</v>
      </c>
      <c r="W532" s="248">
        <f>1-V532</f>
        <v>0.33796090658383193</v>
      </c>
      <c r="X532" s="248">
        <f>+(X544*$U532/$U544)/(X544*$U532/$U544+Y544*AVERAGE($U532,'PPI USA'!$T538)/AVERAGE($U544,'PPI USA'!$T550))</f>
        <v>0.48922618205785284</v>
      </c>
      <c r="Y532" s="248">
        <f>1-X532</f>
        <v>0.51077381794214716</v>
      </c>
      <c r="Z532" s="7"/>
    </row>
    <row r="533" spans="1:26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69">
        <v>2024</v>
      </c>
      <c r="R533" s="69">
        <v>1</v>
      </c>
      <c r="S533" s="89" t="s">
        <v>1527</v>
      </c>
      <c r="T533" s="7" t="str">
        <f t="shared" si="100"/>
        <v>1_2024</v>
      </c>
      <c r="U533" s="247">
        <f t="shared" si="101"/>
        <v>308.41699999999997</v>
      </c>
      <c r="V533" s="248">
        <f t="shared" ref="V533:V543" si="106">+$V$544</f>
        <v>0.66495305453597975</v>
      </c>
      <c r="W533" s="248">
        <f t="shared" ref="W533:W543" si="107">+$W$544</f>
        <v>0.33504694546402025</v>
      </c>
      <c r="X533" s="248">
        <f t="shared" ref="X533:X543" si="108">+$X$544</f>
        <v>0.49248793092651205</v>
      </c>
      <c r="Y533" s="248">
        <f t="shared" ref="Y533:Y543" si="109">+$Y$544</f>
        <v>0.507512069073488</v>
      </c>
      <c r="Z533" s="7"/>
    </row>
    <row r="534" spans="1:26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69">
        <v>2024</v>
      </c>
      <c r="R534" s="69">
        <v>2</v>
      </c>
      <c r="S534" s="89" t="s">
        <v>1528</v>
      </c>
      <c r="T534" s="7" t="str">
        <f t="shared" si="100"/>
        <v>2_2024</v>
      </c>
      <c r="U534" s="247">
        <f t="shared" si="101"/>
        <v>310.32600000000002</v>
      </c>
      <c r="V534" s="248">
        <f t="shared" si="106"/>
        <v>0.66495305453597975</v>
      </c>
      <c r="W534" s="248">
        <f t="shared" si="107"/>
        <v>0.33504694546402025</v>
      </c>
      <c r="X534" s="248">
        <f t="shared" si="108"/>
        <v>0.49248793092651205</v>
      </c>
      <c r="Y534" s="248">
        <f t="shared" si="109"/>
        <v>0.507512069073488</v>
      </c>
      <c r="Z534" s="7"/>
    </row>
    <row r="535" spans="1:26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69">
        <v>2024</v>
      </c>
      <c r="R535" s="69">
        <v>3</v>
      </c>
      <c r="S535" s="89" t="s">
        <v>1529</v>
      </c>
      <c r="T535" s="7" t="str">
        <f t="shared" si="100"/>
        <v>3_2024</v>
      </c>
      <c r="U535" s="247">
        <f t="shared" si="101"/>
        <v>312.33199999999999</v>
      </c>
      <c r="V535" s="248">
        <f t="shared" si="106"/>
        <v>0.66495305453597975</v>
      </c>
      <c r="W535" s="248">
        <f t="shared" si="107"/>
        <v>0.33504694546402025</v>
      </c>
      <c r="X535" s="248">
        <f t="shared" si="108"/>
        <v>0.49248793092651205</v>
      </c>
      <c r="Y535" s="248">
        <f t="shared" si="109"/>
        <v>0.507512069073488</v>
      </c>
      <c r="Z535" s="7"/>
    </row>
    <row r="536" spans="1:26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69">
        <v>2024</v>
      </c>
      <c r="R536" s="69">
        <v>4</v>
      </c>
      <c r="S536" s="89" t="s">
        <v>1530</v>
      </c>
      <c r="T536" s="7" t="str">
        <f t="shared" si="100"/>
        <v>4_2024</v>
      </c>
      <c r="U536" s="247">
        <f t="shared" si="101"/>
        <v>313.548</v>
      </c>
      <c r="V536" s="248">
        <f t="shared" si="106"/>
        <v>0.66495305453597975</v>
      </c>
      <c r="W536" s="248">
        <f t="shared" si="107"/>
        <v>0.33504694546402025</v>
      </c>
      <c r="X536" s="248">
        <f t="shared" si="108"/>
        <v>0.49248793092651205</v>
      </c>
      <c r="Y536" s="248">
        <f t="shared" si="109"/>
        <v>0.507512069073488</v>
      </c>
      <c r="Z536" s="7"/>
    </row>
    <row r="537" spans="1:26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69">
        <v>2024</v>
      </c>
      <c r="R537" s="69">
        <v>5</v>
      </c>
      <c r="S537" s="89" t="s">
        <v>1531</v>
      </c>
      <c r="T537" s="7" t="str">
        <f t="shared" si="100"/>
        <v>5_2024</v>
      </c>
      <c r="U537" s="247">
        <f t="shared" si="101"/>
        <v>314.06900000000002</v>
      </c>
      <c r="V537" s="248">
        <f t="shared" si="106"/>
        <v>0.66495305453597975</v>
      </c>
      <c r="W537" s="248">
        <f t="shared" si="107"/>
        <v>0.33504694546402025</v>
      </c>
      <c r="X537" s="248">
        <f t="shared" si="108"/>
        <v>0.49248793092651205</v>
      </c>
      <c r="Y537" s="248">
        <f t="shared" si="109"/>
        <v>0.507512069073488</v>
      </c>
      <c r="Z537" s="7"/>
    </row>
    <row r="538" spans="1:26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69">
        <v>2024</v>
      </c>
      <c r="R538" s="69">
        <v>6</v>
      </c>
      <c r="S538" s="89" t="s">
        <v>1532</v>
      </c>
      <c r="T538" s="7" t="str">
        <f t="shared" si="100"/>
        <v>6_2024</v>
      </c>
      <c r="U538" s="247">
        <f t="shared" si="101"/>
        <v>314.17500000000001</v>
      </c>
      <c r="V538" s="248">
        <f t="shared" si="106"/>
        <v>0.66495305453597975</v>
      </c>
      <c r="W538" s="248">
        <f t="shared" si="107"/>
        <v>0.33504694546402025</v>
      </c>
      <c r="X538" s="248">
        <f t="shared" si="108"/>
        <v>0.49248793092651205</v>
      </c>
      <c r="Y538" s="248">
        <f t="shared" si="109"/>
        <v>0.507512069073488</v>
      </c>
      <c r="Z538" s="7"/>
    </row>
    <row r="539" spans="1:26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69">
        <v>2024</v>
      </c>
      <c r="R539" s="69">
        <v>7</v>
      </c>
      <c r="S539" s="89" t="s">
        <v>1533</v>
      </c>
      <c r="T539" s="7" t="str">
        <f t="shared" si="100"/>
        <v>7_2024</v>
      </c>
      <c r="U539" s="247">
        <f t="shared" si="101"/>
        <v>314.54000000000002</v>
      </c>
      <c r="V539" s="248">
        <f t="shared" si="106"/>
        <v>0.66495305453597975</v>
      </c>
      <c r="W539" s="248">
        <f t="shared" si="107"/>
        <v>0.33504694546402025</v>
      </c>
      <c r="X539" s="248">
        <f t="shared" si="108"/>
        <v>0.49248793092651205</v>
      </c>
      <c r="Y539" s="248">
        <f t="shared" si="109"/>
        <v>0.507512069073488</v>
      </c>
      <c r="Z539" s="7"/>
    </row>
    <row r="540" spans="1:26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69">
        <v>2024</v>
      </c>
      <c r="R540" s="69">
        <v>8</v>
      </c>
      <c r="S540" s="89" t="s">
        <v>1534</v>
      </c>
      <c r="T540" s="7" t="str">
        <f t="shared" si="100"/>
        <v>8_2024</v>
      </c>
      <c r="U540" s="247">
        <f t="shared" si="101"/>
        <v>314.79599999999999</v>
      </c>
      <c r="V540" s="248">
        <f t="shared" si="106"/>
        <v>0.66495305453597975</v>
      </c>
      <c r="W540" s="248">
        <f t="shared" si="107"/>
        <v>0.33504694546402025</v>
      </c>
      <c r="X540" s="248">
        <f t="shared" si="108"/>
        <v>0.49248793092651205</v>
      </c>
      <c r="Y540" s="248">
        <f t="shared" si="109"/>
        <v>0.507512069073488</v>
      </c>
      <c r="Z540" s="7"/>
    </row>
    <row r="541" spans="1:26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69">
        <v>2024</v>
      </c>
      <c r="R541" s="69">
        <v>9</v>
      </c>
      <c r="S541" s="89" t="s">
        <v>1535</v>
      </c>
      <c r="T541" s="7" t="str">
        <f t="shared" si="100"/>
        <v>9_2024</v>
      </c>
      <c r="U541" s="247">
        <f t="shared" si="101"/>
        <v>315.30099999999999</v>
      </c>
      <c r="V541" s="248">
        <f t="shared" si="106"/>
        <v>0.66495305453597975</v>
      </c>
      <c r="W541" s="248">
        <f t="shared" si="107"/>
        <v>0.33504694546402025</v>
      </c>
      <c r="X541" s="248">
        <f t="shared" si="108"/>
        <v>0.49248793092651205</v>
      </c>
      <c r="Y541" s="248">
        <f t="shared" si="109"/>
        <v>0.507512069073488</v>
      </c>
      <c r="Z541" s="7"/>
    </row>
    <row r="542" spans="1:26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69">
        <v>2024</v>
      </c>
      <c r="R542" s="69">
        <v>10</v>
      </c>
      <c r="S542" s="89" t="s">
        <v>1536</v>
      </c>
      <c r="T542" s="7" t="str">
        <f t="shared" si="100"/>
        <v>10_2024</v>
      </c>
      <c r="U542" s="247">
        <f t="shared" si="101"/>
        <v>315.66399999999999</v>
      </c>
      <c r="V542" s="248">
        <f t="shared" si="106"/>
        <v>0.66495305453597975</v>
      </c>
      <c r="W542" s="248">
        <f t="shared" si="107"/>
        <v>0.33504694546402025</v>
      </c>
      <c r="X542" s="248">
        <f t="shared" si="108"/>
        <v>0.49248793092651205</v>
      </c>
      <c r="Y542" s="248">
        <f t="shared" si="109"/>
        <v>0.507512069073488</v>
      </c>
      <c r="Z542" s="7"/>
    </row>
    <row r="543" spans="1:26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69">
        <v>2024</v>
      </c>
      <c r="R543" s="69">
        <v>11</v>
      </c>
      <c r="S543" s="89" t="s">
        <v>1537</v>
      </c>
      <c r="T543" s="7" t="str">
        <f t="shared" si="100"/>
        <v>11_2024</v>
      </c>
      <c r="U543" s="247">
        <f t="shared" si="101"/>
        <v>315.49299999999999</v>
      </c>
      <c r="V543" s="248">
        <f t="shared" si="106"/>
        <v>0.66495305453597975</v>
      </c>
      <c r="W543" s="248">
        <f t="shared" si="107"/>
        <v>0.33504694546402025</v>
      </c>
      <c r="X543" s="248">
        <f t="shared" si="108"/>
        <v>0.49248793092651205</v>
      </c>
      <c r="Y543" s="248">
        <f t="shared" si="109"/>
        <v>0.507512069073488</v>
      </c>
      <c r="Z543" s="7"/>
    </row>
    <row r="544" spans="1:26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69">
        <v>2024</v>
      </c>
      <c r="R544" s="69">
        <v>12</v>
      </c>
      <c r="S544" s="89" t="s">
        <v>1538</v>
      </c>
      <c r="T544" s="7" t="str">
        <f t="shared" si="100"/>
        <v>12_2024</v>
      </c>
      <c r="U544" s="247">
        <f t="shared" si="101"/>
        <v>315.60500000000002</v>
      </c>
      <c r="V544" s="248">
        <f>+'%MO Pan'!R70</f>
        <v>0.66495305453597975</v>
      </c>
      <c r="W544" s="248">
        <f>1-V544</f>
        <v>0.33504694546402025</v>
      </c>
      <c r="X544" s="248">
        <f>+'%MO Pan'!$R$71</f>
        <v>0.49248793092651205</v>
      </c>
      <c r="Y544" s="248">
        <f>1-X544</f>
        <v>0.507512069073488</v>
      </c>
      <c r="Z544" s="7"/>
    </row>
    <row r="545" spans="1:26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">
    <mergeCell ref="O11:P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0"/>
  <sheetViews>
    <sheetView workbookViewId="0">
      <selection sqref="A1:F1"/>
    </sheetView>
  </sheetViews>
  <sheetFormatPr baseColWidth="10" defaultColWidth="14.453125" defaultRowHeight="15" customHeight="1"/>
  <sheetData>
    <row r="1" spans="1:26">
      <c r="A1" s="338" t="s">
        <v>1539</v>
      </c>
      <c r="B1" s="337"/>
      <c r="C1" s="337"/>
      <c r="D1" s="337"/>
      <c r="E1" s="337"/>
      <c r="F1" s="33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>
      <c r="A2" s="338" t="s">
        <v>1540</v>
      </c>
      <c r="B2" s="337"/>
      <c r="C2" s="337"/>
      <c r="D2" s="337"/>
      <c r="E2" s="337"/>
      <c r="F2" s="33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>
      <c r="A3" s="336"/>
      <c r="B3" s="337"/>
      <c r="C3" s="337"/>
      <c r="D3" s="337"/>
      <c r="E3" s="337"/>
      <c r="F3" s="33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>
      <c r="A4" s="253" t="s">
        <v>1541</v>
      </c>
      <c r="B4" s="339" t="s">
        <v>1542</v>
      </c>
      <c r="C4" s="337"/>
      <c r="D4" s="337"/>
      <c r="E4" s="337"/>
      <c r="F4" s="33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>
      <c r="A5" s="253" t="s">
        <v>1543</v>
      </c>
      <c r="B5" s="339" t="s">
        <v>1544</v>
      </c>
      <c r="C5" s="337"/>
      <c r="D5" s="337"/>
      <c r="E5" s="337"/>
      <c r="F5" s="33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>
      <c r="A6" s="253" t="s">
        <v>1545</v>
      </c>
      <c r="B6" s="339" t="s">
        <v>1546</v>
      </c>
      <c r="C6" s="337"/>
      <c r="D6" s="337"/>
      <c r="E6" s="337"/>
      <c r="F6" s="33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>
      <c r="A7" s="253" t="s">
        <v>1547</v>
      </c>
      <c r="B7" s="339" t="s">
        <v>1548</v>
      </c>
      <c r="C7" s="337"/>
      <c r="D7" s="337"/>
      <c r="E7" s="337"/>
      <c r="F7" s="33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>
      <c r="A8" s="253" t="s">
        <v>1549</v>
      </c>
      <c r="B8" s="340" t="s">
        <v>1550</v>
      </c>
      <c r="C8" s="337"/>
      <c r="D8" s="337"/>
      <c r="E8" s="337"/>
      <c r="F8" s="33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>
      <c r="A10" s="255" t="s">
        <v>1526</v>
      </c>
      <c r="B10" s="255" t="s">
        <v>1527</v>
      </c>
      <c r="C10" s="255" t="s">
        <v>1528</v>
      </c>
      <c r="D10" s="255" t="s">
        <v>1529</v>
      </c>
      <c r="E10" s="255" t="s">
        <v>1530</v>
      </c>
      <c r="F10" s="255" t="s">
        <v>1531</v>
      </c>
      <c r="G10" s="255" t="s">
        <v>1532</v>
      </c>
      <c r="H10" s="255" t="s">
        <v>1533</v>
      </c>
      <c r="I10" s="255" t="s">
        <v>1534</v>
      </c>
      <c r="J10" s="255" t="s">
        <v>1535</v>
      </c>
      <c r="K10" s="255" t="s">
        <v>1536</v>
      </c>
      <c r="L10" s="255" t="s">
        <v>1537</v>
      </c>
      <c r="M10" s="255" t="s">
        <v>1538</v>
      </c>
      <c r="N10" s="255" t="s">
        <v>1551</v>
      </c>
      <c r="O10" s="7"/>
      <c r="P10" s="255" t="s">
        <v>1362</v>
      </c>
      <c r="Q10" s="255" t="s">
        <v>1510</v>
      </c>
      <c r="R10" s="255" t="s">
        <v>1552</v>
      </c>
      <c r="S10" s="255" t="s">
        <v>1553</v>
      </c>
      <c r="T10" s="255" t="s">
        <v>1554</v>
      </c>
      <c r="U10" s="7"/>
      <c r="V10" s="7"/>
      <c r="W10" s="7"/>
      <c r="X10" s="7"/>
      <c r="Y10" s="7"/>
      <c r="Z10" s="7"/>
    </row>
    <row r="11" spans="1:26">
      <c r="A11" s="256">
        <v>1958</v>
      </c>
      <c r="B11" s="257">
        <v>17.399999999999999</v>
      </c>
      <c r="C11" s="257">
        <v>17.399999999999999</v>
      </c>
      <c r="D11" s="257">
        <v>17.399999999999999</v>
      </c>
      <c r="E11" s="257">
        <v>17.399999999999999</v>
      </c>
      <c r="F11" s="257">
        <v>17.399999999999999</v>
      </c>
      <c r="G11" s="257">
        <v>17.399999999999999</v>
      </c>
      <c r="H11" s="257">
        <v>17.399999999999999</v>
      </c>
      <c r="I11" s="257">
        <v>17.5</v>
      </c>
      <c r="J11" s="257">
        <v>17.5</v>
      </c>
      <c r="K11" s="257">
        <v>17.5</v>
      </c>
      <c r="L11" s="257">
        <v>17.5</v>
      </c>
      <c r="M11" s="257">
        <v>17.5</v>
      </c>
      <c r="N11" s="257">
        <v>17.5</v>
      </c>
      <c r="O11" s="7"/>
      <c r="P11" s="258">
        <v>1980</v>
      </c>
      <c r="Q11" s="258">
        <v>1</v>
      </c>
      <c r="R11" s="259" t="s">
        <v>1551</v>
      </c>
      <c r="S11" s="254" t="str">
        <f t="shared" ref="S11:S265" si="0">Q11&amp;"_"&amp;P11</f>
        <v>1_1980</v>
      </c>
      <c r="T11" s="260">
        <f t="shared" ref="T11:T265" si="1">VLOOKUP(P11,$A:$N,MATCH(R11,$A$10:$N$10,0),FALSE)</f>
        <v>65.400000000000006</v>
      </c>
      <c r="U11" s="7"/>
      <c r="V11" s="7"/>
      <c r="W11" s="7"/>
      <c r="X11" s="7"/>
      <c r="Y11" s="7"/>
      <c r="Z11" s="7"/>
    </row>
    <row r="12" spans="1:26">
      <c r="A12" s="256">
        <v>1959</v>
      </c>
      <c r="B12" s="257">
        <v>17.5</v>
      </c>
      <c r="C12" s="257">
        <v>17.5</v>
      </c>
      <c r="D12" s="257">
        <v>17.5</v>
      </c>
      <c r="E12" s="257">
        <v>17.5</v>
      </c>
      <c r="F12" s="257">
        <v>17.5</v>
      </c>
      <c r="G12" s="257">
        <v>17.5</v>
      </c>
      <c r="H12" s="257">
        <v>17.5</v>
      </c>
      <c r="I12" s="257">
        <v>17.5</v>
      </c>
      <c r="J12" s="257">
        <v>17.5</v>
      </c>
      <c r="K12" s="257">
        <v>17.5</v>
      </c>
      <c r="L12" s="257">
        <v>17.5</v>
      </c>
      <c r="M12" s="257">
        <v>17.600000000000001</v>
      </c>
      <c r="N12" s="257">
        <v>17.5</v>
      </c>
      <c r="O12" s="7"/>
      <c r="P12" s="258">
        <v>1980</v>
      </c>
      <c r="Q12" s="258">
        <v>2</v>
      </c>
      <c r="R12" s="259" t="s">
        <v>1551</v>
      </c>
      <c r="S12" s="254" t="str">
        <f t="shared" si="0"/>
        <v>2_1980</v>
      </c>
      <c r="T12" s="260">
        <f t="shared" si="1"/>
        <v>65.400000000000006</v>
      </c>
      <c r="U12" s="7"/>
      <c r="V12" s="7"/>
      <c r="W12" s="7"/>
      <c r="X12" s="7"/>
      <c r="Y12" s="7"/>
      <c r="Z12" s="7"/>
    </row>
    <row r="13" spans="1:26">
      <c r="A13" s="256">
        <v>1960</v>
      </c>
      <c r="B13" s="257">
        <v>17.600000000000001</v>
      </c>
      <c r="C13" s="257">
        <v>17.8</v>
      </c>
      <c r="D13" s="257">
        <v>17.8</v>
      </c>
      <c r="E13" s="257">
        <v>17.8</v>
      </c>
      <c r="F13" s="257">
        <v>17.8</v>
      </c>
      <c r="G13" s="257">
        <v>17.8</v>
      </c>
      <c r="H13" s="257">
        <v>17.8</v>
      </c>
      <c r="I13" s="257">
        <v>17.8</v>
      </c>
      <c r="J13" s="257">
        <v>17.8</v>
      </c>
      <c r="K13" s="257">
        <v>17.8</v>
      </c>
      <c r="L13" s="257">
        <v>17.899999999999999</v>
      </c>
      <c r="M13" s="257">
        <v>17.899999999999999</v>
      </c>
      <c r="N13" s="257">
        <v>17.8</v>
      </c>
      <c r="O13" s="7"/>
      <c r="P13" s="258">
        <v>1980</v>
      </c>
      <c r="Q13" s="258">
        <v>3</v>
      </c>
      <c r="R13" s="259" t="s">
        <v>1551</v>
      </c>
      <c r="S13" s="254" t="str">
        <f t="shared" si="0"/>
        <v>3_1980</v>
      </c>
      <c r="T13" s="260">
        <f t="shared" si="1"/>
        <v>65.400000000000006</v>
      </c>
      <c r="U13" s="7"/>
      <c r="V13" s="7"/>
      <c r="W13" s="7"/>
      <c r="X13" s="7"/>
      <c r="Y13" s="7"/>
      <c r="Z13" s="7"/>
    </row>
    <row r="14" spans="1:26">
      <c r="A14" s="256">
        <v>1961</v>
      </c>
      <c r="B14" s="257">
        <v>17.899999999999999</v>
      </c>
      <c r="C14" s="257">
        <v>17.899999999999999</v>
      </c>
      <c r="D14" s="257">
        <v>17.899999999999999</v>
      </c>
      <c r="E14" s="257">
        <v>17.899999999999999</v>
      </c>
      <c r="F14" s="257">
        <v>17.899999999999999</v>
      </c>
      <c r="G14" s="257">
        <v>17.899999999999999</v>
      </c>
      <c r="H14" s="257">
        <v>17.899999999999999</v>
      </c>
      <c r="I14" s="257">
        <v>17.899999999999999</v>
      </c>
      <c r="J14" s="257">
        <v>17.899999999999999</v>
      </c>
      <c r="K14" s="257">
        <v>17.899999999999999</v>
      </c>
      <c r="L14" s="257">
        <v>17.899999999999999</v>
      </c>
      <c r="M14" s="257">
        <v>17.899999999999999</v>
      </c>
      <c r="N14" s="257">
        <v>17.899999999999999</v>
      </c>
      <c r="O14" s="7"/>
      <c r="P14" s="258">
        <v>1980</v>
      </c>
      <c r="Q14" s="258">
        <v>4</v>
      </c>
      <c r="R14" s="259" t="s">
        <v>1551</v>
      </c>
      <c r="S14" s="254" t="str">
        <f t="shared" si="0"/>
        <v>4_1980</v>
      </c>
      <c r="T14" s="260">
        <f t="shared" si="1"/>
        <v>65.400000000000006</v>
      </c>
      <c r="U14" s="7"/>
      <c r="V14" s="7"/>
      <c r="W14" s="7"/>
      <c r="X14" s="7"/>
      <c r="Y14" s="7"/>
      <c r="Z14" s="7"/>
    </row>
    <row r="15" spans="1:26">
      <c r="A15" s="256">
        <v>1962</v>
      </c>
      <c r="B15" s="257">
        <v>17.899999999999999</v>
      </c>
      <c r="C15" s="257">
        <v>18.2</v>
      </c>
      <c r="D15" s="257">
        <v>18.2</v>
      </c>
      <c r="E15" s="257">
        <v>18.2</v>
      </c>
      <c r="F15" s="257">
        <v>18.100000000000001</v>
      </c>
      <c r="G15" s="257">
        <v>18.100000000000001</v>
      </c>
      <c r="H15" s="257">
        <v>18.100000000000001</v>
      </c>
      <c r="I15" s="257">
        <v>18.100000000000001</v>
      </c>
      <c r="J15" s="257">
        <v>18.100000000000001</v>
      </c>
      <c r="K15" s="257">
        <v>18.100000000000001</v>
      </c>
      <c r="L15" s="257">
        <v>18.100000000000001</v>
      </c>
      <c r="M15" s="257">
        <v>18.100000000000001</v>
      </c>
      <c r="N15" s="257">
        <v>18.100000000000001</v>
      </c>
      <c r="O15" s="7"/>
      <c r="P15" s="258">
        <v>1980</v>
      </c>
      <c r="Q15" s="258">
        <v>5</v>
      </c>
      <c r="R15" s="259" t="s">
        <v>1551</v>
      </c>
      <c r="S15" s="254" t="str">
        <f t="shared" si="0"/>
        <v>5_1980</v>
      </c>
      <c r="T15" s="260">
        <f t="shared" si="1"/>
        <v>65.400000000000006</v>
      </c>
      <c r="U15" s="7"/>
      <c r="V15" s="7"/>
      <c r="W15" s="7"/>
      <c r="X15" s="7"/>
      <c r="Y15" s="7"/>
      <c r="Z15" s="7"/>
    </row>
    <row r="16" spans="1:26">
      <c r="A16" s="256">
        <v>1963</v>
      </c>
      <c r="B16" s="257">
        <v>18.100000000000001</v>
      </c>
      <c r="C16" s="257">
        <v>18.100000000000001</v>
      </c>
      <c r="D16" s="257">
        <v>18.100000000000001</v>
      </c>
      <c r="E16" s="257">
        <v>18.100000000000001</v>
      </c>
      <c r="F16" s="257">
        <v>18</v>
      </c>
      <c r="G16" s="257">
        <v>18</v>
      </c>
      <c r="H16" s="257">
        <v>18</v>
      </c>
      <c r="I16" s="257">
        <v>17.899999999999999</v>
      </c>
      <c r="J16" s="257">
        <v>17.899999999999999</v>
      </c>
      <c r="K16" s="257">
        <v>17.8</v>
      </c>
      <c r="L16" s="257">
        <v>17.8</v>
      </c>
      <c r="M16" s="257">
        <v>17.8</v>
      </c>
      <c r="N16" s="257">
        <v>18</v>
      </c>
      <c r="O16" s="7"/>
      <c r="P16" s="258">
        <v>1980</v>
      </c>
      <c r="Q16" s="258">
        <v>6</v>
      </c>
      <c r="R16" s="259" t="s">
        <v>1551</v>
      </c>
      <c r="S16" s="254" t="str">
        <f t="shared" si="0"/>
        <v>6_1980</v>
      </c>
      <c r="T16" s="260">
        <f t="shared" si="1"/>
        <v>65.400000000000006</v>
      </c>
      <c r="U16" s="7"/>
      <c r="V16" s="7"/>
      <c r="W16" s="7"/>
      <c r="X16" s="7"/>
      <c r="Y16" s="7"/>
      <c r="Z16" s="7"/>
    </row>
    <row r="17" spans="1:26">
      <c r="A17" s="256">
        <v>1964</v>
      </c>
      <c r="B17" s="257">
        <v>17.8</v>
      </c>
      <c r="C17" s="257">
        <v>17.8</v>
      </c>
      <c r="D17" s="257">
        <v>17.399999999999999</v>
      </c>
      <c r="E17" s="257">
        <v>17.8</v>
      </c>
      <c r="F17" s="257">
        <v>17.8</v>
      </c>
      <c r="G17" s="257">
        <v>17.8</v>
      </c>
      <c r="H17" s="257">
        <v>17.7</v>
      </c>
      <c r="I17" s="257">
        <v>17.899999999999999</v>
      </c>
      <c r="J17" s="257">
        <v>17.899999999999999</v>
      </c>
      <c r="K17" s="257">
        <v>17.899999999999999</v>
      </c>
      <c r="L17" s="257">
        <v>17.899999999999999</v>
      </c>
      <c r="M17" s="257">
        <v>17.899999999999999</v>
      </c>
      <c r="N17" s="257">
        <v>17.8</v>
      </c>
      <c r="O17" s="7"/>
      <c r="P17" s="258">
        <v>1980</v>
      </c>
      <c r="Q17" s="258">
        <v>7</v>
      </c>
      <c r="R17" s="259" t="s">
        <v>1551</v>
      </c>
      <c r="S17" s="254" t="str">
        <f t="shared" si="0"/>
        <v>7_1980</v>
      </c>
      <c r="T17" s="260">
        <f t="shared" si="1"/>
        <v>65.400000000000006</v>
      </c>
      <c r="U17" s="7"/>
      <c r="V17" s="7"/>
      <c r="W17" s="7"/>
      <c r="X17" s="7"/>
      <c r="Y17" s="7"/>
      <c r="Z17" s="7"/>
    </row>
    <row r="18" spans="1:26">
      <c r="A18" s="256">
        <v>1965</v>
      </c>
      <c r="B18" s="257">
        <v>17.899999999999999</v>
      </c>
      <c r="C18" s="257">
        <v>17.8</v>
      </c>
      <c r="D18" s="257">
        <v>17.8</v>
      </c>
      <c r="E18" s="257">
        <v>17.8</v>
      </c>
      <c r="F18" s="257">
        <v>17.8</v>
      </c>
      <c r="G18" s="257">
        <v>17.8</v>
      </c>
      <c r="H18" s="257">
        <v>17.8</v>
      </c>
      <c r="I18" s="257">
        <v>17.8</v>
      </c>
      <c r="J18" s="257">
        <v>17.8</v>
      </c>
      <c r="K18" s="257">
        <v>17.8</v>
      </c>
      <c r="L18" s="257">
        <v>17.8</v>
      </c>
      <c r="M18" s="257">
        <v>17.8</v>
      </c>
      <c r="N18" s="257">
        <v>17.8</v>
      </c>
      <c r="O18" s="7"/>
      <c r="P18" s="258">
        <v>1980</v>
      </c>
      <c r="Q18" s="258">
        <v>8</v>
      </c>
      <c r="R18" s="259" t="s">
        <v>1551</v>
      </c>
      <c r="S18" s="254" t="str">
        <f t="shared" si="0"/>
        <v>8_1980</v>
      </c>
      <c r="T18" s="260">
        <f t="shared" si="1"/>
        <v>65.400000000000006</v>
      </c>
      <c r="U18" s="7"/>
      <c r="V18" s="7"/>
      <c r="W18" s="7"/>
      <c r="X18" s="7"/>
      <c r="Y18" s="7"/>
      <c r="Z18" s="7"/>
    </row>
    <row r="19" spans="1:26">
      <c r="A19" s="256">
        <v>1966</v>
      </c>
      <c r="B19" s="257">
        <v>17.7</v>
      </c>
      <c r="C19" s="257">
        <v>17.7</v>
      </c>
      <c r="D19" s="257">
        <v>17.8</v>
      </c>
      <c r="E19" s="257">
        <v>17.7</v>
      </c>
      <c r="F19" s="257">
        <v>17.7</v>
      </c>
      <c r="G19" s="257">
        <v>17.7</v>
      </c>
      <c r="H19" s="257">
        <v>17.7</v>
      </c>
      <c r="I19" s="257">
        <v>17.7</v>
      </c>
      <c r="J19" s="257">
        <v>17.7</v>
      </c>
      <c r="K19" s="257">
        <v>17.7</v>
      </c>
      <c r="L19" s="257">
        <v>17.7</v>
      </c>
      <c r="M19" s="257">
        <v>17.8</v>
      </c>
      <c r="N19" s="257">
        <v>17.7</v>
      </c>
      <c r="O19" s="7"/>
      <c r="P19" s="258">
        <v>1980</v>
      </c>
      <c r="Q19" s="258">
        <v>9</v>
      </c>
      <c r="R19" s="259" t="s">
        <v>1551</v>
      </c>
      <c r="S19" s="254" t="str">
        <f t="shared" si="0"/>
        <v>9_1980</v>
      </c>
      <c r="T19" s="260">
        <f t="shared" si="1"/>
        <v>65.400000000000006</v>
      </c>
      <c r="U19" s="7"/>
      <c r="V19" s="7"/>
      <c r="W19" s="7"/>
      <c r="X19" s="7"/>
      <c r="Y19" s="7"/>
      <c r="Z19" s="7"/>
    </row>
    <row r="20" spans="1:26">
      <c r="A20" s="256">
        <v>1967</v>
      </c>
      <c r="B20" s="257">
        <v>17.8</v>
      </c>
      <c r="C20" s="257">
        <v>17.8</v>
      </c>
      <c r="D20" s="257">
        <v>17.8</v>
      </c>
      <c r="E20" s="257">
        <v>17.8</v>
      </c>
      <c r="F20" s="257">
        <v>17.8</v>
      </c>
      <c r="G20" s="257">
        <v>17.8</v>
      </c>
      <c r="H20" s="257">
        <v>17.8</v>
      </c>
      <c r="I20" s="257">
        <v>17.8</v>
      </c>
      <c r="J20" s="257">
        <v>17.8</v>
      </c>
      <c r="K20" s="257">
        <v>17.8</v>
      </c>
      <c r="L20" s="257">
        <v>17.8</v>
      </c>
      <c r="M20" s="257">
        <v>17.8</v>
      </c>
      <c r="N20" s="257">
        <v>17.8</v>
      </c>
      <c r="O20" s="7"/>
      <c r="P20" s="258">
        <v>1980</v>
      </c>
      <c r="Q20" s="258">
        <v>10</v>
      </c>
      <c r="R20" s="259" t="s">
        <v>1551</v>
      </c>
      <c r="S20" s="254" t="str">
        <f t="shared" si="0"/>
        <v>10_1980</v>
      </c>
      <c r="T20" s="260">
        <f t="shared" si="1"/>
        <v>65.400000000000006</v>
      </c>
      <c r="U20" s="7"/>
      <c r="V20" s="7"/>
      <c r="W20" s="7"/>
      <c r="X20" s="7"/>
      <c r="Y20" s="7"/>
      <c r="Z20" s="7"/>
    </row>
    <row r="21" spans="1:26">
      <c r="A21" s="256">
        <v>1968</v>
      </c>
      <c r="B21" s="257">
        <v>17.899999999999999</v>
      </c>
      <c r="C21" s="257">
        <v>17.899999999999999</v>
      </c>
      <c r="D21" s="257">
        <v>17.899999999999999</v>
      </c>
      <c r="E21" s="257">
        <v>17.899999999999999</v>
      </c>
      <c r="F21" s="257">
        <v>17.899999999999999</v>
      </c>
      <c r="G21" s="257">
        <v>17.899999999999999</v>
      </c>
      <c r="H21" s="257">
        <v>18</v>
      </c>
      <c r="I21" s="257">
        <v>18</v>
      </c>
      <c r="J21" s="257">
        <v>18</v>
      </c>
      <c r="K21" s="257">
        <v>18</v>
      </c>
      <c r="L21" s="257">
        <v>18</v>
      </c>
      <c r="M21" s="257">
        <v>18</v>
      </c>
      <c r="N21" s="257">
        <v>17.899999999999999</v>
      </c>
      <c r="O21" s="7"/>
      <c r="P21" s="258">
        <v>1980</v>
      </c>
      <c r="Q21" s="258">
        <v>11</v>
      </c>
      <c r="R21" s="259" t="s">
        <v>1551</v>
      </c>
      <c r="S21" s="254" t="str">
        <f t="shared" si="0"/>
        <v>11_1980</v>
      </c>
      <c r="T21" s="260">
        <f t="shared" si="1"/>
        <v>65.400000000000006</v>
      </c>
      <c r="U21" s="7"/>
      <c r="V21" s="7"/>
      <c r="W21" s="7"/>
      <c r="X21" s="7"/>
      <c r="Y21" s="7"/>
      <c r="Z21" s="7"/>
    </row>
    <row r="22" spans="1:26">
      <c r="A22" s="256">
        <v>1969</v>
      </c>
      <c r="B22" s="257">
        <v>18</v>
      </c>
      <c r="C22" s="257">
        <v>18</v>
      </c>
      <c r="D22" s="257">
        <v>18</v>
      </c>
      <c r="E22" s="257">
        <v>18</v>
      </c>
      <c r="F22" s="257">
        <v>18.100000000000001</v>
      </c>
      <c r="G22" s="257">
        <v>18</v>
      </c>
      <c r="H22" s="257">
        <v>18</v>
      </c>
      <c r="I22" s="257">
        <v>18.2</v>
      </c>
      <c r="J22" s="257">
        <v>18.399999999999999</v>
      </c>
      <c r="K22" s="257">
        <v>18.399999999999999</v>
      </c>
      <c r="L22" s="257">
        <v>18.399999999999999</v>
      </c>
      <c r="M22" s="257">
        <v>18.399999999999999</v>
      </c>
      <c r="N22" s="257">
        <v>18.2</v>
      </c>
      <c r="O22" s="7"/>
      <c r="P22" s="258">
        <v>1980</v>
      </c>
      <c r="Q22" s="258">
        <v>12</v>
      </c>
      <c r="R22" s="259" t="s">
        <v>1551</v>
      </c>
      <c r="S22" s="254" t="str">
        <f t="shared" si="0"/>
        <v>12_1980</v>
      </c>
      <c r="T22" s="260">
        <f t="shared" si="1"/>
        <v>65.400000000000006</v>
      </c>
      <c r="U22" s="7"/>
      <c r="V22" s="7"/>
      <c r="W22" s="7"/>
      <c r="X22" s="7"/>
      <c r="Y22" s="7"/>
      <c r="Z22" s="7"/>
    </row>
    <row r="23" spans="1:26">
      <c r="A23" s="256">
        <v>1970</v>
      </c>
      <c r="B23" s="257">
        <v>18.399999999999999</v>
      </c>
      <c r="C23" s="257">
        <v>18.399999999999999</v>
      </c>
      <c r="D23" s="257">
        <v>18.399999999999999</v>
      </c>
      <c r="E23" s="257">
        <v>18.399999999999999</v>
      </c>
      <c r="F23" s="257">
        <v>18.600000000000001</v>
      </c>
      <c r="G23" s="257">
        <v>18.7</v>
      </c>
      <c r="H23" s="257">
        <v>19</v>
      </c>
      <c r="I23" s="257">
        <v>19</v>
      </c>
      <c r="J23" s="257">
        <v>19.3</v>
      </c>
      <c r="K23" s="257">
        <v>19.399999999999999</v>
      </c>
      <c r="L23" s="257">
        <v>19.5</v>
      </c>
      <c r="M23" s="257">
        <v>19.899999999999999</v>
      </c>
      <c r="N23" s="257">
        <v>18.899999999999999</v>
      </c>
      <c r="O23" s="7"/>
      <c r="P23" s="258">
        <f>P22+1</f>
        <v>1981</v>
      </c>
      <c r="Q23" s="258">
        <v>1</v>
      </c>
      <c r="R23" s="259" t="s">
        <v>1551</v>
      </c>
      <c r="S23" s="254" t="str">
        <f t="shared" si="0"/>
        <v>1_1981</v>
      </c>
      <c r="T23" s="260">
        <f t="shared" si="1"/>
        <v>75</v>
      </c>
      <c r="U23" s="7"/>
      <c r="V23" s="7"/>
      <c r="W23" s="7"/>
      <c r="X23" s="7"/>
      <c r="Y23" s="7"/>
      <c r="Z23" s="7"/>
    </row>
    <row r="24" spans="1:26">
      <c r="A24" s="256">
        <v>1971</v>
      </c>
      <c r="B24" s="257">
        <v>20</v>
      </c>
      <c r="C24" s="257">
        <v>20.2</v>
      </c>
      <c r="D24" s="257">
        <v>20.5</v>
      </c>
      <c r="E24" s="257">
        <v>20.5</v>
      </c>
      <c r="F24" s="257">
        <v>20.6</v>
      </c>
      <c r="G24" s="257">
        <v>20.7</v>
      </c>
      <c r="H24" s="257">
        <v>21</v>
      </c>
      <c r="I24" s="257">
        <v>21.2</v>
      </c>
      <c r="J24" s="257">
        <v>21.2</v>
      </c>
      <c r="K24" s="257">
        <v>21.2</v>
      </c>
      <c r="L24" s="257">
        <v>21.2</v>
      </c>
      <c r="M24" s="257">
        <v>21.8</v>
      </c>
      <c r="N24" s="257">
        <v>20.8</v>
      </c>
      <c r="O24" s="7"/>
      <c r="P24" s="258">
        <f>P22+1</f>
        <v>1981</v>
      </c>
      <c r="Q24" s="258">
        <v>2</v>
      </c>
      <c r="R24" s="259" t="s">
        <v>1551</v>
      </c>
      <c r="S24" s="254" t="str">
        <f t="shared" si="0"/>
        <v>2_1981</v>
      </c>
      <c r="T24" s="260">
        <f t="shared" si="1"/>
        <v>75</v>
      </c>
      <c r="U24" s="7"/>
      <c r="V24" s="7"/>
      <c r="W24" s="7"/>
      <c r="X24" s="7"/>
      <c r="Y24" s="7"/>
      <c r="Z24" s="7"/>
    </row>
    <row r="25" spans="1:26">
      <c r="A25" s="256">
        <v>1972</v>
      </c>
      <c r="B25" s="257">
        <v>21.5</v>
      </c>
      <c r="C25" s="257">
        <v>21.8</v>
      </c>
      <c r="D25" s="257">
        <v>21.8</v>
      </c>
      <c r="E25" s="257">
        <v>21.9</v>
      </c>
      <c r="F25" s="257">
        <v>22</v>
      </c>
      <c r="G25" s="257">
        <v>22</v>
      </c>
      <c r="H25" s="257">
        <v>22.1</v>
      </c>
      <c r="I25" s="257">
        <v>22.1</v>
      </c>
      <c r="J25" s="257">
        <v>22.2</v>
      </c>
      <c r="K25" s="257">
        <v>22.3</v>
      </c>
      <c r="L25" s="257">
        <v>22.3</v>
      </c>
      <c r="M25" s="257">
        <v>22.3</v>
      </c>
      <c r="N25" s="257">
        <v>22</v>
      </c>
      <c r="O25" s="7"/>
      <c r="P25" s="258">
        <f>P22+1</f>
        <v>1981</v>
      </c>
      <c r="Q25" s="258">
        <v>3</v>
      </c>
      <c r="R25" s="259" t="s">
        <v>1551</v>
      </c>
      <c r="S25" s="254" t="str">
        <f t="shared" si="0"/>
        <v>3_1981</v>
      </c>
      <c r="T25" s="260">
        <f t="shared" si="1"/>
        <v>75</v>
      </c>
      <c r="U25" s="7"/>
      <c r="V25" s="7"/>
      <c r="W25" s="7"/>
      <c r="X25" s="7"/>
      <c r="Y25" s="7"/>
      <c r="Z25" s="7"/>
    </row>
    <row r="26" spans="1:26">
      <c r="A26" s="256">
        <v>1973</v>
      </c>
      <c r="B26" s="257">
        <v>22.6</v>
      </c>
      <c r="C26" s="257">
        <v>22.9</v>
      </c>
      <c r="D26" s="257">
        <v>23.1</v>
      </c>
      <c r="E26" s="257">
        <v>23.3</v>
      </c>
      <c r="F26" s="257">
        <v>23.4</v>
      </c>
      <c r="G26" s="257">
        <v>23.3</v>
      </c>
      <c r="H26" s="257">
        <v>23.4</v>
      </c>
      <c r="I26" s="257">
        <v>23.5</v>
      </c>
      <c r="J26" s="257">
        <v>23.8</v>
      </c>
      <c r="K26" s="257">
        <v>24.1</v>
      </c>
      <c r="L26" s="257">
        <v>24.4</v>
      </c>
      <c r="M26" s="257">
        <v>24.9</v>
      </c>
      <c r="N26" s="257">
        <v>23.6</v>
      </c>
      <c r="O26" s="7"/>
      <c r="P26" s="258">
        <f>P22+1</f>
        <v>1981</v>
      </c>
      <c r="Q26" s="258">
        <v>4</v>
      </c>
      <c r="R26" s="259" t="s">
        <v>1551</v>
      </c>
      <c r="S26" s="254" t="str">
        <f t="shared" si="0"/>
        <v>4_1981</v>
      </c>
      <c r="T26" s="260">
        <f t="shared" si="1"/>
        <v>75</v>
      </c>
      <c r="U26" s="7"/>
      <c r="V26" s="7"/>
      <c r="W26" s="7"/>
      <c r="X26" s="7"/>
      <c r="Y26" s="7"/>
      <c r="Z26" s="7"/>
    </row>
    <row r="27" spans="1:26">
      <c r="A27" s="256">
        <v>1974</v>
      </c>
      <c r="B27" s="257">
        <v>25.3</v>
      </c>
      <c r="C27" s="257">
        <v>26.1</v>
      </c>
      <c r="D27" s="257">
        <v>27.4</v>
      </c>
      <c r="E27" s="257">
        <v>28.2</v>
      </c>
      <c r="F27" s="257">
        <v>29.7</v>
      </c>
      <c r="G27" s="257">
        <v>30.9</v>
      </c>
      <c r="H27" s="257">
        <v>31.7</v>
      </c>
      <c r="I27" s="257">
        <v>32.4</v>
      </c>
      <c r="J27" s="257">
        <v>32.9</v>
      </c>
      <c r="K27" s="257">
        <v>33.9</v>
      </c>
      <c r="L27" s="257">
        <v>34.299999999999997</v>
      </c>
      <c r="M27" s="257">
        <v>34.700000000000003</v>
      </c>
      <c r="N27" s="257">
        <v>30.6</v>
      </c>
      <c r="O27" s="7"/>
      <c r="P27" s="258">
        <f>P22+1</f>
        <v>1981</v>
      </c>
      <c r="Q27" s="258">
        <v>5</v>
      </c>
      <c r="R27" s="259" t="s">
        <v>1551</v>
      </c>
      <c r="S27" s="254" t="str">
        <f t="shared" si="0"/>
        <v>5_1981</v>
      </c>
      <c r="T27" s="260">
        <f t="shared" si="1"/>
        <v>75</v>
      </c>
      <c r="U27" s="7"/>
      <c r="V27" s="7"/>
      <c r="W27" s="7"/>
      <c r="X27" s="7"/>
      <c r="Y27" s="7"/>
      <c r="Z27" s="7"/>
    </row>
    <row r="28" spans="1:26">
      <c r="A28" s="256">
        <v>1975</v>
      </c>
      <c r="B28" s="257">
        <v>35.200000000000003</v>
      </c>
      <c r="C28" s="257">
        <v>36</v>
      </c>
      <c r="D28" s="257">
        <v>37</v>
      </c>
      <c r="E28" s="257">
        <v>37.799999999999997</v>
      </c>
      <c r="F28" s="257">
        <v>37.1</v>
      </c>
      <c r="G28" s="257">
        <v>36.6</v>
      </c>
      <c r="H28" s="257">
        <v>36.9</v>
      </c>
      <c r="I28" s="257">
        <v>37.4</v>
      </c>
      <c r="J28" s="257">
        <v>38</v>
      </c>
      <c r="K28" s="257">
        <v>38.4</v>
      </c>
      <c r="L28" s="257">
        <v>38.6</v>
      </c>
      <c r="M28" s="257">
        <v>38.200000000000003</v>
      </c>
      <c r="N28" s="257">
        <v>37.299999999999997</v>
      </c>
      <c r="O28" s="7"/>
      <c r="P28" s="258">
        <f>P22+1</f>
        <v>1981</v>
      </c>
      <c r="Q28" s="258">
        <v>6</v>
      </c>
      <c r="R28" s="259" t="s">
        <v>1551</v>
      </c>
      <c r="S28" s="254" t="str">
        <f t="shared" si="0"/>
        <v>6_1981</v>
      </c>
      <c r="T28" s="260">
        <f t="shared" si="1"/>
        <v>75</v>
      </c>
      <c r="U28" s="7"/>
      <c r="V28" s="7"/>
      <c r="W28" s="7"/>
      <c r="X28" s="7"/>
      <c r="Y28" s="7"/>
      <c r="Z28" s="7"/>
    </row>
    <row r="29" spans="1:26">
      <c r="A29" s="256">
        <v>1976</v>
      </c>
      <c r="B29" s="257">
        <v>38.5</v>
      </c>
      <c r="C29" s="257">
        <v>38.700000000000003</v>
      </c>
      <c r="D29" s="257">
        <v>39.200000000000003</v>
      </c>
      <c r="E29" s="257">
        <v>39.9</v>
      </c>
      <c r="F29" s="257">
        <v>39.799999999999997</v>
      </c>
      <c r="G29" s="257">
        <v>40</v>
      </c>
      <c r="H29" s="257">
        <v>40.700000000000003</v>
      </c>
      <c r="I29" s="257">
        <v>41.2</v>
      </c>
      <c r="J29" s="257">
        <v>41.6</v>
      </c>
      <c r="K29" s="257">
        <v>41.2</v>
      </c>
      <c r="L29" s="257">
        <v>41.5</v>
      </c>
      <c r="M29" s="257">
        <v>41.3</v>
      </c>
      <c r="N29" s="257">
        <v>40.299999999999997</v>
      </c>
      <c r="O29" s="7"/>
      <c r="P29" s="258">
        <f>P22+1</f>
        <v>1981</v>
      </c>
      <c r="Q29" s="258">
        <v>7</v>
      </c>
      <c r="R29" s="259" t="s">
        <v>1551</v>
      </c>
      <c r="S29" s="254" t="str">
        <f t="shared" si="0"/>
        <v>7_1981</v>
      </c>
      <c r="T29" s="260">
        <f t="shared" si="1"/>
        <v>75</v>
      </c>
      <c r="U29" s="7"/>
      <c r="V29" s="7"/>
      <c r="W29" s="7"/>
      <c r="X29" s="7"/>
      <c r="Y29" s="7"/>
      <c r="Z29" s="7"/>
    </row>
    <row r="30" spans="1:26">
      <c r="A30" s="256">
        <v>1977</v>
      </c>
      <c r="B30" s="257">
        <v>41.7</v>
      </c>
      <c r="C30" s="257">
        <v>43</v>
      </c>
      <c r="D30" s="257">
        <v>44.1</v>
      </c>
      <c r="E30" s="257">
        <v>45.6</v>
      </c>
      <c r="F30" s="257">
        <v>45.7</v>
      </c>
      <c r="G30" s="257">
        <v>45.5</v>
      </c>
      <c r="H30" s="257">
        <v>46.7</v>
      </c>
      <c r="I30" s="257">
        <v>47.8</v>
      </c>
      <c r="J30" s="257">
        <v>47.3</v>
      </c>
      <c r="K30" s="257">
        <v>47.5</v>
      </c>
      <c r="L30" s="257">
        <v>46.6</v>
      </c>
      <c r="M30" s="257">
        <v>46.6</v>
      </c>
      <c r="N30" s="257">
        <v>45.7</v>
      </c>
      <c r="O30" s="7"/>
      <c r="P30" s="258">
        <f>P22+1</f>
        <v>1981</v>
      </c>
      <c r="Q30" s="258">
        <v>8</v>
      </c>
      <c r="R30" s="259" t="s">
        <v>1551</v>
      </c>
      <c r="S30" s="254" t="str">
        <f t="shared" si="0"/>
        <v>8_1981</v>
      </c>
      <c r="T30" s="260">
        <f t="shared" si="1"/>
        <v>75</v>
      </c>
      <c r="U30" s="7"/>
      <c r="V30" s="7"/>
      <c r="W30" s="7"/>
      <c r="X30" s="7"/>
      <c r="Y30" s="7"/>
      <c r="Z30" s="7"/>
    </row>
    <row r="31" spans="1:26">
      <c r="A31" s="256">
        <v>1978</v>
      </c>
      <c r="B31" s="257">
        <v>47.2</v>
      </c>
      <c r="C31" s="257">
        <v>47.8</v>
      </c>
      <c r="D31" s="257">
        <v>49.6</v>
      </c>
      <c r="E31" s="257">
        <v>49.9</v>
      </c>
      <c r="F31" s="257">
        <v>50.6</v>
      </c>
      <c r="G31" s="257">
        <v>51</v>
      </c>
      <c r="H31" s="257">
        <v>50.2</v>
      </c>
      <c r="I31" s="257">
        <v>50</v>
      </c>
      <c r="J31" s="257">
        <v>49.7</v>
      </c>
      <c r="K31" s="257">
        <v>50.1</v>
      </c>
      <c r="L31" s="257">
        <v>50</v>
      </c>
      <c r="M31" s="257">
        <v>50.2</v>
      </c>
      <c r="N31" s="257">
        <v>49.7</v>
      </c>
      <c r="O31" s="7"/>
      <c r="P31" s="258">
        <f>P22+1</f>
        <v>1981</v>
      </c>
      <c r="Q31" s="258">
        <v>9</v>
      </c>
      <c r="R31" s="259" t="s">
        <v>1551</v>
      </c>
      <c r="S31" s="254" t="str">
        <f t="shared" si="0"/>
        <v>9_1981</v>
      </c>
      <c r="T31" s="260">
        <f t="shared" si="1"/>
        <v>75</v>
      </c>
      <c r="U31" s="7"/>
      <c r="V31" s="7"/>
      <c r="W31" s="7"/>
      <c r="X31" s="7"/>
      <c r="Y31" s="7"/>
      <c r="Z31" s="7"/>
    </row>
    <row r="32" spans="1:26">
      <c r="A32" s="256">
        <v>1979</v>
      </c>
      <c r="B32" s="257">
        <v>50.4</v>
      </c>
      <c r="C32" s="257">
        <v>50.4</v>
      </c>
      <c r="D32" s="257">
        <v>51.9</v>
      </c>
      <c r="E32" s="257">
        <v>52.7</v>
      </c>
      <c r="F32" s="257">
        <v>53.7</v>
      </c>
      <c r="G32" s="257">
        <v>53.7</v>
      </c>
      <c r="H32" s="257">
        <v>54.7</v>
      </c>
      <c r="I32" s="257">
        <v>55.6</v>
      </c>
      <c r="J32" s="257">
        <v>55.8</v>
      </c>
      <c r="K32" s="257">
        <v>56.8</v>
      </c>
      <c r="L32" s="257">
        <v>57.2</v>
      </c>
      <c r="M32" s="257">
        <v>58.5</v>
      </c>
      <c r="N32" s="257">
        <v>54.3</v>
      </c>
      <c r="O32" s="7"/>
      <c r="P32" s="258">
        <f>P22+1</f>
        <v>1981</v>
      </c>
      <c r="Q32" s="258">
        <v>10</v>
      </c>
      <c r="R32" s="259" t="s">
        <v>1551</v>
      </c>
      <c r="S32" s="254" t="str">
        <f t="shared" si="0"/>
        <v>10_1981</v>
      </c>
      <c r="T32" s="260">
        <f t="shared" si="1"/>
        <v>75</v>
      </c>
      <c r="U32" s="7"/>
      <c r="V32" s="7"/>
      <c r="W32" s="7"/>
      <c r="X32" s="7"/>
      <c r="Y32" s="7"/>
      <c r="Z32" s="7"/>
    </row>
    <row r="33" spans="1:26">
      <c r="A33" s="256">
        <v>1980</v>
      </c>
      <c r="B33" s="257">
        <v>59.4</v>
      </c>
      <c r="C33" s="257">
        <v>60.4</v>
      </c>
      <c r="D33" s="257">
        <v>61.9</v>
      </c>
      <c r="E33" s="257">
        <v>63.1</v>
      </c>
      <c r="F33" s="257">
        <v>64.5</v>
      </c>
      <c r="G33" s="257">
        <v>65.8</v>
      </c>
      <c r="H33" s="257">
        <v>66.7</v>
      </c>
      <c r="I33" s="257">
        <v>67.599999999999994</v>
      </c>
      <c r="J33" s="257">
        <v>68.900000000000006</v>
      </c>
      <c r="K33" s="257">
        <v>69.2</v>
      </c>
      <c r="L33" s="257">
        <v>68.599999999999994</v>
      </c>
      <c r="M33" s="257">
        <v>69</v>
      </c>
      <c r="N33" s="257">
        <v>65.400000000000006</v>
      </c>
      <c r="O33" s="7"/>
      <c r="P33" s="258">
        <f>P22+1</f>
        <v>1981</v>
      </c>
      <c r="Q33" s="258">
        <v>11</v>
      </c>
      <c r="R33" s="259" t="s">
        <v>1551</v>
      </c>
      <c r="S33" s="254" t="str">
        <f t="shared" si="0"/>
        <v>11_1981</v>
      </c>
      <c r="T33" s="260">
        <f t="shared" si="1"/>
        <v>75</v>
      </c>
      <c r="U33" s="7"/>
      <c r="V33" s="7"/>
      <c r="W33" s="7"/>
      <c r="X33" s="7"/>
      <c r="Y33" s="7"/>
      <c r="Z33" s="7"/>
    </row>
    <row r="34" spans="1:26">
      <c r="A34" s="256">
        <v>1981</v>
      </c>
      <c r="B34" s="257">
        <v>69.900000000000006</v>
      </c>
      <c r="C34" s="257">
        <v>70.8</v>
      </c>
      <c r="D34" s="257">
        <v>71.7</v>
      </c>
      <c r="E34" s="257">
        <v>72</v>
      </c>
      <c r="F34" s="257">
        <v>73.599999999999994</v>
      </c>
      <c r="G34" s="257">
        <v>74.900000000000006</v>
      </c>
      <c r="H34" s="257">
        <v>76.3</v>
      </c>
      <c r="I34" s="257">
        <v>78.900000000000006</v>
      </c>
      <c r="J34" s="257">
        <v>78.2</v>
      </c>
      <c r="K34" s="257">
        <v>77.7</v>
      </c>
      <c r="L34" s="257">
        <v>77.7</v>
      </c>
      <c r="M34" s="257">
        <v>78.8</v>
      </c>
      <c r="N34" s="257">
        <v>75</v>
      </c>
      <c r="O34" s="7"/>
      <c r="P34" s="258">
        <f>P22+1</f>
        <v>1981</v>
      </c>
      <c r="Q34" s="258">
        <v>12</v>
      </c>
      <c r="R34" s="259" t="s">
        <v>1551</v>
      </c>
      <c r="S34" s="254" t="str">
        <f t="shared" si="0"/>
        <v>12_1981</v>
      </c>
      <c r="T34" s="260">
        <f t="shared" si="1"/>
        <v>75</v>
      </c>
      <c r="U34" s="7"/>
      <c r="V34" s="7"/>
      <c r="W34" s="7"/>
      <c r="X34" s="7"/>
      <c r="Y34" s="7"/>
      <c r="Z34" s="7"/>
    </row>
    <row r="35" spans="1:26">
      <c r="A35" s="256">
        <v>1982</v>
      </c>
      <c r="B35" s="257">
        <v>80.8</v>
      </c>
      <c r="C35" s="257">
        <v>80.900000000000006</v>
      </c>
      <c r="D35" s="257">
        <v>83.9</v>
      </c>
      <c r="E35" s="257">
        <v>84.1</v>
      </c>
      <c r="F35" s="257">
        <v>83.8</v>
      </c>
      <c r="G35" s="257">
        <v>83.8</v>
      </c>
      <c r="H35" s="257">
        <v>85.9</v>
      </c>
      <c r="I35" s="257">
        <v>85.8</v>
      </c>
      <c r="J35" s="257">
        <v>85.6</v>
      </c>
      <c r="K35" s="257">
        <v>84.7</v>
      </c>
      <c r="L35" s="257">
        <v>84.3</v>
      </c>
      <c r="M35" s="257">
        <v>85.5</v>
      </c>
      <c r="N35" s="257">
        <v>84.1</v>
      </c>
      <c r="O35" s="7"/>
      <c r="P35" s="258">
        <f>P34+1</f>
        <v>1982</v>
      </c>
      <c r="Q35" s="258">
        <v>1</v>
      </c>
      <c r="R35" s="259" t="s">
        <v>1551</v>
      </c>
      <c r="S35" s="254" t="str">
        <f t="shared" si="0"/>
        <v>1_1982</v>
      </c>
      <c r="T35" s="260">
        <f t="shared" si="1"/>
        <v>84.1</v>
      </c>
      <c r="U35" s="7"/>
      <c r="V35" s="7"/>
      <c r="W35" s="7"/>
      <c r="X35" s="7"/>
      <c r="Y35" s="7"/>
      <c r="Z35" s="7"/>
    </row>
    <row r="36" spans="1:26">
      <c r="A36" s="256">
        <v>1983</v>
      </c>
      <c r="B36" s="257">
        <v>85.6</v>
      </c>
      <c r="C36" s="257">
        <v>85.6</v>
      </c>
      <c r="D36" s="257">
        <v>85.6</v>
      </c>
      <c r="E36" s="257">
        <v>85.3</v>
      </c>
      <c r="F36" s="257">
        <v>85.8</v>
      </c>
      <c r="G36" s="257">
        <v>87.2</v>
      </c>
      <c r="H36" s="257">
        <v>88</v>
      </c>
      <c r="I36" s="257">
        <v>87.8</v>
      </c>
      <c r="J36" s="257">
        <v>88</v>
      </c>
      <c r="K36" s="257">
        <v>88.1</v>
      </c>
      <c r="L36" s="257">
        <v>86.7</v>
      </c>
      <c r="M36" s="257">
        <v>86.7</v>
      </c>
      <c r="N36" s="257">
        <v>86.7</v>
      </c>
      <c r="O36" s="7"/>
      <c r="P36" s="258">
        <f>P34+1</f>
        <v>1982</v>
      </c>
      <c r="Q36" s="258">
        <v>2</v>
      </c>
      <c r="R36" s="259" t="s">
        <v>1551</v>
      </c>
      <c r="S36" s="254" t="str">
        <f t="shared" si="0"/>
        <v>2_1982</v>
      </c>
      <c r="T36" s="260">
        <f t="shared" si="1"/>
        <v>84.1</v>
      </c>
      <c r="U36" s="7"/>
      <c r="V36" s="7"/>
      <c r="W36" s="7"/>
      <c r="X36" s="7"/>
      <c r="Y36" s="7"/>
      <c r="Z36" s="7"/>
    </row>
    <row r="37" spans="1:26">
      <c r="A37" s="256">
        <v>1984</v>
      </c>
      <c r="B37" s="257">
        <v>87.3</v>
      </c>
      <c r="C37" s="257">
        <v>87.9</v>
      </c>
      <c r="D37" s="257">
        <v>88.5</v>
      </c>
      <c r="E37" s="257">
        <v>89.8</v>
      </c>
      <c r="F37" s="257">
        <v>90.4</v>
      </c>
      <c r="G37" s="257">
        <v>92.2</v>
      </c>
      <c r="H37" s="257">
        <v>93.3</v>
      </c>
      <c r="I37" s="257">
        <v>93.8</v>
      </c>
      <c r="J37" s="257">
        <v>93.7</v>
      </c>
      <c r="K37" s="257">
        <v>92.6</v>
      </c>
      <c r="L37" s="257">
        <v>92.1</v>
      </c>
      <c r="M37" s="257">
        <v>92.1</v>
      </c>
      <c r="N37" s="257">
        <v>91.1</v>
      </c>
      <c r="O37" s="7"/>
      <c r="P37" s="258">
        <f>P34+1</f>
        <v>1982</v>
      </c>
      <c r="Q37" s="258">
        <v>3</v>
      </c>
      <c r="R37" s="259" t="s">
        <v>1551</v>
      </c>
      <c r="S37" s="254" t="str">
        <f t="shared" si="0"/>
        <v>3_1982</v>
      </c>
      <c r="T37" s="260">
        <f t="shared" si="1"/>
        <v>84.1</v>
      </c>
      <c r="U37" s="7"/>
      <c r="V37" s="7"/>
      <c r="W37" s="7"/>
      <c r="X37" s="7"/>
      <c r="Y37" s="7"/>
      <c r="Z37" s="7"/>
    </row>
    <row r="38" spans="1:26">
      <c r="A38" s="256">
        <v>1985</v>
      </c>
      <c r="B38" s="257">
        <v>93.1</v>
      </c>
      <c r="C38" s="257">
        <v>93.2</v>
      </c>
      <c r="D38" s="257">
        <v>93.7</v>
      </c>
      <c r="E38" s="257">
        <v>94.3</v>
      </c>
      <c r="F38" s="257">
        <v>94.1</v>
      </c>
      <c r="G38" s="257">
        <v>95.8</v>
      </c>
      <c r="H38" s="257">
        <v>95.9</v>
      </c>
      <c r="I38" s="257">
        <v>96.3</v>
      </c>
      <c r="J38" s="257">
        <v>96</v>
      </c>
      <c r="K38" s="257">
        <v>95.5</v>
      </c>
      <c r="L38" s="257">
        <v>95.1</v>
      </c>
      <c r="M38" s="257">
        <v>95</v>
      </c>
      <c r="N38" s="257">
        <v>94.8</v>
      </c>
      <c r="O38" s="7"/>
      <c r="P38" s="258">
        <f>P34+1</f>
        <v>1982</v>
      </c>
      <c r="Q38" s="258">
        <v>4</v>
      </c>
      <c r="R38" s="259" t="s">
        <v>1551</v>
      </c>
      <c r="S38" s="254" t="str">
        <f t="shared" si="0"/>
        <v>4_1982</v>
      </c>
      <c r="T38" s="260">
        <f t="shared" si="1"/>
        <v>84.1</v>
      </c>
      <c r="U38" s="7"/>
      <c r="V38" s="7"/>
      <c r="W38" s="7"/>
      <c r="X38" s="7"/>
      <c r="Y38" s="7"/>
      <c r="Z38" s="7"/>
    </row>
    <row r="39" spans="1:26">
      <c r="A39" s="256">
        <v>1986</v>
      </c>
      <c r="B39" s="257">
        <v>96</v>
      </c>
      <c r="C39" s="257">
        <v>96.7</v>
      </c>
      <c r="D39" s="257">
        <v>96.2</v>
      </c>
      <c r="E39" s="257">
        <v>95.6</v>
      </c>
      <c r="F39" s="257">
        <v>95.9</v>
      </c>
      <c r="G39" s="257">
        <v>96.9</v>
      </c>
      <c r="H39" s="257">
        <v>97.7</v>
      </c>
      <c r="I39" s="257">
        <v>97.8</v>
      </c>
      <c r="J39" s="257">
        <v>97.8</v>
      </c>
      <c r="K39" s="257">
        <v>95.1</v>
      </c>
      <c r="L39" s="257">
        <v>94.8</v>
      </c>
      <c r="M39" s="257">
        <v>94.5</v>
      </c>
      <c r="N39" s="257">
        <v>96.3</v>
      </c>
      <c r="O39" s="7"/>
      <c r="P39" s="258">
        <f>P34+1</f>
        <v>1982</v>
      </c>
      <c r="Q39" s="258">
        <v>5</v>
      </c>
      <c r="R39" s="259" t="s">
        <v>1551</v>
      </c>
      <c r="S39" s="254" t="str">
        <f t="shared" si="0"/>
        <v>5_1982</v>
      </c>
      <c r="T39" s="260">
        <f t="shared" si="1"/>
        <v>84.1</v>
      </c>
      <c r="U39" s="7"/>
      <c r="V39" s="7"/>
      <c r="W39" s="7"/>
      <c r="X39" s="7"/>
      <c r="Y39" s="7"/>
      <c r="Z39" s="7"/>
    </row>
    <row r="40" spans="1:26">
      <c r="A40" s="256">
        <v>1987</v>
      </c>
      <c r="B40" s="257">
        <v>92.7</v>
      </c>
      <c r="C40" s="257">
        <v>92.3</v>
      </c>
      <c r="D40" s="257">
        <v>92.7</v>
      </c>
      <c r="E40" s="257">
        <v>92.4</v>
      </c>
      <c r="F40" s="257">
        <v>94</v>
      </c>
      <c r="G40" s="257">
        <v>95.8</v>
      </c>
      <c r="H40" s="257">
        <v>97.7</v>
      </c>
      <c r="I40" s="257">
        <v>97.3</v>
      </c>
      <c r="J40" s="257">
        <v>97.1</v>
      </c>
      <c r="K40" s="257">
        <v>93.3</v>
      </c>
      <c r="L40" s="257">
        <v>91.8</v>
      </c>
      <c r="M40" s="257">
        <v>92.2</v>
      </c>
      <c r="N40" s="257">
        <v>94.1</v>
      </c>
      <c r="O40" s="7"/>
      <c r="P40" s="258">
        <f>P34+1</f>
        <v>1982</v>
      </c>
      <c r="Q40" s="258">
        <v>6</v>
      </c>
      <c r="R40" s="259" t="s">
        <v>1551</v>
      </c>
      <c r="S40" s="254" t="str">
        <f t="shared" si="0"/>
        <v>6_1982</v>
      </c>
      <c r="T40" s="260">
        <f t="shared" si="1"/>
        <v>84.1</v>
      </c>
      <c r="U40" s="7"/>
      <c r="V40" s="7"/>
      <c r="W40" s="7"/>
      <c r="X40" s="7"/>
      <c r="Y40" s="7"/>
      <c r="Z40" s="7"/>
    </row>
    <row r="41" spans="1:26">
      <c r="A41" s="256">
        <v>1988</v>
      </c>
      <c r="B41" s="257">
        <v>91.5</v>
      </c>
      <c r="C41" s="257">
        <v>91.7</v>
      </c>
      <c r="D41" s="257">
        <v>91.6</v>
      </c>
      <c r="E41" s="257">
        <v>91.7</v>
      </c>
      <c r="F41" s="257">
        <v>91.6</v>
      </c>
      <c r="G41" s="257">
        <v>98.5</v>
      </c>
      <c r="H41" s="257">
        <v>99.4</v>
      </c>
      <c r="I41" s="257">
        <v>99.5</v>
      </c>
      <c r="J41" s="257">
        <v>99.7</v>
      </c>
      <c r="K41" s="257">
        <v>96</v>
      </c>
      <c r="L41" s="257">
        <v>91.8</v>
      </c>
      <c r="M41" s="257">
        <v>92.9</v>
      </c>
      <c r="N41" s="257">
        <v>94.7</v>
      </c>
      <c r="O41" s="7"/>
      <c r="P41" s="258">
        <f>P34+1</f>
        <v>1982</v>
      </c>
      <c r="Q41" s="258">
        <v>7</v>
      </c>
      <c r="R41" s="259" t="s">
        <v>1551</v>
      </c>
      <c r="S41" s="254" t="str">
        <f t="shared" si="0"/>
        <v>7_1982</v>
      </c>
      <c r="T41" s="260">
        <f t="shared" si="1"/>
        <v>84.1</v>
      </c>
      <c r="U41" s="7"/>
      <c r="V41" s="7"/>
      <c r="W41" s="7"/>
      <c r="X41" s="7"/>
      <c r="Y41" s="7"/>
      <c r="Z41" s="7"/>
    </row>
    <row r="42" spans="1:26">
      <c r="A42" s="256">
        <v>1989</v>
      </c>
      <c r="B42" s="257">
        <v>94.2</v>
      </c>
      <c r="C42" s="257">
        <v>94.2</v>
      </c>
      <c r="D42" s="257">
        <v>94.4</v>
      </c>
      <c r="E42" s="257">
        <v>94.5</v>
      </c>
      <c r="F42" s="257">
        <v>95.5</v>
      </c>
      <c r="G42" s="257">
        <v>100.7</v>
      </c>
      <c r="H42" s="257">
        <v>102.8</v>
      </c>
      <c r="I42" s="257">
        <v>102.9</v>
      </c>
      <c r="J42" s="257">
        <v>103</v>
      </c>
      <c r="K42" s="257">
        <v>98.5</v>
      </c>
      <c r="L42" s="257">
        <v>95.4</v>
      </c>
      <c r="M42" s="257">
        <v>96</v>
      </c>
      <c r="N42" s="257">
        <v>97.7</v>
      </c>
      <c r="O42" s="7"/>
      <c r="P42" s="258">
        <f>P34+1</f>
        <v>1982</v>
      </c>
      <c r="Q42" s="258">
        <v>8</v>
      </c>
      <c r="R42" s="259" t="s">
        <v>1551</v>
      </c>
      <c r="S42" s="254" t="str">
        <f t="shared" si="0"/>
        <v>8_1982</v>
      </c>
      <c r="T42" s="260">
        <f t="shared" si="1"/>
        <v>84.1</v>
      </c>
      <c r="U42" s="7"/>
      <c r="V42" s="7"/>
      <c r="W42" s="7"/>
      <c r="X42" s="7"/>
      <c r="Y42" s="7"/>
      <c r="Z42" s="7"/>
    </row>
    <row r="43" spans="1:26">
      <c r="A43" s="256">
        <v>1990</v>
      </c>
      <c r="B43" s="257">
        <v>96.6</v>
      </c>
      <c r="C43" s="257">
        <v>96.7</v>
      </c>
      <c r="D43" s="257">
        <v>97</v>
      </c>
      <c r="E43" s="257">
        <v>96.8</v>
      </c>
      <c r="F43" s="257">
        <v>98.3</v>
      </c>
      <c r="G43" s="257">
        <v>104.2</v>
      </c>
      <c r="H43" s="257">
        <v>104.6</v>
      </c>
      <c r="I43" s="257">
        <v>104.8</v>
      </c>
      <c r="J43" s="257">
        <v>105.1</v>
      </c>
      <c r="K43" s="257">
        <v>101.9</v>
      </c>
      <c r="L43" s="257">
        <v>101</v>
      </c>
      <c r="M43" s="257">
        <v>100</v>
      </c>
      <c r="N43" s="257">
        <v>100.6</v>
      </c>
      <c r="O43" s="7"/>
      <c r="P43" s="258">
        <f>P34+1</f>
        <v>1982</v>
      </c>
      <c r="Q43" s="258">
        <v>9</v>
      </c>
      <c r="R43" s="259" t="s">
        <v>1551</v>
      </c>
      <c r="S43" s="254" t="str">
        <f t="shared" si="0"/>
        <v>9_1982</v>
      </c>
      <c r="T43" s="260">
        <f t="shared" si="1"/>
        <v>84.1</v>
      </c>
      <c r="U43" s="7"/>
      <c r="V43" s="7"/>
      <c r="W43" s="7"/>
      <c r="X43" s="7"/>
      <c r="Y43" s="7"/>
      <c r="Z43" s="7"/>
    </row>
    <row r="44" spans="1:26">
      <c r="A44" s="256">
        <v>1991</v>
      </c>
      <c r="B44" s="257">
        <v>104.4</v>
      </c>
      <c r="C44" s="257">
        <v>104.5</v>
      </c>
      <c r="D44" s="257">
        <v>104.5</v>
      </c>
      <c r="E44" s="257">
        <v>104.8</v>
      </c>
      <c r="F44" s="257">
        <v>107.8</v>
      </c>
      <c r="G44" s="257">
        <v>111.5</v>
      </c>
      <c r="H44" s="257">
        <v>113.1</v>
      </c>
      <c r="I44" s="257">
        <v>112.5</v>
      </c>
      <c r="J44" s="257">
        <v>112.5</v>
      </c>
      <c r="K44" s="257">
        <v>107.9</v>
      </c>
      <c r="L44" s="257">
        <v>103.5</v>
      </c>
      <c r="M44" s="257">
        <v>105.2</v>
      </c>
      <c r="N44" s="257">
        <v>107.7</v>
      </c>
      <c r="O44" s="7"/>
      <c r="P44" s="258">
        <f>P34+1</f>
        <v>1982</v>
      </c>
      <c r="Q44" s="258">
        <v>10</v>
      </c>
      <c r="R44" s="259" t="s">
        <v>1551</v>
      </c>
      <c r="S44" s="254" t="str">
        <f t="shared" si="0"/>
        <v>10_1982</v>
      </c>
      <c r="T44" s="260">
        <f t="shared" si="1"/>
        <v>84.1</v>
      </c>
      <c r="U44" s="7"/>
      <c r="V44" s="7"/>
      <c r="W44" s="7"/>
      <c r="X44" s="7"/>
      <c r="Y44" s="7"/>
      <c r="Z44" s="7"/>
    </row>
    <row r="45" spans="1:26">
      <c r="A45" s="256">
        <v>1992</v>
      </c>
      <c r="B45" s="257">
        <v>105.9</v>
      </c>
      <c r="C45" s="257">
        <v>105.4</v>
      </c>
      <c r="D45" s="257">
        <v>105.7</v>
      </c>
      <c r="E45" s="257">
        <v>105</v>
      </c>
      <c r="F45" s="257">
        <v>108</v>
      </c>
      <c r="G45" s="257">
        <v>113.3</v>
      </c>
      <c r="H45" s="257">
        <v>114</v>
      </c>
      <c r="I45" s="257">
        <v>113.6</v>
      </c>
      <c r="J45" s="257">
        <v>114.3</v>
      </c>
      <c r="K45" s="257">
        <v>110.3</v>
      </c>
      <c r="L45" s="257">
        <v>105.5</v>
      </c>
      <c r="M45" s="257">
        <v>106.6</v>
      </c>
      <c r="N45" s="257">
        <v>109</v>
      </c>
      <c r="O45" s="7"/>
      <c r="P45" s="258">
        <f>P34+1</f>
        <v>1982</v>
      </c>
      <c r="Q45" s="258">
        <v>11</v>
      </c>
      <c r="R45" s="259" t="s">
        <v>1551</v>
      </c>
      <c r="S45" s="254" t="str">
        <f t="shared" si="0"/>
        <v>11_1982</v>
      </c>
      <c r="T45" s="260">
        <f t="shared" si="1"/>
        <v>84.1</v>
      </c>
      <c r="U45" s="7"/>
      <c r="V45" s="7"/>
      <c r="W45" s="7"/>
      <c r="X45" s="7"/>
      <c r="Y45" s="7"/>
      <c r="Z45" s="7"/>
    </row>
    <row r="46" spans="1:26">
      <c r="A46" s="256">
        <v>1993</v>
      </c>
      <c r="B46" s="257">
        <v>106.9</v>
      </c>
      <c r="C46" s="257">
        <v>106.3</v>
      </c>
      <c r="D46" s="257">
        <v>106.5</v>
      </c>
      <c r="E46" s="257">
        <v>106.7</v>
      </c>
      <c r="F46" s="257">
        <v>107.2</v>
      </c>
      <c r="G46" s="257">
        <v>115.1</v>
      </c>
      <c r="H46" s="257">
        <v>115.3</v>
      </c>
      <c r="I46" s="257">
        <v>115.4</v>
      </c>
      <c r="J46" s="257">
        <v>115.7</v>
      </c>
      <c r="K46" s="257">
        <v>110.9</v>
      </c>
      <c r="L46" s="257">
        <v>106.2</v>
      </c>
      <c r="M46" s="257">
        <v>106</v>
      </c>
      <c r="N46" s="257">
        <v>109.8</v>
      </c>
      <c r="O46" s="7"/>
      <c r="P46" s="258">
        <f>P34+1</f>
        <v>1982</v>
      </c>
      <c r="Q46" s="258">
        <v>12</v>
      </c>
      <c r="R46" s="259" t="s">
        <v>1551</v>
      </c>
      <c r="S46" s="254" t="str">
        <f t="shared" si="0"/>
        <v>12_1982</v>
      </c>
      <c r="T46" s="260">
        <f t="shared" si="1"/>
        <v>84.1</v>
      </c>
      <c r="U46" s="7"/>
      <c r="V46" s="7"/>
      <c r="W46" s="7"/>
      <c r="X46" s="7"/>
      <c r="Y46" s="7"/>
      <c r="Z46" s="7"/>
    </row>
    <row r="47" spans="1:26">
      <c r="A47" s="256">
        <v>1994</v>
      </c>
      <c r="B47" s="257">
        <v>106.1</v>
      </c>
      <c r="C47" s="257">
        <v>105.9</v>
      </c>
      <c r="D47" s="257">
        <v>105.8</v>
      </c>
      <c r="E47" s="257">
        <v>105.4</v>
      </c>
      <c r="F47" s="257">
        <v>105.9</v>
      </c>
      <c r="G47" s="257">
        <v>112.2</v>
      </c>
      <c r="H47" s="257">
        <v>113.1</v>
      </c>
      <c r="I47" s="257">
        <v>113.1</v>
      </c>
      <c r="J47" s="257">
        <v>113.4</v>
      </c>
      <c r="K47" s="257">
        <v>108.5</v>
      </c>
      <c r="L47" s="257">
        <v>106.8</v>
      </c>
      <c r="M47" s="257">
        <v>107.2</v>
      </c>
      <c r="N47" s="257">
        <v>108.6</v>
      </c>
      <c r="O47" s="7"/>
      <c r="P47" s="258">
        <f>P46+1</f>
        <v>1983</v>
      </c>
      <c r="Q47" s="258">
        <v>1</v>
      </c>
      <c r="R47" s="259" t="s">
        <v>1551</v>
      </c>
      <c r="S47" s="254" t="str">
        <f t="shared" si="0"/>
        <v>1_1983</v>
      </c>
      <c r="T47" s="260">
        <f t="shared" si="1"/>
        <v>86.7</v>
      </c>
      <c r="U47" s="7"/>
      <c r="V47" s="7"/>
      <c r="W47" s="7"/>
      <c r="X47" s="7"/>
      <c r="Y47" s="7"/>
      <c r="Z47" s="7"/>
    </row>
    <row r="48" spans="1:26">
      <c r="A48" s="256">
        <v>1995</v>
      </c>
      <c r="B48" s="257">
        <v>107.3</v>
      </c>
      <c r="C48" s="257">
        <v>107.6</v>
      </c>
      <c r="D48" s="257">
        <v>107.9</v>
      </c>
      <c r="E48" s="257">
        <v>106.3</v>
      </c>
      <c r="F48" s="257">
        <v>109.5</v>
      </c>
      <c r="G48" s="257">
        <v>113.8</v>
      </c>
      <c r="H48" s="257">
        <v>114.9</v>
      </c>
      <c r="I48" s="257">
        <v>114.8</v>
      </c>
      <c r="J48" s="257">
        <v>112.4</v>
      </c>
      <c r="K48" s="257">
        <v>110.5</v>
      </c>
      <c r="L48" s="257">
        <v>107.3</v>
      </c>
      <c r="M48" s="257">
        <v>107.4</v>
      </c>
      <c r="N48" s="257">
        <v>110</v>
      </c>
      <c r="O48" s="7"/>
      <c r="P48" s="258">
        <f>P46+1</f>
        <v>1983</v>
      </c>
      <c r="Q48" s="258">
        <v>2</v>
      </c>
      <c r="R48" s="259" t="s">
        <v>1551</v>
      </c>
      <c r="S48" s="254" t="str">
        <f t="shared" si="0"/>
        <v>2_1983</v>
      </c>
      <c r="T48" s="260">
        <f t="shared" si="1"/>
        <v>86.7</v>
      </c>
      <c r="U48" s="7"/>
      <c r="V48" s="7"/>
      <c r="W48" s="7"/>
      <c r="X48" s="7"/>
      <c r="Y48" s="7"/>
      <c r="Z48" s="7"/>
    </row>
    <row r="49" spans="1:26">
      <c r="A49" s="256">
        <v>1996</v>
      </c>
      <c r="B49" s="257">
        <v>107.5</v>
      </c>
      <c r="C49" s="257">
        <v>106.8</v>
      </c>
      <c r="D49" s="257">
        <v>107.4</v>
      </c>
      <c r="E49" s="257">
        <v>108.6</v>
      </c>
      <c r="F49" s="257">
        <v>113.6</v>
      </c>
      <c r="G49" s="257">
        <v>115.7</v>
      </c>
      <c r="H49" s="257">
        <v>114.3</v>
      </c>
      <c r="I49" s="257">
        <v>114.5</v>
      </c>
      <c r="J49" s="257">
        <v>114.5</v>
      </c>
      <c r="K49" s="257">
        <v>110.3</v>
      </c>
      <c r="L49" s="257">
        <v>106.8</v>
      </c>
      <c r="M49" s="257">
        <v>107.4</v>
      </c>
      <c r="N49" s="257">
        <v>110.6</v>
      </c>
      <c r="O49" s="7"/>
      <c r="P49" s="258">
        <f>P46+1</f>
        <v>1983</v>
      </c>
      <c r="Q49" s="258">
        <v>3</v>
      </c>
      <c r="R49" s="259" t="s">
        <v>1551</v>
      </c>
      <c r="S49" s="254" t="str">
        <f t="shared" si="0"/>
        <v>3_1983</v>
      </c>
      <c r="T49" s="260">
        <f t="shared" si="1"/>
        <v>86.7</v>
      </c>
      <c r="U49" s="7"/>
      <c r="V49" s="7"/>
      <c r="W49" s="7"/>
      <c r="X49" s="7"/>
      <c r="Y49" s="7"/>
      <c r="Z49" s="7"/>
    </row>
    <row r="50" spans="1:26">
      <c r="A50" s="256">
        <v>1997</v>
      </c>
      <c r="B50" s="257">
        <v>107.9</v>
      </c>
      <c r="C50" s="257">
        <v>107.7</v>
      </c>
      <c r="D50" s="257">
        <v>107.8</v>
      </c>
      <c r="E50" s="257">
        <v>107.1</v>
      </c>
      <c r="F50" s="257">
        <v>109.1</v>
      </c>
      <c r="G50" s="257">
        <v>113.6</v>
      </c>
      <c r="H50" s="257">
        <v>114.3</v>
      </c>
      <c r="I50" s="257">
        <v>113.2</v>
      </c>
      <c r="J50" s="257">
        <v>114.4</v>
      </c>
      <c r="K50" s="257">
        <v>109.4</v>
      </c>
      <c r="L50" s="257">
        <v>107.5</v>
      </c>
      <c r="M50" s="257">
        <v>107.9</v>
      </c>
      <c r="N50" s="257">
        <v>110</v>
      </c>
      <c r="O50" s="7"/>
      <c r="P50" s="258">
        <f>P46+1</f>
        <v>1983</v>
      </c>
      <c r="Q50" s="258">
        <v>4</v>
      </c>
      <c r="R50" s="259" t="s">
        <v>1551</v>
      </c>
      <c r="S50" s="254" t="str">
        <f t="shared" si="0"/>
        <v>4_1983</v>
      </c>
      <c r="T50" s="260">
        <f t="shared" si="1"/>
        <v>86.7</v>
      </c>
      <c r="U50" s="7"/>
      <c r="V50" s="7"/>
      <c r="W50" s="7"/>
      <c r="X50" s="7"/>
      <c r="Y50" s="7"/>
      <c r="Z50" s="7"/>
    </row>
    <row r="51" spans="1:26">
      <c r="A51" s="256">
        <v>1998</v>
      </c>
      <c r="B51" s="257">
        <v>107.1</v>
      </c>
      <c r="C51" s="257">
        <v>106.9</v>
      </c>
      <c r="D51" s="257">
        <v>106.5</v>
      </c>
      <c r="E51" s="257">
        <v>106.2</v>
      </c>
      <c r="F51" s="257">
        <v>108.6</v>
      </c>
      <c r="G51" s="257">
        <v>112.5</v>
      </c>
      <c r="H51" s="257">
        <v>113.3</v>
      </c>
      <c r="I51" s="257">
        <v>113.7</v>
      </c>
      <c r="J51" s="257">
        <v>113.7</v>
      </c>
      <c r="K51" s="257">
        <v>109.6</v>
      </c>
      <c r="L51" s="257">
        <v>107.3</v>
      </c>
      <c r="M51" s="257">
        <v>106.5</v>
      </c>
      <c r="N51" s="257">
        <v>109.3</v>
      </c>
      <c r="O51" s="7"/>
      <c r="P51" s="258">
        <f>P46+1</f>
        <v>1983</v>
      </c>
      <c r="Q51" s="258">
        <v>5</v>
      </c>
      <c r="R51" s="259" t="s">
        <v>1551</v>
      </c>
      <c r="S51" s="254" t="str">
        <f t="shared" si="0"/>
        <v>5_1983</v>
      </c>
      <c r="T51" s="260">
        <f t="shared" si="1"/>
        <v>86.7</v>
      </c>
      <c r="U51" s="7"/>
      <c r="V51" s="7"/>
      <c r="W51" s="7"/>
      <c r="X51" s="7"/>
      <c r="Y51" s="7"/>
      <c r="Z51" s="7"/>
    </row>
    <row r="52" spans="1:26">
      <c r="A52" s="256">
        <v>1999</v>
      </c>
      <c r="B52" s="257">
        <v>106</v>
      </c>
      <c r="C52" s="257">
        <v>105.5</v>
      </c>
      <c r="D52" s="257">
        <v>105.6</v>
      </c>
      <c r="E52" s="257">
        <v>105.3</v>
      </c>
      <c r="F52" s="257">
        <v>107.1</v>
      </c>
      <c r="G52" s="257">
        <v>110.7</v>
      </c>
      <c r="H52" s="257">
        <v>112.6</v>
      </c>
      <c r="I52" s="257">
        <v>112.6</v>
      </c>
      <c r="J52" s="257">
        <v>112.7</v>
      </c>
      <c r="K52" s="257">
        <v>108.9</v>
      </c>
      <c r="L52" s="257">
        <v>107.2</v>
      </c>
      <c r="M52" s="257">
        <v>106.4</v>
      </c>
      <c r="N52" s="257">
        <v>108.4</v>
      </c>
      <c r="O52" s="7"/>
      <c r="P52" s="258">
        <f>P46+1</f>
        <v>1983</v>
      </c>
      <c r="Q52" s="258">
        <v>6</v>
      </c>
      <c r="R52" s="259" t="s">
        <v>1551</v>
      </c>
      <c r="S52" s="254" t="str">
        <f t="shared" si="0"/>
        <v>6_1983</v>
      </c>
      <c r="T52" s="260">
        <f t="shared" si="1"/>
        <v>86.7</v>
      </c>
      <c r="U52" s="7"/>
      <c r="V52" s="7"/>
      <c r="W52" s="7"/>
      <c r="X52" s="7"/>
      <c r="Y52" s="7"/>
      <c r="Z52" s="7"/>
    </row>
    <row r="53" spans="1:26">
      <c r="A53" s="256">
        <v>2000</v>
      </c>
      <c r="B53" s="257">
        <v>106.6</v>
      </c>
      <c r="C53" s="257">
        <v>106.5</v>
      </c>
      <c r="D53" s="257">
        <v>106.5</v>
      </c>
      <c r="E53" s="257">
        <v>106.6</v>
      </c>
      <c r="F53" s="257">
        <v>108.1</v>
      </c>
      <c r="G53" s="257">
        <v>112.3</v>
      </c>
      <c r="H53" s="257">
        <v>114.5</v>
      </c>
      <c r="I53" s="257">
        <v>115.5</v>
      </c>
      <c r="J53" s="257">
        <v>115.8</v>
      </c>
      <c r="K53" s="257">
        <v>112.7</v>
      </c>
      <c r="L53" s="257">
        <v>110</v>
      </c>
      <c r="M53" s="257">
        <v>111.6</v>
      </c>
      <c r="N53" s="257">
        <v>110.6</v>
      </c>
      <c r="O53" s="7"/>
      <c r="P53" s="258">
        <f>P46+1</f>
        <v>1983</v>
      </c>
      <c r="Q53" s="258">
        <v>7</v>
      </c>
      <c r="R53" s="259" t="s">
        <v>1551</v>
      </c>
      <c r="S53" s="254" t="str">
        <f t="shared" si="0"/>
        <v>7_1983</v>
      </c>
      <c r="T53" s="260">
        <f t="shared" si="1"/>
        <v>86.7</v>
      </c>
      <c r="U53" s="7"/>
      <c r="V53" s="7"/>
      <c r="W53" s="7"/>
      <c r="X53" s="7"/>
      <c r="Y53" s="7"/>
      <c r="Z53" s="7"/>
    </row>
    <row r="54" spans="1:26">
      <c r="A54" s="256">
        <v>2001</v>
      </c>
      <c r="B54" s="257">
        <v>114.7</v>
      </c>
      <c r="C54" s="257">
        <v>114.7</v>
      </c>
      <c r="D54" s="257">
        <v>114.8</v>
      </c>
      <c r="E54" s="257">
        <v>113.6</v>
      </c>
      <c r="F54" s="257">
        <v>114.5</v>
      </c>
      <c r="G54" s="257">
        <v>124.8</v>
      </c>
      <c r="H54" s="257">
        <v>125.7</v>
      </c>
      <c r="I54" s="257">
        <v>125.2</v>
      </c>
      <c r="J54" s="257">
        <v>124.7</v>
      </c>
      <c r="K54" s="257">
        <v>120.9</v>
      </c>
      <c r="L54" s="257">
        <v>115.5</v>
      </c>
      <c r="M54" s="257">
        <v>115.1</v>
      </c>
      <c r="N54" s="257">
        <v>118.7</v>
      </c>
      <c r="O54" s="7"/>
      <c r="P54" s="258">
        <f>P46+1</f>
        <v>1983</v>
      </c>
      <c r="Q54" s="258">
        <v>8</v>
      </c>
      <c r="R54" s="259" t="s">
        <v>1551</v>
      </c>
      <c r="S54" s="254" t="str">
        <f t="shared" si="0"/>
        <v>8_1983</v>
      </c>
      <c r="T54" s="260">
        <f t="shared" si="1"/>
        <v>86.7</v>
      </c>
      <c r="U54" s="7"/>
      <c r="V54" s="7"/>
      <c r="W54" s="7"/>
      <c r="X54" s="7"/>
      <c r="Y54" s="7"/>
      <c r="Z54" s="7"/>
    </row>
    <row r="55" spans="1:26">
      <c r="A55" s="256">
        <v>2002</v>
      </c>
      <c r="B55" s="257">
        <v>114.6</v>
      </c>
      <c r="C55" s="257">
        <v>113.9</v>
      </c>
      <c r="D55" s="257">
        <v>114.1</v>
      </c>
      <c r="E55" s="257">
        <v>113.9</v>
      </c>
      <c r="F55" s="257">
        <v>115.9</v>
      </c>
      <c r="G55" s="257">
        <v>120.7</v>
      </c>
      <c r="H55" s="257">
        <v>121.8</v>
      </c>
      <c r="I55" s="257">
        <v>122</v>
      </c>
      <c r="J55" s="257">
        <v>122.6</v>
      </c>
      <c r="K55" s="257">
        <v>117.7</v>
      </c>
      <c r="L55" s="257">
        <v>117.3</v>
      </c>
      <c r="M55" s="257">
        <v>117.4</v>
      </c>
      <c r="N55" s="257">
        <v>117.7</v>
      </c>
      <c r="O55" s="7"/>
      <c r="P55" s="258">
        <f>P46+1</f>
        <v>1983</v>
      </c>
      <c r="Q55" s="258">
        <v>9</v>
      </c>
      <c r="R55" s="259" t="s">
        <v>1551</v>
      </c>
      <c r="S55" s="254" t="str">
        <f t="shared" si="0"/>
        <v>9_1983</v>
      </c>
      <c r="T55" s="260">
        <f t="shared" si="1"/>
        <v>86.7</v>
      </c>
      <c r="U55" s="7"/>
      <c r="V55" s="7"/>
      <c r="W55" s="7"/>
      <c r="X55" s="7"/>
      <c r="Y55" s="7"/>
      <c r="Z55" s="7"/>
    </row>
    <row r="56" spans="1:26">
      <c r="A56" s="256">
        <v>2003</v>
      </c>
      <c r="B56" s="257">
        <v>118</v>
      </c>
      <c r="C56" s="257">
        <v>118.2</v>
      </c>
      <c r="D56" s="257">
        <v>120.5</v>
      </c>
      <c r="E56" s="257">
        <v>121.3</v>
      </c>
      <c r="F56" s="257">
        <v>122</v>
      </c>
      <c r="G56" s="257">
        <v>124.7</v>
      </c>
      <c r="H56" s="257">
        <v>127.5</v>
      </c>
      <c r="I56" s="257">
        <v>127.2</v>
      </c>
      <c r="J56" s="257">
        <v>127.8</v>
      </c>
      <c r="K56" s="257">
        <v>124</v>
      </c>
      <c r="L56" s="257">
        <v>120</v>
      </c>
      <c r="M56" s="257">
        <v>120.1</v>
      </c>
      <c r="N56" s="257">
        <v>122.6</v>
      </c>
      <c r="O56" s="7"/>
      <c r="P56" s="258">
        <f>P46+1</f>
        <v>1983</v>
      </c>
      <c r="Q56" s="258">
        <v>10</v>
      </c>
      <c r="R56" s="259" t="s">
        <v>1551</v>
      </c>
      <c r="S56" s="254" t="str">
        <f t="shared" si="0"/>
        <v>10_1983</v>
      </c>
      <c r="T56" s="260">
        <f t="shared" si="1"/>
        <v>86.7</v>
      </c>
      <c r="U56" s="7"/>
      <c r="V56" s="7"/>
      <c r="W56" s="7"/>
      <c r="X56" s="7"/>
      <c r="Y56" s="7"/>
      <c r="Z56" s="7"/>
    </row>
    <row r="57" spans="1:26">
      <c r="A57" s="256">
        <v>2004</v>
      </c>
      <c r="B57" s="257">
        <v>120.3</v>
      </c>
      <c r="C57" s="257">
        <v>120.3</v>
      </c>
      <c r="D57" s="257">
        <v>120.3</v>
      </c>
      <c r="E57" s="257">
        <v>120.3</v>
      </c>
      <c r="F57" s="257">
        <v>121.3</v>
      </c>
      <c r="G57" s="257">
        <v>128.1</v>
      </c>
      <c r="H57" s="257">
        <v>128</v>
      </c>
      <c r="I57" s="257">
        <v>129.5</v>
      </c>
      <c r="J57" s="257">
        <v>129.5</v>
      </c>
      <c r="K57" s="257">
        <v>122.6</v>
      </c>
      <c r="L57" s="257">
        <v>121.8</v>
      </c>
      <c r="M57" s="257">
        <v>122.9</v>
      </c>
      <c r="N57" s="257">
        <v>123.7</v>
      </c>
      <c r="O57" s="7"/>
      <c r="P57" s="258">
        <f>P46+1</f>
        <v>1983</v>
      </c>
      <c r="Q57" s="258">
        <v>11</v>
      </c>
      <c r="R57" s="259" t="s">
        <v>1551</v>
      </c>
      <c r="S57" s="254" t="str">
        <f t="shared" si="0"/>
        <v>11_1983</v>
      </c>
      <c r="T57" s="260">
        <f t="shared" si="1"/>
        <v>86.7</v>
      </c>
      <c r="U57" s="7"/>
      <c r="V57" s="7"/>
      <c r="W57" s="7"/>
      <c r="X57" s="7"/>
      <c r="Y57" s="7"/>
      <c r="Z57" s="7"/>
    </row>
    <row r="58" spans="1:26">
      <c r="A58" s="256">
        <v>2005</v>
      </c>
      <c r="B58" s="257">
        <v>125.2</v>
      </c>
      <c r="C58" s="257">
        <v>124.5</v>
      </c>
      <c r="D58" s="257">
        <v>124.6</v>
      </c>
      <c r="E58" s="257">
        <v>125</v>
      </c>
      <c r="F58" s="257">
        <v>127</v>
      </c>
      <c r="G58" s="257">
        <v>134.19999999999999</v>
      </c>
      <c r="H58" s="257">
        <v>136.30000000000001</v>
      </c>
      <c r="I58" s="257">
        <v>136.6</v>
      </c>
      <c r="J58" s="257">
        <v>136.9</v>
      </c>
      <c r="K58" s="257">
        <v>134.19999999999999</v>
      </c>
      <c r="L58" s="257">
        <v>135.5</v>
      </c>
      <c r="M58" s="257">
        <v>135.69999999999999</v>
      </c>
      <c r="N58" s="257">
        <v>131.30000000000001</v>
      </c>
      <c r="O58" s="7"/>
      <c r="P58" s="258">
        <f>P46+1</f>
        <v>1983</v>
      </c>
      <c r="Q58" s="258">
        <v>12</v>
      </c>
      <c r="R58" s="259" t="s">
        <v>1551</v>
      </c>
      <c r="S58" s="254" t="str">
        <f t="shared" si="0"/>
        <v>12_1983</v>
      </c>
      <c r="T58" s="260">
        <f t="shared" si="1"/>
        <v>86.7</v>
      </c>
      <c r="U58" s="7"/>
      <c r="V58" s="7"/>
      <c r="W58" s="7"/>
      <c r="X58" s="7"/>
      <c r="Y58" s="7"/>
      <c r="Z58" s="7"/>
    </row>
    <row r="59" spans="1:26">
      <c r="A59" s="256">
        <v>2006</v>
      </c>
      <c r="B59" s="257">
        <v>140.4</v>
      </c>
      <c r="C59" s="257">
        <v>141.80000000000001</v>
      </c>
      <c r="D59" s="257">
        <v>140.80000000000001</v>
      </c>
      <c r="E59" s="257">
        <v>142.6</v>
      </c>
      <c r="F59" s="257">
        <v>143.6</v>
      </c>
      <c r="G59" s="257">
        <v>152.4</v>
      </c>
      <c r="H59" s="257">
        <v>153</v>
      </c>
      <c r="I59" s="257">
        <v>151.5</v>
      </c>
      <c r="J59" s="257">
        <v>152.19999999999999</v>
      </c>
      <c r="K59" s="257">
        <v>144</v>
      </c>
      <c r="L59" s="257">
        <v>140.6</v>
      </c>
      <c r="M59" s="257">
        <v>141.1</v>
      </c>
      <c r="N59" s="257">
        <v>145.30000000000001</v>
      </c>
      <c r="O59" s="7"/>
      <c r="P59" s="258">
        <f>P58+1</f>
        <v>1984</v>
      </c>
      <c r="Q59" s="258">
        <v>1</v>
      </c>
      <c r="R59" s="259" t="s">
        <v>1551</v>
      </c>
      <c r="S59" s="254" t="str">
        <f t="shared" si="0"/>
        <v>1_1984</v>
      </c>
      <c r="T59" s="260">
        <f t="shared" si="1"/>
        <v>91.1</v>
      </c>
      <c r="U59" s="7"/>
      <c r="V59" s="7"/>
      <c r="W59" s="7"/>
      <c r="X59" s="7"/>
      <c r="Y59" s="7"/>
      <c r="Z59" s="7"/>
    </row>
    <row r="60" spans="1:26">
      <c r="A60" s="256">
        <v>2007</v>
      </c>
      <c r="B60" s="257">
        <v>144.5</v>
      </c>
      <c r="C60" s="257">
        <v>147.69999999999999</v>
      </c>
      <c r="D60" s="257">
        <v>144.69999999999999</v>
      </c>
      <c r="E60" s="257">
        <v>145.6</v>
      </c>
      <c r="F60" s="257">
        <v>150.69999999999999</v>
      </c>
      <c r="G60" s="257">
        <v>157</v>
      </c>
      <c r="H60" s="257">
        <v>157.19999999999999</v>
      </c>
      <c r="I60" s="257">
        <v>157.80000000000001</v>
      </c>
      <c r="J60" s="257">
        <v>158.4</v>
      </c>
      <c r="K60" s="257">
        <v>153.6</v>
      </c>
      <c r="L60" s="257">
        <v>151.6</v>
      </c>
      <c r="M60" s="257">
        <v>151.30000000000001</v>
      </c>
      <c r="N60" s="257">
        <v>151.69999999999999</v>
      </c>
      <c r="O60" s="7"/>
      <c r="P60" s="258">
        <f>P58+1</f>
        <v>1984</v>
      </c>
      <c r="Q60" s="258">
        <v>2</v>
      </c>
      <c r="R60" s="259" t="s">
        <v>1551</v>
      </c>
      <c r="S60" s="254" t="str">
        <f t="shared" si="0"/>
        <v>2_1984</v>
      </c>
      <c r="T60" s="260">
        <f t="shared" si="1"/>
        <v>91.1</v>
      </c>
      <c r="U60" s="7"/>
      <c r="V60" s="7"/>
      <c r="W60" s="7"/>
      <c r="X60" s="7"/>
      <c r="Y60" s="7"/>
      <c r="Z60" s="7"/>
    </row>
    <row r="61" spans="1:26">
      <c r="A61" s="256">
        <v>2008</v>
      </c>
      <c r="B61" s="257">
        <v>153</v>
      </c>
      <c r="C61" s="257">
        <v>151.1</v>
      </c>
      <c r="D61" s="257">
        <v>154.1</v>
      </c>
      <c r="E61" s="257">
        <v>156.1</v>
      </c>
      <c r="F61" s="257">
        <v>159.69999999999999</v>
      </c>
      <c r="G61" s="257">
        <v>161.4</v>
      </c>
      <c r="H61" s="257">
        <v>165.6</v>
      </c>
      <c r="I61" s="257">
        <v>166.3</v>
      </c>
      <c r="J61" s="257">
        <v>165</v>
      </c>
      <c r="K61" s="257">
        <v>162.69999999999999</v>
      </c>
      <c r="L61" s="257">
        <v>158.19999999999999</v>
      </c>
      <c r="M61" s="257">
        <v>158.69999999999999</v>
      </c>
      <c r="N61" s="257">
        <v>159.30000000000001</v>
      </c>
      <c r="O61" s="7"/>
      <c r="P61" s="258">
        <f>P58+1</f>
        <v>1984</v>
      </c>
      <c r="Q61" s="258">
        <v>3</v>
      </c>
      <c r="R61" s="259" t="s">
        <v>1551</v>
      </c>
      <c r="S61" s="254" t="str">
        <f t="shared" si="0"/>
        <v>3_1984</v>
      </c>
      <c r="T61" s="260">
        <f t="shared" si="1"/>
        <v>91.1</v>
      </c>
      <c r="U61" s="7"/>
      <c r="V61" s="7"/>
      <c r="W61" s="7"/>
      <c r="X61" s="7"/>
      <c r="Y61" s="7"/>
      <c r="Z61" s="7"/>
    </row>
    <row r="62" spans="1:26">
      <c r="A62" s="256">
        <v>2009</v>
      </c>
      <c r="B62" s="257">
        <v>160</v>
      </c>
      <c r="C62" s="257">
        <v>160</v>
      </c>
      <c r="D62" s="257">
        <v>157.30000000000001</v>
      </c>
      <c r="E62" s="257">
        <v>156.30000000000001</v>
      </c>
      <c r="F62" s="257">
        <v>158.9</v>
      </c>
      <c r="G62" s="257">
        <v>160.9</v>
      </c>
      <c r="H62" s="257">
        <v>163.5</v>
      </c>
      <c r="I62" s="257">
        <v>161.9</v>
      </c>
      <c r="J62" s="257">
        <v>162</v>
      </c>
      <c r="K62" s="257">
        <v>158</v>
      </c>
      <c r="L62" s="257">
        <v>155.19999999999999</v>
      </c>
      <c r="M62" s="257">
        <v>155.30000000000001</v>
      </c>
      <c r="N62" s="257">
        <v>159.1</v>
      </c>
      <c r="O62" s="7"/>
      <c r="P62" s="258">
        <f>P58+1</f>
        <v>1984</v>
      </c>
      <c r="Q62" s="258">
        <v>4</v>
      </c>
      <c r="R62" s="259" t="s">
        <v>1551</v>
      </c>
      <c r="S62" s="254" t="str">
        <f t="shared" si="0"/>
        <v>4_1984</v>
      </c>
      <c r="T62" s="260">
        <f t="shared" si="1"/>
        <v>91.1</v>
      </c>
      <c r="U62" s="7"/>
      <c r="V62" s="7"/>
      <c r="W62" s="7"/>
      <c r="X62" s="7"/>
      <c r="Y62" s="7"/>
      <c r="Z62" s="7"/>
    </row>
    <row r="63" spans="1:26">
      <c r="A63" s="256">
        <v>2010</v>
      </c>
      <c r="B63" s="257">
        <v>155.30000000000001</v>
      </c>
      <c r="C63" s="257">
        <v>155.30000000000001</v>
      </c>
      <c r="D63" s="257">
        <v>157.80000000000001</v>
      </c>
      <c r="E63" s="257">
        <v>157.6</v>
      </c>
      <c r="F63" s="257">
        <v>159.6</v>
      </c>
      <c r="G63" s="257">
        <v>164.8</v>
      </c>
      <c r="H63" s="257">
        <v>166</v>
      </c>
      <c r="I63" s="257">
        <v>166.9</v>
      </c>
      <c r="J63" s="257">
        <v>166.3</v>
      </c>
      <c r="K63" s="257">
        <v>162</v>
      </c>
      <c r="L63" s="257">
        <v>158.9</v>
      </c>
      <c r="M63" s="257">
        <v>159.4</v>
      </c>
      <c r="N63" s="257">
        <v>160.80000000000001</v>
      </c>
      <c r="O63" s="7"/>
      <c r="P63" s="258">
        <f>P58+1</f>
        <v>1984</v>
      </c>
      <c r="Q63" s="258">
        <v>5</v>
      </c>
      <c r="R63" s="259" t="s">
        <v>1551</v>
      </c>
      <c r="S63" s="254" t="str">
        <f t="shared" si="0"/>
        <v>5_1984</v>
      </c>
      <c r="T63" s="260">
        <f t="shared" si="1"/>
        <v>91.1</v>
      </c>
      <c r="U63" s="7"/>
      <c r="V63" s="7"/>
      <c r="W63" s="7"/>
      <c r="X63" s="7"/>
      <c r="Y63" s="7"/>
      <c r="Z63" s="7"/>
    </row>
    <row r="64" spans="1:26">
      <c r="A64" s="256">
        <v>2011</v>
      </c>
      <c r="B64" s="257">
        <v>160.80000000000001</v>
      </c>
      <c r="C64" s="257">
        <v>162.1</v>
      </c>
      <c r="D64" s="257">
        <v>162.6</v>
      </c>
      <c r="E64" s="257">
        <v>161.9</v>
      </c>
      <c r="F64" s="257">
        <v>163.6</v>
      </c>
      <c r="G64" s="257">
        <v>171</v>
      </c>
      <c r="H64" s="257">
        <v>179.2</v>
      </c>
      <c r="I64" s="257">
        <v>180.4</v>
      </c>
      <c r="J64" s="257">
        <v>179.6</v>
      </c>
      <c r="K64" s="257">
        <v>172.3</v>
      </c>
      <c r="L64" s="257">
        <v>170.5</v>
      </c>
      <c r="M64" s="257">
        <v>170.8</v>
      </c>
      <c r="N64" s="257">
        <v>169.6</v>
      </c>
      <c r="O64" s="7"/>
      <c r="P64" s="258">
        <f>P58+1</f>
        <v>1984</v>
      </c>
      <c r="Q64" s="258">
        <v>6</v>
      </c>
      <c r="R64" s="259" t="s">
        <v>1551</v>
      </c>
      <c r="S64" s="254" t="str">
        <f t="shared" si="0"/>
        <v>6_1984</v>
      </c>
      <c r="T64" s="260">
        <f t="shared" si="1"/>
        <v>91.1</v>
      </c>
      <c r="U64" s="7"/>
      <c r="V64" s="261"/>
      <c r="W64" s="261"/>
      <c r="X64" s="7"/>
      <c r="Y64" s="7"/>
      <c r="Z64" s="7"/>
    </row>
    <row r="65" spans="1:26">
      <c r="A65" s="256">
        <v>2012</v>
      </c>
      <c r="B65" s="257">
        <v>167.9</v>
      </c>
      <c r="C65" s="257">
        <v>167.3</v>
      </c>
      <c r="D65" s="257">
        <v>166.8</v>
      </c>
      <c r="E65" s="257">
        <v>165.4</v>
      </c>
      <c r="F65" s="257">
        <v>168.2</v>
      </c>
      <c r="G65" s="257">
        <v>173.3</v>
      </c>
      <c r="H65" s="257">
        <v>185.2</v>
      </c>
      <c r="I65" s="257">
        <v>185.6</v>
      </c>
      <c r="J65" s="257">
        <v>186.2</v>
      </c>
      <c r="K65" s="257">
        <v>179.2</v>
      </c>
      <c r="L65" s="257">
        <v>177.7</v>
      </c>
      <c r="M65" s="257">
        <v>178.9</v>
      </c>
      <c r="N65" s="257">
        <v>175.1</v>
      </c>
      <c r="O65" s="7"/>
      <c r="P65" s="258">
        <f>P58+1</f>
        <v>1984</v>
      </c>
      <c r="Q65" s="258">
        <v>7</v>
      </c>
      <c r="R65" s="259" t="s">
        <v>1551</v>
      </c>
      <c r="S65" s="254" t="str">
        <f t="shared" si="0"/>
        <v>7_1984</v>
      </c>
      <c r="T65" s="260">
        <f t="shared" si="1"/>
        <v>91.1</v>
      </c>
      <c r="U65" s="7"/>
      <c r="V65" s="262"/>
      <c r="W65" s="262"/>
      <c r="X65" s="7"/>
      <c r="Y65" s="7"/>
      <c r="Z65" s="7"/>
    </row>
    <row r="66" spans="1:26">
      <c r="A66" s="256">
        <v>2013</v>
      </c>
      <c r="B66" s="257">
        <v>166.2</v>
      </c>
      <c r="C66" s="257">
        <v>166.3</v>
      </c>
      <c r="D66" s="257">
        <v>166</v>
      </c>
      <c r="E66" s="257">
        <v>165.8</v>
      </c>
      <c r="F66" s="257">
        <v>169.7</v>
      </c>
      <c r="G66" s="257">
        <v>176.6</v>
      </c>
      <c r="H66" s="257">
        <v>176</v>
      </c>
      <c r="I66" s="257">
        <v>175.2</v>
      </c>
      <c r="J66" s="257">
        <v>175.2</v>
      </c>
      <c r="K66" s="257">
        <v>167.8</v>
      </c>
      <c r="L66" s="257">
        <v>166</v>
      </c>
      <c r="M66" s="257">
        <v>167.2</v>
      </c>
      <c r="N66" s="257">
        <v>169.9</v>
      </c>
      <c r="O66" s="7"/>
      <c r="P66" s="258">
        <f>P58+1</f>
        <v>1984</v>
      </c>
      <c r="Q66" s="258">
        <v>8</v>
      </c>
      <c r="R66" s="259" t="s">
        <v>1551</v>
      </c>
      <c r="S66" s="254" t="str">
        <f t="shared" si="0"/>
        <v>8_1984</v>
      </c>
      <c r="T66" s="260">
        <f t="shared" si="1"/>
        <v>91.1</v>
      </c>
      <c r="U66" s="7"/>
      <c r="V66" s="263"/>
      <c r="W66" s="263"/>
      <c r="X66" s="7"/>
      <c r="Y66" s="7"/>
      <c r="Z66" s="7"/>
    </row>
    <row r="67" spans="1:26">
      <c r="A67" s="256">
        <v>2014</v>
      </c>
      <c r="B67" s="257">
        <v>179.5</v>
      </c>
      <c r="C67" s="257">
        <v>178.9</v>
      </c>
      <c r="D67" s="257">
        <v>179.3</v>
      </c>
      <c r="E67" s="257">
        <v>176</v>
      </c>
      <c r="F67" s="257">
        <v>179.6</v>
      </c>
      <c r="G67" s="257">
        <v>186.8</v>
      </c>
      <c r="H67" s="257">
        <v>189.8</v>
      </c>
      <c r="I67" s="257">
        <v>190</v>
      </c>
      <c r="J67" s="257">
        <v>187.8</v>
      </c>
      <c r="K67" s="257">
        <v>181.3</v>
      </c>
      <c r="L67" s="257">
        <v>176</v>
      </c>
      <c r="M67" s="257">
        <v>178.6</v>
      </c>
      <c r="N67" s="257">
        <v>181.96666666666667</v>
      </c>
      <c r="O67" s="7"/>
      <c r="P67" s="258">
        <f>P58+1</f>
        <v>1984</v>
      </c>
      <c r="Q67" s="258">
        <v>9</v>
      </c>
      <c r="R67" s="259" t="s">
        <v>1551</v>
      </c>
      <c r="S67" s="254" t="str">
        <f t="shared" si="0"/>
        <v>9_1984</v>
      </c>
      <c r="T67" s="260">
        <f t="shared" si="1"/>
        <v>91.1</v>
      </c>
      <c r="U67" s="7"/>
      <c r="V67" s="264"/>
      <c r="W67" s="264"/>
      <c r="X67" s="7"/>
      <c r="Y67" s="7"/>
      <c r="Z67" s="7"/>
    </row>
    <row r="68" spans="1:26">
      <c r="A68" s="256">
        <v>2015</v>
      </c>
      <c r="B68" s="258">
        <v>185.9</v>
      </c>
      <c r="C68" s="258">
        <v>184.7</v>
      </c>
      <c r="D68" s="258">
        <v>182.4</v>
      </c>
      <c r="E68" s="258">
        <v>178.4</v>
      </c>
      <c r="F68" s="258">
        <v>181.5</v>
      </c>
      <c r="G68" s="258">
        <v>197.8</v>
      </c>
      <c r="H68" s="258">
        <v>197.7</v>
      </c>
      <c r="I68" s="258">
        <v>197.3</v>
      </c>
      <c r="J68" s="258">
        <v>195.1</v>
      </c>
      <c r="K68" s="258">
        <v>182.1</v>
      </c>
      <c r="L68" s="258">
        <v>178.1</v>
      </c>
      <c r="M68" s="258">
        <v>179.2</v>
      </c>
      <c r="N68" s="257">
        <v>186.68333333333331</v>
      </c>
      <c r="O68" s="7"/>
      <c r="P68" s="258">
        <f>P58+1</f>
        <v>1984</v>
      </c>
      <c r="Q68" s="258">
        <v>10</v>
      </c>
      <c r="R68" s="259" t="s">
        <v>1551</v>
      </c>
      <c r="S68" s="254" t="str">
        <f t="shared" si="0"/>
        <v>10_1984</v>
      </c>
      <c r="T68" s="260">
        <f t="shared" si="1"/>
        <v>91.1</v>
      </c>
      <c r="U68" s="7"/>
      <c r="V68" s="7"/>
      <c r="W68" s="7"/>
      <c r="X68" s="7"/>
      <c r="Y68" s="7"/>
      <c r="Z68" s="7"/>
    </row>
    <row r="69" spans="1:26">
      <c r="A69" s="256">
        <v>2016</v>
      </c>
      <c r="B69" s="265">
        <v>171</v>
      </c>
      <c r="C69" s="258">
        <v>170.2</v>
      </c>
      <c r="D69" s="258">
        <v>170.4</v>
      </c>
      <c r="E69" s="258">
        <v>168.6</v>
      </c>
      <c r="F69" s="258">
        <v>171.8</v>
      </c>
      <c r="G69" s="258">
        <v>183.2</v>
      </c>
      <c r="H69" s="258">
        <v>188.3</v>
      </c>
      <c r="I69" s="258">
        <v>189.2</v>
      </c>
      <c r="J69" s="258">
        <v>189.9</v>
      </c>
      <c r="K69" s="258">
        <v>179.2</v>
      </c>
      <c r="L69" s="258">
        <v>176.2</v>
      </c>
      <c r="M69" s="258">
        <v>176.5</v>
      </c>
      <c r="N69" s="257">
        <v>177.875</v>
      </c>
      <c r="O69" s="7"/>
      <c r="P69" s="258">
        <f>P58+1</f>
        <v>1984</v>
      </c>
      <c r="Q69" s="258">
        <v>11</v>
      </c>
      <c r="R69" s="259" t="s">
        <v>1551</v>
      </c>
      <c r="S69" s="254" t="str">
        <f t="shared" si="0"/>
        <v>11_1984</v>
      </c>
      <c r="T69" s="260">
        <f t="shared" si="1"/>
        <v>91.1</v>
      </c>
      <c r="U69" s="7"/>
      <c r="V69" s="7"/>
      <c r="W69" s="7"/>
      <c r="X69" s="7"/>
      <c r="Y69" s="7"/>
      <c r="Z69" s="7"/>
    </row>
    <row r="70" spans="1:26">
      <c r="A70" s="256">
        <v>2017</v>
      </c>
      <c r="B70" s="258">
        <v>193.8</v>
      </c>
      <c r="C70" s="258">
        <v>194.7</v>
      </c>
      <c r="D70" s="258">
        <v>195.9</v>
      </c>
      <c r="E70" s="265">
        <v>196</v>
      </c>
      <c r="F70" s="258">
        <v>198.2</v>
      </c>
      <c r="G70" s="258">
        <v>209.8</v>
      </c>
      <c r="H70" s="69">
        <v>211.8</v>
      </c>
      <c r="I70" s="69">
        <v>209.9</v>
      </c>
      <c r="J70" s="69">
        <v>208.1</v>
      </c>
      <c r="K70" s="258">
        <v>199.6</v>
      </c>
      <c r="L70" s="69">
        <v>197.9</v>
      </c>
      <c r="M70" s="69">
        <v>198.4</v>
      </c>
      <c r="N70" s="265">
        <f t="shared" ref="N70:N77" si="2">+AVERAGE(B70:M70)</f>
        <v>201.17499999999998</v>
      </c>
      <c r="O70" s="7"/>
      <c r="P70" s="258">
        <f>P58+1</f>
        <v>1984</v>
      </c>
      <c r="Q70" s="258">
        <v>12</v>
      </c>
      <c r="R70" s="259" t="s">
        <v>1551</v>
      </c>
      <c r="S70" s="254" t="str">
        <f t="shared" si="0"/>
        <v>12_1984</v>
      </c>
      <c r="T70" s="260">
        <f t="shared" si="1"/>
        <v>91.1</v>
      </c>
      <c r="U70" s="7"/>
      <c r="V70" s="7"/>
      <c r="W70" s="7"/>
      <c r="X70" s="7"/>
      <c r="Y70" s="7"/>
      <c r="Z70" s="7"/>
    </row>
    <row r="71" spans="1:26">
      <c r="A71" s="256">
        <v>2018</v>
      </c>
      <c r="B71" s="69">
        <v>203.5</v>
      </c>
      <c r="C71" s="69">
        <v>205</v>
      </c>
      <c r="D71" s="69">
        <v>201.4</v>
      </c>
      <c r="E71" s="258">
        <v>198.6</v>
      </c>
      <c r="F71" s="69">
        <v>201.6</v>
      </c>
      <c r="G71" s="69">
        <v>213.3</v>
      </c>
      <c r="H71" s="258">
        <v>216.3</v>
      </c>
      <c r="I71" s="69">
        <v>216.2</v>
      </c>
      <c r="J71" s="69">
        <v>213.5</v>
      </c>
      <c r="K71" s="69">
        <v>206.1</v>
      </c>
      <c r="L71" s="69">
        <v>200.7</v>
      </c>
      <c r="M71" s="69">
        <v>201.4</v>
      </c>
      <c r="N71" s="265">
        <f t="shared" si="2"/>
        <v>206.46666666666667</v>
      </c>
      <c r="O71" s="7"/>
      <c r="P71" s="258">
        <f>P70+1</f>
        <v>1985</v>
      </c>
      <c r="Q71" s="258">
        <v>1</v>
      </c>
      <c r="R71" s="259" t="s">
        <v>1551</v>
      </c>
      <c r="S71" s="254" t="str">
        <f t="shared" si="0"/>
        <v>1_1985</v>
      </c>
      <c r="T71" s="260">
        <f t="shared" si="1"/>
        <v>94.8</v>
      </c>
      <c r="U71" s="7"/>
      <c r="V71" s="7"/>
      <c r="W71" s="7"/>
      <c r="X71" s="7"/>
      <c r="Y71" s="7"/>
      <c r="Z71" s="7"/>
    </row>
    <row r="72" spans="1:26">
      <c r="A72" s="256">
        <v>2019</v>
      </c>
      <c r="B72" s="69">
        <v>204.7</v>
      </c>
      <c r="C72" s="258">
        <v>203.9</v>
      </c>
      <c r="D72" s="69">
        <v>201.9</v>
      </c>
      <c r="E72" s="69">
        <v>199.5</v>
      </c>
      <c r="F72" s="69">
        <v>201.5</v>
      </c>
      <c r="G72" s="69">
        <v>209.5</v>
      </c>
      <c r="H72" s="69">
        <v>211.7</v>
      </c>
      <c r="I72" s="69">
        <v>214.9</v>
      </c>
      <c r="J72" s="69">
        <v>212.6</v>
      </c>
      <c r="K72" s="69">
        <v>193.4</v>
      </c>
      <c r="L72" s="69">
        <v>192.4</v>
      </c>
      <c r="M72" s="69">
        <v>194.3</v>
      </c>
      <c r="N72" s="265">
        <f t="shared" si="2"/>
        <v>203.35833333333335</v>
      </c>
      <c r="O72" s="7"/>
      <c r="P72" s="258">
        <f>P70+1</f>
        <v>1985</v>
      </c>
      <c r="Q72" s="258">
        <v>2</v>
      </c>
      <c r="R72" s="259" t="s">
        <v>1551</v>
      </c>
      <c r="S72" s="254" t="str">
        <f t="shared" si="0"/>
        <v>2_1985</v>
      </c>
      <c r="T72" s="260">
        <f t="shared" si="1"/>
        <v>94.8</v>
      </c>
      <c r="U72" s="7"/>
      <c r="V72" s="7"/>
      <c r="W72" s="7"/>
      <c r="X72" s="7"/>
      <c r="Y72" s="7"/>
      <c r="Z72" s="7"/>
    </row>
    <row r="73" spans="1:26">
      <c r="A73" s="256">
        <v>2020</v>
      </c>
      <c r="B73" s="69">
        <v>194.6</v>
      </c>
      <c r="C73" s="69">
        <v>195.8</v>
      </c>
      <c r="D73" s="69">
        <v>194.9</v>
      </c>
      <c r="E73" s="258">
        <v>194.7</v>
      </c>
      <c r="F73" s="69">
        <v>194.6</v>
      </c>
      <c r="G73" s="258">
        <v>209.2</v>
      </c>
      <c r="H73" s="69">
        <v>211.9</v>
      </c>
      <c r="I73" s="69">
        <v>211.9</v>
      </c>
      <c r="J73" s="69">
        <v>214.1</v>
      </c>
      <c r="K73" s="69">
        <v>197.6</v>
      </c>
      <c r="L73" s="69">
        <v>194.9</v>
      </c>
      <c r="M73" s="69">
        <v>194.6</v>
      </c>
      <c r="N73" s="265">
        <f t="shared" si="2"/>
        <v>200.73333333333332</v>
      </c>
      <c r="O73" s="7"/>
      <c r="P73" s="258">
        <f>P70+1</f>
        <v>1985</v>
      </c>
      <c r="Q73" s="258">
        <v>3</v>
      </c>
      <c r="R73" s="259" t="s">
        <v>1551</v>
      </c>
      <c r="S73" s="254" t="str">
        <f t="shared" si="0"/>
        <v>3_1985</v>
      </c>
      <c r="T73" s="260">
        <f t="shared" si="1"/>
        <v>94.8</v>
      </c>
      <c r="U73" s="7"/>
      <c r="V73" s="7"/>
      <c r="W73" s="7"/>
      <c r="X73" s="7"/>
      <c r="Y73" s="7"/>
      <c r="Z73" s="7"/>
    </row>
    <row r="74" spans="1:26">
      <c r="A74" s="256">
        <v>2021</v>
      </c>
      <c r="B74" s="266">
        <v>196.1</v>
      </c>
      <c r="C74" s="266">
        <v>196.6</v>
      </c>
      <c r="D74" s="266">
        <v>211.6</v>
      </c>
      <c r="E74" s="266">
        <v>198.1</v>
      </c>
      <c r="F74" s="266">
        <v>199.9</v>
      </c>
      <c r="G74" s="266">
        <v>217.1</v>
      </c>
      <c r="H74" s="266">
        <v>221.232</v>
      </c>
      <c r="I74" s="266">
        <v>222.61500000000001</v>
      </c>
      <c r="J74" s="266">
        <v>219.977</v>
      </c>
      <c r="K74" s="266">
        <v>213.345</v>
      </c>
      <c r="L74" s="266">
        <v>211.864</v>
      </c>
      <c r="M74" s="266">
        <v>210.08199999999999</v>
      </c>
      <c r="N74" s="265">
        <f t="shared" si="2"/>
        <v>209.87625</v>
      </c>
      <c r="O74" s="7"/>
      <c r="P74" s="258">
        <f>P70+1</f>
        <v>1985</v>
      </c>
      <c r="Q74" s="258">
        <v>4</v>
      </c>
      <c r="R74" s="259" t="s">
        <v>1551</v>
      </c>
      <c r="S74" s="254" t="str">
        <f t="shared" si="0"/>
        <v>4_1985</v>
      </c>
      <c r="T74" s="260">
        <f t="shared" si="1"/>
        <v>94.8</v>
      </c>
      <c r="U74" s="7"/>
      <c r="V74" s="7"/>
      <c r="W74" s="7"/>
      <c r="X74" s="7"/>
      <c r="Y74" s="7"/>
      <c r="Z74" s="7"/>
    </row>
    <row r="75" spans="1:26">
      <c r="A75" s="256">
        <v>2022</v>
      </c>
      <c r="B75" s="266">
        <v>220.00800000000001</v>
      </c>
      <c r="C75" s="266">
        <v>224.99799999999999</v>
      </c>
      <c r="D75" s="266">
        <v>221.40199999999999</v>
      </c>
      <c r="E75" s="266">
        <v>219.76400000000001</v>
      </c>
      <c r="F75" s="266">
        <v>223.78800000000001</v>
      </c>
      <c r="G75" s="266">
        <v>237.71799999999999</v>
      </c>
      <c r="H75" s="266">
        <v>248.316</v>
      </c>
      <c r="I75" s="266">
        <v>251.47800000000001</v>
      </c>
      <c r="J75" s="266">
        <v>254.327</v>
      </c>
      <c r="K75" s="266">
        <v>238.315</v>
      </c>
      <c r="L75" s="266">
        <v>228.93</v>
      </c>
      <c r="M75" s="266">
        <v>234.06899999999999</v>
      </c>
      <c r="N75" s="265">
        <f t="shared" si="2"/>
        <v>233.59275</v>
      </c>
      <c r="O75" s="7"/>
      <c r="P75" s="258">
        <f>P70+1</f>
        <v>1985</v>
      </c>
      <c r="Q75" s="258">
        <v>5</v>
      </c>
      <c r="R75" s="259" t="s">
        <v>1551</v>
      </c>
      <c r="S75" s="254" t="str">
        <f t="shared" si="0"/>
        <v>5_1985</v>
      </c>
      <c r="T75" s="260">
        <f t="shared" si="1"/>
        <v>94.8</v>
      </c>
      <c r="U75" s="7"/>
      <c r="V75" s="7"/>
      <c r="W75" s="7"/>
      <c r="X75" s="7"/>
      <c r="Y75" s="7"/>
      <c r="Z75" s="7"/>
    </row>
    <row r="76" spans="1:26">
      <c r="A76" s="256">
        <v>2023</v>
      </c>
      <c r="B76" s="266">
        <v>254.86199999999999</v>
      </c>
      <c r="C76" s="266">
        <v>247.386</v>
      </c>
      <c r="D76" s="266">
        <v>242.89699999999999</v>
      </c>
      <c r="E76" s="266">
        <v>235.72900000000001</v>
      </c>
      <c r="F76" s="266">
        <v>242.18899999999999</v>
      </c>
      <c r="G76" s="266">
        <v>260.84800000000001</v>
      </c>
      <c r="H76" s="266">
        <v>263.78800000000001</v>
      </c>
      <c r="I76" s="266">
        <v>265.28500000000003</v>
      </c>
      <c r="J76" s="266">
        <v>266.02699999999999</v>
      </c>
      <c r="K76" s="266">
        <v>250.24799999999999</v>
      </c>
      <c r="L76" s="266">
        <v>246.262</v>
      </c>
      <c r="M76" s="266">
        <v>246.876</v>
      </c>
      <c r="N76" s="265">
        <f t="shared" si="2"/>
        <v>251.86641666666671</v>
      </c>
      <c r="O76" s="7"/>
      <c r="P76" s="258">
        <f>P70+1</f>
        <v>1985</v>
      </c>
      <c r="Q76" s="258">
        <v>6</v>
      </c>
      <c r="R76" s="259" t="s">
        <v>1551</v>
      </c>
      <c r="S76" s="254" t="str">
        <f t="shared" si="0"/>
        <v>6_1985</v>
      </c>
      <c r="T76" s="260">
        <f t="shared" si="1"/>
        <v>94.8</v>
      </c>
      <c r="U76" s="7"/>
      <c r="V76" s="7"/>
      <c r="W76" s="7"/>
      <c r="X76" s="7"/>
      <c r="Y76" s="7"/>
      <c r="Z76" s="7"/>
    </row>
    <row r="77" spans="1:26">
      <c r="A77" s="256">
        <v>2024</v>
      </c>
      <c r="B77" s="266">
        <v>248.416</v>
      </c>
      <c r="C77" s="266">
        <v>255.637</v>
      </c>
      <c r="D77" s="266">
        <v>250.92400000000001</v>
      </c>
      <c r="E77" s="266">
        <v>248.63900000000001</v>
      </c>
      <c r="F77" s="266">
        <v>245.07900000000001</v>
      </c>
      <c r="G77" s="266">
        <v>265.63200000000001</v>
      </c>
      <c r="H77" s="266">
        <v>267.52699999999999</v>
      </c>
      <c r="I77" s="266">
        <v>267.47000000000003</v>
      </c>
      <c r="J77" s="266">
        <v>267.60700000000003</v>
      </c>
      <c r="K77" s="266">
        <v>253.60400000000001</v>
      </c>
      <c r="L77" s="266">
        <v>245.46700000000001</v>
      </c>
      <c r="M77" s="266">
        <v>246.62</v>
      </c>
      <c r="N77" s="265">
        <f t="shared" si="2"/>
        <v>255.21849999999998</v>
      </c>
      <c r="O77" s="7"/>
      <c r="P77" s="258">
        <f>P70+1</f>
        <v>1985</v>
      </c>
      <c r="Q77" s="258">
        <v>7</v>
      </c>
      <c r="R77" s="259" t="s">
        <v>1551</v>
      </c>
      <c r="S77" s="254" t="str">
        <f t="shared" si="0"/>
        <v>7_1985</v>
      </c>
      <c r="T77" s="260">
        <f t="shared" si="1"/>
        <v>94.8</v>
      </c>
      <c r="U77" s="7"/>
      <c r="V77" s="7"/>
      <c r="W77" s="7"/>
      <c r="X77" s="7"/>
      <c r="Y77" s="7"/>
      <c r="Z77" s="7"/>
    </row>
    <row r="78" spans="1:26">
      <c r="A78" s="7"/>
      <c r="B78" s="267"/>
      <c r="C78" s="7"/>
      <c r="D78" s="26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258">
        <f>P70+1</f>
        <v>1985</v>
      </c>
      <c r="Q78" s="258">
        <v>8</v>
      </c>
      <c r="R78" s="259" t="s">
        <v>1551</v>
      </c>
      <c r="S78" s="254" t="str">
        <f t="shared" si="0"/>
        <v>8_1985</v>
      </c>
      <c r="T78" s="260">
        <f t="shared" si="1"/>
        <v>94.8</v>
      </c>
      <c r="U78" s="7"/>
      <c r="V78" s="7"/>
      <c r="W78" s="7"/>
      <c r="X78" s="7"/>
      <c r="Y78" s="7"/>
      <c r="Z78" s="7"/>
    </row>
    <row r="79" spans="1:26">
      <c r="A79" s="7"/>
      <c r="B79" s="267"/>
      <c r="C79" s="7"/>
      <c r="D79" s="26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258">
        <f>P70+1</f>
        <v>1985</v>
      </c>
      <c r="Q79" s="258">
        <v>9</v>
      </c>
      <c r="R79" s="259" t="s">
        <v>1551</v>
      </c>
      <c r="S79" s="254" t="str">
        <f t="shared" si="0"/>
        <v>9_1985</v>
      </c>
      <c r="T79" s="260">
        <f t="shared" si="1"/>
        <v>94.8</v>
      </c>
      <c r="U79" s="7"/>
      <c r="V79" s="7"/>
      <c r="W79" s="7"/>
      <c r="X79" s="7"/>
      <c r="Y79" s="7"/>
      <c r="Z79" s="267"/>
    </row>
    <row r="80" spans="1:26">
      <c r="A80" s="7"/>
      <c r="B80" s="267"/>
      <c r="C80" s="7"/>
      <c r="D80" s="26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258">
        <f>P70+1</f>
        <v>1985</v>
      </c>
      <c r="Q80" s="258">
        <v>10</v>
      </c>
      <c r="R80" s="259" t="s">
        <v>1551</v>
      </c>
      <c r="S80" s="254" t="str">
        <f t="shared" si="0"/>
        <v>10_1985</v>
      </c>
      <c r="T80" s="260">
        <f t="shared" si="1"/>
        <v>94.8</v>
      </c>
      <c r="U80" s="7"/>
      <c r="V80" s="7"/>
      <c r="W80" s="7"/>
      <c r="X80" s="7"/>
      <c r="Y80" s="7"/>
      <c r="Z80" s="267"/>
    </row>
    <row r="81" spans="1:26">
      <c r="A81" s="7"/>
      <c r="B81" s="267"/>
      <c r="C81" s="7"/>
      <c r="D81" s="26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258">
        <f>P70+1</f>
        <v>1985</v>
      </c>
      <c r="Q81" s="258">
        <v>11</v>
      </c>
      <c r="R81" s="259" t="s">
        <v>1551</v>
      </c>
      <c r="S81" s="254" t="str">
        <f t="shared" si="0"/>
        <v>11_1985</v>
      </c>
      <c r="T81" s="260">
        <f t="shared" si="1"/>
        <v>94.8</v>
      </c>
      <c r="U81" s="7"/>
      <c r="V81" s="7"/>
      <c r="W81" s="7"/>
      <c r="X81" s="7"/>
      <c r="Y81" s="7"/>
      <c r="Z81" s="267"/>
    </row>
    <row r="82" spans="1:26">
      <c r="A82" s="7"/>
      <c r="B82" s="267"/>
      <c r="C82" s="7"/>
      <c r="D82" s="26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258">
        <f>P70+1</f>
        <v>1985</v>
      </c>
      <c r="Q82" s="258">
        <v>12</v>
      </c>
      <c r="R82" s="259" t="s">
        <v>1551</v>
      </c>
      <c r="S82" s="254" t="str">
        <f t="shared" si="0"/>
        <v>12_1985</v>
      </c>
      <c r="T82" s="260">
        <f t="shared" si="1"/>
        <v>94.8</v>
      </c>
      <c r="U82" s="7"/>
      <c r="V82" s="7"/>
      <c r="W82" s="7"/>
      <c r="X82" s="7"/>
      <c r="Y82" s="7"/>
      <c r="Z82" s="267"/>
    </row>
    <row r="83" spans="1:26">
      <c r="A83" s="7"/>
      <c r="B83" s="267"/>
      <c r="C83" s="7"/>
      <c r="D83" s="26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258">
        <f>P82+1</f>
        <v>1986</v>
      </c>
      <c r="Q83" s="258">
        <v>1</v>
      </c>
      <c r="R83" s="259" t="s">
        <v>1551</v>
      </c>
      <c r="S83" s="254" t="str">
        <f t="shared" si="0"/>
        <v>1_1986</v>
      </c>
      <c r="T83" s="260">
        <f t="shared" si="1"/>
        <v>96.3</v>
      </c>
      <c r="U83" s="7"/>
      <c r="V83" s="7"/>
      <c r="W83" s="7"/>
      <c r="X83" s="7"/>
      <c r="Y83" s="7"/>
      <c r="Z83" s="267"/>
    </row>
    <row r="84" spans="1:26">
      <c r="A84" s="7"/>
      <c r="B84" s="267"/>
      <c r="C84" s="7"/>
      <c r="D84" s="26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258">
        <f>P82+1</f>
        <v>1986</v>
      </c>
      <c r="Q84" s="258">
        <v>2</v>
      </c>
      <c r="R84" s="259" t="s">
        <v>1551</v>
      </c>
      <c r="S84" s="254" t="str">
        <f t="shared" si="0"/>
        <v>2_1986</v>
      </c>
      <c r="T84" s="260">
        <f t="shared" si="1"/>
        <v>96.3</v>
      </c>
      <c r="U84" s="7"/>
      <c r="V84" s="7"/>
      <c r="W84" s="7"/>
      <c r="X84" s="7"/>
      <c r="Y84" s="7"/>
      <c r="Z84" s="267"/>
    </row>
    <row r="85" spans="1:26">
      <c r="A85" s="7"/>
      <c r="B85" s="267"/>
      <c r="C85" s="7"/>
      <c r="D85" s="26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258">
        <f>P82+1</f>
        <v>1986</v>
      </c>
      <c r="Q85" s="258">
        <v>3</v>
      </c>
      <c r="R85" s="259" t="s">
        <v>1551</v>
      </c>
      <c r="S85" s="254" t="str">
        <f t="shared" si="0"/>
        <v>3_1986</v>
      </c>
      <c r="T85" s="260">
        <f t="shared" si="1"/>
        <v>96.3</v>
      </c>
      <c r="U85" s="7"/>
      <c r="V85" s="7"/>
      <c r="W85" s="7"/>
      <c r="X85" s="7"/>
      <c r="Y85" s="7"/>
      <c r="Z85" s="267"/>
    </row>
    <row r="86" spans="1:26">
      <c r="A86" s="7"/>
      <c r="B86" s="7"/>
      <c r="C86" s="7"/>
      <c r="D86" s="26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258">
        <f>P82+1</f>
        <v>1986</v>
      </c>
      <c r="Q86" s="258">
        <v>4</v>
      </c>
      <c r="R86" s="259" t="s">
        <v>1551</v>
      </c>
      <c r="S86" s="254" t="str">
        <f t="shared" si="0"/>
        <v>4_1986</v>
      </c>
      <c r="T86" s="260">
        <f t="shared" si="1"/>
        <v>96.3</v>
      </c>
      <c r="U86" s="7"/>
      <c r="V86" s="7"/>
      <c r="W86" s="7"/>
      <c r="X86" s="7"/>
      <c r="Y86" s="7"/>
      <c r="Z86" s="267"/>
    </row>
    <row r="87" spans="1:26">
      <c r="A87" s="7"/>
      <c r="B87" s="7"/>
      <c r="C87" s="7"/>
      <c r="D87" s="26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258">
        <f>P82+1</f>
        <v>1986</v>
      </c>
      <c r="Q87" s="258">
        <v>5</v>
      </c>
      <c r="R87" s="259" t="s">
        <v>1551</v>
      </c>
      <c r="S87" s="254" t="str">
        <f t="shared" si="0"/>
        <v>5_1986</v>
      </c>
      <c r="T87" s="260">
        <f t="shared" si="1"/>
        <v>96.3</v>
      </c>
      <c r="U87" s="7"/>
      <c r="V87" s="7"/>
      <c r="W87" s="7"/>
      <c r="X87" s="7"/>
      <c r="Y87" s="7"/>
      <c r="Z87" s="267"/>
    </row>
    <row r="88" spans="1:26">
      <c r="A88" s="7"/>
      <c r="B88" s="7"/>
      <c r="C88" s="7"/>
      <c r="D88" s="26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258">
        <f>P82+1</f>
        <v>1986</v>
      </c>
      <c r="Q88" s="258">
        <v>6</v>
      </c>
      <c r="R88" s="259" t="s">
        <v>1551</v>
      </c>
      <c r="S88" s="254" t="str">
        <f t="shared" si="0"/>
        <v>6_1986</v>
      </c>
      <c r="T88" s="260">
        <f t="shared" si="1"/>
        <v>96.3</v>
      </c>
      <c r="U88" s="7"/>
      <c r="V88" s="7"/>
      <c r="W88" s="7"/>
      <c r="X88" s="7"/>
      <c r="Y88" s="7"/>
      <c r="Z88" s="267"/>
    </row>
    <row r="89" spans="1:26">
      <c r="A89" s="7"/>
      <c r="B89" s="7"/>
      <c r="C89" s="7"/>
      <c r="D89" s="26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258">
        <f>P82+1</f>
        <v>1986</v>
      </c>
      <c r="Q89" s="258">
        <v>7</v>
      </c>
      <c r="R89" s="259" t="s">
        <v>1551</v>
      </c>
      <c r="S89" s="254" t="str">
        <f t="shared" si="0"/>
        <v>7_1986</v>
      </c>
      <c r="T89" s="260">
        <f t="shared" si="1"/>
        <v>96.3</v>
      </c>
      <c r="U89" s="7"/>
      <c r="V89" s="7"/>
      <c r="W89" s="7"/>
      <c r="X89" s="7"/>
      <c r="Y89" s="7"/>
      <c r="Z89" s="267"/>
    </row>
    <row r="90" spans="1:26">
      <c r="A90" s="7"/>
      <c r="B90" s="7"/>
      <c r="C90" s="7"/>
      <c r="D90" s="26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258">
        <f>P82+1</f>
        <v>1986</v>
      </c>
      <c r="Q90" s="258">
        <v>8</v>
      </c>
      <c r="R90" s="259" t="s">
        <v>1551</v>
      </c>
      <c r="S90" s="254" t="str">
        <f t="shared" si="0"/>
        <v>8_1986</v>
      </c>
      <c r="T90" s="260">
        <f t="shared" si="1"/>
        <v>96.3</v>
      </c>
      <c r="U90" s="7"/>
      <c r="V90" s="7"/>
      <c r="W90" s="7"/>
      <c r="X90" s="7"/>
      <c r="Y90" s="7"/>
      <c r="Z90" s="267"/>
    </row>
    <row r="91" spans="1:26">
      <c r="A91" s="7"/>
      <c r="B91" s="7"/>
      <c r="C91" s="7"/>
      <c r="D91" s="26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258">
        <f>P82+1</f>
        <v>1986</v>
      </c>
      <c r="Q91" s="258">
        <v>9</v>
      </c>
      <c r="R91" s="259" t="s">
        <v>1551</v>
      </c>
      <c r="S91" s="254" t="str">
        <f t="shared" si="0"/>
        <v>9_1986</v>
      </c>
      <c r="T91" s="260">
        <f t="shared" si="1"/>
        <v>96.3</v>
      </c>
      <c r="U91" s="7"/>
      <c r="V91" s="7"/>
      <c r="W91" s="7"/>
      <c r="X91" s="7"/>
      <c r="Y91" s="7"/>
      <c r="Z91" s="267"/>
    </row>
    <row r="92" spans="1:26">
      <c r="A92" s="7"/>
      <c r="B92" s="7"/>
      <c r="C92" s="7"/>
      <c r="D92" s="26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258">
        <f>P82+1</f>
        <v>1986</v>
      </c>
      <c r="Q92" s="258">
        <v>10</v>
      </c>
      <c r="R92" s="259" t="s">
        <v>1551</v>
      </c>
      <c r="S92" s="254" t="str">
        <f t="shared" si="0"/>
        <v>10_1986</v>
      </c>
      <c r="T92" s="260">
        <f t="shared" si="1"/>
        <v>96.3</v>
      </c>
      <c r="U92" s="7"/>
      <c r="V92" s="7"/>
      <c r="W92" s="7"/>
      <c r="X92" s="7"/>
      <c r="Y92" s="7"/>
      <c r="Z92" s="267"/>
    </row>
    <row r="93" spans="1:26">
      <c r="A93" s="7"/>
      <c r="B93" s="7"/>
      <c r="C93" s="7"/>
      <c r="D93" s="26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258">
        <f>P82+1</f>
        <v>1986</v>
      </c>
      <c r="Q93" s="258">
        <v>11</v>
      </c>
      <c r="R93" s="259" t="s">
        <v>1551</v>
      </c>
      <c r="S93" s="254" t="str">
        <f t="shared" si="0"/>
        <v>11_1986</v>
      </c>
      <c r="T93" s="260">
        <f t="shared" si="1"/>
        <v>96.3</v>
      </c>
      <c r="U93" s="7"/>
      <c r="V93" s="7"/>
      <c r="W93" s="7"/>
      <c r="X93" s="7"/>
      <c r="Y93" s="7"/>
      <c r="Z93" s="267"/>
    </row>
    <row r="94" spans="1:26">
      <c r="A94" s="7"/>
      <c r="B94" s="7"/>
      <c r="C94" s="7"/>
      <c r="D94" s="26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258">
        <f>P82+1</f>
        <v>1986</v>
      </c>
      <c r="Q94" s="258">
        <v>12</v>
      </c>
      <c r="R94" s="259" t="s">
        <v>1551</v>
      </c>
      <c r="S94" s="254" t="str">
        <f t="shared" si="0"/>
        <v>12_1986</v>
      </c>
      <c r="T94" s="260">
        <f t="shared" si="1"/>
        <v>96.3</v>
      </c>
      <c r="U94" s="7"/>
      <c r="V94" s="7"/>
      <c r="W94" s="7"/>
      <c r="X94" s="7"/>
      <c r="Y94" s="7"/>
      <c r="Z94" s="267"/>
    </row>
    <row r="95" spans="1:26">
      <c r="A95" s="7"/>
      <c r="B95" s="7"/>
      <c r="C95" s="7"/>
      <c r="D95" s="26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258">
        <f>P94+1</f>
        <v>1987</v>
      </c>
      <c r="Q95" s="258">
        <v>1</v>
      </c>
      <c r="R95" s="259" t="s">
        <v>1551</v>
      </c>
      <c r="S95" s="254" t="str">
        <f t="shared" si="0"/>
        <v>1_1987</v>
      </c>
      <c r="T95" s="260">
        <f t="shared" si="1"/>
        <v>94.1</v>
      </c>
      <c r="U95" s="7"/>
      <c r="V95" s="7"/>
      <c r="W95" s="7"/>
      <c r="X95" s="7"/>
      <c r="Y95" s="7"/>
      <c r="Z95" s="267"/>
    </row>
    <row r="96" spans="1:26">
      <c r="A96" s="7"/>
      <c r="B96" s="7"/>
      <c r="C96" s="7"/>
      <c r="D96" s="26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258">
        <f>P94+1</f>
        <v>1987</v>
      </c>
      <c r="Q96" s="258">
        <v>2</v>
      </c>
      <c r="R96" s="259" t="s">
        <v>1551</v>
      </c>
      <c r="S96" s="254" t="str">
        <f t="shared" si="0"/>
        <v>2_1987</v>
      </c>
      <c r="T96" s="260">
        <f t="shared" si="1"/>
        <v>94.1</v>
      </c>
      <c r="U96" s="7"/>
      <c r="V96" s="7"/>
      <c r="W96" s="7"/>
      <c r="X96" s="7"/>
      <c r="Y96" s="7"/>
      <c r="Z96" s="267"/>
    </row>
    <row r="97" spans="1:26">
      <c r="A97" s="7"/>
      <c r="B97" s="7"/>
      <c r="C97" s="7"/>
      <c r="D97" s="26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258">
        <f>P94+1</f>
        <v>1987</v>
      </c>
      <c r="Q97" s="258">
        <v>3</v>
      </c>
      <c r="R97" s="259" t="s">
        <v>1551</v>
      </c>
      <c r="S97" s="254" t="str">
        <f t="shared" si="0"/>
        <v>3_1987</v>
      </c>
      <c r="T97" s="260">
        <f t="shared" si="1"/>
        <v>94.1</v>
      </c>
      <c r="U97" s="7"/>
      <c r="V97" s="7"/>
      <c r="W97" s="7"/>
      <c r="X97" s="7"/>
      <c r="Y97" s="7"/>
      <c r="Z97" s="267"/>
    </row>
    <row r="98" spans="1:26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258">
        <f>P94+1</f>
        <v>1987</v>
      </c>
      <c r="Q98" s="258">
        <v>4</v>
      </c>
      <c r="R98" s="259" t="s">
        <v>1551</v>
      </c>
      <c r="S98" s="254" t="str">
        <f t="shared" si="0"/>
        <v>4_1987</v>
      </c>
      <c r="T98" s="260">
        <f t="shared" si="1"/>
        <v>94.1</v>
      </c>
      <c r="U98" s="7"/>
      <c r="V98" s="7"/>
      <c r="W98" s="7"/>
      <c r="X98" s="7"/>
      <c r="Y98" s="7"/>
      <c r="Z98" s="267"/>
    </row>
    <row r="99" spans="1:26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258">
        <f>P94+1</f>
        <v>1987</v>
      </c>
      <c r="Q99" s="258">
        <v>5</v>
      </c>
      <c r="R99" s="259" t="s">
        <v>1551</v>
      </c>
      <c r="S99" s="254" t="str">
        <f t="shared" si="0"/>
        <v>5_1987</v>
      </c>
      <c r="T99" s="260">
        <f t="shared" si="1"/>
        <v>94.1</v>
      </c>
      <c r="U99" s="7"/>
      <c r="V99" s="7"/>
      <c r="W99" s="7"/>
      <c r="X99" s="7"/>
      <c r="Y99" s="7"/>
      <c r="Z99" s="267"/>
    </row>
    <row r="100" spans="1:26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258">
        <f>P94+1</f>
        <v>1987</v>
      </c>
      <c r="Q100" s="258">
        <v>6</v>
      </c>
      <c r="R100" s="259" t="s">
        <v>1551</v>
      </c>
      <c r="S100" s="254" t="str">
        <f t="shared" si="0"/>
        <v>6_1987</v>
      </c>
      <c r="T100" s="260">
        <f t="shared" si="1"/>
        <v>94.1</v>
      </c>
      <c r="U100" s="7"/>
      <c r="V100" s="7"/>
      <c r="W100" s="7"/>
      <c r="X100" s="7"/>
      <c r="Y100" s="7"/>
      <c r="Z100" s="267"/>
    </row>
    <row r="101" spans="1:26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258">
        <f>P94+1</f>
        <v>1987</v>
      </c>
      <c r="Q101" s="258">
        <v>7</v>
      </c>
      <c r="R101" s="259" t="s">
        <v>1551</v>
      </c>
      <c r="S101" s="254" t="str">
        <f t="shared" si="0"/>
        <v>7_1987</v>
      </c>
      <c r="T101" s="260">
        <f t="shared" si="1"/>
        <v>94.1</v>
      </c>
      <c r="U101" s="7"/>
      <c r="V101" s="7"/>
      <c r="W101" s="7"/>
      <c r="X101" s="7"/>
      <c r="Y101" s="7"/>
      <c r="Z101" s="267"/>
    </row>
    <row r="102" spans="1:26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258">
        <f>P94+1</f>
        <v>1987</v>
      </c>
      <c r="Q102" s="258">
        <v>8</v>
      </c>
      <c r="R102" s="259" t="s">
        <v>1551</v>
      </c>
      <c r="S102" s="254" t="str">
        <f t="shared" si="0"/>
        <v>8_1987</v>
      </c>
      <c r="T102" s="260">
        <f t="shared" si="1"/>
        <v>94.1</v>
      </c>
      <c r="U102" s="7"/>
      <c r="V102" s="7"/>
      <c r="W102" s="7"/>
      <c r="X102" s="7"/>
      <c r="Y102" s="7"/>
      <c r="Z102" s="267"/>
    </row>
    <row r="103" spans="1:26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258">
        <f>P94+1</f>
        <v>1987</v>
      </c>
      <c r="Q103" s="258">
        <v>9</v>
      </c>
      <c r="R103" s="259" t="s">
        <v>1551</v>
      </c>
      <c r="S103" s="254" t="str">
        <f t="shared" si="0"/>
        <v>9_1987</v>
      </c>
      <c r="T103" s="260">
        <f t="shared" si="1"/>
        <v>94.1</v>
      </c>
      <c r="U103" s="7"/>
      <c r="V103" s="7"/>
      <c r="W103" s="7"/>
      <c r="X103" s="7"/>
      <c r="Y103" s="7"/>
      <c r="Z103" s="267"/>
    </row>
    <row r="104" spans="1:26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258">
        <f>P94+1</f>
        <v>1987</v>
      </c>
      <c r="Q104" s="258">
        <v>10</v>
      </c>
      <c r="R104" s="259" t="s">
        <v>1551</v>
      </c>
      <c r="S104" s="254" t="str">
        <f t="shared" si="0"/>
        <v>10_1987</v>
      </c>
      <c r="T104" s="260">
        <f t="shared" si="1"/>
        <v>94.1</v>
      </c>
      <c r="U104" s="7"/>
      <c r="V104" s="7"/>
      <c r="W104" s="7"/>
      <c r="X104" s="7"/>
      <c r="Y104" s="7"/>
      <c r="Z104" s="267"/>
    </row>
    <row r="105" spans="1:26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258">
        <f>P94+1</f>
        <v>1987</v>
      </c>
      <c r="Q105" s="258">
        <v>11</v>
      </c>
      <c r="R105" s="259" t="s">
        <v>1551</v>
      </c>
      <c r="S105" s="254" t="str">
        <f t="shared" si="0"/>
        <v>11_1987</v>
      </c>
      <c r="T105" s="260">
        <f t="shared" si="1"/>
        <v>94.1</v>
      </c>
      <c r="U105" s="7"/>
      <c r="V105" s="7"/>
      <c r="W105" s="7"/>
      <c r="X105" s="7"/>
      <c r="Y105" s="7"/>
      <c r="Z105" s="267"/>
    </row>
    <row r="106" spans="1:26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258">
        <f>P94+1</f>
        <v>1987</v>
      </c>
      <c r="Q106" s="258">
        <v>12</v>
      </c>
      <c r="R106" s="259" t="s">
        <v>1551</v>
      </c>
      <c r="S106" s="254" t="str">
        <f t="shared" si="0"/>
        <v>12_1987</v>
      </c>
      <c r="T106" s="260">
        <f t="shared" si="1"/>
        <v>94.1</v>
      </c>
      <c r="U106" s="7"/>
      <c r="V106" s="7"/>
      <c r="W106" s="7"/>
      <c r="X106" s="7"/>
      <c r="Y106" s="7"/>
      <c r="Z106" s="267"/>
    </row>
    <row r="107" spans="1:26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258">
        <f>P106+1</f>
        <v>1988</v>
      </c>
      <c r="Q107" s="258">
        <v>1</v>
      </c>
      <c r="R107" s="259" t="s">
        <v>1551</v>
      </c>
      <c r="S107" s="254" t="str">
        <f t="shared" si="0"/>
        <v>1_1988</v>
      </c>
      <c r="T107" s="260">
        <f t="shared" si="1"/>
        <v>94.7</v>
      </c>
      <c r="U107" s="7"/>
      <c r="V107" s="7"/>
      <c r="W107" s="7"/>
      <c r="X107" s="7"/>
      <c r="Y107" s="7"/>
      <c r="Z107" s="267"/>
    </row>
    <row r="108" spans="1:26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258">
        <f>P106+1</f>
        <v>1988</v>
      </c>
      <c r="Q108" s="258">
        <v>2</v>
      </c>
      <c r="R108" s="259" t="s">
        <v>1551</v>
      </c>
      <c r="S108" s="254" t="str">
        <f t="shared" si="0"/>
        <v>2_1988</v>
      </c>
      <c r="T108" s="260">
        <f t="shared" si="1"/>
        <v>94.7</v>
      </c>
      <c r="U108" s="7"/>
      <c r="V108" s="7"/>
      <c r="W108" s="7"/>
      <c r="X108" s="7"/>
      <c r="Y108" s="7"/>
      <c r="Z108" s="267"/>
    </row>
    <row r="109" spans="1:26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258">
        <f>P106+1</f>
        <v>1988</v>
      </c>
      <c r="Q109" s="258">
        <v>3</v>
      </c>
      <c r="R109" s="259" t="s">
        <v>1551</v>
      </c>
      <c r="S109" s="254" t="str">
        <f t="shared" si="0"/>
        <v>3_1988</v>
      </c>
      <c r="T109" s="260">
        <f t="shared" si="1"/>
        <v>94.7</v>
      </c>
      <c r="U109" s="7"/>
      <c r="V109" s="7"/>
      <c r="W109" s="7"/>
      <c r="X109" s="7"/>
      <c r="Y109" s="7"/>
      <c r="Z109" s="267"/>
    </row>
    <row r="110" spans="1:26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258">
        <f>P106+1</f>
        <v>1988</v>
      </c>
      <c r="Q110" s="258">
        <v>4</v>
      </c>
      <c r="R110" s="259" t="s">
        <v>1551</v>
      </c>
      <c r="S110" s="254" t="str">
        <f t="shared" si="0"/>
        <v>4_1988</v>
      </c>
      <c r="T110" s="260">
        <f t="shared" si="1"/>
        <v>94.7</v>
      </c>
      <c r="U110" s="7"/>
      <c r="V110" s="7"/>
      <c r="W110" s="7"/>
      <c r="X110" s="7"/>
      <c r="Y110" s="7"/>
      <c r="Z110" s="267"/>
    </row>
    <row r="111" spans="1:26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258">
        <f>P106+1</f>
        <v>1988</v>
      </c>
      <c r="Q111" s="258">
        <v>5</v>
      </c>
      <c r="R111" s="259" t="s">
        <v>1551</v>
      </c>
      <c r="S111" s="254" t="str">
        <f t="shared" si="0"/>
        <v>5_1988</v>
      </c>
      <c r="T111" s="260">
        <f t="shared" si="1"/>
        <v>94.7</v>
      </c>
      <c r="U111" s="7"/>
      <c r="V111" s="7"/>
      <c r="W111" s="7"/>
      <c r="X111" s="7"/>
      <c r="Y111" s="7"/>
      <c r="Z111" s="7"/>
    </row>
    <row r="112" spans="1:26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258">
        <f>P106+1</f>
        <v>1988</v>
      </c>
      <c r="Q112" s="258">
        <v>6</v>
      </c>
      <c r="R112" s="259" t="s">
        <v>1551</v>
      </c>
      <c r="S112" s="254" t="str">
        <f t="shared" si="0"/>
        <v>6_1988</v>
      </c>
      <c r="T112" s="260">
        <f t="shared" si="1"/>
        <v>94.7</v>
      </c>
      <c r="U112" s="7"/>
      <c r="V112" s="7"/>
      <c r="W112" s="7"/>
      <c r="X112" s="7"/>
      <c r="Y112" s="7"/>
      <c r="Z112" s="7"/>
    </row>
    <row r="113" spans="1:26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258">
        <f>P106+1</f>
        <v>1988</v>
      </c>
      <c r="Q113" s="258">
        <v>7</v>
      </c>
      <c r="R113" s="259" t="s">
        <v>1551</v>
      </c>
      <c r="S113" s="254" t="str">
        <f t="shared" si="0"/>
        <v>7_1988</v>
      </c>
      <c r="T113" s="260">
        <f t="shared" si="1"/>
        <v>94.7</v>
      </c>
      <c r="U113" s="7"/>
      <c r="V113" s="7"/>
      <c r="W113" s="7"/>
      <c r="X113" s="7"/>
      <c r="Y113" s="7"/>
      <c r="Z113" s="7"/>
    </row>
    <row r="114" spans="1:26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258">
        <f>P106+1</f>
        <v>1988</v>
      </c>
      <c r="Q114" s="258">
        <v>8</v>
      </c>
      <c r="R114" s="259" t="s">
        <v>1551</v>
      </c>
      <c r="S114" s="254" t="str">
        <f t="shared" si="0"/>
        <v>8_1988</v>
      </c>
      <c r="T114" s="260">
        <f t="shared" si="1"/>
        <v>94.7</v>
      </c>
      <c r="U114" s="7"/>
      <c r="V114" s="7"/>
      <c r="W114" s="7"/>
      <c r="X114" s="7"/>
      <c r="Y114" s="7"/>
      <c r="Z114" s="7"/>
    </row>
    <row r="115" spans="1:26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258">
        <f>P106+1</f>
        <v>1988</v>
      </c>
      <c r="Q115" s="258">
        <v>9</v>
      </c>
      <c r="R115" s="259" t="s">
        <v>1551</v>
      </c>
      <c r="S115" s="254" t="str">
        <f t="shared" si="0"/>
        <v>9_1988</v>
      </c>
      <c r="T115" s="260">
        <f t="shared" si="1"/>
        <v>94.7</v>
      </c>
      <c r="U115" s="7"/>
      <c r="V115" s="7"/>
      <c r="W115" s="7"/>
      <c r="X115" s="7"/>
      <c r="Y115" s="7"/>
      <c r="Z115" s="7"/>
    </row>
    <row r="116" spans="1:26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258">
        <f>P106+1</f>
        <v>1988</v>
      </c>
      <c r="Q116" s="258">
        <v>10</v>
      </c>
      <c r="R116" s="259" t="s">
        <v>1551</v>
      </c>
      <c r="S116" s="254" t="str">
        <f t="shared" si="0"/>
        <v>10_1988</v>
      </c>
      <c r="T116" s="260">
        <f t="shared" si="1"/>
        <v>94.7</v>
      </c>
      <c r="U116" s="7"/>
      <c r="V116" s="7"/>
      <c r="W116" s="7"/>
      <c r="X116" s="7"/>
      <c r="Y116" s="7"/>
      <c r="Z116" s="7"/>
    </row>
    <row r="117" spans="1:26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258">
        <f>P106+1</f>
        <v>1988</v>
      </c>
      <c r="Q117" s="258">
        <v>11</v>
      </c>
      <c r="R117" s="259" t="s">
        <v>1551</v>
      </c>
      <c r="S117" s="254" t="str">
        <f t="shared" si="0"/>
        <v>11_1988</v>
      </c>
      <c r="T117" s="260">
        <f t="shared" si="1"/>
        <v>94.7</v>
      </c>
      <c r="U117" s="7"/>
      <c r="V117" s="7"/>
      <c r="W117" s="7"/>
      <c r="X117" s="7"/>
      <c r="Y117" s="7"/>
      <c r="Z117" s="7"/>
    </row>
    <row r="118" spans="1:26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258">
        <f>P106+1</f>
        <v>1988</v>
      </c>
      <c r="Q118" s="258">
        <v>12</v>
      </c>
      <c r="R118" s="259" t="s">
        <v>1551</v>
      </c>
      <c r="S118" s="254" t="str">
        <f t="shared" si="0"/>
        <v>12_1988</v>
      </c>
      <c r="T118" s="260">
        <f t="shared" si="1"/>
        <v>94.7</v>
      </c>
      <c r="U118" s="7"/>
      <c r="V118" s="7"/>
      <c r="W118" s="7"/>
      <c r="X118" s="7"/>
      <c r="Y118" s="7"/>
      <c r="Z118" s="7"/>
    </row>
    <row r="119" spans="1:26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258">
        <f>P118+1</f>
        <v>1989</v>
      </c>
      <c r="Q119" s="258">
        <v>1</v>
      </c>
      <c r="R119" s="259" t="s">
        <v>1551</v>
      </c>
      <c r="S119" s="254" t="str">
        <f t="shared" si="0"/>
        <v>1_1989</v>
      </c>
      <c r="T119" s="260">
        <f t="shared" si="1"/>
        <v>97.7</v>
      </c>
      <c r="U119" s="7"/>
      <c r="V119" s="7"/>
      <c r="W119" s="7"/>
      <c r="X119" s="7"/>
      <c r="Y119" s="7"/>
      <c r="Z119" s="7"/>
    </row>
    <row r="120" spans="1:26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258">
        <f>P118+1</f>
        <v>1989</v>
      </c>
      <c r="Q120" s="258">
        <v>2</v>
      </c>
      <c r="R120" s="259" t="s">
        <v>1551</v>
      </c>
      <c r="S120" s="254" t="str">
        <f t="shared" si="0"/>
        <v>2_1989</v>
      </c>
      <c r="T120" s="260">
        <f t="shared" si="1"/>
        <v>97.7</v>
      </c>
      <c r="U120" s="7"/>
      <c r="V120" s="7"/>
      <c r="W120" s="7"/>
      <c r="X120" s="7"/>
      <c r="Y120" s="7"/>
      <c r="Z120" s="7"/>
    </row>
    <row r="121" spans="1:26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258">
        <f>P118+1</f>
        <v>1989</v>
      </c>
      <c r="Q121" s="258">
        <v>3</v>
      </c>
      <c r="R121" s="259" t="s">
        <v>1551</v>
      </c>
      <c r="S121" s="254" t="str">
        <f t="shared" si="0"/>
        <v>3_1989</v>
      </c>
      <c r="T121" s="260">
        <f t="shared" si="1"/>
        <v>97.7</v>
      </c>
      <c r="U121" s="7"/>
      <c r="V121" s="7"/>
      <c r="W121" s="7"/>
      <c r="X121" s="7"/>
      <c r="Y121" s="7"/>
      <c r="Z121" s="7"/>
    </row>
    <row r="122" spans="1:26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258">
        <f>P118+1</f>
        <v>1989</v>
      </c>
      <c r="Q122" s="258">
        <v>4</v>
      </c>
      <c r="R122" s="259" t="s">
        <v>1551</v>
      </c>
      <c r="S122" s="254" t="str">
        <f t="shared" si="0"/>
        <v>4_1989</v>
      </c>
      <c r="T122" s="260">
        <f t="shared" si="1"/>
        <v>97.7</v>
      </c>
      <c r="U122" s="7"/>
      <c r="V122" s="7"/>
      <c r="W122" s="7"/>
      <c r="X122" s="7"/>
      <c r="Y122" s="7"/>
      <c r="Z122" s="7"/>
    </row>
    <row r="123" spans="1:26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258">
        <f>P118+1</f>
        <v>1989</v>
      </c>
      <c r="Q123" s="258">
        <v>5</v>
      </c>
      <c r="R123" s="259" t="s">
        <v>1551</v>
      </c>
      <c r="S123" s="254" t="str">
        <f t="shared" si="0"/>
        <v>5_1989</v>
      </c>
      <c r="T123" s="260">
        <f t="shared" si="1"/>
        <v>97.7</v>
      </c>
      <c r="U123" s="7"/>
      <c r="V123" s="7"/>
      <c r="W123" s="7"/>
      <c r="X123" s="7"/>
      <c r="Y123" s="7"/>
      <c r="Z123" s="7"/>
    </row>
    <row r="124" spans="1:26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258">
        <f>P118+1</f>
        <v>1989</v>
      </c>
      <c r="Q124" s="258">
        <v>6</v>
      </c>
      <c r="R124" s="259" t="s">
        <v>1551</v>
      </c>
      <c r="S124" s="254" t="str">
        <f t="shared" si="0"/>
        <v>6_1989</v>
      </c>
      <c r="T124" s="260">
        <f t="shared" si="1"/>
        <v>97.7</v>
      </c>
      <c r="U124" s="7"/>
      <c r="V124" s="7"/>
      <c r="W124" s="7"/>
      <c r="X124" s="7"/>
      <c r="Y124" s="7"/>
      <c r="Z124" s="7"/>
    </row>
    <row r="125" spans="1:26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258">
        <f>P118+1</f>
        <v>1989</v>
      </c>
      <c r="Q125" s="258">
        <v>7</v>
      </c>
      <c r="R125" s="259" t="s">
        <v>1551</v>
      </c>
      <c r="S125" s="254" t="str">
        <f t="shared" si="0"/>
        <v>7_1989</v>
      </c>
      <c r="T125" s="260">
        <f t="shared" si="1"/>
        <v>97.7</v>
      </c>
      <c r="U125" s="7"/>
      <c r="V125" s="7"/>
      <c r="W125" s="7"/>
      <c r="X125" s="7"/>
      <c r="Y125" s="7"/>
      <c r="Z125" s="7"/>
    </row>
    <row r="126" spans="1:26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258">
        <f>P118+1</f>
        <v>1989</v>
      </c>
      <c r="Q126" s="258">
        <v>8</v>
      </c>
      <c r="R126" s="259" t="s">
        <v>1551</v>
      </c>
      <c r="S126" s="254" t="str">
        <f t="shared" si="0"/>
        <v>8_1989</v>
      </c>
      <c r="T126" s="260">
        <f t="shared" si="1"/>
        <v>97.7</v>
      </c>
      <c r="U126" s="7"/>
      <c r="V126" s="7"/>
      <c r="W126" s="7"/>
      <c r="X126" s="7"/>
      <c r="Y126" s="7"/>
      <c r="Z126" s="7"/>
    </row>
    <row r="127" spans="1:26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258">
        <f>P118+1</f>
        <v>1989</v>
      </c>
      <c r="Q127" s="258">
        <v>9</v>
      </c>
      <c r="R127" s="259" t="s">
        <v>1551</v>
      </c>
      <c r="S127" s="254" t="str">
        <f t="shared" si="0"/>
        <v>9_1989</v>
      </c>
      <c r="T127" s="260">
        <f t="shared" si="1"/>
        <v>97.7</v>
      </c>
      <c r="U127" s="7"/>
      <c r="V127" s="7"/>
      <c r="W127" s="7"/>
      <c r="X127" s="7"/>
      <c r="Y127" s="7"/>
      <c r="Z127" s="7"/>
    </row>
    <row r="128" spans="1:26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258">
        <f>P118+1</f>
        <v>1989</v>
      </c>
      <c r="Q128" s="258">
        <v>10</v>
      </c>
      <c r="R128" s="259" t="s">
        <v>1551</v>
      </c>
      <c r="S128" s="254" t="str">
        <f t="shared" si="0"/>
        <v>10_1989</v>
      </c>
      <c r="T128" s="260">
        <f t="shared" si="1"/>
        <v>97.7</v>
      </c>
      <c r="U128" s="7"/>
      <c r="V128" s="7"/>
      <c r="W128" s="7"/>
      <c r="X128" s="7"/>
      <c r="Y128" s="7"/>
      <c r="Z128" s="7"/>
    </row>
    <row r="129" spans="1:26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258">
        <f>P118+1</f>
        <v>1989</v>
      </c>
      <c r="Q129" s="258">
        <v>11</v>
      </c>
      <c r="R129" s="259" t="s">
        <v>1551</v>
      </c>
      <c r="S129" s="254" t="str">
        <f t="shared" si="0"/>
        <v>11_1989</v>
      </c>
      <c r="T129" s="260">
        <f t="shared" si="1"/>
        <v>97.7</v>
      </c>
      <c r="U129" s="7"/>
      <c r="V129" s="7"/>
      <c r="W129" s="7"/>
      <c r="X129" s="7"/>
      <c r="Y129" s="7"/>
      <c r="Z129" s="7"/>
    </row>
    <row r="130" spans="1:26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258">
        <f>P118+1</f>
        <v>1989</v>
      </c>
      <c r="Q130" s="258">
        <v>12</v>
      </c>
      <c r="R130" s="259" t="s">
        <v>1551</v>
      </c>
      <c r="S130" s="254" t="str">
        <f t="shared" si="0"/>
        <v>12_1989</v>
      </c>
      <c r="T130" s="260">
        <f t="shared" si="1"/>
        <v>97.7</v>
      </c>
      <c r="U130" s="7"/>
      <c r="V130" s="7"/>
      <c r="W130" s="7"/>
      <c r="X130" s="7"/>
      <c r="Y130" s="7"/>
      <c r="Z130" s="7"/>
    </row>
    <row r="131" spans="1:26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258">
        <f>P130+1</f>
        <v>1990</v>
      </c>
      <c r="Q131" s="258">
        <v>1</v>
      </c>
      <c r="R131" s="259" t="s">
        <v>1551</v>
      </c>
      <c r="S131" s="254" t="str">
        <f t="shared" si="0"/>
        <v>1_1990</v>
      </c>
      <c r="T131" s="260">
        <f t="shared" si="1"/>
        <v>100.6</v>
      </c>
      <c r="U131" s="7"/>
      <c r="V131" s="7"/>
      <c r="W131" s="7"/>
      <c r="X131" s="7"/>
      <c r="Y131" s="7"/>
      <c r="Z131" s="7"/>
    </row>
    <row r="132" spans="1:26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258">
        <f>P130+1</f>
        <v>1990</v>
      </c>
      <c r="Q132" s="258">
        <v>2</v>
      </c>
      <c r="R132" s="259" t="s">
        <v>1551</v>
      </c>
      <c r="S132" s="254" t="str">
        <f t="shared" si="0"/>
        <v>2_1990</v>
      </c>
      <c r="T132" s="260">
        <f t="shared" si="1"/>
        <v>100.6</v>
      </c>
      <c r="U132" s="7"/>
      <c r="V132" s="7"/>
      <c r="W132" s="7"/>
      <c r="X132" s="7"/>
      <c r="Y132" s="7"/>
      <c r="Z132" s="7"/>
    </row>
    <row r="133" spans="1:26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258">
        <f>P130+1</f>
        <v>1990</v>
      </c>
      <c r="Q133" s="258">
        <v>3</v>
      </c>
      <c r="R133" s="259" t="s">
        <v>1551</v>
      </c>
      <c r="S133" s="254" t="str">
        <f t="shared" si="0"/>
        <v>3_1990</v>
      </c>
      <c r="T133" s="260">
        <f t="shared" si="1"/>
        <v>100.6</v>
      </c>
      <c r="U133" s="7"/>
      <c r="V133" s="7"/>
      <c r="W133" s="7"/>
      <c r="X133" s="7"/>
      <c r="Y133" s="7"/>
      <c r="Z133" s="7"/>
    </row>
    <row r="134" spans="1:26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258">
        <f>P130+1</f>
        <v>1990</v>
      </c>
      <c r="Q134" s="258">
        <v>4</v>
      </c>
      <c r="R134" s="259" t="s">
        <v>1551</v>
      </c>
      <c r="S134" s="254" t="str">
        <f t="shared" si="0"/>
        <v>4_1990</v>
      </c>
      <c r="T134" s="260">
        <f t="shared" si="1"/>
        <v>100.6</v>
      </c>
      <c r="U134" s="7"/>
      <c r="V134" s="7"/>
      <c r="W134" s="7"/>
      <c r="X134" s="7"/>
      <c r="Y134" s="7"/>
      <c r="Z134" s="7"/>
    </row>
    <row r="135" spans="1:26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258">
        <f>P130+1</f>
        <v>1990</v>
      </c>
      <c r="Q135" s="258">
        <v>5</v>
      </c>
      <c r="R135" s="259" t="s">
        <v>1551</v>
      </c>
      <c r="S135" s="254" t="str">
        <f t="shared" si="0"/>
        <v>5_1990</v>
      </c>
      <c r="T135" s="260">
        <f t="shared" si="1"/>
        <v>100.6</v>
      </c>
      <c r="U135" s="7"/>
      <c r="V135" s="7"/>
      <c r="W135" s="7"/>
      <c r="X135" s="7"/>
      <c r="Y135" s="7"/>
      <c r="Z135" s="7"/>
    </row>
    <row r="136" spans="1:26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258">
        <f>P130+1</f>
        <v>1990</v>
      </c>
      <c r="Q136" s="258">
        <v>6</v>
      </c>
      <c r="R136" s="259" t="s">
        <v>1551</v>
      </c>
      <c r="S136" s="254" t="str">
        <f t="shared" si="0"/>
        <v>6_1990</v>
      </c>
      <c r="T136" s="260">
        <f t="shared" si="1"/>
        <v>100.6</v>
      </c>
      <c r="U136" s="7"/>
      <c r="V136" s="7"/>
      <c r="W136" s="7"/>
      <c r="X136" s="7"/>
      <c r="Y136" s="7"/>
      <c r="Z136" s="7"/>
    </row>
    <row r="137" spans="1:26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258">
        <f>P130+1</f>
        <v>1990</v>
      </c>
      <c r="Q137" s="258">
        <v>7</v>
      </c>
      <c r="R137" s="259" t="s">
        <v>1551</v>
      </c>
      <c r="S137" s="254" t="str">
        <f t="shared" si="0"/>
        <v>7_1990</v>
      </c>
      <c r="T137" s="260">
        <f t="shared" si="1"/>
        <v>100.6</v>
      </c>
      <c r="U137" s="7"/>
      <c r="V137" s="7"/>
      <c r="W137" s="7"/>
      <c r="X137" s="7"/>
      <c r="Y137" s="7"/>
      <c r="Z137" s="7"/>
    </row>
    <row r="138" spans="1:26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258">
        <f>P130+1</f>
        <v>1990</v>
      </c>
      <c r="Q138" s="258">
        <v>8</v>
      </c>
      <c r="R138" s="259" t="s">
        <v>1551</v>
      </c>
      <c r="S138" s="254" t="str">
        <f t="shared" si="0"/>
        <v>8_1990</v>
      </c>
      <c r="T138" s="260">
        <f t="shared" si="1"/>
        <v>100.6</v>
      </c>
      <c r="U138" s="7"/>
      <c r="V138" s="7"/>
      <c r="W138" s="7"/>
      <c r="X138" s="7"/>
      <c r="Y138" s="7"/>
      <c r="Z138" s="7"/>
    </row>
    <row r="139" spans="1:26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258">
        <f>P130+1</f>
        <v>1990</v>
      </c>
      <c r="Q139" s="258">
        <v>9</v>
      </c>
      <c r="R139" s="259" t="s">
        <v>1551</v>
      </c>
      <c r="S139" s="254" t="str">
        <f t="shared" si="0"/>
        <v>9_1990</v>
      </c>
      <c r="T139" s="260">
        <f t="shared" si="1"/>
        <v>100.6</v>
      </c>
      <c r="U139" s="7"/>
      <c r="V139" s="7"/>
      <c r="W139" s="7"/>
      <c r="X139" s="7"/>
      <c r="Y139" s="7"/>
      <c r="Z139" s="7"/>
    </row>
    <row r="140" spans="1:26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258">
        <f>P130+1</f>
        <v>1990</v>
      </c>
      <c r="Q140" s="258">
        <v>10</v>
      </c>
      <c r="R140" s="259" t="s">
        <v>1551</v>
      </c>
      <c r="S140" s="254" t="str">
        <f t="shared" si="0"/>
        <v>10_1990</v>
      </c>
      <c r="T140" s="260">
        <f t="shared" si="1"/>
        <v>100.6</v>
      </c>
      <c r="U140" s="7"/>
      <c r="V140" s="7"/>
      <c r="W140" s="7"/>
      <c r="X140" s="7"/>
      <c r="Y140" s="7"/>
      <c r="Z140" s="7"/>
    </row>
    <row r="141" spans="1:26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258">
        <f>P130+1</f>
        <v>1990</v>
      </c>
      <c r="Q141" s="258">
        <v>11</v>
      </c>
      <c r="R141" s="259" t="s">
        <v>1551</v>
      </c>
      <c r="S141" s="254" t="str">
        <f t="shared" si="0"/>
        <v>11_1990</v>
      </c>
      <c r="T141" s="260">
        <f t="shared" si="1"/>
        <v>100.6</v>
      </c>
      <c r="U141" s="7"/>
      <c r="V141" s="7"/>
      <c r="W141" s="7"/>
      <c r="X141" s="7"/>
      <c r="Y141" s="7"/>
      <c r="Z141" s="7"/>
    </row>
    <row r="142" spans="1:26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258">
        <f>P130+1</f>
        <v>1990</v>
      </c>
      <c r="Q142" s="258">
        <v>12</v>
      </c>
      <c r="R142" s="259" t="s">
        <v>1551</v>
      </c>
      <c r="S142" s="254" t="str">
        <f t="shared" si="0"/>
        <v>12_1990</v>
      </c>
      <c r="T142" s="260">
        <f t="shared" si="1"/>
        <v>100.6</v>
      </c>
      <c r="U142" s="7"/>
      <c r="V142" s="7"/>
      <c r="W142" s="7"/>
      <c r="X142" s="7"/>
      <c r="Y142" s="7"/>
      <c r="Z142" s="7"/>
    </row>
    <row r="143" spans="1:26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258">
        <f>P142+1</f>
        <v>1991</v>
      </c>
      <c r="Q143" s="258">
        <v>1</v>
      </c>
      <c r="R143" s="259" t="s">
        <v>1551</v>
      </c>
      <c r="S143" s="254" t="str">
        <f t="shared" si="0"/>
        <v>1_1991</v>
      </c>
      <c r="T143" s="260">
        <f t="shared" si="1"/>
        <v>107.7</v>
      </c>
      <c r="U143" s="7"/>
      <c r="V143" s="7"/>
      <c r="W143" s="7"/>
      <c r="X143" s="7"/>
      <c r="Y143" s="7"/>
      <c r="Z143" s="7"/>
    </row>
    <row r="144" spans="1:26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258">
        <f>P142+1</f>
        <v>1991</v>
      </c>
      <c r="Q144" s="258">
        <v>2</v>
      </c>
      <c r="R144" s="259" t="s">
        <v>1551</v>
      </c>
      <c r="S144" s="254" t="str">
        <f t="shared" si="0"/>
        <v>2_1991</v>
      </c>
      <c r="T144" s="260">
        <f t="shared" si="1"/>
        <v>107.7</v>
      </c>
      <c r="U144" s="7"/>
      <c r="V144" s="7"/>
      <c r="W144" s="7"/>
      <c r="X144" s="7"/>
      <c r="Y144" s="7"/>
      <c r="Z144" s="7"/>
    </row>
    <row r="145" spans="1:26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258">
        <f>P142+1</f>
        <v>1991</v>
      </c>
      <c r="Q145" s="258">
        <v>3</v>
      </c>
      <c r="R145" s="259" t="s">
        <v>1551</v>
      </c>
      <c r="S145" s="254" t="str">
        <f t="shared" si="0"/>
        <v>3_1991</v>
      </c>
      <c r="T145" s="260">
        <f t="shared" si="1"/>
        <v>107.7</v>
      </c>
      <c r="U145" s="7"/>
      <c r="V145" s="7"/>
      <c r="W145" s="7"/>
      <c r="X145" s="7"/>
      <c r="Y145" s="7"/>
      <c r="Z145" s="7"/>
    </row>
    <row r="146" spans="1:26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258">
        <f>P142+1</f>
        <v>1991</v>
      </c>
      <c r="Q146" s="258">
        <v>4</v>
      </c>
      <c r="R146" s="259" t="s">
        <v>1551</v>
      </c>
      <c r="S146" s="254" t="str">
        <f t="shared" si="0"/>
        <v>4_1991</v>
      </c>
      <c r="T146" s="260">
        <f t="shared" si="1"/>
        <v>107.7</v>
      </c>
      <c r="U146" s="7"/>
      <c r="V146" s="7"/>
      <c r="W146" s="7"/>
      <c r="X146" s="7"/>
      <c r="Y146" s="7"/>
      <c r="Z146" s="7"/>
    </row>
    <row r="147" spans="1:26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258">
        <f>P142+1</f>
        <v>1991</v>
      </c>
      <c r="Q147" s="258">
        <v>5</v>
      </c>
      <c r="R147" s="259" t="s">
        <v>1551</v>
      </c>
      <c r="S147" s="254" t="str">
        <f t="shared" si="0"/>
        <v>5_1991</v>
      </c>
      <c r="T147" s="260">
        <f t="shared" si="1"/>
        <v>107.7</v>
      </c>
      <c r="U147" s="7"/>
      <c r="V147" s="7"/>
      <c r="W147" s="7"/>
      <c r="X147" s="7"/>
      <c r="Y147" s="7"/>
      <c r="Z147" s="7"/>
    </row>
    <row r="148" spans="1:26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258">
        <f>P142+1</f>
        <v>1991</v>
      </c>
      <c r="Q148" s="258">
        <v>6</v>
      </c>
      <c r="R148" s="259" t="s">
        <v>1551</v>
      </c>
      <c r="S148" s="254" t="str">
        <f t="shared" si="0"/>
        <v>6_1991</v>
      </c>
      <c r="T148" s="260">
        <f t="shared" si="1"/>
        <v>107.7</v>
      </c>
      <c r="U148" s="7"/>
      <c r="V148" s="7"/>
      <c r="W148" s="7"/>
      <c r="X148" s="7"/>
      <c r="Y148" s="7"/>
      <c r="Z148" s="7"/>
    </row>
    <row r="149" spans="1:26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258">
        <f>P142+1</f>
        <v>1991</v>
      </c>
      <c r="Q149" s="258">
        <v>7</v>
      </c>
      <c r="R149" s="259" t="s">
        <v>1551</v>
      </c>
      <c r="S149" s="254" t="str">
        <f t="shared" si="0"/>
        <v>7_1991</v>
      </c>
      <c r="T149" s="260">
        <f t="shared" si="1"/>
        <v>107.7</v>
      </c>
      <c r="U149" s="7"/>
      <c r="V149" s="7"/>
      <c r="W149" s="7"/>
      <c r="X149" s="7"/>
      <c r="Y149" s="7"/>
      <c r="Z149" s="7"/>
    </row>
    <row r="150" spans="1:26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258">
        <f>P142+1</f>
        <v>1991</v>
      </c>
      <c r="Q150" s="258">
        <v>8</v>
      </c>
      <c r="R150" s="259" t="s">
        <v>1551</v>
      </c>
      <c r="S150" s="254" t="str">
        <f t="shared" si="0"/>
        <v>8_1991</v>
      </c>
      <c r="T150" s="260">
        <f t="shared" si="1"/>
        <v>107.7</v>
      </c>
      <c r="U150" s="7"/>
      <c r="V150" s="7"/>
      <c r="W150" s="7"/>
      <c r="X150" s="7"/>
      <c r="Y150" s="7"/>
      <c r="Z150" s="7"/>
    </row>
    <row r="151" spans="1:26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258">
        <f>P142+1</f>
        <v>1991</v>
      </c>
      <c r="Q151" s="258">
        <v>9</v>
      </c>
      <c r="R151" s="259" t="s">
        <v>1551</v>
      </c>
      <c r="S151" s="254" t="str">
        <f t="shared" si="0"/>
        <v>9_1991</v>
      </c>
      <c r="T151" s="260">
        <f t="shared" si="1"/>
        <v>107.7</v>
      </c>
      <c r="U151" s="7"/>
      <c r="V151" s="7"/>
      <c r="W151" s="7"/>
      <c r="X151" s="7"/>
      <c r="Y151" s="7"/>
      <c r="Z151" s="7"/>
    </row>
    <row r="152" spans="1:26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258">
        <f>P142+1</f>
        <v>1991</v>
      </c>
      <c r="Q152" s="258">
        <v>10</v>
      </c>
      <c r="R152" s="259" t="s">
        <v>1551</v>
      </c>
      <c r="S152" s="254" t="str">
        <f t="shared" si="0"/>
        <v>10_1991</v>
      </c>
      <c r="T152" s="260">
        <f t="shared" si="1"/>
        <v>107.7</v>
      </c>
      <c r="U152" s="7"/>
      <c r="V152" s="7"/>
      <c r="W152" s="7"/>
      <c r="X152" s="7"/>
      <c r="Y152" s="7"/>
      <c r="Z152" s="7"/>
    </row>
    <row r="153" spans="1:26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258">
        <f>P142+1</f>
        <v>1991</v>
      </c>
      <c r="Q153" s="258">
        <v>11</v>
      </c>
      <c r="R153" s="259" t="s">
        <v>1551</v>
      </c>
      <c r="S153" s="254" t="str">
        <f t="shared" si="0"/>
        <v>11_1991</v>
      </c>
      <c r="T153" s="260">
        <f t="shared" si="1"/>
        <v>107.7</v>
      </c>
      <c r="U153" s="7"/>
      <c r="V153" s="7"/>
      <c r="W153" s="7"/>
      <c r="X153" s="7"/>
      <c r="Y153" s="7"/>
      <c r="Z153" s="7"/>
    </row>
    <row r="154" spans="1:26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258">
        <f>P142+1</f>
        <v>1991</v>
      </c>
      <c r="Q154" s="258">
        <v>12</v>
      </c>
      <c r="R154" s="259" t="s">
        <v>1551</v>
      </c>
      <c r="S154" s="254" t="str">
        <f t="shared" si="0"/>
        <v>12_1991</v>
      </c>
      <c r="T154" s="260">
        <f t="shared" si="1"/>
        <v>107.7</v>
      </c>
      <c r="U154" s="7"/>
      <c r="V154" s="7"/>
      <c r="W154" s="7"/>
      <c r="X154" s="7"/>
      <c r="Y154" s="7"/>
      <c r="Z154" s="7"/>
    </row>
    <row r="155" spans="1:26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258">
        <f>P154+1</f>
        <v>1992</v>
      </c>
      <c r="Q155" s="258">
        <v>1</v>
      </c>
      <c r="R155" s="259" t="s">
        <v>1551</v>
      </c>
      <c r="S155" s="254" t="str">
        <f t="shared" si="0"/>
        <v>1_1992</v>
      </c>
      <c r="T155" s="260">
        <f t="shared" si="1"/>
        <v>109</v>
      </c>
      <c r="U155" s="7"/>
      <c r="V155" s="7"/>
      <c r="W155" s="7"/>
      <c r="X155" s="7"/>
      <c r="Y155" s="7"/>
      <c r="Z155" s="7"/>
    </row>
    <row r="156" spans="1:26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258">
        <f>P154+1</f>
        <v>1992</v>
      </c>
      <c r="Q156" s="258">
        <v>2</v>
      </c>
      <c r="R156" s="259" t="s">
        <v>1551</v>
      </c>
      <c r="S156" s="254" t="str">
        <f t="shared" si="0"/>
        <v>2_1992</v>
      </c>
      <c r="T156" s="260">
        <f t="shared" si="1"/>
        <v>109</v>
      </c>
      <c r="U156" s="7"/>
      <c r="V156" s="7"/>
      <c r="W156" s="7"/>
      <c r="X156" s="7"/>
      <c r="Y156" s="7"/>
      <c r="Z156" s="7"/>
    </row>
    <row r="157" spans="1:26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258">
        <f>P154+1</f>
        <v>1992</v>
      </c>
      <c r="Q157" s="258">
        <v>3</v>
      </c>
      <c r="R157" s="259" t="s">
        <v>1551</v>
      </c>
      <c r="S157" s="254" t="str">
        <f t="shared" si="0"/>
        <v>3_1992</v>
      </c>
      <c r="T157" s="260">
        <f t="shared" si="1"/>
        <v>109</v>
      </c>
      <c r="U157" s="7"/>
      <c r="V157" s="7"/>
      <c r="W157" s="7"/>
      <c r="X157" s="7"/>
      <c r="Y157" s="7"/>
      <c r="Z157" s="7"/>
    </row>
    <row r="158" spans="1:26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258">
        <f>P154+1</f>
        <v>1992</v>
      </c>
      <c r="Q158" s="258">
        <v>4</v>
      </c>
      <c r="R158" s="259" t="s">
        <v>1551</v>
      </c>
      <c r="S158" s="254" t="str">
        <f t="shared" si="0"/>
        <v>4_1992</v>
      </c>
      <c r="T158" s="260">
        <f t="shared" si="1"/>
        <v>109</v>
      </c>
      <c r="U158" s="7"/>
      <c r="V158" s="7"/>
      <c r="W158" s="7"/>
      <c r="X158" s="7"/>
      <c r="Y158" s="7"/>
      <c r="Z158" s="7"/>
    </row>
    <row r="159" spans="1:26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258">
        <f>P154+1</f>
        <v>1992</v>
      </c>
      <c r="Q159" s="258">
        <v>5</v>
      </c>
      <c r="R159" s="259" t="s">
        <v>1551</v>
      </c>
      <c r="S159" s="254" t="str">
        <f t="shared" si="0"/>
        <v>5_1992</v>
      </c>
      <c r="T159" s="260">
        <f t="shared" si="1"/>
        <v>109</v>
      </c>
      <c r="U159" s="7"/>
      <c r="V159" s="7"/>
      <c r="W159" s="7"/>
      <c r="X159" s="7"/>
      <c r="Y159" s="7"/>
      <c r="Z159" s="7"/>
    </row>
    <row r="160" spans="1:26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258">
        <f>P154+1</f>
        <v>1992</v>
      </c>
      <c r="Q160" s="258">
        <v>6</v>
      </c>
      <c r="R160" s="259" t="s">
        <v>1551</v>
      </c>
      <c r="S160" s="254" t="str">
        <f t="shared" si="0"/>
        <v>6_1992</v>
      </c>
      <c r="T160" s="260">
        <f t="shared" si="1"/>
        <v>109</v>
      </c>
      <c r="U160" s="7"/>
      <c r="V160" s="7"/>
      <c r="W160" s="7"/>
      <c r="X160" s="7"/>
      <c r="Y160" s="7"/>
      <c r="Z160" s="7"/>
    </row>
    <row r="161" spans="1:26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258">
        <f>P154+1</f>
        <v>1992</v>
      </c>
      <c r="Q161" s="258">
        <v>7</v>
      </c>
      <c r="R161" s="259" t="s">
        <v>1551</v>
      </c>
      <c r="S161" s="254" t="str">
        <f t="shared" si="0"/>
        <v>7_1992</v>
      </c>
      <c r="T161" s="260">
        <f t="shared" si="1"/>
        <v>109</v>
      </c>
      <c r="U161" s="7"/>
      <c r="V161" s="7"/>
      <c r="W161" s="7"/>
      <c r="X161" s="7"/>
      <c r="Y161" s="7"/>
      <c r="Z161" s="7"/>
    </row>
    <row r="162" spans="1:26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258">
        <f>P154+1</f>
        <v>1992</v>
      </c>
      <c r="Q162" s="258">
        <v>8</v>
      </c>
      <c r="R162" s="259" t="s">
        <v>1551</v>
      </c>
      <c r="S162" s="254" t="str">
        <f t="shared" si="0"/>
        <v>8_1992</v>
      </c>
      <c r="T162" s="260">
        <f t="shared" si="1"/>
        <v>109</v>
      </c>
      <c r="U162" s="7"/>
      <c r="V162" s="7"/>
      <c r="W162" s="7"/>
      <c r="X162" s="7"/>
      <c r="Y162" s="7"/>
      <c r="Z162" s="7"/>
    </row>
    <row r="163" spans="1:26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258">
        <f>P154+1</f>
        <v>1992</v>
      </c>
      <c r="Q163" s="258">
        <v>9</v>
      </c>
      <c r="R163" s="259" t="s">
        <v>1551</v>
      </c>
      <c r="S163" s="254" t="str">
        <f t="shared" si="0"/>
        <v>9_1992</v>
      </c>
      <c r="T163" s="260">
        <f t="shared" si="1"/>
        <v>109</v>
      </c>
      <c r="U163" s="7"/>
      <c r="V163" s="7"/>
      <c r="W163" s="7"/>
      <c r="X163" s="7"/>
      <c r="Y163" s="7"/>
      <c r="Z163" s="7"/>
    </row>
    <row r="164" spans="1:26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258">
        <f>P154+1</f>
        <v>1992</v>
      </c>
      <c r="Q164" s="258">
        <v>10</v>
      </c>
      <c r="R164" s="259" t="s">
        <v>1551</v>
      </c>
      <c r="S164" s="254" t="str">
        <f t="shared" si="0"/>
        <v>10_1992</v>
      </c>
      <c r="T164" s="260">
        <f t="shared" si="1"/>
        <v>109</v>
      </c>
      <c r="U164" s="7"/>
      <c r="V164" s="7"/>
      <c r="W164" s="7"/>
      <c r="X164" s="7"/>
      <c r="Y164" s="7"/>
      <c r="Z164" s="7"/>
    </row>
    <row r="165" spans="1:26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258">
        <f>P154+1</f>
        <v>1992</v>
      </c>
      <c r="Q165" s="258">
        <v>11</v>
      </c>
      <c r="R165" s="259" t="s">
        <v>1551</v>
      </c>
      <c r="S165" s="254" t="str">
        <f t="shared" si="0"/>
        <v>11_1992</v>
      </c>
      <c r="T165" s="260">
        <f t="shared" si="1"/>
        <v>109</v>
      </c>
      <c r="U165" s="7"/>
      <c r="V165" s="7"/>
      <c r="W165" s="7"/>
      <c r="X165" s="7"/>
      <c r="Y165" s="7"/>
      <c r="Z165" s="7"/>
    </row>
    <row r="166" spans="1:26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258">
        <f>P154+1</f>
        <v>1992</v>
      </c>
      <c r="Q166" s="258">
        <v>12</v>
      </c>
      <c r="R166" s="259" t="s">
        <v>1551</v>
      </c>
      <c r="S166" s="254" t="str">
        <f t="shared" si="0"/>
        <v>12_1992</v>
      </c>
      <c r="T166" s="260">
        <f t="shared" si="1"/>
        <v>109</v>
      </c>
      <c r="U166" s="7"/>
      <c r="V166" s="7"/>
      <c r="W166" s="7"/>
      <c r="X166" s="7"/>
      <c r="Y166" s="7"/>
      <c r="Z166" s="7"/>
    </row>
    <row r="167" spans="1:26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258">
        <f>P166+1</f>
        <v>1993</v>
      </c>
      <c r="Q167" s="258">
        <v>1</v>
      </c>
      <c r="R167" s="259" t="s">
        <v>1551</v>
      </c>
      <c r="S167" s="254" t="str">
        <f t="shared" si="0"/>
        <v>1_1993</v>
      </c>
      <c r="T167" s="260">
        <f t="shared" si="1"/>
        <v>109.8</v>
      </c>
      <c r="U167" s="7"/>
      <c r="V167" s="7"/>
      <c r="W167" s="7"/>
      <c r="X167" s="7"/>
      <c r="Y167" s="7"/>
      <c r="Z167" s="7"/>
    </row>
    <row r="168" spans="1:26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258">
        <f>P166+1</f>
        <v>1993</v>
      </c>
      <c r="Q168" s="258">
        <v>2</v>
      </c>
      <c r="R168" s="259" t="s">
        <v>1551</v>
      </c>
      <c r="S168" s="254" t="str">
        <f t="shared" si="0"/>
        <v>2_1993</v>
      </c>
      <c r="T168" s="260">
        <f t="shared" si="1"/>
        <v>109.8</v>
      </c>
      <c r="U168" s="7"/>
      <c r="V168" s="7"/>
      <c r="W168" s="7"/>
      <c r="X168" s="7"/>
      <c r="Y168" s="7"/>
      <c r="Z168" s="7"/>
    </row>
    <row r="169" spans="1:26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258">
        <f>P166+1</f>
        <v>1993</v>
      </c>
      <c r="Q169" s="258">
        <v>3</v>
      </c>
      <c r="R169" s="259" t="s">
        <v>1551</v>
      </c>
      <c r="S169" s="254" t="str">
        <f t="shared" si="0"/>
        <v>3_1993</v>
      </c>
      <c r="T169" s="260">
        <f t="shared" si="1"/>
        <v>109.8</v>
      </c>
      <c r="U169" s="7"/>
      <c r="V169" s="7"/>
      <c r="W169" s="7"/>
      <c r="X169" s="7"/>
      <c r="Y169" s="7"/>
      <c r="Z169" s="7"/>
    </row>
    <row r="170" spans="1:26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258">
        <f>P166+1</f>
        <v>1993</v>
      </c>
      <c r="Q170" s="258">
        <v>4</v>
      </c>
      <c r="R170" s="259" t="s">
        <v>1551</v>
      </c>
      <c r="S170" s="254" t="str">
        <f t="shared" si="0"/>
        <v>4_1993</v>
      </c>
      <c r="T170" s="260">
        <f t="shared" si="1"/>
        <v>109.8</v>
      </c>
      <c r="U170" s="7"/>
      <c r="V170" s="7"/>
      <c r="W170" s="7"/>
      <c r="X170" s="7"/>
      <c r="Y170" s="7"/>
      <c r="Z170" s="7"/>
    </row>
    <row r="171" spans="1:26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258">
        <f>P166+1</f>
        <v>1993</v>
      </c>
      <c r="Q171" s="258">
        <v>5</v>
      </c>
      <c r="R171" s="259" t="s">
        <v>1551</v>
      </c>
      <c r="S171" s="254" t="str">
        <f t="shared" si="0"/>
        <v>5_1993</v>
      </c>
      <c r="T171" s="260">
        <f t="shared" si="1"/>
        <v>109.8</v>
      </c>
      <c r="U171" s="7"/>
      <c r="V171" s="7"/>
      <c r="W171" s="7"/>
      <c r="X171" s="7"/>
      <c r="Y171" s="7"/>
      <c r="Z171" s="7"/>
    </row>
    <row r="172" spans="1:26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258">
        <f>P166+1</f>
        <v>1993</v>
      </c>
      <c r="Q172" s="258">
        <v>6</v>
      </c>
      <c r="R172" s="259" t="s">
        <v>1551</v>
      </c>
      <c r="S172" s="254" t="str">
        <f t="shared" si="0"/>
        <v>6_1993</v>
      </c>
      <c r="T172" s="260">
        <f t="shared" si="1"/>
        <v>109.8</v>
      </c>
      <c r="U172" s="7"/>
      <c r="V172" s="7"/>
      <c r="W172" s="7"/>
      <c r="X172" s="7"/>
      <c r="Y172" s="7"/>
      <c r="Z172" s="7"/>
    </row>
    <row r="173" spans="1:26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258">
        <f>P166+1</f>
        <v>1993</v>
      </c>
      <c r="Q173" s="258">
        <v>7</v>
      </c>
      <c r="R173" s="259" t="s">
        <v>1551</v>
      </c>
      <c r="S173" s="254" t="str">
        <f t="shared" si="0"/>
        <v>7_1993</v>
      </c>
      <c r="T173" s="260">
        <f t="shared" si="1"/>
        <v>109.8</v>
      </c>
      <c r="U173" s="7"/>
      <c r="V173" s="7"/>
      <c r="W173" s="7"/>
      <c r="X173" s="7"/>
      <c r="Y173" s="7"/>
      <c r="Z173" s="7"/>
    </row>
    <row r="174" spans="1:26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258">
        <f>P166+1</f>
        <v>1993</v>
      </c>
      <c r="Q174" s="258">
        <v>8</v>
      </c>
      <c r="R174" s="259" t="s">
        <v>1551</v>
      </c>
      <c r="S174" s="254" t="str">
        <f t="shared" si="0"/>
        <v>8_1993</v>
      </c>
      <c r="T174" s="260">
        <f t="shared" si="1"/>
        <v>109.8</v>
      </c>
      <c r="U174" s="7"/>
      <c r="V174" s="7"/>
      <c r="W174" s="7"/>
      <c r="X174" s="7"/>
      <c r="Y174" s="7"/>
      <c r="Z174" s="7"/>
    </row>
    <row r="175" spans="1:26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258">
        <f>P166+1</f>
        <v>1993</v>
      </c>
      <c r="Q175" s="258">
        <v>9</v>
      </c>
      <c r="R175" s="259" t="s">
        <v>1551</v>
      </c>
      <c r="S175" s="254" t="str">
        <f t="shared" si="0"/>
        <v>9_1993</v>
      </c>
      <c r="T175" s="260">
        <f t="shared" si="1"/>
        <v>109.8</v>
      </c>
      <c r="U175" s="7"/>
      <c r="V175" s="7"/>
      <c r="W175" s="7"/>
      <c r="X175" s="7"/>
      <c r="Y175" s="7"/>
      <c r="Z175" s="7"/>
    </row>
    <row r="176" spans="1:26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258">
        <f>P166+1</f>
        <v>1993</v>
      </c>
      <c r="Q176" s="258">
        <v>10</v>
      </c>
      <c r="R176" s="259" t="s">
        <v>1551</v>
      </c>
      <c r="S176" s="254" t="str">
        <f t="shared" si="0"/>
        <v>10_1993</v>
      </c>
      <c r="T176" s="260">
        <f t="shared" si="1"/>
        <v>109.8</v>
      </c>
      <c r="U176" s="7"/>
      <c r="V176" s="7"/>
      <c r="W176" s="7"/>
      <c r="X176" s="7"/>
      <c r="Y176" s="7"/>
      <c r="Z176" s="7"/>
    </row>
    <row r="177" spans="1:26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258">
        <f>P166+1</f>
        <v>1993</v>
      </c>
      <c r="Q177" s="258">
        <v>11</v>
      </c>
      <c r="R177" s="259" t="s">
        <v>1551</v>
      </c>
      <c r="S177" s="254" t="str">
        <f t="shared" si="0"/>
        <v>11_1993</v>
      </c>
      <c r="T177" s="260">
        <f t="shared" si="1"/>
        <v>109.8</v>
      </c>
      <c r="U177" s="7"/>
      <c r="V177" s="7"/>
      <c r="W177" s="7"/>
      <c r="X177" s="7"/>
      <c r="Y177" s="7"/>
      <c r="Z177" s="7"/>
    </row>
    <row r="178" spans="1:26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258">
        <f>P166+1</f>
        <v>1993</v>
      </c>
      <c r="Q178" s="258">
        <v>12</v>
      </c>
      <c r="R178" s="259" t="s">
        <v>1551</v>
      </c>
      <c r="S178" s="254" t="str">
        <f t="shared" si="0"/>
        <v>12_1993</v>
      </c>
      <c r="T178" s="260">
        <f t="shared" si="1"/>
        <v>109.8</v>
      </c>
      <c r="U178" s="7"/>
      <c r="V178" s="7"/>
      <c r="W178" s="7"/>
      <c r="X178" s="7"/>
      <c r="Y178" s="7"/>
      <c r="Z178" s="7"/>
    </row>
    <row r="179" spans="1:26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258">
        <f>P178+1</f>
        <v>1994</v>
      </c>
      <c r="Q179" s="258">
        <v>1</v>
      </c>
      <c r="R179" s="259" t="s">
        <v>1551</v>
      </c>
      <c r="S179" s="254" t="str">
        <f t="shared" si="0"/>
        <v>1_1994</v>
      </c>
      <c r="T179" s="260">
        <f t="shared" si="1"/>
        <v>108.6</v>
      </c>
      <c r="U179" s="7"/>
      <c r="V179" s="7"/>
      <c r="W179" s="7"/>
      <c r="X179" s="7"/>
      <c r="Y179" s="7"/>
      <c r="Z179" s="7"/>
    </row>
    <row r="180" spans="1:26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258">
        <f>P178+1</f>
        <v>1994</v>
      </c>
      <c r="Q180" s="258">
        <v>2</v>
      </c>
      <c r="R180" s="259" t="s">
        <v>1551</v>
      </c>
      <c r="S180" s="254" t="str">
        <f t="shared" si="0"/>
        <v>2_1994</v>
      </c>
      <c r="T180" s="260">
        <f t="shared" si="1"/>
        <v>108.6</v>
      </c>
      <c r="U180" s="7"/>
      <c r="V180" s="7"/>
      <c r="W180" s="7"/>
      <c r="X180" s="7"/>
      <c r="Y180" s="7"/>
      <c r="Z180" s="7"/>
    </row>
    <row r="181" spans="1:26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258">
        <f>P178+1</f>
        <v>1994</v>
      </c>
      <c r="Q181" s="258">
        <v>3</v>
      </c>
      <c r="R181" s="259" t="s">
        <v>1551</v>
      </c>
      <c r="S181" s="254" t="str">
        <f t="shared" si="0"/>
        <v>3_1994</v>
      </c>
      <c r="T181" s="260">
        <f t="shared" si="1"/>
        <v>108.6</v>
      </c>
      <c r="U181" s="7"/>
      <c r="V181" s="7"/>
      <c r="W181" s="7"/>
      <c r="X181" s="7"/>
      <c r="Y181" s="7"/>
      <c r="Z181" s="7"/>
    </row>
    <row r="182" spans="1:26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258">
        <f>P178+1</f>
        <v>1994</v>
      </c>
      <c r="Q182" s="258">
        <v>4</v>
      </c>
      <c r="R182" s="259" t="s">
        <v>1551</v>
      </c>
      <c r="S182" s="254" t="str">
        <f t="shared" si="0"/>
        <v>4_1994</v>
      </c>
      <c r="T182" s="260">
        <f t="shared" si="1"/>
        <v>108.6</v>
      </c>
      <c r="U182" s="7"/>
      <c r="V182" s="7"/>
      <c r="W182" s="7"/>
      <c r="X182" s="7"/>
      <c r="Y182" s="7"/>
      <c r="Z182" s="7"/>
    </row>
    <row r="183" spans="1:26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258">
        <f>P178+1</f>
        <v>1994</v>
      </c>
      <c r="Q183" s="258">
        <v>5</v>
      </c>
      <c r="R183" s="259" t="s">
        <v>1551</v>
      </c>
      <c r="S183" s="254" t="str">
        <f t="shared" si="0"/>
        <v>5_1994</v>
      </c>
      <c r="T183" s="260">
        <f t="shared" si="1"/>
        <v>108.6</v>
      </c>
      <c r="U183" s="7"/>
      <c r="V183" s="7"/>
      <c r="W183" s="7"/>
      <c r="X183" s="7"/>
      <c r="Y183" s="7"/>
      <c r="Z183" s="7"/>
    </row>
    <row r="184" spans="1:26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258">
        <f>P178+1</f>
        <v>1994</v>
      </c>
      <c r="Q184" s="258">
        <v>6</v>
      </c>
      <c r="R184" s="259" t="s">
        <v>1551</v>
      </c>
      <c r="S184" s="254" t="str">
        <f t="shared" si="0"/>
        <v>6_1994</v>
      </c>
      <c r="T184" s="260">
        <f t="shared" si="1"/>
        <v>108.6</v>
      </c>
      <c r="U184" s="7"/>
      <c r="V184" s="7"/>
      <c r="W184" s="7"/>
      <c r="X184" s="7"/>
      <c r="Y184" s="7"/>
      <c r="Z184" s="7"/>
    </row>
    <row r="185" spans="1:26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258">
        <f>P178+1</f>
        <v>1994</v>
      </c>
      <c r="Q185" s="258">
        <v>7</v>
      </c>
      <c r="R185" s="259" t="s">
        <v>1551</v>
      </c>
      <c r="S185" s="254" t="str">
        <f t="shared" si="0"/>
        <v>7_1994</v>
      </c>
      <c r="T185" s="260">
        <f t="shared" si="1"/>
        <v>108.6</v>
      </c>
      <c r="U185" s="7"/>
      <c r="V185" s="7"/>
      <c r="W185" s="7"/>
      <c r="X185" s="7"/>
      <c r="Y185" s="7"/>
      <c r="Z185" s="7"/>
    </row>
    <row r="186" spans="1:26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258">
        <f>P178+1</f>
        <v>1994</v>
      </c>
      <c r="Q186" s="258">
        <v>8</v>
      </c>
      <c r="R186" s="259" t="s">
        <v>1551</v>
      </c>
      <c r="S186" s="254" t="str">
        <f t="shared" si="0"/>
        <v>8_1994</v>
      </c>
      <c r="T186" s="260">
        <f t="shared" si="1"/>
        <v>108.6</v>
      </c>
      <c r="U186" s="7"/>
      <c r="V186" s="7"/>
      <c r="W186" s="7"/>
      <c r="X186" s="7"/>
      <c r="Y186" s="7"/>
      <c r="Z186" s="7"/>
    </row>
    <row r="187" spans="1:26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258">
        <f>P178+1</f>
        <v>1994</v>
      </c>
      <c r="Q187" s="258">
        <v>9</v>
      </c>
      <c r="R187" s="259" t="s">
        <v>1551</v>
      </c>
      <c r="S187" s="254" t="str">
        <f t="shared" si="0"/>
        <v>9_1994</v>
      </c>
      <c r="T187" s="260">
        <f t="shared" si="1"/>
        <v>108.6</v>
      </c>
      <c r="U187" s="7"/>
      <c r="V187" s="7"/>
      <c r="W187" s="7"/>
      <c r="X187" s="7"/>
      <c r="Y187" s="7"/>
      <c r="Z187" s="7"/>
    </row>
    <row r="188" spans="1:26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258">
        <f>P178+1</f>
        <v>1994</v>
      </c>
      <c r="Q188" s="258">
        <v>10</v>
      </c>
      <c r="R188" s="259" t="s">
        <v>1551</v>
      </c>
      <c r="S188" s="254" t="str">
        <f t="shared" si="0"/>
        <v>10_1994</v>
      </c>
      <c r="T188" s="260">
        <f t="shared" si="1"/>
        <v>108.6</v>
      </c>
      <c r="U188" s="7"/>
      <c r="V188" s="7"/>
      <c r="W188" s="7"/>
      <c r="X188" s="7"/>
      <c r="Y188" s="7"/>
      <c r="Z188" s="7"/>
    </row>
    <row r="189" spans="1:26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258">
        <f>P178+1</f>
        <v>1994</v>
      </c>
      <c r="Q189" s="258">
        <v>11</v>
      </c>
      <c r="R189" s="259" t="s">
        <v>1551</v>
      </c>
      <c r="S189" s="254" t="str">
        <f t="shared" si="0"/>
        <v>11_1994</v>
      </c>
      <c r="T189" s="260">
        <f t="shared" si="1"/>
        <v>108.6</v>
      </c>
      <c r="U189" s="7"/>
      <c r="V189" s="7"/>
      <c r="W189" s="7"/>
      <c r="X189" s="7"/>
      <c r="Y189" s="7"/>
      <c r="Z189" s="7"/>
    </row>
    <row r="190" spans="1:26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258">
        <f>P178+1</f>
        <v>1994</v>
      </c>
      <c r="Q190" s="258">
        <v>12</v>
      </c>
      <c r="R190" s="259" t="s">
        <v>1551</v>
      </c>
      <c r="S190" s="254" t="str">
        <f t="shared" si="0"/>
        <v>12_1994</v>
      </c>
      <c r="T190" s="260">
        <f t="shared" si="1"/>
        <v>108.6</v>
      </c>
      <c r="U190" s="7"/>
      <c r="V190" s="7"/>
      <c r="W190" s="7"/>
      <c r="X190" s="7"/>
      <c r="Y190" s="7"/>
      <c r="Z190" s="7"/>
    </row>
    <row r="191" spans="1:26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258">
        <f>P190+1</f>
        <v>1995</v>
      </c>
      <c r="Q191" s="258">
        <v>1</v>
      </c>
      <c r="R191" s="259" t="s">
        <v>1551</v>
      </c>
      <c r="S191" s="254" t="str">
        <f t="shared" si="0"/>
        <v>1_1995</v>
      </c>
      <c r="T191" s="260">
        <f t="shared" si="1"/>
        <v>110</v>
      </c>
      <c r="U191" s="7"/>
      <c r="V191" s="7"/>
      <c r="W191" s="7"/>
      <c r="X191" s="7"/>
      <c r="Y191" s="7"/>
      <c r="Z191" s="7"/>
    </row>
    <row r="192" spans="1:26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258">
        <f>P190+1</f>
        <v>1995</v>
      </c>
      <c r="Q192" s="258">
        <v>2</v>
      </c>
      <c r="R192" s="259" t="s">
        <v>1551</v>
      </c>
      <c r="S192" s="254" t="str">
        <f t="shared" si="0"/>
        <v>2_1995</v>
      </c>
      <c r="T192" s="260">
        <f t="shared" si="1"/>
        <v>110</v>
      </c>
      <c r="U192" s="7"/>
      <c r="V192" s="7"/>
      <c r="W192" s="7"/>
      <c r="X192" s="7"/>
      <c r="Y192" s="7"/>
      <c r="Z192" s="7"/>
    </row>
    <row r="193" spans="1:26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258">
        <f>P190+1</f>
        <v>1995</v>
      </c>
      <c r="Q193" s="258">
        <v>3</v>
      </c>
      <c r="R193" s="259" t="s">
        <v>1551</v>
      </c>
      <c r="S193" s="254" t="str">
        <f t="shared" si="0"/>
        <v>3_1995</v>
      </c>
      <c r="T193" s="260">
        <f t="shared" si="1"/>
        <v>110</v>
      </c>
      <c r="U193" s="7"/>
      <c r="V193" s="7"/>
      <c r="W193" s="7"/>
      <c r="X193" s="7"/>
      <c r="Y193" s="7"/>
      <c r="Z193" s="7"/>
    </row>
    <row r="194" spans="1:26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258">
        <f>P190+1</f>
        <v>1995</v>
      </c>
      <c r="Q194" s="258">
        <v>4</v>
      </c>
      <c r="R194" s="259" t="s">
        <v>1551</v>
      </c>
      <c r="S194" s="254" t="str">
        <f t="shared" si="0"/>
        <v>4_1995</v>
      </c>
      <c r="T194" s="260">
        <f t="shared" si="1"/>
        <v>110</v>
      </c>
      <c r="U194" s="7"/>
      <c r="V194" s="7"/>
      <c r="W194" s="7"/>
      <c r="X194" s="7"/>
      <c r="Y194" s="7"/>
      <c r="Z194" s="7"/>
    </row>
    <row r="195" spans="1:26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258">
        <f>P190+1</f>
        <v>1995</v>
      </c>
      <c r="Q195" s="258">
        <v>5</v>
      </c>
      <c r="R195" s="259" t="s">
        <v>1551</v>
      </c>
      <c r="S195" s="254" t="str">
        <f t="shared" si="0"/>
        <v>5_1995</v>
      </c>
      <c r="T195" s="260">
        <f t="shared" si="1"/>
        <v>110</v>
      </c>
      <c r="U195" s="7"/>
      <c r="V195" s="7"/>
      <c r="W195" s="7"/>
      <c r="X195" s="7"/>
      <c r="Y195" s="7"/>
      <c r="Z195" s="7"/>
    </row>
    <row r="196" spans="1:26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258">
        <f>P190+1</f>
        <v>1995</v>
      </c>
      <c r="Q196" s="258">
        <v>6</v>
      </c>
      <c r="R196" s="259" t="s">
        <v>1551</v>
      </c>
      <c r="S196" s="254" t="str">
        <f t="shared" si="0"/>
        <v>6_1995</v>
      </c>
      <c r="T196" s="260">
        <f t="shared" si="1"/>
        <v>110</v>
      </c>
      <c r="U196" s="7"/>
      <c r="V196" s="7"/>
      <c r="W196" s="7"/>
      <c r="X196" s="7"/>
      <c r="Y196" s="7"/>
      <c r="Z196" s="7"/>
    </row>
    <row r="197" spans="1:26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258">
        <f>P190+1</f>
        <v>1995</v>
      </c>
      <c r="Q197" s="258">
        <v>7</v>
      </c>
      <c r="R197" s="259" t="s">
        <v>1551</v>
      </c>
      <c r="S197" s="254" t="str">
        <f t="shared" si="0"/>
        <v>7_1995</v>
      </c>
      <c r="T197" s="260">
        <f t="shared" si="1"/>
        <v>110</v>
      </c>
      <c r="U197" s="7"/>
      <c r="V197" s="7"/>
      <c r="W197" s="7"/>
      <c r="X197" s="7"/>
      <c r="Y197" s="7"/>
      <c r="Z197" s="7"/>
    </row>
    <row r="198" spans="1:26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258">
        <f>P190+1</f>
        <v>1995</v>
      </c>
      <c r="Q198" s="258">
        <v>8</v>
      </c>
      <c r="R198" s="259" t="s">
        <v>1551</v>
      </c>
      <c r="S198" s="254" t="str">
        <f t="shared" si="0"/>
        <v>8_1995</v>
      </c>
      <c r="T198" s="260">
        <f t="shared" si="1"/>
        <v>110</v>
      </c>
      <c r="U198" s="7"/>
      <c r="V198" s="7"/>
      <c r="W198" s="7"/>
      <c r="X198" s="7"/>
      <c r="Y198" s="7"/>
      <c r="Z198" s="7"/>
    </row>
    <row r="199" spans="1:26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258">
        <f>P190+1</f>
        <v>1995</v>
      </c>
      <c r="Q199" s="258">
        <v>9</v>
      </c>
      <c r="R199" s="259" t="s">
        <v>1551</v>
      </c>
      <c r="S199" s="254" t="str">
        <f t="shared" si="0"/>
        <v>9_1995</v>
      </c>
      <c r="T199" s="260">
        <f t="shared" si="1"/>
        <v>110</v>
      </c>
      <c r="U199" s="7"/>
      <c r="V199" s="7"/>
      <c r="W199" s="7"/>
      <c r="X199" s="7"/>
      <c r="Y199" s="7"/>
      <c r="Z199" s="7"/>
    </row>
    <row r="200" spans="1:26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258">
        <f>P190+1</f>
        <v>1995</v>
      </c>
      <c r="Q200" s="258">
        <v>10</v>
      </c>
      <c r="R200" s="259" t="s">
        <v>1551</v>
      </c>
      <c r="S200" s="254" t="str">
        <f t="shared" si="0"/>
        <v>10_1995</v>
      </c>
      <c r="T200" s="260">
        <f t="shared" si="1"/>
        <v>110</v>
      </c>
      <c r="U200" s="7"/>
      <c r="V200" s="7"/>
      <c r="W200" s="7"/>
      <c r="X200" s="7"/>
      <c r="Y200" s="7"/>
      <c r="Z200" s="7"/>
    </row>
    <row r="201" spans="1:26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258">
        <f>P190+1</f>
        <v>1995</v>
      </c>
      <c r="Q201" s="258">
        <v>11</v>
      </c>
      <c r="R201" s="259" t="s">
        <v>1551</v>
      </c>
      <c r="S201" s="254" t="str">
        <f t="shared" si="0"/>
        <v>11_1995</v>
      </c>
      <c r="T201" s="260">
        <f t="shared" si="1"/>
        <v>110</v>
      </c>
      <c r="U201" s="7"/>
      <c r="V201" s="7"/>
      <c r="W201" s="7"/>
      <c r="X201" s="7"/>
      <c r="Y201" s="7"/>
      <c r="Z201" s="7"/>
    </row>
    <row r="202" spans="1:26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258">
        <f>P190+1</f>
        <v>1995</v>
      </c>
      <c r="Q202" s="258">
        <v>12</v>
      </c>
      <c r="R202" s="259" t="s">
        <v>1551</v>
      </c>
      <c r="S202" s="254" t="str">
        <f t="shared" si="0"/>
        <v>12_1995</v>
      </c>
      <c r="T202" s="260">
        <f t="shared" si="1"/>
        <v>110</v>
      </c>
      <c r="U202" s="7"/>
      <c r="V202" s="7"/>
      <c r="W202" s="7"/>
      <c r="X202" s="7"/>
      <c r="Y202" s="7"/>
      <c r="Z202" s="7"/>
    </row>
    <row r="203" spans="1:26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258">
        <f>P202+1</f>
        <v>1996</v>
      </c>
      <c r="Q203" s="258">
        <v>1</v>
      </c>
      <c r="R203" s="259" t="s">
        <v>1551</v>
      </c>
      <c r="S203" s="254" t="str">
        <f t="shared" si="0"/>
        <v>1_1996</v>
      </c>
      <c r="T203" s="260">
        <f t="shared" si="1"/>
        <v>110.6</v>
      </c>
      <c r="U203" s="7"/>
      <c r="V203" s="7"/>
      <c r="W203" s="7"/>
      <c r="X203" s="7"/>
      <c r="Y203" s="7"/>
      <c r="Z203" s="7"/>
    </row>
    <row r="204" spans="1:26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258">
        <f>P202+1</f>
        <v>1996</v>
      </c>
      <c r="Q204" s="258">
        <v>2</v>
      </c>
      <c r="R204" s="259" t="s">
        <v>1551</v>
      </c>
      <c r="S204" s="254" t="str">
        <f t="shared" si="0"/>
        <v>2_1996</v>
      </c>
      <c r="T204" s="260">
        <f t="shared" si="1"/>
        <v>110.6</v>
      </c>
      <c r="U204" s="7"/>
      <c r="V204" s="7"/>
      <c r="W204" s="7"/>
      <c r="X204" s="7"/>
      <c r="Y204" s="7"/>
      <c r="Z204" s="7"/>
    </row>
    <row r="205" spans="1:26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258">
        <f>P202+1</f>
        <v>1996</v>
      </c>
      <c r="Q205" s="258">
        <v>3</v>
      </c>
      <c r="R205" s="259" t="s">
        <v>1551</v>
      </c>
      <c r="S205" s="254" t="str">
        <f t="shared" si="0"/>
        <v>3_1996</v>
      </c>
      <c r="T205" s="260">
        <f t="shared" si="1"/>
        <v>110.6</v>
      </c>
      <c r="U205" s="7"/>
      <c r="V205" s="7"/>
      <c r="W205" s="7"/>
      <c r="X205" s="7"/>
      <c r="Y205" s="7"/>
      <c r="Z205" s="7"/>
    </row>
    <row r="206" spans="1:26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258">
        <f>P202+1</f>
        <v>1996</v>
      </c>
      <c r="Q206" s="258">
        <v>4</v>
      </c>
      <c r="R206" s="259" t="s">
        <v>1551</v>
      </c>
      <c r="S206" s="254" t="str">
        <f t="shared" si="0"/>
        <v>4_1996</v>
      </c>
      <c r="T206" s="260">
        <f t="shared" si="1"/>
        <v>110.6</v>
      </c>
      <c r="U206" s="7"/>
      <c r="V206" s="7"/>
      <c r="W206" s="7"/>
      <c r="X206" s="7"/>
      <c r="Y206" s="7"/>
      <c r="Z206" s="7"/>
    </row>
    <row r="207" spans="1:26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258">
        <f>P202+1</f>
        <v>1996</v>
      </c>
      <c r="Q207" s="258">
        <v>5</v>
      </c>
      <c r="R207" s="259" t="s">
        <v>1551</v>
      </c>
      <c r="S207" s="254" t="str">
        <f t="shared" si="0"/>
        <v>5_1996</v>
      </c>
      <c r="T207" s="260">
        <f t="shared" si="1"/>
        <v>110.6</v>
      </c>
      <c r="U207" s="7"/>
      <c r="V207" s="7"/>
      <c r="W207" s="7"/>
      <c r="X207" s="7"/>
      <c r="Y207" s="7"/>
      <c r="Z207" s="7"/>
    </row>
    <row r="208" spans="1:26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258">
        <f>P202+1</f>
        <v>1996</v>
      </c>
      <c r="Q208" s="258">
        <v>6</v>
      </c>
      <c r="R208" s="259" t="s">
        <v>1551</v>
      </c>
      <c r="S208" s="254" t="str">
        <f t="shared" si="0"/>
        <v>6_1996</v>
      </c>
      <c r="T208" s="260">
        <f t="shared" si="1"/>
        <v>110.6</v>
      </c>
      <c r="U208" s="7"/>
      <c r="V208" s="7"/>
      <c r="W208" s="7"/>
      <c r="X208" s="7"/>
      <c r="Y208" s="7"/>
      <c r="Z208" s="7"/>
    </row>
    <row r="209" spans="1:26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258">
        <f>P202+1</f>
        <v>1996</v>
      </c>
      <c r="Q209" s="258">
        <v>7</v>
      </c>
      <c r="R209" s="259" t="s">
        <v>1551</v>
      </c>
      <c r="S209" s="254" t="str">
        <f t="shared" si="0"/>
        <v>7_1996</v>
      </c>
      <c r="T209" s="260">
        <f t="shared" si="1"/>
        <v>110.6</v>
      </c>
      <c r="U209" s="7"/>
      <c r="V209" s="7"/>
      <c r="W209" s="7"/>
      <c r="X209" s="7"/>
      <c r="Y209" s="7"/>
      <c r="Z209" s="7"/>
    </row>
    <row r="210" spans="1:26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258">
        <f>P202+1</f>
        <v>1996</v>
      </c>
      <c r="Q210" s="258">
        <v>8</v>
      </c>
      <c r="R210" s="259" t="s">
        <v>1551</v>
      </c>
      <c r="S210" s="254" t="str">
        <f t="shared" si="0"/>
        <v>8_1996</v>
      </c>
      <c r="T210" s="260">
        <f t="shared" si="1"/>
        <v>110.6</v>
      </c>
      <c r="U210" s="7"/>
      <c r="V210" s="7"/>
      <c r="W210" s="7"/>
      <c r="X210" s="7"/>
      <c r="Y210" s="7"/>
      <c r="Z210" s="7"/>
    </row>
    <row r="211" spans="1:26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258">
        <f>P202+1</f>
        <v>1996</v>
      </c>
      <c r="Q211" s="258">
        <v>9</v>
      </c>
      <c r="R211" s="259" t="s">
        <v>1551</v>
      </c>
      <c r="S211" s="254" t="str">
        <f t="shared" si="0"/>
        <v>9_1996</v>
      </c>
      <c r="T211" s="260">
        <f t="shared" si="1"/>
        <v>110.6</v>
      </c>
      <c r="U211" s="7"/>
      <c r="V211" s="7"/>
      <c r="W211" s="7"/>
      <c r="X211" s="7"/>
      <c r="Y211" s="7"/>
      <c r="Z211" s="7"/>
    </row>
    <row r="212" spans="1:26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258">
        <f>P202+1</f>
        <v>1996</v>
      </c>
      <c r="Q212" s="258">
        <v>10</v>
      </c>
      <c r="R212" s="259" t="s">
        <v>1551</v>
      </c>
      <c r="S212" s="254" t="str">
        <f t="shared" si="0"/>
        <v>10_1996</v>
      </c>
      <c r="T212" s="260">
        <f t="shared" si="1"/>
        <v>110.6</v>
      </c>
      <c r="U212" s="7"/>
      <c r="V212" s="7"/>
      <c r="W212" s="7"/>
      <c r="X212" s="7"/>
      <c r="Y212" s="7"/>
      <c r="Z212" s="7"/>
    </row>
    <row r="213" spans="1:26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258">
        <f>P202+1</f>
        <v>1996</v>
      </c>
      <c r="Q213" s="258">
        <v>11</v>
      </c>
      <c r="R213" s="259" t="s">
        <v>1551</v>
      </c>
      <c r="S213" s="254" t="str">
        <f t="shared" si="0"/>
        <v>11_1996</v>
      </c>
      <c r="T213" s="260">
        <f t="shared" si="1"/>
        <v>110.6</v>
      </c>
      <c r="U213" s="7"/>
      <c r="V213" s="7"/>
      <c r="W213" s="7"/>
      <c r="X213" s="7"/>
      <c r="Y213" s="7"/>
      <c r="Z213" s="7"/>
    </row>
    <row r="214" spans="1:26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258">
        <f>P202+1</f>
        <v>1996</v>
      </c>
      <c r="Q214" s="258">
        <v>12</v>
      </c>
      <c r="R214" s="259" t="s">
        <v>1551</v>
      </c>
      <c r="S214" s="254" t="str">
        <f t="shared" si="0"/>
        <v>12_1996</v>
      </c>
      <c r="T214" s="260">
        <f t="shared" si="1"/>
        <v>110.6</v>
      </c>
      <c r="U214" s="7"/>
      <c r="V214" s="7"/>
      <c r="W214" s="7"/>
      <c r="X214" s="7"/>
      <c r="Y214" s="7"/>
      <c r="Z214" s="7"/>
    </row>
    <row r="215" spans="1:26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258">
        <f>P214+1</f>
        <v>1997</v>
      </c>
      <c r="Q215" s="258">
        <v>1</v>
      </c>
      <c r="R215" s="259" t="s">
        <v>1551</v>
      </c>
      <c r="S215" s="254" t="str">
        <f t="shared" si="0"/>
        <v>1_1997</v>
      </c>
      <c r="T215" s="260">
        <f t="shared" si="1"/>
        <v>110</v>
      </c>
      <c r="U215" s="7"/>
      <c r="V215" s="7"/>
      <c r="W215" s="7"/>
      <c r="X215" s="7"/>
      <c r="Y215" s="7"/>
      <c r="Z215" s="7"/>
    </row>
    <row r="216" spans="1:26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258">
        <f>P214+1</f>
        <v>1997</v>
      </c>
      <c r="Q216" s="258">
        <v>2</v>
      </c>
      <c r="R216" s="259" t="s">
        <v>1551</v>
      </c>
      <c r="S216" s="254" t="str">
        <f t="shared" si="0"/>
        <v>2_1997</v>
      </c>
      <c r="T216" s="260">
        <f t="shared" si="1"/>
        <v>110</v>
      </c>
      <c r="U216" s="7"/>
      <c r="V216" s="7"/>
      <c r="W216" s="7"/>
      <c r="X216" s="7"/>
      <c r="Y216" s="7"/>
      <c r="Z216" s="7"/>
    </row>
    <row r="217" spans="1:26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258">
        <f>P214+1</f>
        <v>1997</v>
      </c>
      <c r="Q217" s="258">
        <v>3</v>
      </c>
      <c r="R217" s="259" t="s">
        <v>1551</v>
      </c>
      <c r="S217" s="254" t="str">
        <f t="shared" si="0"/>
        <v>3_1997</v>
      </c>
      <c r="T217" s="260">
        <f t="shared" si="1"/>
        <v>110</v>
      </c>
      <c r="U217" s="7"/>
      <c r="V217" s="7"/>
      <c r="W217" s="7"/>
      <c r="X217" s="7"/>
      <c r="Y217" s="7"/>
      <c r="Z217" s="7"/>
    </row>
    <row r="218" spans="1:26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258">
        <f>P214+1</f>
        <v>1997</v>
      </c>
      <c r="Q218" s="258">
        <v>4</v>
      </c>
      <c r="R218" s="259" t="s">
        <v>1551</v>
      </c>
      <c r="S218" s="254" t="str">
        <f t="shared" si="0"/>
        <v>4_1997</v>
      </c>
      <c r="T218" s="260">
        <f t="shared" si="1"/>
        <v>110</v>
      </c>
      <c r="U218" s="7"/>
      <c r="V218" s="7"/>
      <c r="W218" s="7"/>
      <c r="X218" s="7"/>
      <c r="Y218" s="7"/>
      <c r="Z218" s="7"/>
    </row>
    <row r="219" spans="1:26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258">
        <f>P214+1</f>
        <v>1997</v>
      </c>
      <c r="Q219" s="258">
        <v>5</v>
      </c>
      <c r="R219" s="259" t="s">
        <v>1551</v>
      </c>
      <c r="S219" s="254" t="str">
        <f t="shared" si="0"/>
        <v>5_1997</v>
      </c>
      <c r="T219" s="260">
        <f t="shared" si="1"/>
        <v>110</v>
      </c>
      <c r="U219" s="7"/>
      <c r="V219" s="7"/>
      <c r="W219" s="7"/>
      <c r="X219" s="7"/>
      <c r="Y219" s="7"/>
      <c r="Z219" s="7"/>
    </row>
    <row r="220" spans="1:26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258">
        <f>P214+1</f>
        <v>1997</v>
      </c>
      <c r="Q220" s="258">
        <v>6</v>
      </c>
      <c r="R220" s="259" t="s">
        <v>1551</v>
      </c>
      <c r="S220" s="254" t="str">
        <f t="shared" si="0"/>
        <v>6_1997</v>
      </c>
      <c r="T220" s="260">
        <f t="shared" si="1"/>
        <v>110</v>
      </c>
      <c r="U220" s="7"/>
      <c r="V220" s="7"/>
      <c r="W220" s="7"/>
      <c r="X220" s="7"/>
      <c r="Y220" s="7"/>
      <c r="Z220" s="7"/>
    </row>
    <row r="221" spans="1:26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258">
        <f>P214+1</f>
        <v>1997</v>
      </c>
      <c r="Q221" s="258">
        <v>7</v>
      </c>
      <c r="R221" s="259" t="s">
        <v>1551</v>
      </c>
      <c r="S221" s="254" t="str">
        <f t="shared" si="0"/>
        <v>7_1997</v>
      </c>
      <c r="T221" s="260">
        <f t="shared" si="1"/>
        <v>110</v>
      </c>
      <c r="U221" s="7"/>
      <c r="V221" s="7"/>
      <c r="W221" s="7"/>
      <c r="X221" s="7"/>
      <c r="Y221" s="7"/>
      <c r="Z221" s="7"/>
    </row>
    <row r="222" spans="1:2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258">
        <f>P214+1</f>
        <v>1997</v>
      </c>
      <c r="Q222" s="258">
        <v>8</v>
      </c>
      <c r="R222" s="259" t="s">
        <v>1551</v>
      </c>
      <c r="S222" s="254" t="str">
        <f t="shared" si="0"/>
        <v>8_1997</v>
      </c>
      <c r="T222" s="260">
        <f t="shared" si="1"/>
        <v>110</v>
      </c>
      <c r="U222" s="7"/>
      <c r="V222" s="7"/>
      <c r="W222" s="7"/>
      <c r="X222" s="7"/>
      <c r="Y222" s="7"/>
      <c r="Z222" s="7"/>
    </row>
    <row r="223" spans="1:2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258">
        <f>P214+1</f>
        <v>1997</v>
      </c>
      <c r="Q223" s="258">
        <v>9</v>
      </c>
      <c r="R223" s="259" t="s">
        <v>1551</v>
      </c>
      <c r="S223" s="254" t="str">
        <f t="shared" si="0"/>
        <v>9_1997</v>
      </c>
      <c r="T223" s="260">
        <f t="shared" si="1"/>
        <v>110</v>
      </c>
      <c r="U223" s="7"/>
      <c r="V223" s="7"/>
      <c r="W223" s="7"/>
      <c r="X223" s="7"/>
      <c r="Y223" s="7"/>
      <c r="Z223" s="7"/>
    </row>
    <row r="224" spans="1:26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258">
        <f>P214+1</f>
        <v>1997</v>
      </c>
      <c r="Q224" s="258">
        <v>10</v>
      </c>
      <c r="R224" s="259" t="s">
        <v>1551</v>
      </c>
      <c r="S224" s="254" t="str">
        <f t="shared" si="0"/>
        <v>10_1997</v>
      </c>
      <c r="T224" s="260">
        <f t="shared" si="1"/>
        <v>110</v>
      </c>
      <c r="U224" s="7"/>
      <c r="V224" s="7"/>
      <c r="W224" s="7"/>
      <c r="X224" s="7"/>
      <c r="Y224" s="7"/>
      <c r="Z224" s="7"/>
    </row>
    <row r="225" spans="1:26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258">
        <f>P214+1</f>
        <v>1997</v>
      </c>
      <c r="Q225" s="258">
        <v>11</v>
      </c>
      <c r="R225" s="259" t="s">
        <v>1551</v>
      </c>
      <c r="S225" s="254" t="str">
        <f t="shared" si="0"/>
        <v>11_1997</v>
      </c>
      <c r="T225" s="260">
        <f t="shared" si="1"/>
        <v>110</v>
      </c>
      <c r="U225" s="7"/>
      <c r="V225" s="7"/>
      <c r="W225" s="7"/>
      <c r="X225" s="7"/>
      <c r="Y225" s="7"/>
      <c r="Z225" s="7"/>
    </row>
    <row r="226" spans="1:26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258">
        <f>P214+1</f>
        <v>1997</v>
      </c>
      <c r="Q226" s="258">
        <v>12</v>
      </c>
      <c r="R226" s="259" t="s">
        <v>1551</v>
      </c>
      <c r="S226" s="254" t="str">
        <f t="shared" si="0"/>
        <v>12_1997</v>
      </c>
      <c r="T226" s="260">
        <f t="shared" si="1"/>
        <v>110</v>
      </c>
      <c r="U226" s="7"/>
      <c r="V226" s="7"/>
      <c r="W226" s="7"/>
      <c r="X226" s="7"/>
      <c r="Y226" s="7"/>
      <c r="Z226" s="7"/>
    </row>
    <row r="227" spans="1:26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258">
        <f>P226+1</f>
        <v>1998</v>
      </c>
      <c r="Q227" s="258">
        <v>1</v>
      </c>
      <c r="R227" s="259" t="s">
        <v>1551</v>
      </c>
      <c r="S227" s="254" t="str">
        <f t="shared" si="0"/>
        <v>1_1998</v>
      </c>
      <c r="T227" s="260">
        <f t="shared" si="1"/>
        <v>109.3</v>
      </c>
      <c r="U227" s="7"/>
      <c r="V227" s="7"/>
      <c r="W227" s="7"/>
      <c r="X227" s="7"/>
      <c r="Y227" s="7"/>
      <c r="Z227" s="7"/>
    </row>
    <row r="228" spans="1:26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258">
        <f>P226+1</f>
        <v>1998</v>
      </c>
      <c r="Q228" s="258">
        <v>2</v>
      </c>
      <c r="R228" s="259" t="s">
        <v>1551</v>
      </c>
      <c r="S228" s="254" t="str">
        <f t="shared" si="0"/>
        <v>2_1998</v>
      </c>
      <c r="T228" s="260">
        <f t="shared" si="1"/>
        <v>109.3</v>
      </c>
      <c r="U228" s="7"/>
      <c r="V228" s="7"/>
      <c r="W228" s="7"/>
      <c r="X228" s="7"/>
      <c r="Y228" s="7"/>
      <c r="Z228" s="7"/>
    </row>
    <row r="229" spans="1:26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258">
        <f>P226+1</f>
        <v>1998</v>
      </c>
      <c r="Q229" s="258">
        <v>3</v>
      </c>
      <c r="R229" s="259" t="s">
        <v>1551</v>
      </c>
      <c r="S229" s="254" t="str">
        <f t="shared" si="0"/>
        <v>3_1998</v>
      </c>
      <c r="T229" s="260">
        <f t="shared" si="1"/>
        <v>109.3</v>
      </c>
      <c r="U229" s="7"/>
      <c r="V229" s="7"/>
      <c r="W229" s="7"/>
      <c r="X229" s="7"/>
      <c r="Y229" s="7"/>
      <c r="Z229" s="7"/>
    </row>
    <row r="230" spans="1:26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258">
        <f>P226+1</f>
        <v>1998</v>
      </c>
      <c r="Q230" s="258">
        <v>4</v>
      </c>
      <c r="R230" s="259" t="s">
        <v>1551</v>
      </c>
      <c r="S230" s="254" t="str">
        <f t="shared" si="0"/>
        <v>4_1998</v>
      </c>
      <c r="T230" s="260">
        <f t="shared" si="1"/>
        <v>109.3</v>
      </c>
      <c r="U230" s="7"/>
      <c r="V230" s="7"/>
      <c r="W230" s="7"/>
      <c r="X230" s="7"/>
      <c r="Y230" s="7"/>
      <c r="Z230" s="7"/>
    </row>
    <row r="231" spans="1:26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258">
        <f>P226+1</f>
        <v>1998</v>
      </c>
      <c r="Q231" s="258">
        <v>5</v>
      </c>
      <c r="R231" s="259" t="s">
        <v>1551</v>
      </c>
      <c r="S231" s="254" t="str">
        <f t="shared" si="0"/>
        <v>5_1998</v>
      </c>
      <c r="T231" s="260">
        <f t="shared" si="1"/>
        <v>109.3</v>
      </c>
      <c r="U231" s="7"/>
      <c r="V231" s="7"/>
      <c r="W231" s="7"/>
      <c r="X231" s="7"/>
      <c r="Y231" s="7"/>
      <c r="Z231" s="7"/>
    </row>
    <row r="232" spans="1:26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258">
        <f>P226+1</f>
        <v>1998</v>
      </c>
      <c r="Q232" s="258">
        <v>6</v>
      </c>
      <c r="R232" s="259" t="s">
        <v>1551</v>
      </c>
      <c r="S232" s="254" t="str">
        <f t="shared" si="0"/>
        <v>6_1998</v>
      </c>
      <c r="T232" s="260">
        <f t="shared" si="1"/>
        <v>109.3</v>
      </c>
      <c r="U232" s="7"/>
      <c r="V232" s="7"/>
      <c r="W232" s="7"/>
      <c r="X232" s="7"/>
      <c r="Y232" s="7"/>
      <c r="Z232" s="7"/>
    </row>
    <row r="233" spans="1:26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258">
        <f>P226+1</f>
        <v>1998</v>
      </c>
      <c r="Q233" s="258">
        <v>7</v>
      </c>
      <c r="R233" s="259" t="s">
        <v>1551</v>
      </c>
      <c r="S233" s="254" t="str">
        <f t="shared" si="0"/>
        <v>7_1998</v>
      </c>
      <c r="T233" s="260">
        <f t="shared" si="1"/>
        <v>109.3</v>
      </c>
      <c r="U233" s="7"/>
      <c r="V233" s="7"/>
      <c r="W233" s="7"/>
      <c r="X233" s="7"/>
      <c r="Y233" s="7"/>
      <c r="Z233" s="7"/>
    </row>
    <row r="234" spans="1:26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258">
        <f>P226+1</f>
        <v>1998</v>
      </c>
      <c r="Q234" s="258">
        <v>8</v>
      </c>
      <c r="R234" s="259" t="s">
        <v>1551</v>
      </c>
      <c r="S234" s="254" t="str">
        <f t="shared" si="0"/>
        <v>8_1998</v>
      </c>
      <c r="T234" s="260">
        <f t="shared" si="1"/>
        <v>109.3</v>
      </c>
      <c r="U234" s="7"/>
      <c r="V234" s="7"/>
      <c r="W234" s="7"/>
      <c r="X234" s="7"/>
      <c r="Y234" s="7"/>
      <c r="Z234" s="7"/>
    </row>
    <row r="235" spans="1:26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258">
        <f>P226+1</f>
        <v>1998</v>
      </c>
      <c r="Q235" s="258">
        <v>9</v>
      </c>
      <c r="R235" s="259" t="s">
        <v>1551</v>
      </c>
      <c r="S235" s="254" t="str">
        <f t="shared" si="0"/>
        <v>9_1998</v>
      </c>
      <c r="T235" s="260">
        <f t="shared" si="1"/>
        <v>109.3</v>
      </c>
      <c r="U235" s="7"/>
      <c r="V235" s="7"/>
      <c r="W235" s="7"/>
      <c r="X235" s="7"/>
      <c r="Y235" s="7"/>
      <c r="Z235" s="7"/>
    </row>
    <row r="236" spans="1:26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258">
        <f>P226+1</f>
        <v>1998</v>
      </c>
      <c r="Q236" s="258">
        <v>10</v>
      </c>
      <c r="R236" s="259" t="s">
        <v>1551</v>
      </c>
      <c r="S236" s="254" t="str">
        <f t="shared" si="0"/>
        <v>10_1998</v>
      </c>
      <c r="T236" s="260">
        <f t="shared" si="1"/>
        <v>109.3</v>
      </c>
      <c r="U236" s="7"/>
      <c r="V236" s="7"/>
      <c r="W236" s="7"/>
      <c r="X236" s="7"/>
      <c r="Y236" s="7"/>
      <c r="Z236" s="7"/>
    </row>
    <row r="237" spans="1:26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258">
        <f>P226+1</f>
        <v>1998</v>
      </c>
      <c r="Q237" s="258">
        <v>11</v>
      </c>
      <c r="R237" s="259" t="s">
        <v>1551</v>
      </c>
      <c r="S237" s="254" t="str">
        <f t="shared" si="0"/>
        <v>11_1998</v>
      </c>
      <c r="T237" s="260">
        <f t="shared" si="1"/>
        <v>109.3</v>
      </c>
      <c r="U237" s="7"/>
      <c r="V237" s="7"/>
      <c r="W237" s="7"/>
      <c r="X237" s="7"/>
      <c r="Y237" s="7"/>
      <c r="Z237" s="7"/>
    </row>
    <row r="238" spans="1:26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258">
        <f>P226+1</f>
        <v>1998</v>
      </c>
      <c r="Q238" s="258">
        <v>12</v>
      </c>
      <c r="R238" s="259" t="s">
        <v>1551</v>
      </c>
      <c r="S238" s="254" t="str">
        <f t="shared" si="0"/>
        <v>12_1998</v>
      </c>
      <c r="T238" s="260">
        <f t="shared" si="1"/>
        <v>109.3</v>
      </c>
      <c r="U238" s="7"/>
      <c r="V238" s="7"/>
      <c r="W238" s="7"/>
      <c r="X238" s="7"/>
      <c r="Y238" s="7"/>
      <c r="Z238" s="7"/>
    </row>
    <row r="239" spans="1:26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258">
        <f>P238+1</f>
        <v>1999</v>
      </c>
      <c r="Q239" s="258">
        <v>1</v>
      </c>
      <c r="R239" s="259" t="s">
        <v>1551</v>
      </c>
      <c r="S239" s="254" t="str">
        <f t="shared" si="0"/>
        <v>1_1999</v>
      </c>
      <c r="T239" s="260">
        <f t="shared" si="1"/>
        <v>108.4</v>
      </c>
      <c r="U239" s="7"/>
      <c r="V239" s="7"/>
      <c r="W239" s="7"/>
      <c r="X239" s="7"/>
      <c r="Y239" s="7"/>
      <c r="Z239" s="7"/>
    </row>
    <row r="240" spans="1:26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258">
        <f>P238+1</f>
        <v>1999</v>
      </c>
      <c r="Q240" s="258">
        <v>2</v>
      </c>
      <c r="R240" s="259" t="s">
        <v>1551</v>
      </c>
      <c r="S240" s="254" t="str">
        <f t="shared" si="0"/>
        <v>2_1999</v>
      </c>
      <c r="T240" s="260">
        <f t="shared" si="1"/>
        <v>108.4</v>
      </c>
      <c r="U240" s="7"/>
      <c r="V240" s="7"/>
      <c r="W240" s="7"/>
      <c r="X240" s="7"/>
      <c r="Y240" s="7"/>
      <c r="Z240" s="7"/>
    </row>
    <row r="241" spans="1:26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258">
        <f>P238+1</f>
        <v>1999</v>
      </c>
      <c r="Q241" s="258">
        <v>3</v>
      </c>
      <c r="R241" s="259" t="s">
        <v>1551</v>
      </c>
      <c r="S241" s="254" t="str">
        <f t="shared" si="0"/>
        <v>3_1999</v>
      </c>
      <c r="T241" s="260">
        <f t="shared" si="1"/>
        <v>108.4</v>
      </c>
      <c r="U241" s="7"/>
      <c r="V241" s="7"/>
      <c r="W241" s="7"/>
      <c r="X241" s="7"/>
      <c r="Y241" s="7"/>
      <c r="Z241" s="7"/>
    </row>
    <row r="242" spans="1:26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258">
        <f>P238+1</f>
        <v>1999</v>
      </c>
      <c r="Q242" s="258">
        <v>4</v>
      </c>
      <c r="R242" s="259" t="s">
        <v>1551</v>
      </c>
      <c r="S242" s="254" t="str">
        <f t="shared" si="0"/>
        <v>4_1999</v>
      </c>
      <c r="T242" s="260">
        <f t="shared" si="1"/>
        <v>108.4</v>
      </c>
      <c r="U242" s="7"/>
      <c r="V242" s="7"/>
      <c r="W242" s="7"/>
      <c r="X242" s="7"/>
      <c r="Y242" s="7"/>
      <c r="Z242" s="7"/>
    </row>
    <row r="243" spans="1:26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258">
        <f>P238+1</f>
        <v>1999</v>
      </c>
      <c r="Q243" s="258">
        <v>5</v>
      </c>
      <c r="R243" s="259" t="s">
        <v>1551</v>
      </c>
      <c r="S243" s="254" t="str">
        <f t="shared" si="0"/>
        <v>5_1999</v>
      </c>
      <c r="T243" s="260">
        <f t="shared" si="1"/>
        <v>108.4</v>
      </c>
      <c r="U243" s="7"/>
      <c r="V243" s="7"/>
      <c r="W243" s="7"/>
      <c r="X243" s="7"/>
      <c r="Y243" s="7"/>
      <c r="Z243" s="7"/>
    </row>
    <row r="244" spans="1:26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258">
        <f>P238+1</f>
        <v>1999</v>
      </c>
      <c r="Q244" s="258">
        <v>6</v>
      </c>
      <c r="R244" s="259" t="s">
        <v>1551</v>
      </c>
      <c r="S244" s="254" t="str">
        <f t="shared" si="0"/>
        <v>6_1999</v>
      </c>
      <c r="T244" s="260">
        <f t="shared" si="1"/>
        <v>108.4</v>
      </c>
      <c r="U244" s="7"/>
      <c r="V244" s="7"/>
      <c r="W244" s="7"/>
      <c r="X244" s="7"/>
      <c r="Y244" s="7"/>
      <c r="Z244" s="7"/>
    </row>
    <row r="245" spans="1:26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258">
        <f>P238+1</f>
        <v>1999</v>
      </c>
      <c r="Q245" s="258">
        <v>7</v>
      </c>
      <c r="R245" s="259" t="s">
        <v>1551</v>
      </c>
      <c r="S245" s="254" t="str">
        <f t="shared" si="0"/>
        <v>7_1999</v>
      </c>
      <c r="T245" s="260">
        <f t="shared" si="1"/>
        <v>108.4</v>
      </c>
      <c r="U245" s="7"/>
      <c r="V245" s="7"/>
      <c r="W245" s="7"/>
      <c r="X245" s="7"/>
      <c r="Y245" s="7"/>
      <c r="Z245" s="7"/>
    </row>
    <row r="246" spans="1:26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258">
        <f>P238+1</f>
        <v>1999</v>
      </c>
      <c r="Q246" s="258">
        <v>8</v>
      </c>
      <c r="R246" s="259" t="s">
        <v>1551</v>
      </c>
      <c r="S246" s="254" t="str">
        <f t="shared" si="0"/>
        <v>8_1999</v>
      </c>
      <c r="T246" s="260">
        <f t="shared" si="1"/>
        <v>108.4</v>
      </c>
      <c r="U246" s="7"/>
      <c r="V246" s="7"/>
      <c r="W246" s="7"/>
      <c r="X246" s="7"/>
      <c r="Y246" s="7"/>
      <c r="Z246" s="7"/>
    </row>
    <row r="247" spans="1:26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258">
        <f>P238+1</f>
        <v>1999</v>
      </c>
      <c r="Q247" s="258">
        <v>9</v>
      </c>
      <c r="R247" s="259" t="s">
        <v>1551</v>
      </c>
      <c r="S247" s="254" t="str">
        <f t="shared" si="0"/>
        <v>9_1999</v>
      </c>
      <c r="T247" s="260">
        <f t="shared" si="1"/>
        <v>108.4</v>
      </c>
      <c r="U247" s="7"/>
      <c r="V247" s="7"/>
      <c r="W247" s="7"/>
      <c r="X247" s="7"/>
      <c r="Y247" s="7"/>
      <c r="Z247" s="7"/>
    </row>
    <row r="248" spans="1:26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258">
        <f>P238+1</f>
        <v>1999</v>
      </c>
      <c r="Q248" s="258">
        <v>10</v>
      </c>
      <c r="R248" s="259" t="s">
        <v>1551</v>
      </c>
      <c r="S248" s="254" t="str">
        <f t="shared" si="0"/>
        <v>10_1999</v>
      </c>
      <c r="T248" s="260">
        <f t="shared" si="1"/>
        <v>108.4</v>
      </c>
      <c r="U248" s="7"/>
      <c r="V248" s="7"/>
      <c r="W248" s="7"/>
      <c r="X248" s="7"/>
      <c r="Y248" s="7"/>
      <c r="Z248" s="7"/>
    </row>
    <row r="249" spans="1:26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258">
        <f>P238+1</f>
        <v>1999</v>
      </c>
      <c r="Q249" s="258">
        <v>11</v>
      </c>
      <c r="R249" s="259" t="s">
        <v>1551</v>
      </c>
      <c r="S249" s="254" t="str">
        <f t="shared" si="0"/>
        <v>11_1999</v>
      </c>
      <c r="T249" s="260">
        <f t="shared" si="1"/>
        <v>108.4</v>
      </c>
      <c r="U249" s="7"/>
      <c r="V249" s="7"/>
      <c r="W249" s="7"/>
      <c r="X249" s="7"/>
      <c r="Y249" s="7"/>
      <c r="Z249" s="7"/>
    </row>
    <row r="250" spans="1:26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258">
        <f>P238+1</f>
        <v>1999</v>
      </c>
      <c r="Q250" s="258">
        <v>12</v>
      </c>
      <c r="R250" s="259" t="s">
        <v>1551</v>
      </c>
      <c r="S250" s="254" t="str">
        <f t="shared" si="0"/>
        <v>12_1999</v>
      </c>
      <c r="T250" s="260">
        <f t="shared" si="1"/>
        <v>108.4</v>
      </c>
      <c r="U250" s="7"/>
      <c r="V250" s="7"/>
      <c r="W250" s="7"/>
      <c r="X250" s="7"/>
      <c r="Y250" s="7"/>
      <c r="Z250" s="7"/>
    </row>
    <row r="251" spans="1:26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258">
        <f>P250+1</f>
        <v>2000</v>
      </c>
      <c r="Q251" s="258">
        <v>1</v>
      </c>
      <c r="R251" s="259" t="s">
        <v>1551</v>
      </c>
      <c r="S251" s="254" t="str">
        <f t="shared" si="0"/>
        <v>1_2000</v>
      </c>
      <c r="T251" s="260">
        <f t="shared" si="1"/>
        <v>110.6</v>
      </c>
      <c r="U251" s="7"/>
      <c r="V251" s="7"/>
      <c r="W251" s="7"/>
      <c r="X251" s="7"/>
      <c r="Y251" s="7"/>
      <c r="Z251" s="7"/>
    </row>
    <row r="252" spans="1:26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258">
        <f>P250+1</f>
        <v>2000</v>
      </c>
      <c r="Q252" s="258">
        <v>2</v>
      </c>
      <c r="R252" s="259" t="s">
        <v>1551</v>
      </c>
      <c r="S252" s="254" t="str">
        <f t="shared" si="0"/>
        <v>2_2000</v>
      </c>
      <c r="T252" s="260">
        <f t="shared" si="1"/>
        <v>110.6</v>
      </c>
      <c r="U252" s="7"/>
      <c r="V252" s="7"/>
      <c r="W252" s="7"/>
      <c r="X252" s="7"/>
      <c r="Y252" s="7"/>
      <c r="Z252" s="7"/>
    </row>
    <row r="253" spans="1:26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258">
        <f>P250+1</f>
        <v>2000</v>
      </c>
      <c r="Q253" s="258">
        <v>3</v>
      </c>
      <c r="R253" s="259" t="s">
        <v>1551</v>
      </c>
      <c r="S253" s="254" t="str">
        <f t="shared" si="0"/>
        <v>3_2000</v>
      </c>
      <c r="T253" s="260">
        <f t="shared" si="1"/>
        <v>110.6</v>
      </c>
      <c r="U253" s="7"/>
      <c r="V253" s="7"/>
      <c r="W253" s="7"/>
      <c r="X253" s="7"/>
      <c r="Y253" s="7"/>
      <c r="Z253" s="7"/>
    </row>
    <row r="254" spans="1:26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258">
        <f>P250+1</f>
        <v>2000</v>
      </c>
      <c r="Q254" s="258">
        <v>4</v>
      </c>
      <c r="R254" s="259" t="s">
        <v>1551</v>
      </c>
      <c r="S254" s="254" t="str">
        <f t="shared" si="0"/>
        <v>4_2000</v>
      </c>
      <c r="T254" s="260">
        <f t="shared" si="1"/>
        <v>110.6</v>
      </c>
      <c r="U254" s="7"/>
      <c r="V254" s="7"/>
      <c r="W254" s="7"/>
      <c r="X254" s="7"/>
      <c r="Y254" s="7"/>
      <c r="Z254" s="7"/>
    </row>
    <row r="255" spans="1:26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258">
        <f>P250+1</f>
        <v>2000</v>
      </c>
      <c r="Q255" s="258">
        <v>5</v>
      </c>
      <c r="R255" s="259" t="s">
        <v>1551</v>
      </c>
      <c r="S255" s="254" t="str">
        <f t="shared" si="0"/>
        <v>5_2000</v>
      </c>
      <c r="T255" s="260">
        <f t="shared" si="1"/>
        <v>110.6</v>
      </c>
      <c r="U255" s="7"/>
      <c r="V255" s="7"/>
      <c r="W255" s="7"/>
      <c r="X255" s="7"/>
      <c r="Y255" s="7"/>
      <c r="Z255" s="7"/>
    </row>
    <row r="256" spans="1:26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258">
        <f>P250+1</f>
        <v>2000</v>
      </c>
      <c r="Q256" s="258">
        <v>6</v>
      </c>
      <c r="R256" s="259" t="s">
        <v>1551</v>
      </c>
      <c r="S256" s="254" t="str">
        <f t="shared" si="0"/>
        <v>6_2000</v>
      </c>
      <c r="T256" s="260">
        <f t="shared" si="1"/>
        <v>110.6</v>
      </c>
      <c r="U256" s="7"/>
      <c r="V256" s="7"/>
      <c r="W256" s="7"/>
      <c r="X256" s="7"/>
      <c r="Y256" s="7"/>
      <c r="Z256" s="7"/>
    </row>
    <row r="257" spans="1:26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258">
        <f>P250+1</f>
        <v>2000</v>
      </c>
      <c r="Q257" s="258">
        <v>7</v>
      </c>
      <c r="R257" s="259" t="s">
        <v>1551</v>
      </c>
      <c r="S257" s="254" t="str">
        <f t="shared" si="0"/>
        <v>7_2000</v>
      </c>
      <c r="T257" s="260">
        <f t="shared" si="1"/>
        <v>110.6</v>
      </c>
      <c r="U257" s="7"/>
      <c r="V257" s="7"/>
      <c r="W257" s="7"/>
      <c r="X257" s="7"/>
      <c r="Y257" s="7"/>
      <c r="Z257" s="7"/>
    </row>
    <row r="258" spans="1:26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258">
        <f>P250+1</f>
        <v>2000</v>
      </c>
      <c r="Q258" s="258">
        <v>8</v>
      </c>
      <c r="R258" s="259" t="s">
        <v>1551</v>
      </c>
      <c r="S258" s="254" t="str">
        <f t="shared" si="0"/>
        <v>8_2000</v>
      </c>
      <c r="T258" s="260">
        <f t="shared" si="1"/>
        <v>110.6</v>
      </c>
      <c r="U258" s="7"/>
      <c r="V258" s="7"/>
      <c r="W258" s="7"/>
      <c r="X258" s="7"/>
      <c r="Y258" s="7"/>
      <c r="Z258" s="7"/>
    </row>
    <row r="259" spans="1:26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258">
        <f>P250+1</f>
        <v>2000</v>
      </c>
      <c r="Q259" s="258">
        <v>9</v>
      </c>
      <c r="R259" s="259" t="s">
        <v>1551</v>
      </c>
      <c r="S259" s="254" t="str">
        <f t="shared" si="0"/>
        <v>9_2000</v>
      </c>
      <c r="T259" s="260">
        <f t="shared" si="1"/>
        <v>110.6</v>
      </c>
      <c r="U259" s="7"/>
      <c r="V259" s="7"/>
      <c r="W259" s="7"/>
      <c r="X259" s="7"/>
      <c r="Y259" s="7"/>
      <c r="Z259" s="7"/>
    </row>
    <row r="260" spans="1:26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258">
        <f>P250+1</f>
        <v>2000</v>
      </c>
      <c r="Q260" s="258">
        <v>10</v>
      </c>
      <c r="R260" s="259" t="s">
        <v>1551</v>
      </c>
      <c r="S260" s="254" t="str">
        <f t="shared" si="0"/>
        <v>10_2000</v>
      </c>
      <c r="T260" s="260">
        <f t="shared" si="1"/>
        <v>110.6</v>
      </c>
      <c r="U260" s="7"/>
      <c r="V260" s="7"/>
      <c r="W260" s="7"/>
      <c r="X260" s="7"/>
      <c r="Y260" s="7"/>
      <c r="Z260" s="7"/>
    </row>
    <row r="261" spans="1:26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258">
        <f>P250+1</f>
        <v>2000</v>
      </c>
      <c r="Q261" s="258">
        <v>11</v>
      </c>
      <c r="R261" s="259" t="s">
        <v>1551</v>
      </c>
      <c r="S261" s="254" t="str">
        <f t="shared" si="0"/>
        <v>11_2000</v>
      </c>
      <c r="T261" s="260">
        <f t="shared" si="1"/>
        <v>110.6</v>
      </c>
      <c r="U261" s="7"/>
      <c r="V261" s="7"/>
      <c r="W261" s="7"/>
      <c r="X261" s="7"/>
      <c r="Y261" s="7"/>
      <c r="Z261" s="7"/>
    </row>
    <row r="262" spans="1:26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258">
        <f>P250+1</f>
        <v>2000</v>
      </c>
      <c r="Q262" s="258">
        <v>12</v>
      </c>
      <c r="R262" s="259" t="s">
        <v>1551</v>
      </c>
      <c r="S262" s="254" t="str">
        <f t="shared" si="0"/>
        <v>12_2000</v>
      </c>
      <c r="T262" s="260">
        <f t="shared" si="1"/>
        <v>110.6</v>
      </c>
      <c r="U262" s="7"/>
      <c r="V262" s="7"/>
      <c r="W262" s="7"/>
      <c r="X262" s="7"/>
      <c r="Y262" s="7"/>
      <c r="Z262" s="7"/>
    </row>
    <row r="263" spans="1:26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258">
        <f>P262+1</f>
        <v>2001</v>
      </c>
      <c r="Q263" s="258">
        <v>1</v>
      </c>
      <c r="R263" s="259" t="s">
        <v>1551</v>
      </c>
      <c r="S263" s="254" t="str">
        <f t="shared" si="0"/>
        <v>1_2001</v>
      </c>
      <c r="T263" s="260">
        <f t="shared" si="1"/>
        <v>118.7</v>
      </c>
      <c r="U263" s="7"/>
      <c r="V263" s="7"/>
      <c r="W263" s="7"/>
      <c r="X263" s="7"/>
      <c r="Y263" s="7"/>
      <c r="Z263" s="7"/>
    </row>
    <row r="264" spans="1:26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258">
        <f>P262+1</f>
        <v>2001</v>
      </c>
      <c r="Q264" s="258">
        <v>2</v>
      </c>
      <c r="R264" s="259" t="s">
        <v>1551</v>
      </c>
      <c r="S264" s="254" t="str">
        <f t="shared" si="0"/>
        <v>2_2001</v>
      </c>
      <c r="T264" s="260">
        <f t="shared" si="1"/>
        <v>118.7</v>
      </c>
      <c r="U264" s="7"/>
      <c r="V264" s="7"/>
      <c r="W264" s="7"/>
      <c r="X264" s="7"/>
      <c r="Y264" s="7"/>
      <c r="Z264" s="7"/>
    </row>
    <row r="265" spans="1:26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258">
        <f>P262+1</f>
        <v>2001</v>
      </c>
      <c r="Q265" s="258">
        <v>3</v>
      </c>
      <c r="R265" s="259" t="s">
        <v>1551</v>
      </c>
      <c r="S265" s="254" t="str">
        <f t="shared" si="0"/>
        <v>3_2001</v>
      </c>
      <c r="T265" s="260">
        <f t="shared" si="1"/>
        <v>118.7</v>
      </c>
      <c r="U265" s="7"/>
      <c r="V265" s="7"/>
      <c r="W265" s="7"/>
      <c r="X265" s="7"/>
      <c r="Y265" s="7"/>
      <c r="Z265" s="7"/>
    </row>
    <row r="266" spans="1:26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258">
        <f>P262+1</f>
        <v>2001</v>
      </c>
      <c r="Q266" s="258">
        <v>4</v>
      </c>
      <c r="R266" s="259" t="s">
        <v>1551</v>
      </c>
      <c r="S266" s="254" t="str">
        <f t="shared" ref="S266:S520" si="3">Q266&amp;"_"&amp;P266</f>
        <v>4_2001</v>
      </c>
      <c r="T266" s="260">
        <f t="shared" ref="T266:T520" si="4">VLOOKUP(P266,$A:$N,MATCH(R266,$A$10:$N$10,0),FALSE)</f>
        <v>118.7</v>
      </c>
      <c r="U266" s="7"/>
      <c r="V266" s="7"/>
      <c r="W266" s="7"/>
      <c r="X266" s="7"/>
      <c r="Y266" s="7"/>
      <c r="Z266" s="7"/>
    </row>
    <row r="267" spans="1:26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258">
        <f>P262+1</f>
        <v>2001</v>
      </c>
      <c r="Q267" s="258">
        <v>5</v>
      </c>
      <c r="R267" s="259" t="s">
        <v>1551</v>
      </c>
      <c r="S267" s="254" t="str">
        <f t="shared" si="3"/>
        <v>5_2001</v>
      </c>
      <c r="T267" s="260">
        <f t="shared" si="4"/>
        <v>118.7</v>
      </c>
      <c r="U267" s="7"/>
      <c r="V267" s="7"/>
      <c r="W267" s="7"/>
      <c r="X267" s="7"/>
      <c r="Y267" s="7"/>
      <c r="Z267" s="7"/>
    </row>
    <row r="268" spans="1:26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258">
        <f>P262+1</f>
        <v>2001</v>
      </c>
      <c r="Q268" s="258">
        <v>6</v>
      </c>
      <c r="R268" s="259" t="s">
        <v>1551</v>
      </c>
      <c r="S268" s="254" t="str">
        <f t="shared" si="3"/>
        <v>6_2001</v>
      </c>
      <c r="T268" s="260">
        <f t="shared" si="4"/>
        <v>118.7</v>
      </c>
      <c r="U268" s="7"/>
      <c r="V268" s="7"/>
      <c r="W268" s="7"/>
      <c r="X268" s="7"/>
      <c r="Y268" s="7"/>
      <c r="Z268" s="7"/>
    </row>
    <row r="269" spans="1:26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258">
        <f>P262+1</f>
        <v>2001</v>
      </c>
      <c r="Q269" s="258">
        <v>7</v>
      </c>
      <c r="R269" s="259" t="s">
        <v>1551</v>
      </c>
      <c r="S269" s="254" t="str">
        <f t="shared" si="3"/>
        <v>7_2001</v>
      </c>
      <c r="T269" s="260">
        <f t="shared" si="4"/>
        <v>118.7</v>
      </c>
      <c r="U269" s="7"/>
      <c r="V269" s="7"/>
      <c r="W269" s="7"/>
      <c r="X269" s="7"/>
      <c r="Y269" s="7"/>
      <c r="Z269" s="7"/>
    </row>
    <row r="270" spans="1:26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258">
        <f>P262+1</f>
        <v>2001</v>
      </c>
      <c r="Q270" s="258">
        <v>8</v>
      </c>
      <c r="R270" s="259" t="s">
        <v>1551</v>
      </c>
      <c r="S270" s="254" t="str">
        <f t="shared" si="3"/>
        <v>8_2001</v>
      </c>
      <c r="T270" s="260">
        <f t="shared" si="4"/>
        <v>118.7</v>
      </c>
      <c r="U270" s="7"/>
      <c r="V270" s="7"/>
      <c r="W270" s="7"/>
      <c r="X270" s="7"/>
      <c r="Y270" s="7"/>
      <c r="Z270" s="7"/>
    </row>
    <row r="271" spans="1:26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258">
        <f>P262+1</f>
        <v>2001</v>
      </c>
      <c r="Q271" s="258">
        <v>9</v>
      </c>
      <c r="R271" s="259" t="s">
        <v>1551</v>
      </c>
      <c r="S271" s="254" t="str">
        <f t="shared" si="3"/>
        <v>9_2001</v>
      </c>
      <c r="T271" s="260">
        <f t="shared" si="4"/>
        <v>118.7</v>
      </c>
      <c r="U271" s="7"/>
      <c r="V271" s="7"/>
      <c r="W271" s="7"/>
      <c r="X271" s="7"/>
      <c r="Y271" s="7"/>
      <c r="Z271" s="7"/>
    </row>
    <row r="272" spans="1:26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258">
        <f>P262+1</f>
        <v>2001</v>
      </c>
      <c r="Q272" s="258">
        <v>10</v>
      </c>
      <c r="R272" s="259" t="s">
        <v>1551</v>
      </c>
      <c r="S272" s="254" t="str">
        <f t="shared" si="3"/>
        <v>10_2001</v>
      </c>
      <c r="T272" s="260">
        <f t="shared" si="4"/>
        <v>118.7</v>
      </c>
      <c r="U272" s="7"/>
      <c r="V272" s="7"/>
      <c r="W272" s="7"/>
      <c r="X272" s="7"/>
      <c r="Y272" s="7"/>
      <c r="Z272" s="7"/>
    </row>
    <row r="273" spans="1:26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258">
        <f>P262+1</f>
        <v>2001</v>
      </c>
      <c r="Q273" s="258">
        <v>11</v>
      </c>
      <c r="R273" s="259" t="s">
        <v>1551</v>
      </c>
      <c r="S273" s="254" t="str">
        <f t="shared" si="3"/>
        <v>11_2001</v>
      </c>
      <c r="T273" s="260">
        <f t="shared" si="4"/>
        <v>118.7</v>
      </c>
      <c r="U273" s="7"/>
      <c r="V273" s="7"/>
      <c r="W273" s="7"/>
      <c r="X273" s="7"/>
      <c r="Y273" s="7"/>
      <c r="Z273" s="7"/>
    </row>
    <row r="274" spans="1:26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258">
        <f>P262+1</f>
        <v>2001</v>
      </c>
      <c r="Q274" s="258">
        <v>12</v>
      </c>
      <c r="R274" s="259" t="s">
        <v>1551</v>
      </c>
      <c r="S274" s="254" t="str">
        <f t="shared" si="3"/>
        <v>12_2001</v>
      </c>
      <c r="T274" s="260">
        <f t="shared" si="4"/>
        <v>118.7</v>
      </c>
      <c r="U274" s="7"/>
      <c r="V274" s="7"/>
      <c r="W274" s="7"/>
      <c r="X274" s="7"/>
      <c r="Y274" s="7"/>
      <c r="Z274" s="7"/>
    </row>
    <row r="275" spans="1:26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258">
        <f>P274+1</f>
        <v>2002</v>
      </c>
      <c r="Q275" s="258">
        <v>1</v>
      </c>
      <c r="R275" s="259" t="s">
        <v>1551</v>
      </c>
      <c r="S275" s="254" t="str">
        <f t="shared" si="3"/>
        <v>1_2002</v>
      </c>
      <c r="T275" s="260">
        <f t="shared" si="4"/>
        <v>117.7</v>
      </c>
      <c r="U275" s="7"/>
      <c r="V275" s="7"/>
      <c r="W275" s="7"/>
      <c r="X275" s="7"/>
      <c r="Y275" s="7"/>
      <c r="Z275" s="7"/>
    </row>
    <row r="276" spans="1:26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258">
        <f>P274+1</f>
        <v>2002</v>
      </c>
      <c r="Q276" s="258">
        <v>2</v>
      </c>
      <c r="R276" s="259" t="s">
        <v>1551</v>
      </c>
      <c r="S276" s="254" t="str">
        <f t="shared" si="3"/>
        <v>2_2002</v>
      </c>
      <c r="T276" s="260">
        <f t="shared" si="4"/>
        <v>117.7</v>
      </c>
      <c r="U276" s="7"/>
      <c r="V276" s="7"/>
      <c r="W276" s="7"/>
      <c r="X276" s="7"/>
      <c r="Y276" s="7"/>
      <c r="Z276" s="7"/>
    </row>
    <row r="277" spans="1:26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258">
        <f>P274+1</f>
        <v>2002</v>
      </c>
      <c r="Q277" s="258">
        <v>3</v>
      </c>
      <c r="R277" s="259" t="s">
        <v>1551</v>
      </c>
      <c r="S277" s="254" t="str">
        <f t="shared" si="3"/>
        <v>3_2002</v>
      </c>
      <c r="T277" s="260">
        <f t="shared" si="4"/>
        <v>117.7</v>
      </c>
      <c r="U277" s="7"/>
      <c r="V277" s="7"/>
      <c r="W277" s="7"/>
      <c r="X277" s="7"/>
      <c r="Y277" s="7"/>
      <c r="Z277" s="7"/>
    </row>
    <row r="278" spans="1:26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258">
        <f>P274+1</f>
        <v>2002</v>
      </c>
      <c r="Q278" s="258">
        <v>4</v>
      </c>
      <c r="R278" s="259" t="s">
        <v>1551</v>
      </c>
      <c r="S278" s="254" t="str">
        <f t="shared" si="3"/>
        <v>4_2002</v>
      </c>
      <c r="T278" s="260">
        <f t="shared" si="4"/>
        <v>117.7</v>
      </c>
      <c r="U278" s="7"/>
      <c r="V278" s="7"/>
      <c r="W278" s="7"/>
      <c r="X278" s="7"/>
      <c r="Y278" s="7"/>
      <c r="Z278" s="7"/>
    </row>
    <row r="279" spans="1:26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258">
        <f>P274+1</f>
        <v>2002</v>
      </c>
      <c r="Q279" s="258">
        <v>5</v>
      </c>
      <c r="R279" s="259" t="s">
        <v>1551</v>
      </c>
      <c r="S279" s="254" t="str">
        <f t="shared" si="3"/>
        <v>5_2002</v>
      </c>
      <c r="T279" s="260">
        <f t="shared" si="4"/>
        <v>117.7</v>
      </c>
      <c r="U279" s="7"/>
      <c r="V279" s="7"/>
      <c r="W279" s="7"/>
      <c r="X279" s="7"/>
      <c r="Y279" s="7"/>
      <c r="Z279" s="7"/>
    </row>
    <row r="280" spans="1:26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258">
        <f>P274+1</f>
        <v>2002</v>
      </c>
      <c r="Q280" s="258">
        <v>6</v>
      </c>
      <c r="R280" s="259" t="s">
        <v>1551</v>
      </c>
      <c r="S280" s="254" t="str">
        <f t="shared" si="3"/>
        <v>6_2002</v>
      </c>
      <c r="T280" s="260">
        <f t="shared" si="4"/>
        <v>117.7</v>
      </c>
      <c r="U280" s="7"/>
      <c r="V280" s="7"/>
      <c r="W280" s="7"/>
      <c r="X280" s="7"/>
      <c r="Y280" s="7"/>
      <c r="Z280" s="7"/>
    </row>
    <row r="281" spans="1:26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258">
        <f>P274+1</f>
        <v>2002</v>
      </c>
      <c r="Q281" s="258">
        <v>7</v>
      </c>
      <c r="R281" s="259" t="s">
        <v>1551</v>
      </c>
      <c r="S281" s="254" t="str">
        <f t="shared" si="3"/>
        <v>7_2002</v>
      </c>
      <c r="T281" s="260">
        <f t="shared" si="4"/>
        <v>117.7</v>
      </c>
      <c r="U281" s="7"/>
      <c r="V281" s="7"/>
      <c r="W281" s="7"/>
      <c r="X281" s="7"/>
      <c r="Y281" s="7"/>
      <c r="Z281" s="7"/>
    </row>
    <row r="282" spans="1:26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258">
        <f>P274+1</f>
        <v>2002</v>
      </c>
      <c r="Q282" s="258">
        <v>8</v>
      </c>
      <c r="R282" s="259" t="s">
        <v>1551</v>
      </c>
      <c r="S282" s="254" t="str">
        <f t="shared" si="3"/>
        <v>8_2002</v>
      </c>
      <c r="T282" s="260">
        <f t="shared" si="4"/>
        <v>117.7</v>
      </c>
      <c r="U282" s="7"/>
      <c r="V282" s="7"/>
      <c r="W282" s="7"/>
      <c r="X282" s="7"/>
      <c r="Y282" s="7"/>
      <c r="Z282" s="7"/>
    </row>
    <row r="283" spans="1:26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258">
        <f>P274+1</f>
        <v>2002</v>
      </c>
      <c r="Q283" s="258">
        <v>9</v>
      </c>
      <c r="R283" s="259" t="s">
        <v>1551</v>
      </c>
      <c r="S283" s="254" t="str">
        <f t="shared" si="3"/>
        <v>9_2002</v>
      </c>
      <c r="T283" s="260">
        <f t="shared" si="4"/>
        <v>117.7</v>
      </c>
      <c r="U283" s="7"/>
      <c r="V283" s="7"/>
      <c r="W283" s="7"/>
      <c r="X283" s="7"/>
      <c r="Y283" s="7"/>
      <c r="Z283" s="7"/>
    </row>
    <row r="284" spans="1:26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258">
        <f>P274+1</f>
        <v>2002</v>
      </c>
      <c r="Q284" s="258">
        <v>10</v>
      </c>
      <c r="R284" s="259" t="s">
        <v>1551</v>
      </c>
      <c r="S284" s="254" t="str">
        <f t="shared" si="3"/>
        <v>10_2002</v>
      </c>
      <c r="T284" s="260">
        <f t="shared" si="4"/>
        <v>117.7</v>
      </c>
      <c r="U284" s="7"/>
      <c r="V284" s="7"/>
      <c r="W284" s="7"/>
      <c r="X284" s="7"/>
      <c r="Y284" s="7"/>
      <c r="Z284" s="7"/>
    </row>
    <row r="285" spans="1:26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258">
        <f>P274+1</f>
        <v>2002</v>
      </c>
      <c r="Q285" s="258">
        <v>11</v>
      </c>
      <c r="R285" s="259" t="s">
        <v>1551</v>
      </c>
      <c r="S285" s="254" t="str">
        <f t="shared" si="3"/>
        <v>11_2002</v>
      </c>
      <c r="T285" s="260">
        <f t="shared" si="4"/>
        <v>117.7</v>
      </c>
      <c r="U285" s="7"/>
      <c r="V285" s="7"/>
      <c r="W285" s="7"/>
      <c r="X285" s="7"/>
      <c r="Y285" s="7"/>
      <c r="Z285" s="7"/>
    </row>
    <row r="286" spans="1:26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258">
        <f>P274+1</f>
        <v>2002</v>
      </c>
      <c r="Q286" s="258">
        <v>12</v>
      </c>
      <c r="R286" s="259" t="s">
        <v>1551</v>
      </c>
      <c r="S286" s="254" t="str">
        <f t="shared" si="3"/>
        <v>12_2002</v>
      </c>
      <c r="T286" s="260">
        <f t="shared" si="4"/>
        <v>117.7</v>
      </c>
      <c r="U286" s="7"/>
      <c r="V286" s="7"/>
      <c r="W286" s="7"/>
      <c r="X286" s="7"/>
      <c r="Y286" s="7"/>
      <c r="Z286" s="7"/>
    </row>
    <row r="287" spans="1:26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258">
        <f>P286+1</f>
        <v>2003</v>
      </c>
      <c r="Q287" s="258">
        <v>1</v>
      </c>
      <c r="R287" s="259" t="s">
        <v>1551</v>
      </c>
      <c r="S287" s="254" t="str">
        <f t="shared" si="3"/>
        <v>1_2003</v>
      </c>
      <c r="T287" s="260">
        <f t="shared" si="4"/>
        <v>122.6</v>
      </c>
      <c r="U287" s="7"/>
      <c r="V287" s="7"/>
      <c r="W287" s="7"/>
      <c r="X287" s="7"/>
      <c r="Y287" s="7"/>
      <c r="Z287" s="7"/>
    </row>
    <row r="288" spans="1:26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258">
        <f>P286+1</f>
        <v>2003</v>
      </c>
      <c r="Q288" s="258">
        <v>2</v>
      </c>
      <c r="R288" s="259" t="s">
        <v>1551</v>
      </c>
      <c r="S288" s="254" t="str">
        <f t="shared" si="3"/>
        <v>2_2003</v>
      </c>
      <c r="T288" s="260">
        <f t="shared" si="4"/>
        <v>122.6</v>
      </c>
      <c r="U288" s="7"/>
      <c r="V288" s="7"/>
      <c r="W288" s="7"/>
      <c r="X288" s="7"/>
      <c r="Y288" s="7"/>
      <c r="Z288" s="7"/>
    </row>
    <row r="289" spans="1:26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258">
        <f>P286+1</f>
        <v>2003</v>
      </c>
      <c r="Q289" s="258">
        <v>3</v>
      </c>
      <c r="R289" s="259" t="s">
        <v>1551</v>
      </c>
      <c r="S289" s="254" t="str">
        <f t="shared" si="3"/>
        <v>3_2003</v>
      </c>
      <c r="T289" s="260">
        <f t="shared" si="4"/>
        <v>122.6</v>
      </c>
      <c r="U289" s="7"/>
      <c r="V289" s="7"/>
      <c r="W289" s="7"/>
      <c r="X289" s="7"/>
      <c r="Y289" s="7"/>
      <c r="Z289" s="7"/>
    </row>
    <row r="290" spans="1:26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258">
        <f>P286+1</f>
        <v>2003</v>
      </c>
      <c r="Q290" s="258">
        <v>4</v>
      </c>
      <c r="R290" s="259" t="s">
        <v>1551</v>
      </c>
      <c r="S290" s="254" t="str">
        <f t="shared" si="3"/>
        <v>4_2003</v>
      </c>
      <c r="T290" s="260">
        <f t="shared" si="4"/>
        <v>122.6</v>
      </c>
      <c r="U290" s="7"/>
      <c r="V290" s="7"/>
      <c r="W290" s="7"/>
      <c r="X290" s="7"/>
      <c r="Y290" s="7"/>
      <c r="Z290" s="7"/>
    </row>
    <row r="291" spans="1:26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258">
        <f>P286+1</f>
        <v>2003</v>
      </c>
      <c r="Q291" s="258">
        <v>5</v>
      </c>
      <c r="R291" s="259" t="s">
        <v>1551</v>
      </c>
      <c r="S291" s="254" t="str">
        <f t="shared" si="3"/>
        <v>5_2003</v>
      </c>
      <c r="T291" s="260">
        <f t="shared" si="4"/>
        <v>122.6</v>
      </c>
      <c r="U291" s="7"/>
      <c r="V291" s="7"/>
      <c r="W291" s="7"/>
      <c r="X291" s="7"/>
      <c r="Y291" s="7"/>
      <c r="Z291" s="7"/>
    </row>
    <row r="292" spans="1:26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258">
        <f>P286+1</f>
        <v>2003</v>
      </c>
      <c r="Q292" s="258">
        <v>6</v>
      </c>
      <c r="R292" s="259" t="s">
        <v>1551</v>
      </c>
      <c r="S292" s="254" t="str">
        <f t="shared" si="3"/>
        <v>6_2003</v>
      </c>
      <c r="T292" s="260">
        <f t="shared" si="4"/>
        <v>122.6</v>
      </c>
      <c r="U292" s="7"/>
      <c r="V292" s="7"/>
      <c r="W292" s="7"/>
      <c r="X292" s="7"/>
      <c r="Y292" s="7"/>
      <c r="Z292" s="7"/>
    </row>
    <row r="293" spans="1:26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258">
        <f>P286+1</f>
        <v>2003</v>
      </c>
      <c r="Q293" s="258">
        <v>7</v>
      </c>
      <c r="R293" s="259" t="s">
        <v>1551</v>
      </c>
      <c r="S293" s="254" t="str">
        <f t="shared" si="3"/>
        <v>7_2003</v>
      </c>
      <c r="T293" s="260">
        <f t="shared" si="4"/>
        <v>122.6</v>
      </c>
      <c r="U293" s="7"/>
      <c r="V293" s="7"/>
      <c r="W293" s="7"/>
      <c r="X293" s="7"/>
      <c r="Y293" s="7"/>
      <c r="Z293" s="7"/>
    </row>
    <row r="294" spans="1:26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258">
        <f>P286+1</f>
        <v>2003</v>
      </c>
      <c r="Q294" s="258">
        <v>8</v>
      </c>
      <c r="R294" s="259" t="s">
        <v>1551</v>
      </c>
      <c r="S294" s="254" t="str">
        <f t="shared" si="3"/>
        <v>8_2003</v>
      </c>
      <c r="T294" s="260">
        <f t="shared" si="4"/>
        <v>122.6</v>
      </c>
      <c r="U294" s="7"/>
      <c r="V294" s="7"/>
      <c r="W294" s="7"/>
      <c r="X294" s="7"/>
      <c r="Y294" s="7"/>
      <c r="Z294" s="7"/>
    </row>
    <row r="295" spans="1:26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258">
        <f>P286+1</f>
        <v>2003</v>
      </c>
      <c r="Q295" s="258">
        <v>9</v>
      </c>
      <c r="R295" s="259" t="s">
        <v>1551</v>
      </c>
      <c r="S295" s="254" t="str">
        <f t="shared" si="3"/>
        <v>9_2003</v>
      </c>
      <c r="T295" s="260">
        <f t="shared" si="4"/>
        <v>122.6</v>
      </c>
      <c r="U295" s="7"/>
      <c r="V295" s="7"/>
      <c r="W295" s="7"/>
      <c r="X295" s="7"/>
      <c r="Y295" s="7"/>
      <c r="Z295" s="7"/>
    </row>
    <row r="296" spans="1:26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258">
        <f>P286+1</f>
        <v>2003</v>
      </c>
      <c r="Q296" s="258">
        <v>10</v>
      </c>
      <c r="R296" s="259" t="s">
        <v>1551</v>
      </c>
      <c r="S296" s="254" t="str">
        <f t="shared" si="3"/>
        <v>10_2003</v>
      </c>
      <c r="T296" s="260">
        <f t="shared" si="4"/>
        <v>122.6</v>
      </c>
      <c r="U296" s="7"/>
      <c r="V296" s="7"/>
      <c r="W296" s="7"/>
      <c r="X296" s="7"/>
      <c r="Y296" s="7"/>
      <c r="Z296" s="7"/>
    </row>
    <row r="297" spans="1:26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258">
        <f>P286+1</f>
        <v>2003</v>
      </c>
      <c r="Q297" s="258">
        <v>11</v>
      </c>
      <c r="R297" s="259" t="s">
        <v>1551</v>
      </c>
      <c r="S297" s="254" t="str">
        <f t="shared" si="3"/>
        <v>11_2003</v>
      </c>
      <c r="T297" s="260">
        <f t="shared" si="4"/>
        <v>122.6</v>
      </c>
      <c r="U297" s="7"/>
      <c r="V297" s="7"/>
      <c r="W297" s="7"/>
      <c r="X297" s="7"/>
      <c r="Y297" s="7"/>
      <c r="Z297" s="7"/>
    </row>
    <row r="298" spans="1:26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258">
        <f>P286+1</f>
        <v>2003</v>
      </c>
      <c r="Q298" s="258">
        <v>12</v>
      </c>
      <c r="R298" s="259" t="s">
        <v>1551</v>
      </c>
      <c r="S298" s="254" t="str">
        <f t="shared" si="3"/>
        <v>12_2003</v>
      </c>
      <c r="T298" s="260">
        <f t="shared" si="4"/>
        <v>122.6</v>
      </c>
      <c r="U298" s="7"/>
      <c r="V298" s="7"/>
      <c r="W298" s="7"/>
      <c r="X298" s="7"/>
      <c r="Y298" s="7"/>
      <c r="Z298" s="7"/>
    </row>
    <row r="299" spans="1:26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258">
        <f>P298+1</f>
        <v>2004</v>
      </c>
      <c r="Q299" s="258">
        <v>1</v>
      </c>
      <c r="R299" s="259" t="s">
        <v>1551</v>
      </c>
      <c r="S299" s="254" t="str">
        <f t="shared" si="3"/>
        <v>1_2004</v>
      </c>
      <c r="T299" s="260">
        <f t="shared" si="4"/>
        <v>123.7</v>
      </c>
      <c r="U299" s="7"/>
      <c r="V299" s="7"/>
      <c r="W299" s="7"/>
      <c r="X299" s="7"/>
      <c r="Y299" s="7"/>
      <c r="Z299" s="7"/>
    </row>
    <row r="300" spans="1:26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258">
        <f>P298+1</f>
        <v>2004</v>
      </c>
      <c r="Q300" s="258">
        <v>2</v>
      </c>
      <c r="R300" s="259" t="s">
        <v>1551</v>
      </c>
      <c r="S300" s="254" t="str">
        <f t="shared" si="3"/>
        <v>2_2004</v>
      </c>
      <c r="T300" s="260">
        <f t="shared" si="4"/>
        <v>123.7</v>
      </c>
      <c r="U300" s="7"/>
      <c r="V300" s="7"/>
      <c r="W300" s="7"/>
      <c r="X300" s="7"/>
      <c r="Y300" s="7"/>
      <c r="Z300" s="7"/>
    </row>
    <row r="301" spans="1:26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258">
        <f>P298+1</f>
        <v>2004</v>
      </c>
      <c r="Q301" s="258">
        <v>3</v>
      </c>
      <c r="R301" s="259" t="s">
        <v>1551</v>
      </c>
      <c r="S301" s="254" t="str">
        <f t="shared" si="3"/>
        <v>3_2004</v>
      </c>
      <c r="T301" s="260">
        <f t="shared" si="4"/>
        <v>123.7</v>
      </c>
      <c r="U301" s="7"/>
      <c r="V301" s="7"/>
      <c r="W301" s="7"/>
      <c r="X301" s="7"/>
      <c r="Y301" s="7"/>
      <c r="Z301" s="7"/>
    </row>
    <row r="302" spans="1:26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258">
        <f>P298+1</f>
        <v>2004</v>
      </c>
      <c r="Q302" s="258">
        <v>4</v>
      </c>
      <c r="R302" s="259" t="s">
        <v>1551</v>
      </c>
      <c r="S302" s="254" t="str">
        <f t="shared" si="3"/>
        <v>4_2004</v>
      </c>
      <c r="T302" s="260">
        <f t="shared" si="4"/>
        <v>123.7</v>
      </c>
      <c r="U302" s="7"/>
      <c r="V302" s="7"/>
      <c r="W302" s="7"/>
      <c r="X302" s="7"/>
      <c r="Y302" s="7"/>
      <c r="Z302" s="7"/>
    </row>
    <row r="303" spans="1:26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258">
        <f>P298+1</f>
        <v>2004</v>
      </c>
      <c r="Q303" s="258">
        <v>5</v>
      </c>
      <c r="R303" s="259" t="s">
        <v>1551</v>
      </c>
      <c r="S303" s="254" t="str">
        <f t="shared" si="3"/>
        <v>5_2004</v>
      </c>
      <c r="T303" s="260">
        <f t="shared" si="4"/>
        <v>123.7</v>
      </c>
      <c r="U303" s="7"/>
      <c r="V303" s="7"/>
      <c r="W303" s="7"/>
      <c r="X303" s="7"/>
      <c r="Y303" s="7"/>
      <c r="Z303" s="7"/>
    </row>
    <row r="304" spans="1:26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258">
        <f>P298+1</f>
        <v>2004</v>
      </c>
      <c r="Q304" s="258">
        <v>6</v>
      </c>
      <c r="R304" s="259" t="s">
        <v>1551</v>
      </c>
      <c r="S304" s="254" t="str">
        <f t="shared" si="3"/>
        <v>6_2004</v>
      </c>
      <c r="T304" s="260">
        <f t="shared" si="4"/>
        <v>123.7</v>
      </c>
      <c r="U304" s="7"/>
      <c r="V304" s="7"/>
      <c r="W304" s="7"/>
      <c r="X304" s="7"/>
      <c r="Y304" s="7"/>
      <c r="Z304" s="7"/>
    </row>
    <row r="305" spans="1:26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258">
        <f>P298+1</f>
        <v>2004</v>
      </c>
      <c r="Q305" s="258">
        <v>7</v>
      </c>
      <c r="R305" s="259" t="s">
        <v>1551</v>
      </c>
      <c r="S305" s="254" t="str">
        <f t="shared" si="3"/>
        <v>7_2004</v>
      </c>
      <c r="T305" s="260">
        <f t="shared" si="4"/>
        <v>123.7</v>
      </c>
      <c r="U305" s="7"/>
      <c r="V305" s="7"/>
      <c r="W305" s="7"/>
      <c r="X305" s="7"/>
      <c r="Y305" s="7"/>
      <c r="Z305" s="7"/>
    </row>
    <row r="306" spans="1:26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258">
        <f>P298+1</f>
        <v>2004</v>
      </c>
      <c r="Q306" s="258">
        <v>8</v>
      </c>
      <c r="R306" s="259" t="s">
        <v>1551</v>
      </c>
      <c r="S306" s="254" t="str">
        <f t="shared" si="3"/>
        <v>8_2004</v>
      </c>
      <c r="T306" s="260">
        <f t="shared" si="4"/>
        <v>123.7</v>
      </c>
      <c r="U306" s="7"/>
      <c r="V306" s="7"/>
      <c r="W306" s="7"/>
      <c r="X306" s="7"/>
      <c r="Y306" s="7"/>
      <c r="Z306" s="7"/>
    </row>
    <row r="307" spans="1:26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258">
        <f>P298+1</f>
        <v>2004</v>
      </c>
      <c r="Q307" s="258">
        <v>9</v>
      </c>
      <c r="R307" s="259" t="s">
        <v>1551</v>
      </c>
      <c r="S307" s="254" t="str">
        <f t="shared" si="3"/>
        <v>9_2004</v>
      </c>
      <c r="T307" s="260">
        <f t="shared" si="4"/>
        <v>123.7</v>
      </c>
      <c r="U307" s="7"/>
      <c r="V307" s="7"/>
      <c r="W307" s="7"/>
      <c r="X307" s="7"/>
      <c r="Y307" s="7"/>
      <c r="Z307" s="7"/>
    </row>
    <row r="308" spans="1:26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258">
        <f>P298+1</f>
        <v>2004</v>
      </c>
      <c r="Q308" s="258">
        <v>10</v>
      </c>
      <c r="R308" s="259" t="s">
        <v>1551</v>
      </c>
      <c r="S308" s="254" t="str">
        <f t="shared" si="3"/>
        <v>10_2004</v>
      </c>
      <c r="T308" s="260">
        <f t="shared" si="4"/>
        <v>123.7</v>
      </c>
      <c r="U308" s="7"/>
      <c r="V308" s="7"/>
      <c r="W308" s="7"/>
      <c r="X308" s="7"/>
      <c r="Y308" s="7"/>
      <c r="Z308" s="7"/>
    </row>
    <row r="309" spans="1:26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258">
        <f>P298+1</f>
        <v>2004</v>
      </c>
      <c r="Q309" s="258">
        <v>11</v>
      </c>
      <c r="R309" s="259" t="s">
        <v>1551</v>
      </c>
      <c r="S309" s="254" t="str">
        <f t="shared" si="3"/>
        <v>11_2004</v>
      </c>
      <c r="T309" s="260">
        <f t="shared" si="4"/>
        <v>123.7</v>
      </c>
      <c r="U309" s="7"/>
      <c r="V309" s="7"/>
      <c r="W309" s="7"/>
      <c r="X309" s="7"/>
      <c r="Y309" s="7"/>
      <c r="Z309" s="7"/>
    </row>
    <row r="310" spans="1:26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258">
        <f>P298+1</f>
        <v>2004</v>
      </c>
      <c r="Q310" s="258">
        <v>12</v>
      </c>
      <c r="R310" s="259" t="s">
        <v>1551</v>
      </c>
      <c r="S310" s="254" t="str">
        <f t="shared" si="3"/>
        <v>12_2004</v>
      </c>
      <c r="T310" s="260">
        <f t="shared" si="4"/>
        <v>123.7</v>
      </c>
      <c r="U310" s="7"/>
      <c r="V310" s="7"/>
      <c r="W310" s="7"/>
      <c r="X310" s="7"/>
      <c r="Y310" s="7"/>
      <c r="Z310" s="7"/>
    </row>
    <row r="311" spans="1:26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258">
        <f>P310+1</f>
        <v>2005</v>
      </c>
      <c r="Q311" s="258">
        <v>1</v>
      </c>
      <c r="R311" s="259" t="s">
        <v>1551</v>
      </c>
      <c r="S311" s="254" t="str">
        <f t="shared" si="3"/>
        <v>1_2005</v>
      </c>
      <c r="T311" s="260">
        <f t="shared" si="4"/>
        <v>131.30000000000001</v>
      </c>
      <c r="U311" s="7"/>
      <c r="V311" s="7"/>
      <c r="W311" s="7"/>
      <c r="X311" s="7"/>
      <c r="Y311" s="7"/>
      <c r="Z311" s="7"/>
    </row>
    <row r="312" spans="1:26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258">
        <f>P310+1</f>
        <v>2005</v>
      </c>
      <c r="Q312" s="258">
        <v>2</v>
      </c>
      <c r="R312" s="259" t="s">
        <v>1551</v>
      </c>
      <c r="S312" s="254" t="str">
        <f t="shared" si="3"/>
        <v>2_2005</v>
      </c>
      <c r="T312" s="260">
        <f t="shared" si="4"/>
        <v>131.30000000000001</v>
      </c>
      <c r="U312" s="7"/>
      <c r="V312" s="7"/>
      <c r="W312" s="7"/>
      <c r="X312" s="7"/>
      <c r="Y312" s="7"/>
      <c r="Z312" s="7"/>
    </row>
    <row r="313" spans="1:26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258">
        <f>P310+1</f>
        <v>2005</v>
      </c>
      <c r="Q313" s="258">
        <v>3</v>
      </c>
      <c r="R313" s="259" t="s">
        <v>1551</v>
      </c>
      <c r="S313" s="254" t="str">
        <f t="shared" si="3"/>
        <v>3_2005</v>
      </c>
      <c r="T313" s="260">
        <f t="shared" si="4"/>
        <v>131.30000000000001</v>
      </c>
      <c r="U313" s="7"/>
      <c r="V313" s="7"/>
      <c r="W313" s="7"/>
      <c r="X313" s="7"/>
      <c r="Y313" s="7"/>
      <c r="Z313" s="7"/>
    </row>
    <row r="314" spans="1:26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258">
        <f>P310+1</f>
        <v>2005</v>
      </c>
      <c r="Q314" s="258">
        <v>4</v>
      </c>
      <c r="R314" s="259" t="s">
        <v>1551</v>
      </c>
      <c r="S314" s="254" t="str">
        <f t="shared" si="3"/>
        <v>4_2005</v>
      </c>
      <c r="T314" s="260">
        <f t="shared" si="4"/>
        <v>131.30000000000001</v>
      </c>
      <c r="U314" s="7"/>
      <c r="V314" s="7"/>
      <c r="W314" s="7"/>
      <c r="X314" s="7"/>
      <c r="Y314" s="7"/>
      <c r="Z314" s="7"/>
    </row>
    <row r="315" spans="1:26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258">
        <f>P310+1</f>
        <v>2005</v>
      </c>
      <c r="Q315" s="258">
        <v>5</v>
      </c>
      <c r="R315" s="259" t="s">
        <v>1551</v>
      </c>
      <c r="S315" s="254" t="str">
        <f t="shared" si="3"/>
        <v>5_2005</v>
      </c>
      <c r="T315" s="260">
        <f t="shared" si="4"/>
        <v>131.30000000000001</v>
      </c>
      <c r="U315" s="7"/>
      <c r="V315" s="7"/>
      <c r="W315" s="7"/>
      <c r="X315" s="7"/>
      <c r="Y315" s="7"/>
      <c r="Z315" s="7"/>
    </row>
    <row r="316" spans="1:26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258">
        <f>P310+1</f>
        <v>2005</v>
      </c>
      <c r="Q316" s="258">
        <v>6</v>
      </c>
      <c r="R316" s="259" t="s">
        <v>1551</v>
      </c>
      <c r="S316" s="254" t="str">
        <f t="shared" si="3"/>
        <v>6_2005</v>
      </c>
      <c r="T316" s="260">
        <f t="shared" si="4"/>
        <v>131.30000000000001</v>
      </c>
      <c r="U316" s="7"/>
      <c r="V316" s="7"/>
      <c r="W316" s="7"/>
      <c r="X316" s="7"/>
      <c r="Y316" s="7"/>
      <c r="Z316" s="7"/>
    </row>
    <row r="317" spans="1:26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258">
        <f>P310+1</f>
        <v>2005</v>
      </c>
      <c r="Q317" s="258">
        <v>7</v>
      </c>
      <c r="R317" s="259" t="s">
        <v>1551</v>
      </c>
      <c r="S317" s="254" t="str">
        <f t="shared" si="3"/>
        <v>7_2005</v>
      </c>
      <c r="T317" s="260">
        <f t="shared" si="4"/>
        <v>131.30000000000001</v>
      </c>
      <c r="U317" s="7"/>
      <c r="V317" s="7"/>
      <c r="W317" s="7"/>
      <c r="X317" s="7"/>
      <c r="Y317" s="7"/>
      <c r="Z317" s="7"/>
    </row>
    <row r="318" spans="1:26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258">
        <f>P310+1</f>
        <v>2005</v>
      </c>
      <c r="Q318" s="258">
        <v>8</v>
      </c>
      <c r="R318" s="259" t="s">
        <v>1551</v>
      </c>
      <c r="S318" s="254" t="str">
        <f t="shared" si="3"/>
        <v>8_2005</v>
      </c>
      <c r="T318" s="260">
        <f t="shared" si="4"/>
        <v>131.30000000000001</v>
      </c>
      <c r="U318" s="7"/>
      <c r="V318" s="7"/>
      <c r="W318" s="7"/>
      <c r="X318" s="7"/>
      <c r="Y318" s="7"/>
      <c r="Z318" s="7"/>
    </row>
    <row r="319" spans="1:26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258">
        <f>P310+1</f>
        <v>2005</v>
      </c>
      <c r="Q319" s="258">
        <v>9</v>
      </c>
      <c r="R319" s="259" t="s">
        <v>1551</v>
      </c>
      <c r="S319" s="254" t="str">
        <f t="shared" si="3"/>
        <v>9_2005</v>
      </c>
      <c r="T319" s="260">
        <f t="shared" si="4"/>
        <v>131.30000000000001</v>
      </c>
      <c r="U319" s="7"/>
      <c r="V319" s="7"/>
      <c r="W319" s="7"/>
      <c r="X319" s="7"/>
      <c r="Y319" s="7"/>
      <c r="Z319" s="7"/>
    </row>
    <row r="320" spans="1:26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258">
        <f>P310+1</f>
        <v>2005</v>
      </c>
      <c r="Q320" s="258">
        <v>10</v>
      </c>
      <c r="R320" s="259" t="s">
        <v>1551</v>
      </c>
      <c r="S320" s="254" t="str">
        <f t="shared" si="3"/>
        <v>10_2005</v>
      </c>
      <c r="T320" s="260">
        <f t="shared" si="4"/>
        <v>131.30000000000001</v>
      </c>
      <c r="U320" s="7"/>
      <c r="V320" s="7"/>
      <c r="W320" s="7"/>
      <c r="X320" s="7"/>
      <c r="Y320" s="7"/>
      <c r="Z320" s="7"/>
    </row>
    <row r="321" spans="1:26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258">
        <f>P310+1</f>
        <v>2005</v>
      </c>
      <c r="Q321" s="258">
        <v>11</v>
      </c>
      <c r="R321" s="259" t="s">
        <v>1551</v>
      </c>
      <c r="S321" s="254" t="str">
        <f t="shared" si="3"/>
        <v>11_2005</v>
      </c>
      <c r="T321" s="260">
        <f t="shared" si="4"/>
        <v>131.30000000000001</v>
      </c>
      <c r="U321" s="7"/>
      <c r="V321" s="7"/>
      <c r="W321" s="7"/>
      <c r="X321" s="7"/>
      <c r="Y321" s="7"/>
      <c r="Z321" s="7"/>
    </row>
    <row r="322" spans="1:26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258">
        <f>P310+1</f>
        <v>2005</v>
      </c>
      <c r="Q322" s="258">
        <v>12</v>
      </c>
      <c r="R322" s="259" t="s">
        <v>1551</v>
      </c>
      <c r="S322" s="254" t="str">
        <f t="shared" si="3"/>
        <v>12_2005</v>
      </c>
      <c r="T322" s="260">
        <f t="shared" si="4"/>
        <v>131.30000000000001</v>
      </c>
      <c r="U322" s="7"/>
      <c r="V322" s="7"/>
      <c r="W322" s="7"/>
      <c r="X322" s="7"/>
      <c r="Y322" s="7"/>
      <c r="Z322" s="7"/>
    </row>
    <row r="323" spans="1:26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258">
        <f>P322+1</f>
        <v>2006</v>
      </c>
      <c r="Q323" s="258">
        <v>1</v>
      </c>
      <c r="R323" s="259" t="s">
        <v>1551</v>
      </c>
      <c r="S323" s="254" t="str">
        <f t="shared" si="3"/>
        <v>1_2006</v>
      </c>
      <c r="T323" s="260">
        <f t="shared" si="4"/>
        <v>145.30000000000001</v>
      </c>
      <c r="U323" s="7"/>
      <c r="V323" s="7"/>
      <c r="W323" s="7"/>
      <c r="X323" s="7"/>
      <c r="Y323" s="7"/>
      <c r="Z323" s="7"/>
    </row>
    <row r="324" spans="1:26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258">
        <f>P322+1</f>
        <v>2006</v>
      </c>
      <c r="Q324" s="258">
        <v>2</v>
      </c>
      <c r="R324" s="259" t="s">
        <v>1551</v>
      </c>
      <c r="S324" s="254" t="str">
        <f t="shared" si="3"/>
        <v>2_2006</v>
      </c>
      <c r="T324" s="260">
        <f t="shared" si="4"/>
        <v>145.30000000000001</v>
      </c>
      <c r="U324" s="7"/>
      <c r="V324" s="7"/>
      <c r="W324" s="7"/>
      <c r="X324" s="7"/>
      <c r="Y324" s="7"/>
      <c r="Z324" s="7"/>
    </row>
    <row r="325" spans="1:26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258">
        <f>P322+1</f>
        <v>2006</v>
      </c>
      <c r="Q325" s="258">
        <v>3</v>
      </c>
      <c r="R325" s="259" t="s">
        <v>1551</v>
      </c>
      <c r="S325" s="254" t="str">
        <f t="shared" si="3"/>
        <v>3_2006</v>
      </c>
      <c r="T325" s="260">
        <f t="shared" si="4"/>
        <v>145.30000000000001</v>
      </c>
      <c r="U325" s="7"/>
      <c r="V325" s="7"/>
      <c r="W325" s="7"/>
      <c r="X325" s="7"/>
      <c r="Y325" s="7"/>
      <c r="Z325" s="7"/>
    </row>
    <row r="326" spans="1:26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258">
        <f>P322+1</f>
        <v>2006</v>
      </c>
      <c r="Q326" s="258">
        <v>4</v>
      </c>
      <c r="R326" s="259" t="s">
        <v>1551</v>
      </c>
      <c r="S326" s="254" t="str">
        <f t="shared" si="3"/>
        <v>4_2006</v>
      </c>
      <c r="T326" s="260">
        <f t="shared" si="4"/>
        <v>145.30000000000001</v>
      </c>
      <c r="U326" s="7"/>
      <c r="V326" s="7"/>
      <c r="W326" s="7"/>
      <c r="X326" s="7"/>
      <c r="Y326" s="7"/>
      <c r="Z326" s="7"/>
    </row>
    <row r="327" spans="1:26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258">
        <f>P322+1</f>
        <v>2006</v>
      </c>
      <c r="Q327" s="258">
        <v>5</v>
      </c>
      <c r="R327" s="259" t="s">
        <v>1551</v>
      </c>
      <c r="S327" s="254" t="str">
        <f t="shared" si="3"/>
        <v>5_2006</v>
      </c>
      <c r="T327" s="260">
        <f t="shared" si="4"/>
        <v>145.30000000000001</v>
      </c>
      <c r="U327" s="7"/>
      <c r="V327" s="7"/>
      <c r="W327" s="7"/>
      <c r="X327" s="7"/>
      <c r="Y327" s="7"/>
      <c r="Z327" s="7"/>
    </row>
    <row r="328" spans="1:26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258">
        <f>P322+1</f>
        <v>2006</v>
      </c>
      <c r="Q328" s="258">
        <v>6</v>
      </c>
      <c r="R328" s="259" t="s">
        <v>1551</v>
      </c>
      <c r="S328" s="254" t="str">
        <f t="shared" si="3"/>
        <v>6_2006</v>
      </c>
      <c r="T328" s="260">
        <f t="shared" si="4"/>
        <v>145.30000000000001</v>
      </c>
      <c r="U328" s="7"/>
      <c r="V328" s="7"/>
      <c r="W328" s="7"/>
      <c r="X328" s="7"/>
      <c r="Y328" s="7"/>
      <c r="Z328" s="7"/>
    </row>
    <row r="329" spans="1:26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258">
        <f>P322+1</f>
        <v>2006</v>
      </c>
      <c r="Q329" s="258">
        <v>7</v>
      </c>
      <c r="R329" s="259" t="s">
        <v>1551</v>
      </c>
      <c r="S329" s="254" t="str">
        <f t="shared" si="3"/>
        <v>7_2006</v>
      </c>
      <c r="T329" s="260">
        <f t="shared" si="4"/>
        <v>145.30000000000001</v>
      </c>
      <c r="U329" s="7"/>
      <c r="V329" s="7"/>
      <c r="W329" s="7"/>
      <c r="X329" s="7"/>
      <c r="Y329" s="7"/>
      <c r="Z329" s="7"/>
    </row>
    <row r="330" spans="1:26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258">
        <f>P322+1</f>
        <v>2006</v>
      </c>
      <c r="Q330" s="258">
        <v>8</v>
      </c>
      <c r="R330" s="259" t="s">
        <v>1551</v>
      </c>
      <c r="S330" s="254" t="str">
        <f t="shared" si="3"/>
        <v>8_2006</v>
      </c>
      <c r="T330" s="260">
        <f t="shared" si="4"/>
        <v>145.30000000000001</v>
      </c>
      <c r="U330" s="7"/>
      <c r="V330" s="7"/>
      <c r="W330" s="7"/>
      <c r="X330" s="7"/>
      <c r="Y330" s="7"/>
      <c r="Z330" s="7"/>
    </row>
    <row r="331" spans="1:26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258">
        <f>P322+1</f>
        <v>2006</v>
      </c>
      <c r="Q331" s="258">
        <v>9</v>
      </c>
      <c r="R331" s="259" t="s">
        <v>1551</v>
      </c>
      <c r="S331" s="254" t="str">
        <f t="shared" si="3"/>
        <v>9_2006</v>
      </c>
      <c r="T331" s="260">
        <f t="shared" si="4"/>
        <v>145.30000000000001</v>
      </c>
      <c r="U331" s="7"/>
      <c r="V331" s="7"/>
      <c r="W331" s="7"/>
      <c r="X331" s="7"/>
      <c r="Y331" s="7"/>
      <c r="Z331" s="7"/>
    </row>
    <row r="332" spans="1:26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258">
        <f>P322+1</f>
        <v>2006</v>
      </c>
      <c r="Q332" s="258">
        <v>10</v>
      </c>
      <c r="R332" s="259" t="s">
        <v>1551</v>
      </c>
      <c r="S332" s="254" t="str">
        <f t="shared" si="3"/>
        <v>10_2006</v>
      </c>
      <c r="T332" s="260">
        <f t="shared" si="4"/>
        <v>145.30000000000001</v>
      </c>
      <c r="U332" s="7"/>
      <c r="V332" s="7"/>
      <c r="W332" s="7"/>
      <c r="X332" s="7"/>
      <c r="Y332" s="7"/>
      <c r="Z332" s="7"/>
    </row>
    <row r="333" spans="1:26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258">
        <f>P322+1</f>
        <v>2006</v>
      </c>
      <c r="Q333" s="258">
        <v>11</v>
      </c>
      <c r="R333" s="259" t="s">
        <v>1551</v>
      </c>
      <c r="S333" s="254" t="str">
        <f t="shared" si="3"/>
        <v>11_2006</v>
      </c>
      <c r="T333" s="260">
        <f t="shared" si="4"/>
        <v>145.30000000000001</v>
      </c>
      <c r="U333" s="7"/>
      <c r="V333" s="7"/>
      <c r="W333" s="7"/>
      <c r="X333" s="7"/>
      <c r="Y333" s="7"/>
      <c r="Z333" s="7"/>
    </row>
    <row r="334" spans="1:26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258">
        <f>P322+1</f>
        <v>2006</v>
      </c>
      <c r="Q334" s="258">
        <v>12</v>
      </c>
      <c r="R334" s="259" t="s">
        <v>1551</v>
      </c>
      <c r="S334" s="254" t="str">
        <f t="shared" si="3"/>
        <v>12_2006</v>
      </c>
      <c r="T334" s="260">
        <f t="shared" si="4"/>
        <v>145.30000000000001</v>
      </c>
      <c r="U334" s="7"/>
      <c r="V334" s="7"/>
      <c r="W334" s="7"/>
      <c r="X334" s="7"/>
      <c r="Y334" s="7"/>
      <c r="Z334" s="7"/>
    </row>
    <row r="335" spans="1:26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258">
        <f>P334+1</f>
        <v>2007</v>
      </c>
      <c r="Q335" s="258">
        <v>1</v>
      </c>
      <c r="R335" s="259" t="s">
        <v>1551</v>
      </c>
      <c r="S335" s="254" t="str">
        <f t="shared" si="3"/>
        <v>1_2007</v>
      </c>
      <c r="T335" s="260">
        <f t="shared" si="4"/>
        <v>151.69999999999999</v>
      </c>
      <c r="U335" s="7"/>
      <c r="V335" s="7"/>
      <c r="W335" s="7"/>
      <c r="X335" s="7"/>
      <c r="Y335" s="7"/>
      <c r="Z335" s="7"/>
    </row>
    <row r="336" spans="1:26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258">
        <f>P334+1</f>
        <v>2007</v>
      </c>
      <c r="Q336" s="258">
        <v>2</v>
      </c>
      <c r="R336" s="259" t="s">
        <v>1551</v>
      </c>
      <c r="S336" s="254" t="str">
        <f t="shared" si="3"/>
        <v>2_2007</v>
      </c>
      <c r="T336" s="260">
        <f t="shared" si="4"/>
        <v>151.69999999999999</v>
      </c>
      <c r="U336" s="7"/>
      <c r="V336" s="7"/>
      <c r="W336" s="7"/>
      <c r="X336" s="7"/>
      <c r="Y336" s="7"/>
      <c r="Z336" s="7"/>
    </row>
    <row r="337" spans="1:26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258">
        <f>P334+1</f>
        <v>2007</v>
      </c>
      <c r="Q337" s="258">
        <v>3</v>
      </c>
      <c r="R337" s="259" t="s">
        <v>1551</v>
      </c>
      <c r="S337" s="254" t="str">
        <f t="shared" si="3"/>
        <v>3_2007</v>
      </c>
      <c r="T337" s="260">
        <f t="shared" si="4"/>
        <v>151.69999999999999</v>
      </c>
      <c r="U337" s="7"/>
      <c r="V337" s="7"/>
      <c r="W337" s="7"/>
      <c r="X337" s="7"/>
      <c r="Y337" s="7"/>
      <c r="Z337" s="7"/>
    </row>
    <row r="338" spans="1:26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258">
        <f>P334+1</f>
        <v>2007</v>
      </c>
      <c r="Q338" s="258">
        <v>4</v>
      </c>
      <c r="R338" s="259" t="s">
        <v>1551</v>
      </c>
      <c r="S338" s="254" t="str">
        <f t="shared" si="3"/>
        <v>4_2007</v>
      </c>
      <c r="T338" s="260">
        <f t="shared" si="4"/>
        <v>151.69999999999999</v>
      </c>
      <c r="U338" s="7"/>
      <c r="V338" s="7"/>
      <c r="W338" s="7"/>
      <c r="X338" s="7"/>
      <c r="Y338" s="7"/>
      <c r="Z338" s="7"/>
    </row>
    <row r="339" spans="1:26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258">
        <f>P334+1</f>
        <v>2007</v>
      </c>
      <c r="Q339" s="258">
        <v>5</v>
      </c>
      <c r="R339" s="259" t="s">
        <v>1551</v>
      </c>
      <c r="S339" s="254" t="str">
        <f t="shared" si="3"/>
        <v>5_2007</v>
      </c>
      <c r="T339" s="260">
        <f t="shared" si="4"/>
        <v>151.69999999999999</v>
      </c>
      <c r="U339" s="7"/>
      <c r="V339" s="7"/>
      <c r="W339" s="7"/>
      <c r="X339" s="7"/>
      <c r="Y339" s="7"/>
      <c r="Z339" s="7"/>
    </row>
    <row r="340" spans="1:26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258">
        <f>P334+1</f>
        <v>2007</v>
      </c>
      <c r="Q340" s="258">
        <v>6</v>
      </c>
      <c r="R340" s="259" t="s">
        <v>1551</v>
      </c>
      <c r="S340" s="254" t="str">
        <f t="shared" si="3"/>
        <v>6_2007</v>
      </c>
      <c r="T340" s="260">
        <f t="shared" si="4"/>
        <v>151.69999999999999</v>
      </c>
      <c r="U340" s="7"/>
      <c r="V340" s="7"/>
      <c r="W340" s="7"/>
      <c r="X340" s="7"/>
      <c r="Y340" s="7"/>
      <c r="Z340" s="7"/>
    </row>
    <row r="341" spans="1:26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258">
        <f>P334+1</f>
        <v>2007</v>
      </c>
      <c r="Q341" s="258">
        <v>7</v>
      </c>
      <c r="R341" s="259" t="s">
        <v>1551</v>
      </c>
      <c r="S341" s="254" t="str">
        <f t="shared" si="3"/>
        <v>7_2007</v>
      </c>
      <c r="T341" s="260">
        <f t="shared" si="4"/>
        <v>151.69999999999999</v>
      </c>
      <c r="U341" s="7"/>
      <c r="V341" s="7"/>
      <c r="W341" s="7"/>
      <c r="X341" s="7"/>
      <c r="Y341" s="7"/>
      <c r="Z341" s="7"/>
    </row>
    <row r="342" spans="1:26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258">
        <f>P334+1</f>
        <v>2007</v>
      </c>
      <c r="Q342" s="258">
        <v>8</v>
      </c>
      <c r="R342" s="259" t="s">
        <v>1551</v>
      </c>
      <c r="S342" s="254" t="str">
        <f t="shared" si="3"/>
        <v>8_2007</v>
      </c>
      <c r="T342" s="260">
        <f t="shared" si="4"/>
        <v>151.69999999999999</v>
      </c>
      <c r="U342" s="7"/>
      <c r="V342" s="7"/>
      <c r="W342" s="7"/>
      <c r="X342" s="7"/>
      <c r="Y342" s="7"/>
      <c r="Z342" s="7"/>
    </row>
    <row r="343" spans="1:26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258">
        <f>P334+1</f>
        <v>2007</v>
      </c>
      <c r="Q343" s="258">
        <v>9</v>
      </c>
      <c r="R343" s="259" t="s">
        <v>1551</v>
      </c>
      <c r="S343" s="254" t="str">
        <f t="shared" si="3"/>
        <v>9_2007</v>
      </c>
      <c r="T343" s="260">
        <f t="shared" si="4"/>
        <v>151.69999999999999</v>
      </c>
      <c r="U343" s="7"/>
      <c r="V343" s="7"/>
      <c r="W343" s="7"/>
      <c r="X343" s="7"/>
      <c r="Y343" s="7"/>
      <c r="Z343" s="7"/>
    </row>
    <row r="344" spans="1:26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258">
        <f>P334+1</f>
        <v>2007</v>
      </c>
      <c r="Q344" s="258">
        <v>10</v>
      </c>
      <c r="R344" s="259" t="s">
        <v>1551</v>
      </c>
      <c r="S344" s="254" t="str">
        <f t="shared" si="3"/>
        <v>10_2007</v>
      </c>
      <c r="T344" s="260">
        <f t="shared" si="4"/>
        <v>151.69999999999999</v>
      </c>
      <c r="U344" s="7"/>
      <c r="V344" s="7"/>
      <c r="W344" s="7"/>
      <c r="X344" s="7"/>
      <c r="Y344" s="7"/>
      <c r="Z344" s="7"/>
    </row>
    <row r="345" spans="1:26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258">
        <f>P334+1</f>
        <v>2007</v>
      </c>
      <c r="Q345" s="258">
        <v>11</v>
      </c>
      <c r="R345" s="259" t="s">
        <v>1551</v>
      </c>
      <c r="S345" s="254" t="str">
        <f t="shared" si="3"/>
        <v>11_2007</v>
      </c>
      <c r="T345" s="260">
        <f t="shared" si="4"/>
        <v>151.69999999999999</v>
      </c>
      <c r="U345" s="7"/>
      <c r="V345" s="7"/>
      <c r="W345" s="7"/>
      <c r="X345" s="7"/>
      <c r="Y345" s="7"/>
      <c r="Z345" s="7"/>
    </row>
    <row r="346" spans="1:26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258">
        <f>P334+1</f>
        <v>2007</v>
      </c>
      <c r="Q346" s="258">
        <v>12</v>
      </c>
      <c r="R346" s="259" t="s">
        <v>1551</v>
      </c>
      <c r="S346" s="254" t="str">
        <f t="shared" si="3"/>
        <v>12_2007</v>
      </c>
      <c r="T346" s="260">
        <f t="shared" si="4"/>
        <v>151.69999999999999</v>
      </c>
      <c r="U346" s="7"/>
      <c r="V346" s="7"/>
      <c r="W346" s="7"/>
      <c r="X346" s="7"/>
      <c r="Y346" s="7"/>
      <c r="Z346" s="7"/>
    </row>
    <row r="347" spans="1:26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258">
        <f>P346+1</f>
        <v>2008</v>
      </c>
      <c r="Q347" s="258">
        <v>1</v>
      </c>
      <c r="R347" s="259" t="s">
        <v>1551</v>
      </c>
      <c r="S347" s="254" t="str">
        <f t="shared" si="3"/>
        <v>1_2008</v>
      </c>
      <c r="T347" s="260">
        <f t="shared" si="4"/>
        <v>159.30000000000001</v>
      </c>
      <c r="U347" s="7"/>
      <c r="V347" s="7"/>
      <c r="W347" s="7"/>
      <c r="X347" s="7"/>
      <c r="Y347" s="7"/>
      <c r="Z347" s="7"/>
    </row>
    <row r="348" spans="1:26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258">
        <f>P346+1</f>
        <v>2008</v>
      </c>
      <c r="Q348" s="258">
        <v>2</v>
      </c>
      <c r="R348" s="259" t="s">
        <v>1551</v>
      </c>
      <c r="S348" s="254" t="str">
        <f t="shared" si="3"/>
        <v>2_2008</v>
      </c>
      <c r="T348" s="260">
        <f t="shared" si="4"/>
        <v>159.30000000000001</v>
      </c>
      <c r="U348" s="7"/>
      <c r="V348" s="7"/>
      <c r="W348" s="7"/>
      <c r="X348" s="7"/>
      <c r="Y348" s="7"/>
      <c r="Z348" s="7"/>
    </row>
    <row r="349" spans="1:26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258">
        <f>P346+1</f>
        <v>2008</v>
      </c>
      <c r="Q349" s="258">
        <v>3</v>
      </c>
      <c r="R349" s="259" t="s">
        <v>1551</v>
      </c>
      <c r="S349" s="254" t="str">
        <f t="shared" si="3"/>
        <v>3_2008</v>
      </c>
      <c r="T349" s="260">
        <f t="shared" si="4"/>
        <v>159.30000000000001</v>
      </c>
      <c r="U349" s="7"/>
      <c r="V349" s="7"/>
      <c r="W349" s="7"/>
      <c r="X349" s="7"/>
      <c r="Y349" s="7"/>
      <c r="Z349" s="7"/>
    </row>
    <row r="350" spans="1:26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258">
        <f>P346+1</f>
        <v>2008</v>
      </c>
      <c r="Q350" s="258">
        <v>4</v>
      </c>
      <c r="R350" s="259" t="s">
        <v>1551</v>
      </c>
      <c r="S350" s="254" t="str">
        <f t="shared" si="3"/>
        <v>4_2008</v>
      </c>
      <c r="T350" s="260">
        <f t="shared" si="4"/>
        <v>159.30000000000001</v>
      </c>
      <c r="U350" s="7"/>
      <c r="V350" s="7"/>
      <c r="W350" s="7"/>
      <c r="X350" s="7"/>
      <c r="Y350" s="7"/>
      <c r="Z350" s="7"/>
    </row>
    <row r="351" spans="1:26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258">
        <f>P346+1</f>
        <v>2008</v>
      </c>
      <c r="Q351" s="258">
        <v>5</v>
      </c>
      <c r="R351" s="259" t="s">
        <v>1551</v>
      </c>
      <c r="S351" s="254" t="str">
        <f t="shared" si="3"/>
        <v>5_2008</v>
      </c>
      <c r="T351" s="260">
        <f t="shared" si="4"/>
        <v>159.30000000000001</v>
      </c>
      <c r="U351" s="7"/>
      <c r="V351" s="7"/>
      <c r="W351" s="7"/>
      <c r="X351" s="7"/>
      <c r="Y351" s="7"/>
      <c r="Z351" s="7"/>
    </row>
    <row r="352" spans="1:26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258">
        <f>P346+1</f>
        <v>2008</v>
      </c>
      <c r="Q352" s="258">
        <v>6</v>
      </c>
      <c r="R352" s="259" t="s">
        <v>1551</v>
      </c>
      <c r="S352" s="254" t="str">
        <f t="shared" si="3"/>
        <v>6_2008</v>
      </c>
      <c r="T352" s="260">
        <f t="shared" si="4"/>
        <v>159.30000000000001</v>
      </c>
      <c r="U352" s="7"/>
      <c r="V352" s="7"/>
      <c r="W352" s="7"/>
      <c r="X352" s="7"/>
      <c r="Y352" s="7"/>
      <c r="Z352" s="7"/>
    </row>
    <row r="353" spans="1:26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258">
        <f>P346+1</f>
        <v>2008</v>
      </c>
      <c r="Q353" s="258">
        <v>7</v>
      </c>
      <c r="R353" s="259" t="s">
        <v>1551</v>
      </c>
      <c r="S353" s="254" t="str">
        <f t="shared" si="3"/>
        <v>7_2008</v>
      </c>
      <c r="T353" s="260">
        <f t="shared" si="4"/>
        <v>159.30000000000001</v>
      </c>
      <c r="U353" s="7"/>
      <c r="V353" s="7"/>
      <c r="W353" s="7"/>
      <c r="X353" s="7"/>
      <c r="Y353" s="7"/>
      <c r="Z353" s="7"/>
    </row>
    <row r="354" spans="1:26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258">
        <f>P346+1</f>
        <v>2008</v>
      </c>
      <c r="Q354" s="258">
        <v>8</v>
      </c>
      <c r="R354" s="259" t="s">
        <v>1551</v>
      </c>
      <c r="S354" s="254" t="str">
        <f t="shared" si="3"/>
        <v>8_2008</v>
      </c>
      <c r="T354" s="260">
        <f t="shared" si="4"/>
        <v>159.30000000000001</v>
      </c>
      <c r="U354" s="7"/>
      <c r="V354" s="7"/>
      <c r="W354" s="7"/>
      <c r="X354" s="7"/>
      <c r="Y354" s="7"/>
      <c r="Z354" s="7"/>
    </row>
    <row r="355" spans="1:26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258">
        <f>P346+1</f>
        <v>2008</v>
      </c>
      <c r="Q355" s="258">
        <v>9</v>
      </c>
      <c r="R355" s="259" t="s">
        <v>1551</v>
      </c>
      <c r="S355" s="254" t="str">
        <f t="shared" si="3"/>
        <v>9_2008</v>
      </c>
      <c r="T355" s="260">
        <f t="shared" si="4"/>
        <v>159.30000000000001</v>
      </c>
      <c r="U355" s="7"/>
      <c r="V355" s="7"/>
      <c r="W355" s="7"/>
      <c r="X355" s="7"/>
      <c r="Y355" s="7"/>
      <c r="Z355" s="7"/>
    </row>
    <row r="356" spans="1:26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258">
        <f>P346+1</f>
        <v>2008</v>
      </c>
      <c r="Q356" s="258">
        <v>10</v>
      </c>
      <c r="R356" s="259" t="s">
        <v>1551</v>
      </c>
      <c r="S356" s="254" t="str">
        <f t="shared" si="3"/>
        <v>10_2008</v>
      </c>
      <c r="T356" s="260">
        <f t="shared" si="4"/>
        <v>159.30000000000001</v>
      </c>
      <c r="U356" s="7"/>
      <c r="V356" s="7"/>
      <c r="W356" s="7"/>
      <c r="X356" s="7"/>
      <c r="Y356" s="7"/>
      <c r="Z356" s="7"/>
    </row>
    <row r="357" spans="1:26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258">
        <f>P346+1</f>
        <v>2008</v>
      </c>
      <c r="Q357" s="258">
        <v>11</v>
      </c>
      <c r="R357" s="259" t="s">
        <v>1551</v>
      </c>
      <c r="S357" s="254" t="str">
        <f t="shared" si="3"/>
        <v>11_2008</v>
      </c>
      <c r="T357" s="260">
        <f t="shared" si="4"/>
        <v>159.30000000000001</v>
      </c>
      <c r="U357" s="7"/>
      <c r="V357" s="7"/>
      <c r="W357" s="7"/>
      <c r="X357" s="7"/>
      <c r="Y357" s="7"/>
      <c r="Z357" s="7"/>
    </row>
    <row r="358" spans="1:26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258">
        <f>P346+1</f>
        <v>2008</v>
      </c>
      <c r="Q358" s="258">
        <v>12</v>
      </c>
      <c r="R358" s="259" t="s">
        <v>1551</v>
      </c>
      <c r="S358" s="254" t="str">
        <f t="shared" si="3"/>
        <v>12_2008</v>
      </c>
      <c r="T358" s="260">
        <f t="shared" si="4"/>
        <v>159.30000000000001</v>
      </c>
      <c r="U358" s="7"/>
      <c r="V358" s="7"/>
      <c r="W358" s="7"/>
      <c r="X358" s="7"/>
      <c r="Y358" s="7"/>
      <c r="Z358" s="7"/>
    </row>
    <row r="359" spans="1:26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258">
        <f>P358+1</f>
        <v>2009</v>
      </c>
      <c r="Q359" s="258">
        <v>1</v>
      </c>
      <c r="R359" s="259" t="s">
        <v>1551</v>
      </c>
      <c r="S359" s="254" t="str">
        <f t="shared" si="3"/>
        <v>1_2009</v>
      </c>
      <c r="T359" s="260">
        <f t="shared" si="4"/>
        <v>159.1</v>
      </c>
      <c r="U359" s="7"/>
      <c r="V359" s="7"/>
      <c r="W359" s="7"/>
      <c r="X359" s="7"/>
      <c r="Y359" s="7"/>
      <c r="Z359" s="7"/>
    </row>
    <row r="360" spans="1:26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258">
        <f>P358+1</f>
        <v>2009</v>
      </c>
      <c r="Q360" s="258">
        <v>2</v>
      </c>
      <c r="R360" s="259" t="s">
        <v>1551</v>
      </c>
      <c r="S360" s="254" t="str">
        <f t="shared" si="3"/>
        <v>2_2009</v>
      </c>
      <c r="T360" s="260">
        <f t="shared" si="4"/>
        <v>159.1</v>
      </c>
      <c r="U360" s="7"/>
      <c r="V360" s="7"/>
      <c r="W360" s="7"/>
      <c r="X360" s="7"/>
      <c r="Y360" s="7"/>
      <c r="Z360" s="7"/>
    </row>
    <row r="361" spans="1:26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258">
        <f>P358+1</f>
        <v>2009</v>
      </c>
      <c r="Q361" s="258">
        <v>3</v>
      </c>
      <c r="R361" s="259" t="s">
        <v>1551</v>
      </c>
      <c r="S361" s="254" t="str">
        <f t="shared" si="3"/>
        <v>3_2009</v>
      </c>
      <c r="T361" s="260">
        <f t="shared" si="4"/>
        <v>159.1</v>
      </c>
      <c r="U361" s="7"/>
      <c r="V361" s="7"/>
      <c r="W361" s="7"/>
      <c r="X361" s="7"/>
      <c r="Y361" s="7"/>
      <c r="Z361" s="7"/>
    </row>
    <row r="362" spans="1:26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258">
        <f>P358+1</f>
        <v>2009</v>
      </c>
      <c r="Q362" s="258">
        <v>4</v>
      </c>
      <c r="R362" s="259" t="s">
        <v>1551</v>
      </c>
      <c r="S362" s="254" t="str">
        <f t="shared" si="3"/>
        <v>4_2009</v>
      </c>
      <c r="T362" s="260">
        <f t="shared" si="4"/>
        <v>159.1</v>
      </c>
      <c r="U362" s="7"/>
      <c r="V362" s="7"/>
      <c r="W362" s="7"/>
      <c r="X362" s="7"/>
      <c r="Y362" s="7"/>
      <c r="Z362" s="7"/>
    </row>
    <row r="363" spans="1:26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258">
        <f>P358+1</f>
        <v>2009</v>
      </c>
      <c r="Q363" s="258">
        <v>5</v>
      </c>
      <c r="R363" s="259" t="s">
        <v>1551</v>
      </c>
      <c r="S363" s="254" t="str">
        <f t="shared" si="3"/>
        <v>5_2009</v>
      </c>
      <c r="T363" s="260">
        <f t="shared" si="4"/>
        <v>159.1</v>
      </c>
      <c r="U363" s="7"/>
      <c r="V363" s="7"/>
      <c r="W363" s="7"/>
      <c r="X363" s="7"/>
      <c r="Y363" s="7"/>
      <c r="Z363" s="7"/>
    </row>
    <row r="364" spans="1:26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258">
        <f>P358+1</f>
        <v>2009</v>
      </c>
      <c r="Q364" s="258">
        <v>6</v>
      </c>
      <c r="R364" s="259" t="s">
        <v>1551</v>
      </c>
      <c r="S364" s="254" t="str">
        <f t="shared" si="3"/>
        <v>6_2009</v>
      </c>
      <c r="T364" s="260">
        <f t="shared" si="4"/>
        <v>159.1</v>
      </c>
      <c r="U364" s="7"/>
      <c r="V364" s="7"/>
      <c r="W364" s="7"/>
      <c r="X364" s="7"/>
      <c r="Y364" s="7"/>
      <c r="Z364" s="7"/>
    </row>
    <row r="365" spans="1:26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258">
        <f>P358+1</f>
        <v>2009</v>
      </c>
      <c r="Q365" s="258">
        <v>7</v>
      </c>
      <c r="R365" s="259" t="s">
        <v>1551</v>
      </c>
      <c r="S365" s="254" t="str">
        <f t="shared" si="3"/>
        <v>7_2009</v>
      </c>
      <c r="T365" s="260">
        <f t="shared" si="4"/>
        <v>159.1</v>
      </c>
      <c r="U365" s="7"/>
      <c r="V365" s="7"/>
      <c r="W365" s="7"/>
      <c r="X365" s="7"/>
      <c r="Y365" s="7"/>
      <c r="Z365" s="7"/>
    </row>
    <row r="366" spans="1:26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258">
        <f>P358+1</f>
        <v>2009</v>
      </c>
      <c r="Q366" s="258">
        <v>8</v>
      </c>
      <c r="R366" s="259" t="s">
        <v>1551</v>
      </c>
      <c r="S366" s="254" t="str">
        <f t="shared" si="3"/>
        <v>8_2009</v>
      </c>
      <c r="T366" s="260">
        <f t="shared" si="4"/>
        <v>159.1</v>
      </c>
      <c r="U366" s="7"/>
      <c r="V366" s="7"/>
      <c r="W366" s="7"/>
      <c r="X366" s="7"/>
      <c r="Y366" s="7"/>
      <c r="Z366" s="7"/>
    </row>
    <row r="367" spans="1:26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258">
        <f>P358+1</f>
        <v>2009</v>
      </c>
      <c r="Q367" s="258">
        <v>9</v>
      </c>
      <c r="R367" s="259" t="s">
        <v>1551</v>
      </c>
      <c r="S367" s="254" t="str">
        <f t="shared" si="3"/>
        <v>9_2009</v>
      </c>
      <c r="T367" s="260">
        <f t="shared" si="4"/>
        <v>159.1</v>
      </c>
      <c r="U367" s="7"/>
      <c r="V367" s="7"/>
      <c r="W367" s="7"/>
      <c r="X367" s="7"/>
      <c r="Y367" s="7"/>
      <c r="Z367" s="7"/>
    </row>
    <row r="368" spans="1:26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258">
        <f>P358+1</f>
        <v>2009</v>
      </c>
      <c r="Q368" s="258">
        <v>10</v>
      </c>
      <c r="R368" s="259" t="s">
        <v>1551</v>
      </c>
      <c r="S368" s="254" t="str">
        <f t="shared" si="3"/>
        <v>10_2009</v>
      </c>
      <c r="T368" s="260">
        <f t="shared" si="4"/>
        <v>159.1</v>
      </c>
      <c r="U368" s="7"/>
      <c r="V368" s="7"/>
      <c r="W368" s="7"/>
      <c r="X368" s="7"/>
      <c r="Y368" s="7"/>
      <c r="Z368" s="7"/>
    </row>
    <row r="369" spans="1:26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258">
        <f>P358+1</f>
        <v>2009</v>
      </c>
      <c r="Q369" s="258">
        <v>11</v>
      </c>
      <c r="R369" s="259" t="s">
        <v>1551</v>
      </c>
      <c r="S369" s="254" t="str">
        <f t="shared" si="3"/>
        <v>11_2009</v>
      </c>
      <c r="T369" s="260">
        <f t="shared" si="4"/>
        <v>159.1</v>
      </c>
      <c r="U369" s="7"/>
      <c r="V369" s="7"/>
      <c r="W369" s="7"/>
      <c r="X369" s="7"/>
      <c r="Y369" s="7"/>
      <c r="Z369" s="7"/>
    </row>
    <row r="370" spans="1:26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258">
        <f>P358+1</f>
        <v>2009</v>
      </c>
      <c r="Q370" s="258">
        <v>12</v>
      </c>
      <c r="R370" s="259" t="s">
        <v>1551</v>
      </c>
      <c r="S370" s="254" t="str">
        <f t="shared" si="3"/>
        <v>12_2009</v>
      </c>
      <c r="T370" s="260">
        <f t="shared" si="4"/>
        <v>159.1</v>
      </c>
      <c r="U370" s="7"/>
      <c r="V370" s="7"/>
      <c r="W370" s="7"/>
      <c r="X370" s="7"/>
      <c r="Y370" s="7"/>
      <c r="Z370" s="7"/>
    </row>
    <row r="371" spans="1:26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258">
        <f>P370+1</f>
        <v>2010</v>
      </c>
      <c r="Q371" s="258">
        <v>1</v>
      </c>
      <c r="R371" s="259" t="s">
        <v>1551</v>
      </c>
      <c r="S371" s="254" t="str">
        <f t="shared" si="3"/>
        <v>1_2010</v>
      </c>
      <c r="T371" s="260">
        <f t="shared" si="4"/>
        <v>160.80000000000001</v>
      </c>
      <c r="U371" s="7"/>
      <c r="V371" s="7"/>
      <c r="W371" s="7"/>
      <c r="X371" s="7"/>
      <c r="Y371" s="7"/>
      <c r="Z371" s="7"/>
    </row>
    <row r="372" spans="1:26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258">
        <f>P370+1</f>
        <v>2010</v>
      </c>
      <c r="Q372" s="258">
        <v>2</v>
      </c>
      <c r="R372" s="259" t="s">
        <v>1551</v>
      </c>
      <c r="S372" s="254" t="str">
        <f t="shared" si="3"/>
        <v>2_2010</v>
      </c>
      <c r="T372" s="260">
        <f t="shared" si="4"/>
        <v>160.80000000000001</v>
      </c>
      <c r="U372" s="7"/>
      <c r="V372" s="7"/>
      <c r="W372" s="7"/>
      <c r="X372" s="7"/>
      <c r="Y372" s="7"/>
      <c r="Z372" s="7"/>
    </row>
    <row r="373" spans="1:26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258">
        <f>P370+1</f>
        <v>2010</v>
      </c>
      <c r="Q373" s="258">
        <v>3</v>
      </c>
      <c r="R373" s="259" t="s">
        <v>1551</v>
      </c>
      <c r="S373" s="254" t="str">
        <f t="shared" si="3"/>
        <v>3_2010</v>
      </c>
      <c r="T373" s="260">
        <f t="shared" si="4"/>
        <v>160.80000000000001</v>
      </c>
      <c r="U373" s="7"/>
      <c r="V373" s="7"/>
      <c r="W373" s="7"/>
      <c r="X373" s="7"/>
      <c r="Y373" s="7"/>
      <c r="Z373" s="7"/>
    </row>
    <row r="374" spans="1:26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258">
        <f>P370+1</f>
        <v>2010</v>
      </c>
      <c r="Q374" s="258">
        <v>4</v>
      </c>
      <c r="R374" s="259" t="s">
        <v>1551</v>
      </c>
      <c r="S374" s="254" t="str">
        <f t="shared" si="3"/>
        <v>4_2010</v>
      </c>
      <c r="T374" s="260">
        <f t="shared" si="4"/>
        <v>160.80000000000001</v>
      </c>
      <c r="U374" s="7"/>
      <c r="V374" s="7"/>
      <c r="W374" s="7"/>
      <c r="X374" s="7"/>
      <c r="Y374" s="7"/>
      <c r="Z374" s="7"/>
    </row>
    <row r="375" spans="1:26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258">
        <f>P370+1</f>
        <v>2010</v>
      </c>
      <c r="Q375" s="258">
        <v>5</v>
      </c>
      <c r="R375" s="259" t="s">
        <v>1551</v>
      </c>
      <c r="S375" s="254" t="str">
        <f t="shared" si="3"/>
        <v>5_2010</v>
      </c>
      <c r="T375" s="260">
        <f t="shared" si="4"/>
        <v>160.80000000000001</v>
      </c>
      <c r="U375" s="7"/>
      <c r="V375" s="7"/>
      <c r="W375" s="7"/>
      <c r="X375" s="7"/>
      <c r="Y375" s="7"/>
      <c r="Z375" s="7"/>
    </row>
    <row r="376" spans="1:26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258">
        <f>P370+1</f>
        <v>2010</v>
      </c>
      <c r="Q376" s="258">
        <v>6</v>
      </c>
      <c r="R376" s="259" t="s">
        <v>1551</v>
      </c>
      <c r="S376" s="254" t="str">
        <f t="shared" si="3"/>
        <v>6_2010</v>
      </c>
      <c r="T376" s="260">
        <f t="shared" si="4"/>
        <v>160.80000000000001</v>
      </c>
      <c r="U376" s="7"/>
      <c r="V376" s="7"/>
      <c r="W376" s="7"/>
      <c r="X376" s="7"/>
      <c r="Y376" s="7"/>
      <c r="Z376" s="7"/>
    </row>
    <row r="377" spans="1:26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258">
        <f>P370+1</f>
        <v>2010</v>
      </c>
      <c r="Q377" s="258">
        <v>7</v>
      </c>
      <c r="R377" s="259" t="s">
        <v>1551</v>
      </c>
      <c r="S377" s="254" t="str">
        <f t="shared" si="3"/>
        <v>7_2010</v>
      </c>
      <c r="T377" s="260">
        <f t="shared" si="4"/>
        <v>160.80000000000001</v>
      </c>
      <c r="U377" s="7"/>
      <c r="V377" s="7"/>
      <c r="W377" s="7"/>
      <c r="X377" s="7"/>
      <c r="Y377" s="7"/>
      <c r="Z377" s="7"/>
    </row>
    <row r="378" spans="1:26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258">
        <f>P370+1</f>
        <v>2010</v>
      </c>
      <c r="Q378" s="258">
        <v>8</v>
      </c>
      <c r="R378" s="259" t="s">
        <v>1551</v>
      </c>
      <c r="S378" s="254" t="str">
        <f t="shared" si="3"/>
        <v>8_2010</v>
      </c>
      <c r="T378" s="260">
        <f t="shared" si="4"/>
        <v>160.80000000000001</v>
      </c>
      <c r="U378" s="7"/>
      <c r="V378" s="7"/>
      <c r="W378" s="7"/>
      <c r="X378" s="7"/>
      <c r="Y378" s="7"/>
      <c r="Z378" s="7"/>
    </row>
    <row r="379" spans="1:26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258">
        <f>P370+1</f>
        <v>2010</v>
      </c>
      <c r="Q379" s="258">
        <v>9</v>
      </c>
      <c r="R379" s="259" t="s">
        <v>1551</v>
      </c>
      <c r="S379" s="254" t="str">
        <f t="shared" si="3"/>
        <v>9_2010</v>
      </c>
      <c r="T379" s="260">
        <f t="shared" si="4"/>
        <v>160.80000000000001</v>
      </c>
      <c r="U379" s="7"/>
      <c r="V379" s="7"/>
      <c r="W379" s="7"/>
      <c r="X379" s="7"/>
      <c r="Y379" s="7"/>
      <c r="Z379" s="7"/>
    </row>
    <row r="380" spans="1:26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258">
        <f>P370+1</f>
        <v>2010</v>
      </c>
      <c r="Q380" s="258">
        <v>10</v>
      </c>
      <c r="R380" s="259" t="s">
        <v>1551</v>
      </c>
      <c r="S380" s="254" t="str">
        <f t="shared" si="3"/>
        <v>10_2010</v>
      </c>
      <c r="T380" s="260">
        <f t="shared" si="4"/>
        <v>160.80000000000001</v>
      </c>
      <c r="U380" s="7"/>
      <c r="V380" s="7"/>
      <c r="W380" s="7"/>
      <c r="X380" s="7"/>
      <c r="Y380" s="7"/>
      <c r="Z380" s="7"/>
    </row>
    <row r="381" spans="1:26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258">
        <f>P370+1</f>
        <v>2010</v>
      </c>
      <c r="Q381" s="258">
        <v>11</v>
      </c>
      <c r="R381" s="259" t="s">
        <v>1551</v>
      </c>
      <c r="S381" s="254" t="str">
        <f t="shared" si="3"/>
        <v>11_2010</v>
      </c>
      <c r="T381" s="260">
        <f t="shared" si="4"/>
        <v>160.80000000000001</v>
      </c>
      <c r="U381" s="7"/>
      <c r="V381" s="7"/>
      <c r="W381" s="7"/>
      <c r="X381" s="7"/>
      <c r="Y381" s="7"/>
      <c r="Z381" s="7"/>
    </row>
    <row r="382" spans="1:26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258">
        <f>P370+1</f>
        <v>2010</v>
      </c>
      <c r="Q382" s="258">
        <v>12</v>
      </c>
      <c r="R382" s="259" t="s">
        <v>1551</v>
      </c>
      <c r="S382" s="254" t="str">
        <f t="shared" si="3"/>
        <v>12_2010</v>
      </c>
      <c r="T382" s="260">
        <f t="shared" si="4"/>
        <v>160.80000000000001</v>
      </c>
      <c r="U382" s="7"/>
      <c r="V382" s="7"/>
      <c r="W382" s="7"/>
      <c r="X382" s="7"/>
      <c r="Y382" s="7"/>
      <c r="Z382" s="7"/>
    </row>
    <row r="383" spans="1:26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258">
        <f>P382+1</f>
        <v>2011</v>
      </c>
      <c r="Q383" s="258">
        <v>1</v>
      </c>
      <c r="R383" s="259" t="s">
        <v>1551</v>
      </c>
      <c r="S383" s="254" t="str">
        <f t="shared" si="3"/>
        <v>1_2011</v>
      </c>
      <c r="T383" s="260">
        <f t="shared" si="4"/>
        <v>169.6</v>
      </c>
      <c r="U383" s="7"/>
      <c r="V383" s="7"/>
      <c r="W383" s="7"/>
      <c r="X383" s="7"/>
      <c r="Y383" s="7"/>
      <c r="Z383" s="7"/>
    </row>
    <row r="384" spans="1:26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258">
        <f>P382+1</f>
        <v>2011</v>
      </c>
      <c r="Q384" s="258">
        <v>2</v>
      </c>
      <c r="R384" s="259" t="s">
        <v>1551</v>
      </c>
      <c r="S384" s="254" t="str">
        <f t="shared" si="3"/>
        <v>2_2011</v>
      </c>
      <c r="T384" s="260">
        <f t="shared" si="4"/>
        <v>169.6</v>
      </c>
      <c r="U384" s="7"/>
      <c r="V384" s="7"/>
      <c r="W384" s="7"/>
      <c r="X384" s="7"/>
      <c r="Y384" s="7"/>
      <c r="Z384" s="7"/>
    </row>
    <row r="385" spans="1:26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258">
        <f>P382+1</f>
        <v>2011</v>
      </c>
      <c r="Q385" s="258">
        <v>3</v>
      </c>
      <c r="R385" s="259" t="s">
        <v>1551</v>
      </c>
      <c r="S385" s="254" t="str">
        <f t="shared" si="3"/>
        <v>3_2011</v>
      </c>
      <c r="T385" s="260">
        <f t="shared" si="4"/>
        <v>169.6</v>
      </c>
      <c r="U385" s="7"/>
      <c r="V385" s="7"/>
      <c r="W385" s="7"/>
      <c r="X385" s="7"/>
      <c r="Y385" s="7"/>
      <c r="Z385" s="7"/>
    </row>
    <row r="386" spans="1:26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258">
        <f>P382+1</f>
        <v>2011</v>
      </c>
      <c r="Q386" s="258">
        <v>4</v>
      </c>
      <c r="R386" s="259" t="s">
        <v>1551</v>
      </c>
      <c r="S386" s="254" t="str">
        <f t="shared" si="3"/>
        <v>4_2011</v>
      </c>
      <c r="T386" s="260">
        <f t="shared" si="4"/>
        <v>169.6</v>
      </c>
      <c r="U386" s="7"/>
      <c r="V386" s="7"/>
      <c r="W386" s="7"/>
      <c r="X386" s="7"/>
      <c r="Y386" s="7"/>
      <c r="Z386" s="7"/>
    </row>
    <row r="387" spans="1:26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258">
        <f>P382+1</f>
        <v>2011</v>
      </c>
      <c r="Q387" s="258">
        <v>5</v>
      </c>
      <c r="R387" s="259" t="s">
        <v>1551</v>
      </c>
      <c r="S387" s="254" t="str">
        <f t="shared" si="3"/>
        <v>5_2011</v>
      </c>
      <c r="T387" s="260">
        <f t="shared" si="4"/>
        <v>169.6</v>
      </c>
      <c r="U387" s="7"/>
      <c r="V387" s="7"/>
      <c r="W387" s="7"/>
      <c r="X387" s="7"/>
      <c r="Y387" s="7"/>
      <c r="Z387" s="7"/>
    </row>
    <row r="388" spans="1:26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258">
        <f>P382+1</f>
        <v>2011</v>
      </c>
      <c r="Q388" s="258">
        <v>6</v>
      </c>
      <c r="R388" s="259" t="s">
        <v>1551</v>
      </c>
      <c r="S388" s="254" t="str">
        <f t="shared" si="3"/>
        <v>6_2011</v>
      </c>
      <c r="T388" s="260">
        <f t="shared" si="4"/>
        <v>169.6</v>
      </c>
      <c r="U388" s="7"/>
      <c r="V388" s="7"/>
      <c r="W388" s="7"/>
      <c r="X388" s="7"/>
      <c r="Y388" s="7"/>
      <c r="Z388" s="7"/>
    </row>
    <row r="389" spans="1:26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258">
        <f>P382+1</f>
        <v>2011</v>
      </c>
      <c r="Q389" s="258">
        <v>7</v>
      </c>
      <c r="R389" s="259" t="s">
        <v>1551</v>
      </c>
      <c r="S389" s="254" t="str">
        <f t="shared" si="3"/>
        <v>7_2011</v>
      </c>
      <c r="T389" s="260">
        <f t="shared" si="4"/>
        <v>169.6</v>
      </c>
      <c r="U389" s="7"/>
      <c r="V389" s="7"/>
      <c r="W389" s="7"/>
      <c r="X389" s="7"/>
      <c r="Y389" s="7"/>
      <c r="Z389" s="7"/>
    </row>
    <row r="390" spans="1:26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258">
        <f>P382+1</f>
        <v>2011</v>
      </c>
      <c r="Q390" s="258">
        <v>8</v>
      </c>
      <c r="R390" s="259" t="s">
        <v>1551</v>
      </c>
      <c r="S390" s="254" t="str">
        <f t="shared" si="3"/>
        <v>8_2011</v>
      </c>
      <c r="T390" s="260">
        <f t="shared" si="4"/>
        <v>169.6</v>
      </c>
      <c r="U390" s="7"/>
      <c r="V390" s="7"/>
      <c r="W390" s="7"/>
      <c r="X390" s="7"/>
      <c r="Y390" s="7"/>
      <c r="Z390" s="7"/>
    </row>
    <row r="391" spans="1:26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258">
        <f>P382+1</f>
        <v>2011</v>
      </c>
      <c r="Q391" s="258">
        <v>9</v>
      </c>
      <c r="R391" s="259" t="s">
        <v>1551</v>
      </c>
      <c r="S391" s="254" t="str">
        <f t="shared" si="3"/>
        <v>9_2011</v>
      </c>
      <c r="T391" s="260">
        <f t="shared" si="4"/>
        <v>169.6</v>
      </c>
      <c r="U391" s="7"/>
      <c r="V391" s="7"/>
      <c r="W391" s="7"/>
      <c r="X391" s="7"/>
      <c r="Y391" s="7"/>
      <c r="Z391" s="7"/>
    </row>
    <row r="392" spans="1:26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258">
        <f>P382+1</f>
        <v>2011</v>
      </c>
      <c r="Q392" s="258">
        <v>10</v>
      </c>
      <c r="R392" s="259" t="s">
        <v>1551</v>
      </c>
      <c r="S392" s="254" t="str">
        <f t="shared" si="3"/>
        <v>10_2011</v>
      </c>
      <c r="T392" s="260">
        <f t="shared" si="4"/>
        <v>169.6</v>
      </c>
      <c r="U392" s="7"/>
      <c r="V392" s="7"/>
      <c r="W392" s="7"/>
      <c r="X392" s="7"/>
      <c r="Y392" s="7"/>
      <c r="Z392" s="7"/>
    </row>
    <row r="393" spans="1:26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258">
        <f>P382+1</f>
        <v>2011</v>
      </c>
      <c r="Q393" s="258">
        <v>11</v>
      </c>
      <c r="R393" s="259" t="s">
        <v>1551</v>
      </c>
      <c r="S393" s="254" t="str">
        <f t="shared" si="3"/>
        <v>11_2011</v>
      </c>
      <c r="T393" s="260">
        <f t="shared" si="4"/>
        <v>169.6</v>
      </c>
      <c r="U393" s="7"/>
      <c r="V393" s="7"/>
      <c r="W393" s="7"/>
      <c r="X393" s="7"/>
      <c r="Y393" s="7"/>
      <c r="Z393" s="7"/>
    </row>
    <row r="394" spans="1:26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258">
        <f>P382+1</f>
        <v>2011</v>
      </c>
      <c r="Q394" s="258">
        <v>12</v>
      </c>
      <c r="R394" s="259" t="s">
        <v>1551</v>
      </c>
      <c r="S394" s="254" t="str">
        <f t="shared" si="3"/>
        <v>12_2011</v>
      </c>
      <c r="T394" s="260">
        <f t="shared" si="4"/>
        <v>169.6</v>
      </c>
      <c r="U394" s="7"/>
      <c r="V394" s="7"/>
      <c r="W394" s="7"/>
      <c r="X394" s="7"/>
      <c r="Y394" s="7"/>
      <c r="Z394" s="7"/>
    </row>
    <row r="395" spans="1:26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258">
        <f>P394+1</f>
        <v>2012</v>
      </c>
      <c r="Q395" s="258">
        <v>1</v>
      </c>
      <c r="R395" s="259" t="s">
        <v>1551</v>
      </c>
      <c r="S395" s="254" t="str">
        <f t="shared" si="3"/>
        <v>1_2012</v>
      </c>
      <c r="T395" s="260">
        <f t="shared" si="4"/>
        <v>175.1</v>
      </c>
      <c r="U395" s="7"/>
      <c r="V395" s="7"/>
      <c r="W395" s="7"/>
      <c r="X395" s="7"/>
      <c r="Y395" s="7"/>
      <c r="Z395" s="7"/>
    </row>
    <row r="396" spans="1:26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258">
        <f>P394+1</f>
        <v>2012</v>
      </c>
      <c r="Q396" s="258">
        <v>2</v>
      </c>
      <c r="R396" s="259" t="s">
        <v>1551</v>
      </c>
      <c r="S396" s="254" t="str">
        <f t="shared" si="3"/>
        <v>2_2012</v>
      </c>
      <c r="T396" s="260">
        <f t="shared" si="4"/>
        <v>175.1</v>
      </c>
      <c r="U396" s="7"/>
      <c r="V396" s="7"/>
      <c r="W396" s="7"/>
      <c r="X396" s="7"/>
      <c r="Y396" s="7"/>
      <c r="Z396" s="7"/>
    </row>
    <row r="397" spans="1:26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258">
        <f>P394+1</f>
        <v>2012</v>
      </c>
      <c r="Q397" s="258">
        <v>3</v>
      </c>
      <c r="R397" s="259" t="s">
        <v>1551</v>
      </c>
      <c r="S397" s="254" t="str">
        <f t="shared" si="3"/>
        <v>3_2012</v>
      </c>
      <c r="T397" s="260">
        <f t="shared" si="4"/>
        <v>175.1</v>
      </c>
      <c r="U397" s="7"/>
      <c r="V397" s="7"/>
      <c r="W397" s="7"/>
      <c r="X397" s="7"/>
      <c r="Y397" s="7"/>
      <c r="Z397" s="7"/>
    </row>
    <row r="398" spans="1:26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258">
        <f>P394+1</f>
        <v>2012</v>
      </c>
      <c r="Q398" s="258">
        <v>4</v>
      </c>
      <c r="R398" s="259" t="s">
        <v>1551</v>
      </c>
      <c r="S398" s="254" t="str">
        <f t="shared" si="3"/>
        <v>4_2012</v>
      </c>
      <c r="T398" s="260">
        <f t="shared" si="4"/>
        <v>175.1</v>
      </c>
      <c r="U398" s="7"/>
      <c r="V398" s="7"/>
      <c r="W398" s="7"/>
      <c r="X398" s="7"/>
      <c r="Y398" s="7"/>
      <c r="Z398" s="7"/>
    </row>
    <row r="399" spans="1:26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258">
        <f>P394+1</f>
        <v>2012</v>
      </c>
      <c r="Q399" s="258">
        <v>5</v>
      </c>
      <c r="R399" s="259" t="s">
        <v>1551</v>
      </c>
      <c r="S399" s="254" t="str">
        <f t="shared" si="3"/>
        <v>5_2012</v>
      </c>
      <c r="T399" s="260">
        <f t="shared" si="4"/>
        <v>175.1</v>
      </c>
      <c r="U399" s="7"/>
      <c r="V399" s="7"/>
      <c r="W399" s="7"/>
      <c r="X399" s="7"/>
      <c r="Y399" s="7"/>
      <c r="Z399" s="7"/>
    </row>
    <row r="400" spans="1:26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258">
        <f>P394+1</f>
        <v>2012</v>
      </c>
      <c r="Q400" s="258">
        <v>6</v>
      </c>
      <c r="R400" s="259" t="s">
        <v>1551</v>
      </c>
      <c r="S400" s="254" t="str">
        <f t="shared" si="3"/>
        <v>6_2012</v>
      </c>
      <c r="T400" s="260">
        <f t="shared" si="4"/>
        <v>175.1</v>
      </c>
      <c r="U400" s="7"/>
      <c r="V400" s="7"/>
      <c r="W400" s="7"/>
      <c r="X400" s="7"/>
      <c r="Y400" s="7"/>
      <c r="Z400" s="7"/>
    </row>
    <row r="401" spans="1:26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258">
        <f>P394+1</f>
        <v>2012</v>
      </c>
      <c r="Q401" s="258">
        <v>7</v>
      </c>
      <c r="R401" s="259" t="s">
        <v>1551</v>
      </c>
      <c r="S401" s="254" t="str">
        <f t="shared" si="3"/>
        <v>7_2012</v>
      </c>
      <c r="T401" s="260">
        <f t="shared" si="4"/>
        <v>175.1</v>
      </c>
      <c r="U401" s="7"/>
      <c r="V401" s="7"/>
      <c r="W401" s="7"/>
      <c r="X401" s="7"/>
      <c r="Y401" s="7"/>
      <c r="Z401" s="7"/>
    </row>
    <row r="402" spans="1:26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258">
        <f>P394+1</f>
        <v>2012</v>
      </c>
      <c r="Q402" s="258">
        <v>8</v>
      </c>
      <c r="R402" s="259" t="s">
        <v>1551</v>
      </c>
      <c r="S402" s="254" t="str">
        <f t="shared" si="3"/>
        <v>8_2012</v>
      </c>
      <c r="T402" s="260">
        <f t="shared" si="4"/>
        <v>175.1</v>
      </c>
      <c r="U402" s="7"/>
      <c r="V402" s="7"/>
      <c r="W402" s="7"/>
      <c r="X402" s="7"/>
      <c r="Y402" s="7"/>
      <c r="Z402" s="7"/>
    </row>
    <row r="403" spans="1:26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258">
        <f>P394+1</f>
        <v>2012</v>
      </c>
      <c r="Q403" s="258">
        <v>9</v>
      </c>
      <c r="R403" s="259" t="s">
        <v>1551</v>
      </c>
      <c r="S403" s="254" t="str">
        <f t="shared" si="3"/>
        <v>9_2012</v>
      </c>
      <c r="T403" s="260">
        <f t="shared" si="4"/>
        <v>175.1</v>
      </c>
      <c r="U403" s="7"/>
      <c r="V403" s="7"/>
      <c r="W403" s="7"/>
      <c r="X403" s="7"/>
      <c r="Y403" s="7"/>
      <c r="Z403" s="7"/>
    </row>
    <row r="404" spans="1:26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258">
        <f>P394+1</f>
        <v>2012</v>
      </c>
      <c r="Q404" s="258">
        <v>10</v>
      </c>
      <c r="R404" s="259" t="s">
        <v>1551</v>
      </c>
      <c r="S404" s="254" t="str">
        <f t="shared" si="3"/>
        <v>10_2012</v>
      </c>
      <c r="T404" s="260">
        <f t="shared" si="4"/>
        <v>175.1</v>
      </c>
      <c r="U404" s="7"/>
      <c r="V404" s="7"/>
      <c r="W404" s="7"/>
      <c r="X404" s="7"/>
      <c r="Y404" s="7"/>
      <c r="Z404" s="7"/>
    </row>
    <row r="405" spans="1:26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258">
        <f>P394+1</f>
        <v>2012</v>
      </c>
      <c r="Q405" s="258">
        <v>11</v>
      </c>
      <c r="R405" s="259" t="s">
        <v>1551</v>
      </c>
      <c r="S405" s="254" t="str">
        <f t="shared" si="3"/>
        <v>11_2012</v>
      </c>
      <c r="T405" s="260">
        <f t="shared" si="4"/>
        <v>175.1</v>
      </c>
      <c r="U405" s="7"/>
      <c r="V405" s="7"/>
      <c r="W405" s="7"/>
      <c r="X405" s="7"/>
      <c r="Y405" s="7"/>
      <c r="Z405" s="7"/>
    </row>
    <row r="406" spans="1:26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258">
        <f>P394+1</f>
        <v>2012</v>
      </c>
      <c r="Q406" s="258">
        <v>12</v>
      </c>
      <c r="R406" s="259" t="s">
        <v>1551</v>
      </c>
      <c r="S406" s="254" t="str">
        <f t="shared" si="3"/>
        <v>12_2012</v>
      </c>
      <c r="T406" s="260">
        <f t="shared" si="4"/>
        <v>175.1</v>
      </c>
      <c r="U406" s="7"/>
      <c r="V406" s="7"/>
      <c r="W406" s="7"/>
      <c r="X406" s="7"/>
      <c r="Y406" s="7"/>
      <c r="Z406" s="7"/>
    </row>
    <row r="407" spans="1:26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258">
        <f>P406+1</f>
        <v>2013</v>
      </c>
      <c r="Q407" s="258">
        <v>1</v>
      </c>
      <c r="R407" s="259" t="s">
        <v>1527</v>
      </c>
      <c r="S407" s="254" t="str">
        <f t="shared" si="3"/>
        <v>1_2013</v>
      </c>
      <c r="T407" s="260">
        <f t="shared" si="4"/>
        <v>166.2</v>
      </c>
      <c r="U407" s="7"/>
      <c r="V407" s="7"/>
      <c r="W407" s="7"/>
      <c r="X407" s="7"/>
      <c r="Y407" s="7"/>
      <c r="Z407" s="7"/>
    </row>
    <row r="408" spans="1:26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258">
        <f>P406+1</f>
        <v>2013</v>
      </c>
      <c r="Q408" s="258">
        <v>2</v>
      </c>
      <c r="R408" s="259" t="s">
        <v>1528</v>
      </c>
      <c r="S408" s="254" t="str">
        <f t="shared" si="3"/>
        <v>2_2013</v>
      </c>
      <c r="T408" s="260">
        <f t="shared" si="4"/>
        <v>166.3</v>
      </c>
      <c r="U408" s="7"/>
      <c r="V408" s="7"/>
      <c r="W408" s="7"/>
      <c r="X408" s="7"/>
      <c r="Y408" s="7"/>
      <c r="Z408" s="7"/>
    </row>
    <row r="409" spans="1:26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258">
        <f>P406+1</f>
        <v>2013</v>
      </c>
      <c r="Q409" s="258">
        <v>3</v>
      </c>
      <c r="R409" s="259" t="s">
        <v>1529</v>
      </c>
      <c r="S409" s="254" t="str">
        <f t="shared" si="3"/>
        <v>3_2013</v>
      </c>
      <c r="T409" s="260">
        <f t="shared" si="4"/>
        <v>166</v>
      </c>
      <c r="U409" s="7"/>
      <c r="V409" s="7"/>
      <c r="W409" s="7"/>
      <c r="X409" s="7"/>
      <c r="Y409" s="7"/>
      <c r="Z409" s="7"/>
    </row>
    <row r="410" spans="1:26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258">
        <f>P406+1</f>
        <v>2013</v>
      </c>
      <c r="Q410" s="258">
        <v>4</v>
      </c>
      <c r="R410" s="259" t="s">
        <v>1530</v>
      </c>
      <c r="S410" s="254" t="str">
        <f t="shared" si="3"/>
        <v>4_2013</v>
      </c>
      <c r="T410" s="260">
        <f t="shared" si="4"/>
        <v>165.8</v>
      </c>
      <c r="U410" s="7"/>
      <c r="V410" s="7"/>
      <c r="W410" s="7"/>
      <c r="X410" s="7"/>
      <c r="Y410" s="7"/>
      <c r="Z410" s="7"/>
    </row>
    <row r="411" spans="1:26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258">
        <f>P406+1</f>
        <v>2013</v>
      </c>
      <c r="Q411" s="258">
        <v>5</v>
      </c>
      <c r="R411" s="259" t="s">
        <v>1531</v>
      </c>
      <c r="S411" s="254" t="str">
        <f t="shared" si="3"/>
        <v>5_2013</v>
      </c>
      <c r="T411" s="260">
        <f t="shared" si="4"/>
        <v>169.7</v>
      </c>
      <c r="U411" s="7"/>
      <c r="V411" s="7"/>
      <c r="W411" s="7"/>
      <c r="X411" s="7"/>
      <c r="Y411" s="7"/>
      <c r="Z411" s="7"/>
    </row>
    <row r="412" spans="1:26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258">
        <f>P406+1</f>
        <v>2013</v>
      </c>
      <c r="Q412" s="258">
        <v>6</v>
      </c>
      <c r="R412" s="259" t="s">
        <v>1532</v>
      </c>
      <c r="S412" s="254" t="str">
        <f t="shared" si="3"/>
        <v>6_2013</v>
      </c>
      <c r="T412" s="260">
        <f t="shared" si="4"/>
        <v>176.6</v>
      </c>
      <c r="U412" s="7"/>
      <c r="V412" s="7"/>
      <c r="W412" s="7"/>
      <c r="X412" s="7"/>
      <c r="Y412" s="7"/>
      <c r="Z412" s="7"/>
    </row>
    <row r="413" spans="1:26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258">
        <f>P406+1</f>
        <v>2013</v>
      </c>
      <c r="Q413" s="258">
        <v>7</v>
      </c>
      <c r="R413" s="259" t="s">
        <v>1533</v>
      </c>
      <c r="S413" s="254" t="str">
        <f t="shared" si="3"/>
        <v>7_2013</v>
      </c>
      <c r="T413" s="260">
        <f t="shared" si="4"/>
        <v>176</v>
      </c>
      <c r="U413" s="7"/>
      <c r="V413" s="7"/>
      <c r="W413" s="7"/>
      <c r="X413" s="7"/>
      <c r="Y413" s="7"/>
      <c r="Z413" s="7"/>
    </row>
    <row r="414" spans="1:26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258">
        <f>P406+1</f>
        <v>2013</v>
      </c>
      <c r="Q414" s="258">
        <v>8</v>
      </c>
      <c r="R414" s="259" t="s">
        <v>1534</v>
      </c>
      <c r="S414" s="254" t="str">
        <f t="shared" si="3"/>
        <v>8_2013</v>
      </c>
      <c r="T414" s="260">
        <f t="shared" si="4"/>
        <v>175.2</v>
      </c>
      <c r="U414" s="7"/>
      <c r="V414" s="7"/>
      <c r="W414" s="7"/>
      <c r="X414" s="7"/>
      <c r="Y414" s="7"/>
      <c r="Z414" s="7"/>
    </row>
    <row r="415" spans="1:26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258">
        <f>P406+1</f>
        <v>2013</v>
      </c>
      <c r="Q415" s="258">
        <v>9</v>
      </c>
      <c r="R415" s="259" t="s">
        <v>1535</v>
      </c>
      <c r="S415" s="254" t="str">
        <f t="shared" si="3"/>
        <v>9_2013</v>
      </c>
      <c r="T415" s="260">
        <f t="shared" si="4"/>
        <v>175.2</v>
      </c>
      <c r="U415" s="7"/>
      <c r="V415" s="7"/>
      <c r="W415" s="7"/>
      <c r="X415" s="7"/>
      <c r="Y415" s="7"/>
      <c r="Z415" s="7"/>
    </row>
    <row r="416" spans="1:26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258">
        <f>P406+1</f>
        <v>2013</v>
      </c>
      <c r="Q416" s="258">
        <v>10</v>
      </c>
      <c r="R416" s="259" t="s">
        <v>1536</v>
      </c>
      <c r="S416" s="254" t="str">
        <f t="shared" si="3"/>
        <v>10_2013</v>
      </c>
      <c r="T416" s="260">
        <f t="shared" si="4"/>
        <v>167.8</v>
      </c>
      <c r="U416" s="7"/>
      <c r="V416" s="7"/>
      <c r="W416" s="7"/>
      <c r="X416" s="7"/>
      <c r="Y416" s="7"/>
      <c r="Z416" s="7"/>
    </row>
    <row r="417" spans="1:26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258">
        <f>P406+1</f>
        <v>2013</v>
      </c>
      <c r="Q417" s="258">
        <v>11</v>
      </c>
      <c r="R417" s="259" t="s">
        <v>1537</v>
      </c>
      <c r="S417" s="254" t="str">
        <f t="shared" si="3"/>
        <v>11_2013</v>
      </c>
      <c r="T417" s="260">
        <f t="shared" si="4"/>
        <v>166</v>
      </c>
      <c r="U417" s="7"/>
      <c r="V417" s="7"/>
      <c r="W417" s="7"/>
      <c r="X417" s="7"/>
      <c r="Y417" s="7"/>
      <c r="Z417" s="7"/>
    </row>
    <row r="418" spans="1:26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258">
        <f>P406+1</f>
        <v>2013</v>
      </c>
      <c r="Q418" s="258">
        <v>12</v>
      </c>
      <c r="R418" s="259" t="s">
        <v>1538</v>
      </c>
      <c r="S418" s="254" t="str">
        <f t="shared" si="3"/>
        <v>12_2013</v>
      </c>
      <c r="T418" s="260">
        <f t="shared" si="4"/>
        <v>167.2</v>
      </c>
      <c r="U418" s="7"/>
      <c r="V418" s="7"/>
      <c r="W418" s="7"/>
      <c r="X418" s="7"/>
      <c r="Y418" s="7"/>
      <c r="Z418" s="7"/>
    </row>
    <row r="419" spans="1:26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258">
        <f>P418+1</f>
        <v>2014</v>
      </c>
      <c r="Q419" s="258">
        <v>1</v>
      </c>
      <c r="R419" s="259" t="s">
        <v>1527</v>
      </c>
      <c r="S419" s="254" t="str">
        <f t="shared" si="3"/>
        <v>1_2014</v>
      </c>
      <c r="T419" s="260">
        <f t="shared" si="4"/>
        <v>179.5</v>
      </c>
      <c r="U419" s="7"/>
      <c r="V419" s="7"/>
      <c r="W419" s="7"/>
      <c r="X419" s="7"/>
      <c r="Y419" s="7"/>
      <c r="Z419" s="7"/>
    </row>
    <row r="420" spans="1:26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258">
        <f>P418+1</f>
        <v>2014</v>
      </c>
      <c r="Q420" s="258">
        <v>2</v>
      </c>
      <c r="R420" s="259" t="s">
        <v>1528</v>
      </c>
      <c r="S420" s="254" t="str">
        <f t="shared" si="3"/>
        <v>2_2014</v>
      </c>
      <c r="T420" s="260">
        <f t="shared" si="4"/>
        <v>178.9</v>
      </c>
      <c r="U420" s="7"/>
      <c r="V420" s="7"/>
      <c r="W420" s="7"/>
      <c r="X420" s="7"/>
      <c r="Y420" s="7"/>
      <c r="Z420" s="7"/>
    </row>
    <row r="421" spans="1:26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258">
        <f>P418+1</f>
        <v>2014</v>
      </c>
      <c r="Q421" s="258">
        <v>3</v>
      </c>
      <c r="R421" s="259" t="s">
        <v>1529</v>
      </c>
      <c r="S421" s="254" t="str">
        <f t="shared" si="3"/>
        <v>3_2014</v>
      </c>
      <c r="T421" s="260">
        <f t="shared" si="4"/>
        <v>179.3</v>
      </c>
      <c r="U421" s="7"/>
      <c r="V421" s="7"/>
      <c r="W421" s="7"/>
      <c r="X421" s="7"/>
      <c r="Y421" s="7"/>
      <c r="Z421" s="7"/>
    </row>
    <row r="422" spans="1:26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258">
        <f>P418+1</f>
        <v>2014</v>
      </c>
      <c r="Q422" s="258">
        <v>4</v>
      </c>
      <c r="R422" s="259" t="s">
        <v>1530</v>
      </c>
      <c r="S422" s="254" t="str">
        <f t="shared" si="3"/>
        <v>4_2014</v>
      </c>
      <c r="T422" s="260">
        <f t="shared" si="4"/>
        <v>176</v>
      </c>
      <c r="U422" s="7"/>
      <c r="V422" s="7"/>
      <c r="W422" s="7"/>
      <c r="X422" s="7"/>
      <c r="Y422" s="7"/>
      <c r="Z422" s="7"/>
    </row>
    <row r="423" spans="1:26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258">
        <f>P418+1</f>
        <v>2014</v>
      </c>
      <c r="Q423" s="258">
        <v>5</v>
      </c>
      <c r="R423" s="259" t="s">
        <v>1531</v>
      </c>
      <c r="S423" s="254" t="str">
        <f t="shared" si="3"/>
        <v>5_2014</v>
      </c>
      <c r="T423" s="260">
        <f t="shared" si="4"/>
        <v>179.6</v>
      </c>
      <c r="U423" s="7"/>
      <c r="V423" s="7"/>
      <c r="W423" s="7"/>
      <c r="X423" s="7"/>
      <c r="Y423" s="7"/>
      <c r="Z423" s="7"/>
    </row>
    <row r="424" spans="1:26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258">
        <f>P418+1</f>
        <v>2014</v>
      </c>
      <c r="Q424" s="258">
        <v>6</v>
      </c>
      <c r="R424" s="259" t="s">
        <v>1532</v>
      </c>
      <c r="S424" s="254" t="str">
        <f t="shared" si="3"/>
        <v>6_2014</v>
      </c>
      <c r="T424" s="260">
        <f t="shared" si="4"/>
        <v>186.8</v>
      </c>
      <c r="U424" s="7"/>
      <c r="V424" s="7"/>
      <c r="W424" s="7"/>
      <c r="X424" s="7"/>
      <c r="Y424" s="7"/>
      <c r="Z424" s="7"/>
    </row>
    <row r="425" spans="1:26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258">
        <f>P418+1</f>
        <v>2014</v>
      </c>
      <c r="Q425" s="258">
        <v>7</v>
      </c>
      <c r="R425" s="259" t="s">
        <v>1533</v>
      </c>
      <c r="S425" s="254" t="str">
        <f t="shared" si="3"/>
        <v>7_2014</v>
      </c>
      <c r="T425" s="260">
        <f t="shared" si="4"/>
        <v>189.8</v>
      </c>
      <c r="U425" s="7"/>
      <c r="V425" s="7"/>
      <c r="W425" s="7"/>
      <c r="X425" s="7"/>
      <c r="Y425" s="7"/>
      <c r="Z425" s="7"/>
    </row>
    <row r="426" spans="1:26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258">
        <f>P418+1</f>
        <v>2014</v>
      </c>
      <c r="Q426" s="258">
        <v>8</v>
      </c>
      <c r="R426" s="259" t="s">
        <v>1534</v>
      </c>
      <c r="S426" s="254" t="str">
        <f t="shared" si="3"/>
        <v>8_2014</v>
      </c>
      <c r="T426" s="260">
        <f t="shared" si="4"/>
        <v>190</v>
      </c>
      <c r="U426" s="7"/>
      <c r="V426" s="7"/>
      <c r="W426" s="7"/>
      <c r="X426" s="7"/>
      <c r="Y426" s="7"/>
      <c r="Z426" s="7"/>
    </row>
    <row r="427" spans="1:26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258">
        <f>P418+1</f>
        <v>2014</v>
      </c>
      <c r="Q427" s="258">
        <v>9</v>
      </c>
      <c r="R427" s="259" t="s">
        <v>1535</v>
      </c>
      <c r="S427" s="254" t="str">
        <f t="shared" si="3"/>
        <v>9_2014</v>
      </c>
      <c r="T427" s="260">
        <f t="shared" si="4"/>
        <v>187.8</v>
      </c>
      <c r="U427" s="7"/>
      <c r="V427" s="7"/>
      <c r="W427" s="7"/>
      <c r="X427" s="7"/>
      <c r="Y427" s="7"/>
      <c r="Z427" s="7"/>
    </row>
    <row r="428" spans="1:26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258">
        <f>P418+1</f>
        <v>2014</v>
      </c>
      <c r="Q428" s="258">
        <v>10</v>
      </c>
      <c r="R428" s="259" t="s">
        <v>1536</v>
      </c>
      <c r="S428" s="254" t="str">
        <f t="shared" si="3"/>
        <v>10_2014</v>
      </c>
      <c r="T428" s="260">
        <f t="shared" si="4"/>
        <v>181.3</v>
      </c>
      <c r="U428" s="7"/>
      <c r="V428" s="7"/>
      <c r="W428" s="7"/>
      <c r="X428" s="7"/>
      <c r="Y428" s="7"/>
      <c r="Z428" s="7"/>
    </row>
    <row r="429" spans="1:26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258">
        <f>P418+1</f>
        <v>2014</v>
      </c>
      <c r="Q429" s="258">
        <v>11</v>
      </c>
      <c r="R429" s="259" t="s">
        <v>1537</v>
      </c>
      <c r="S429" s="254" t="str">
        <f t="shared" si="3"/>
        <v>11_2014</v>
      </c>
      <c r="T429" s="260">
        <f t="shared" si="4"/>
        <v>176</v>
      </c>
      <c r="U429" s="7"/>
      <c r="V429" s="7"/>
      <c r="W429" s="7"/>
      <c r="X429" s="7"/>
      <c r="Y429" s="7"/>
      <c r="Z429" s="7"/>
    </row>
    <row r="430" spans="1:26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258">
        <f>P418+1</f>
        <v>2014</v>
      </c>
      <c r="Q430" s="258">
        <v>12</v>
      </c>
      <c r="R430" s="259" t="s">
        <v>1538</v>
      </c>
      <c r="S430" s="254" t="str">
        <f t="shared" si="3"/>
        <v>12_2014</v>
      </c>
      <c r="T430" s="260">
        <f t="shared" si="4"/>
        <v>178.6</v>
      </c>
      <c r="U430" s="7"/>
      <c r="V430" s="7"/>
      <c r="W430" s="7"/>
      <c r="X430" s="7"/>
      <c r="Y430" s="7"/>
      <c r="Z430" s="7"/>
    </row>
    <row r="431" spans="1:26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258">
        <v>2015</v>
      </c>
      <c r="Q431" s="258">
        <v>1</v>
      </c>
      <c r="R431" s="259" t="s">
        <v>1527</v>
      </c>
      <c r="S431" s="254" t="str">
        <f t="shared" si="3"/>
        <v>1_2015</v>
      </c>
      <c r="T431" s="260">
        <f t="shared" si="4"/>
        <v>185.9</v>
      </c>
      <c r="U431" s="7"/>
      <c r="V431" s="7"/>
      <c r="W431" s="7"/>
      <c r="X431" s="7"/>
      <c r="Y431" s="7"/>
      <c r="Z431" s="7"/>
    </row>
    <row r="432" spans="1:26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258">
        <v>2015</v>
      </c>
      <c r="Q432" s="258">
        <v>2</v>
      </c>
      <c r="R432" s="259" t="s">
        <v>1528</v>
      </c>
      <c r="S432" s="254" t="str">
        <f t="shared" si="3"/>
        <v>2_2015</v>
      </c>
      <c r="T432" s="260">
        <f t="shared" si="4"/>
        <v>184.7</v>
      </c>
      <c r="U432" s="7"/>
      <c r="V432" s="7"/>
      <c r="W432" s="7"/>
      <c r="X432" s="7"/>
      <c r="Y432" s="7"/>
      <c r="Z432" s="7"/>
    </row>
    <row r="433" spans="1:26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258">
        <v>2015</v>
      </c>
      <c r="Q433" s="258">
        <v>3</v>
      </c>
      <c r="R433" s="259" t="s">
        <v>1529</v>
      </c>
      <c r="S433" s="254" t="str">
        <f t="shared" si="3"/>
        <v>3_2015</v>
      </c>
      <c r="T433" s="260">
        <f t="shared" si="4"/>
        <v>182.4</v>
      </c>
      <c r="U433" s="7"/>
      <c r="V433" s="7"/>
      <c r="W433" s="7"/>
      <c r="X433" s="7"/>
      <c r="Y433" s="7"/>
      <c r="Z433" s="7"/>
    </row>
    <row r="434" spans="1:26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258">
        <v>2015</v>
      </c>
      <c r="Q434" s="258">
        <v>4</v>
      </c>
      <c r="R434" s="259" t="s">
        <v>1530</v>
      </c>
      <c r="S434" s="254" t="str">
        <f t="shared" si="3"/>
        <v>4_2015</v>
      </c>
      <c r="T434" s="260">
        <f t="shared" si="4"/>
        <v>178.4</v>
      </c>
      <c r="U434" s="7"/>
      <c r="V434" s="7"/>
      <c r="W434" s="7"/>
      <c r="X434" s="7"/>
      <c r="Y434" s="7"/>
      <c r="Z434" s="7"/>
    </row>
    <row r="435" spans="1:26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258">
        <v>2015</v>
      </c>
      <c r="Q435" s="258">
        <v>5</v>
      </c>
      <c r="R435" s="259" t="s">
        <v>1531</v>
      </c>
      <c r="S435" s="254" t="str">
        <f t="shared" si="3"/>
        <v>5_2015</v>
      </c>
      <c r="T435" s="260">
        <f t="shared" si="4"/>
        <v>181.5</v>
      </c>
      <c r="U435" s="7"/>
      <c r="V435" s="7"/>
      <c r="W435" s="7"/>
      <c r="X435" s="7"/>
      <c r="Y435" s="7"/>
      <c r="Z435" s="7"/>
    </row>
    <row r="436" spans="1:26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258">
        <v>2015</v>
      </c>
      <c r="Q436" s="258">
        <v>6</v>
      </c>
      <c r="R436" s="259" t="s">
        <v>1532</v>
      </c>
      <c r="S436" s="254" t="str">
        <f t="shared" si="3"/>
        <v>6_2015</v>
      </c>
      <c r="T436" s="260">
        <f t="shared" si="4"/>
        <v>197.8</v>
      </c>
      <c r="U436" s="7"/>
      <c r="V436" s="7"/>
      <c r="W436" s="7"/>
      <c r="X436" s="7"/>
      <c r="Y436" s="7"/>
      <c r="Z436" s="7"/>
    </row>
    <row r="437" spans="1:26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258">
        <v>2015</v>
      </c>
      <c r="Q437" s="258">
        <v>7</v>
      </c>
      <c r="R437" s="259" t="s">
        <v>1533</v>
      </c>
      <c r="S437" s="254" t="str">
        <f t="shared" si="3"/>
        <v>7_2015</v>
      </c>
      <c r="T437" s="260">
        <f t="shared" si="4"/>
        <v>197.7</v>
      </c>
      <c r="U437" s="7"/>
      <c r="V437" s="7"/>
      <c r="W437" s="7"/>
      <c r="X437" s="7"/>
      <c r="Y437" s="7"/>
      <c r="Z437" s="7"/>
    </row>
    <row r="438" spans="1:26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258">
        <v>2015</v>
      </c>
      <c r="Q438" s="258">
        <v>8</v>
      </c>
      <c r="R438" s="259" t="s">
        <v>1534</v>
      </c>
      <c r="S438" s="254" t="str">
        <f t="shared" si="3"/>
        <v>8_2015</v>
      </c>
      <c r="T438" s="260">
        <f t="shared" si="4"/>
        <v>197.3</v>
      </c>
      <c r="U438" s="7"/>
      <c r="V438" s="7"/>
      <c r="W438" s="7"/>
      <c r="X438" s="7"/>
      <c r="Y438" s="7"/>
      <c r="Z438" s="7"/>
    </row>
    <row r="439" spans="1:26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258">
        <v>2015</v>
      </c>
      <c r="Q439" s="258">
        <v>9</v>
      </c>
      <c r="R439" s="259" t="s">
        <v>1535</v>
      </c>
      <c r="S439" s="254" t="str">
        <f t="shared" si="3"/>
        <v>9_2015</v>
      </c>
      <c r="T439" s="260">
        <f t="shared" si="4"/>
        <v>195.1</v>
      </c>
      <c r="U439" s="7"/>
      <c r="V439" s="7"/>
      <c r="W439" s="7"/>
      <c r="X439" s="7"/>
      <c r="Y439" s="7"/>
      <c r="Z439" s="7"/>
    </row>
    <row r="440" spans="1:26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258">
        <v>2015</v>
      </c>
      <c r="Q440" s="258">
        <v>10</v>
      </c>
      <c r="R440" s="259" t="s">
        <v>1536</v>
      </c>
      <c r="S440" s="254" t="str">
        <f t="shared" si="3"/>
        <v>10_2015</v>
      </c>
      <c r="T440" s="260">
        <f t="shared" si="4"/>
        <v>182.1</v>
      </c>
      <c r="U440" s="7"/>
      <c r="V440" s="7"/>
      <c r="W440" s="7"/>
      <c r="X440" s="7"/>
      <c r="Y440" s="7"/>
      <c r="Z440" s="7"/>
    </row>
    <row r="441" spans="1:26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258">
        <v>2015</v>
      </c>
      <c r="Q441" s="258">
        <v>11</v>
      </c>
      <c r="R441" s="259" t="s">
        <v>1537</v>
      </c>
      <c r="S441" s="254" t="str">
        <f t="shared" si="3"/>
        <v>11_2015</v>
      </c>
      <c r="T441" s="260">
        <f t="shared" si="4"/>
        <v>178.1</v>
      </c>
      <c r="U441" s="7"/>
      <c r="V441" s="7"/>
      <c r="W441" s="7"/>
      <c r="X441" s="7"/>
      <c r="Y441" s="7"/>
      <c r="Z441" s="7"/>
    </row>
    <row r="442" spans="1:26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258">
        <v>2015</v>
      </c>
      <c r="Q442" s="258">
        <v>12</v>
      </c>
      <c r="R442" s="259" t="s">
        <v>1538</v>
      </c>
      <c r="S442" s="254" t="str">
        <f t="shared" si="3"/>
        <v>12_2015</v>
      </c>
      <c r="T442" s="260">
        <f t="shared" si="4"/>
        <v>179.2</v>
      </c>
      <c r="U442" s="7"/>
      <c r="V442" s="7"/>
      <c r="W442" s="7"/>
      <c r="X442" s="7"/>
      <c r="Y442" s="7"/>
      <c r="Z442" s="7"/>
    </row>
    <row r="443" spans="1:26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258">
        <v>2016</v>
      </c>
      <c r="Q443" s="258">
        <v>1</v>
      </c>
      <c r="R443" s="259" t="s">
        <v>1527</v>
      </c>
      <c r="S443" s="254" t="str">
        <f t="shared" si="3"/>
        <v>1_2016</v>
      </c>
      <c r="T443" s="260">
        <f t="shared" si="4"/>
        <v>171</v>
      </c>
      <c r="U443" s="7"/>
      <c r="V443" s="7"/>
      <c r="W443" s="7"/>
      <c r="X443" s="7"/>
      <c r="Y443" s="7"/>
      <c r="Z443" s="7"/>
    </row>
    <row r="444" spans="1:26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258">
        <v>2016</v>
      </c>
      <c r="Q444" s="258">
        <v>2</v>
      </c>
      <c r="R444" s="259" t="s">
        <v>1528</v>
      </c>
      <c r="S444" s="254" t="str">
        <f t="shared" si="3"/>
        <v>2_2016</v>
      </c>
      <c r="T444" s="260">
        <f t="shared" si="4"/>
        <v>170.2</v>
      </c>
      <c r="U444" s="7"/>
      <c r="V444" s="7"/>
      <c r="W444" s="7"/>
      <c r="X444" s="7"/>
      <c r="Y444" s="7"/>
      <c r="Z444" s="7"/>
    </row>
    <row r="445" spans="1:26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258">
        <v>2016</v>
      </c>
      <c r="Q445" s="258">
        <v>3</v>
      </c>
      <c r="R445" s="259" t="s">
        <v>1529</v>
      </c>
      <c r="S445" s="254" t="str">
        <f t="shared" si="3"/>
        <v>3_2016</v>
      </c>
      <c r="T445" s="260">
        <f t="shared" si="4"/>
        <v>170.4</v>
      </c>
      <c r="U445" s="7"/>
      <c r="V445" s="7"/>
      <c r="W445" s="7"/>
      <c r="X445" s="7"/>
      <c r="Y445" s="7"/>
      <c r="Z445" s="7"/>
    </row>
    <row r="446" spans="1:26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258">
        <v>2016</v>
      </c>
      <c r="Q446" s="258">
        <v>4</v>
      </c>
      <c r="R446" s="259" t="s">
        <v>1530</v>
      </c>
      <c r="S446" s="254" t="str">
        <f t="shared" si="3"/>
        <v>4_2016</v>
      </c>
      <c r="T446" s="260">
        <f t="shared" si="4"/>
        <v>168.6</v>
      </c>
      <c r="U446" s="7"/>
      <c r="V446" s="7"/>
      <c r="W446" s="7"/>
      <c r="X446" s="7"/>
      <c r="Y446" s="7"/>
      <c r="Z446" s="7"/>
    </row>
    <row r="447" spans="1:26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258">
        <v>2016</v>
      </c>
      <c r="Q447" s="258">
        <v>5</v>
      </c>
      <c r="R447" s="259" t="s">
        <v>1531</v>
      </c>
      <c r="S447" s="254" t="str">
        <f t="shared" si="3"/>
        <v>5_2016</v>
      </c>
      <c r="T447" s="260">
        <f t="shared" si="4"/>
        <v>171.8</v>
      </c>
      <c r="U447" s="7"/>
      <c r="V447" s="7"/>
      <c r="W447" s="7"/>
      <c r="X447" s="7"/>
      <c r="Y447" s="7"/>
      <c r="Z447" s="7"/>
    </row>
    <row r="448" spans="1:26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258">
        <v>2016</v>
      </c>
      <c r="Q448" s="258">
        <v>6</v>
      </c>
      <c r="R448" s="259" t="s">
        <v>1532</v>
      </c>
      <c r="S448" s="254" t="str">
        <f t="shared" si="3"/>
        <v>6_2016</v>
      </c>
      <c r="T448" s="260">
        <f t="shared" si="4"/>
        <v>183.2</v>
      </c>
      <c r="U448" s="7"/>
      <c r="V448" s="7"/>
      <c r="W448" s="7"/>
      <c r="X448" s="7"/>
      <c r="Y448" s="7"/>
      <c r="Z448" s="7"/>
    </row>
    <row r="449" spans="1:26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258">
        <v>2016</v>
      </c>
      <c r="Q449" s="258">
        <v>7</v>
      </c>
      <c r="R449" s="259" t="s">
        <v>1533</v>
      </c>
      <c r="S449" s="254" t="str">
        <f t="shared" si="3"/>
        <v>7_2016</v>
      </c>
      <c r="T449" s="260">
        <f t="shared" si="4"/>
        <v>188.3</v>
      </c>
      <c r="U449" s="7"/>
      <c r="V449" s="7"/>
      <c r="W449" s="7"/>
      <c r="X449" s="7"/>
      <c r="Y449" s="7"/>
      <c r="Z449" s="7"/>
    </row>
    <row r="450" spans="1:26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258">
        <v>2016</v>
      </c>
      <c r="Q450" s="258">
        <v>8</v>
      </c>
      <c r="R450" s="259" t="s">
        <v>1534</v>
      </c>
      <c r="S450" s="254" t="str">
        <f t="shared" si="3"/>
        <v>8_2016</v>
      </c>
      <c r="T450" s="260">
        <f t="shared" si="4"/>
        <v>189.2</v>
      </c>
      <c r="U450" s="7"/>
      <c r="V450" s="7"/>
      <c r="W450" s="7"/>
      <c r="X450" s="7"/>
      <c r="Y450" s="7"/>
      <c r="Z450" s="7"/>
    </row>
    <row r="451" spans="1:26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258">
        <v>2016</v>
      </c>
      <c r="Q451" s="258">
        <v>9</v>
      </c>
      <c r="R451" s="259" t="s">
        <v>1535</v>
      </c>
      <c r="S451" s="254" t="str">
        <f t="shared" si="3"/>
        <v>9_2016</v>
      </c>
      <c r="T451" s="260">
        <f t="shared" si="4"/>
        <v>189.9</v>
      </c>
      <c r="U451" s="7"/>
      <c r="V451" s="7"/>
      <c r="W451" s="7"/>
      <c r="X451" s="7"/>
      <c r="Y451" s="7"/>
      <c r="Z451" s="7"/>
    </row>
    <row r="452" spans="1:26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258">
        <v>2016</v>
      </c>
      <c r="Q452" s="258">
        <v>10</v>
      </c>
      <c r="R452" s="259" t="s">
        <v>1536</v>
      </c>
      <c r="S452" s="254" t="str">
        <f t="shared" si="3"/>
        <v>10_2016</v>
      </c>
      <c r="T452" s="260">
        <f t="shared" si="4"/>
        <v>179.2</v>
      </c>
      <c r="U452" s="7"/>
      <c r="V452" s="7"/>
      <c r="W452" s="7"/>
      <c r="X452" s="7"/>
      <c r="Y452" s="7"/>
      <c r="Z452" s="7"/>
    </row>
    <row r="453" spans="1:26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258">
        <v>2016</v>
      </c>
      <c r="Q453" s="258">
        <v>11</v>
      </c>
      <c r="R453" s="259" t="s">
        <v>1537</v>
      </c>
      <c r="S453" s="254" t="str">
        <f t="shared" si="3"/>
        <v>11_2016</v>
      </c>
      <c r="T453" s="260">
        <f t="shared" si="4"/>
        <v>176.2</v>
      </c>
      <c r="U453" s="7"/>
      <c r="V453" s="7"/>
      <c r="W453" s="7"/>
      <c r="X453" s="7"/>
      <c r="Y453" s="7"/>
      <c r="Z453" s="7"/>
    </row>
    <row r="454" spans="1:26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258">
        <v>2016</v>
      </c>
      <c r="Q454" s="258">
        <v>12</v>
      </c>
      <c r="R454" s="259" t="s">
        <v>1538</v>
      </c>
      <c r="S454" s="254" t="str">
        <f t="shared" si="3"/>
        <v>12_2016</v>
      </c>
      <c r="T454" s="260">
        <f t="shared" si="4"/>
        <v>176.5</v>
      </c>
      <c r="U454" s="7"/>
      <c r="V454" s="7"/>
      <c r="W454" s="7"/>
      <c r="X454" s="7"/>
      <c r="Y454" s="7"/>
      <c r="Z454" s="7"/>
    </row>
    <row r="455" spans="1:26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258">
        <v>2017</v>
      </c>
      <c r="Q455" s="258">
        <v>1</v>
      </c>
      <c r="R455" s="259" t="s">
        <v>1527</v>
      </c>
      <c r="S455" s="254" t="str">
        <f t="shared" si="3"/>
        <v>1_2017</v>
      </c>
      <c r="T455" s="260">
        <f t="shared" si="4"/>
        <v>193.8</v>
      </c>
      <c r="U455" s="7"/>
      <c r="V455" s="7"/>
      <c r="W455" s="7"/>
      <c r="X455" s="7"/>
      <c r="Y455" s="7"/>
      <c r="Z455" s="7"/>
    </row>
    <row r="456" spans="1:26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258">
        <v>2017</v>
      </c>
      <c r="Q456" s="258">
        <v>2</v>
      </c>
      <c r="R456" s="259" t="s">
        <v>1528</v>
      </c>
      <c r="S456" s="254" t="str">
        <f t="shared" si="3"/>
        <v>2_2017</v>
      </c>
      <c r="T456" s="260">
        <f t="shared" si="4"/>
        <v>194.7</v>
      </c>
      <c r="U456" s="7"/>
      <c r="V456" s="7"/>
      <c r="W456" s="7"/>
      <c r="X456" s="7"/>
      <c r="Y456" s="7"/>
      <c r="Z456" s="7"/>
    </row>
    <row r="457" spans="1:26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258">
        <v>2017</v>
      </c>
      <c r="Q457" s="258">
        <v>3</v>
      </c>
      <c r="R457" s="259" t="s">
        <v>1529</v>
      </c>
      <c r="S457" s="254" t="str">
        <f t="shared" si="3"/>
        <v>3_2017</v>
      </c>
      <c r="T457" s="260">
        <f t="shared" si="4"/>
        <v>195.9</v>
      </c>
      <c r="U457" s="7"/>
      <c r="V457" s="7"/>
      <c r="W457" s="7"/>
      <c r="X457" s="7"/>
      <c r="Y457" s="7"/>
      <c r="Z457" s="7"/>
    </row>
    <row r="458" spans="1:26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258">
        <v>2017</v>
      </c>
      <c r="Q458" s="258">
        <v>4</v>
      </c>
      <c r="R458" s="259" t="s">
        <v>1530</v>
      </c>
      <c r="S458" s="254" t="str">
        <f t="shared" si="3"/>
        <v>4_2017</v>
      </c>
      <c r="T458" s="260">
        <f t="shared" si="4"/>
        <v>196</v>
      </c>
      <c r="U458" s="7"/>
      <c r="V458" s="7"/>
      <c r="W458" s="7"/>
      <c r="X458" s="7"/>
      <c r="Y458" s="7"/>
      <c r="Z458" s="7"/>
    </row>
    <row r="459" spans="1:26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258">
        <v>2017</v>
      </c>
      <c r="Q459" s="258">
        <v>5</v>
      </c>
      <c r="R459" s="259" t="s">
        <v>1531</v>
      </c>
      <c r="S459" s="254" t="str">
        <f t="shared" si="3"/>
        <v>5_2017</v>
      </c>
      <c r="T459" s="260">
        <f t="shared" si="4"/>
        <v>198.2</v>
      </c>
      <c r="U459" s="7"/>
      <c r="V459" s="7"/>
      <c r="W459" s="7"/>
      <c r="X459" s="7"/>
      <c r="Y459" s="7"/>
      <c r="Z459" s="7"/>
    </row>
    <row r="460" spans="1:26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258">
        <v>2017</v>
      </c>
      <c r="Q460" s="258">
        <v>6</v>
      </c>
      <c r="R460" s="259" t="s">
        <v>1532</v>
      </c>
      <c r="S460" s="254" t="str">
        <f t="shared" si="3"/>
        <v>6_2017</v>
      </c>
      <c r="T460" s="260">
        <f t="shared" si="4"/>
        <v>209.8</v>
      </c>
      <c r="U460" s="7"/>
      <c r="V460" s="7"/>
      <c r="W460" s="7"/>
      <c r="X460" s="7"/>
      <c r="Y460" s="7"/>
      <c r="Z460" s="7"/>
    </row>
    <row r="461" spans="1:26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258">
        <v>2017</v>
      </c>
      <c r="Q461" s="258">
        <v>7</v>
      </c>
      <c r="R461" s="259" t="s">
        <v>1533</v>
      </c>
      <c r="S461" s="254" t="str">
        <f t="shared" si="3"/>
        <v>7_2017</v>
      </c>
      <c r="T461" s="260">
        <f t="shared" si="4"/>
        <v>211.8</v>
      </c>
      <c r="U461" s="7"/>
      <c r="V461" s="7"/>
      <c r="W461" s="7"/>
      <c r="X461" s="7"/>
      <c r="Y461" s="7"/>
      <c r="Z461" s="7"/>
    </row>
    <row r="462" spans="1:26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258">
        <v>2017</v>
      </c>
      <c r="Q462" s="258">
        <v>8</v>
      </c>
      <c r="R462" s="259" t="s">
        <v>1534</v>
      </c>
      <c r="S462" s="254" t="str">
        <f t="shared" si="3"/>
        <v>8_2017</v>
      </c>
      <c r="T462" s="260">
        <f t="shared" si="4"/>
        <v>209.9</v>
      </c>
      <c r="U462" s="7"/>
      <c r="V462" s="7"/>
      <c r="W462" s="7"/>
      <c r="X462" s="7"/>
      <c r="Y462" s="7"/>
      <c r="Z462" s="7"/>
    </row>
    <row r="463" spans="1:26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258">
        <v>2017</v>
      </c>
      <c r="Q463" s="258">
        <v>9</v>
      </c>
      <c r="R463" s="259" t="s">
        <v>1535</v>
      </c>
      <c r="S463" s="254" t="str">
        <f t="shared" si="3"/>
        <v>9_2017</v>
      </c>
      <c r="T463" s="260">
        <f t="shared" si="4"/>
        <v>208.1</v>
      </c>
      <c r="U463" s="7"/>
      <c r="V463" s="7"/>
      <c r="W463" s="7"/>
      <c r="X463" s="7"/>
      <c r="Y463" s="7"/>
      <c r="Z463" s="7"/>
    </row>
    <row r="464" spans="1:26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258">
        <v>2017</v>
      </c>
      <c r="Q464" s="258">
        <v>10</v>
      </c>
      <c r="R464" s="259" t="s">
        <v>1536</v>
      </c>
      <c r="S464" s="254" t="str">
        <f t="shared" si="3"/>
        <v>10_2017</v>
      </c>
      <c r="T464" s="260">
        <f t="shared" si="4"/>
        <v>199.6</v>
      </c>
      <c r="U464" s="7"/>
      <c r="V464" s="7"/>
      <c r="W464" s="7"/>
      <c r="X464" s="7"/>
      <c r="Y464" s="7"/>
      <c r="Z464" s="7"/>
    </row>
    <row r="465" spans="1:26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258">
        <v>2017</v>
      </c>
      <c r="Q465" s="258">
        <v>11</v>
      </c>
      <c r="R465" s="259" t="s">
        <v>1537</v>
      </c>
      <c r="S465" s="254" t="str">
        <f t="shared" si="3"/>
        <v>11_2017</v>
      </c>
      <c r="T465" s="260">
        <f t="shared" si="4"/>
        <v>197.9</v>
      </c>
      <c r="U465" s="7"/>
      <c r="V465" s="7"/>
      <c r="W465" s="7"/>
      <c r="X465" s="7"/>
      <c r="Y465" s="7"/>
      <c r="Z465" s="7"/>
    </row>
    <row r="466" spans="1:26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258">
        <v>2017</v>
      </c>
      <c r="Q466" s="258">
        <v>12</v>
      </c>
      <c r="R466" s="259" t="s">
        <v>1538</v>
      </c>
      <c r="S466" s="254" t="str">
        <f t="shared" si="3"/>
        <v>12_2017</v>
      </c>
      <c r="T466" s="260">
        <f t="shared" si="4"/>
        <v>198.4</v>
      </c>
      <c r="U466" s="7"/>
      <c r="V466" s="7"/>
      <c r="W466" s="7"/>
      <c r="X466" s="7"/>
      <c r="Y466" s="7"/>
      <c r="Z466" s="7"/>
    </row>
    <row r="467" spans="1:26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258">
        <v>2018</v>
      </c>
      <c r="Q467" s="258">
        <v>1</v>
      </c>
      <c r="R467" s="259" t="s">
        <v>1527</v>
      </c>
      <c r="S467" s="254" t="str">
        <f t="shared" si="3"/>
        <v>1_2018</v>
      </c>
      <c r="T467" s="260">
        <f t="shared" si="4"/>
        <v>203.5</v>
      </c>
      <c r="U467" s="7"/>
      <c r="V467" s="7"/>
      <c r="W467" s="7"/>
      <c r="X467" s="7"/>
      <c r="Y467" s="7"/>
      <c r="Z467" s="7"/>
    </row>
    <row r="468" spans="1:26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258">
        <v>2018</v>
      </c>
      <c r="Q468" s="258">
        <v>2</v>
      </c>
      <c r="R468" s="259" t="s">
        <v>1528</v>
      </c>
      <c r="S468" s="254" t="str">
        <f t="shared" si="3"/>
        <v>2_2018</v>
      </c>
      <c r="T468" s="260">
        <f t="shared" si="4"/>
        <v>205</v>
      </c>
      <c r="U468" s="7"/>
      <c r="V468" s="7"/>
      <c r="W468" s="7"/>
      <c r="X468" s="7"/>
      <c r="Y468" s="7"/>
      <c r="Z468" s="7"/>
    </row>
    <row r="469" spans="1:26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258">
        <v>2018</v>
      </c>
      <c r="Q469" s="258">
        <v>3</v>
      </c>
      <c r="R469" s="259" t="s">
        <v>1529</v>
      </c>
      <c r="S469" s="254" t="str">
        <f t="shared" si="3"/>
        <v>3_2018</v>
      </c>
      <c r="T469" s="260">
        <f t="shared" si="4"/>
        <v>201.4</v>
      </c>
      <c r="U469" s="7"/>
      <c r="V469" s="7"/>
      <c r="W469" s="7"/>
      <c r="X469" s="7"/>
      <c r="Y469" s="7"/>
      <c r="Z469" s="7"/>
    </row>
    <row r="470" spans="1:26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258">
        <v>2018</v>
      </c>
      <c r="Q470" s="258">
        <v>4</v>
      </c>
      <c r="R470" s="259" t="s">
        <v>1530</v>
      </c>
      <c r="S470" s="254" t="str">
        <f t="shared" si="3"/>
        <v>4_2018</v>
      </c>
      <c r="T470" s="260">
        <f t="shared" si="4"/>
        <v>198.6</v>
      </c>
      <c r="U470" s="7"/>
      <c r="V470" s="7"/>
      <c r="W470" s="7"/>
      <c r="X470" s="7"/>
      <c r="Y470" s="7"/>
      <c r="Z470" s="7"/>
    </row>
    <row r="471" spans="1:26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258">
        <v>2018</v>
      </c>
      <c r="Q471" s="258">
        <v>5</v>
      </c>
      <c r="R471" s="259" t="s">
        <v>1531</v>
      </c>
      <c r="S471" s="254" t="str">
        <f t="shared" si="3"/>
        <v>5_2018</v>
      </c>
      <c r="T471" s="260">
        <f t="shared" si="4"/>
        <v>201.6</v>
      </c>
      <c r="U471" s="7"/>
      <c r="V471" s="7"/>
      <c r="W471" s="7"/>
      <c r="X471" s="7"/>
      <c r="Y471" s="7"/>
      <c r="Z471" s="7"/>
    </row>
    <row r="472" spans="1:26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258">
        <v>2018</v>
      </c>
      <c r="Q472" s="258">
        <v>6</v>
      </c>
      <c r="R472" s="259" t="s">
        <v>1532</v>
      </c>
      <c r="S472" s="254" t="str">
        <f t="shared" si="3"/>
        <v>6_2018</v>
      </c>
      <c r="T472" s="260">
        <f t="shared" si="4"/>
        <v>213.3</v>
      </c>
      <c r="U472" s="7"/>
      <c r="V472" s="7"/>
      <c r="W472" s="7"/>
      <c r="X472" s="7"/>
      <c r="Y472" s="7"/>
      <c r="Z472" s="7"/>
    </row>
    <row r="473" spans="1:26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258">
        <v>2018</v>
      </c>
      <c r="Q473" s="258">
        <v>7</v>
      </c>
      <c r="R473" s="259" t="s">
        <v>1533</v>
      </c>
      <c r="S473" s="254" t="str">
        <f t="shared" si="3"/>
        <v>7_2018</v>
      </c>
      <c r="T473" s="260">
        <f t="shared" si="4"/>
        <v>216.3</v>
      </c>
      <c r="U473" s="7"/>
      <c r="V473" s="7"/>
      <c r="W473" s="7"/>
      <c r="X473" s="7"/>
      <c r="Y473" s="7"/>
      <c r="Z473" s="7"/>
    </row>
    <row r="474" spans="1:26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258">
        <v>2018</v>
      </c>
      <c r="Q474" s="258">
        <v>8</v>
      </c>
      <c r="R474" s="259" t="s">
        <v>1534</v>
      </c>
      <c r="S474" s="254" t="str">
        <f t="shared" si="3"/>
        <v>8_2018</v>
      </c>
      <c r="T474" s="260">
        <f t="shared" si="4"/>
        <v>216.2</v>
      </c>
      <c r="U474" s="7"/>
      <c r="V474" s="7"/>
      <c r="W474" s="7"/>
      <c r="X474" s="7"/>
      <c r="Y474" s="7"/>
      <c r="Z474" s="7"/>
    </row>
    <row r="475" spans="1:26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258">
        <v>2018</v>
      </c>
      <c r="Q475" s="258">
        <v>9</v>
      </c>
      <c r="R475" s="259" t="s">
        <v>1535</v>
      </c>
      <c r="S475" s="254" t="str">
        <f t="shared" si="3"/>
        <v>9_2018</v>
      </c>
      <c r="T475" s="260">
        <f t="shared" si="4"/>
        <v>213.5</v>
      </c>
      <c r="U475" s="7"/>
      <c r="V475" s="7"/>
      <c r="W475" s="7"/>
      <c r="X475" s="7"/>
      <c r="Y475" s="7"/>
      <c r="Z475" s="7"/>
    </row>
    <row r="476" spans="1:26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258">
        <v>2018</v>
      </c>
      <c r="Q476" s="258">
        <v>10</v>
      </c>
      <c r="R476" s="259" t="s">
        <v>1536</v>
      </c>
      <c r="S476" s="254" t="str">
        <f t="shared" si="3"/>
        <v>10_2018</v>
      </c>
      <c r="T476" s="260">
        <f t="shared" si="4"/>
        <v>206.1</v>
      </c>
      <c r="U476" s="7"/>
      <c r="V476" s="7"/>
      <c r="W476" s="7"/>
      <c r="X476" s="7"/>
      <c r="Y476" s="7"/>
      <c r="Z476" s="7"/>
    </row>
    <row r="477" spans="1:26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258">
        <v>2018</v>
      </c>
      <c r="Q477" s="258">
        <v>11</v>
      </c>
      <c r="R477" s="259" t="s">
        <v>1537</v>
      </c>
      <c r="S477" s="254" t="str">
        <f t="shared" si="3"/>
        <v>11_2018</v>
      </c>
      <c r="T477" s="260">
        <f t="shared" si="4"/>
        <v>200.7</v>
      </c>
      <c r="U477" s="7"/>
      <c r="V477" s="7"/>
      <c r="W477" s="7"/>
      <c r="X477" s="7"/>
      <c r="Y477" s="7"/>
      <c r="Z477" s="7"/>
    </row>
    <row r="478" spans="1:26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258">
        <v>2018</v>
      </c>
      <c r="Q478" s="258">
        <v>12</v>
      </c>
      <c r="R478" s="259" t="s">
        <v>1538</v>
      </c>
      <c r="S478" s="254" t="str">
        <f t="shared" si="3"/>
        <v>12_2018</v>
      </c>
      <c r="T478" s="260">
        <f t="shared" si="4"/>
        <v>201.4</v>
      </c>
      <c r="U478" s="7"/>
      <c r="V478" s="7"/>
      <c r="W478" s="7"/>
      <c r="X478" s="7"/>
      <c r="Y478" s="7"/>
      <c r="Z478" s="7"/>
    </row>
    <row r="479" spans="1:26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258">
        <v>2019</v>
      </c>
      <c r="Q479" s="258">
        <v>1</v>
      </c>
      <c r="R479" s="259" t="s">
        <v>1527</v>
      </c>
      <c r="S479" s="254" t="str">
        <f t="shared" si="3"/>
        <v>1_2019</v>
      </c>
      <c r="T479" s="260">
        <f t="shared" si="4"/>
        <v>204.7</v>
      </c>
      <c r="U479" s="7"/>
      <c r="V479" s="7"/>
      <c r="W479" s="7"/>
      <c r="X479" s="7"/>
      <c r="Y479" s="7"/>
      <c r="Z479" s="7"/>
    </row>
    <row r="480" spans="1:26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258">
        <v>2019</v>
      </c>
      <c r="Q480" s="258">
        <v>2</v>
      </c>
      <c r="R480" s="259" t="s">
        <v>1528</v>
      </c>
      <c r="S480" s="254" t="str">
        <f t="shared" si="3"/>
        <v>2_2019</v>
      </c>
      <c r="T480" s="260">
        <f t="shared" si="4"/>
        <v>203.9</v>
      </c>
      <c r="U480" s="7"/>
      <c r="V480" s="7"/>
      <c r="W480" s="7"/>
      <c r="X480" s="7"/>
      <c r="Y480" s="7"/>
      <c r="Z480" s="7"/>
    </row>
    <row r="481" spans="1:26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258">
        <v>2019</v>
      </c>
      <c r="Q481" s="258">
        <v>3</v>
      </c>
      <c r="R481" s="259" t="s">
        <v>1529</v>
      </c>
      <c r="S481" s="254" t="str">
        <f t="shared" si="3"/>
        <v>3_2019</v>
      </c>
      <c r="T481" s="260">
        <f t="shared" si="4"/>
        <v>201.9</v>
      </c>
      <c r="U481" s="7"/>
      <c r="V481" s="7"/>
      <c r="W481" s="7"/>
      <c r="X481" s="7"/>
      <c r="Y481" s="7"/>
      <c r="Z481" s="7"/>
    </row>
    <row r="482" spans="1:26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258">
        <v>2019</v>
      </c>
      <c r="Q482" s="258">
        <v>4</v>
      </c>
      <c r="R482" s="259" t="s">
        <v>1530</v>
      </c>
      <c r="S482" s="254" t="str">
        <f t="shared" si="3"/>
        <v>4_2019</v>
      </c>
      <c r="T482" s="260">
        <f t="shared" si="4"/>
        <v>199.5</v>
      </c>
      <c r="U482" s="7"/>
      <c r="V482" s="7"/>
      <c r="W482" s="7"/>
      <c r="X482" s="7"/>
      <c r="Y482" s="7"/>
      <c r="Z482" s="7"/>
    </row>
    <row r="483" spans="1:26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258">
        <v>2019</v>
      </c>
      <c r="Q483" s="258">
        <v>5</v>
      </c>
      <c r="R483" s="259" t="s">
        <v>1531</v>
      </c>
      <c r="S483" s="254" t="str">
        <f t="shared" si="3"/>
        <v>5_2019</v>
      </c>
      <c r="T483" s="260">
        <f t="shared" si="4"/>
        <v>201.5</v>
      </c>
      <c r="U483" s="7"/>
      <c r="V483" s="7"/>
      <c r="W483" s="7"/>
      <c r="X483" s="7"/>
      <c r="Y483" s="7"/>
      <c r="Z483" s="7"/>
    </row>
    <row r="484" spans="1:26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258">
        <v>2019</v>
      </c>
      <c r="Q484" s="258">
        <v>6</v>
      </c>
      <c r="R484" s="259" t="s">
        <v>1532</v>
      </c>
      <c r="S484" s="254" t="str">
        <f t="shared" si="3"/>
        <v>6_2019</v>
      </c>
      <c r="T484" s="260">
        <f t="shared" si="4"/>
        <v>209.5</v>
      </c>
      <c r="U484" s="7"/>
      <c r="V484" s="7"/>
      <c r="W484" s="7"/>
      <c r="X484" s="7"/>
      <c r="Y484" s="7"/>
      <c r="Z484" s="7"/>
    </row>
    <row r="485" spans="1:26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258">
        <v>2019</v>
      </c>
      <c r="Q485" s="258">
        <v>7</v>
      </c>
      <c r="R485" s="259" t="s">
        <v>1533</v>
      </c>
      <c r="S485" s="254" t="str">
        <f t="shared" si="3"/>
        <v>7_2019</v>
      </c>
      <c r="T485" s="260">
        <f t="shared" si="4"/>
        <v>211.7</v>
      </c>
      <c r="U485" s="7"/>
      <c r="V485" s="7"/>
      <c r="W485" s="7"/>
      <c r="X485" s="7"/>
      <c r="Y485" s="7"/>
      <c r="Z485" s="7"/>
    </row>
    <row r="486" spans="1:26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258">
        <v>2019</v>
      </c>
      <c r="Q486" s="258">
        <v>8</v>
      </c>
      <c r="R486" s="259" t="s">
        <v>1534</v>
      </c>
      <c r="S486" s="254" t="str">
        <f t="shared" si="3"/>
        <v>8_2019</v>
      </c>
      <c r="T486" s="260">
        <f t="shared" si="4"/>
        <v>214.9</v>
      </c>
      <c r="U486" s="7"/>
      <c r="V486" s="7"/>
      <c r="W486" s="7"/>
      <c r="X486" s="7"/>
      <c r="Y486" s="7"/>
      <c r="Z486" s="7"/>
    </row>
    <row r="487" spans="1:26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258">
        <v>2019</v>
      </c>
      <c r="Q487" s="258">
        <v>9</v>
      </c>
      <c r="R487" s="259" t="s">
        <v>1535</v>
      </c>
      <c r="S487" s="254" t="str">
        <f t="shared" si="3"/>
        <v>9_2019</v>
      </c>
      <c r="T487" s="260">
        <f t="shared" si="4"/>
        <v>212.6</v>
      </c>
      <c r="U487" s="7"/>
      <c r="V487" s="7"/>
      <c r="W487" s="7"/>
      <c r="X487" s="7"/>
      <c r="Y487" s="7"/>
      <c r="Z487" s="7"/>
    </row>
    <row r="488" spans="1:26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258">
        <v>2019</v>
      </c>
      <c r="Q488" s="258">
        <v>10</v>
      </c>
      <c r="R488" s="259" t="s">
        <v>1536</v>
      </c>
      <c r="S488" s="254" t="str">
        <f t="shared" si="3"/>
        <v>10_2019</v>
      </c>
      <c r="T488" s="260">
        <f t="shared" si="4"/>
        <v>193.4</v>
      </c>
      <c r="U488" s="7"/>
      <c r="V488" s="7"/>
      <c r="W488" s="7"/>
      <c r="X488" s="7"/>
      <c r="Y488" s="7"/>
      <c r="Z488" s="7"/>
    </row>
    <row r="489" spans="1:26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258">
        <v>2019</v>
      </c>
      <c r="Q489" s="258">
        <v>11</v>
      </c>
      <c r="R489" s="259" t="s">
        <v>1537</v>
      </c>
      <c r="S489" s="254" t="str">
        <f t="shared" si="3"/>
        <v>11_2019</v>
      </c>
      <c r="T489" s="260">
        <f t="shared" si="4"/>
        <v>192.4</v>
      </c>
      <c r="U489" s="7"/>
      <c r="V489" s="7"/>
      <c r="W489" s="7"/>
      <c r="X489" s="7"/>
      <c r="Y489" s="7"/>
      <c r="Z489" s="7"/>
    </row>
    <row r="490" spans="1:26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258">
        <v>2019</v>
      </c>
      <c r="Q490" s="258">
        <v>12</v>
      </c>
      <c r="R490" s="259" t="s">
        <v>1538</v>
      </c>
      <c r="S490" s="254" t="str">
        <f t="shared" si="3"/>
        <v>12_2019</v>
      </c>
      <c r="T490" s="260">
        <f t="shared" si="4"/>
        <v>194.3</v>
      </c>
      <c r="U490" s="7"/>
      <c r="V490" s="7"/>
      <c r="W490" s="7"/>
      <c r="X490" s="7"/>
      <c r="Y490" s="7"/>
      <c r="Z490" s="7"/>
    </row>
    <row r="491" spans="1:26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258">
        <v>2020</v>
      </c>
      <c r="Q491" s="258">
        <v>1</v>
      </c>
      <c r="R491" s="259" t="s">
        <v>1527</v>
      </c>
      <c r="S491" s="254" t="str">
        <f t="shared" si="3"/>
        <v>1_2020</v>
      </c>
      <c r="T491" s="260">
        <f t="shared" si="4"/>
        <v>194.6</v>
      </c>
      <c r="U491" s="7"/>
      <c r="V491" s="7"/>
      <c r="W491" s="7"/>
      <c r="X491" s="7"/>
      <c r="Y491" s="7"/>
      <c r="Z491" s="7"/>
    </row>
    <row r="492" spans="1:26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258">
        <v>2020</v>
      </c>
      <c r="Q492" s="258">
        <v>2</v>
      </c>
      <c r="R492" s="259" t="s">
        <v>1528</v>
      </c>
      <c r="S492" s="254" t="str">
        <f t="shared" si="3"/>
        <v>2_2020</v>
      </c>
      <c r="T492" s="260">
        <f t="shared" si="4"/>
        <v>195.8</v>
      </c>
      <c r="U492" s="7"/>
      <c r="V492" s="7"/>
      <c r="W492" s="7"/>
      <c r="X492" s="7"/>
      <c r="Y492" s="7"/>
      <c r="Z492" s="7"/>
    </row>
    <row r="493" spans="1:26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258">
        <v>2020</v>
      </c>
      <c r="Q493" s="258">
        <v>3</v>
      </c>
      <c r="R493" s="259" t="s">
        <v>1529</v>
      </c>
      <c r="S493" s="254" t="str">
        <f t="shared" si="3"/>
        <v>3_2020</v>
      </c>
      <c r="T493" s="260">
        <f t="shared" si="4"/>
        <v>194.9</v>
      </c>
      <c r="U493" s="7"/>
      <c r="V493" s="7"/>
      <c r="W493" s="7"/>
      <c r="X493" s="7"/>
      <c r="Y493" s="7"/>
      <c r="Z493" s="7"/>
    </row>
    <row r="494" spans="1:26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258">
        <v>2020</v>
      </c>
      <c r="Q494" s="258">
        <v>4</v>
      </c>
      <c r="R494" s="259" t="s">
        <v>1530</v>
      </c>
      <c r="S494" s="254" t="str">
        <f t="shared" si="3"/>
        <v>4_2020</v>
      </c>
      <c r="T494" s="260">
        <f t="shared" si="4"/>
        <v>194.7</v>
      </c>
      <c r="U494" s="7"/>
      <c r="V494" s="7"/>
      <c r="W494" s="7"/>
      <c r="X494" s="7"/>
      <c r="Y494" s="7"/>
      <c r="Z494" s="7"/>
    </row>
    <row r="495" spans="1:26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258">
        <v>2020</v>
      </c>
      <c r="Q495" s="258">
        <v>5</v>
      </c>
      <c r="R495" s="259" t="s">
        <v>1531</v>
      </c>
      <c r="S495" s="254" t="str">
        <f t="shared" si="3"/>
        <v>5_2020</v>
      </c>
      <c r="T495" s="260">
        <f t="shared" si="4"/>
        <v>194.6</v>
      </c>
      <c r="U495" s="7"/>
      <c r="V495" s="7"/>
      <c r="W495" s="7"/>
      <c r="X495" s="7"/>
      <c r="Y495" s="7"/>
      <c r="Z495" s="7"/>
    </row>
    <row r="496" spans="1:26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258">
        <v>2020</v>
      </c>
      <c r="Q496" s="258">
        <v>6</v>
      </c>
      <c r="R496" s="259" t="s">
        <v>1532</v>
      </c>
      <c r="S496" s="254" t="str">
        <f t="shared" si="3"/>
        <v>6_2020</v>
      </c>
      <c r="T496" s="260">
        <f t="shared" si="4"/>
        <v>209.2</v>
      </c>
      <c r="U496" s="7"/>
      <c r="V496" s="7"/>
      <c r="W496" s="7"/>
      <c r="X496" s="7"/>
      <c r="Y496" s="7"/>
      <c r="Z496" s="7"/>
    </row>
    <row r="497" spans="1:26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258">
        <v>2020</v>
      </c>
      <c r="Q497" s="258">
        <v>7</v>
      </c>
      <c r="R497" s="259" t="s">
        <v>1533</v>
      </c>
      <c r="S497" s="254" t="str">
        <f t="shared" si="3"/>
        <v>7_2020</v>
      </c>
      <c r="T497" s="260">
        <f t="shared" si="4"/>
        <v>211.9</v>
      </c>
      <c r="U497" s="7"/>
      <c r="V497" s="7"/>
      <c r="W497" s="7"/>
      <c r="X497" s="7"/>
      <c r="Y497" s="7"/>
      <c r="Z497" s="7"/>
    </row>
    <row r="498" spans="1:26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258">
        <v>2020</v>
      </c>
      <c r="Q498" s="258">
        <v>8</v>
      </c>
      <c r="R498" s="259" t="s">
        <v>1534</v>
      </c>
      <c r="S498" s="254" t="str">
        <f t="shared" si="3"/>
        <v>8_2020</v>
      </c>
      <c r="T498" s="260">
        <f t="shared" si="4"/>
        <v>211.9</v>
      </c>
      <c r="U498" s="7"/>
      <c r="V498" s="7"/>
      <c r="W498" s="7"/>
      <c r="X498" s="7"/>
      <c r="Y498" s="7"/>
      <c r="Z498" s="7"/>
    </row>
    <row r="499" spans="1:26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258">
        <v>2020</v>
      </c>
      <c r="Q499" s="258">
        <v>9</v>
      </c>
      <c r="R499" s="259" t="s">
        <v>1535</v>
      </c>
      <c r="S499" s="254" t="str">
        <f t="shared" si="3"/>
        <v>9_2020</v>
      </c>
      <c r="T499" s="260">
        <f t="shared" si="4"/>
        <v>214.1</v>
      </c>
      <c r="U499" s="7"/>
      <c r="V499" s="7"/>
      <c r="W499" s="7"/>
      <c r="X499" s="7"/>
      <c r="Y499" s="7"/>
      <c r="Z499" s="7"/>
    </row>
    <row r="500" spans="1:26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258">
        <v>2020</v>
      </c>
      <c r="Q500" s="258">
        <v>10</v>
      </c>
      <c r="R500" s="259" t="s">
        <v>1536</v>
      </c>
      <c r="S500" s="254" t="str">
        <f t="shared" si="3"/>
        <v>10_2020</v>
      </c>
      <c r="T500" s="260">
        <f t="shared" si="4"/>
        <v>197.6</v>
      </c>
      <c r="U500" s="7"/>
      <c r="V500" s="7"/>
      <c r="W500" s="7"/>
      <c r="X500" s="7"/>
      <c r="Y500" s="7"/>
      <c r="Z500" s="7"/>
    </row>
    <row r="501" spans="1:26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258">
        <v>2020</v>
      </c>
      <c r="Q501" s="258">
        <v>11</v>
      </c>
      <c r="R501" s="259" t="s">
        <v>1537</v>
      </c>
      <c r="S501" s="254" t="str">
        <f t="shared" si="3"/>
        <v>11_2020</v>
      </c>
      <c r="T501" s="260">
        <f t="shared" si="4"/>
        <v>194.9</v>
      </c>
      <c r="U501" s="7"/>
      <c r="V501" s="7"/>
      <c r="W501" s="7"/>
      <c r="X501" s="7"/>
      <c r="Y501" s="7"/>
      <c r="Z501" s="7"/>
    </row>
    <row r="502" spans="1:26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258">
        <v>2020</v>
      </c>
      <c r="Q502" s="258">
        <v>12</v>
      </c>
      <c r="R502" s="259" t="s">
        <v>1538</v>
      </c>
      <c r="S502" s="254" t="str">
        <f t="shared" si="3"/>
        <v>12_2020</v>
      </c>
      <c r="T502" s="260">
        <f t="shared" si="4"/>
        <v>194.6</v>
      </c>
      <c r="U502" s="7"/>
      <c r="V502" s="7"/>
      <c r="W502" s="7"/>
      <c r="X502" s="7"/>
      <c r="Y502" s="7"/>
      <c r="Z502" s="7"/>
    </row>
    <row r="503" spans="1:26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258">
        <v>2021</v>
      </c>
      <c r="Q503" s="258">
        <v>1</v>
      </c>
      <c r="R503" s="259" t="s">
        <v>1527</v>
      </c>
      <c r="S503" s="254" t="str">
        <f t="shared" si="3"/>
        <v>1_2021</v>
      </c>
      <c r="T503" s="260">
        <f t="shared" si="4"/>
        <v>196.1</v>
      </c>
      <c r="U503" s="7"/>
      <c r="V503" s="7"/>
      <c r="W503" s="7"/>
      <c r="X503" s="7"/>
      <c r="Y503" s="7"/>
      <c r="Z503" s="7"/>
    </row>
    <row r="504" spans="1:26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258">
        <v>2021</v>
      </c>
      <c r="Q504" s="258">
        <v>2</v>
      </c>
      <c r="R504" s="259" t="s">
        <v>1528</v>
      </c>
      <c r="S504" s="254" t="str">
        <f t="shared" si="3"/>
        <v>2_2021</v>
      </c>
      <c r="T504" s="260">
        <f t="shared" si="4"/>
        <v>196.6</v>
      </c>
      <c r="U504" s="7"/>
      <c r="V504" s="7"/>
      <c r="W504" s="7"/>
      <c r="X504" s="7"/>
      <c r="Y504" s="7"/>
      <c r="Z504" s="7"/>
    </row>
    <row r="505" spans="1:26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258">
        <v>2021</v>
      </c>
      <c r="Q505" s="258">
        <v>3</v>
      </c>
      <c r="R505" s="259" t="s">
        <v>1529</v>
      </c>
      <c r="S505" s="254" t="str">
        <f t="shared" si="3"/>
        <v>3_2021</v>
      </c>
      <c r="T505" s="260">
        <f t="shared" si="4"/>
        <v>211.6</v>
      </c>
      <c r="U505" s="7"/>
      <c r="V505" s="7"/>
      <c r="W505" s="7"/>
      <c r="X505" s="7"/>
      <c r="Y505" s="7"/>
      <c r="Z505" s="7"/>
    </row>
    <row r="506" spans="1:26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258">
        <v>2021</v>
      </c>
      <c r="Q506" s="258">
        <v>4</v>
      </c>
      <c r="R506" s="259" t="s">
        <v>1530</v>
      </c>
      <c r="S506" s="254" t="str">
        <f t="shared" si="3"/>
        <v>4_2021</v>
      </c>
      <c r="T506" s="260">
        <f t="shared" si="4"/>
        <v>198.1</v>
      </c>
      <c r="U506" s="7"/>
      <c r="V506" s="7"/>
      <c r="W506" s="7"/>
      <c r="X506" s="7"/>
      <c r="Y506" s="7"/>
      <c r="Z506" s="7"/>
    </row>
    <row r="507" spans="1:26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258">
        <v>2021</v>
      </c>
      <c r="Q507" s="258">
        <v>5</v>
      </c>
      <c r="R507" s="259" t="s">
        <v>1531</v>
      </c>
      <c r="S507" s="254" t="str">
        <f t="shared" si="3"/>
        <v>5_2021</v>
      </c>
      <c r="T507" s="260">
        <f t="shared" si="4"/>
        <v>199.9</v>
      </c>
      <c r="U507" s="7"/>
      <c r="V507" s="7"/>
      <c r="W507" s="7"/>
      <c r="X507" s="7"/>
      <c r="Y507" s="7"/>
      <c r="Z507" s="7"/>
    </row>
    <row r="508" spans="1:26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258">
        <v>2021</v>
      </c>
      <c r="Q508" s="258">
        <v>6</v>
      </c>
      <c r="R508" s="259" t="s">
        <v>1532</v>
      </c>
      <c r="S508" s="254" t="str">
        <f t="shared" si="3"/>
        <v>6_2021</v>
      </c>
      <c r="T508" s="260">
        <f t="shared" si="4"/>
        <v>217.1</v>
      </c>
      <c r="U508" s="7"/>
      <c r="V508" s="7"/>
      <c r="W508" s="7"/>
      <c r="X508" s="7"/>
      <c r="Y508" s="7"/>
      <c r="Z508" s="7"/>
    </row>
    <row r="509" spans="1:26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258">
        <v>2021</v>
      </c>
      <c r="Q509" s="258">
        <v>7</v>
      </c>
      <c r="R509" s="259" t="s">
        <v>1533</v>
      </c>
      <c r="S509" s="254" t="str">
        <f t="shared" si="3"/>
        <v>7_2021</v>
      </c>
      <c r="T509" s="260">
        <f t="shared" si="4"/>
        <v>221.232</v>
      </c>
      <c r="U509" s="7"/>
      <c r="V509" s="7"/>
      <c r="W509" s="7"/>
      <c r="X509" s="7"/>
      <c r="Y509" s="7"/>
      <c r="Z509" s="7"/>
    </row>
    <row r="510" spans="1:26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258">
        <v>2021</v>
      </c>
      <c r="Q510" s="258">
        <v>8</v>
      </c>
      <c r="R510" s="259" t="s">
        <v>1534</v>
      </c>
      <c r="S510" s="254" t="str">
        <f t="shared" si="3"/>
        <v>8_2021</v>
      </c>
      <c r="T510" s="260">
        <f t="shared" si="4"/>
        <v>222.61500000000001</v>
      </c>
      <c r="U510" s="7"/>
      <c r="V510" s="7"/>
      <c r="W510" s="7"/>
      <c r="X510" s="7"/>
      <c r="Y510" s="7"/>
      <c r="Z510" s="7"/>
    </row>
    <row r="511" spans="1:26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258">
        <v>2021</v>
      </c>
      <c r="Q511" s="258">
        <v>9</v>
      </c>
      <c r="R511" s="259" t="s">
        <v>1535</v>
      </c>
      <c r="S511" s="254" t="str">
        <f t="shared" si="3"/>
        <v>9_2021</v>
      </c>
      <c r="T511" s="260">
        <f t="shared" si="4"/>
        <v>219.977</v>
      </c>
      <c r="U511" s="7"/>
      <c r="V511" s="7"/>
      <c r="W511" s="7"/>
      <c r="X511" s="7"/>
      <c r="Y511" s="7"/>
      <c r="Z511" s="7"/>
    </row>
    <row r="512" spans="1:26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258">
        <v>2021</v>
      </c>
      <c r="Q512" s="258">
        <v>10</v>
      </c>
      <c r="R512" s="259" t="s">
        <v>1536</v>
      </c>
      <c r="S512" s="254" t="str">
        <f t="shared" si="3"/>
        <v>10_2021</v>
      </c>
      <c r="T512" s="260">
        <f t="shared" si="4"/>
        <v>213.345</v>
      </c>
      <c r="U512" s="7"/>
      <c r="V512" s="7"/>
      <c r="W512" s="7"/>
      <c r="X512" s="7"/>
      <c r="Y512" s="7"/>
      <c r="Z512" s="7"/>
    </row>
    <row r="513" spans="1:26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258">
        <v>2021</v>
      </c>
      <c r="Q513" s="258">
        <v>11</v>
      </c>
      <c r="R513" s="259" t="s">
        <v>1537</v>
      </c>
      <c r="S513" s="254" t="str">
        <f t="shared" si="3"/>
        <v>11_2021</v>
      </c>
      <c r="T513" s="260">
        <f t="shared" si="4"/>
        <v>211.864</v>
      </c>
      <c r="U513" s="7"/>
      <c r="V513" s="7"/>
      <c r="W513" s="7"/>
      <c r="X513" s="7"/>
      <c r="Y513" s="7"/>
      <c r="Z513" s="7"/>
    </row>
    <row r="514" spans="1:26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258">
        <v>2021</v>
      </c>
      <c r="Q514" s="258">
        <v>12</v>
      </c>
      <c r="R514" s="259" t="s">
        <v>1538</v>
      </c>
      <c r="S514" s="254" t="str">
        <f t="shared" si="3"/>
        <v>12_2021</v>
      </c>
      <c r="T514" s="260">
        <f t="shared" si="4"/>
        <v>210.08199999999999</v>
      </c>
      <c r="U514" s="7"/>
      <c r="V514" s="7"/>
      <c r="W514" s="7"/>
      <c r="X514" s="7"/>
      <c r="Y514" s="7"/>
      <c r="Z514" s="7"/>
    </row>
    <row r="515" spans="1:26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258">
        <v>2022</v>
      </c>
      <c r="Q515" s="258">
        <v>1</v>
      </c>
      <c r="R515" s="259" t="s">
        <v>1527</v>
      </c>
      <c r="S515" s="254" t="str">
        <f t="shared" si="3"/>
        <v>1_2022</v>
      </c>
      <c r="T515" s="260">
        <f t="shared" si="4"/>
        <v>220.00800000000001</v>
      </c>
      <c r="U515" s="7"/>
      <c r="V515" s="7"/>
      <c r="W515" s="7"/>
      <c r="X515" s="7"/>
      <c r="Y515" s="7"/>
      <c r="Z515" s="7"/>
    </row>
    <row r="516" spans="1:26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258">
        <v>2022</v>
      </c>
      <c r="Q516" s="258">
        <v>2</v>
      </c>
      <c r="R516" s="259" t="s">
        <v>1528</v>
      </c>
      <c r="S516" s="254" t="str">
        <f t="shared" si="3"/>
        <v>2_2022</v>
      </c>
      <c r="T516" s="260">
        <f t="shared" si="4"/>
        <v>224.99799999999999</v>
      </c>
      <c r="U516" s="7"/>
      <c r="V516" s="7"/>
      <c r="W516" s="7"/>
      <c r="X516" s="7"/>
      <c r="Y516" s="7"/>
      <c r="Z516" s="7"/>
    </row>
    <row r="517" spans="1:26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258">
        <v>2022</v>
      </c>
      <c r="Q517" s="258">
        <v>3</v>
      </c>
      <c r="R517" s="259" t="s">
        <v>1529</v>
      </c>
      <c r="S517" s="254" t="str">
        <f t="shared" si="3"/>
        <v>3_2022</v>
      </c>
      <c r="T517" s="260">
        <f t="shared" si="4"/>
        <v>221.40199999999999</v>
      </c>
      <c r="U517" s="7"/>
      <c r="V517" s="7"/>
      <c r="W517" s="7"/>
      <c r="X517" s="7"/>
      <c r="Y517" s="7"/>
      <c r="Z517" s="7"/>
    </row>
    <row r="518" spans="1:26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258">
        <v>2022</v>
      </c>
      <c r="Q518" s="258">
        <v>4</v>
      </c>
      <c r="R518" s="259" t="s">
        <v>1530</v>
      </c>
      <c r="S518" s="254" t="str">
        <f t="shared" si="3"/>
        <v>4_2022</v>
      </c>
      <c r="T518" s="260">
        <f t="shared" si="4"/>
        <v>219.76400000000001</v>
      </c>
      <c r="U518" s="7"/>
      <c r="V518" s="7"/>
      <c r="W518" s="7"/>
      <c r="X518" s="7"/>
      <c r="Y518" s="7"/>
      <c r="Z518" s="7"/>
    </row>
    <row r="519" spans="1:26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258">
        <v>2022</v>
      </c>
      <c r="Q519" s="258">
        <v>5</v>
      </c>
      <c r="R519" s="259" t="s">
        <v>1531</v>
      </c>
      <c r="S519" s="254" t="str">
        <f t="shared" si="3"/>
        <v>5_2022</v>
      </c>
      <c r="T519" s="260">
        <f t="shared" si="4"/>
        <v>223.78800000000001</v>
      </c>
      <c r="U519" s="7"/>
      <c r="V519" s="7"/>
      <c r="W519" s="7"/>
      <c r="X519" s="7"/>
      <c r="Y519" s="7"/>
      <c r="Z519" s="7"/>
    </row>
    <row r="520" spans="1:26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258">
        <v>2022</v>
      </c>
      <c r="Q520" s="258">
        <v>6</v>
      </c>
      <c r="R520" s="259" t="s">
        <v>1532</v>
      </c>
      <c r="S520" s="254" t="str">
        <f t="shared" si="3"/>
        <v>6_2022</v>
      </c>
      <c r="T520" s="260">
        <f t="shared" si="4"/>
        <v>237.71799999999999</v>
      </c>
      <c r="U520" s="7"/>
      <c r="V520" s="7"/>
      <c r="W520" s="7"/>
      <c r="X520" s="7"/>
      <c r="Y520" s="7"/>
      <c r="Z520" s="7"/>
    </row>
    <row r="521" spans="1:26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258">
        <v>2022</v>
      </c>
      <c r="Q521" s="258">
        <v>7</v>
      </c>
      <c r="R521" s="259" t="s">
        <v>1533</v>
      </c>
      <c r="S521" s="254" t="str">
        <f t="shared" ref="S521:S550" si="5">Q521&amp;"_"&amp;P521</f>
        <v>7_2022</v>
      </c>
      <c r="T521" s="260">
        <f t="shared" ref="T521:T550" si="6">VLOOKUP(P521,$A:$N,MATCH(R521,$A$10:$N$10,0),FALSE)</f>
        <v>248.316</v>
      </c>
      <c r="U521" s="7"/>
      <c r="V521" s="7"/>
      <c r="W521" s="7"/>
      <c r="X521" s="7"/>
      <c r="Y521" s="7"/>
      <c r="Z521" s="7"/>
    </row>
    <row r="522" spans="1:26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258">
        <v>2022</v>
      </c>
      <c r="Q522" s="258">
        <v>8</v>
      </c>
      <c r="R522" s="259" t="s">
        <v>1534</v>
      </c>
      <c r="S522" s="254" t="str">
        <f t="shared" si="5"/>
        <v>8_2022</v>
      </c>
      <c r="T522" s="260">
        <f t="shared" si="6"/>
        <v>251.47800000000001</v>
      </c>
      <c r="U522" s="7"/>
      <c r="V522" s="7"/>
      <c r="W522" s="7"/>
      <c r="X522" s="7"/>
      <c r="Y522" s="7"/>
      <c r="Z522" s="7"/>
    </row>
    <row r="523" spans="1:26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258">
        <v>2022</v>
      </c>
      <c r="Q523" s="258">
        <v>9</v>
      </c>
      <c r="R523" s="259" t="s">
        <v>1535</v>
      </c>
      <c r="S523" s="254" t="str">
        <f t="shared" si="5"/>
        <v>9_2022</v>
      </c>
      <c r="T523" s="260">
        <f t="shared" si="6"/>
        <v>254.327</v>
      </c>
      <c r="U523" s="7"/>
      <c r="V523" s="7"/>
      <c r="W523" s="7"/>
      <c r="X523" s="7"/>
      <c r="Y523" s="7"/>
      <c r="Z523" s="7"/>
    </row>
    <row r="524" spans="1:26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258">
        <v>2022</v>
      </c>
      <c r="Q524" s="258">
        <v>10</v>
      </c>
      <c r="R524" s="259" t="s">
        <v>1536</v>
      </c>
      <c r="S524" s="254" t="str">
        <f t="shared" si="5"/>
        <v>10_2022</v>
      </c>
      <c r="T524" s="260">
        <f t="shared" si="6"/>
        <v>238.315</v>
      </c>
      <c r="U524" s="7"/>
      <c r="V524" s="7"/>
      <c r="W524" s="7"/>
      <c r="X524" s="7"/>
      <c r="Y524" s="7"/>
      <c r="Z524" s="7"/>
    </row>
    <row r="525" spans="1:26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258">
        <v>2022</v>
      </c>
      <c r="Q525" s="258">
        <v>11</v>
      </c>
      <c r="R525" s="259" t="s">
        <v>1537</v>
      </c>
      <c r="S525" s="254" t="str">
        <f t="shared" si="5"/>
        <v>11_2022</v>
      </c>
      <c r="T525" s="260">
        <f t="shared" si="6"/>
        <v>228.93</v>
      </c>
      <c r="U525" s="7"/>
      <c r="V525" s="7"/>
      <c r="W525" s="7"/>
      <c r="X525" s="7"/>
      <c r="Y525" s="7"/>
      <c r="Z525" s="7"/>
    </row>
    <row r="526" spans="1:26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258">
        <v>2022</v>
      </c>
      <c r="Q526" s="258">
        <v>12</v>
      </c>
      <c r="R526" s="259" t="s">
        <v>1538</v>
      </c>
      <c r="S526" s="254" t="str">
        <f t="shared" si="5"/>
        <v>12_2022</v>
      </c>
      <c r="T526" s="260">
        <f t="shared" si="6"/>
        <v>234.06899999999999</v>
      </c>
      <c r="U526" s="7"/>
      <c r="V526" s="7"/>
      <c r="W526" s="7"/>
      <c r="X526" s="7"/>
      <c r="Y526" s="7"/>
      <c r="Z526" s="7"/>
    </row>
    <row r="527" spans="1:26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258">
        <v>2023</v>
      </c>
      <c r="Q527" s="258">
        <v>1</v>
      </c>
      <c r="R527" s="259" t="s">
        <v>1527</v>
      </c>
      <c r="S527" s="254" t="str">
        <f t="shared" si="5"/>
        <v>1_2023</v>
      </c>
      <c r="T527" s="260">
        <f t="shared" si="6"/>
        <v>254.86199999999999</v>
      </c>
      <c r="U527" s="7"/>
      <c r="V527" s="7"/>
      <c r="W527" s="7"/>
      <c r="X527" s="7"/>
      <c r="Y527" s="7"/>
      <c r="Z527" s="7"/>
    </row>
    <row r="528" spans="1:26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258">
        <v>2023</v>
      </c>
      <c r="Q528" s="258">
        <v>2</v>
      </c>
      <c r="R528" s="259" t="s">
        <v>1528</v>
      </c>
      <c r="S528" s="254" t="str">
        <f t="shared" si="5"/>
        <v>2_2023</v>
      </c>
      <c r="T528" s="260">
        <f t="shared" si="6"/>
        <v>247.386</v>
      </c>
      <c r="U528" s="7"/>
      <c r="V528" s="7"/>
      <c r="W528" s="7"/>
      <c r="X528" s="7"/>
      <c r="Y528" s="7"/>
      <c r="Z528" s="7"/>
    </row>
    <row r="529" spans="1:26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258">
        <v>2023</v>
      </c>
      <c r="Q529" s="258">
        <v>3</v>
      </c>
      <c r="R529" s="259" t="s">
        <v>1529</v>
      </c>
      <c r="S529" s="254" t="str">
        <f t="shared" si="5"/>
        <v>3_2023</v>
      </c>
      <c r="T529" s="260">
        <f t="shared" si="6"/>
        <v>242.89699999999999</v>
      </c>
      <c r="U529" s="7"/>
      <c r="V529" s="7"/>
      <c r="W529" s="7"/>
      <c r="X529" s="7"/>
      <c r="Y529" s="7"/>
      <c r="Z529" s="7"/>
    </row>
    <row r="530" spans="1:26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258">
        <v>2023</v>
      </c>
      <c r="Q530" s="258">
        <v>4</v>
      </c>
      <c r="R530" s="259" t="s">
        <v>1530</v>
      </c>
      <c r="S530" s="254" t="str">
        <f t="shared" si="5"/>
        <v>4_2023</v>
      </c>
      <c r="T530" s="260">
        <f t="shared" si="6"/>
        <v>235.72900000000001</v>
      </c>
      <c r="U530" s="7"/>
      <c r="V530" s="7"/>
      <c r="W530" s="7"/>
      <c r="X530" s="7"/>
      <c r="Y530" s="7"/>
      <c r="Z530" s="7"/>
    </row>
    <row r="531" spans="1:26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258">
        <v>2023</v>
      </c>
      <c r="Q531" s="258">
        <v>5</v>
      </c>
      <c r="R531" s="259" t="s">
        <v>1531</v>
      </c>
      <c r="S531" s="254" t="str">
        <f t="shared" si="5"/>
        <v>5_2023</v>
      </c>
      <c r="T531" s="260">
        <f t="shared" si="6"/>
        <v>242.18899999999999</v>
      </c>
      <c r="U531" s="7"/>
      <c r="V531" s="7"/>
      <c r="W531" s="7"/>
      <c r="X531" s="7"/>
      <c r="Y531" s="7"/>
      <c r="Z531" s="7"/>
    </row>
    <row r="532" spans="1:26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258">
        <v>2023</v>
      </c>
      <c r="Q532" s="258">
        <v>6</v>
      </c>
      <c r="R532" s="259" t="s">
        <v>1532</v>
      </c>
      <c r="S532" s="254" t="str">
        <f t="shared" si="5"/>
        <v>6_2023</v>
      </c>
      <c r="T532" s="260">
        <f t="shared" si="6"/>
        <v>260.84800000000001</v>
      </c>
      <c r="U532" s="7"/>
      <c r="V532" s="7"/>
      <c r="W532" s="7"/>
      <c r="X532" s="7"/>
      <c r="Y532" s="7"/>
      <c r="Z532" s="7"/>
    </row>
    <row r="533" spans="1:26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258">
        <v>2023</v>
      </c>
      <c r="Q533" s="258">
        <v>7</v>
      </c>
      <c r="R533" s="259" t="s">
        <v>1533</v>
      </c>
      <c r="S533" s="254" t="str">
        <f t="shared" si="5"/>
        <v>7_2023</v>
      </c>
      <c r="T533" s="260">
        <f t="shared" si="6"/>
        <v>263.78800000000001</v>
      </c>
      <c r="U533" s="7"/>
      <c r="V533" s="7"/>
      <c r="W533" s="7"/>
      <c r="X533" s="7"/>
      <c r="Y533" s="7"/>
      <c r="Z533" s="7"/>
    </row>
    <row r="534" spans="1:26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258">
        <v>2023</v>
      </c>
      <c r="Q534" s="258">
        <v>8</v>
      </c>
      <c r="R534" s="259" t="s">
        <v>1534</v>
      </c>
      <c r="S534" s="254" t="str">
        <f t="shared" si="5"/>
        <v>8_2023</v>
      </c>
      <c r="T534" s="260">
        <f t="shared" si="6"/>
        <v>265.28500000000003</v>
      </c>
      <c r="U534" s="7"/>
      <c r="V534" s="7"/>
      <c r="W534" s="7"/>
      <c r="X534" s="7"/>
      <c r="Y534" s="7"/>
      <c r="Z534" s="7"/>
    </row>
    <row r="535" spans="1:26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258">
        <v>2023</v>
      </c>
      <c r="Q535" s="258">
        <v>9</v>
      </c>
      <c r="R535" s="259" t="s">
        <v>1535</v>
      </c>
      <c r="S535" s="254" t="str">
        <f t="shared" si="5"/>
        <v>9_2023</v>
      </c>
      <c r="T535" s="260">
        <f t="shared" si="6"/>
        <v>266.02699999999999</v>
      </c>
      <c r="U535" s="7"/>
      <c r="V535" s="7"/>
      <c r="W535" s="7"/>
      <c r="X535" s="7"/>
      <c r="Y535" s="7"/>
      <c r="Z535" s="7"/>
    </row>
    <row r="536" spans="1:26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258">
        <v>2023</v>
      </c>
      <c r="Q536" s="258">
        <v>10</v>
      </c>
      <c r="R536" s="259" t="s">
        <v>1536</v>
      </c>
      <c r="S536" s="254" t="str">
        <f t="shared" si="5"/>
        <v>10_2023</v>
      </c>
      <c r="T536" s="260">
        <f t="shared" si="6"/>
        <v>250.24799999999999</v>
      </c>
      <c r="U536" s="7"/>
      <c r="V536" s="7"/>
      <c r="W536" s="7"/>
      <c r="X536" s="7"/>
      <c r="Y536" s="7"/>
      <c r="Z536" s="7"/>
    </row>
    <row r="537" spans="1:26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258">
        <v>2023</v>
      </c>
      <c r="Q537" s="258">
        <v>11</v>
      </c>
      <c r="R537" s="259" t="s">
        <v>1537</v>
      </c>
      <c r="S537" s="254" t="str">
        <f t="shared" si="5"/>
        <v>11_2023</v>
      </c>
      <c r="T537" s="260">
        <f t="shared" si="6"/>
        <v>246.262</v>
      </c>
      <c r="U537" s="7"/>
      <c r="V537" s="7"/>
      <c r="W537" s="7"/>
      <c r="X537" s="7"/>
      <c r="Y537" s="7"/>
      <c r="Z537" s="7"/>
    </row>
    <row r="538" spans="1:26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258">
        <v>2023</v>
      </c>
      <c r="Q538" s="258">
        <v>12</v>
      </c>
      <c r="R538" s="259" t="s">
        <v>1538</v>
      </c>
      <c r="S538" s="254" t="str">
        <f t="shared" si="5"/>
        <v>12_2023</v>
      </c>
      <c r="T538" s="260">
        <f t="shared" si="6"/>
        <v>246.876</v>
      </c>
      <c r="U538" s="7"/>
      <c r="V538" s="7"/>
      <c r="W538" s="7"/>
      <c r="X538" s="7"/>
      <c r="Y538" s="7"/>
      <c r="Z538" s="7"/>
    </row>
    <row r="539" spans="1:26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258">
        <v>2024</v>
      </c>
      <c r="Q539" s="258">
        <v>1</v>
      </c>
      <c r="R539" s="259" t="s">
        <v>1527</v>
      </c>
      <c r="S539" s="254" t="str">
        <f t="shared" si="5"/>
        <v>1_2024</v>
      </c>
      <c r="T539" s="260">
        <f t="shared" si="6"/>
        <v>248.416</v>
      </c>
      <c r="U539" s="7"/>
      <c r="V539" s="7"/>
      <c r="W539" s="7"/>
      <c r="X539" s="7"/>
      <c r="Y539" s="7"/>
      <c r="Z539" s="7"/>
    </row>
    <row r="540" spans="1:26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258">
        <v>2024</v>
      </c>
      <c r="Q540" s="258">
        <v>2</v>
      </c>
      <c r="R540" s="259" t="s">
        <v>1528</v>
      </c>
      <c r="S540" s="254" t="str">
        <f t="shared" si="5"/>
        <v>2_2024</v>
      </c>
      <c r="T540" s="260">
        <f t="shared" si="6"/>
        <v>255.637</v>
      </c>
      <c r="U540" s="7"/>
      <c r="V540" s="7"/>
      <c r="W540" s="7"/>
      <c r="X540" s="7"/>
      <c r="Y540" s="7"/>
      <c r="Z540" s="7"/>
    </row>
    <row r="541" spans="1:26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258">
        <v>2024</v>
      </c>
      <c r="Q541" s="258">
        <v>3</v>
      </c>
      <c r="R541" s="259" t="s">
        <v>1529</v>
      </c>
      <c r="S541" s="254" t="str">
        <f t="shared" si="5"/>
        <v>3_2024</v>
      </c>
      <c r="T541" s="260">
        <f t="shared" si="6"/>
        <v>250.92400000000001</v>
      </c>
      <c r="U541" s="7"/>
      <c r="V541" s="7"/>
      <c r="W541" s="7"/>
      <c r="X541" s="7"/>
      <c r="Y541" s="7"/>
      <c r="Z541" s="7"/>
    </row>
    <row r="542" spans="1:26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258">
        <v>2024</v>
      </c>
      <c r="Q542" s="258">
        <v>4</v>
      </c>
      <c r="R542" s="259" t="s">
        <v>1530</v>
      </c>
      <c r="S542" s="254" t="str">
        <f t="shared" si="5"/>
        <v>4_2024</v>
      </c>
      <c r="T542" s="260">
        <f t="shared" si="6"/>
        <v>248.63900000000001</v>
      </c>
      <c r="U542" s="7"/>
      <c r="V542" s="7"/>
      <c r="W542" s="7"/>
      <c r="X542" s="7"/>
      <c r="Y542" s="7"/>
      <c r="Z542" s="7"/>
    </row>
    <row r="543" spans="1:26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258">
        <v>2024</v>
      </c>
      <c r="Q543" s="258">
        <v>5</v>
      </c>
      <c r="R543" s="259" t="s">
        <v>1531</v>
      </c>
      <c r="S543" s="254" t="str">
        <f t="shared" si="5"/>
        <v>5_2024</v>
      </c>
      <c r="T543" s="260">
        <f t="shared" si="6"/>
        <v>245.07900000000001</v>
      </c>
      <c r="U543" s="7"/>
      <c r="V543" s="7"/>
      <c r="W543" s="7"/>
      <c r="X543" s="7"/>
      <c r="Y543" s="7"/>
      <c r="Z543" s="7"/>
    </row>
    <row r="544" spans="1:26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258">
        <v>2024</v>
      </c>
      <c r="Q544" s="258">
        <v>6</v>
      </c>
      <c r="R544" s="259" t="s">
        <v>1532</v>
      </c>
      <c r="S544" s="254" t="str">
        <f t="shared" si="5"/>
        <v>6_2024</v>
      </c>
      <c r="T544" s="260">
        <f t="shared" si="6"/>
        <v>265.63200000000001</v>
      </c>
      <c r="U544" s="7"/>
      <c r="V544" s="7"/>
      <c r="W544" s="7"/>
      <c r="X544" s="7"/>
      <c r="Y544" s="7"/>
      <c r="Z544" s="7"/>
    </row>
    <row r="545" spans="1:26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258">
        <v>2024</v>
      </c>
      <c r="Q545" s="258">
        <v>7</v>
      </c>
      <c r="R545" s="259" t="s">
        <v>1533</v>
      </c>
      <c r="S545" s="254" t="str">
        <f t="shared" si="5"/>
        <v>7_2024</v>
      </c>
      <c r="T545" s="260">
        <f t="shared" si="6"/>
        <v>267.52699999999999</v>
      </c>
      <c r="U545" s="7"/>
      <c r="V545" s="7"/>
      <c r="W545" s="7"/>
      <c r="X545" s="7"/>
      <c r="Y545" s="7"/>
      <c r="Z545" s="7"/>
    </row>
    <row r="546" spans="1:26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258">
        <v>2024</v>
      </c>
      <c r="Q546" s="258">
        <v>8</v>
      </c>
      <c r="R546" s="259" t="s">
        <v>1534</v>
      </c>
      <c r="S546" s="254" t="str">
        <f t="shared" si="5"/>
        <v>8_2024</v>
      </c>
      <c r="T546" s="260">
        <f t="shared" si="6"/>
        <v>267.47000000000003</v>
      </c>
      <c r="U546" s="7"/>
      <c r="V546" s="7"/>
      <c r="W546" s="7"/>
      <c r="X546" s="7"/>
      <c r="Y546" s="7"/>
      <c r="Z546" s="7"/>
    </row>
    <row r="547" spans="1:26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258">
        <v>2024</v>
      </c>
      <c r="Q547" s="258">
        <v>9</v>
      </c>
      <c r="R547" s="259" t="s">
        <v>1535</v>
      </c>
      <c r="S547" s="254" t="str">
        <f t="shared" si="5"/>
        <v>9_2024</v>
      </c>
      <c r="T547" s="260">
        <f t="shared" si="6"/>
        <v>267.60700000000003</v>
      </c>
      <c r="U547" s="7"/>
      <c r="V547" s="7"/>
      <c r="W547" s="7"/>
      <c r="X547" s="7"/>
      <c r="Y547" s="7"/>
      <c r="Z547" s="7"/>
    </row>
    <row r="548" spans="1:26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258">
        <v>2024</v>
      </c>
      <c r="Q548" s="258">
        <v>10</v>
      </c>
      <c r="R548" s="259" t="s">
        <v>1536</v>
      </c>
      <c r="S548" s="254" t="str">
        <f t="shared" si="5"/>
        <v>10_2024</v>
      </c>
      <c r="T548" s="260">
        <f t="shared" si="6"/>
        <v>253.60400000000001</v>
      </c>
      <c r="U548" s="7"/>
      <c r="V548" s="7"/>
      <c r="W548" s="7"/>
      <c r="X548" s="7"/>
      <c r="Y548" s="7"/>
      <c r="Z548" s="7"/>
    </row>
    <row r="549" spans="1:26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258">
        <v>2024</v>
      </c>
      <c r="Q549" s="258">
        <v>11</v>
      </c>
      <c r="R549" s="259" t="s">
        <v>1537</v>
      </c>
      <c r="S549" s="254" t="str">
        <f t="shared" si="5"/>
        <v>11_2024</v>
      </c>
      <c r="T549" s="260">
        <f t="shared" si="6"/>
        <v>245.46700000000001</v>
      </c>
      <c r="U549" s="7"/>
      <c r="V549" s="7"/>
      <c r="W549" s="7"/>
      <c r="X549" s="7"/>
      <c r="Y549" s="7"/>
      <c r="Z549" s="7"/>
    </row>
    <row r="550" spans="1:26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258">
        <v>2024</v>
      </c>
      <c r="Q550" s="258">
        <v>12</v>
      </c>
      <c r="R550" s="259" t="s">
        <v>1538</v>
      </c>
      <c r="S550" s="254" t="str">
        <f t="shared" si="5"/>
        <v>12_2024</v>
      </c>
      <c r="T550" s="260">
        <f t="shared" si="6"/>
        <v>246.62</v>
      </c>
      <c r="U550" s="7"/>
      <c r="V550" s="7"/>
      <c r="W550" s="7"/>
      <c r="X550" s="7"/>
      <c r="Y550" s="7"/>
      <c r="Z550" s="7"/>
    </row>
    <row r="551" spans="1:26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8">
    <mergeCell ref="B6:F6"/>
    <mergeCell ref="B7:F7"/>
    <mergeCell ref="B8:F8"/>
    <mergeCell ref="A1:F1"/>
    <mergeCell ref="A2:F2"/>
    <mergeCell ref="A3:F3"/>
    <mergeCell ref="B4:F4"/>
    <mergeCell ref="B5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>
      <selection sqref="A1:F1"/>
    </sheetView>
  </sheetViews>
  <sheetFormatPr baseColWidth="10" defaultColWidth="14.453125" defaultRowHeight="15" customHeight="1"/>
  <cols>
    <col min="1" max="1" width="25.7265625" customWidth="1"/>
    <col min="2" max="6" width="11.7265625" customWidth="1"/>
    <col min="7" max="26" width="11.453125" customWidth="1"/>
  </cols>
  <sheetData>
    <row r="1" spans="1:26" ht="12.75" customHeight="1">
      <c r="A1" s="341" t="s">
        <v>1555</v>
      </c>
      <c r="B1" s="337"/>
      <c r="C1" s="337"/>
      <c r="D1" s="337"/>
      <c r="E1" s="337"/>
      <c r="F1" s="337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</row>
    <row r="2" spans="1:26" ht="12.75" customHeight="1">
      <c r="A2" s="341" t="s">
        <v>1556</v>
      </c>
      <c r="B2" s="337"/>
      <c r="C2" s="337"/>
      <c r="D2" s="337"/>
      <c r="E2" s="337"/>
      <c r="F2" s="337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</row>
    <row r="3" spans="1:26" ht="12.75" customHeight="1">
      <c r="A3" s="341" t="s">
        <v>1557</v>
      </c>
      <c r="B3" s="337"/>
      <c r="C3" s="337"/>
      <c r="D3" s="337"/>
      <c r="E3" s="337"/>
      <c r="F3" s="337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</row>
    <row r="4" spans="1:26" ht="12.75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</row>
    <row r="5" spans="1:26" ht="12.75" customHeight="1">
      <c r="A5" s="341" t="s">
        <v>1558</v>
      </c>
      <c r="B5" s="337"/>
      <c r="C5" s="337"/>
      <c r="D5" s="337"/>
      <c r="E5" s="337"/>
      <c r="F5" s="337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</row>
    <row r="6" spans="1:26" ht="12.75" customHeight="1">
      <c r="A6" s="341" t="s">
        <v>1559</v>
      </c>
      <c r="B6" s="337"/>
      <c r="C6" s="337"/>
      <c r="D6" s="337"/>
      <c r="E6" s="337"/>
      <c r="F6" s="337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</row>
    <row r="7" spans="1:26" ht="12.75" customHeight="1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</row>
    <row r="8" spans="1:26" ht="19.5" customHeight="1">
      <c r="A8" s="342" t="s">
        <v>1362</v>
      </c>
      <c r="B8" s="344" t="s">
        <v>1560</v>
      </c>
      <c r="C8" s="345"/>
      <c r="D8" s="345"/>
      <c r="E8" s="345"/>
      <c r="F8" s="345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9.5" customHeight="1">
      <c r="A9" s="343"/>
      <c r="B9" s="269" t="s">
        <v>1561</v>
      </c>
      <c r="C9" s="270" t="s">
        <v>1562</v>
      </c>
      <c r="D9" s="269" t="s">
        <v>1563</v>
      </c>
      <c r="E9" s="269" t="s">
        <v>1564</v>
      </c>
      <c r="F9" s="271" t="s">
        <v>1565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2.75" customHeight="1">
      <c r="A10" s="272"/>
      <c r="B10" s="272"/>
      <c r="C10" s="272"/>
      <c r="D10" s="272"/>
      <c r="E10" s="272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2.75" customHeight="1">
      <c r="A11" s="272">
        <v>1980</v>
      </c>
      <c r="B11" s="272">
        <v>104.7</v>
      </c>
      <c r="C11" s="273" t="s">
        <v>1566</v>
      </c>
      <c r="D11" s="272">
        <v>105.8</v>
      </c>
      <c r="E11" s="272">
        <v>112.3</v>
      </c>
      <c r="F11" s="268">
        <v>72.599999999999994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</row>
    <row r="12" spans="1:26" ht="12.75" customHeight="1">
      <c r="A12" s="272">
        <f t="shared" ref="A12:A55" si="0">+A11+1</f>
        <v>1981</v>
      </c>
      <c r="B12" s="272">
        <v>118.4</v>
      </c>
      <c r="C12" s="274">
        <v>13.1</v>
      </c>
      <c r="D12" s="272">
        <v>119.5</v>
      </c>
      <c r="E12" s="272">
        <v>128.1</v>
      </c>
      <c r="F12" s="268">
        <v>78.3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</row>
    <row r="13" spans="1:26" ht="12.75" customHeight="1">
      <c r="A13" s="272">
        <f t="shared" si="0"/>
        <v>1982</v>
      </c>
      <c r="B13" s="272">
        <v>121.1</v>
      </c>
      <c r="C13" s="274">
        <v>2.2999999999999998</v>
      </c>
      <c r="D13" s="272">
        <v>120.6</v>
      </c>
      <c r="E13" s="272">
        <v>132.4</v>
      </c>
      <c r="F13" s="268">
        <v>80.8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</row>
    <row r="14" spans="1:26" ht="12.75" customHeight="1">
      <c r="A14" s="272">
        <f t="shared" si="0"/>
        <v>1983</v>
      </c>
      <c r="B14" s="272">
        <v>116.5</v>
      </c>
      <c r="C14" s="274">
        <v>-3.8</v>
      </c>
      <c r="D14" s="272">
        <v>114.4</v>
      </c>
      <c r="E14" s="272">
        <v>127.3</v>
      </c>
      <c r="F14" s="268">
        <v>82.5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</row>
    <row r="15" spans="1:26" ht="12.75" customHeight="1">
      <c r="A15" s="272">
        <f t="shared" si="0"/>
        <v>1984</v>
      </c>
      <c r="B15" s="272">
        <v>117.7</v>
      </c>
      <c r="C15" s="274">
        <v>1</v>
      </c>
      <c r="D15" s="272">
        <v>116.5</v>
      </c>
      <c r="E15" s="272">
        <v>125.2</v>
      </c>
      <c r="F15" s="268">
        <v>93.3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</row>
    <row r="16" spans="1:26" ht="12.75" customHeight="1">
      <c r="A16" s="272">
        <f t="shared" si="0"/>
        <v>1985</v>
      </c>
      <c r="B16" s="272">
        <v>117.3</v>
      </c>
      <c r="C16" s="274">
        <v>-0.3</v>
      </c>
      <c r="D16" s="272">
        <v>114.8</v>
      </c>
      <c r="E16" s="272">
        <v>125.1</v>
      </c>
      <c r="F16" s="268">
        <v>95.7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</row>
    <row r="17" spans="1:26" ht="12.75" customHeight="1">
      <c r="A17" s="272">
        <f t="shared" si="0"/>
        <v>1986</v>
      </c>
      <c r="B17" s="272">
        <v>98.6</v>
      </c>
      <c r="C17" s="274">
        <v>-15.9</v>
      </c>
      <c r="D17" s="272">
        <v>88.9</v>
      </c>
      <c r="E17" s="272">
        <v>106.2</v>
      </c>
      <c r="F17" s="268">
        <v>99.6</v>
      </c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</row>
    <row r="18" spans="1:26" ht="12.75" customHeight="1">
      <c r="A18" s="272">
        <f t="shared" si="0"/>
        <v>1987</v>
      </c>
      <c r="B18" s="275">
        <v>100</v>
      </c>
      <c r="C18" s="274">
        <v>1.4</v>
      </c>
      <c r="D18" s="275">
        <v>100</v>
      </c>
      <c r="E18" s="275">
        <v>100</v>
      </c>
      <c r="F18" s="276">
        <v>100</v>
      </c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</row>
    <row r="19" spans="1:26" ht="12.75" customHeight="1">
      <c r="A19" s="272">
        <f t="shared" si="0"/>
        <v>1988</v>
      </c>
      <c r="B19" s="272">
        <v>99.7</v>
      </c>
      <c r="C19" s="274">
        <v>-0.3</v>
      </c>
      <c r="D19" s="275">
        <v>99</v>
      </c>
      <c r="E19" s="272">
        <v>98.9</v>
      </c>
      <c r="F19" s="268">
        <v>105.7</v>
      </c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</row>
    <row r="20" spans="1:26" ht="12.75" customHeight="1">
      <c r="A20" s="272">
        <f t="shared" si="0"/>
        <v>1989</v>
      </c>
      <c r="B20" s="272">
        <v>103.8</v>
      </c>
      <c r="C20" s="274">
        <v>4.0999999999999996</v>
      </c>
      <c r="D20" s="272">
        <v>105.9</v>
      </c>
      <c r="E20" s="272">
        <v>100.7</v>
      </c>
      <c r="F20" s="276">
        <v>109</v>
      </c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</row>
    <row r="21" spans="1:26" ht="12.75" customHeight="1">
      <c r="A21" s="272">
        <f t="shared" si="0"/>
        <v>1990</v>
      </c>
      <c r="B21" s="272">
        <v>107.9</v>
      </c>
      <c r="C21" s="274">
        <v>3.9</v>
      </c>
      <c r="D21" s="272">
        <v>110.7</v>
      </c>
      <c r="E21" s="272">
        <v>104.8</v>
      </c>
      <c r="F21" s="268">
        <v>110.3</v>
      </c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</row>
    <row r="22" spans="1:26" ht="12.75" customHeight="1">
      <c r="A22" s="272">
        <f t="shared" si="0"/>
        <v>1991</v>
      </c>
      <c r="B22" s="272">
        <v>108.4</v>
      </c>
      <c r="C22" s="274">
        <v>0.5</v>
      </c>
      <c r="D22" s="272">
        <v>109.9</v>
      </c>
      <c r="E22" s="272">
        <v>106.8</v>
      </c>
      <c r="F22" s="276">
        <v>109</v>
      </c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</row>
    <row r="23" spans="1:26" ht="12.75" customHeight="1">
      <c r="A23" s="272">
        <f t="shared" si="0"/>
        <v>1992</v>
      </c>
      <c r="B23" s="272">
        <v>110.4</v>
      </c>
      <c r="C23" s="274">
        <v>1.8</v>
      </c>
      <c r="D23" s="272">
        <v>112.8</v>
      </c>
      <c r="E23" s="272">
        <v>108.3</v>
      </c>
      <c r="F23" s="276">
        <v>110</v>
      </c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</row>
    <row r="24" spans="1:26" ht="12.75" customHeight="1">
      <c r="A24" s="272">
        <f t="shared" si="0"/>
        <v>1993</v>
      </c>
      <c r="B24" s="272">
        <v>110.1</v>
      </c>
      <c r="C24" s="274">
        <v>-0.3</v>
      </c>
      <c r="D24" s="272">
        <v>114.8</v>
      </c>
      <c r="E24" s="272">
        <v>105.6</v>
      </c>
      <c r="F24" s="268">
        <v>110.8</v>
      </c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</row>
    <row r="25" spans="1:26" ht="12.75" customHeight="1">
      <c r="A25" s="272">
        <f t="shared" si="0"/>
        <v>1994</v>
      </c>
      <c r="B25" s="272">
        <v>112.4</v>
      </c>
      <c r="C25" s="274">
        <v>2.1</v>
      </c>
      <c r="D25" s="272">
        <v>116.9</v>
      </c>
      <c r="E25" s="272">
        <v>107.9</v>
      </c>
      <c r="F25" s="268">
        <v>113.5</v>
      </c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</row>
    <row r="26" spans="1:26" ht="12.75" customHeight="1">
      <c r="A26" s="272">
        <f t="shared" si="0"/>
        <v>1995</v>
      </c>
      <c r="B26" s="272">
        <v>115.7</v>
      </c>
      <c r="C26" s="274">
        <v>2.9</v>
      </c>
      <c r="D26" s="272">
        <v>121.5</v>
      </c>
      <c r="E26" s="272">
        <v>110.8</v>
      </c>
      <c r="F26" s="268">
        <v>113.2</v>
      </c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</row>
    <row r="27" spans="1:26" ht="12.75" customHeight="1">
      <c r="A27" s="272">
        <f t="shared" si="0"/>
        <v>1996</v>
      </c>
      <c r="B27" s="272">
        <v>118.2</v>
      </c>
      <c r="C27" s="274">
        <v>2.2000000000000002</v>
      </c>
      <c r="D27" s="272">
        <v>126.2</v>
      </c>
      <c r="E27" s="272">
        <v>112.3</v>
      </c>
      <c r="F27" s="276">
        <v>111</v>
      </c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</row>
    <row r="28" spans="1:26" ht="12.75" customHeight="1">
      <c r="A28" s="272">
        <f t="shared" si="0"/>
        <v>1997</v>
      </c>
      <c r="B28" s="272">
        <v>115.5</v>
      </c>
      <c r="C28" s="274">
        <v>-2.2999999999999998</v>
      </c>
      <c r="D28" s="275">
        <v>121</v>
      </c>
      <c r="E28" s="272">
        <v>111.2</v>
      </c>
      <c r="F28" s="276">
        <v>111.7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</row>
    <row r="29" spans="1:26" ht="12.75" customHeight="1">
      <c r="A29" s="272">
        <f t="shared" si="0"/>
        <v>1998</v>
      </c>
      <c r="B29" s="275">
        <v>111</v>
      </c>
      <c r="C29" s="274">
        <v>-3.9</v>
      </c>
      <c r="D29" s="275">
        <v>114.1</v>
      </c>
      <c r="E29" s="272">
        <v>107.6</v>
      </c>
      <c r="F29" s="276">
        <v>113.4</v>
      </c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</row>
    <row r="30" spans="1:26" ht="12.75" customHeight="1">
      <c r="A30" s="272">
        <f t="shared" si="0"/>
        <v>1999</v>
      </c>
      <c r="B30" s="275">
        <v>114</v>
      </c>
      <c r="C30" s="274">
        <v>2.7</v>
      </c>
      <c r="D30" s="275">
        <v>120.9</v>
      </c>
      <c r="E30" s="272">
        <v>107.3</v>
      </c>
      <c r="F30" s="276">
        <v>114.3</v>
      </c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</row>
    <row r="31" spans="1:26" ht="12.75" customHeight="1">
      <c r="A31" s="272">
        <f t="shared" si="0"/>
        <v>2000</v>
      </c>
      <c r="B31" s="277">
        <v>124</v>
      </c>
      <c r="C31" s="274">
        <v>8.8000000000000007</v>
      </c>
      <c r="D31" s="277">
        <v>136.69999999999999</v>
      </c>
      <c r="E31" s="278">
        <v>113.9</v>
      </c>
      <c r="F31" s="279">
        <v>115</v>
      </c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</row>
    <row r="32" spans="1:26" ht="12.75" customHeight="1">
      <c r="A32" s="272">
        <f t="shared" si="0"/>
        <v>2001</v>
      </c>
      <c r="B32" s="277">
        <v>120</v>
      </c>
      <c r="C32" s="274">
        <v>-3.2</v>
      </c>
      <c r="D32" s="277">
        <v>129.69999999999999</v>
      </c>
      <c r="E32" s="278">
        <v>111.8</v>
      </c>
      <c r="F32" s="279">
        <v>115.6</v>
      </c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</row>
    <row r="33" spans="1:26" ht="12.75" customHeight="1">
      <c r="A33" s="272">
        <f t="shared" si="0"/>
        <v>2002</v>
      </c>
      <c r="B33" s="277">
        <v>116.4</v>
      </c>
      <c r="C33" s="274">
        <v>-3</v>
      </c>
      <c r="D33" s="277">
        <v>123.9</v>
      </c>
      <c r="E33" s="278">
        <v>109.7</v>
      </c>
      <c r="F33" s="279">
        <v>114.7</v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</row>
    <row r="34" spans="1:26" ht="12.75" customHeight="1">
      <c r="A34" s="272">
        <f t="shared" si="0"/>
        <v>2003</v>
      </c>
      <c r="B34" s="277">
        <v>118.3</v>
      </c>
      <c r="C34" s="274">
        <v>1.6</v>
      </c>
      <c r="D34" s="277">
        <v>125.9</v>
      </c>
      <c r="E34" s="278">
        <v>112.9</v>
      </c>
      <c r="F34" s="279">
        <v>111.4</v>
      </c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</row>
    <row r="35" spans="1:26" ht="12.75" customHeight="1">
      <c r="A35" s="272">
        <f t="shared" si="0"/>
        <v>2004</v>
      </c>
      <c r="B35" s="277">
        <v>123.5</v>
      </c>
      <c r="C35" s="274">
        <v>4.4000000000000004</v>
      </c>
      <c r="D35" s="280" t="s">
        <v>1567</v>
      </c>
      <c r="E35" s="280" t="s">
        <v>1568</v>
      </c>
      <c r="F35" s="279">
        <v>114.3</v>
      </c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</row>
    <row r="36" spans="1:26" ht="12.75" customHeight="1">
      <c r="A36" s="272">
        <f t="shared" si="0"/>
        <v>2005</v>
      </c>
      <c r="B36" s="277">
        <v>130.5</v>
      </c>
      <c r="C36" s="274">
        <v>5.7</v>
      </c>
      <c r="D36" s="277">
        <v>149.1</v>
      </c>
      <c r="E36" s="277">
        <v>116.6</v>
      </c>
      <c r="F36" s="279">
        <v>114.1</v>
      </c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</row>
    <row r="37" spans="1:26" ht="12.75" customHeight="1">
      <c r="A37" s="272">
        <f t="shared" si="0"/>
        <v>2006</v>
      </c>
      <c r="B37" s="277">
        <v>138.4</v>
      </c>
      <c r="C37" s="274">
        <v>6.1</v>
      </c>
      <c r="D37" s="277">
        <v>164.2</v>
      </c>
      <c r="E37" s="277">
        <v>118.7</v>
      </c>
      <c r="F37" s="279">
        <v>117.7</v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</row>
    <row r="38" spans="1:26" ht="12.75" customHeight="1">
      <c r="A38" s="272">
        <f t="shared" si="0"/>
        <v>2007</v>
      </c>
      <c r="B38" s="277">
        <v>145.80000000000001</v>
      </c>
      <c r="C38" s="274">
        <v>5.3</v>
      </c>
      <c r="D38" s="277">
        <v>173.7</v>
      </c>
      <c r="E38" s="277">
        <v>124.1</v>
      </c>
      <c r="F38" s="279">
        <v>125.1</v>
      </c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</row>
    <row r="39" spans="1:26" ht="12.75" customHeight="1">
      <c r="A39" s="272">
        <f t="shared" si="0"/>
        <v>2008</v>
      </c>
      <c r="B39" s="277">
        <v>168.8</v>
      </c>
      <c r="C39" s="274">
        <v>15.8</v>
      </c>
      <c r="D39" s="277">
        <v>210.4</v>
      </c>
      <c r="E39" s="277">
        <v>138.5</v>
      </c>
      <c r="F39" s="279">
        <v>129.5</v>
      </c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</row>
    <row r="40" spans="1:26" ht="12.75" customHeight="1">
      <c r="A40" s="272">
        <f t="shared" si="0"/>
        <v>2009</v>
      </c>
      <c r="B40" s="277">
        <v>157.5</v>
      </c>
      <c r="C40" s="274">
        <v>-6.7</v>
      </c>
      <c r="D40" s="277">
        <v>180.7</v>
      </c>
      <c r="E40" s="277">
        <v>139.4</v>
      </c>
      <c r="F40" s="279">
        <v>140.6</v>
      </c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</row>
    <row r="41" spans="1:26" ht="12.75" customHeight="1">
      <c r="A41" s="272">
        <f t="shared" si="0"/>
        <v>2010</v>
      </c>
      <c r="B41" s="277">
        <v>163.57499999999999</v>
      </c>
      <c r="C41" s="274">
        <v>3.9</v>
      </c>
      <c r="D41" s="277">
        <v>193.125</v>
      </c>
      <c r="E41" s="277">
        <v>140.69999999999999</v>
      </c>
      <c r="F41" s="279">
        <v>143.25</v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</row>
    <row r="42" spans="1:26" ht="12.75" customHeight="1">
      <c r="A42" s="272">
        <f t="shared" si="0"/>
        <v>2011</v>
      </c>
      <c r="B42" s="277">
        <v>182.97499999999999</v>
      </c>
      <c r="C42" s="274">
        <v>11.9</v>
      </c>
      <c r="D42" s="277">
        <v>226.125</v>
      </c>
      <c r="E42" s="277">
        <v>150.15</v>
      </c>
      <c r="F42" s="279">
        <v>147.97499999999999</v>
      </c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</row>
    <row r="43" spans="1:26" ht="12.75" customHeight="1">
      <c r="A43" s="272">
        <f t="shared" si="0"/>
        <v>2012</v>
      </c>
      <c r="B43" s="277">
        <v>191.6</v>
      </c>
      <c r="C43" s="274">
        <v>4.7</v>
      </c>
      <c r="D43" s="277">
        <v>237.9</v>
      </c>
      <c r="E43" s="277">
        <v>156.1</v>
      </c>
      <c r="F43" s="279">
        <v>155.9</v>
      </c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</row>
    <row r="44" spans="1:26" ht="12.75" customHeight="1">
      <c r="A44" s="272">
        <f t="shared" si="0"/>
        <v>2013</v>
      </c>
      <c r="B44" s="277">
        <v>191.875</v>
      </c>
      <c r="C44" s="274">
        <v>0.1</v>
      </c>
      <c r="D44" s="277">
        <v>233.4</v>
      </c>
      <c r="E44" s="277">
        <v>159.5</v>
      </c>
      <c r="F44" s="279">
        <v>162.19999999999999</v>
      </c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</row>
    <row r="45" spans="1:26" ht="12.75" customHeight="1">
      <c r="A45" s="272">
        <f t="shared" si="0"/>
        <v>2014</v>
      </c>
      <c r="B45" s="277">
        <v>188.8</v>
      </c>
      <c r="C45" s="274">
        <v>-1.6</v>
      </c>
      <c r="D45" s="277">
        <v>222.3</v>
      </c>
      <c r="E45" s="277">
        <v>160.72499999999999</v>
      </c>
      <c r="F45" s="279">
        <v>172.82499999999999</v>
      </c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</row>
    <row r="46" spans="1:26" ht="12.75" customHeight="1">
      <c r="A46" s="272">
        <f t="shared" si="0"/>
        <v>2015</v>
      </c>
      <c r="B46" s="277">
        <v>177.97499999999999</v>
      </c>
      <c r="C46" s="274">
        <v>-5.7</v>
      </c>
      <c r="D46" s="277">
        <v>195.55</v>
      </c>
      <c r="E46" s="277">
        <v>160.1</v>
      </c>
      <c r="F46" s="279">
        <v>183.4</v>
      </c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</row>
    <row r="47" spans="1:26" ht="12.75" customHeight="1">
      <c r="A47" s="281">
        <f t="shared" si="0"/>
        <v>2016</v>
      </c>
      <c r="B47" s="277">
        <v>176.52500000000001</v>
      </c>
      <c r="C47" s="282">
        <v>-0.8</v>
      </c>
      <c r="D47" s="283">
        <v>190.8</v>
      </c>
      <c r="E47" s="284">
        <v>160.19999999999999</v>
      </c>
      <c r="F47" s="285">
        <v>188.6</v>
      </c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</row>
    <row r="48" spans="1:26" ht="14.25" customHeight="1">
      <c r="A48" s="286">
        <f t="shared" si="0"/>
        <v>2017</v>
      </c>
      <c r="B48" s="287">
        <f>+B47*(1+'IPC Pan'!C15)</f>
        <v>178.06</v>
      </c>
      <c r="C48" s="288"/>
      <c r="D48" s="287"/>
      <c r="E48" s="289"/>
      <c r="F48" s="290"/>
      <c r="G48" s="268" t="s">
        <v>1569</v>
      </c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</row>
    <row r="49" spans="1:26" ht="12.75" customHeight="1">
      <c r="A49" s="272">
        <f t="shared" si="0"/>
        <v>2018</v>
      </c>
      <c r="B49" s="277">
        <f>+B48*(1+'IPC Pan'!C16)</f>
        <v>179.42444444444445</v>
      </c>
      <c r="C49" s="274"/>
      <c r="D49" s="277"/>
      <c r="E49" s="278"/>
      <c r="F49" s="279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</row>
    <row r="50" spans="1:26" ht="12.75" customHeight="1">
      <c r="A50" s="272">
        <f t="shared" si="0"/>
        <v>2019</v>
      </c>
      <c r="B50" s="277">
        <f>+B49*(1+'IPC Pan'!C17)</f>
        <v>178.91277777777779</v>
      </c>
      <c r="C50" s="274"/>
      <c r="D50" s="277"/>
      <c r="E50" s="278"/>
      <c r="F50" s="279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2.75" customHeight="1">
      <c r="A51" s="272">
        <f t="shared" si="0"/>
        <v>2020</v>
      </c>
      <c r="B51" s="277">
        <f>+B50*(1+'IPC Pan'!C18)</f>
        <v>176.01333333333335</v>
      </c>
      <c r="C51" s="274"/>
      <c r="D51" s="277"/>
      <c r="E51" s="278"/>
      <c r="F51" s="279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</row>
    <row r="52" spans="1:26" ht="12.75" customHeight="1">
      <c r="A52" s="272">
        <f t="shared" si="0"/>
        <v>2021</v>
      </c>
      <c r="B52" s="277">
        <f>+B51*(1+'IPC Pan'!C19)</f>
        <v>178.91277777777779</v>
      </c>
      <c r="C52" s="291"/>
      <c r="D52" s="276"/>
      <c r="E52" s="268"/>
      <c r="F52" s="276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</row>
    <row r="53" spans="1:26" ht="12.75" customHeight="1">
      <c r="A53" s="272">
        <f t="shared" si="0"/>
        <v>2022</v>
      </c>
      <c r="B53" s="277">
        <f>+B52*(1+'IPC Pan'!C20)</f>
        <v>184.02944444444447</v>
      </c>
      <c r="C53" s="291"/>
      <c r="D53" s="276"/>
      <c r="E53" s="268"/>
      <c r="F53" s="276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</row>
    <row r="54" spans="1:26" ht="12.75" customHeight="1">
      <c r="A54" s="272">
        <f t="shared" si="0"/>
        <v>2023</v>
      </c>
      <c r="B54" s="277">
        <f>+B53*(1+'IPC Pan'!C21)</f>
        <v>186.75833333333335</v>
      </c>
      <c r="C54" s="291"/>
      <c r="D54" s="276"/>
      <c r="E54" s="268"/>
      <c r="F54" s="276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</row>
    <row r="55" spans="1:26" ht="12.75" customHeight="1">
      <c r="A55" s="272">
        <f t="shared" si="0"/>
        <v>2024</v>
      </c>
      <c r="B55" s="277">
        <f>+B54*(1+'IPC Pan'!C22)</f>
        <v>188.1227777777778</v>
      </c>
      <c r="C55" s="291"/>
      <c r="D55" s="276"/>
      <c r="E55" s="268"/>
      <c r="F55" s="276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</row>
    <row r="56" spans="1:26" ht="12.75" customHeight="1">
      <c r="A56" s="268"/>
      <c r="B56" s="276"/>
      <c r="C56" s="291"/>
      <c r="D56" s="276"/>
      <c r="E56" s="268"/>
      <c r="F56" s="276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</row>
    <row r="57" spans="1:26" ht="12.75" customHeight="1">
      <c r="A57" s="268"/>
      <c r="B57" s="276"/>
      <c r="C57" s="291"/>
      <c r="D57" s="276"/>
      <c r="E57" s="268"/>
      <c r="F57" s="276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</row>
    <row r="58" spans="1:26" ht="12.75" customHeight="1">
      <c r="A58" s="268"/>
      <c r="B58" s="276"/>
      <c r="C58" s="291"/>
      <c r="D58" s="276"/>
      <c r="E58" s="268"/>
      <c r="F58" s="276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</row>
    <row r="59" spans="1:26" ht="12.75" customHeight="1">
      <c r="A59" s="268" t="s">
        <v>1570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</row>
    <row r="60" spans="1:26" ht="12.75" customHeight="1">
      <c r="A60" s="268" t="s">
        <v>1571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</row>
    <row r="61" spans="1:26" ht="12.75" customHeight="1">
      <c r="A61" s="268" t="s">
        <v>1572</v>
      </c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</row>
    <row r="62" spans="1:26" ht="12.75" customHeight="1">
      <c r="A62" s="268" t="s">
        <v>1573</v>
      </c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</row>
    <row r="63" spans="1:26" ht="12.75" customHeight="1">
      <c r="A63" s="268" t="s">
        <v>1574</v>
      </c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</row>
    <row r="64" spans="1:26" ht="12.75" customHeight="1">
      <c r="A64" s="268"/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</row>
    <row r="65" spans="1:26" ht="12.75" customHeight="1">
      <c r="A65" s="268" t="s">
        <v>1575</v>
      </c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</row>
    <row r="66" spans="1:26" ht="12.75" customHeight="1">
      <c r="A66" s="268"/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</row>
    <row r="67" spans="1:26" ht="12.75" customHeight="1">
      <c r="A67" s="268"/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</row>
    <row r="68" spans="1:26" ht="12.75" customHeight="1">
      <c r="A68" s="268"/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</row>
    <row r="69" spans="1:26" ht="12.75" customHeight="1">
      <c r="A69" s="268"/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</row>
    <row r="70" spans="1:26" ht="12.75" customHeight="1">
      <c r="A70" s="268"/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</row>
    <row r="71" spans="1:26" ht="12.75" customHeight="1">
      <c r="A71" s="268"/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</row>
    <row r="72" spans="1:26" ht="12.75" customHeight="1">
      <c r="A72" s="268"/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</row>
    <row r="73" spans="1:26" ht="12.75" customHeight="1">
      <c r="A73" s="268"/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</row>
    <row r="74" spans="1:26" ht="12.75" customHeight="1">
      <c r="A74" s="268"/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</row>
    <row r="75" spans="1:26" ht="12.75" customHeight="1">
      <c r="A75" s="268"/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</row>
    <row r="76" spans="1:26" ht="12.75" customHeight="1">
      <c r="A76" s="268"/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</row>
    <row r="77" spans="1:26" ht="12.75" customHeight="1">
      <c r="A77" s="268"/>
      <c r="B77" s="268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</row>
    <row r="78" spans="1:26" ht="12.75" customHeight="1">
      <c r="A78" s="268"/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</row>
    <row r="79" spans="1:26" ht="12.75" customHeight="1">
      <c r="A79" s="268"/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</row>
    <row r="80" spans="1:26" ht="12.75" customHeight="1">
      <c r="A80" s="268"/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</row>
    <row r="81" spans="1:26" ht="12.75" customHeight="1">
      <c r="A81" s="268"/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</row>
    <row r="82" spans="1:26" ht="12.75" customHeight="1">
      <c r="A82" s="268"/>
      <c r="B82" s="268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</row>
    <row r="83" spans="1:26" ht="12.75" customHeight="1">
      <c r="A83" s="268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</row>
    <row r="84" spans="1:26" ht="12.75" customHeight="1">
      <c r="A84" s="268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</row>
    <row r="85" spans="1:26" ht="12.75" customHeight="1">
      <c r="A85" s="268"/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</row>
    <row r="86" spans="1:26" ht="12.75" customHeight="1">
      <c r="A86" s="268"/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</row>
    <row r="87" spans="1:26" ht="12.75" customHeight="1">
      <c r="A87" s="268"/>
      <c r="B87" s="268"/>
      <c r="C87" s="268"/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</row>
    <row r="88" spans="1:26" ht="12.75" customHeight="1">
      <c r="A88" s="268"/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</row>
    <row r="89" spans="1:26" ht="12.75" customHeight="1">
      <c r="A89" s="268"/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</row>
    <row r="90" spans="1:26" ht="12.75" customHeight="1">
      <c r="A90" s="268"/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</row>
    <row r="91" spans="1:26" ht="12.75" customHeight="1">
      <c r="A91" s="268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</row>
    <row r="92" spans="1:26" ht="12.75" customHeight="1">
      <c r="A92" s="268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</row>
    <row r="93" spans="1:26" ht="12.75" customHeight="1">
      <c r="A93" s="268"/>
      <c r="B93" s="268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</row>
    <row r="94" spans="1:26" ht="12.75" customHeight="1">
      <c r="A94" s="268"/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</row>
    <row r="95" spans="1:26" ht="12.75" customHeight="1">
      <c r="A95" s="268"/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</row>
    <row r="96" spans="1:26" ht="12.75" customHeight="1">
      <c r="A96" s="268"/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</row>
    <row r="97" spans="1:26" ht="12.75" customHeight="1">
      <c r="A97" s="268"/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</row>
    <row r="98" spans="1:26" ht="12.75" customHeight="1">
      <c r="A98" s="268"/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</row>
    <row r="99" spans="1:26" ht="12.75" customHeight="1">
      <c r="A99" s="268"/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</row>
    <row r="100" spans="1:26" ht="12.75" customHeight="1">
      <c r="A100" s="268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</row>
    <row r="101" spans="1:26" ht="12.75" customHeight="1">
      <c r="A101" s="268"/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</row>
    <row r="102" spans="1:26" ht="12.75" customHeight="1">
      <c r="A102" s="268"/>
      <c r="B102" s="268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</row>
    <row r="103" spans="1:26" ht="12.75" customHeight="1">
      <c r="A103" s="268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</row>
    <row r="104" spans="1:26" ht="12.75" customHeight="1">
      <c r="A104" s="268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</row>
    <row r="105" spans="1:26" ht="12.75" customHeight="1">
      <c r="A105" s="268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</row>
    <row r="106" spans="1:26" ht="12.75" customHeight="1">
      <c r="A106" s="268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</row>
    <row r="107" spans="1:26" ht="12.75" customHeight="1">
      <c r="A107" s="268"/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</row>
    <row r="108" spans="1:26" ht="12.75" customHeight="1">
      <c r="A108" s="268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</row>
    <row r="109" spans="1:26" ht="12.75" customHeight="1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</row>
    <row r="110" spans="1:26" ht="12.75" customHeight="1">
      <c r="A110" s="268"/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</row>
    <row r="111" spans="1:26" ht="12.75" customHeight="1">
      <c r="A111" s="268"/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</row>
    <row r="112" spans="1:26" ht="12.75" customHeight="1">
      <c r="A112" s="268"/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</row>
    <row r="113" spans="1:26" ht="12.75" customHeight="1">
      <c r="A113" s="268"/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</row>
    <row r="114" spans="1:26" ht="12.75" customHeight="1">
      <c r="A114" s="268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</row>
    <row r="115" spans="1:26" ht="12.75" customHeight="1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</row>
    <row r="116" spans="1:26" ht="12.75" customHeight="1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</row>
    <row r="117" spans="1:26" ht="12.75" customHeight="1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</row>
    <row r="118" spans="1:26" ht="12.75" customHeight="1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</row>
    <row r="119" spans="1:26" ht="12.75" customHeight="1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</row>
    <row r="120" spans="1:26" ht="12.75" customHeight="1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</row>
    <row r="121" spans="1:26" ht="12.75" customHeight="1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</row>
    <row r="122" spans="1:26" ht="12.75" customHeight="1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</row>
    <row r="123" spans="1:26" ht="12.75" customHeight="1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</row>
    <row r="124" spans="1:26" ht="12.75" customHeight="1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</row>
    <row r="125" spans="1:26" ht="12.75" customHeight="1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</row>
    <row r="126" spans="1:26" ht="12.75" customHeight="1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</row>
    <row r="127" spans="1:26" ht="12.75" customHeight="1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</row>
    <row r="128" spans="1:26" ht="12.75" customHeight="1">
      <c r="A128" s="268"/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</row>
    <row r="129" spans="1:26" ht="12.75" customHeight="1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</row>
    <row r="130" spans="1:26" ht="12.75" customHeight="1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</row>
    <row r="131" spans="1:26" ht="12.75" customHeight="1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</row>
    <row r="132" spans="1:26" ht="12.75" customHeight="1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</row>
    <row r="133" spans="1:26" ht="12.75" customHeight="1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</row>
    <row r="134" spans="1:26" ht="12.75" customHeight="1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</row>
    <row r="135" spans="1:26" ht="12.75" customHeight="1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</row>
    <row r="136" spans="1:26" ht="12.75" customHeight="1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</row>
    <row r="137" spans="1:26" ht="12.75" customHeight="1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</row>
    <row r="138" spans="1:26" ht="12.75" customHeight="1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</row>
    <row r="139" spans="1:26" ht="12.75" customHeight="1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</row>
    <row r="140" spans="1:26" ht="12.75" customHeight="1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</row>
    <row r="141" spans="1:26" ht="12.75" customHeight="1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</row>
    <row r="142" spans="1:26" ht="12.75" customHeight="1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</row>
    <row r="143" spans="1:26" ht="12.75" customHeight="1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</row>
    <row r="144" spans="1:26" ht="12.75" customHeight="1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</row>
    <row r="145" spans="1:26" ht="12.75" customHeight="1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</row>
    <row r="146" spans="1:26" ht="12.75" customHeight="1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/>
      <c r="Z146" s="268"/>
    </row>
    <row r="147" spans="1:26" ht="12.75" customHeight="1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</row>
    <row r="148" spans="1:26" ht="12.75" customHeight="1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</row>
    <row r="149" spans="1:26" ht="12.75" customHeight="1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  <c r="N149" s="268"/>
      <c r="O149" s="268"/>
      <c r="P149" s="268"/>
      <c r="Q149" s="268"/>
      <c r="R149" s="268"/>
      <c r="S149" s="268"/>
      <c r="T149" s="268"/>
      <c r="U149" s="268"/>
      <c r="V149" s="268"/>
      <c r="W149" s="268"/>
      <c r="X149" s="268"/>
      <c r="Y149" s="268"/>
      <c r="Z149" s="268"/>
    </row>
    <row r="150" spans="1:26" ht="12.75" customHeight="1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</row>
    <row r="151" spans="1:26" ht="12.75" customHeight="1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</row>
    <row r="152" spans="1:26" ht="12.75" customHeight="1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1:26" ht="12.75" customHeight="1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1:26" ht="12.75" customHeight="1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1:26" ht="12.75" customHeight="1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1:26" ht="12.75" customHeight="1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1:26" ht="12.75" customHeight="1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1:26" ht="12.75" customHeight="1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268"/>
      <c r="P158" s="268"/>
      <c r="Q158" s="268"/>
      <c r="R158" s="268"/>
      <c r="S158" s="268"/>
      <c r="T158" s="268"/>
      <c r="U158" s="268"/>
      <c r="V158" s="268"/>
      <c r="W158" s="268"/>
      <c r="X158" s="268"/>
      <c r="Y158" s="268"/>
      <c r="Z158" s="268"/>
    </row>
    <row r="159" spans="1:26" ht="12.75" customHeight="1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268"/>
      <c r="O159" s="268"/>
      <c r="P159" s="268"/>
      <c r="Q159" s="268"/>
      <c r="R159" s="268"/>
      <c r="S159" s="268"/>
      <c r="T159" s="268"/>
      <c r="U159" s="268"/>
      <c r="V159" s="268"/>
      <c r="W159" s="268"/>
      <c r="X159" s="268"/>
      <c r="Y159" s="268"/>
      <c r="Z159" s="268"/>
    </row>
    <row r="160" spans="1:26" ht="12.75" customHeight="1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268"/>
      <c r="O160" s="268"/>
      <c r="P160" s="268"/>
      <c r="Q160" s="268"/>
      <c r="R160" s="268"/>
      <c r="S160" s="268"/>
      <c r="T160" s="268"/>
      <c r="U160" s="268"/>
      <c r="V160" s="268"/>
      <c r="W160" s="268"/>
      <c r="X160" s="268"/>
      <c r="Y160" s="268"/>
      <c r="Z160" s="268"/>
    </row>
    <row r="161" spans="1:26" ht="12.75" customHeight="1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  <c r="N161" s="268"/>
      <c r="O161" s="268"/>
      <c r="P161" s="268"/>
      <c r="Q161" s="268"/>
      <c r="R161" s="268"/>
      <c r="S161" s="268"/>
      <c r="T161" s="268"/>
      <c r="U161" s="268"/>
      <c r="V161" s="268"/>
      <c r="W161" s="268"/>
      <c r="X161" s="268"/>
      <c r="Y161" s="268"/>
      <c r="Z161" s="268"/>
    </row>
    <row r="162" spans="1:26" ht="12.75" customHeight="1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68"/>
      <c r="W162" s="268"/>
      <c r="X162" s="268"/>
      <c r="Y162" s="268"/>
      <c r="Z162" s="268"/>
    </row>
    <row r="163" spans="1:26" ht="12.75" customHeight="1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</row>
    <row r="164" spans="1:26" ht="12.75" customHeight="1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68"/>
      <c r="W164" s="268"/>
      <c r="X164" s="268"/>
      <c r="Y164" s="268"/>
      <c r="Z164" s="268"/>
    </row>
    <row r="165" spans="1:26" ht="12.75" customHeight="1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  <c r="N165" s="268"/>
      <c r="O165" s="268"/>
      <c r="P165" s="268"/>
      <c r="Q165" s="268"/>
      <c r="R165" s="268"/>
      <c r="S165" s="268"/>
      <c r="T165" s="268"/>
      <c r="U165" s="268"/>
      <c r="V165" s="268"/>
      <c r="W165" s="268"/>
      <c r="X165" s="268"/>
      <c r="Y165" s="268"/>
      <c r="Z165" s="268"/>
    </row>
    <row r="166" spans="1:26" ht="12.75" customHeight="1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8"/>
      <c r="T166" s="268"/>
      <c r="U166" s="268"/>
      <c r="V166" s="268"/>
      <c r="W166" s="268"/>
      <c r="X166" s="268"/>
      <c r="Y166" s="268"/>
      <c r="Z166" s="268"/>
    </row>
    <row r="167" spans="1:26" ht="12.75" customHeight="1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68"/>
      <c r="W167" s="268"/>
      <c r="X167" s="268"/>
      <c r="Y167" s="268"/>
      <c r="Z167" s="268"/>
    </row>
    <row r="168" spans="1:26" ht="12.75" customHeight="1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68"/>
      <c r="W168" s="268"/>
      <c r="X168" s="268"/>
      <c r="Y168" s="268"/>
      <c r="Z168" s="268"/>
    </row>
    <row r="169" spans="1:26" ht="12.75" customHeight="1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68"/>
    </row>
    <row r="170" spans="1:26" ht="12.75" customHeight="1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68"/>
    </row>
    <row r="171" spans="1:26" ht="12.75" customHeight="1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</row>
    <row r="172" spans="1:26" ht="12.75" customHeight="1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</row>
    <row r="173" spans="1:26" ht="12.75" customHeight="1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268"/>
    </row>
    <row r="174" spans="1:26" ht="12.75" customHeight="1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</row>
    <row r="175" spans="1:26" ht="12.75" customHeight="1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</row>
    <row r="176" spans="1:26" ht="12.75" customHeight="1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  <c r="X176" s="268"/>
      <c r="Y176" s="268"/>
      <c r="Z176" s="268"/>
    </row>
    <row r="177" spans="1:26" ht="12.75" customHeight="1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</row>
    <row r="178" spans="1:26" ht="12.75" customHeight="1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</row>
    <row r="179" spans="1:26" ht="12.75" customHeight="1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</row>
    <row r="180" spans="1:26" ht="12.75" customHeight="1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</row>
    <row r="181" spans="1:26" ht="12.75" customHeight="1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</row>
    <row r="182" spans="1:26" ht="12.75" customHeight="1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</row>
    <row r="183" spans="1:26" ht="12.75" customHeight="1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</row>
    <row r="184" spans="1:26" ht="12.75" customHeight="1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</row>
    <row r="185" spans="1:26" ht="12.75" customHeight="1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68"/>
    </row>
    <row r="186" spans="1:26" ht="12.75" customHeight="1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68"/>
    </row>
    <row r="187" spans="1:26" ht="12.75" customHeight="1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</row>
    <row r="188" spans="1:26" ht="12.75" customHeight="1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</row>
    <row r="189" spans="1:26" ht="12.75" customHeight="1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268"/>
    </row>
    <row r="190" spans="1:26" ht="12.75" customHeight="1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  <c r="X190" s="268"/>
      <c r="Y190" s="268"/>
      <c r="Z190" s="268"/>
    </row>
    <row r="191" spans="1:26" ht="12.75" customHeight="1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</row>
    <row r="192" spans="1:26" ht="12.75" customHeight="1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68"/>
    </row>
    <row r="193" spans="1:26" ht="12.75" customHeight="1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68"/>
    </row>
    <row r="194" spans="1:26" ht="12.75" customHeight="1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</row>
    <row r="195" spans="1:26" ht="12.75" customHeight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68"/>
    </row>
    <row r="196" spans="1:26" ht="12.75" customHeight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68"/>
    </row>
    <row r="197" spans="1:26" ht="12.75" customHeight="1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</row>
    <row r="198" spans="1:26" ht="12.75" customHeight="1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</row>
    <row r="199" spans="1:26" ht="12.75" customHeight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</row>
    <row r="200" spans="1:26" ht="12.75" customHeight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</row>
    <row r="201" spans="1:26" ht="12.75" customHeight="1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</row>
    <row r="202" spans="1:26" ht="12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</row>
    <row r="203" spans="1:26" ht="12.75" customHeight="1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</row>
    <row r="204" spans="1:26" ht="12.75" customHeight="1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</row>
    <row r="205" spans="1:26" ht="12.75" customHeight="1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</row>
    <row r="206" spans="1:26" ht="12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</row>
    <row r="207" spans="1:26" ht="12.75" customHeight="1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</row>
    <row r="208" spans="1:26" ht="12.75" customHeight="1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</row>
    <row r="209" spans="1:26" ht="12.75" customHeight="1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</row>
    <row r="210" spans="1:26" ht="12.75" customHeight="1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</row>
    <row r="211" spans="1:26" ht="12.75" customHeight="1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</row>
    <row r="212" spans="1:26" ht="12.75" customHeight="1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</row>
    <row r="213" spans="1:26" ht="12.75" customHeight="1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</row>
    <row r="214" spans="1:26" ht="12.75" customHeight="1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</row>
    <row r="215" spans="1:26" ht="12.75" customHeight="1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</row>
    <row r="216" spans="1:26" ht="12.75" customHeight="1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</row>
    <row r="217" spans="1:26" ht="12.75" customHeight="1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</row>
    <row r="218" spans="1:26" ht="12.75" customHeight="1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</row>
    <row r="219" spans="1:26" ht="12.75" customHeight="1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</row>
    <row r="220" spans="1:26" ht="12.75" customHeight="1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</row>
    <row r="221" spans="1:26" ht="12.75" customHeight="1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</row>
    <row r="222" spans="1:26" ht="12.75" customHeight="1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</row>
    <row r="223" spans="1:26" ht="12.75" customHeight="1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</row>
    <row r="224" spans="1:26" ht="12.75" customHeight="1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</row>
    <row r="225" spans="1:26" ht="12.75" customHeight="1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</row>
    <row r="226" spans="1:26" ht="12.75" customHeight="1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</row>
    <row r="227" spans="1:26" ht="12.75" customHeight="1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</row>
    <row r="228" spans="1:26" ht="12.75" customHeight="1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</row>
    <row r="229" spans="1:26" ht="12.75" customHeight="1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</row>
    <row r="230" spans="1:26" ht="12.75" customHeight="1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</row>
    <row r="231" spans="1:26" ht="12.75" customHeight="1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</row>
    <row r="232" spans="1:26" ht="12.75" customHeight="1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</row>
    <row r="233" spans="1:26" ht="12.75" customHeight="1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</row>
    <row r="234" spans="1:26" ht="12.75" customHeight="1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</row>
    <row r="235" spans="1:26" ht="12.75" customHeight="1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</row>
    <row r="236" spans="1:26" ht="12.75" customHeight="1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</row>
    <row r="237" spans="1:26" ht="12.75" customHeight="1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</row>
    <row r="238" spans="1:26" ht="12.75" customHeight="1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</row>
    <row r="239" spans="1:26" ht="12.75" customHeight="1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</row>
    <row r="240" spans="1:26" ht="12.75" customHeight="1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</row>
    <row r="241" spans="1:26" ht="12.75" customHeight="1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</row>
    <row r="242" spans="1:26" ht="12.75" customHeight="1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</row>
    <row r="243" spans="1:26" ht="12.75" customHeight="1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68"/>
    </row>
    <row r="244" spans="1:26" ht="12.75" customHeight="1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68"/>
      <c r="W244" s="268"/>
      <c r="X244" s="268"/>
      <c r="Y244" s="268"/>
      <c r="Z244" s="268"/>
    </row>
    <row r="245" spans="1:26" ht="12.75" customHeight="1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  <c r="N245" s="268"/>
      <c r="O245" s="268"/>
      <c r="P245" s="268"/>
      <c r="Q245" s="268"/>
      <c r="R245" s="268"/>
      <c r="S245" s="268"/>
      <c r="T245" s="268"/>
      <c r="U245" s="268"/>
      <c r="V245" s="268"/>
      <c r="W245" s="268"/>
      <c r="X245" s="268"/>
      <c r="Y245" s="268"/>
      <c r="Z245" s="268"/>
    </row>
    <row r="246" spans="1:26" ht="12.75" customHeight="1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268"/>
      <c r="P246" s="268"/>
      <c r="Q246" s="268"/>
      <c r="R246" s="268"/>
      <c r="S246" s="268"/>
      <c r="T246" s="268"/>
      <c r="U246" s="268"/>
      <c r="V246" s="268"/>
      <c r="W246" s="268"/>
      <c r="X246" s="268"/>
      <c r="Y246" s="268"/>
      <c r="Z246" s="268"/>
    </row>
    <row r="247" spans="1:26" ht="12.75" customHeight="1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  <c r="Y247" s="268"/>
      <c r="Z247" s="268"/>
    </row>
    <row r="248" spans="1:26" ht="12.75" customHeight="1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  <c r="N248" s="268"/>
      <c r="O248" s="268"/>
      <c r="P248" s="268"/>
      <c r="Q248" s="268"/>
      <c r="R248" s="268"/>
      <c r="S248" s="268"/>
      <c r="T248" s="268"/>
      <c r="U248" s="268"/>
      <c r="V248" s="268"/>
      <c r="W248" s="268"/>
      <c r="X248" s="268"/>
      <c r="Y248" s="268"/>
      <c r="Z248" s="268"/>
    </row>
    <row r="249" spans="1:26" ht="12.75" customHeight="1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68"/>
      <c r="W249" s="268"/>
      <c r="X249" s="268"/>
      <c r="Y249" s="268"/>
      <c r="Z249" s="268"/>
    </row>
    <row r="250" spans="1:26" ht="12.75" customHeight="1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268"/>
      <c r="P250" s="268"/>
      <c r="Q250" s="268"/>
      <c r="R250" s="268"/>
      <c r="S250" s="268"/>
      <c r="T250" s="268"/>
      <c r="U250" s="268"/>
      <c r="V250" s="268"/>
      <c r="W250" s="268"/>
      <c r="X250" s="268"/>
      <c r="Y250" s="268"/>
      <c r="Z250" s="268"/>
    </row>
    <row r="251" spans="1:26" ht="12.75" customHeight="1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268"/>
      <c r="X251" s="268"/>
      <c r="Y251" s="268"/>
      <c r="Z251" s="268"/>
    </row>
    <row r="252" spans="1:26" ht="12.75" customHeight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68"/>
      <c r="W252" s="268"/>
      <c r="X252" s="268"/>
      <c r="Y252" s="268"/>
      <c r="Z252" s="268"/>
    </row>
    <row r="253" spans="1:26" ht="12.75" customHeight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68"/>
      <c r="W253" s="268"/>
      <c r="X253" s="268"/>
      <c r="Y253" s="268"/>
      <c r="Z253" s="268"/>
    </row>
    <row r="254" spans="1:26" ht="12.75" customHeight="1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  <c r="N254" s="268"/>
      <c r="O254" s="268"/>
      <c r="P254" s="268"/>
      <c r="Q254" s="268"/>
      <c r="R254" s="268"/>
      <c r="S254" s="268"/>
      <c r="T254" s="268"/>
      <c r="U254" s="268"/>
      <c r="V254" s="268"/>
      <c r="W254" s="268"/>
      <c r="X254" s="268"/>
      <c r="Y254" s="268"/>
      <c r="Z254" s="268"/>
    </row>
    <row r="255" spans="1:26" ht="12.75" customHeight="1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268"/>
      <c r="Q255" s="268"/>
      <c r="R255" s="268"/>
      <c r="S255" s="268"/>
      <c r="T255" s="268"/>
      <c r="U255" s="268"/>
      <c r="V255" s="268"/>
      <c r="W255" s="268"/>
      <c r="X255" s="268"/>
      <c r="Y255" s="268"/>
      <c r="Z255" s="268"/>
    </row>
    <row r="256" spans="1:26" ht="12.75" customHeight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268"/>
      <c r="Q256" s="268"/>
      <c r="R256" s="268"/>
      <c r="S256" s="268"/>
      <c r="T256" s="268"/>
      <c r="U256" s="268"/>
      <c r="V256" s="268"/>
      <c r="W256" s="268"/>
      <c r="X256" s="268"/>
      <c r="Y256" s="268"/>
      <c r="Z256" s="268"/>
    </row>
    <row r="257" spans="1:26" ht="12.75" customHeight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268"/>
      <c r="X257" s="268"/>
      <c r="Y257" s="268"/>
      <c r="Z257" s="268"/>
    </row>
    <row r="258" spans="1:26" ht="12.75" customHeight="1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268"/>
      <c r="S258" s="268"/>
      <c r="T258" s="268"/>
      <c r="U258" s="268"/>
      <c r="V258" s="268"/>
      <c r="W258" s="268"/>
      <c r="X258" s="268"/>
      <c r="Y258" s="268"/>
      <c r="Z258" s="268"/>
    </row>
    <row r="259" spans="1:26" ht="12.75" customHeight="1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268"/>
      <c r="X259" s="268"/>
      <c r="Y259" s="268"/>
      <c r="Z259" s="268"/>
    </row>
    <row r="260" spans="1:26" ht="12.75" customHeight="1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268"/>
      <c r="X260" s="268"/>
      <c r="Y260" s="268"/>
      <c r="Z260" s="268"/>
    </row>
    <row r="261" spans="1:26" ht="12.75" customHeight="1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268"/>
      <c r="S261" s="268"/>
      <c r="T261" s="268"/>
      <c r="U261" s="268"/>
      <c r="V261" s="268"/>
      <c r="W261" s="268"/>
      <c r="X261" s="268"/>
      <c r="Y261" s="268"/>
      <c r="Z261" s="268"/>
    </row>
    <row r="262" spans="1:26" ht="12.75" customHeight="1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</row>
    <row r="263" spans="1:26" ht="12.75" customHeight="1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</row>
    <row r="264" spans="1:26" ht="12.75" customHeight="1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268"/>
      <c r="S264" s="268"/>
      <c r="T264" s="268"/>
      <c r="U264" s="268"/>
      <c r="V264" s="268"/>
      <c r="W264" s="268"/>
      <c r="X264" s="268"/>
      <c r="Y264" s="268"/>
      <c r="Z264" s="268"/>
    </row>
    <row r="265" spans="1:26" ht="12.75" customHeight="1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T265" s="268"/>
      <c r="U265" s="268"/>
      <c r="V265" s="268"/>
      <c r="W265" s="268"/>
      <c r="X265" s="268"/>
      <c r="Y265" s="268"/>
      <c r="Z265" s="268"/>
    </row>
    <row r="266" spans="1:26" ht="12.75" customHeight="1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T266" s="268"/>
      <c r="U266" s="268"/>
      <c r="V266" s="268"/>
      <c r="W266" s="268"/>
      <c r="X266" s="268"/>
      <c r="Y266" s="268"/>
      <c r="Z266" s="268"/>
    </row>
    <row r="267" spans="1:26" ht="12.75" customHeight="1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T267" s="268"/>
      <c r="U267" s="268"/>
      <c r="V267" s="268"/>
      <c r="W267" s="268"/>
      <c r="X267" s="268"/>
      <c r="Y267" s="268"/>
      <c r="Z267" s="268"/>
    </row>
    <row r="268" spans="1:26" ht="12.75" customHeight="1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68"/>
      <c r="W268" s="268"/>
      <c r="X268" s="268"/>
      <c r="Y268" s="268"/>
      <c r="Z268" s="268"/>
    </row>
    <row r="269" spans="1:26" ht="12.75" customHeight="1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T269" s="268"/>
      <c r="U269" s="268"/>
      <c r="V269" s="268"/>
      <c r="W269" s="268"/>
      <c r="X269" s="268"/>
      <c r="Y269" s="268"/>
      <c r="Z269" s="268"/>
    </row>
    <row r="270" spans="1:26" ht="12.75" customHeight="1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T270" s="268"/>
      <c r="U270" s="268"/>
      <c r="V270" s="268"/>
      <c r="W270" s="268"/>
      <c r="X270" s="268"/>
      <c r="Y270" s="268"/>
      <c r="Z270" s="268"/>
    </row>
    <row r="271" spans="1:26" ht="12.75" customHeight="1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68"/>
      <c r="W271" s="268"/>
      <c r="X271" s="268"/>
      <c r="Y271" s="268"/>
      <c r="Z271" s="268"/>
    </row>
    <row r="272" spans="1:26" ht="12.75" customHeight="1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T272" s="268"/>
      <c r="U272" s="268"/>
      <c r="V272" s="268"/>
      <c r="W272" s="268"/>
      <c r="X272" s="268"/>
      <c r="Y272" s="268"/>
      <c r="Z272" s="268"/>
    </row>
    <row r="273" spans="1:26" ht="12.75" customHeight="1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T273" s="268"/>
      <c r="U273" s="268"/>
      <c r="V273" s="268"/>
      <c r="W273" s="268"/>
      <c r="X273" s="268"/>
      <c r="Y273" s="268"/>
      <c r="Z273" s="268"/>
    </row>
    <row r="274" spans="1:26" ht="12.75" customHeight="1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T274" s="268"/>
      <c r="U274" s="268"/>
      <c r="V274" s="268"/>
      <c r="W274" s="268"/>
      <c r="X274" s="268"/>
      <c r="Y274" s="268"/>
      <c r="Z274" s="268"/>
    </row>
    <row r="275" spans="1:26" ht="12.75" customHeight="1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T275" s="268"/>
      <c r="U275" s="268"/>
      <c r="V275" s="268"/>
      <c r="W275" s="268"/>
      <c r="X275" s="268"/>
      <c r="Y275" s="268"/>
      <c r="Z275" s="268"/>
    </row>
    <row r="276" spans="1:26" ht="12.75" customHeight="1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T276" s="268"/>
      <c r="U276" s="268"/>
      <c r="V276" s="268"/>
      <c r="W276" s="268"/>
      <c r="X276" s="268"/>
      <c r="Y276" s="268"/>
      <c r="Z276" s="268"/>
    </row>
    <row r="277" spans="1:26" ht="12.75" customHeight="1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T277" s="268"/>
      <c r="U277" s="268"/>
      <c r="V277" s="268"/>
      <c r="W277" s="268"/>
      <c r="X277" s="268"/>
      <c r="Y277" s="268"/>
      <c r="Z277" s="268"/>
    </row>
    <row r="278" spans="1:26" ht="12.75" customHeight="1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T278" s="268"/>
      <c r="U278" s="268"/>
      <c r="V278" s="268"/>
      <c r="W278" s="268"/>
      <c r="X278" s="268"/>
      <c r="Y278" s="268"/>
      <c r="Z278" s="268"/>
    </row>
    <row r="279" spans="1:26" ht="12.75" customHeight="1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</row>
    <row r="280" spans="1:26" ht="12.75" customHeight="1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</row>
    <row r="281" spans="1:26" ht="12.75" customHeight="1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</row>
    <row r="282" spans="1:26" ht="12.75" customHeight="1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</row>
    <row r="283" spans="1:26" ht="12.75" customHeight="1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</row>
    <row r="284" spans="1:26" ht="12.75" customHeight="1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</row>
    <row r="285" spans="1:26" ht="12.75" customHeight="1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</row>
    <row r="286" spans="1:26" ht="12.75" customHeight="1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68"/>
      <c r="W286" s="268"/>
      <c r="X286" s="268"/>
      <c r="Y286" s="268"/>
      <c r="Z286" s="268"/>
    </row>
    <row r="287" spans="1:26" ht="12.75" customHeight="1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  <c r="N287" s="268"/>
      <c r="O287" s="268"/>
      <c r="P287" s="268"/>
      <c r="Q287" s="268"/>
      <c r="R287" s="268"/>
      <c r="S287" s="268"/>
      <c r="T287" s="268"/>
      <c r="U287" s="268"/>
      <c r="V287" s="268"/>
      <c r="W287" s="268"/>
      <c r="X287" s="268"/>
      <c r="Y287" s="268"/>
      <c r="Z287" s="268"/>
    </row>
    <row r="288" spans="1:26" ht="12.75" customHeight="1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  <c r="N288" s="268"/>
      <c r="O288" s="268"/>
      <c r="P288" s="268"/>
      <c r="Q288" s="268"/>
      <c r="R288" s="268"/>
      <c r="S288" s="268"/>
      <c r="T288" s="268"/>
      <c r="U288" s="268"/>
      <c r="V288" s="268"/>
      <c r="W288" s="268"/>
      <c r="X288" s="268"/>
      <c r="Y288" s="268"/>
      <c r="Z288" s="268"/>
    </row>
    <row r="289" spans="1:26" ht="12.75" customHeight="1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  <c r="N289" s="268"/>
      <c r="O289" s="268"/>
      <c r="P289" s="268"/>
      <c r="Q289" s="268"/>
      <c r="R289" s="268"/>
      <c r="S289" s="268"/>
      <c r="T289" s="268"/>
      <c r="U289" s="268"/>
      <c r="V289" s="268"/>
      <c r="W289" s="268"/>
      <c r="X289" s="268"/>
      <c r="Y289" s="268"/>
      <c r="Z289" s="268"/>
    </row>
    <row r="290" spans="1:26" ht="12.75" customHeight="1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  <c r="N290" s="268"/>
      <c r="O290" s="268"/>
      <c r="P290" s="268"/>
      <c r="Q290" s="268"/>
      <c r="R290" s="268"/>
      <c r="S290" s="268"/>
      <c r="T290" s="268"/>
      <c r="U290" s="268"/>
      <c r="V290" s="268"/>
      <c r="W290" s="268"/>
      <c r="X290" s="268"/>
      <c r="Y290" s="268"/>
      <c r="Z290" s="268"/>
    </row>
    <row r="291" spans="1:26" ht="12.75" customHeight="1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68"/>
      <c r="W291" s="268"/>
      <c r="X291" s="268"/>
      <c r="Y291" s="268"/>
      <c r="Z291" s="268"/>
    </row>
    <row r="292" spans="1:26" ht="12.75" customHeight="1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  <c r="N292" s="268"/>
      <c r="O292" s="268"/>
      <c r="P292" s="268"/>
      <c r="Q292" s="268"/>
      <c r="R292" s="268"/>
      <c r="S292" s="268"/>
      <c r="T292" s="268"/>
      <c r="U292" s="268"/>
      <c r="V292" s="268"/>
      <c r="W292" s="268"/>
      <c r="X292" s="268"/>
      <c r="Y292" s="268"/>
      <c r="Z292" s="268"/>
    </row>
    <row r="293" spans="1:26" ht="12.75" customHeight="1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  <c r="N293" s="268"/>
      <c r="O293" s="268"/>
      <c r="P293" s="268"/>
      <c r="Q293" s="268"/>
      <c r="R293" s="268"/>
      <c r="S293" s="268"/>
      <c r="T293" s="268"/>
      <c r="U293" s="268"/>
      <c r="V293" s="268"/>
      <c r="W293" s="268"/>
      <c r="X293" s="268"/>
      <c r="Y293" s="268"/>
      <c r="Z293" s="268"/>
    </row>
    <row r="294" spans="1:26" ht="12.75" customHeight="1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  <c r="N294" s="268"/>
      <c r="O294" s="268"/>
      <c r="P294" s="268"/>
      <c r="Q294" s="268"/>
      <c r="R294" s="268"/>
      <c r="S294" s="268"/>
      <c r="T294" s="268"/>
      <c r="U294" s="268"/>
      <c r="V294" s="268"/>
      <c r="W294" s="268"/>
      <c r="X294" s="268"/>
      <c r="Y294" s="268"/>
      <c r="Z294" s="268"/>
    </row>
    <row r="295" spans="1:26" ht="12.75" customHeight="1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  <c r="N295" s="268"/>
      <c r="O295" s="268"/>
      <c r="P295" s="268"/>
      <c r="Q295" s="268"/>
      <c r="R295" s="268"/>
      <c r="S295" s="268"/>
      <c r="T295" s="268"/>
      <c r="U295" s="268"/>
      <c r="V295" s="268"/>
      <c r="W295" s="268"/>
      <c r="X295" s="268"/>
      <c r="Y295" s="268"/>
      <c r="Z295" s="268"/>
    </row>
    <row r="296" spans="1:26" ht="12.75" customHeight="1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/>
      <c r="Z296" s="268"/>
    </row>
    <row r="297" spans="1:26" ht="12.75" customHeight="1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  <c r="N297" s="268"/>
      <c r="O297" s="268"/>
      <c r="P297" s="268"/>
      <c r="Q297" s="268"/>
      <c r="R297" s="268"/>
      <c r="S297" s="268"/>
      <c r="T297" s="268"/>
      <c r="U297" s="268"/>
      <c r="V297" s="268"/>
      <c r="W297" s="268"/>
      <c r="X297" s="268"/>
      <c r="Y297" s="268"/>
      <c r="Z297" s="268"/>
    </row>
    <row r="298" spans="1:26" ht="12.75" customHeight="1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68"/>
    </row>
    <row r="299" spans="1:26" ht="12.75" customHeight="1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  <c r="N299" s="268"/>
      <c r="O299" s="268"/>
      <c r="P299" s="268"/>
      <c r="Q299" s="268"/>
      <c r="R299" s="268"/>
      <c r="S299" s="268"/>
      <c r="T299" s="268"/>
      <c r="U299" s="268"/>
      <c r="V299" s="268"/>
      <c r="W299" s="268"/>
      <c r="X299" s="268"/>
      <c r="Y299" s="268"/>
      <c r="Z299" s="268"/>
    </row>
    <row r="300" spans="1:26" ht="12.75" customHeight="1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68"/>
    </row>
    <row r="301" spans="1:26" ht="12.75" customHeight="1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68"/>
    </row>
    <row r="302" spans="1:26" ht="12.75" customHeight="1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68"/>
    </row>
    <row r="303" spans="1:26" ht="12.75" customHeight="1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68"/>
      <c r="V303" s="268"/>
      <c r="W303" s="268"/>
      <c r="X303" s="268"/>
      <c r="Y303" s="268"/>
      <c r="Z303" s="268"/>
    </row>
    <row r="304" spans="1:26" ht="12.75" customHeight="1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68"/>
      <c r="V304" s="268"/>
      <c r="W304" s="268"/>
      <c r="X304" s="268"/>
      <c r="Y304" s="268"/>
      <c r="Z304" s="268"/>
    </row>
    <row r="305" spans="1:26" ht="12.75" customHeight="1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  <c r="N305" s="268"/>
      <c r="O305" s="268"/>
      <c r="P305" s="268"/>
      <c r="Q305" s="268"/>
      <c r="R305" s="268"/>
      <c r="S305" s="268"/>
      <c r="T305" s="268"/>
      <c r="U305" s="268"/>
      <c r="V305" s="268"/>
      <c r="W305" s="268"/>
      <c r="X305" s="268"/>
      <c r="Y305" s="268"/>
      <c r="Z305" s="268"/>
    </row>
    <row r="306" spans="1:26" ht="12.75" customHeight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268"/>
      <c r="Q306" s="268"/>
      <c r="R306" s="268"/>
      <c r="S306" s="268"/>
      <c r="T306" s="268"/>
      <c r="U306" s="268"/>
      <c r="V306" s="268"/>
      <c r="W306" s="268"/>
      <c r="X306" s="268"/>
      <c r="Y306" s="268"/>
      <c r="Z306" s="268"/>
    </row>
    <row r="307" spans="1:26" ht="12.75" customHeight="1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  <c r="N307" s="268"/>
      <c r="O307" s="268"/>
      <c r="P307" s="268"/>
      <c r="Q307" s="268"/>
      <c r="R307" s="268"/>
      <c r="S307" s="268"/>
      <c r="T307" s="268"/>
      <c r="U307" s="268"/>
      <c r="V307" s="268"/>
      <c r="W307" s="268"/>
      <c r="X307" s="268"/>
      <c r="Y307" s="268"/>
      <c r="Z307" s="268"/>
    </row>
    <row r="308" spans="1:26" ht="12.75" customHeight="1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  <c r="N308" s="268"/>
      <c r="O308" s="268"/>
      <c r="P308" s="268"/>
      <c r="Q308" s="268"/>
      <c r="R308" s="268"/>
      <c r="S308" s="268"/>
      <c r="T308" s="268"/>
      <c r="U308" s="268"/>
      <c r="V308" s="268"/>
      <c r="W308" s="268"/>
      <c r="X308" s="268"/>
      <c r="Y308" s="268"/>
      <c r="Z308" s="268"/>
    </row>
    <row r="309" spans="1:26" ht="12.75" customHeight="1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  <c r="N309" s="268"/>
      <c r="O309" s="268"/>
      <c r="P309" s="268"/>
      <c r="Q309" s="268"/>
      <c r="R309" s="268"/>
      <c r="S309" s="268"/>
      <c r="T309" s="268"/>
      <c r="U309" s="268"/>
      <c r="V309" s="268"/>
      <c r="W309" s="268"/>
      <c r="X309" s="268"/>
      <c r="Y309" s="268"/>
      <c r="Z309" s="268"/>
    </row>
    <row r="310" spans="1:26" ht="12.75" customHeight="1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  <c r="N310" s="268"/>
      <c r="O310" s="268"/>
      <c r="P310" s="268"/>
      <c r="Q310" s="268"/>
      <c r="R310" s="268"/>
      <c r="S310" s="268"/>
      <c r="T310" s="268"/>
      <c r="U310" s="268"/>
      <c r="V310" s="268"/>
      <c r="W310" s="268"/>
      <c r="X310" s="268"/>
      <c r="Y310" s="268"/>
      <c r="Z310" s="268"/>
    </row>
    <row r="311" spans="1:26" ht="12.75" customHeight="1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  <c r="N311" s="268"/>
      <c r="O311" s="268"/>
      <c r="P311" s="268"/>
      <c r="Q311" s="268"/>
      <c r="R311" s="268"/>
      <c r="S311" s="268"/>
      <c r="T311" s="268"/>
      <c r="U311" s="268"/>
      <c r="V311" s="268"/>
      <c r="W311" s="268"/>
      <c r="X311" s="268"/>
      <c r="Y311" s="268"/>
      <c r="Z311" s="268"/>
    </row>
    <row r="312" spans="1:26" ht="12.75" customHeight="1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  <c r="N312" s="268"/>
      <c r="O312" s="268"/>
      <c r="P312" s="268"/>
      <c r="Q312" s="268"/>
      <c r="R312" s="268"/>
      <c r="S312" s="268"/>
      <c r="T312" s="268"/>
      <c r="U312" s="268"/>
      <c r="V312" s="268"/>
      <c r="W312" s="268"/>
      <c r="X312" s="268"/>
      <c r="Y312" s="268"/>
      <c r="Z312" s="268"/>
    </row>
    <row r="313" spans="1:26" ht="12.75" customHeight="1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68"/>
    </row>
    <row r="314" spans="1:26" ht="12.75" customHeight="1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  <c r="N314" s="268"/>
      <c r="O314" s="268"/>
      <c r="P314" s="268"/>
      <c r="Q314" s="268"/>
      <c r="R314" s="268"/>
      <c r="S314" s="268"/>
      <c r="T314" s="268"/>
      <c r="U314" s="268"/>
      <c r="V314" s="268"/>
      <c r="W314" s="268"/>
      <c r="X314" s="268"/>
      <c r="Y314" s="268"/>
      <c r="Z314" s="268"/>
    </row>
    <row r="315" spans="1:26" ht="12.75" customHeight="1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  <c r="N315" s="268"/>
      <c r="O315" s="268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</row>
    <row r="316" spans="1:26" ht="12.75" customHeight="1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  <c r="N316" s="268"/>
      <c r="O316" s="268"/>
      <c r="P316" s="268"/>
      <c r="Q316" s="268"/>
      <c r="R316" s="268"/>
      <c r="S316" s="268"/>
      <c r="T316" s="268"/>
      <c r="U316" s="268"/>
      <c r="V316" s="268"/>
      <c r="W316" s="268"/>
      <c r="X316" s="268"/>
      <c r="Y316" s="268"/>
      <c r="Z316" s="268"/>
    </row>
    <row r="317" spans="1:26" ht="12.75" customHeight="1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  <c r="N317" s="268"/>
      <c r="O317" s="268"/>
      <c r="P317" s="268"/>
      <c r="Q317" s="268"/>
      <c r="R317" s="268"/>
      <c r="S317" s="268"/>
      <c r="T317" s="268"/>
      <c r="U317" s="268"/>
      <c r="V317" s="268"/>
      <c r="W317" s="268"/>
      <c r="X317" s="268"/>
      <c r="Y317" s="268"/>
      <c r="Z317" s="268"/>
    </row>
    <row r="318" spans="1:26" ht="12.75" customHeight="1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  <c r="N318" s="268"/>
      <c r="O318" s="268"/>
      <c r="P318" s="268"/>
      <c r="Q318" s="268"/>
      <c r="R318" s="268"/>
      <c r="S318" s="268"/>
      <c r="T318" s="268"/>
      <c r="U318" s="268"/>
      <c r="V318" s="268"/>
      <c r="W318" s="268"/>
      <c r="X318" s="268"/>
      <c r="Y318" s="268"/>
      <c r="Z318" s="268"/>
    </row>
    <row r="319" spans="1:26" ht="12.75" customHeight="1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  <c r="N319" s="268"/>
      <c r="O319" s="268"/>
      <c r="P319" s="268"/>
      <c r="Q319" s="268"/>
      <c r="R319" s="268"/>
      <c r="S319" s="268"/>
      <c r="T319" s="268"/>
      <c r="U319" s="268"/>
      <c r="V319" s="268"/>
      <c r="W319" s="268"/>
      <c r="X319" s="268"/>
      <c r="Y319" s="268"/>
      <c r="Z319" s="268"/>
    </row>
    <row r="320" spans="1:26" ht="12.75" customHeight="1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  <c r="N320" s="268"/>
      <c r="O320" s="268"/>
      <c r="P320" s="268"/>
      <c r="Q320" s="268"/>
      <c r="R320" s="268"/>
      <c r="S320" s="268"/>
      <c r="T320" s="268"/>
      <c r="U320" s="268"/>
      <c r="V320" s="268"/>
      <c r="W320" s="268"/>
      <c r="X320" s="268"/>
      <c r="Y320" s="268"/>
      <c r="Z320" s="268"/>
    </row>
    <row r="321" spans="1:26" ht="12.75" customHeight="1">
      <c r="A321" s="268"/>
      <c r="B321" s="268"/>
      <c r="C321" s="268"/>
      <c r="D321" s="268"/>
      <c r="E321" s="268"/>
      <c r="F321" s="268"/>
      <c r="G321" s="268"/>
      <c r="H321" s="268"/>
      <c r="I321" s="268"/>
      <c r="J321" s="268"/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68"/>
    </row>
    <row r="322" spans="1:26" ht="12.75" customHeight="1">
      <c r="A322" s="268"/>
      <c r="B322" s="268"/>
      <c r="C322" s="268"/>
      <c r="D322" s="268"/>
      <c r="E322" s="268"/>
      <c r="F322" s="268"/>
      <c r="G322" s="268"/>
      <c r="H322" s="268"/>
      <c r="I322" s="268"/>
      <c r="J322" s="268"/>
      <c r="K322" s="268"/>
      <c r="L322" s="268"/>
      <c r="M322" s="268"/>
      <c r="N322" s="268"/>
      <c r="O322" s="268"/>
      <c r="P322" s="268"/>
      <c r="Q322" s="268"/>
      <c r="R322" s="268"/>
      <c r="S322" s="268"/>
      <c r="T322" s="268"/>
      <c r="U322" s="268"/>
      <c r="V322" s="268"/>
      <c r="W322" s="268"/>
      <c r="X322" s="268"/>
      <c r="Y322" s="268"/>
      <c r="Z322" s="268"/>
    </row>
    <row r="323" spans="1:26" ht="12.75" customHeight="1">
      <c r="A323" s="268"/>
      <c r="B323" s="268"/>
      <c r="C323" s="268"/>
      <c r="D323" s="268"/>
      <c r="E323" s="268"/>
      <c r="F323" s="268"/>
      <c r="G323" s="268"/>
      <c r="H323" s="268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</row>
    <row r="324" spans="1:26" ht="12.75" customHeight="1">
      <c r="A324" s="268"/>
      <c r="B324" s="268"/>
      <c r="C324" s="268"/>
      <c r="D324" s="268"/>
      <c r="E324" s="268"/>
      <c r="F324" s="268"/>
      <c r="G324" s="268"/>
      <c r="H324" s="268"/>
      <c r="I324" s="268"/>
      <c r="J324" s="268"/>
      <c r="K324" s="268"/>
      <c r="L324" s="268"/>
      <c r="M324" s="268"/>
      <c r="N324" s="268"/>
      <c r="O324" s="268"/>
      <c r="P324" s="268"/>
      <c r="Q324" s="268"/>
      <c r="R324" s="268"/>
      <c r="S324" s="268"/>
      <c r="T324" s="268"/>
      <c r="U324" s="268"/>
      <c r="V324" s="268"/>
      <c r="W324" s="268"/>
      <c r="X324" s="268"/>
      <c r="Y324" s="268"/>
      <c r="Z324" s="268"/>
    </row>
    <row r="325" spans="1:26" ht="12.75" customHeight="1">
      <c r="A325" s="268"/>
      <c r="B325" s="268"/>
      <c r="C325" s="268"/>
      <c r="D325" s="268"/>
      <c r="E325" s="268"/>
      <c r="F325" s="268"/>
      <c r="G325" s="268"/>
      <c r="H325" s="268"/>
      <c r="I325" s="268"/>
      <c r="J325" s="268"/>
      <c r="K325" s="268"/>
      <c r="L325" s="268"/>
      <c r="M325" s="268"/>
      <c r="N325" s="268"/>
      <c r="O325" s="268"/>
      <c r="P325" s="268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</row>
    <row r="326" spans="1:26" ht="12.75" customHeight="1">
      <c r="A326" s="268"/>
      <c r="B326" s="268"/>
      <c r="C326" s="268"/>
      <c r="D326" s="268"/>
      <c r="E326" s="268"/>
      <c r="F326" s="268"/>
      <c r="G326" s="268"/>
      <c r="H326" s="268"/>
      <c r="I326" s="268"/>
      <c r="J326" s="268"/>
      <c r="K326" s="268"/>
      <c r="L326" s="268"/>
      <c r="M326" s="268"/>
      <c r="N326" s="268"/>
      <c r="O326" s="268"/>
      <c r="P326" s="268"/>
      <c r="Q326" s="268"/>
      <c r="R326" s="268"/>
      <c r="S326" s="268"/>
      <c r="T326" s="268"/>
      <c r="U326" s="268"/>
      <c r="V326" s="268"/>
      <c r="W326" s="268"/>
      <c r="X326" s="268"/>
      <c r="Y326" s="268"/>
      <c r="Z326" s="268"/>
    </row>
    <row r="327" spans="1:26" ht="12.75" customHeight="1">
      <c r="A327" s="268"/>
      <c r="B327" s="268"/>
      <c r="C327" s="268"/>
      <c r="D327" s="268"/>
      <c r="E327" s="268"/>
      <c r="F327" s="268"/>
      <c r="G327" s="268"/>
      <c r="H327" s="268"/>
      <c r="I327" s="268"/>
      <c r="J327" s="268"/>
      <c r="K327" s="268"/>
      <c r="L327" s="268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</row>
    <row r="328" spans="1:26" ht="12.75" customHeight="1">
      <c r="A328" s="268"/>
      <c r="B328" s="268"/>
      <c r="C328" s="268"/>
      <c r="D328" s="268"/>
      <c r="E328" s="268"/>
      <c r="F328" s="268"/>
      <c r="G328" s="268"/>
      <c r="H328" s="268"/>
      <c r="I328" s="268"/>
      <c r="J328" s="268"/>
      <c r="K328" s="268"/>
      <c r="L328" s="268"/>
      <c r="M328" s="268"/>
      <c r="N328" s="268"/>
      <c r="O328" s="268"/>
      <c r="P328" s="268"/>
      <c r="Q328" s="268"/>
      <c r="R328" s="268"/>
      <c r="S328" s="268"/>
      <c r="T328" s="268"/>
      <c r="U328" s="268"/>
      <c r="V328" s="268"/>
      <c r="W328" s="268"/>
      <c r="X328" s="268"/>
      <c r="Y328" s="268"/>
      <c r="Z328" s="268"/>
    </row>
    <row r="329" spans="1:26" ht="12.75" customHeight="1">
      <c r="A329" s="268"/>
      <c r="B329" s="268"/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</row>
    <row r="330" spans="1:26" ht="12.75" customHeight="1">
      <c r="A330" s="268"/>
      <c r="B330" s="268"/>
      <c r="C330" s="268"/>
      <c r="D330" s="268"/>
      <c r="E330" s="268"/>
      <c r="F330" s="268"/>
      <c r="G330" s="268"/>
      <c r="H330" s="268"/>
      <c r="I330" s="268"/>
      <c r="J330" s="268"/>
      <c r="K330" s="268"/>
      <c r="L330" s="268"/>
      <c r="M330" s="268"/>
      <c r="N330" s="268"/>
      <c r="O330" s="268"/>
      <c r="P330" s="268"/>
      <c r="Q330" s="268"/>
      <c r="R330" s="268"/>
      <c r="S330" s="268"/>
      <c r="T330" s="268"/>
      <c r="U330" s="268"/>
      <c r="V330" s="268"/>
      <c r="W330" s="268"/>
      <c r="X330" s="268"/>
      <c r="Y330" s="268"/>
      <c r="Z330" s="268"/>
    </row>
    <row r="331" spans="1:26" ht="12.75" customHeight="1">
      <c r="A331" s="268"/>
      <c r="B331" s="268"/>
      <c r="C331" s="268"/>
      <c r="D331" s="268"/>
      <c r="E331" s="268"/>
      <c r="F331" s="268"/>
      <c r="G331" s="268"/>
      <c r="H331" s="268"/>
      <c r="I331" s="268"/>
      <c r="J331" s="268"/>
      <c r="K331" s="268"/>
      <c r="L331" s="268"/>
      <c r="M331" s="268"/>
      <c r="N331" s="268"/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</row>
    <row r="332" spans="1:26" ht="12.75" customHeight="1">
      <c r="A332" s="268"/>
      <c r="B332" s="268"/>
      <c r="C332" s="268"/>
      <c r="D332" s="268"/>
      <c r="E332" s="268"/>
      <c r="F332" s="268"/>
      <c r="G332" s="268"/>
      <c r="H332" s="268"/>
      <c r="I332" s="268"/>
      <c r="J332" s="268"/>
      <c r="K332" s="268"/>
      <c r="L332" s="268"/>
      <c r="M332" s="268"/>
      <c r="N332" s="268"/>
      <c r="O332" s="268"/>
      <c r="P332" s="268"/>
      <c r="Q332" s="268"/>
      <c r="R332" s="268"/>
      <c r="S332" s="268"/>
      <c r="T332" s="268"/>
      <c r="U332" s="268"/>
      <c r="V332" s="268"/>
      <c r="W332" s="268"/>
      <c r="X332" s="268"/>
      <c r="Y332" s="268"/>
      <c r="Z332" s="268"/>
    </row>
    <row r="333" spans="1:26" ht="12.75" customHeight="1">
      <c r="A333" s="268"/>
      <c r="B333" s="268"/>
      <c r="C333" s="268"/>
      <c r="D333" s="268"/>
      <c r="E333" s="268"/>
      <c r="F333" s="268"/>
      <c r="G333" s="268"/>
      <c r="H333" s="268"/>
      <c r="I333" s="268"/>
      <c r="J333" s="268"/>
      <c r="K333" s="268"/>
      <c r="L333" s="268"/>
      <c r="M333" s="268"/>
      <c r="N333" s="268"/>
      <c r="O333" s="268"/>
      <c r="P333" s="268"/>
      <c r="Q333" s="268"/>
      <c r="R333" s="268"/>
      <c r="S333" s="268"/>
      <c r="T333" s="268"/>
      <c r="U333" s="268"/>
      <c r="V333" s="268"/>
      <c r="W333" s="268"/>
      <c r="X333" s="268"/>
      <c r="Y333" s="268"/>
      <c r="Z333" s="268"/>
    </row>
    <row r="334" spans="1:26" ht="12.75" customHeight="1">
      <c r="A334" s="268"/>
      <c r="B334" s="268"/>
      <c r="C334" s="268"/>
      <c r="D334" s="268"/>
      <c r="E334" s="268"/>
      <c r="F334" s="268"/>
      <c r="G334" s="268"/>
      <c r="H334" s="268"/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</row>
    <row r="335" spans="1:26" ht="12.75" customHeight="1">
      <c r="A335" s="268"/>
      <c r="B335" s="268"/>
      <c r="C335" s="268"/>
      <c r="D335" s="268"/>
      <c r="E335" s="268"/>
      <c r="F335" s="268"/>
      <c r="G335" s="268"/>
      <c r="H335" s="268"/>
      <c r="I335" s="268"/>
      <c r="J335" s="268"/>
      <c r="K335" s="268"/>
      <c r="L335" s="268"/>
      <c r="M335" s="268"/>
      <c r="N335" s="268"/>
      <c r="O335" s="268"/>
      <c r="P335" s="268"/>
      <c r="Q335" s="268"/>
      <c r="R335" s="268"/>
      <c r="S335" s="268"/>
      <c r="T335" s="268"/>
      <c r="U335" s="268"/>
      <c r="V335" s="268"/>
      <c r="W335" s="268"/>
      <c r="X335" s="268"/>
      <c r="Y335" s="268"/>
      <c r="Z335" s="268"/>
    </row>
    <row r="336" spans="1:26" ht="12.75" customHeight="1">
      <c r="A336" s="268"/>
      <c r="B336" s="268"/>
      <c r="C336" s="268"/>
      <c r="D336" s="268"/>
      <c r="E336" s="268"/>
      <c r="F336" s="268"/>
      <c r="G336" s="268"/>
      <c r="H336" s="268"/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</row>
    <row r="337" spans="1:26" ht="12.75" customHeight="1">
      <c r="A337" s="268"/>
      <c r="B337" s="268"/>
      <c r="C337" s="268"/>
      <c r="D337" s="268"/>
      <c r="E337" s="268"/>
      <c r="F337" s="268"/>
      <c r="G337" s="268"/>
      <c r="H337" s="268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68"/>
      <c r="U337" s="268"/>
      <c r="V337" s="268"/>
      <c r="W337" s="268"/>
      <c r="X337" s="268"/>
      <c r="Y337" s="268"/>
      <c r="Z337" s="268"/>
    </row>
    <row r="338" spans="1:26" ht="12.75" customHeight="1">
      <c r="A338" s="268"/>
      <c r="B338" s="268"/>
      <c r="C338" s="268"/>
      <c r="D338" s="268"/>
      <c r="E338" s="268"/>
      <c r="F338" s="268"/>
      <c r="G338" s="268"/>
      <c r="H338" s="268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</row>
    <row r="339" spans="1:26" ht="12.75" customHeight="1">
      <c r="A339" s="268"/>
      <c r="B339" s="268"/>
      <c r="C339" s="268"/>
      <c r="D339" s="268"/>
      <c r="E339" s="268"/>
      <c r="F339" s="268"/>
      <c r="G339" s="268"/>
      <c r="H339" s="268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68"/>
    </row>
    <row r="340" spans="1:26" ht="12.75" customHeight="1">
      <c r="A340" s="268"/>
      <c r="B340" s="268"/>
      <c r="C340" s="268"/>
      <c r="D340" s="268"/>
      <c r="E340" s="268"/>
      <c r="F340" s="268"/>
      <c r="G340" s="268"/>
      <c r="H340" s="268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</row>
    <row r="341" spans="1:26" ht="12.75" customHeight="1">
      <c r="A341" s="268"/>
      <c r="B341" s="268"/>
      <c r="C341" s="268"/>
      <c r="D341" s="268"/>
      <c r="E341" s="268"/>
      <c r="F341" s="268"/>
      <c r="G341" s="268"/>
      <c r="H341" s="268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268"/>
      <c r="U341" s="268"/>
      <c r="V341" s="268"/>
      <c r="W341" s="268"/>
      <c r="X341" s="268"/>
      <c r="Y341" s="268"/>
      <c r="Z341" s="268"/>
    </row>
    <row r="342" spans="1:26" ht="12.75" customHeight="1">
      <c r="A342" s="268"/>
      <c r="B342" s="268"/>
      <c r="C342" s="268"/>
      <c r="D342" s="268"/>
      <c r="E342" s="268"/>
      <c r="F342" s="268"/>
      <c r="G342" s="268"/>
      <c r="H342" s="268"/>
      <c r="I342" s="268"/>
      <c r="J342" s="268"/>
      <c r="K342" s="268"/>
      <c r="L342" s="268"/>
      <c r="M342" s="268"/>
      <c r="N342" s="268"/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</row>
    <row r="343" spans="1:26" ht="12.75" customHeight="1">
      <c r="A343" s="268"/>
      <c r="B343" s="268"/>
      <c r="C343" s="268"/>
      <c r="D343" s="268"/>
      <c r="E343" s="268"/>
      <c r="F343" s="268"/>
      <c r="G343" s="268"/>
      <c r="H343" s="268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</row>
    <row r="344" spans="1:26" ht="12.75" customHeight="1">
      <c r="A344" s="268"/>
      <c r="B344" s="268"/>
      <c r="C344" s="268"/>
      <c r="D344" s="268"/>
      <c r="E344" s="268"/>
      <c r="F344" s="268"/>
      <c r="G344" s="268"/>
      <c r="H344" s="268"/>
      <c r="I344" s="268"/>
      <c r="J344" s="268"/>
      <c r="K344" s="268"/>
      <c r="L344" s="268"/>
      <c r="M344" s="268"/>
      <c r="N344" s="268"/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68"/>
    </row>
    <row r="345" spans="1:26" ht="12.75" customHeight="1">
      <c r="A345" s="268"/>
      <c r="B345" s="268"/>
      <c r="C345" s="268"/>
      <c r="D345" s="268"/>
      <c r="E345" s="268"/>
      <c r="F345" s="268"/>
      <c r="G345" s="268"/>
      <c r="H345" s="268"/>
      <c r="I345" s="268"/>
      <c r="J345" s="268"/>
      <c r="K345" s="268"/>
      <c r="L345" s="268"/>
      <c r="M345" s="268"/>
      <c r="N345" s="268"/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68"/>
    </row>
    <row r="346" spans="1:26" ht="12.75" customHeight="1">
      <c r="A346" s="268"/>
      <c r="B346" s="268"/>
      <c r="C346" s="268"/>
      <c r="D346" s="268"/>
      <c r="E346" s="268"/>
      <c r="F346" s="268"/>
      <c r="G346" s="268"/>
      <c r="H346" s="268"/>
      <c r="I346" s="268"/>
      <c r="J346" s="268"/>
      <c r="K346" s="268"/>
      <c r="L346" s="268"/>
      <c r="M346" s="268"/>
      <c r="N346" s="268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</row>
    <row r="347" spans="1:26" ht="12.75" customHeight="1">
      <c r="A347" s="268"/>
      <c r="B347" s="268"/>
      <c r="C347" s="268"/>
      <c r="D347" s="268"/>
      <c r="E347" s="268"/>
      <c r="F347" s="268"/>
      <c r="G347" s="268"/>
      <c r="H347" s="268"/>
      <c r="I347" s="268"/>
      <c r="J347" s="268"/>
      <c r="K347" s="268"/>
      <c r="L347" s="268"/>
      <c r="M347" s="268"/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68"/>
    </row>
    <row r="348" spans="1:26" ht="12.75" customHeight="1">
      <c r="A348" s="268"/>
      <c r="B348" s="268"/>
      <c r="C348" s="268"/>
      <c r="D348" s="268"/>
      <c r="E348" s="268"/>
      <c r="F348" s="268"/>
      <c r="G348" s="268"/>
      <c r="H348" s="268"/>
      <c r="I348" s="268"/>
      <c r="J348" s="268"/>
      <c r="K348" s="268"/>
      <c r="L348" s="268"/>
      <c r="M348" s="268"/>
      <c r="N348" s="268"/>
      <c r="O348" s="268"/>
      <c r="P348" s="268"/>
      <c r="Q348" s="268"/>
      <c r="R348" s="268"/>
      <c r="S348" s="268"/>
      <c r="T348" s="268"/>
      <c r="U348" s="268"/>
      <c r="V348" s="268"/>
      <c r="W348" s="268"/>
      <c r="X348" s="268"/>
      <c r="Y348" s="268"/>
      <c r="Z348" s="268"/>
    </row>
    <row r="349" spans="1:26" ht="12.75" customHeight="1">
      <c r="A349" s="268"/>
      <c r="B349" s="268"/>
      <c r="C349" s="268"/>
      <c r="D349" s="268"/>
      <c r="E349" s="268"/>
      <c r="F349" s="268"/>
      <c r="G349" s="268"/>
      <c r="H349" s="268"/>
      <c r="I349" s="268"/>
      <c r="J349" s="268"/>
      <c r="K349" s="268"/>
      <c r="L349" s="268"/>
      <c r="M349" s="268"/>
      <c r="N349" s="268"/>
      <c r="O349" s="268"/>
      <c r="P349" s="268"/>
      <c r="Q349" s="268"/>
      <c r="R349" s="268"/>
      <c r="S349" s="268"/>
      <c r="T349" s="268"/>
      <c r="U349" s="268"/>
      <c r="V349" s="268"/>
      <c r="W349" s="268"/>
      <c r="X349" s="268"/>
      <c r="Y349" s="268"/>
      <c r="Z349" s="268"/>
    </row>
    <row r="350" spans="1:26" ht="12.75" customHeight="1">
      <c r="A350" s="268"/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</row>
    <row r="351" spans="1:26" ht="12.75" customHeight="1">
      <c r="A351" s="268"/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</row>
    <row r="352" spans="1:26" ht="12.75" customHeight="1">
      <c r="A352" s="268"/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</row>
    <row r="353" spans="1:26" ht="12.75" customHeight="1">
      <c r="A353" s="268"/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</row>
    <row r="354" spans="1:26" ht="12.75" customHeight="1">
      <c r="A354" s="268"/>
      <c r="B354" s="26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</row>
    <row r="355" spans="1:26" ht="12.75" customHeight="1">
      <c r="A355" s="268"/>
      <c r="B355" s="268"/>
      <c r="C355" s="268"/>
      <c r="D355" s="268"/>
      <c r="E355" s="268"/>
      <c r="F355" s="268"/>
      <c r="G355" s="268"/>
      <c r="H355" s="268"/>
      <c r="I355" s="268"/>
      <c r="J355" s="268"/>
      <c r="K355" s="268"/>
      <c r="L355" s="268"/>
      <c r="M355" s="268"/>
      <c r="N355" s="268"/>
      <c r="O355" s="268"/>
      <c r="P355" s="268"/>
      <c r="Q355" s="268"/>
      <c r="R355" s="268"/>
      <c r="S355" s="268"/>
      <c r="T355" s="268"/>
      <c r="U355" s="268"/>
      <c r="V355" s="268"/>
      <c r="W355" s="268"/>
      <c r="X355" s="268"/>
      <c r="Y355" s="268"/>
      <c r="Z355" s="268"/>
    </row>
    <row r="356" spans="1:26" ht="12.75" customHeight="1">
      <c r="A356" s="268"/>
      <c r="B356" s="268"/>
      <c r="C356" s="268"/>
      <c r="D356" s="268"/>
      <c r="E356" s="268"/>
      <c r="F356" s="268"/>
      <c r="G356" s="268"/>
      <c r="H356" s="268"/>
      <c r="I356" s="268"/>
      <c r="J356" s="268"/>
      <c r="K356" s="268"/>
      <c r="L356" s="268"/>
      <c r="M356" s="268"/>
      <c r="N356" s="268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</row>
    <row r="357" spans="1:26" ht="12.75" customHeight="1">
      <c r="A357" s="268"/>
      <c r="B357" s="268"/>
      <c r="C357" s="268"/>
      <c r="D357" s="268"/>
      <c r="E357" s="268"/>
      <c r="F357" s="268"/>
      <c r="G357" s="268"/>
      <c r="H357" s="268"/>
      <c r="I357" s="268"/>
      <c r="J357" s="268"/>
      <c r="K357" s="268"/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</row>
    <row r="358" spans="1:26" ht="12.75" customHeight="1">
      <c r="A358" s="268"/>
      <c r="B358" s="268"/>
      <c r="C358" s="268"/>
      <c r="D358" s="268"/>
      <c r="E358" s="268"/>
      <c r="F358" s="268"/>
      <c r="G358" s="268"/>
      <c r="H358" s="268"/>
      <c r="I358" s="268"/>
      <c r="J358" s="268"/>
      <c r="K358" s="268"/>
      <c r="L358" s="268"/>
      <c r="M358" s="268"/>
      <c r="N358" s="268"/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</row>
    <row r="359" spans="1:26" ht="12.75" customHeight="1">
      <c r="A359" s="268"/>
      <c r="B359" s="268"/>
      <c r="C359" s="268"/>
      <c r="D359" s="268"/>
      <c r="E359" s="268"/>
      <c r="F359" s="268"/>
      <c r="G359" s="268"/>
      <c r="H359" s="268"/>
      <c r="I359" s="268"/>
      <c r="J359" s="268"/>
      <c r="K359" s="268"/>
      <c r="L359" s="268"/>
      <c r="M359" s="268"/>
      <c r="N359" s="268"/>
      <c r="O359" s="268"/>
      <c r="P359" s="268"/>
      <c r="Q359" s="268"/>
      <c r="R359" s="268"/>
      <c r="S359" s="268"/>
      <c r="T359" s="268"/>
      <c r="U359" s="268"/>
      <c r="V359" s="268"/>
      <c r="W359" s="268"/>
      <c r="X359" s="268"/>
      <c r="Y359" s="268"/>
      <c r="Z359" s="268"/>
    </row>
    <row r="360" spans="1:26" ht="12.75" customHeight="1">
      <c r="A360" s="268"/>
      <c r="B360" s="268"/>
      <c r="C360" s="268"/>
      <c r="D360" s="268"/>
      <c r="E360" s="268"/>
      <c r="F360" s="268"/>
      <c r="G360" s="268"/>
      <c r="H360" s="268"/>
      <c r="I360" s="268"/>
      <c r="J360" s="268"/>
      <c r="K360" s="268"/>
      <c r="L360" s="268"/>
      <c r="M360" s="268"/>
      <c r="N360" s="268"/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</row>
    <row r="361" spans="1:26" ht="12.75" customHeight="1">
      <c r="A361" s="268"/>
      <c r="B361" s="268"/>
      <c r="C361" s="268"/>
      <c r="D361" s="268"/>
      <c r="E361" s="268"/>
      <c r="F361" s="268"/>
      <c r="G361" s="268"/>
      <c r="H361" s="268"/>
      <c r="I361" s="268"/>
      <c r="J361" s="268"/>
      <c r="K361" s="268"/>
      <c r="L361" s="268"/>
      <c r="M361" s="268"/>
      <c r="N361" s="268"/>
      <c r="O361" s="268"/>
      <c r="P361" s="268"/>
      <c r="Q361" s="268"/>
      <c r="R361" s="268"/>
      <c r="S361" s="268"/>
      <c r="T361" s="268"/>
      <c r="U361" s="268"/>
      <c r="V361" s="268"/>
      <c r="W361" s="268"/>
      <c r="X361" s="268"/>
      <c r="Y361" s="268"/>
      <c r="Z361" s="268"/>
    </row>
    <row r="362" spans="1:26" ht="12.75" customHeight="1">
      <c r="A362" s="268"/>
      <c r="B362" s="268"/>
      <c r="C362" s="268"/>
      <c r="D362" s="268"/>
      <c r="E362" s="268"/>
      <c r="F362" s="268"/>
      <c r="G362" s="268"/>
      <c r="H362" s="268"/>
      <c r="I362" s="268"/>
      <c r="J362" s="268"/>
      <c r="K362" s="268"/>
      <c r="L362" s="268"/>
      <c r="M362" s="268"/>
      <c r="N362" s="268"/>
      <c r="O362" s="268"/>
      <c r="P362" s="268"/>
      <c r="Q362" s="268"/>
      <c r="R362" s="268"/>
      <c r="S362" s="268"/>
      <c r="T362" s="268"/>
      <c r="U362" s="268"/>
      <c r="V362" s="268"/>
      <c r="W362" s="268"/>
      <c r="X362" s="268"/>
      <c r="Y362" s="268"/>
      <c r="Z362" s="268"/>
    </row>
    <row r="363" spans="1:26" ht="12.75" customHeight="1">
      <c r="A363" s="268"/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268"/>
      <c r="Q363" s="268"/>
      <c r="R363" s="268"/>
      <c r="S363" s="268"/>
      <c r="T363" s="268"/>
      <c r="U363" s="268"/>
      <c r="V363" s="268"/>
      <c r="W363" s="268"/>
      <c r="X363" s="268"/>
      <c r="Y363" s="268"/>
      <c r="Z363" s="268"/>
    </row>
    <row r="364" spans="1:26" ht="12.75" customHeight="1">
      <c r="A364" s="268"/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268"/>
      <c r="Q364" s="268"/>
      <c r="R364" s="268"/>
      <c r="S364" s="268"/>
      <c r="T364" s="268"/>
      <c r="U364" s="268"/>
      <c r="V364" s="268"/>
      <c r="W364" s="268"/>
      <c r="X364" s="268"/>
      <c r="Y364" s="268"/>
      <c r="Z364" s="268"/>
    </row>
    <row r="365" spans="1:26" ht="12.75" customHeight="1">
      <c r="A365" s="268"/>
      <c r="B365" s="268"/>
      <c r="C365" s="268"/>
      <c r="D365" s="268"/>
      <c r="E365" s="268"/>
      <c r="F365" s="268"/>
      <c r="G365" s="268"/>
      <c r="H365" s="268"/>
      <c r="I365" s="268"/>
      <c r="J365" s="268"/>
      <c r="K365" s="268"/>
      <c r="L365" s="268"/>
      <c r="M365" s="268"/>
      <c r="N365" s="268"/>
      <c r="O365" s="268"/>
      <c r="P365" s="268"/>
      <c r="Q365" s="268"/>
      <c r="R365" s="268"/>
      <c r="S365" s="268"/>
      <c r="T365" s="268"/>
      <c r="U365" s="268"/>
      <c r="V365" s="268"/>
      <c r="W365" s="268"/>
      <c r="X365" s="268"/>
      <c r="Y365" s="268"/>
      <c r="Z365" s="268"/>
    </row>
    <row r="366" spans="1:26" ht="12.75" customHeight="1">
      <c r="A366" s="268"/>
      <c r="B366" s="268"/>
      <c r="C366" s="268"/>
      <c r="D366" s="268"/>
      <c r="E366" s="268"/>
      <c r="F366" s="268"/>
      <c r="G366" s="268"/>
      <c r="H366" s="268"/>
      <c r="I366" s="268"/>
      <c r="J366" s="268"/>
      <c r="K366" s="268"/>
      <c r="L366" s="268"/>
      <c r="M366" s="268"/>
      <c r="N366" s="268"/>
      <c r="O366" s="268"/>
      <c r="P366" s="268"/>
      <c r="Q366" s="268"/>
      <c r="R366" s="268"/>
      <c r="S366" s="268"/>
      <c r="T366" s="268"/>
      <c r="U366" s="268"/>
      <c r="V366" s="268"/>
      <c r="W366" s="268"/>
      <c r="X366" s="268"/>
      <c r="Y366" s="268"/>
      <c r="Z366" s="268"/>
    </row>
    <row r="367" spans="1:26" ht="12.75" customHeight="1">
      <c r="A367" s="268"/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268"/>
      <c r="Q367" s="268"/>
      <c r="R367" s="268"/>
      <c r="S367" s="268"/>
      <c r="T367" s="268"/>
      <c r="U367" s="268"/>
      <c r="V367" s="268"/>
      <c r="W367" s="268"/>
      <c r="X367" s="268"/>
      <c r="Y367" s="268"/>
      <c r="Z367" s="268"/>
    </row>
    <row r="368" spans="1:26" ht="12.75" customHeight="1">
      <c r="A368" s="268"/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268"/>
      <c r="Q368" s="268"/>
      <c r="R368" s="268"/>
      <c r="S368" s="268"/>
      <c r="T368" s="268"/>
      <c r="U368" s="268"/>
      <c r="V368" s="268"/>
      <c r="W368" s="268"/>
      <c r="X368" s="268"/>
      <c r="Y368" s="268"/>
      <c r="Z368" s="268"/>
    </row>
    <row r="369" spans="1:26" ht="12.75" customHeight="1">
      <c r="A369" s="268"/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268"/>
      <c r="Q369" s="268"/>
      <c r="R369" s="268"/>
      <c r="S369" s="268"/>
      <c r="T369" s="268"/>
      <c r="U369" s="268"/>
      <c r="V369" s="268"/>
      <c r="W369" s="268"/>
      <c r="X369" s="268"/>
      <c r="Y369" s="268"/>
      <c r="Z369" s="268"/>
    </row>
    <row r="370" spans="1:26" ht="12.75" customHeight="1">
      <c r="A370" s="268"/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268"/>
      <c r="Q370" s="268"/>
      <c r="R370" s="268"/>
      <c r="S370" s="268"/>
      <c r="T370" s="268"/>
      <c r="U370" s="268"/>
      <c r="V370" s="268"/>
      <c r="W370" s="268"/>
      <c r="X370" s="268"/>
      <c r="Y370" s="268"/>
      <c r="Z370" s="268"/>
    </row>
    <row r="371" spans="1:26" ht="12.75" customHeight="1">
      <c r="A371" s="268"/>
      <c r="B371" s="268"/>
      <c r="C371" s="268"/>
      <c r="D371" s="268"/>
      <c r="E371" s="268"/>
      <c r="F371" s="268"/>
      <c r="G371" s="268"/>
      <c r="H371" s="268"/>
      <c r="I371" s="268"/>
      <c r="J371" s="268"/>
      <c r="K371" s="268"/>
      <c r="L371" s="268"/>
      <c r="M371" s="268"/>
      <c r="N371" s="268"/>
      <c r="O371" s="268"/>
      <c r="P371" s="268"/>
      <c r="Q371" s="268"/>
      <c r="R371" s="268"/>
      <c r="S371" s="268"/>
      <c r="T371" s="268"/>
      <c r="U371" s="268"/>
      <c r="V371" s="268"/>
      <c r="W371" s="268"/>
      <c r="X371" s="268"/>
      <c r="Y371" s="268"/>
      <c r="Z371" s="268"/>
    </row>
    <row r="372" spans="1:26" ht="12.75" customHeight="1">
      <c r="A372" s="268"/>
      <c r="B372" s="268"/>
      <c r="C372" s="268"/>
      <c r="D372" s="268"/>
      <c r="E372" s="268"/>
      <c r="F372" s="268"/>
      <c r="G372" s="268"/>
      <c r="H372" s="268"/>
      <c r="I372" s="268"/>
      <c r="J372" s="268"/>
      <c r="K372" s="268"/>
      <c r="L372" s="268"/>
      <c r="M372" s="268"/>
      <c r="N372" s="268"/>
      <c r="O372" s="268"/>
      <c r="P372" s="268"/>
      <c r="Q372" s="268"/>
      <c r="R372" s="268"/>
      <c r="S372" s="268"/>
      <c r="T372" s="268"/>
      <c r="U372" s="268"/>
      <c r="V372" s="268"/>
      <c r="W372" s="268"/>
      <c r="X372" s="268"/>
      <c r="Y372" s="268"/>
      <c r="Z372" s="268"/>
    </row>
    <row r="373" spans="1:26" ht="12.75" customHeight="1">
      <c r="A373" s="268"/>
      <c r="B373" s="268"/>
      <c r="C373" s="268"/>
      <c r="D373" s="268"/>
      <c r="E373" s="268"/>
      <c r="F373" s="268"/>
      <c r="G373" s="268"/>
      <c r="H373" s="268"/>
      <c r="I373" s="268"/>
      <c r="J373" s="268"/>
      <c r="K373" s="268"/>
      <c r="L373" s="268"/>
      <c r="M373" s="268"/>
      <c r="N373" s="268"/>
      <c r="O373" s="268"/>
      <c r="P373" s="268"/>
      <c r="Q373" s="268"/>
      <c r="R373" s="268"/>
      <c r="S373" s="268"/>
      <c r="T373" s="268"/>
      <c r="U373" s="268"/>
      <c r="V373" s="268"/>
      <c r="W373" s="268"/>
      <c r="X373" s="268"/>
      <c r="Y373" s="268"/>
      <c r="Z373" s="268"/>
    </row>
    <row r="374" spans="1:26" ht="12.75" customHeight="1">
      <c r="A374" s="268"/>
      <c r="B374" s="268"/>
      <c r="C374" s="268"/>
      <c r="D374" s="268"/>
      <c r="E374" s="268"/>
      <c r="F374" s="268"/>
      <c r="G374" s="268"/>
      <c r="H374" s="268"/>
      <c r="I374" s="268"/>
      <c r="J374" s="268"/>
      <c r="K374" s="268"/>
      <c r="L374" s="268"/>
      <c r="M374" s="268"/>
      <c r="N374" s="268"/>
      <c r="O374" s="268"/>
      <c r="P374" s="268"/>
      <c r="Q374" s="268"/>
      <c r="R374" s="268"/>
      <c r="S374" s="268"/>
      <c r="T374" s="268"/>
      <c r="U374" s="268"/>
      <c r="V374" s="268"/>
      <c r="W374" s="268"/>
      <c r="X374" s="268"/>
      <c r="Y374" s="268"/>
      <c r="Z374" s="268"/>
    </row>
    <row r="375" spans="1:26" ht="12.75" customHeight="1">
      <c r="A375" s="268"/>
      <c r="B375" s="268"/>
      <c r="C375" s="268"/>
      <c r="D375" s="268"/>
      <c r="E375" s="268"/>
      <c r="F375" s="268"/>
      <c r="G375" s="268"/>
      <c r="H375" s="268"/>
      <c r="I375" s="268"/>
      <c r="J375" s="268"/>
      <c r="K375" s="268"/>
      <c r="L375" s="268"/>
      <c r="M375" s="268"/>
      <c r="N375" s="268"/>
      <c r="O375" s="268"/>
      <c r="P375" s="268"/>
      <c r="Q375" s="268"/>
      <c r="R375" s="268"/>
      <c r="S375" s="268"/>
      <c r="T375" s="268"/>
      <c r="U375" s="268"/>
      <c r="V375" s="268"/>
      <c r="W375" s="268"/>
      <c r="X375" s="268"/>
      <c r="Y375" s="268"/>
      <c r="Z375" s="268"/>
    </row>
    <row r="376" spans="1:26" ht="12.75" customHeight="1">
      <c r="A376" s="268"/>
      <c r="B376" s="268"/>
      <c r="C376" s="268"/>
      <c r="D376" s="268"/>
      <c r="E376" s="268"/>
      <c r="F376" s="268"/>
      <c r="G376" s="268"/>
      <c r="H376" s="268"/>
      <c r="I376" s="268"/>
      <c r="J376" s="268"/>
      <c r="K376" s="268"/>
      <c r="L376" s="268"/>
      <c r="M376" s="268"/>
      <c r="N376" s="268"/>
      <c r="O376" s="268"/>
      <c r="P376" s="268"/>
      <c r="Q376" s="268"/>
      <c r="R376" s="268"/>
      <c r="S376" s="268"/>
      <c r="T376" s="268"/>
      <c r="U376" s="268"/>
      <c r="V376" s="268"/>
      <c r="W376" s="268"/>
      <c r="X376" s="268"/>
      <c r="Y376" s="268"/>
      <c r="Z376" s="268"/>
    </row>
    <row r="377" spans="1:26" ht="12.75" customHeight="1">
      <c r="A377" s="268"/>
      <c r="B377" s="268"/>
      <c r="C377" s="268"/>
      <c r="D377" s="268"/>
      <c r="E377" s="268"/>
      <c r="F377" s="268"/>
      <c r="G377" s="268"/>
      <c r="H377" s="268"/>
      <c r="I377" s="268"/>
      <c r="J377" s="268"/>
      <c r="K377" s="268"/>
      <c r="L377" s="268"/>
      <c r="M377" s="268"/>
      <c r="N377" s="268"/>
      <c r="O377" s="268"/>
      <c r="P377" s="268"/>
      <c r="Q377" s="268"/>
      <c r="R377" s="268"/>
      <c r="S377" s="268"/>
      <c r="T377" s="268"/>
      <c r="U377" s="268"/>
      <c r="V377" s="268"/>
      <c r="W377" s="268"/>
      <c r="X377" s="268"/>
      <c r="Y377" s="268"/>
      <c r="Z377" s="268"/>
    </row>
    <row r="378" spans="1:26" ht="12.75" customHeight="1">
      <c r="A378" s="268"/>
      <c r="B378" s="268"/>
      <c r="C378" s="268"/>
      <c r="D378" s="268"/>
      <c r="E378" s="268"/>
      <c r="F378" s="268"/>
      <c r="G378" s="268"/>
      <c r="H378" s="268"/>
      <c r="I378" s="268"/>
      <c r="J378" s="268"/>
      <c r="K378" s="268"/>
      <c r="L378" s="268"/>
      <c r="M378" s="268"/>
      <c r="N378" s="268"/>
      <c r="O378" s="268"/>
      <c r="P378" s="268"/>
      <c r="Q378" s="268"/>
      <c r="R378" s="268"/>
      <c r="S378" s="268"/>
      <c r="T378" s="268"/>
      <c r="U378" s="268"/>
      <c r="V378" s="268"/>
      <c r="W378" s="268"/>
      <c r="X378" s="268"/>
      <c r="Y378" s="268"/>
      <c r="Z378" s="268"/>
    </row>
    <row r="379" spans="1:26" ht="12.75" customHeight="1">
      <c r="A379" s="268"/>
      <c r="B379" s="268"/>
      <c r="C379" s="268"/>
      <c r="D379" s="268"/>
      <c r="E379" s="268"/>
      <c r="F379" s="268"/>
      <c r="G379" s="268"/>
      <c r="H379" s="268"/>
      <c r="I379" s="268"/>
      <c r="J379" s="268"/>
      <c r="K379" s="268"/>
      <c r="L379" s="268"/>
      <c r="M379" s="268"/>
      <c r="N379" s="268"/>
      <c r="O379" s="268"/>
      <c r="P379" s="268"/>
      <c r="Q379" s="268"/>
      <c r="R379" s="268"/>
      <c r="S379" s="268"/>
      <c r="T379" s="268"/>
      <c r="U379" s="268"/>
      <c r="V379" s="268"/>
      <c r="W379" s="268"/>
      <c r="X379" s="268"/>
      <c r="Y379" s="268"/>
      <c r="Z379" s="268"/>
    </row>
    <row r="380" spans="1:26" ht="12.75" customHeight="1">
      <c r="A380" s="268"/>
      <c r="B380" s="268"/>
      <c r="C380" s="268"/>
      <c r="D380" s="268"/>
      <c r="E380" s="268"/>
      <c r="F380" s="268"/>
      <c r="G380" s="268"/>
      <c r="H380" s="268"/>
      <c r="I380" s="268"/>
      <c r="J380" s="268"/>
      <c r="K380" s="268"/>
      <c r="L380" s="268"/>
      <c r="M380" s="268"/>
      <c r="N380" s="268"/>
      <c r="O380" s="268"/>
      <c r="P380" s="268"/>
      <c r="Q380" s="268"/>
      <c r="R380" s="268"/>
      <c r="S380" s="268"/>
      <c r="T380" s="268"/>
      <c r="U380" s="268"/>
      <c r="V380" s="268"/>
      <c r="W380" s="268"/>
      <c r="X380" s="268"/>
      <c r="Y380" s="268"/>
      <c r="Z380" s="268"/>
    </row>
    <row r="381" spans="1:26" ht="12.75" customHeight="1">
      <c r="A381" s="268"/>
      <c r="B381" s="268"/>
      <c r="C381" s="268"/>
      <c r="D381" s="268"/>
      <c r="E381" s="268"/>
      <c r="F381" s="268"/>
      <c r="G381" s="268"/>
      <c r="H381" s="268"/>
      <c r="I381" s="268"/>
      <c r="J381" s="268"/>
      <c r="K381" s="268"/>
      <c r="L381" s="268"/>
      <c r="M381" s="268"/>
      <c r="N381" s="268"/>
      <c r="O381" s="268"/>
      <c r="P381" s="268"/>
      <c r="Q381" s="268"/>
      <c r="R381" s="268"/>
      <c r="S381" s="268"/>
      <c r="T381" s="268"/>
      <c r="U381" s="268"/>
      <c r="V381" s="268"/>
      <c r="W381" s="268"/>
      <c r="X381" s="268"/>
      <c r="Y381" s="268"/>
      <c r="Z381" s="268"/>
    </row>
    <row r="382" spans="1:26" ht="12.75" customHeight="1">
      <c r="A382" s="268"/>
      <c r="B382" s="268"/>
      <c r="C382" s="268"/>
      <c r="D382" s="268"/>
      <c r="E382" s="268"/>
      <c r="F382" s="268"/>
      <c r="G382" s="268"/>
      <c r="H382" s="268"/>
      <c r="I382" s="268"/>
      <c r="J382" s="268"/>
      <c r="K382" s="268"/>
      <c r="L382" s="268"/>
      <c r="M382" s="268"/>
      <c r="N382" s="268"/>
      <c r="O382" s="268"/>
      <c r="P382" s="268"/>
      <c r="Q382" s="268"/>
      <c r="R382" s="268"/>
      <c r="S382" s="268"/>
      <c r="T382" s="268"/>
      <c r="U382" s="268"/>
      <c r="V382" s="268"/>
      <c r="W382" s="268"/>
      <c r="X382" s="268"/>
      <c r="Y382" s="268"/>
      <c r="Z382" s="268"/>
    </row>
    <row r="383" spans="1:26" ht="12.75" customHeight="1">
      <c r="A383" s="268"/>
      <c r="B383" s="268"/>
      <c r="C383" s="268"/>
      <c r="D383" s="268"/>
      <c r="E383" s="268"/>
      <c r="F383" s="268"/>
      <c r="G383" s="268"/>
      <c r="H383" s="268"/>
      <c r="I383" s="268"/>
      <c r="J383" s="268"/>
      <c r="K383" s="268"/>
      <c r="L383" s="268"/>
      <c r="M383" s="268"/>
      <c r="N383" s="268"/>
      <c r="O383" s="268"/>
      <c r="P383" s="268"/>
      <c r="Q383" s="268"/>
      <c r="R383" s="268"/>
      <c r="S383" s="268"/>
      <c r="T383" s="268"/>
      <c r="U383" s="268"/>
      <c r="V383" s="268"/>
      <c r="W383" s="268"/>
      <c r="X383" s="268"/>
      <c r="Y383" s="268"/>
      <c r="Z383" s="268"/>
    </row>
    <row r="384" spans="1:26" ht="12.75" customHeight="1">
      <c r="A384" s="268"/>
      <c r="B384" s="268"/>
      <c r="C384" s="268"/>
      <c r="D384" s="268"/>
      <c r="E384" s="268"/>
      <c r="F384" s="268"/>
      <c r="G384" s="268"/>
      <c r="H384" s="268"/>
      <c r="I384" s="268"/>
      <c r="J384" s="268"/>
      <c r="K384" s="268"/>
      <c r="L384" s="268"/>
      <c r="M384" s="268"/>
      <c r="N384" s="268"/>
      <c r="O384" s="268"/>
      <c r="P384" s="268"/>
      <c r="Q384" s="268"/>
      <c r="R384" s="268"/>
      <c r="S384" s="268"/>
      <c r="T384" s="268"/>
      <c r="U384" s="268"/>
      <c r="V384" s="268"/>
      <c r="W384" s="268"/>
      <c r="X384" s="268"/>
      <c r="Y384" s="268"/>
      <c r="Z384" s="268"/>
    </row>
    <row r="385" spans="1:26" ht="12.75" customHeight="1">
      <c r="A385" s="268"/>
      <c r="B385" s="268"/>
      <c r="C385" s="268"/>
      <c r="D385" s="268"/>
      <c r="E385" s="268"/>
      <c r="F385" s="268"/>
      <c r="G385" s="268"/>
      <c r="H385" s="268"/>
      <c r="I385" s="268"/>
      <c r="J385" s="268"/>
      <c r="K385" s="268"/>
      <c r="L385" s="268"/>
      <c r="M385" s="268"/>
      <c r="N385" s="268"/>
      <c r="O385" s="268"/>
      <c r="P385" s="268"/>
      <c r="Q385" s="268"/>
      <c r="R385" s="268"/>
      <c r="S385" s="268"/>
      <c r="T385" s="268"/>
      <c r="U385" s="268"/>
      <c r="V385" s="268"/>
      <c r="W385" s="268"/>
      <c r="X385" s="268"/>
      <c r="Y385" s="268"/>
      <c r="Z385" s="268"/>
    </row>
    <row r="386" spans="1:26" ht="12.75" customHeight="1">
      <c r="A386" s="268"/>
      <c r="B386" s="268"/>
      <c r="C386" s="268"/>
      <c r="D386" s="268"/>
      <c r="E386" s="268"/>
      <c r="F386" s="268"/>
      <c r="G386" s="268"/>
      <c r="H386" s="268"/>
      <c r="I386" s="268"/>
      <c r="J386" s="268"/>
      <c r="K386" s="268"/>
      <c r="L386" s="268"/>
      <c r="M386" s="268"/>
      <c r="N386" s="268"/>
      <c r="O386" s="268"/>
      <c r="P386" s="268"/>
      <c r="Q386" s="268"/>
      <c r="R386" s="268"/>
      <c r="S386" s="268"/>
      <c r="T386" s="268"/>
      <c r="U386" s="268"/>
      <c r="V386" s="268"/>
      <c r="W386" s="268"/>
      <c r="X386" s="268"/>
      <c r="Y386" s="268"/>
      <c r="Z386" s="268"/>
    </row>
    <row r="387" spans="1:26" ht="12.75" customHeight="1">
      <c r="A387" s="268"/>
      <c r="B387" s="268"/>
      <c r="C387" s="268"/>
      <c r="D387" s="268"/>
      <c r="E387" s="268"/>
      <c r="F387" s="268"/>
      <c r="G387" s="268"/>
      <c r="H387" s="268"/>
      <c r="I387" s="268"/>
      <c r="J387" s="268"/>
      <c r="K387" s="268"/>
      <c r="L387" s="268"/>
      <c r="M387" s="268"/>
      <c r="N387" s="268"/>
      <c r="O387" s="268"/>
      <c r="P387" s="268"/>
      <c r="Q387" s="268"/>
      <c r="R387" s="268"/>
      <c r="S387" s="268"/>
      <c r="T387" s="268"/>
      <c r="U387" s="268"/>
      <c r="V387" s="268"/>
      <c r="W387" s="268"/>
      <c r="X387" s="268"/>
      <c r="Y387" s="268"/>
      <c r="Z387" s="268"/>
    </row>
    <row r="388" spans="1:26" ht="12.75" customHeight="1">
      <c r="A388" s="268"/>
      <c r="B388" s="268"/>
      <c r="C388" s="268"/>
      <c r="D388" s="268"/>
      <c r="E388" s="268"/>
      <c r="F388" s="268"/>
      <c r="G388" s="268"/>
      <c r="H388" s="268"/>
      <c r="I388" s="268"/>
      <c r="J388" s="268"/>
      <c r="K388" s="268"/>
      <c r="L388" s="268"/>
      <c r="M388" s="268"/>
      <c r="N388" s="268"/>
      <c r="O388" s="268"/>
      <c r="P388" s="268"/>
      <c r="Q388" s="268"/>
      <c r="R388" s="268"/>
      <c r="S388" s="268"/>
      <c r="T388" s="268"/>
      <c r="U388" s="268"/>
      <c r="V388" s="268"/>
      <c r="W388" s="268"/>
      <c r="X388" s="268"/>
      <c r="Y388" s="268"/>
      <c r="Z388" s="268"/>
    </row>
    <row r="389" spans="1:26" ht="12.75" customHeight="1">
      <c r="A389" s="268"/>
      <c r="B389" s="268"/>
      <c r="C389" s="268"/>
      <c r="D389" s="268"/>
      <c r="E389" s="268"/>
      <c r="F389" s="268"/>
      <c r="G389" s="268"/>
      <c r="H389" s="268"/>
      <c r="I389" s="268"/>
      <c r="J389" s="268"/>
      <c r="K389" s="268"/>
      <c r="L389" s="268"/>
      <c r="M389" s="268"/>
      <c r="N389" s="268"/>
      <c r="O389" s="268"/>
      <c r="P389" s="268"/>
      <c r="Q389" s="268"/>
      <c r="R389" s="268"/>
      <c r="S389" s="268"/>
      <c r="T389" s="268"/>
      <c r="U389" s="268"/>
      <c r="V389" s="268"/>
      <c r="W389" s="268"/>
      <c r="X389" s="268"/>
      <c r="Y389" s="268"/>
      <c r="Z389" s="268"/>
    </row>
    <row r="390" spans="1:26" ht="12.75" customHeight="1">
      <c r="A390" s="268"/>
      <c r="B390" s="268"/>
      <c r="C390" s="268"/>
      <c r="D390" s="268"/>
      <c r="E390" s="268"/>
      <c r="F390" s="268"/>
      <c r="G390" s="268"/>
      <c r="H390" s="268"/>
      <c r="I390" s="268"/>
      <c r="J390" s="268"/>
      <c r="K390" s="268"/>
      <c r="L390" s="268"/>
      <c r="M390" s="268"/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/>
      <c r="Z390" s="268"/>
    </row>
    <row r="391" spans="1:26" ht="12.75" customHeight="1">
      <c r="A391" s="268"/>
      <c r="B391" s="268"/>
      <c r="C391" s="268"/>
      <c r="D391" s="268"/>
      <c r="E391" s="268"/>
      <c r="F391" s="268"/>
      <c r="G391" s="268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8"/>
      <c r="V391" s="268"/>
      <c r="W391" s="268"/>
      <c r="X391" s="268"/>
      <c r="Y391" s="268"/>
      <c r="Z391" s="268"/>
    </row>
    <row r="392" spans="1:26" ht="12.75" customHeight="1">
      <c r="A392" s="268"/>
      <c r="B392" s="268"/>
      <c r="C392" s="268"/>
      <c r="D392" s="268"/>
      <c r="E392" s="268"/>
      <c r="F392" s="268"/>
      <c r="G392" s="268"/>
      <c r="H392" s="268"/>
      <c r="I392" s="268"/>
      <c r="J392" s="268"/>
      <c r="K392" s="268"/>
      <c r="L392" s="268"/>
      <c r="M392" s="268"/>
      <c r="N392" s="268"/>
      <c r="O392" s="268"/>
      <c r="P392" s="268"/>
      <c r="Q392" s="268"/>
      <c r="R392" s="268"/>
      <c r="S392" s="268"/>
      <c r="T392" s="268"/>
      <c r="U392" s="268"/>
      <c r="V392" s="268"/>
      <c r="W392" s="268"/>
      <c r="X392" s="268"/>
      <c r="Y392" s="268"/>
      <c r="Z392" s="268"/>
    </row>
    <row r="393" spans="1:26" ht="12.75" customHeight="1">
      <c r="A393" s="268"/>
      <c r="B393" s="268"/>
      <c r="C393" s="268"/>
      <c r="D393" s="268"/>
      <c r="E393" s="268"/>
      <c r="F393" s="268"/>
      <c r="G393" s="268"/>
      <c r="H393" s="268"/>
      <c r="I393" s="268"/>
      <c r="J393" s="268"/>
      <c r="K393" s="268"/>
      <c r="L393" s="268"/>
      <c r="M393" s="268"/>
      <c r="N393" s="268"/>
      <c r="O393" s="268"/>
      <c r="P393" s="268"/>
      <c r="Q393" s="268"/>
      <c r="R393" s="268"/>
      <c r="S393" s="268"/>
      <c r="T393" s="268"/>
      <c r="U393" s="268"/>
      <c r="V393" s="268"/>
      <c r="W393" s="268"/>
      <c r="X393" s="268"/>
      <c r="Y393" s="268"/>
      <c r="Z393" s="268"/>
    </row>
    <row r="394" spans="1:26" ht="12.75" customHeight="1">
      <c r="A394" s="268"/>
      <c r="B394" s="268"/>
      <c r="C394" s="268"/>
      <c r="D394" s="268"/>
      <c r="E394" s="268"/>
      <c r="F394" s="268"/>
      <c r="G394" s="268"/>
      <c r="H394" s="268"/>
      <c r="I394" s="268"/>
      <c r="J394" s="268"/>
      <c r="K394" s="268"/>
      <c r="L394" s="268"/>
      <c r="M394" s="268"/>
      <c r="N394" s="268"/>
      <c r="O394" s="268"/>
      <c r="P394" s="268"/>
      <c r="Q394" s="268"/>
      <c r="R394" s="268"/>
      <c r="S394" s="268"/>
      <c r="T394" s="268"/>
      <c r="U394" s="268"/>
      <c r="V394" s="268"/>
      <c r="W394" s="268"/>
      <c r="X394" s="268"/>
      <c r="Y394" s="268"/>
      <c r="Z394" s="268"/>
    </row>
    <row r="395" spans="1:26" ht="12.75" customHeight="1">
      <c r="A395" s="268"/>
      <c r="B395" s="268"/>
      <c r="C395" s="268"/>
      <c r="D395" s="268"/>
      <c r="E395" s="268"/>
      <c r="F395" s="268"/>
      <c r="G395" s="268"/>
      <c r="H395" s="268"/>
      <c r="I395" s="268"/>
      <c r="J395" s="268"/>
      <c r="K395" s="268"/>
      <c r="L395" s="268"/>
      <c r="M395" s="268"/>
      <c r="N395" s="268"/>
      <c r="O395" s="268"/>
      <c r="P395" s="268"/>
      <c r="Q395" s="268"/>
      <c r="R395" s="268"/>
      <c r="S395" s="268"/>
      <c r="T395" s="268"/>
      <c r="U395" s="268"/>
      <c r="V395" s="268"/>
      <c r="W395" s="268"/>
      <c r="X395" s="268"/>
      <c r="Y395" s="268"/>
      <c r="Z395" s="268"/>
    </row>
    <row r="396" spans="1:26" ht="12.75" customHeight="1">
      <c r="A396" s="268"/>
      <c r="B396" s="268"/>
      <c r="C396" s="268"/>
      <c r="D396" s="268"/>
      <c r="E396" s="268"/>
      <c r="F396" s="268"/>
      <c r="G396" s="268"/>
      <c r="H396" s="268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/>
      <c r="U396" s="268"/>
      <c r="V396" s="268"/>
      <c r="W396" s="268"/>
      <c r="X396" s="268"/>
      <c r="Y396" s="268"/>
      <c r="Z396" s="268"/>
    </row>
    <row r="397" spans="1:26" ht="12.75" customHeight="1">
      <c r="A397" s="268"/>
      <c r="B397" s="268"/>
      <c r="C397" s="268"/>
      <c r="D397" s="268"/>
      <c r="E397" s="268"/>
      <c r="F397" s="268"/>
      <c r="G397" s="268"/>
      <c r="H397" s="268"/>
      <c r="I397" s="268"/>
      <c r="J397" s="268"/>
      <c r="K397" s="268"/>
      <c r="L397" s="268"/>
      <c r="M397" s="268"/>
      <c r="N397" s="268"/>
      <c r="O397" s="268"/>
      <c r="P397" s="268"/>
      <c r="Q397" s="268"/>
      <c r="R397" s="268"/>
      <c r="S397" s="268"/>
      <c r="T397" s="268"/>
      <c r="U397" s="268"/>
      <c r="V397" s="268"/>
      <c r="W397" s="268"/>
      <c r="X397" s="268"/>
      <c r="Y397" s="268"/>
      <c r="Z397" s="268"/>
    </row>
    <row r="398" spans="1:26" ht="12.75" customHeight="1">
      <c r="A398" s="268"/>
      <c r="B398" s="268"/>
      <c r="C398" s="268"/>
      <c r="D398" s="268"/>
      <c r="E398" s="268"/>
      <c r="F398" s="268"/>
      <c r="G398" s="268"/>
      <c r="H398" s="268"/>
      <c r="I398" s="268"/>
      <c r="J398" s="268"/>
      <c r="K398" s="268"/>
      <c r="L398" s="268"/>
      <c r="M398" s="268"/>
      <c r="N398" s="268"/>
      <c r="O398" s="268"/>
      <c r="P398" s="268"/>
      <c r="Q398" s="268"/>
      <c r="R398" s="268"/>
      <c r="S398" s="268"/>
      <c r="T398" s="268"/>
      <c r="U398" s="268"/>
      <c r="V398" s="268"/>
      <c r="W398" s="268"/>
      <c r="X398" s="268"/>
      <c r="Y398" s="268"/>
      <c r="Z398" s="268"/>
    </row>
    <row r="399" spans="1:26" ht="12.75" customHeight="1">
      <c r="A399" s="268"/>
      <c r="B399" s="268"/>
      <c r="C399" s="268"/>
      <c r="D399" s="268"/>
      <c r="E399" s="268"/>
      <c r="F399" s="268"/>
      <c r="G399" s="268"/>
      <c r="H399" s="268"/>
      <c r="I399" s="268"/>
      <c r="J399" s="268"/>
      <c r="K399" s="268"/>
      <c r="L399" s="268"/>
      <c r="M399" s="268"/>
      <c r="N399" s="268"/>
      <c r="O399" s="268"/>
      <c r="P399" s="268"/>
      <c r="Q399" s="268"/>
      <c r="R399" s="268"/>
      <c r="S399" s="268"/>
      <c r="T399" s="268"/>
      <c r="U399" s="268"/>
      <c r="V399" s="268"/>
      <c r="W399" s="268"/>
      <c r="X399" s="268"/>
      <c r="Y399" s="268"/>
      <c r="Z399" s="268"/>
    </row>
    <row r="400" spans="1:26" ht="12.75" customHeight="1">
      <c r="A400" s="268"/>
      <c r="B400" s="268"/>
      <c r="C400" s="268"/>
      <c r="D400" s="268"/>
      <c r="E400" s="268"/>
      <c r="F400" s="268"/>
      <c r="G400" s="268"/>
      <c r="H400" s="268"/>
      <c r="I400" s="268"/>
      <c r="J400" s="268"/>
      <c r="K400" s="268"/>
      <c r="L400" s="268"/>
      <c r="M400" s="268"/>
      <c r="N400" s="268"/>
      <c r="O400" s="268"/>
      <c r="P400" s="268"/>
      <c r="Q400" s="268"/>
      <c r="R400" s="268"/>
      <c r="S400" s="268"/>
      <c r="T400" s="268"/>
      <c r="U400" s="268"/>
      <c r="V400" s="268"/>
      <c r="W400" s="268"/>
      <c r="X400" s="268"/>
      <c r="Y400" s="268"/>
      <c r="Z400" s="268"/>
    </row>
    <row r="401" spans="1:26" ht="12.75" customHeight="1">
      <c r="A401" s="268"/>
      <c r="B401" s="268"/>
      <c r="C401" s="268"/>
      <c r="D401" s="268"/>
      <c r="E401" s="268"/>
      <c r="F401" s="268"/>
      <c r="G401" s="268"/>
      <c r="H401" s="268"/>
      <c r="I401" s="268"/>
      <c r="J401" s="268"/>
      <c r="K401" s="268"/>
      <c r="L401" s="268"/>
      <c r="M401" s="268"/>
      <c r="N401" s="268"/>
      <c r="O401" s="268"/>
      <c r="P401" s="268"/>
      <c r="Q401" s="268"/>
      <c r="R401" s="268"/>
      <c r="S401" s="268"/>
      <c r="T401" s="268"/>
      <c r="U401" s="268"/>
      <c r="V401" s="268"/>
      <c r="W401" s="268"/>
      <c r="X401" s="268"/>
      <c r="Y401" s="268"/>
      <c r="Z401" s="268"/>
    </row>
    <row r="402" spans="1:26" ht="12.75" customHeight="1">
      <c r="A402" s="268"/>
      <c r="B402" s="268"/>
      <c r="C402" s="268"/>
      <c r="D402" s="268"/>
      <c r="E402" s="268"/>
      <c r="F402" s="268"/>
      <c r="G402" s="268"/>
      <c r="H402" s="268"/>
      <c r="I402" s="268"/>
      <c r="J402" s="268"/>
      <c r="K402" s="268"/>
      <c r="L402" s="268"/>
      <c r="M402" s="268"/>
      <c r="N402" s="268"/>
      <c r="O402" s="268"/>
      <c r="P402" s="268"/>
      <c r="Q402" s="268"/>
      <c r="R402" s="268"/>
      <c r="S402" s="268"/>
      <c r="T402" s="268"/>
      <c r="U402" s="268"/>
      <c r="V402" s="268"/>
      <c r="W402" s="268"/>
      <c r="X402" s="268"/>
      <c r="Y402" s="268"/>
      <c r="Z402" s="268"/>
    </row>
    <row r="403" spans="1:26" ht="12.75" customHeight="1">
      <c r="A403" s="268"/>
      <c r="B403" s="268"/>
      <c r="C403" s="268"/>
      <c r="D403" s="268"/>
      <c r="E403" s="268"/>
      <c r="F403" s="268"/>
      <c r="G403" s="268"/>
      <c r="H403" s="268"/>
      <c r="I403" s="268"/>
      <c r="J403" s="268"/>
      <c r="K403" s="268"/>
      <c r="L403" s="268"/>
      <c r="M403" s="268"/>
      <c r="N403" s="268"/>
      <c r="O403" s="268"/>
      <c r="P403" s="268"/>
      <c r="Q403" s="268"/>
      <c r="R403" s="268"/>
      <c r="S403" s="268"/>
      <c r="T403" s="268"/>
      <c r="U403" s="268"/>
      <c r="V403" s="268"/>
      <c r="W403" s="268"/>
      <c r="X403" s="268"/>
      <c r="Y403" s="268"/>
      <c r="Z403" s="268"/>
    </row>
    <row r="404" spans="1:26" ht="12.75" customHeight="1">
      <c r="A404" s="268"/>
      <c r="B404" s="268"/>
      <c r="C404" s="268"/>
      <c r="D404" s="268"/>
      <c r="E404" s="268"/>
      <c r="F404" s="268"/>
      <c r="G404" s="268"/>
      <c r="H404" s="268"/>
      <c r="I404" s="268"/>
      <c r="J404" s="268"/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68"/>
      <c r="W404" s="268"/>
      <c r="X404" s="268"/>
      <c r="Y404" s="268"/>
      <c r="Z404" s="268"/>
    </row>
    <row r="405" spans="1:26" ht="12.75" customHeight="1">
      <c r="A405" s="268"/>
      <c r="B405" s="268"/>
      <c r="C405" s="268"/>
      <c r="D405" s="268"/>
      <c r="E405" s="268"/>
      <c r="F405" s="268"/>
      <c r="G405" s="268"/>
      <c r="H405" s="268"/>
      <c r="I405" s="268"/>
      <c r="J405" s="268"/>
      <c r="K405" s="268"/>
      <c r="L405" s="268"/>
      <c r="M405" s="268"/>
      <c r="N405" s="268"/>
      <c r="O405" s="268"/>
      <c r="P405" s="268"/>
      <c r="Q405" s="268"/>
      <c r="R405" s="268"/>
      <c r="S405" s="268"/>
      <c r="T405" s="268"/>
      <c r="U405" s="268"/>
      <c r="V405" s="268"/>
      <c r="W405" s="268"/>
      <c r="X405" s="268"/>
      <c r="Y405" s="268"/>
      <c r="Z405" s="268"/>
    </row>
    <row r="406" spans="1:26" ht="12.75" customHeight="1">
      <c r="A406" s="268"/>
      <c r="B406" s="268"/>
      <c r="C406" s="268"/>
      <c r="D406" s="268"/>
      <c r="E406" s="268"/>
      <c r="F406" s="268"/>
      <c r="G406" s="268"/>
      <c r="H406" s="268"/>
      <c r="I406" s="268"/>
      <c r="J406" s="268"/>
      <c r="K406" s="268"/>
      <c r="L406" s="268"/>
      <c r="M406" s="268"/>
      <c r="N406" s="268"/>
      <c r="O406" s="268"/>
      <c r="P406" s="268"/>
      <c r="Q406" s="268"/>
      <c r="R406" s="268"/>
      <c r="S406" s="268"/>
      <c r="T406" s="268"/>
      <c r="U406" s="268"/>
      <c r="V406" s="268"/>
      <c r="W406" s="268"/>
      <c r="X406" s="268"/>
      <c r="Y406" s="268"/>
      <c r="Z406" s="268"/>
    </row>
    <row r="407" spans="1:26" ht="12.75" customHeight="1">
      <c r="A407" s="268"/>
      <c r="B407" s="268"/>
      <c r="C407" s="268"/>
      <c r="D407" s="268"/>
      <c r="E407" s="268"/>
      <c r="F407" s="268"/>
      <c r="G407" s="268"/>
      <c r="H407" s="268"/>
      <c r="I407" s="268"/>
      <c r="J407" s="268"/>
      <c r="K407" s="268"/>
      <c r="L407" s="268"/>
      <c r="M407" s="268"/>
      <c r="N407" s="268"/>
      <c r="O407" s="268"/>
      <c r="P407" s="268"/>
      <c r="Q407" s="268"/>
      <c r="R407" s="268"/>
      <c r="S407" s="268"/>
      <c r="T407" s="268"/>
      <c r="U407" s="268"/>
      <c r="V407" s="268"/>
      <c r="W407" s="268"/>
      <c r="X407" s="268"/>
      <c r="Y407" s="268"/>
      <c r="Z407" s="268"/>
    </row>
    <row r="408" spans="1:26" ht="12.75" customHeight="1">
      <c r="A408" s="268"/>
      <c r="B408" s="268"/>
      <c r="C408" s="268"/>
      <c r="D408" s="268"/>
      <c r="E408" s="268"/>
      <c r="F408" s="268"/>
      <c r="G408" s="268"/>
      <c r="H408" s="268"/>
      <c r="I408" s="268"/>
      <c r="J408" s="268"/>
      <c r="K408" s="268"/>
      <c r="L408" s="268"/>
      <c r="M408" s="268"/>
      <c r="N408" s="268"/>
      <c r="O408" s="268"/>
      <c r="P408" s="268"/>
      <c r="Q408" s="268"/>
      <c r="R408" s="268"/>
      <c r="S408" s="268"/>
      <c r="T408" s="268"/>
      <c r="U408" s="268"/>
      <c r="V408" s="268"/>
      <c r="W408" s="268"/>
      <c r="X408" s="268"/>
      <c r="Y408" s="268"/>
      <c r="Z408" s="268"/>
    </row>
    <row r="409" spans="1:26" ht="12.75" customHeight="1">
      <c r="A409" s="268"/>
      <c r="B409" s="268"/>
      <c r="C409" s="268"/>
      <c r="D409" s="268"/>
      <c r="E409" s="268"/>
      <c r="F409" s="268"/>
      <c r="G409" s="268"/>
      <c r="H409" s="268"/>
      <c r="I409" s="268"/>
      <c r="J409" s="268"/>
      <c r="K409" s="268"/>
      <c r="L409" s="268"/>
      <c r="M409" s="268"/>
      <c r="N409" s="268"/>
      <c r="O409" s="268"/>
      <c r="P409" s="268"/>
      <c r="Q409" s="268"/>
      <c r="R409" s="268"/>
      <c r="S409" s="268"/>
      <c r="T409" s="268"/>
      <c r="U409" s="268"/>
      <c r="V409" s="268"/>
      <c r="W409" s="268"/>
      <c r="X409" s="268"/>
      <c r="Y409" s="268"/>
      <c r="Z409" s="268"/>
    </row>
    <row r="410" spans="1:26" ht="12.75" customHeight="1">
      <c r="A410" s="268"/>
      <c r="B410" s="268"/>
      <c r="C410" s="268"/>
      <c r="D410" s="268"/>
      <c r="E410" s="268"/>
      <c r="F410" s="268"/>
      <c r="G410" s="268"/>
      <c r="H410" s="268"/>
      <c r="I410" s="268"/>
      <c r="J410" s="268"/>
      <c r="K410" s="268"/>
      <c r="L410" s="268"/>
      <c r="M410" s="268"/>
      <c r="N410" s="268"/>
      <c r="O410" s="268"/>
      <c r="P410" s="268"/>
      <c r="Q410" s="268"/>
      <c r="R410" s="268"/>
      <c r="S410" s="268"/>
      <c r="T410" s="268"/>
      <c r="U410" s="268"/>
      <c r="V410" s="268"/>
      <c r="W410" s="268"/>
      <c r="X410" s="268"/>
      <c r="Y410" s="268"/>
      <c r="Z410" s="268"/>
    </row>
    <row r="411" spans="1:26" ht="12.75" customHeight="1">
      <c r="A411" s="268"/>
      <c r="B411" s="268"/>
      <c r="C411" s="268"/>
      <c r="D411" s="268"/>
      <c r="E411" s="268"/>
      <c r="F411" s="268"/>
      <c r="G411" s="268"/>
      <c r="H411" s="268"/>
      <c r="I411" s="268"/>
      <c r="J411" s="268"/>
      <c r="K411" s="268"/>
      <c r="L411" s="268"/>
      <c r="M411" s="268"/>
      <c r="N411" s="268"/>
      <c r="O411" s="268"/>
      <c r="P411" s="268"/>
      <c r="Q411" s="268"/>
      <c r="R411" s="268"/>
      <c r="S411" s="268"/>
      <c r="T411" s="268"/>
      <c r="U411" s="268"/>
      <c r="V411" s="268"/>
      <c r="W411" s="268"/>
      <c r="X411" s="268"/>
      <c r="Y411" s="268"/>
      <c r="Z411" s="268"/>
    </row>
    <row r="412" spans="1:26" ht="12.75" customHeight="1">
      <c r="A412" s="268"/>
      <c r="B412" s="268"/>
      <c r="C412" s="268"/>
      <c r="D412" s="268"/>
      <c r="E412" s="268"/>
      <c r="F412" s="268"/>
      <c r="G412" s="268"/>
      <c r="H412" s="268"/>
      <c r="I412" s="268"/>
      <c r="J412" s="268"/>
      <c r="K412" s="268"/>
      <c r="L412" s="268"/>
      <c r="M412" s="268"/>
      <c r="N412" s="268"/>
      <c r="O412" s="268"/>
      <c r="P412" s="268"/>
      <c r="Q412" s="268"/>
      <c r="R412" s="268"/>
      <c r="S412" s="268"/>
      <c r="T412" s="268"/>
      <c r="U412" s="268"/>
      <c r="V412" s="268"/>
      <c r="W412" s="268"/>
      <c r="X412" s="268"/>
      <c r="Y412" s="268"/>
      <c r="Z412" s="268"/>
    </row>
    <row r="413" spans="1:26" ht="12.75" customHeight="1">
      <c r="A413" s="268"/>
      <c r="B413" s="268"/>
      <c r="C413" s="268"/>
      <c r="D413" s="268"/>
      <c r="E413" s="268"/>
      <c r="F413" s="268"/>
      <c r="G413" s="268"/>
      <c r="H413" s="268"/>
      <c r="I413" s="268"/>
      <c r="J413" s="268"/>
      <c r="K413" s="268"/>
      <c r="L413" s="268"/>
      <c r="M413" s="268"/>
      <c r="N413" s="268"/>
      <c r="O413" s="268"/>
      <c r="P413" s="268"/>
      <c r="Q413" s="268"/>
      <c r="R413" s="268"/>
      <c r="S413" s="268"/>
      <c r="T413" s="268"/>
      <c r="U413" s="268"/>
      <c r="V413" s="268"/>
      <c r="W413" s="268"/>
      <c r="X413" s="268"/>
      <c r="Y413" s="268"/>
      <c r="Z413" s="268"/>
    </row>
    <row r="414" spans="1:26" ht="12.75" customHeight="1">
      <c r="A414" s="268"/>
      <c r="B414" s="268"/>
      <c r="C414" s="268"/>
      <c r="D414" s="268"/>
      <c r="E414" s="268"/>
      <c r="F414" s="268"/>
      <c r="G414" s="268"/>
      <c r="H414" s="268"/>
      <c r="I414" s="268"/>
      <c r="J414" s="268"/>
      <c r="K414" s="268"/>
      <c r="L414" s="268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</row>
    <row r="415" spans="1:26" ht="12.75" customHeight="1">
      <c r="A415" s="268"/>
      <c r="B415" s="268"/>
      <c r="C415" s="268"/>
      <c r="D415" s="268"/>
      <c r="E415" s="268"/>
      <c r="F415" s="268"/>
      <c r="G415" s="268"/>
      <c r="H415" s="268"/>
      <c r="I415" s="268"/>
      <c r="J415" s="268"/>
      <c r="K415" s="268"/>
      <c r="L415" s="268"/>
      <c r="M415" s="268"/>
      <c r="N415" s="268"/>
      <c r="O415" s="268"/>
      <c r="P415" s="268"/>
      <c r="Q415" s="268"/>
      <c r="R415" s="268"/>
      <c r="S415" s="268"/>
      <c r="T415" s="268"/>
      <c r="U415" s="268"/>
      <c r="V415" s="268"/>
      <c r="W415" s="268"/>
      <c r="X415" s="268"/>
      <c r="Y415" s="268"/>
      <c r="Z415" s="268"/>
    </row>
    <row r="416" spans="1:26" ht="12.75" customHeight="1">
      <c r="A416" s="268"/>
      <c r="B416" s="268"/>
      <c r="C416" s="268"/>
      <c r="D416" s="268"/>
      <c r="E416" s="268"/>
      <c r="F416" s="268"/>
      <c r="G416" s="268"/>
      <c r="H416" s="268"/>
      <c r="I416" s="268"/>
      <c r="J416" s="268"/>
      <c r="K416" s="268"/>
      <c r="L416" s="268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</row>
    <row r="417" spans="1:26" ht="12.75" customHeight="1">
      <c r="A417" s="268"/>
      <c r="B417" s="268"/>
      <c r="C417" s="268"/>
      <c r="D417" s="268"/>
      <c r="E417" s="268"/>
      <c r="F417" s="268"/>
      <c r="G417" s="268"/>
      <c r="H417" s="268"/>
      <c r="I417" s="268"/>
      <c r="J417" s="268"/>
      <c r="K417" s="268"/>
      <c r="L417" s="268"/>
      <c r="M417" s="268"/>
      <c r="N417" s="268"/>
      <c r="O417" s="268"/>
      <c r="P417" s="268"/>
      <c r="Q417" s="268"/>
      <c r="R417" s="268"/>
      <c r="S417" s="268"/>
      <c r="T417" s="268"/>
      <c r="U417" s="268"/>
      <c r="V417" s="268"/>
      <c r="W417" s="268"/>
      <c r="X417" s="268"/>
      <c r="Y417" s="268"/>
      <c r="Z417" s="268"/>
    </row>
    <row r="418" spans="1:26" ht="12.75" customHeight="1">
      <c r="A418" s="268"/>
      <c r="B418" s="268"/>
      <c r="C418" s="268"/>
      <c r="D418" s="268"/>
      <c r="E418" s="268"/>
      <c r="F418" s="268"/>
      <c r="G418" s="268"/>
      <c r="H418" s="268"/>
      <c r="I418" s="268"/>
      <c r="J418" s="268"/>
      <c r="K418" s="268"/>
      <c r="L418" s="268"/>
      <c r="M418" s="268"/>
      <c r="N418" s="268"/>
      <c r="O418" s="268"/>
      <c r="P418" s="268"/>
      <c r="Q418" s="268"/>
      <c r="R418" s="268"/>
      <c r="S418" s="268"/>
      <c r="T418" s="268"/>
      <c r="U418" s="268"/>
      <c r="V418" s="268"/>
      <c r="W418" s="268"/>
      <c r="X418" s="268"/>
      <c r="Y418" s="268"/>
      <c r="Z418" s="268"/>
    </row>
    <row r="419" spans="1:26" ht="12.75" customHeight="1">
      <c r="A419" s="268"/>
      <c r="B419" s="268"/>
      <c r="C419" s="268"/>
      <c r="D419" s="268"/>
      <c r="E419" s="268"/>
      <c r="F419" s="268"/>
      <c r="G419" s="268"/>
      <c r="H419" s="268"/>
      <c r="I419" s="268"/>
      <c r="J419" s="268"/>
      <c r="K419" s="268"/>
      <c r="L419" s="268"/>
      <c r="M419" s="268"/>
      <c r="N419" s="268"/>
      <c r="O419" s="268"/>
      <c r="P419" s="268"/>
      <c r="Q419" s="268"/>
      <c r="R419" s="268"/>
      <c r="S419" s="268"/>
      <c r="T419" s="268"/>
      <c r="U419" s="268"/>
      <c r="V419" s="268"/>
      <c r="W419" s="268"/>
      <c r="X419" s="268"/>
      <c r="Y419" s="268"/>
      <c r="Z419" s="268"/>
    </row>
    <row r="420" spans="1:26" ht="12.75" customHeight="1">
      <c r="A420" s="268"/>
      <c r="B420" s="268"/>
      <c r="C420" s="268"/>
      <c r="D420" s="268"/>
      <c r="E420" s="268"/>
      <c r="F420" s="268"/>
      <c r="G420" s="268"/>
      <c r="H420" s="268"/>
      <c r="I420" s="268"/>
      <c r="J420" s="268"/>
      <c r="K420" s="268"/>
      <c r="L420" s="268"/>
      <c r="M420" s="268"/>
      <c r="N420" s="268"/>
      <c r="O420" s="268"/>
      <c r="P420" s="268"/>
      <c r="Q420" s="268"/>
      <c r="R420" s="268"/>
      <c r="S420" s="268"/>
      <c r="T420" s="268"/>
      <c r="U420" s="268"/>
      <c r="V420" s="268"/>
      <c r="W420" s="268"/>
      <c r="X420" s="268"/>
      <c r="Y420" s="268"/>
      <c r="Z420" s="268"/>
    </row>
    <row r="421" spans="1:26" ht="12.75" customHeight="1">
      <c r="A421" s="268"/>
      <c r="B421" s="268"/>
      <c r="C421" s="268"/>
      <c r="D421" s="268"/>
      <c r="E421" s="268"/>
      <c r="F421" s="268"/>
      <c r="G421" s="268"/>
      <c r="H421" s="268"/>
      <c r="I421" s="268"/>
      <c r="J421" s="268"/>
      <c r="K421" s="268"/>
      <c r="L421" s="268"/>
      <c r="M421" s="268"/>
      <c r="N421" s="268"/>
      <c r="O421" s="268"/>
      <c r="P421" s="268"/>
      <c r="Q421" s="268"/>
      <c r="R421" s="268"/>
      <c r="S421" s="268"/>
      <c r="T421" s="268"/>
      <c r="U421" s="268"/>
      <c r="V421" s="268"/>
      <c r="W421" s="268"/>
      <c r="X421" s="268"/>
      <c r="Y421" s="268"/>
      <c r="Z421" s="268"/>
    </row>
    <row r="422" spans="1:26" ht="12.75" customHeight="1">
      <c r="A422" s="268"/>
      <c r="B422" s="268"/>
      <c r="C422" s="268"/>
      <c r="D422" s="268"/>
      <c r="E422" s="268"/>
      <c r="F422" s="268"/>
      <c r="G422" s="268"/>
      <c r="H422" s="268"/>
      <c r="I422" s="268"/>
      <c r="J422" s="268"/>
      <c r="K422" s="268"/>
      <c r="L422" s="268"/>
      <c r="M422" s="268"/>
      <c r="N422" s="268"/>
      <c r="O422" s="268"/>
      <c r="P422" s="268"/>
      <c r="Q422" s="268"/>
      <c r="R422" s="268"/>
      <c r="S422" s="268"/>
      <c r="T422" s="268"/>
      <c r="U422" s="268"/>
      <c r="V422" s="268"/>
      <c r="W422" s="268"/>
      <c r="X422" s="268"/>
      <c r="Y422" s="268"/>
      <c r="Z422" s="268"/>
    </row>
    <row r="423" spans="1:26" ht="12.75" customHeight="1">
      <c r="A423" s="268"/>
      <c r="B423" s="268"/>
      <c r="C423" s="268"/>
      <c r="D423" s="268"/>
      <c r="E423" s="268"/>
      <c r="F423" s="268"/>
      <c r="G423" s="268"/>
      <c r="H423" s="268"/>
      <c r="I423" s="268"/>
      <c r="J423" s="268"/>
      <c r="K423" s="268"/>
      <c r="L423" s="268"/>
      <c r="M423" s="268"/>
      <c r="N423" s="268"/>
      <c r="O423" s="268"/>
      <c r="P423" s="268"/>
      <c r="Q423" s="268"/>
      <c r="R423" s="268"/>
      <c r="S423" s="268"/>
      <c r="T423" s="268"/>
      <c r="U423" s="268"/>
      <c r="V423" s="268"/>
      <c r="W423" s="268"/>
      <c r="X423" s="268"/>
      <c r="Y423" s="268"/>
      <c r="Z423" s="268"/>
    </row>
    <row r="424" spans="1:26" ht="12.75" customHeight="1">
      <c r="A424" s="268"/>
      <c r="B424" s="268"/>
      <c r="C424" s="268"/>
      <c r="D424" s="268"/>
      <c r="E424" s="268"/>
      <c r="F424" s="268"/>
      <c r="G424" s="268"/>
      <c r="H424" s="268"/>
      <c r="I424" s="268"/>
      <c r="J424" s="268"/>
      <c r="K424" s="268"/>
      <c r="L424" s="268"/>
      <c r="M424" s="268"/>
      <c r="N424" s="268"/>
      <c r="O424" s="268"/>
      <c r="P424" s="268"/>
      <c r="Q424" s="268"/>
      <c r="R424" s="268"/>
      <c r="S424" s="268"/>
      <c r="T424" s="268"/>
      <c r="U424" s="268"/>
      <c r="V424" s="268"/>
      <c r="W424" s="268"/>
      <c r="X424" s="268"/>
      <c r="Y424" s="268"/>
      <c r="Z424" s="268"/>
    </row>
    <row r="425" spans="1:26" ht="12.75" customHeight="1">
      <c r="A425" s="268"/>
      <c r="B425" s="268"/>
      <c r="C425" s="268"/>
      <c r="D425" s="268"/>
      <c r="E425" s="268"/>
      <c r="F425" s="268"/>
      <c r="G425" s="268"/>
      <c r="H425" s="268"/>
      <c r="I425" s="268"/>
      <c r="J425" s="268"/>
      <c r="K425" s="268"/>
      <c r="L425" s="268"/>
      <c r="M425" s="268"/>
      <c r="N425" s="268"/>
      <c r="O425" s="268"/>
      <c r="P425" s="268"/>
      <c r="Q425" s="268"/>
      <c r="R425" s="268"/>
      <c r="S425" s="268"/>
      <c r="T425" s="268"/>
      <c r="U425" s="268"/>
      <c r="V425" s="268"/>
      <c r="W425" s="268"/>
      <c r="X425" s="268"/>
      <c r="Y425" s="268"/>
      <c r="Z425" s="268"/>
    </row>
    <row r="426" spans="1:26" ht="12.75" customHeight="1">
      <c r="A426" s="268"/>
      <c r="B426" s="268"/>
      <c r="C426" s="268"/>
      <c r="D426" s="268"/>
      <c r="E426" s="268"/>
      <c r="F426" s="268"/>
      <c r="G426" s="268"/>
      <c r="H426" s="268"/>
      <c r="I426" s="268"/>
      <c r="J426" s="268"/>
      <c r="K426" s="268"/>
      <c r="L426" s="268"/>
      <c r="M426" s="268"/>
      <c r="N426" s="268"/>
      <c r="O426" s="268"/>
      <c r="P426" s="268"/>
      <c r="Q426" s="268"/>
      <c r="R426" s="268"/>
      <c r="S426" s="268"/>
      <c r="T426" s="268"/>
      <c r="U426" s="268"/>
      <c r="V426" s="268"/>
      <c r="W426" s="268"/>
      <c r="X426" s="268"/>
      <c r="Y426" s="268"/>
      <c r="Z426" s="268"/>
    </row>
    <row r="427" spans="1:26" ht="12.75" customHeight="1">
      <c r="A427" s="268"/>
      <c r="B427" s="268"/>
      <c r="C427" s="268"/>
      <c r="D427" s="268"/>
      <c r="E427" s="268"/>
      <c r="F427" s="268"/>
      <c r="G427" s="268"/>
      <c r="H427" s="268"/>
      <c r="I427" s="268"/>
      <c r="J427" s="268"/>
      <c r="K427" s="268"/>
      <c r="L427" s="268"/>
      <c r="M427" s="268"/>
      <c r="N427" s="268"/>
      <c r="O427" s="268"/>
      <c r="P427" s="268"/>
      <c r="Q427" s="268"/>
      <c r="R427" s="268"/>
      <c r="S427" s="268"/>
      <c r="T427" s="268"/>
      <c r="U427" s="268"/>
      <c r="V427" s="268"/>
      <c r="W427" s="268"/>
      <c r="X427" s="268"/>
      <c r="Y427" s="268"/>
      <c r="Z427" s="268"/>
    </row>
    <row r="428" spans="1:26" ht="12.75" customHeight="1">
      <c r="A428" s="268"/>
      <c r="B428" s="268"/>
      <c r="C428" s="268"/>
      <c r="D428" s="268"/>
      <c r="E428" s="268"/>
      <c r="F428" s="268"/>
      <c r="G428" s="268"/>
      <c r="H428" s="268"/>
      <c r="I428" s="268"/>
      <c r="J428" s="268"/>
      <c r="K428" s="268"/>
      <c r="L428" s="268"/>
      <c r="M428" s="268"/>
      <c r="N428" s="268"/>
      <c r="O428" s="268"/>
      <c r="P428" s="268"/>
      <c r="Q428" s="268"/>
      <c r="R428" s="268"/>
      <c r="S428" s="268"/>
      <c r="T428" s="268"/>
      <c r="U428" s="268"/>
      <c r="V428" s="268"/>
      <c r="W428" s="268"/>
      <c r="X428" s="268"/>
      <c r="Y428" s="268"/>
      <c r="Z428" s="268"/>
    </row>
    <row r="429" spans="1:26" ht="12.75" customHeight="1">
      <c r="A429" s="268"/>
      <c r="B429" s="268"/>
      <c r="C429" s="268"/>
      <c r="D429" s="268"/>
      <c r="E429" s="268"/>
      <c r="F429" s="268"/>
      <c r="G429" s="268"/>
      <c r="H429" s="268"/>
      <c r="I429" s="268"/>
      <c r="J429" s="268"/>
      <c r="K429" s="268"/>
      <c r="L429" s="268"/>
      <c r="M429" s="268"/>
      <c r="N429" s="268"/>
      <c r="O429" s="268"/>
      <c r="P429" s="268"/>
      <c r="Q429" s="268"/>
      <c r="R429" s="268"/>
      <c r="S429" s="268"/>
      <c r="T429" s="268"/>
      <c r="U429" s="268"/>
      <c r="V429" s="268"/>
      <c r="W429" s="268"/>
      <c r="X429" s="268"/>
      <c r="Y429" s="268"/>
      <c r="Z429" s="268"/>
    </row>
    <row r="430" spans="1:26" ht="12.75" customHeight="1">
      <c r="A430" s="268"/>
      <c r="B430" s="268"/>
      <c r="C430" s="268"/>
      <c r="D430" s="268"/>
      <c r="E430" s="268"/>
      <c r="F430" s="268"/>
      <c r="G430" s="268"/>
      <c r="H430" s="268"/>
      <c r="I430" s="268"/>
      <c r="J430" s="268"/>
      <c r="K430" s="268"/>
      <c r="L430" s="268"/>
      <c r="M430" s="268"/>
      <c r="N430" s="268"/>
      <c r="O430" s="268"/>
      <c r="P430" s="268"/>
      <c r="Q430" s="268"/>
      <c r="R430" s="268"/>
      <c r="S430" s="268"/>
      <c r="T430" s="268"/>
      <c r="U430" s="268"/>
      <c r="V430" s="268"/>
      <c r="W430" s="268"/>
      <c r="X430" s="268"/>
      <c r="Y430" s="268"/>
      <c r="Z430" s="268"/>
    </row>
    <row r="431" spans="1:26" ht="12.75" customHeight="1">
      <c r="A431" s="268"/>
      <c r="B431" s="268"/>
      <c r="C431" s="268"/>
      <c r="D431" s="268"/>
      <c r="E431" s="268"/>
      <c r="F431" s="268"/>
      <c r="G431" s="268"/>
      <c r="H431" s="268"/>
      <c r="I431" s="268"/>
      <c r="J431" s="268"/>
      <c r="K431" s="268"/>
      <c r="L431" s="268"/>
      <c r="M431" s="268"/>
      <c r="N431" s="268"/>
      <c r="O431" s="268"/>
      <c r="P431" s="268"/>
      <c r="Q431" s="268"/>
      <c r="R431" s="268"/>
      <c r="S431" s="268"/>
      <c r="T431" s="268"/>
      <c r="U431" s="268"/>
      <c r="V431" s="268"/>
      <c r="W431" s="268"/>
      <c r="X431" s="268"/>
      <c r="Y431" s="268"/>
      <c r="Z431" s="268"/>
    </row>
    <row r="432" spans="1:26" ht="12.75" customHeight="1">
      <c r="A432" s="268"/>
      <c r="B432" s="268"/>
      <c r="C432" s="268"/>
      <c r="D432" s="268"/>
      <c r="E432" s="268"/>
      <c r="F432" s="268"/>
      <c r="G432" s="268"/>
      <c r="H432" s="268"/>
      <c r="I432" s="268"/>
      <c r="J432" s="268"/>
      <c r="K432" s="268"/>
      <c r="L432" s="268"/>
      <c r="M432" s="268"/>
      <c r="N432" s="268"/>
      <c r="O432" s="268"/>
      <c r="P432" s="268"/>
      <c r="Q432" s="268"/>
      <c r="R432" s="268"/>
      <c r="S432" s="268"/>
      <c r="T432" s="268"/>
      <c r="U432" s="268"/>
      <c r="V432" s="268"/>
      <c r="W432" s="268"/>
      <c r="X432" s="268"/>
      <c r="Y432" s="268"/>
      <c r="Z432" s="268"/>
    </row>
    <row r="433" spans="1:26" ht="12.75" customHeight="1">
      <c r="A433" s="268"/>
      <c r="B433" s="268"/>
      <c r="C433" s="268"/>
      <c r="D433" s="268"/>
      <c r="E433" s="268"/>
      <c r="F433" s="268"/>
      <c r="G433" s="268"/>
      <c r="H433" s="268"/>
      <c r="I433" s="268"/>
      <c r="J433" s="268"/>
      <c r="K433" s="268"/>
      <c r="L433" s="268"/>
      <c r="M433" s="268"/>
      <c r="N433" s="268"/>
      <c r="O433" s="268"/>
      <c r="P433" s="268"/>
      <c r="Q433" s="268"/>
      <c r="R433" s="268"/>
      <c r="S433" s="268"/>
      <c r="T433" s="268"/>
      <c r="U433" s="268"/>
      <c r="V433" s="268"/>
      <c r="W433" s="268"/>
      <c r="X433" s="268"/>
      <c r="Y433" s="268"/>
      <c r="Z433" s="268"/>
    </row>
    <row r="434" spans="1:26" ht="12.75" customHeight="1">
      <c r="A434" s="268"/>
      <c r="B434" s="268"/>
      <c r="C434" s="268"/>
      <c r="D434" s="268"/>
      <c r="E434" s="268"/>
      <c r="F434" s="268"/>
      <c r="G434" s="268"/>
      <c r="H434" s="268"/>
      <c r="I434" s="268"/>
      <c r="J434" s="268"/>
      <c r="K434" s="268"/>
      <c r="L434" s="268"/>
      <c r="M434" s="268"/>
      <c r="N434" s="268"/>
      <c r="O434" s="268"/>
      <c r="P434" s="268"/>
      <c r="Q434" s="268"/>
      <c r="R434" s="268"/>
      <c r="S434" s="268"/>
      <c r="T434" s="268"/>
      <c r="U434" s="268"/>
      <c r="V434" s="268"/>
      <c r="W434" s="268"/>
      <c r="X434" s="268"/>
      <c r="Y434" s="268"/>
      <c r="Z434" s="268"/>
    </row>
    <row r="435" spans="1:26" ht="12.75" customHeight="1">
      <c r="A435" s="268"/>
      <c r="B435" s="268"/>
      <c r="C435" s="268"/>
      <c r="D435" s="268"/>
      <c r="E435" s="268"/>
      <c r="F435" s="268"/>
      <c r="G435" s="268"/>
      <c r="H435" s="268"/>
      <c r="I435" s="268"/>
      <c r="J435" s="268"/>
      <c r="K435" s="268"/>
      <c r="L435" s="268"/>
      <c r="M435" s="268"/>
      <c r="N435" s="268"/>
      <c r="O435" s="268"/>
      <c r="P435" s="268"/>
      <c r="Q435" s="268"/>
      <c r="R435" s="268"/>
      <c r="S435" s="268"/>
      <c r="T435" s="268"/>
      <c r="U435" s="268"/>
      <c r="V435" s="268"/>
      <c r="W435" s="268"/>
      <c r="X435" s="268"/>
      <c r="Y435" s="268"/>
      <c r="Z435" s="268"/>
    </row>
    <row r="436" spans="1:26" ht="12.75" customHeight="1">
      <c r="A436" s="268"/>
      <c r="B436" s="268"/>
      <c r="C436" s="268"/>
      <c r="D436" s="268"/>
      <c r="E436" s="268"/>
      <c r="F436" s="268"/>
      <c r="G436" s="268"/>
      <c r="H436" s="268"/>
      <c r="I436" s="268"/>
      <c r="J436" s="268"/>
      <c r="K436" s="268"/>
      <c r="L436" s="268"/>
      <c r="M436" s="268"/>
      <c r="N436" s="268"/>
      <c r="O436" s="268"/>
      <c r="P436" s="268"/>
      <c r="Q436" s="268"/>
      <c r="R436" s="268"/>
      <c r="S436" s="268"/>
      <c r="T436" s="268"/>
      <c r="U436" s="268"/>
      <c r="V436" s="268"/>
      <c r="W436" s="268"/>
      <c r="X436" s="268"/>
      <c r="Y436" s="268"/>
      <c r="Z436" s="268"/>
    </row>
    <row r="437" spans="1:26" ht="12.75" customHeight="1">
      <c r="A437" s="268"/>
      <c r="B437" s="268"/>
      <c r="C437" s="268"/>
      <c r="D437" s="268"/>
      <c r="E437" s="268"/>
      <c r="F437" s="268"/>
      <c r="G437" s="268"/>
      <c r="H437" s="268"/>
      <c r="I437" s="268"/>
      <c r="J437" s="268"/>
      <c r="K437" s="268"/>
      <c r="L437" s="268"/>
      <c r="M437" s="268"/>
      <c r="N437" s="268"/>
      <c r="O437" s="268"/>
      <c r="P437" s="268"/>
      <c r="Q437" s="268"/>
      <c r="R437" s="268"/>
      <c r="S437" s="268"/>
      <c r="T437" s="268"/>
      <c r="U437" s="268"/>
      <c r="V437" s="268"/>
      <c r="W437" s="268"/>
      <c r="X437" s="268"/>
      <c r="Y437" s="268"/>
      <c r="Z437" s="268"/>
    </row>
    <row r="438" spans="1:26" ht="12.75" customHeight="1">
      <c r="A438" s="268"/>
      <c r="B438" s="268"/>
      <c r="C438" s="268"/>
      <c r="D438" s="268"/>
      <c r="E438" s="268"/>
      <c r="F438" s="268"/>
      <c r="G438" s="268"/>
      <c r="H438" s="268"/>
      <c r="I438" s="268"/>
      <c r="J438" s="268"/>
      <c r="K438" s="268"/>
      <c r="L438" s="268"/>
      <c r="M438" s="268"/>
      <c r="N438" s="268"/>
      <c r="O438" s="268"/>
      <c r="P438" s="268"/>
      <c r="Q438" s="268"/>
      <c r="R438" s="268"/>
      <c r="S438" s="268"/>
      <c r="T438" s="268"/>
      <c r="U438" s="268"/>
      <c r="V438" s="268"/>
      <c r="W438" s="268"/>
      <c r="X438" s="268"/>
      <c r="Y438" s="268"/>
      <c r="Z438" s="268"/>
    </row>
    <row r="439" spans="1:26" ht="12.75" customHeight="1">
      <c r="A439" s="268"/>
      <c r="B439" s="268"/>
      <c r="C439" s="268"/>
      <c r="D439" s="268"/>
      <c r="E439" s="268"/>
      <c r="F439" s="268"/>
      <c r="G439" s="268"/>
      <c r="H439" s="268"/>
      <c r="I439" s="268"/>
      <c r="J439" s="268"/>
      <c r="K439" s="268"/>
      <c r="L439" s="268"/>
      <c r="M439" s="268"/>
      <c r="N439" s="268"/>
      <c r="O439" s="268"/>
      <c r="P439" s="268"/>
      <c r="Q439" s="268"/>
      <c r="R439" s="268"/>
      <c r="S439" s="268"/>
      <c r="T439" s="268"/>
      <c r="U439" s="268"/>
      <c r="V439" s="268"/>
      <c r="W439" s="268"/>
      <c r="X439" s="268"/>
      <c r="Y439" s="268"/>
      <c r="Z439" s="268"/>
    </row>
    <row r="440" spans="1:26" ht="12.75" customHeight="1">
      <c r="A440" s="268"/>
      <c r="B440" s="268"/>
      <c r="C440" s="268"/>
      <c r="D440" s="268"/>
      <c r="E440" s="268"/>
      <c r="F440" s="268"/>
      <c r="G440" s="268"/>
      <c r="H440" s="268"/>
      <c r="I440" s="268"/>
      <c r="J440" s="268"/>
      <c r="K440" s="268"/>
      <c r="L440" s="268"/>
      <c r="M440" s="268"/>
      <c r="N440" s="268"/>
      <c r="O440" s="268"/>
      <c r="P440" s="268"/>
      <c r="Q440" s="268"/>
      <c r="R440" s="268"/>
      <c r="S440" s="268"/>
      <c r="T440" s="268"/>
      <c r="U440" s="268"/>
      <c r="V440" s="268"/>
      <c r="W440" s="268"/>
      <c r="X440" s="268"/>
      <c r="Y440" s="268"/>
      <c r="Z440" s="268"/>
    </row>
    <row r="441" spans="1:26" ht="12.75" customHeight="1">
      <c r="A441" s="268"/>
      <c r="B441" s="268"/>
      <c r="C441" s="268"/>
      <c r="D441" s="268"/>
      <c r="E441" s="268"/>
      <c r="F441" s="268"/>
      <c r="G441" s="268"/>
      <c r="H441" s="268"/>
      <c r="I441" s="268"/>
      <c r="J441" s="268"/>
      <c r="K441" s="268"/>
      <c r="L441" s="268"/>
      <c r="M441" s="268"/>
      <c r="N441" s="268"/>
      <c r="O441" s="268"/>
      <c r="P441" s="268"/>
      <c r="Q441" s="268"/>
      <c r="R441" s="268"/>
      <c r="S441" s="268"/>
      <c r="T441" s="268"/>
      <c r="U441" s="268"/>
      <c r="V441" s="268"/>
      <c r="W441" s="268"/>
      <c r="X441" s="268"/>
      <c r="Y441" s="268"/>
      <c r="Z441" s="268"/>
    </row>
    <row r="442" spans="1:26" ht="12.75" customHeight="1">
      <c r="A442" s="268"/>
      <c r="B442" s="268"/>
      <c r="C442" s="268"/>
      <c r="D442" s="268"/>
      <c r="E442" s="268"/>
      <c r="F442" s="268"/>
      <c r="G442" s="268"/>
      <c r="H442" s="268"/>
      <c r="I442" s="268"/>
      <c r="J442" s="268"/>
      <c r="K442" s="268"/>
      <c r="L442" s="268"/>
      <c r="M442" s="268"/>
      <c r="N442" s="268"/>
      <c r="O442" s="268"/>
      <c r="P442" s="268"/>
      <c r="Q442" s="268"/>
      <c r="R442" s="268"/>
      <c r="S442" s="268"/>
      <c r="T442" s="268"/>
      <c r="U442" s="268"/>
      <c r="V442" s="268"/>
      <c r="W442" s="268"/>
      <c r="X442" s="268"/>
      <c r="Y442" s="268"/>
      <c r="Z442" s="268"/>
    </row>
    <row r="443" spans="1:26" ht="12.75" customHeight="1">
      <c r="A443" s="268"/>
      <c r="B443" s="268"/>
      <c r="C443" s="268"/>
      <c r="D443" s="268"/>
      <c r="E443" s="268"/>
      <c r="F443" s="268"/>
      <c r="G443" s="268"/>
      <c r="H443" s="268"/>
      <c r="I443" s="268"/>
      <c r="J443" s="268"/>
      <c r="K443" s="268"/>
      <c r="L443" s="268"/>
      <c r="M443" s="268"/>
      <c r="N443" s="268"/>
      <c r="O443" s="268"/>
      <c r="P443" s="268"/>
      <c r="Q443" s="268"/>
      <c r="R443" s="268"/>
      <c r="S443" s="268"/>
      <c r="T443" s="268"/>
      <c r="U443" s="268"/>
      <c r="V443" s="268"/>
      <c r="W443" s="268"/>
      <c r="X443" s="268"/>
      <c r="Y443" s="268"/>
      <c r="Z443" s="268"/>
    </row>
    <row r="444" spans="1:26" ht="12.75" customHeight="1">
      <c r="A444" s="268"/>
      <c r="B444" s="268"/>
      <c r="C444" s="268"/>
      <c r="D444" s="268"/>
      <c r="E444" s="268"/>
      <c r="F444" s="268"/>
      <c r="G444" s="268"/>
      <c r="H444" s="268"/>
      <c r="I444" s="268"/>
      <c r="J444" s="268"/>
      <c r="K444" s="268"/>
      <c r="L444" s="268"/>
      <c r="M444" s="268"/>
      <c r="N444" s="268"/>
      <c r="O444" s="268"/>
      <c r="P444" s="268"/>
      <c r="Q444" s="268"/>
      <c r="R444" s="268"/>
      <c r="S444" s="268"/>
      <c r="T444" s="268"/>
      <c r="U444" s="268"/>
      <c r="V444" s="268"/>
      <c r="W444" s="268"/>
      <c r="X444" s="268"/>
      <c r="Y444" s="268"/>
      <c r="Z444" s="268"/>
    </row>
    <row r="445" spans="1:26" ht="12.75" customHeight="1">
      <c r="A445" s="268"/>
      <c r="B445" s="268"/>
      <c r="C445" s="268"/>
      <c r="D445" s="268"/>
      <c r="E445" s="268"/>
      <c r="F445" s="268"/>
      <c r="G445" s="268"/>
      <c r="H445" s="268"/>
      <c r="I445" s="268"/>
      <c r="J445" s="268"/>
      <c r="K445" s="268"/>
      <c r="L445" s="268"/>
      <c r="M445" s="268"/>
      <c r="N445" s="268"/>
      <c r="O445" s="268"/>
      <c r="P445" s="268"/>
      <c r="Q445" s="268"/>
      <c r="R445" s="268"/>
      <c r="S445" s="268"/>
      <c r="T445" s="268"/>
      <c r="U445" s="268"/>
      <c r="V445" s="268"/>
      <c r="W445" s="268"/>
      <c r="X445" s="268"/>
      <c r="Y445" s="268"/>
      <c r="Z445" s="268"/>
    </row>
    <row r="446" spans="1:26" ht="12.75" customHeight="1">
      <c r="A446" s="268"/>
      <c r="B446" s="268"/>
      <c r="C446" s="268"/>
      <c r="D446" s="268"/>
      <c r="E446" s="268"/>
      <c r="F446" s="268"/>
      <c r="G446" s="268"/>
      <c r="H446" s="268"/>
      <c r="I446" s="268"/>
      <c r="J446" s="268"/>
      <c r="K446" s="268"/>
      <c r="L446" s="268"/>
      <c r="M446" s="268"/>
      <c r="N446" s="268"/>
      <c r="O446" s="268"/>
      <c r="P446" s="268"/>
      <c r="Q446" s="268"/>
      <c r="R446" s="268"/>
      <c r="S446" s="268"/>
      <c r="T446" s="268"/>
      <c r="U446" s="268"/>
      <c r="V446" s="268"/>
      <c r="W446" s="268"/>
      <c r="X446" s="268"/>
      <c r="Y446" s="268"/>
      <c r="Z446" s="268"/>
    </row>
    <row r="447" spans="1:26" ht="12.75" customHeight="1">
      <c r="A447" s="268"/>
      <c r="B447" s="268"/>
      <c r="C447" s="268"/>
      <c r="D447" s="268"/>
      <c r="E447" s="268"/>
      <c r="F447" s="268"/>
      <c r="G447" s="268"/>
      <c r="H447" s="268"/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S447" s="268"/>
      <c r="T447" s="268"/>
      <c r="U447" s="268"/>
      <c r="V447" s="268"/>
      <c r="W447" s="268"/>
      <c r="X447" s="268"/>
      <c r="Y447" s="268"/>
      <c r="Z447" s="268"/>
    </row>
    <row r="448" spans="1:26" ht="12.75" customHeight="1">
      <c r="A448" s="268"/>
      <c r="B448" s="268"/>
      <c r="C448" s="268"/>
      <c r="D448" s="268"/>
      <c r="E448" s="268"/>
      <c r="F448" s="268"/>
      <c r="G448" s="268"/>
      <c r="H448" s="268"/>
      <c r="I448" s="268"/>
      <c r="J448" s="268"/>
      <c r="K448" s="268"/>
      <c r="L448" s="268"/>
      <c r="M448" s="268"/>
      <c r="N448" s="268"/>
      <c r="O448" s="268"/>
      <c r="P448" s="268"/>
      <c r="Q448" s="268"/>
      <c r="R448" s="268"/>
      <c r="S448" s="268"/>
      <c r="T448" s="268"/>
      <c r="U448" s="268"/>
      <c r="V448" s="268"/>
      <c r="W448" s="268"/>
      <c r="X448" s="268"/>
      <c r="Y448" s="268"/>
      <c r="Z448" s="268"/>
    </row>
    <row r="449" spans="1:26" ht="12.75" customHeight="1">
      <c r="A449" s="268"/>
      <c r="B449" s="268"/>
      <c r="C449" s="268"/>
      <c r="D449" s="268"/>
      <c r="E449" s="268"/>
      <c r="F449" s="268"/>
      <c r="G449" s="268"/>
      <c r="H449" s="268"/>
      <c r="I449" s="268"/>
      <c r="J449" s="268"/>
      <c r="K449" s="268"/>
      <c r="L449" s="268"/>
      <c r="M449" s="268"/>
      <c r="N449" s="268"/>
      <c r="O449" s="268"/>
      <c r="P449" s="268"/>
      <c r="Q449" s="268"/>
      <c r="R449" s="268"/>
      <c r="S449" s="268"/>
      <c r="T449" s="268"/>
      <c r="U449" s="268"/>
      <c r="V449" s="268"/>
      <c r="W449" s="268"/>
      <c r="X449" s="268"/>
      <c r="Y449" s="268"/>
      <c r="Z449" s="268"/>
    </row>
    <row r="450" spans="1:26" ht="12.75" customHeight="1">
      <c r="A450" s="268"/>
      <c r="B450" s="268"/>
      <c r="C450" s="268"/>
      <c r="D450" s="268"/>
      <c r="E450" s="268"/>
      <c r="F450" s="268"/>
      <c r="G450" s="268"/>
      <c r="H450" s="268"/>
      <c r="I450" s="268"/>
      <c r="J450" s="268"/>
      <c r="K450" s="268"/>
      <c r="L450" s="268"/>
      <c r="M450" s="268"/>
      <c r="N450" s="268"/>
      <c r="O450" s="268"/>
      <c r="P450" s="268"/>
      <c r="Q450" s="268"/>
      <c r="R450" s="268"/>
      <c r="S450" s="268"/>
      <c r="T450" s="268"/>
      <c r="U450" s="268"/>
      <c r="V450" s="268"/>
      <c r="W450" s="268"/>
      <c r="X450" s="268"/>
      <c r="Y450" s="268"/>
      <c r="Z450" s="268"/>
    </row>
    <row r="451" spans="1:26" ht="12.75" customHeight="1">
      <c r="A451" s="268"/>
      <c r="B451" s="268"/>
      <c r="C451" s="268"/>
      <c r="D451" s="268"/>
      <c r="E451" s="268"/>
      <c r="F451" s="268"/>
      <c r="G451" s="268"/>
      <c r="H451" s="268"/>
      <c r="I451" s="268"/>
      <c r="J451" s="268"/>
      <c r="K451" s="268"/>
      <c r="L451" s="268"/>
      <c r="M451" s="268"/>
      <c r="N451" s="268"/>
      <c r="O451" s="268"/>
      <c r="P451" s="268"/>
      <c r="Q451" s="268"/>
      <c r="R451" s="268"/>
      <c r="S451" s="268"/>
      <c r="T451" s="268"/>
      <c r="U451" s="268"/>
      <c r="V451" s="268"/>
      <c r="W451" s="268"/>
      <c r="X451" s="268"/>
      <c r="Y451" s="268"/>
      <c r="Z451" s="268"/>
    </row>
    <row r="452" spans="1:26" ht="12.75" customHeight="1">
      <c r="A452" s="268"/>
      <c r="B452" s="268"/>
      <c r="C452" s="268"/>
      <c r="D452" s="268"/>
      <c r="E452" s="268"/>
      <c r="F452" s="268"/>
      <c r="G452" s="268"/>
      <c r="H452" s="268"/>
      <c r="I452" s="268"/>
      <c r="J452" s="268"/>
      <c r="K452" s="268"/>
      <c r="L452" s="268"/>
      <c r="M452" s="268"/>
      <c r="N452" s="268"/>
      <c r="O452" s="268"/>
      <c r="P452" s="268"/>
      <c r="Q452" s="268"/>
      <c r="R452" s="268"/>
      <c r="S452" s="268"/>
      <c r="T452" s="268"/>
      <c r="U452" s="268"/>
      <c r="V452" s="268"/>
      <c r="W452" s="268"/>
      <c r="X452" s="268"/>
      <c r="Y452" s="268"/>
      <c r="Z452" s="268"/>
    </row>
    <row r="453" spans="1:26" ht="12.75" customHeight="1">
      <c r="A453" s="268"/>
      <c r="B453" s="268"/>
      <c r="C453" s="268"/>
      <c r="D453" s="268"/>
      <c r="E453" s="268"/>
      <c r="F453" s="268"/>
      <c r="G453" s="268"/>
      <c r="H453" s="268"/>
      <c r="I453" s="268"/>
      <c r="J453" s="268"/>
      <c r="K453" s="268"/>
      <c r="L453" s="268"/>
      <c r="M453" s="268"/>
      <c r="N453" s="268"/>
      <c r="O453" s="268"/>
      <c r="P453" s="268"/>
      <c r="Q453" s="268"/>
      <c r="R453" s="268"/>
      <c r="S453" s="268"/>
      <c r="T453" s="268"/>
      <c r="U453" s="268"/>
      <c r="V453" s="268"/>
      <c r="W453" s="268"/>
      <c r="X453" s="268"/>
      <c r="Y453" s="268"/>
      <c r="Z453" s="268"/>
    </row>
    <row r="454" spans="1:26" ht="12.75" customHeight="1">
      <c r="A454" s="268"/>
      <c r="B454" s="268"/>
      <c r="C454" s="268"/>
      <c r="D454" s="268"/>
      <c r="E454" s="268"/>
      <c r="F454" s="268"/>
      <c r="G454" s="268"/>
      <c r="H454" s="268"/>
      <c r="I454" s="268"/>
      <c r="J454" s="268"/>
      <c r="K454" s="268"/>
      <c r="L454" s="268"/>
      <c r="M454" s="268"/>
      <c r="N454" s="268"/>
      <c r="O454" s="268"/>
      <c r="P454" s="268"/>
      <c r="Q454" s="268"/>
      <c r="R454" s="268"/>
      <c r="S454" s="268"/>
      <c r="T454" s="268"/>
      <c r="U454" s="268"/>
      <c r="V454" s="268"/>
      <c r="W454" s="268"/>
      <c r="X454" s="268"/>
      <c r="Y454" s="268"/>
      <c r="Z454" s="268"/>
    </row>
    <row r="455" spans="1:26" ht="12.75" customHeight="1">
      <c r="A455" s="268"/>
      <c r="B455" s="268"/>
      <c r="C455" s="268"/>
      <c r="D455" s="268"/>
      <c r="E455" s="268"/>
      <c r="F455" s="268"/>
      <c r="G455" s="268"/>
      <c r="H455" s="268"/>
      <c r="I455" s="268"/>
      <c r="J455" s="268"/>
      <c r="K455" s="268"/>
      <c r="L455" s="268"/>
      <c r="M455" s="268"/>
      <c r="N455" s="268"/>
      <c r="O455" s="268"/>
      <c r="P455" s="268"/>
      <c r="Q455" s="268"/>
      <c r="R455" s="268"/>
      <c r="S455" s="268"/>
      <c r="T455" s="268"/>
      <c r="U455" s="268"/>
      <c r="V455" s="268"/>
      <c r="W455" s="268"/>
      <c r="X455" s="268"/>
      <c r="Y455" s="268"/>
      <c r="Z455" s="268"/>
    </row>
    <row r="456" spans="1:26" ht="12.75" customHeight="1">
      <c r="A456" s="268"/>
      <c r="B456" s="268"/>
      <c r="C456" s="268"/>
      <c r="D456" s="268"/>
      <c r="E456" s="268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S456" s="268"/>
      <c r="T456" s="268"/>
      <c r="U456" s="268"/>
      <c r="V456" s="268"/>
      <c r="W456" s="268"/>
      <c r="X456" s="268"/>
      <c r="Y456" s="268"/>
      <c r="Z456" s="268"/>
    </row>
    <row r="457" spans="1:26" ht="12.75" customHeight="1">
      <c r="A457" s="268"/>
      <c r="B457" s="268"/>
      <c r="C457" s="268"/>
      <c r="D457" s="268"/>
      <c r="E457" s="268"/>
      <c r="F457" s="268"/>
      <c r="G457" s="268"/>
      <c r="H457" s="268"/>
      <c r="I457" s="268"/>
      <c r="J457" s="268"/>
      <c r="K457" s="268"/>
      <c r="L457" s="268"/>
      <c r="M457" s="268"/>
      <c r="N457" s="268"/>
      <c r="O457" s="268"/>
      <c r="P457" s="268"/>
      <c r="Q457" s="268"/>
      <c r="R457" s="268"/>
      <c r="S457" s="268"/>
      <c r="T457" s="268"/>
      <c r="U457" s="268"/>
      <c r="V457" s="268"/>
      <c r="W457" s="268"/>
      <c r="X457" s="268"/>
      <c r="Y457" s="268"/>
      <c r="Z457" s="268"/>
    </row>
    <row r="458" spans="1:26" ht="12.75" customHeight="1">
      <c r="A458" s="268"/>
      <c r="B458" s="268"/>
      <c r="C458" s="268"/>
      <c r="D458" s="268"/>
      <c r="E458" s="268"/>
      <c r="F458" s="268"/>
      <c r="G458" s="268"/>
      <c r="H458" s="268"/>
      <c r="I458" s="268"/>
      <c r="J458" s="268"/>
      <c r="K458" s="268"/>
      <c r="L458" s="268"/>
      <c r="M458" s="268"/>
      <c r="N458" s="268"/>
      <c r="O458" s="268"/>
      <c r="P458" s="268"/>
      <c r="Q458" s="268"/>
      <c r="R458" s="268"/>
      <c r="S458" s="268"/>
      <c r="T458" s="268"/>
      <c r="U458" s="268"/>
      <c r="V458" s="268"/>
      <c r="W458" s="268"/>
      <c r="X458" s="268"/>
      <c r="Y458" s="268"/>
      <c r="Z458" s="268"/>
    </row>
    <row r="459" spans="1:26" ht="12.75" customHeight="1">
      <c r="A459" s="268"/>
      <c r="B459" s="268"/>
      <c r="C459" s="268"/>
      <c r="D459" s="268"/>
      <c r="E459" s="268"/>
      <c r="F459" s="268"/>
      <c r="G459" s="268"/>
      <c r="H459" s="268"/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S459" s="268"/>
      <c r="T459" s="268"/>
      <c r="U459" s="268"/>
      <c r="V459" s="268"/>
      <c r="W459" s="268"/>
      <c r="X459" s="268"/>
      <c r="Y459" s="268"/>
      <c r="Z459" s="268"/>
    </row>
    <row r="460" spans="1:26" ht="12.75" customHeight="1">
      <c r="A460" s="268"/>
      <c r="B460" s="268"/>
      <c r="C460" s="268"/>
      <c r="D460" s="268"/>
      <c r="E460" s="268"/>
      <c r="F460" s="268"/>
      <c r="G460" s="268"/>
      <c r="H460" s="268"/>
      <c r="I460" s="268"/>
      <c r="J460" s="268"/>
      <c r="K460" s="268"/>
      <c r="L460" s="268"/>
      <c r="M460" s="268"/>
      <c r="N460" s="268"/>
      <c r="O460" s="268"/>
      <c r="P460" s="268"/>
      <c r="Q460" s="268"/>
      <c r="R460" s="268"/>
      <c r="S460" s="268"/>
      <c r="T460" s="268"/>
      <c r="U460" s="268"/>
      <c r="V460" s="268"/>
      <c r="W460" s="268"/>
      <c r="X460" s="268"/>
      <c r="Y460" s="268"/>
      <c r="Z460" s="268"/>
    </row>
    <row r="461" spans="1:26" ht="12.75" customHeight="1">
      <c r="A461" s="268"/>
      <c r="B461" s="268"/>
      <c r="C461" s="268"/>
      <c r="D461" s="268"/>
      <c r="E461" s="268"/>
      <c r="F461" s="268"/>
      <c r="G461" s="268"/>
      <c r="H461" s="268"/>
      <c r="I461" s="268"/>
      <c r="J461" s="268"/>
      <c r="K461" s="268"/>
      <c r="L461" s="268"/>
      <c r="M461" s="268"/>
      <c r="N461" s="268"/>
      <c r="O461" s="268"/>
      <c r="P461" s="268"/>
      <c r="Q461" s="268"/>
      <c r="R461" s="268"/>
      <c r="S461" s="268"/>
      <c r="T461" s="268"/>
      <c r="U461" s="268"/>
      <c r="V461" s="268"/>
      <c r="W461" s="268"/>
      <c r="X461" s="268"/>
      <c r="Y461" s="268"/>
      <c r="Z461" s="268"/>
    </row>
    <row r="462" spans="1:26" ht="12.75" customHeight="1">
      <c r="A462" s="268"/>
      <c r="B462" s="268"/>
      <c r="C462" s="268"/>
      <c r="D462" s="268"/>
      <c r="E462" s="268"/>
      <c r="F462" s="268"/>
      <c r="G462" s="268"/>
      <c r="H462" s="268"/>
      <c r="I462" s="268"/>
      <c r="J462" s="268"/>
      <c r="K462" s="268"/>
      <c r="L462" s="268"/>
      <c r="M462" s="268"/>
      <c r="N462" s="268"/>
      <c r="O462" s="268"/>
      <c r="P462" s="268"/>
      <c r="Q462" s="268"/>
      <c r="R462" s="268"/>
      <c r="S462" s="268"/>
      <c r="T462" s="268"/>
      <c r="U462" s="268"/>
      <c r="V462" s="268"/>
      <c r="W462" s="268"/>
      <c r="X462" s="268"/>
      <c r="Y462" s="268"/>
      <c r="Z462" s="268"/>
    </row>
    <row r="463" spans="1:26" ht="12.75" customHeight="1">
      <c r="A463" s="268"/>
      <c r="B463" s="268"/>
      <c r="C463" s="268"/>
      <c r="D463" s="268"/>
      <c r="E463" s="268"/>
      <c r="F463" s="268"/>
      <c r="G463" s="268"/>
      <c r="H463" s="268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</row>
    <row r="464" spans="1:26" ht="12.75" customHeight="1">
      <c r="A464" s="268"/>
      <c r="B464" s="268"/>
      <c r="C464" s="268"/>
      <c r="D464" s="268"/>
      <c r="E464" s="268"/>
      <c r="F464" s="268"/>
      <c r="G464" s="268"/>
      <c r="H464" s="268"/>
      <c r="I464" s="268"/>
      <c r="J464" s="268"/>
      <c r="K464" s="268"/>
      <c r="L464" s="268"/>
      <c r="M464" s="268"/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</row>
    <row r="465" spans="1:26" ht="12.75" customHeight="1">
      <c r="A465" s="268"/>
      <c r="B465" s="268"/>
      <c r="C465" s="268"/>
      <c r="D465" s="268"/>
      <c r="E465" s="268"/>
      <c r="F465" s="268"/>
      <c r="G465" s="268"/>
      <c r="H465" s="268"/>
      <c r="I465" s="268"/>
      <c r="J465" s="268"/>
      <c r="K465" s="268"/>
      <c r="L465" s="268"/>
      <c r="M465" s="268"/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</row>
    <row r="466" spans="1:26" ht="12.75" customHeight="1">
      <c r="A466" s="268"/>
      <c r="B466" s="268"/>
      <c r="C466" s="268"/>
      <c r="D466" s="268"/>
      <c r="E466" s="268"/>
      <c r="F466" s="268"/>
      <c r="G466" s="268"/>
      <c r="H466" s="268"/>
      <c r="I466" s="268"/>
      <c r="J466" s="268"/>
      <c r="K466" s="268"/>
      <c r="L466" s="268"/>
      <c r="M466" s="268"/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</row>
    <row r="467" spans="1:26" ht="12.75" customHeight="1">
      <c r="A467" s="268"/>
      <c r="B467" s="268"/>
      <c r="C467" s="268"/>
      <c r="D467" s="268"/>
      <c r="E467" s="268"/>
      <c r="F467" s="268"/>
      <c r="G467" s="268"/>
      <c r="H467" s="268"/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</row>
    <row r="468" spans="1:26" ht="12.75" customHeight="1">
      <c r="A468" s="268"/>
      <c r="B468" s="268"/>
      <c r="C468" s="268"/>
      <c r="D468" s="268"/>
      <c r="E468" s="268"/>
      <c r="F468" s="268"/>
      <c r="G468" s="268"/>
      <c r="H468" s="268"/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</row>
    <row r="469" spans="1:26" ht="12.75" customHeight="1">
      <c r="A469" s="268"/>
      <c r="B469" s="268"/>
      <c r="C469" s="268"/>
      <c r="D469" s="268"/>
      <c r="E469" s="268"/>
      <c r="F469" s="268"/>
      <c r="G469" s="268"/>
      <c r="H469" s="268"/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</row>
    <row r="470" spans="1:26" ht="12.75" customHeight="1">
      <c r="A470" s="268"/>
      <c r="B470" s="268"/>
      <c r="C470" s="268"/>
      <c r="D470" s="268"/>
      <c r="E470" s="268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</row>
    <row r="471" spans="1:26" ht="12.75" customHeight="1">
      <c r="A471" s="268"/>
      <c r="B471" s="268"/>
      <c r="C471" s="268"/>
      <c r="D471" s="268"/>
      <c r="E471" s="268"/>
      <c r="F471" s="268"/>
      <c r="G471" s="268"/>
      <c r="H471" s="268"/>
      <c r="I471" s="268"/>
      <c r="J471" s="268"/>
      <c r="K471" s="268"/>
      <c r="L471" s="268"/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</row>
    <row r="472" spans="1:26" ht="12.75" customHeight="1">
      <c r="A472" s="268"/>
      <c r="B472" s="268"/>
      <c r="C472" s="268"/>
      <c r="D472" s="268"/>
      <c r="E472" s="268"/>
      <c r="F472" s="268"/>
      <c r="G472" s="268"/>
      <c r="H472" s="268"/>
      <c r="I472" s="268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</row>
    <row r="473" spans="1:26" ht="12.75" customHeight="1">
      <c r="A473" s="268"/>
      <c r="B473" s="268"/>
      <c r="C473" s="268"/>
      <c r="D473" s="268"/>
      <c r="E473" s="268"/>
      <c r="F473" s="268"/>
      <c r="G473" s="268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</row>
    <row r="474" spans="1:26" ht="12.75" customHeight="1">
      <c r="A474" s="268"/>
      <c r="B474" s="268"/>
      <c r="C474" s="268"/>
      <c r="D474" s="268"/>
      <c r="E474" s="268"/>
      <c r="F474" s="268"/>
      <c r="G474" s="268"/>
      <c r="H474" s="268"/>
      <c r="I474" s="268"/>
      <c r="J474" s="268"/>
      <c r="K474" s="268"/>
      <c r="L474" s="268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</row>
    <row r="475" spans="1:26" ht="12.75" customHeight="1">
      <c r="A475" s="268"/>
      <c r="B475" s="268"/>
      <c r="C475" s="268"/>
      <c r="D475" s="268"/>
      <c r="E475" s="268"/>
      <c r="F475" s="268"/>
      <c r="G475" s="268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</row>
    <row r="476" spans="1:26" ht="12.75" customHeight="1">
      <c r="A476" s="268"/>
      <c r="B476" s="268"/>
      <c r="C476" s="268"/>
      <c r="D476" s="268"/>
      <c r="E476" s="268"/>
      <c r="F476" s="268"/>
      <c r="G476" s="268"/>
      <c r="H476" s="268"/>
      <c r="I476" s="268"/>
      <c r="J476" s="268"/>
      <c r="K476" s="268"/>
      <c r="L476" s="268"/>
      <c r="M476" s="268"/>
      <c r="N476" s="268"/>
      <c r="O476" s="268"/>
      <c r="P476" s="268"/>
      <c r="Q476" s="268"/>
      <c r="R476" s="268"/>
      <c r="S476" s="268"/>
      <c r="T476" s="268"/>
      <c r="U476" s="268"/>
      <c r="V476" s="268"/>
      <c r="W476" s="268"/>
      <c r="X476" s="268"/>
      <c r="Y476" s="268"/>
      <c r="Z476" s="268"/>
    </row>
    <row r="477" spans="1:26" ht="12.75" customHeight="1">
      <c r="A477" s="268"/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268"/>
      <c r="M477" s="268"/>
      <c r="N477" s="268"/>
      <c r="O477" s="268"/>
      <c r="P477" s="268"/>
      <c r="Q477" s="268"/>
      <c r="R477" s="268"/>
      <c r="S477" s="268"/>
      <c r="T477" s="268"/>
      <c r="U477" s="268"/>
      <c r="V477" s="268"/>
      <c r="W477" s="268"/>
      <c r="X477" s="268"/>
      <c r="Y477" s="268"/>
      <c r="Z477" s="268"/>
    </row>
    <row r="478" spans="1:26" ht="12.75" customHeight="1">
      <c r="A478" s="268"/>
      <c r="B478" s="268"/>
      <c r="C478" s="268"/>
      <c r="D478" s="268"/>
      <c r="E478" s="268"/>
      <c r="F478" s="268"/>
      <c r="G478" s="268"/>
      <c r="H478" s="268"/>
      <c r="I478" s="268"/>
      <c r="J478" s="268"/>
      <c r="K478" s="268"/>
      <c r="L478" s="268"/>
      <c r="M478" s="268"/>
      <c r="N478" s="268"/>
      <c r="O478" s="268"/>
      <c r="P478" s="268"/>
      <c r="Q478" s="268"/>
      <c r="R478" s="268"/>
      <c r="S478" s="268"/>
      <c r="T478" s="268"/>
      <c r="U478" s="268"/>
      <c r="V478" s="268"/>
      <c r="W478" s="268"/>
      <c r="X478" s="268"/>
      <c r="Y478" s="268"/>
      <c r="Z478" s="268"/>
    </row>
    <row r="479" spans="1:26" ht="12.75" customHeight="1">
      <c r="A479" s="268"/>
      <c r="B479" s="268"/>
      <c r="C479" s="268"/>
      <c r="D479" s="268"/>
      <c r="E479" s="268"/>
      <c r="F479" s="268"/>
      <c r="G479" s="268"/>
      <c r="H479" s="268"/>
      <c r="I479" s="268"/>
      <c r="J479" s="268"/>
      <c r="K479" s="268"/>
      <c r="L479" s="268"/>
      <c r="M479" s="268"/>
      <c r="N479" s="268"/>
      <c r="O479" s="268"/>
      <c r="P479" s="268"/>
      <c r="Q479" s="268"/>
      <c r="R479" s="268"/>
      <c r="S479" s="268"/>
      <c r="T479" s="268"/>
      <c r="U479" s="268"/>
      <c r="V479" s="268"/>
      <c r="W479" s="268"/>
      <c r="X479" s="268"/>
      <c r="Y479" s="268"/>
      <c r="Z479" s="268"/>
    </row>
    <row r="480" spans="1:26" ht="12.75" customHeight="1">
      <c r="A480" s="268"/>
      <c r="B480" s="268"/>
      <c r="C480" s="268"/>
      <c r="D480" s="268"/>
      <c r="E480" s="268"/>
      <c r="F480" s="268"/>
      <c r="G480" s="268"/>
      <c r="H480" s="268"/>
      <c r="I480" s="268"/>
      <c r="J480" s="268"/>
      <c r="K480" s="268"/>
      <c r="L480" s="268"/>
      <c r="M480" s="268"/>
      <c r="N480" s="268"/>
      <c r="O480" s="268"/>
      <c r="P480" s="268"/>
      <c r="Q480" s="268"/>
      <c r="R480" s="268"/>
      <c r="S480" s="268"/>
      <c r="T480" s="268"/>
      <c r="U480" s="268"/>
      <c r="V480" s="268"/>
      <c r="W480" s="268"/>
      <c r="X480" s="268"/>
      <c r="Y480" s="268"/>
      <c r="Z480" s="268"/>
    </row>
    <row r="481" spans="1:26" ht="12.75" customHeight="1">
      <c r="A481" s="268"/>
      <c r="B481" s="268"/>
      <c r="C481" s="268"/>
      <c r="D481" s="268"/>
      <c r="E481" s="268"/>
      <c r="F481" s="268"/>
      <c r="G481" s="268"/>
      <c r="H481" s="268"/>
      <c r="I481" s="268"/>
      <c r="J481" s="268"/>
      <c r="K481" s="268"/>
      <c r="L481" s="268"/>
      <c r="M481" s="268"/>
      <c r="N481" s="268"/>
      <c r="O481" s="268"/>
      <c r="P481" s="268"/>
      <c r="Q481" s="268"/>
      <c r="R481" s="268"/>
      <c r="S481" s="268"/>
      <c r="T481" s="268"/>
      <c r="U481" s="268"/>
      <c r="V481" s="268"/>
      <c r="W481" s="268"/>
      <c r="X481" s="268"/>
      <c r="Y481" s="268"/>
      <c r="Z481" s="268"/>
    </row>
    <row r="482" spans="1:26" ht="12.75" customHeight="1">
      <c r="A482" s="268"/>
      <c r="B482" s="268"/>
      <c r="C482" s="268"/>
      <c r="D482" s="268"/>
      <c r="E482" s="268"/>
      <c r="F482" s="268"/>
      <c r="G482" s="268"/>
      <c r="H482" s="268"/>
      <c r="I482" s="268"/>
      <c r="J482" s="268"/>
      <c r="K482" s="268"/>
      <c r="L482" s="268"/>
      <c r="M482" s="268"/>
      <c r="N482" s="268"/>
      <c r="O482" s="268"/>
      <c r="P482" s="268"/>
      <c r="Q482" s="268"/>
      <c r="R482" s="268"/>
      <c r="S482" s="268"/>
      <c r="T482" s="268"/>
      <c r="U482" s="268"/>
      <c r="V482" s="268"/>
      <c r="W482" s="268"/>
      <c r="X482" s="268"/>
      <c r="Y482" s="268"/>
      <c r="Z482" s="268"/>
    </row>
    <row r="483" spans="1:26" ht="12.75" customHeight="1">
      <c r="A483" s="268"/>
      <c r="B483" s="268"/>
      <c r="C483" s="268"/>
      <c r="D483" s="268"/>
      <c r="E483" s="268"/>
      <c r="F483" s="268"/>
      <c r="G483" s="268"/>
      <c r="H483" s="268"/>
      <c r="I483" s="268"/>
      <c r="J483" s="268"/>
      <c r="K483" s="268"/>
      <c r="L483" s="268"/>
      <c r="M483" s="268"/>
      <c r="N483" s="268"/>
      <c r="O483" s="268"/>
      <c r="P483" s="268"/>
      <c r="Q483" s="268"/>
      <c r="R483" s="268"/>
      <c r="S483" s="268"/>
      <c r="T483" s="268"/>
      <c r="U483" s="268"/>
      <c r="V483" s="268"/>
      <c r="W483" s="268"/>
      <c r="X483" s="268"/>
      <c r="Y483" s="268"/>
      <c r="Z483" s="268"/>
    </row>
    <row r="484" spans="1:26" ht="12.75" customHeight="1">
      <c r="A484" s="268"/>
      <c r="B484" s="268"/>
      <c r="C484" s="268"/>
      <c r="D484" s="268"/>
      <c r="E484" s="268"/>
      <c r="F484" s="268"/>
      <c r="G484" s="268"/>
      <c r="H484" s="268"/>
      <c r="I484" s="268"/>
      <c r="J484" s="268"/>
      <c r="K484" s="268"/>
      <c r="L484" s="268"/>
      <c r="M484" s="268"/>
      <c r="N484" s="268"/>
      <c r="O484" s="268"/>
      <c r="P484" s="268"/>
      <c r="Q484" s="268"/>
      <c r="R484" s="268"/>
      <c r="S484" s="268"/>
      <c r="T484" s="268"/>
      <c r="U484" s="268"/>
      <c r="V484" s="268"/>
      <c r="W484" s="268"/>
      <c r="X484" s="268"/>
      <c r="Y484" s="268"/>
      <c r="Z484" s="268"/>
    </row>
    <row r="485" spans="1:26" ht="12.75" customHeight="1">
      <c r="A485" s="268"/>
      <c r="B485" s="268"/>
      <c r="C485" s="268"/>
      <c r="D485" s="268"/>
      <c r="E485" s="268"/>
      <c r="F485" s="268"/>
      <c r="G485" s="268"/>
      <c r="H485" s="268"/>
      <c r="I485" s="268"/>
      <c r="J485" s="268"/>
      <c r="K485" s="268"/>
      <c r="L485" s="268"/>
      <c r="M485" s="268"/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</row>
    <row r="486" spans="1:26" ht="12.75" customHeight="1">
      <c r="A486" s="268"/>
      <c r="B486" s="268"/>
      <c r="C486" s="268"/>
      <c r="D486" s="268"/>
      <c r="E486" s="268"/>
      <c r="F486" s="268"/>
      <c r="G486" s="268"/>
      <c r="H486" s="268"/>
      <c r="I486" s="268"/>
      <c r="J486" s="268"/>
      <c r="K486" s="268"/>
      <c r="L486" s="268"/>
      <c r="M486" s="268"/>
      <c r="N486" s="268"/>
      <c r="O486" s="268"/>
      <c r="P486" s="268"/>
      <c r="Q486" s="268"/>
      <c r="R486" s="268"/>
      <c r="S486" s="268"/>
      <c r="T486" s="268"/>
      <c r="U486" s="268"/>
      <c r="V486" s="268"/>
      <c r="W486" s="268"/>
      <c r="X486" s="268"/>
      <c r="Y486" s="268"/>
      <c r="Z486" s="268"/>
    </row>
    <row r="487" spans="1:26" ht="12.75" customHeight="1">
      <c r="A487" s="268"/>
      <c r="B487" s="268"/>
      <c r="C487" s="268"/>
      <c r="D487" s="268"/>
      <c r="E487" s="268"/>
      <c r="F487" s="268"/>
      <c r="G487" s="268"/>
      <c r="H487" s="268"/>
      <c r="I487" s="268"/>
      <c r="J487" s="268"/>
      <c r="K487" s="268"/>
      <c r="L487" s="268"/>
      <c r="M487" s="268"/>
      <c r="N487" s="268"/>
      <c r="O487" s="268"/>
      <c r="P487" s="268"/>
      <c r="Q487" s="268"/>
      <c r="R487" s="268"/>
      <c r="S487" s="268"/>
      <c r="T487" s="268"/>
      <c r="U487" s="268"/>
      <c r="V487" s="268"/>
      <c r="W487" s="268"/>
      <c r="X487" s="268"/>
      <c r="Y487" s="268"/>
      <c r="Z487" s="268"/>
    </row>
    <row r="488" spans="1:26" ht="12.75" customHeight="1">
      <c r="A488" s="268"/>
      <c r="B488" s="268"/>
      <c r="C488" s="268"/>
      <c r="D488" s="268"/>
      <c r="E488" s="268"/>
      <c r="F488" s="268"/>
      <c r="G488" s="268"/>
      <c r="H488" s="268"/>
      <c r="I488" s="268"/>
      <c r="J488" s="268"/>
      <c r="K488" s="268"/>
      <c r="L488" s="268"/>
      <c r="M488" s="268"/>
      <c r="N488" s="268"/>
      <c r="O488" s="268"/>
      <c r="P488" s="268"/>
      <c r="Q488" s="268"/>
      <c r="R488" s="268"/>
      <c r="S488" s="268"/>
      <c r="T488" s="268"/>
      <c r="U488" s="268"/>
      <c r="V488" s="268"/>
      <c r="W488" s="268"/>
      <c r="X488" s="268"/>
      <c r="Y488" s="268"/>
      <c r="Z488" s="268"/>
    </row>
    <row r="489" spans="1:26" ht="12.75" customHeight="1">
      <c r="A489" s="268"/>
      <c r="B489" s="268"/>
      <c r="C489" s="268"/>
      <c r="D489" s="268"/>
      <c r="E489" s="268"/>
      <c r="F489" s="268"/>
      <c r="G489" s="268"/>
      <c r="H489" s="268"/>
      <c r="I489" s="268"/>
      <c r="J489" s="268"/>
      <c r="K489" s="268"/>
      <c r="L489" s="268"/>
      <c r="M489" s="268"/>
      <c r="N489" s="268"/>
      <c r="O489" s="268"/>
      <c r="P489" s="268"/>
      <c r="Q489" s="268"/>
      <c r="R489" s="268"/>
      <c r="S489" s="268"/>
      <c r="T489" s="268"/>
      <c r="U489" s="268"/>
      <c r="V489" s="268"/>
      <c r="W489" s="268"/>
      <c r="X489" s="268"/>
      <c r="Y489" s="268"/>
      <c r="Z489" s="268"/>
    </row>
    <row r="490" spans="1:26" ht="12.75" customHeight="1">
      <c r="A490" s="268"/>
      <c r="B490" s="268"/>
      <c r="C490" s="268"/>
      <c r="D490" s="268"/>
      <c r="E490" s="268"/>
      <c r="F490" s="268"/>
      <c r="G490" s="268"/>
      <c r="H490" s="268"/>
      <c r="I490" s="268"/>
      <c r="J490" s="268"/>
      <c r="K490" s="268"/>
      <c r="L490" s="268"/>
      <c r="M490" s="268"/>
      <c r="N490" s="268"/>
      <c r="O490" s="268"/>
      <c r="P490" s="268"/>
      <c r="Q490" s="268"/>
      <c r="R490" s="268"/>
      <c r="S490" s="268"/>
      <c r="T490" s="268"/>
      <c r="U490" s="268"/>
      <c r="V490" s="268"/>
      <c r="W490" s="268"/>
      <c r="X490" s="268"/>
      <c r="Y490" s="268"/>
      <c r="Z490" s="268"/>
    </row>
    <row r="491" spans="1:26" ht="12.75" customHeight="1">
      <c r="A491" s="268"/>
      <c r="B491" s="268"/>
      <c r="C491" s="268"/>
      <c r="D491" s="268"/>
      <c r="E491" s="268"/>
      <c r="F491" s="268"/>
      <c r="G491" s="268"/>
      <c r="H491" s="268"/>
      <c r="I491" s="268"/>
      <c r="J491" s="268"/>
      <c r="K491" s="268"/>
      <c r="L491" s="268"/>
      <c r="M491" s="268"/>
      <c r="N491" s="268"/>
      <c r="O491" s="268"/>
      <c r="P491" s="268"/>
      <c r="Q491" s="268"/>
      <c r="R491" s="268"/>
      <c r="S491" s="268"/>
      <c r="T491" s="268"/>
      <c r="U491" s="268"/>
      <c r="V491" s="268"/>
      <c r="W491" s="268"/>
      <c r="X491" s="268"/>
      <c r="Y491" s="268"/>
      <c r="Z491" s="268"/>
    </row>
    <row r="492" spans="1:26" ht="12.75" customHeight="1">
      <c r="A492" s="268"/>
      <c r="B492" s="268"/>
      <c r="C492" s="268"/>
      <c r="D492" s="268"/>
      <c r="E492" s="268"/>
      <c r="F492" s="268"/>
      <c r="G492" s="268"/>
      <c r="H492" s="268"/>
      <c r="I492" s="268"/>
      <c r="J492" s="268"/>
      <c r="K492" s="268"/>
      <c r="L492" s="268"/>
      <c r="M492" s="268"/>
      <c r="N492" s="268"/>
      <c r="O492" s="268"/>
      <c r="P492" s="268"/>
      <c r="Q492" s="268"/>
      <c r="R492" s="268"/>
      <c r="S492" s="268"/>
      <c r="T492" s="268"/>
      <c r="U492" s="268"/>
      <c r="V492" s="268"/>
      <c r="W492" s="268"/>
      <c r="X492" s="268"/>
      <c r="Y492" s="268"/>
      <c r="Z492" s="268"/>
    </row>
    <row r="493" spans="1:26" ht="12.75" customHeight="1">
      <c r="A493" s="268"/>
      <c r="B493" s="268"/>
      <c r="C493" s="268"/>
      <c r="D493" s="268"/>
      <c r="E493" s="268"/>
      <c r="F493" s="268"/>
      <c r="G493" s="268"/>
      <c r="H493" s="268"/>
      <c r="I493" s="268"/>
      <c r="J493" s="268"/>
      <c r="K493" s="268"/>
      <c r="L493" s="268"/>
      <c r="M493" s="268"/>
      <c r="N493" s="268"/>
      <c r="O493" s="268"/>
      <c r="P493" s="268"/>
      <c r="Q493" s="268"/>
      <c r="R493" s="268"/>
      <c r="S493" s="268"/>
      <c r="T493" s="268"/>
      <c r="U493" s="268"/>
      <c r="V493" s="268"/>
      <c r="W493" s="268"/>
      <c r="X493" s="268"/>
      <c r="Y493" s="268"/>
      <c r="Z493" s="268"/>
    </row>
    <row r="494" spans="1:26" ht="12.75" customHeight="1">
      <c r="A494" s="268"/>
      <c r="B494" s="268"/>
      <c r="C494" s="268"/>
      <c r="D494" s="268"/>
      <c r="E494" s="268"/>
      <c r="F494" s="268"/>
      <c r="G494" s="268"/>
      <c r="H494" s="268"/>
      <c r="I494" s="268"/>
      <c r="J494" s="268"/>
      <c r="K494" s="268"/>
      <c r="L494" s="268"/>
      <c r="M494" s="268"/>
      <c r="N494" s="268"/>
      <c r="O494" s="268"/>
      <c r="P494" s="268"/>
      <c r="Q494" s="268"/>
      <c r="R494" s="268"/>
      <c r="S494" s="268"/>
      <c r="T494" s="268"/>
      <c r="U494" s="268"/>
      <c r="V494" s="268"/>
      <c r="W494" s="268"/>
      <c r="X494" s="268"/>
      <c r="Y494" s="268"/>
      <c r="Z494" s="268"/>
    </row>
    <row r="495" spans="1:26" ht="12.75" customHeight="1">
      <c r="A495" s="268"/>
      <c r="B495" s="268"/>
      <c r="C495" s="268"/>
      <c r="D495" s="268"/>
      <c r="E495" s="268"/>
      <c r="F495" s="268"/>
      <c r="G495" s="268"/>
      <c r="H495" s="268"/>
      <c r="I495" s="268"/>
      <c r="J495" s="268"/>
      <c r="K495" s="268"/>
      <c r="L495" s="268"/>
      <c r="M495" s="268"/>
      <c r="N495" s="268"/>
      <c r="O495" s="268"/>
      <c r="P495" s="268"/>
      <c r="Q495" s="268"/>
      <c r="R495" s="268"/>
      <c r="S495" s="268"/>
      <c r="T495" s="268"/>
      <c r="U495" s="268"/>
      <c r="V495" s="268"/>
      <c r="W495" s="268"/>
      <c r="X495" s="268"/>
      <c r="Y495" s="268"/>
      <c r="Z495" s="268"/>
    </row>
    <row r="496" spans="1:26" ht="12.75" customHeight="1">
      <c r="A496" s="268"/>
      <c r="B496" s="268"/>
      <c r="C496" s="268"/>
      <c r="D496" s="268"/>
      <c r="E496" s="268"/>
      <c r="F496" s="268"/>
      <c r="G496" s="268"/>
      <c r="H496" s="268"/>
      <c r="I496" s="268"/>
      <c r="J496" s="268"/>
      <c r="K496" s="268"/>
      <c r="L496" s="268"/>
      <c r="M496" s="268"/>
      <c r="N496" s="268"/>
      <c r="O496" s="268"/>
      <c r="P496" s="268"/>
      <c r="Q496" s="268"/>
      <c r="R496" s="268"/>
      <c r="S496" s="268"/>
      <c r="T496" s="268"/>
      <c r="U496" s="268"/>
      <c r="V496" s="268"/>
      <c r="W496" s="268"/>
      <c r="X496" s="268"/>
      <c r="Y496" s="268"/>
      <c r="Z496" s="268"/>
    </row>
    <row r="497" spans="1:26" ht="12.75" customHeight="1">
      <c r="A497" s="268"/>
      <c r="B497" s="268"/>
      <c r="C497" s="268"/>
      <c r="D497" s="268"/>
      <c r="E497" s="268"/>
      <c r="F497" s="268"/>
      <c r="G497" s="268"/>
      <c r="H497" s="268"/>
      <c r="I497" s="268"/>
      <c r="J497" s="268"/>
      <c r="K497" s="268"/>
      <c r="L497" s="268"/>
      <c r="M497" s="268"/>
      <c r="N497" s="268"/>
      <c r="O497" s="268"/>
      <c r="P497" s="268"/>
      <c r="Q497" s="268"/>
      <c r="R497" s="268"/>
      <c r="S497" s="268"/>
      <c r="T497" s="268"/>
      <c r="U497" s="268"/>
      <c r="V497" s="268"/>
      <c r="W497" s="268"/>
      <c r="X497" s="268"/>
      <c r="Y497" s="268"/>
      <c r="Z497" s="268"/>
    </row>
    <row r="498" spans="1:26" ht="12.75" customHeight="1">
      <c r="A498" s="268"/>
      <c r="B498" s="268"/>
      <c r="C498" s="268"/>
      <c r="D498" s="268"/>
      <c r="E498" s="268"/>
      <c r="F498" s="268"/>
      <c r="G498" s="268"/>
      <c r="H498" s="268"/>
      <c r="I498" s="268"/>
      <c r="J498" s="268"/>
      <c r="K498" s="268"/>
      <c r="L498" s="268"/>
      <c r="M498" s="268"/>
      <c r="N498" s="268"/>
      <c r="O498" s="268"/>
      <c r="P498" s="268"/>
      <c r="Q498" s="268"/>
      <c r="R498" s="268"/>
      <c r="S498" s="268"/>
      <c r="T498" s="268"/>
      <c r="U498" s="268"/>
      <c r="V498" s="268"/>
      <c r="W498" s="268"/>
      <c r="X498" s="268"/>
      <c r="Y498" s="268"/>
      <c r="Z498" s="268"/>
    </row>
    <row r="499" spans="1:26" ht="12.75" customHeight="1">
      <c r="A499" s="268"/>
      <c r="B499" s="268"/>
      <c r="C499" s="268"/>
      <c r="D499" s="268"/>
      <c r="E499" s="268"/>
      <c r="F499" s="268"/>
      <c r="G499" s="268"/>
      <c r="H499" s="268"/>
      <c r="I499" s="268"/>
      <c r="J499" s="268"/>
      <c r="K499" s="268"/>
      <c r="L499" s="268"/>
      <c r="M499" s="268"/>
      <c r="N499" s="268"/>
      <c r="O499" s="268"/>
      <c r="P499" s="268"/>
      <c r="Q499" s="268"/>
      <c r="R499" s="268"/>
      <c r="S499" s="268"/>
      <c r="T499" s="268"/>
      <c r="U499" s="268"/>
      <c r="V499" s="268"/>
      <c r="W499" s="268"/>
      <c r="X499" s="268"/>
      <c r="Y499" s="268"/>
      <c r="Z499" s="268"/>
    </row>
    <row r="500" spans="1:26" ht="12.75" customHeight="1">
      <c r="A500" s="268"/>
      <c r="B500" s="268"/>
      <c r="C500" s="268"/>
      <c r="D500" s="268"/>
      <c r="E500" s="268"/>
      <c r="F500" s="268"/>
      <c r="G500" s="268"/>
      <c r="H500" s="268"/>
      <c r="I500" s="268"/>
      <c r="J500" s="268"/>
      <c r="K500" s="268"/>
      <c r="L500" s="268"/>
      <c r="M500" s="268"/>
      <c r="N500" s="268"/>
      <c r="O500" s="268"/>
      <c r="P500" s="268"/>
      <c r="Q500" s="268"/>
      <c r="R500" s="268"/>
      <c r="S500" s="268"/>
      <c r="T500" s="268"/>
      <c r="U500" s="268"/>
      <c r="V500" s="268"/>
      <c r="W500" s="268"/>
      <c r="X500" s="268"/>
      <c r="Y500" s="268"/>
      <c r="Z500" s="268"/>
    </row>
    <row r="501" spans="1:26" ht="12.75" customHeight="1">
      <c r="A501" s="268"/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268"/>
      <c r="Q501" s="268"/>
      <c r="R501" s="268"/>
      <c r="S501" s="268"/>
      <c r="T501" s="268"/>
      <c r="U501" s="268"/>
      <c r="V501" s="268"/>
      <c r="W501" s="268"/>
      <c r="X501" s="268"/>
      <c r="Y501" s="268"/>
      <c r="Z501" s="268"/>
    </row>
    <row r="502" spans="1:26" ht="12.75" customHeight="1">
      <c r="A502" s="268"/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268"/>
      <c r="Q502" s="268"/>
      <c r="R502" s="268"/>
      <c r="S502" s="268"/>
      <c r="T502" s="268"/>
      <c r="U502" s="268"/>
      <c r="V502" s="268"/>
      <c r="W502" s="268"/>
      <c r="X502" s="268"/>
      <c r="Y502" s="268"/>
      <c r="Z502" s="268"/>
    </row>
    <row r="503" spans="1:26" ht="12.75" customHeight="1">
      <c r="A503" s="268"/>
      <c r="B503" s="268"/>
      <c r="C503" s="268"/>
      <c r="D503" s="268"/>
      <c r="E503" s="268"/>
      <c r="F503" s="268"/>
      <c r="G503" s="268"/>
      <c r="H503" s="268"/>
      <c r="I503" s="268"/>
      <c r="J503" s="268"/>
      <c r="K503" s="268"/>
      <c r="L503" s="268"/>
      <c r="M503" s="268"/>
      <c r="N503" s="268"/>
      <c r="O503" s="268"/>
      <c r="P503" s="268"/>
      <c r="Q503" s="268"/>
      <c r="R503" s="268"/>
      <c r="S503" s="268"/>
      <c r="T503" s="268"/>
      <c r="U503" s="268"/>
      <c r="V503" s="268"/>
      <c r="W503" s="268"/>
      <c r="X503" s="268"/>
      <c r="Y503" s="268"/>
      <c r="Z503" s="268"/>
    </row>
    <row r="504" spans="1:26" ht="12.75" customHeight="1">
      <c r="A504" s="268"/>
      <c r="B504" s="268"/>
      <c r="C504" s="268"/>
      <c r="D504" s="268"/>
      <c r="E504" s="268"/>
      <c r="F504" s="268"/>
      <c r="G504" s="268"/>
      <c r="H504" s="268"/>
      <c r="I504" s="268"/>
      <c r="J504" s="268"/>
      <c r="K504" s="268"/>
      <c r="L504" s="268"/>
      <c r="M504" s="268"/>
      <c r="N504" s="268"/>
      <c r="O504" s="268"/>
      <c r="P504" s="268"/>
      <c r="Q504" s="268"/>
      <c r="R504" s="268"/>
      <c r="S504" s="268"/>
      <c r="T504" s="268"/>
      <c r="U504" s="268"/>
      <c r="V504" s="268"/>
      <c r="W504" s="268"/>
      <c r="X504" s="268"/>
      <c r="Y504" s="268"/>
      <c r="Z504" s="268"/>
    </row>
    <row r="505" spans="1:26" ht="12.75" customHeight="1">
      <c r="A505" s="268"/>
      <c r="B505" s="268"/>
      <c r="C505" s="268"/>
      <c r="D505" s="268"/>
      <c r="E505" s="268"/>
      <c r="F505" s="268"/>
      <c r="G505" s="268"/>
      <c r="H505" s="268"/>
      <c r="I505" s="268"/>
      <c r="J505" s="268"/>
      <c r="K505" s="268"/>
      <c r="L505" s="268"/>
      <c r="M505" s="268"/>
      <c r="N505" s="268"/>
      <c r="O505" s="268"/>
      <c r="P505" s="268"/>
      <c r="Q505" s="268"/>
      <c r="R505" s="268"/>
      <c r="S505" s="268"/>
      <c r="T505" s="268"/>
      <c r="U505" s="268"/>
      <c r="V505" s="268"/>
      <c r="W505" s="268"/>
      <c r="X505" s="268"/>
      <c r="Y505" s="268"/>
      <c r="Z505" s="268"/>
    </row>
    <row r="506" spans="1:26" ht="12.75" customHeight="1">
      <c r="A506" s="268"/>
      <c r="B506" s="268"/>
      <c r="C506" s="268"/>
      <c r="D506" s="268"/>
      <c r="E506" s="268"/>
      <c r="F506" s="268"/>
      <c r="G506" s="268"/>
      <c r="H506" s="268"/>
      <c r="I506" s="268"/>
      <c r="J506" s="268"/>
      <c r="K506" s="268"/>
      <c r="L506" s="268"/>
      <c r="M506" s="268"/>
      <c r="N506" s="268"/>
      <c r="O506" s="268"/>
      <c r="P506" s="268"/>
      <c r="Q506" s="268"/>
      <c r="R506" s="268"/>
      <c r="S506" s="268"/>
      <c r="T506" s="268"/>
      <c r="U506" s="268"/>
      <c r="V506" s="268"/>
      <c r="W506" s="268"/>
      <c r="X506" s="268"/>
      <c r="Y506" s="268"/>
      <c r="Z506" s="268"/>
    </row>
    <row r="507" spans="1:26" ht="12.75" customHeight="1">
      <c r="A507" s="268"/>
      <c r="B507" s="268"/>
      <c r="C507" s="268"/>
      <c r="D507" s="268"/>
      <c r="E507" s="268"/>
      <c r="F507" s="268"/>
      <c r="G507" s="268"/>
      <c r="H507" s="268"/>
      <c r="I507" s="268"/>
      <c r="J507" s="268"/>
      <c r="K507" s="268"/>
      <c r="L507" s="268"/>
      <c r="M507" s="268"/>
      <c r="N507" s="268"/>
      <c r="O507" s="268"/>
      <c r="P507" s="268"/>
      <c r="Q507" s="268"/>
      <c r="R507" s="268"/>
      <c r="S507" s="268"/>
      <c r="T507" s="268"/>
      <c r="U507" s="268"/>
      <c r="V507" s="268"/>
      <c r="W507" s="268"/>
      <c r="X507" s="268"/>
      <c r="Y507" s="268"/>
      <c r="Z507" s="268"/>
    </row>
    <row r="508" spans="1:26" ht="12.75" customHeight="1">
      <c r="A508" s="268"/>
      <c r="B508" s="268"/>
      <c r="C508" s="268"/>
      <c r="D508" s="268"/>
      <c r="E508" s="268"/>
      <c r="F508" s="268"/>
      <c r="G508" s="268"/>
      <c r="H508" s="268"/>
      <c r="I508" s="268"/>
      <c r="J508" s="268"/>
      <c r="K508" s="268"/>
      <c r="L508" s="268"/>
      <c r="M508" s="268"/>
      <c r="N508" s="268"/>
      <c r="O508" s="268"/>
      <c r="P508" s="268"/>
      <c r="Q508" s="268"/>
      <c r="R508" s="268"/>
      <c r="S508" s="268"/>
      <c r="T508" s="268"/>
      <c r="U508" s="268"/>
      <c r="V508" s="268"/>
      <c r="W508" s="268"/>
      <c r="X508" s="268"/>
      <c r="Y508" s="268"/>
      <c r="Z508" s="268"/>
    </row>
    <row r="509" spans="1:26" ht="12.75" customHeight="1">
      <c r="A509" s="268"/>
      <c r="B509" s="268"/>
      <c r="C509" s="268"/>
      <c r="D509" s="268"/>
      <c r="E509" s="268"/>
      <c r="F509" s="268"/>
      <c r="G509" s="268"/>
      <c r="H509" s="268"/>
      <c r="I509" s="268"/>
      <c r="J509" s="268"/>
      <c r="K509" s="268"/>
      <c r="L509" s="268"/>
      <c r="M509" s="268"/>
      <c r="N509" s="268"/>
      <c r="O509" s="268"/>
      <c r="P509" s="268"/>
      <c r="Q509" s="268"/>
      <c r="R509" s="268"/>
      <c r="S509" s="268"/>
      <c r="T509" s="268"/>
      <c r="U509" s="268"/>
      <c r="V509" s="268"/>
      <c r="W509" s="268"/>
      <c r="X509" s="268"/>
      <c r="Y509" s="268"/>
      <c r="Z509" s="268"/>
    </row>
    <row r="510" spans="1:26" ht="12.75" customHeight="1">
      <c r="A510" s="268"/>
      <c r="B510" s="268"/>
      <c r="C510" s="268"/>
      <c r="D510" s="268"/>
      <c r="E510" s="268"/>
      <c r="F510" s="268"/>
      <c r="G510" s="268"/>
      <c r="H510" s="268"/>
      <c r="I510" s="268"/>
      <c r="J510" s="268"/>
      <c r="K510" s="268"/>
      <c r="L510" s="268"/>
      <c r="M510" s="268"/>
      <c r="N510" s="268"/>
      <c r="O510" s="268"/>
      <c r="P510" s="268"/>
      <c r="Q510" s="268"/>
      <c r="R510" s="268"/>
      <c r="S510" s="268"/>
      <c r="T510" s="268"/>
      <c r="U510" s="268"/>
      <c r="V510" s="268"/>
      <c r="W510" s="268"/>
      <c r="X510" s="268"/>
      <c r="Y510" s="268"/>
      <c r="Z510" s="268"/>
    </row>
    <row r="511" spans="1:26" ht="12.75" customHeight="1">
      <c r="A511" s="268"/>
      <c r="B511" s="268"/>
      <c r="C511" s="268"/>
      <c r="D511" s="268"/>
      <c r="E511" s="268"/>
      <c r="F511" s="268"/>
      <c r="G511" s="268"/>
      <c r="H511" s="268"/>
      <c r="I511" s="268"/>
      <c r="J511" s="268"/>
      <c r="K511" s="268"/>
      <c r="L511" s="268"/>
      <c r="M511" s="268"/>
      <c r="N511" s="268"/>
      <c r="O511" s="268"/>
      <c r="P511" s="268"/>
      <c r="Q511" s="268"/>
      <c r="R511" s="268"/>
      <c r="S511" s="268"/>
      <c r="T511" s="268"/>
      <c r="U511" s="268"/>
      <c r="V511" s="268"/>
      <c r="W511" s="268"/>
      <c r="X511" s="268"/>
      <c r="Y511" s="268"/>
      <c r="Z511" s="268"/>
    </row>
    <row r="512" spans="1:26" ht="12.75" customHeight="1">
      <c r="A512" s="268"/>
      <c r="B512" s="268"/>
      <c r="C512" s="268"/>
      <c r="D512" s="268"/>
      <c r="E512" s="268"/>
      <c r="F512" s="268"/>
      <c r="G512" s="268"/>
      <c r="H512" s="268"/>
      <c r="I512" s="268"/>
      <c r="J512" s="268"/>
      <c r="K512" s="268"/>
      <c r="L512" s="268"/>
      <c r="M512" s="268"/>
      <c r="N512" s="268"/>
      <c r="O512" s="268"/>
      <c r="P512" s="268"/>
      <c r="Q512" s="268"/>
      <c r="R512" s="268"/>
      <c r="S512" s="268"/>
      <c r="T512" s="268"/>
      <c r="U512" s="268"/>
      <c r="V512" s="268"/>
      <c r="W512" s="268"/>
      <c r="X512" s="268"/>
      <c r="Y512" s="268"/>
      <c r="Z512" s="268"/>
    </row>
    <row r="513" spans="1:26" ht="12.75" customHeight="1">
      <c r="A513" s="268"/>
      <c r="B513" s="268"/>
      <c r="C513" s="268"/>
      <c r="D513" s="268"/>
      <c r="E513" s="268"/>
      <c r="F513" s="268"/>
      <c r="G513" s="268"/>
      <c r="H513" s="268"/>
      <c r="I513" s="268"/>
      <c r="J513" s="268"/>
      <c r="K513" s="268"/>
      <c r="L513" s="268"/>
      <c r="M513" s="268"/>
      <c r="N513" s="268"/>
      <c r="O513" s="268"/>
      <c r="P513" s="268"/>
      <c r="Q513" s="268"/>
      <c r="R513" s="268"/>
      <c r="S513" s="268"/>
      <c r="T513" s="268"/>
      <c r="U513" s="268"/>
      <c r="V513" s="268"/>
      <c r="W513" s="268"/>
      <c r="X513" s="268"/>
      <c r="Y513" s="268"/>
      <c r="Z513" s="268"/>
    </row>
    <row r="514" spans="1:26" ht="12.75" customHeight="1">
      <c r="A514" s="268"/>
      <c r="B514" s="268"/>
      <c r="C514" s="268"/>
      <c r="D514" s="268"/>
      <c r="E514" s="268"/>
      <c r="F514" s="268"/>
      <c r="G514" s="268"/>
      <c r="H514" s="268"/>
      <c r="I514" s="268"/>
      <c r="J514" s="268"/>
      <c r="K514" s="268"/>
      <c r="L514" s="268"/>
      <c r="M514" s="268"/>
      <c r="N514" s="268"/>
      <c r="O514" s="268"/>
      <c r="P514" s="268"/>
      <c r="Q514" s="268"/>
      <c r="R514" s="268"/>
      <c r="S514" s="268"/>
      <c r="T514" s="268"/>
      <c r="U514" s="268"/>
      <c r="V514" s="268"/>
      <c r="W514" s="268"/>
      <c r="X514" s="268"/>
      <c r="Y514" s="268"/>
      <c r="Z514" s="268"/>
    </row>
    <row r="515" spans="1:26" ht="12.75" customHeight="1">
      <c r="A515" s="268"/>
      <c r="B515" s="268"/>
      <c r="C515" s="268"/>
      <c r="D515" s="268"/>
      <c r="E515" s="268"/>
      <c r="F515" s="268"/>
      <c r="G515" s="268"/>
      <c r="H515" s="268"/>
      <c r="I515" s="268"/>
      <c r="J515" s="268"/>
      <c r="K515" s="268"/>
      <c r="L515" s="268"/>
      <c r="M515" s="268"/>
      <c r="N515" s="268"/>
      <c r="O515" s="268"/>
      <c r="P515" s="268"/>
      <c r="Q515" s="268"/>
      <c r="R515" s="268"/>
      <c r="S515" s="268"/>
      <c r="T515" s="268"/>
      <c r="U515" s="268"/>
      <c r="V515" s="268"/>
      <c r="W515" s="268"/>
      <c r="X515" s="268"/>
      <c r="Y515" s="268"/>
      <c r="Z515" s="268"/>
    </row>
    <row r="516" spans="1:26" ht="12.75" customHeight="1">
      <c r="A516" s="268"/>
      <c r="B516" s="268"/>
      <c r="C516" s="268"/>
      <c r="D516" s="268"/>
      <c r="E516" s="268"/>
      <c r="F516" s="268"/>
      <c r="G516" s="268"/>
      <c r="H516" s="268"/>
      <c r="I516" s="268"/>
      <c r="J516" s="268"/>
      <c r="K516" s="268"/>
      <c r="L516" s="268"/>
      <c r="M516" s="268"/>
      <c r="N516" s="268"/>
      <c r="O516" s="268"/>
      <c r="P516" s="268"/>
      <c r="Q516" s="268"/>
      <c r="R516" s="268"/>
      <c r="S516" s="268"/>
      <c r="T516" s="268"/>
      <c r="U516" s="268"/>
      <c r="V516" s="268"/>
      <c r="W516" s="268"/>
      <c r="X516" s="268"/>
      <c r="Y516" s="268"/>
      <c r="Z516" s="268"/>
    </row>
    <row r="517" spans="1:26" ht="12.75" customHeight="1">
      <c r="A517" s="268"/>
      <c r="B517" s="268"/>
      <c r="C517" s="268"/>
      <c r="D517" s="268"/>
      <c r="E517" s="268"/>
      <c r="F517" s="268"/>
      <c r="G517" s="268"/>
      <c r="H517" s="268"/>
      <c r="I517" s="268"/>
      <c r="J517" s="268"/>
      <c r="K517" s="268"/>
      <c r="L517" s="268"/>
      <c r="M517" s="268"/>
      <c r="N517" s="268"/>
      <c r="O517" s="268"/>
      <c r="P517" s="268"/>
      <c r="Q517" s="268"/>
      <c r="R517" s="268"/>
      <c r="S517" s="268"/>
      <c r="T517" s="268"/>
      <c r="U517" s="268"/>
      <c r="V517" s="268"/>
      <c r="W517" s="268"/>
      <c r="X517" s="268"/>
      <c r="Y517" s="268"/>
      <c r="Z517" s="268"/>
    </row>
    <row r="518" spans="1:26" ht="12.75" customHeight="1">
      <c r="A518" s="268"/>
      <c r="B518" s="268"/>
      <c r="C518" s="268"/>
      <c r="D518" s="268"/>
      <c r="E518" s="268"/>
      <c r="F518" s="268"/>
      <c r="G518" s="268"/>
      <c r="H518" s="268"/>
      <c r="I518" s="268"/>
      <c r="J518" s="268"/>
      <c r="K518" s="268"/>
      <c r="L518" s="268"/>
      <c r="M518" s="268"/>
      <c r="N518" s="268"/>
      <c r="O518" s="268"/>
      <c r="P518" s="268"/>
      <c r="Q518" s="268"/>
      <c r="R518" s="268"/>
      <c r="S518" s="268"/>
      <c r="T518" s="268"/>
      <c r="U518" s="268"/>
      <c r="V518" s="268"/>
      <c r="W518" s="268"/>
      <c r="X518" s="268"/>
      <c r="Y518" s="268"/>
      <c r="Z518" s="268"/>
    </row>
    <row r="519" spans="1:26" ht="12.75" customHeight="1">
      <c r="A519" s="268"/>
      <c r="B519" s="268"/>
      <c r="C519" s="268"/>
      <c r="D519" s="268"/>
      <c r="E519" s="268"/>
      <c r="F519" s="268"/>
      <c r="G519" s="268"/>
      <c r="H519" s="268"/>
      <c r="I519" s="268"/>
      <c r="J519" s="268"/>
      <c r="K519" s="268"/>
      <c r="L519" s="268"/>
      <c r="M519" s="268"/>
      <c r="N519" s="268"/>
      <c r="O519" s="268"/>
      <c r="P519" s="268"/>
      <c r="Q519" s="268"/>
      <c r="R519" s="268"/>
      <c r="S519" s="268"/>
      <c r="T519" s="268"/>
      <c r="U519" s="268"/>
      <c r="V519" s="268"/>
      <c r="W519" s="268"/>
      <c r="X519" s="268"/>
      <c r="Y519" s="268"/>
      <c r="Z519" s="268"/>
    </row>
    <row r="520" spans="1:26" ht="12.75" customHeight="1">
      <c r="A520" s="268"/>
      <c r="B520" s="268"/>
      <c r="C520" s="268"/>
      <c r="D520" s="268"/>
      <c r="E520" s="268"/>
      <c r="F520" s="268"/>
      <c r="G520" s="268"/>
      <c r="H520" s="268"/>
      <c r="I520" s="268"/>
      <c r="J520" s="268"/>
      <c r="K520" s="268"/>
      <c r="L520" s="268"/>
      <c r="M520" s="268"/>
      <c r="N520" s="268"/>
      <c r="O520" s="268"/>
      <c r="P520" s="268"/>
      <c r="Q520" s="268"/>
      <c r="R520" s="268"/>
      <c r="S520" s="268"/>
      <c r="T520" s="268"/>
      <c r="U520" s="268"/>
      <c r="V520" s="268"/>
      <c r="W520" s="268"/>
      <c r="X520" s="268"/>
      <c r="Y520" s="268"/>
      <c r="Z520" s="268"/>
    </row>
    <row r="521" spans="1:26" ht="12.75" customHeight="1">
      <c r="A521" s="268"/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  <c r="T521" s="268"/>
      <c r="U521" s="268"/>
      <c r="V521" s="268"/>
      <c r="W521" s="268"/>
      <c r="X521" s="268"/>
      <c r="Y521" s="268"/>
      <c r="Z521" s="268"/>
    </row>
    <row r="522" spans="1:26" ht="12.75" customHeight="1">
      <c r="A522" s="268"/>
      <c r="B522" s="268"/>
      <c r="C522" s="268"/>
      <c r="D522" s="268"/>
      <c r="E522" s="268"/>
      <c r="F522" s="268"/>
      <c r="G522" s="268"/>
      <c r="H522" s="268"/>
      <c r="I522" s="268"/>
      <c r="J522" s="268"/>
      <c r="K522" s="268"/>
      <c r="L522" s="268"/>
      <c r="M522" s="268"/>
      <c r="N522" s="268"/>
      <c r="O522" s="268"/>
      <c r="P522" s="268"/>
      <c r="Q522" s="268"/>
      <c r="R522" s="268"/>
      <c r="S522" s="268"/>
      <c r="T522" s="268"/>
      <c r="U522" s="268"/>
      <c r="V522" s="268"/>
      <c r="W522" s="268"/>
      <c r="X522" s="268"/>
      <c r="Y522" s="268"/>
      <c r="Z522" s="268"/>
    </row>
    <row r="523" spans="1:26" ht="12.75" customHeight="1">
      <c r="A523" s="268"/>
      <c r="B523" s="268"/>
      <c r="C523" s="268"/>
      <c r="D523" s="268"/>
      <c r="E523" s="268"/>
      <c r="F523" s="268"/>
      <c r="G523" s="268"/>
      <c r="H523" s="268"/>
      <c r="I523" s="268"/>
      <c r="J523" s="268"/>
      <c r="K523" s="268"/>
      <c r="L523" s="268"/>
      <c r="M523" s="268"/>
      <c r="N523" s="268"/>
      <c r="O523" s="268"/>
      <c r="P523" s="268"/>
      <c r="Q523" s="268"/>
      <c r="R523" s="268"/>
      <c r="S523" s="268"/>
      <c r="T523" s="268"/>
      <c r="U523" s="268"/>
      <c r="V523" s="268"/>
      <c r="W523" s="268"/>
      <c r="X523" s="268"/>
      <c r="Y523" s="268"/>
      <c r="Z523" s="268"/>
    </row>
    <row r="524" spans="1:26" ht="12.75" customHeight="1">
      <c r="A524" s="268"/>
      <c r="B524" s="268"/>
      <c r="C524" s="268"/>
      <c r="D524" s="268"/>
      <c r="E524" s="268"/>
      <c r="F524" s="268"/>
      <c r="G524" s="268"/>
      <c r="H524" s="268"/>
      <c r="I524" s="268"/>
      <c r="J524" s="268"/>
      <c r="K524" s="268"/>
      <c r="L524" s="268"/>
      <c r="M524" s="268"/>
      <c r="N524" s="268"/>
      <c r="O524" s="268"/>
      <c r="P524" s="268"/>
      <c r="Q524" s="268"/>
      <c r="R524" s="268"/>
      <c r="S524" s="268"/>
      <c r="T524" s="268"/>
      <c r="U524" s="268"/>
      <c r="V524" s="268"/>
      <c r="W524" s="268"/>
      <c r="X524" s="268"/>
      <c r="Y524" s="268"/>
      <c r="Z524" s="268"/>
    </row>
    <row r="525" spans="1:26" ht="12.75" customHeight="1">
      <c r="A525" s="268"/>
      <c r="B525" s="268"/>
      <c r="C525" s="268"/>
      <c r="D525" s="268"/>
      <c r="E525" s="268"/>
      <c r="F525" s="268"/>
      <c r="G525" s="268"/>
      <c r="H525" s="268"/>
      <c r="I525" s="268"/>
      <c r="J525" s="268"/>
      <c r="K525" s="268"/>
      <c r="L525" s="268"/>
      <c r="M525" s="268"/>
      <c r="N525" s="268"/>
      <c r="O525" s="268"/>
      <c r="P525" s="268"/>
      <c r="Q525" s="268"/>
      <c r="R525" s="268"/>
      <c r="S525" s="268"/>
      <c r="T525" s="268"/>
      <c r="U525" s="268"/>
      <c r="V525" s="268"/>
      <c r="W525" s="268"/>
      <c r="X525" s="268"/>
      <c r="Y525" s="268"/>
      <c r="Z525" s="268"/>
    </row>
    <row r="526" spans="1:26" ht="12.75" customHeight="1">
      <c r="A526" s="268"/>
      <c r="B526" s="268"/>
      <c r="C526" s="268"/>
      <c r="D526" s="268"/>
      <c r="E526" s="268"/>
      <c r="F526" s="268"/>
      <c r="G526" s="268"/>
      <c r="H526" s="268"/>
      <c r="I526" s="268"/>
      <c r="J526" s="268"/>
      <c r="K526" s="268"/>
      <c r="L526" s="268"/>
      <c r="M526" s="268"/>
      <c r="N526" s="268"/>
      <c r="O526" s="268"/>
      <c r="P526" s="268"/>
      <c r="Q526" s="268"/>
      <c r="R526" s="268"/>
      <c r="S526" s="268"/>
      <c r="T526" s="268"/>
      <c r="U526" s="268"/>
      <c r="V526" s="268"/>
      <c r="W526" s="268"/>
      <c r="X526" s="268"/>
      <c r="Y526" s="268"/>
      <c r="Z526" s="268"/>
    </row>
    <row r="527" spans="1:26" ht="12.75" customHeight="1">
      <c r="A527" s="268"/>
      <c r="B527" s="268"/>
      <c r="C527" s="268"/>
      <c r="D527" s="268"/>
      <c r="E527" s="268"/>
      <c r="F527" s="268"/>
      <c r="G527" s="268"/>
      <c r="H527" s="268"/>
      <c r="I527" s="268"/>
      <c r="J527" s="268"/>
      <c r="K527" s="268"/>
      <c r="L527" s="268"/>
      <c r="M527" s="268"/>
      <c r="N527" s="268"/>
      <c r="O527" s="268"/>
      <c r="P527" s="268"/>
      <c r="Q527" s="268"/>
      <c r="R527" s="268"/>
      <c r="S527" s="268"/>
      <c r="T527" s="268"/>
      <c r="U527" s="268"/>
      <c r="V527" s="268"/>
      <c r="W527" s="268"/>
      <c r="X527" s="268"/>
      <c r="Y527" s="268"/>
      <c r="Z527" s="268"/>
    </row>
    <row r="528" spans="1:26" ht="12.75" customHeight="1">
      <c r="A528" s="268"/>
      <c r="B528" s="268"/>
      <c r="C528" s="268"/>
      <c r="D528" s="268"/>
      <c r="E528" s="268"/>
      <c r="F528" s="268"/>
      <c r="G528" s="268"/>
      <c r="H528" s="268"/>
      <c r="I528" s="268"/>
      <c r="J528" s="268"/>
      <c r="K528" s="268"/>
      <c r="L528" s="268"/>
      <c r="M528" s="268"/>
      <c r="N528" s="268"/>
      <c r="O528" s="268"/>
      <c r="P528" s="268"/>
      <c r="Q528" s="268"/>
      <c r="R528" s="268"/>
      <c r="S528" s="268"/>
      <c r="T528" s="268"/>
      <c r="U528" s="268"/>
      <c r="V528" s="268"/>
      <c r="W528" s="268"/>
      <c r="X528" s="268"/>
      <c r="Y528" s="268"/>
      <c r="Z528" s="268"/>
    </row>
    <row r="529" spans="1:26" ht="12.75" customHeight="1">
      <c r="A529" s="268"/>
      <c r="B529" s="268"/>
      <c r="C529" s="268"/>
      <c r="D529" s="268"/>
      <c r="E529" s="268"/>
      <c r="F529" s="268"/>
      <c r="G529" s="268"/>
      <c r="H529" s="268"/>
      <c r="I529" s="268"/>
      <c r="J529" s="268"/>
      <c r="K529" s="268"/>
      <c r="L529" s="268"/>
      <c r="M529" s="268"/>
      <c r="N529" s="268"/>
      <c r="O529" s="268"/>
      <c r="P529" s="268"/>
      <c r="Q529" s="268"/>
      <c r="R529" s="268"/>
      <c r="S529" s="268"/>
      <c r="T529" s="268"/>
      <c r="U529" s="268"/>
      <c r="V529" s="268"/>
      <c r="W529" s="268"/>
      <c r="X529" s="268"/>
      <c r="Y529" s="268"/>
      <c r="Z529" s="268"/>
    </row>
    <row r="530" spans="1:26" ht="12.75" customHeight="1">
      <c r="A530" s="268"/>
      <c r="B530" s="268"/>
      <c r="C530" s="268"/>
      <c r="D530" s="268"/>
      <c r="E530" s="268"/>
      <c r="F530" s="268"/>
      <c r="G530" s="268"/>
      <c r="H530" s="268"/>
      <c r="I530" s="268"/>
      <c r="J530" s="268"/>
      <c r="K530" s="268"/>
      <c r="L530" s="268"/>
      <c r="M530" s="268"/>
      <c r="N530" s="268"/>
      <c r="O530" s="268"/>
      <c r="P530" s="268"/>
      <c r="Q530" s="268"/>
      <c r="R530" s="268"/>
      <c r="S530" s="268"/>
      <c r="T530" s="268"/>
      <c r="U530" s="268"/>
      <c r="V530" s="268"/>
      <c r="W530" s="268"/>
      <c r="X530" s="268"/>
      <c r="Y530" s="268"/>
      <c r="Z530" s="268"/>
    </row>
    <row r="531" spans="1:26" ht="12.75" customHeight="1">
      <c r="A531" s="268"/>
      <c r="B531" s="268"/>
      <c r="C531" s="268"/>
      <c r="D531" s="268"/>
      <c r="E531" s="268"/>
      <c r="F531" s="268"/>
      <c r="G531" s="268"/>
      <c r="H531" s="268"/>
      <c r="I531" s="268"/>
      <c r="J531" s="268"/>
      <c r="K531" s="268"/>
      <c r="L531" s="268"/>
      <c r="M531" s="268"/>
      <c r="N531" s="268"/>
      <c r="O531" s="268"/>
      <c r="P531" s="268"/>
      <c r="Q531" s="268"/>
      <c r="R531" s="268"/>
      <c r="S531" s="268"/>
      <c r="T531" s="268"/>
      <c r="U531" s="268"/>
      <c r="V531" s="268"/>
      <c r="W531" s="268"/>
      <c r="X531" s="268"/>
      <c r="Y531" s="268"/>
      <c r="Z531" s="268"/>
    </row>
    <row r="532" spans="1:26" ht="12.75" customHeight="1">
      <c r="A532" s="268"/>
      <c r="B532" s="268"/>
      <c r="C532" s="268"/>
      <c r="D532" s="268"/>
      <c r="E532" s="268"/>
      <c r="F532" s="268"/>
      <c r="G532" s="268"/>
      <c r="H532" s="268"/>
      <c r="I532" s="268"/>
      <c r="J532" s="268"/>
      <c r="K532" s="268"/>
      <c r="L532" s="268"/>
      <c r="M532" s="268"/>
      <c r="N532" s="268"/>
      <c r="O532" s="268"/>
      <c r="P532" s="268"/>
      <c r="Q532" s="268"/>
      <c r="R532" s="268"/>
      <c r="S532" s="268"/>
      <c r="T532" s="268"/>
      <c r="U532" s="268"/>
      <c r="V532" s="268"/>
      <c r="W532" s="268"/>
      <c r="X532" s="268"/>
      <c r="Y532" s="268"/>
      <c r="Z532" s="268"/>
    </row>
    <row r="533" spans="1:26" ht="12.75" customHeight="1">
      <c r="A533" s="268"/>
      <c r="B533" s="268"/>
      <c r="C533" s="268"/>
      <c r="D533" s="268"/>
      <c r="E533" s="268"/>
      <c r="F533" s="268"/>
      <c r="G533" s="268"/>
      <c r="H533" s="268"/>
      <c r="I533" s="268"/>
      <c r="J533" s="268"/>
      <c r="K533" s="268"/>
      <c r="L533" s="268"/>
      <c r="M533" s="268"/>
      <c r="N533" s="268"/>
      <c r="O533" s="268"/>
      <c r="P533" s="268"/>
      <c r="Q533" s="268"/>
      <c r="R533" s="268"/>
      <c r="S533" s="268"/>
      <c r="T533" s="268"/>
      <c r="U533" s="268"/>
      <c r="V533" s="268"/>
      <c r="W533" s="268"/>
      <c r="X533" s="268"/>
      <c r="Y533" s="268"/>
      <c r="Z533" s="268"/>
    </row>
    <row r="534" spans="1:26" ht="12.75" customHeight="1">
      <c r="A534" s="268"/>
      <c r="B534" s="268"/>
      <c r="C534" s="268"/>
      <c r="D534" s="268"/>
      <c r="E534" s="268"/>
      <c r="F534" s="268"/>
      <c r="G534" s="268"/>
      <c r="H534" s="268"/>
      <c r="I534" s="268"/>
      <c r="J534" s="268"/>
      <c r="K534" s="268"/>
      <c r="L534" s="268"/>
      <c r="M534" s="268"/>
      <c r="N534" s="268"/>
      <c r="O534" s="268"/>
      <c r="P534" s="268"/>
      <c r="Q534" s="268"/>
      <c r="R534" s="268"/>
      <c r="S534" s="268"/>
      <c r="T534" s="268"/>
      <c r="U534" s="268"/>
      <c r="V534" s="268"/>
      <c r="W534" s="268"/>
      <c r="X534" s="268"/>
      <c r="Y534" s="268"/>
      <c r="Z534" s="268"/>
    </row>
    <row r="535" spans="1:26" ht="12.75" customHeight="1">
      <c r="A535" s="268"/>
      <c r="B535" s="268"/>
      <c r="C535" s="268"/>
      <c r="D535" s="268"/>
      <c r="E535" s="268"/>
      <c r="F535" s="268"/>
      <c r="G535" s="268"/>
      <c r="H535" s="268"/>
      <c r="I535" s="268"/>
      <c r="J535" s="268"/>
      <c r="K535" s="268"/>
      <c r="L535" s="268"/>
      <c r="M535" s="268"/>
      <c r="N535" s="268"/>
      <c r="O535" s="268"/>
      <c r="P535" s="268"/>
      <c r="Q535" s="268"/>
      <c r="R535" s="268"/>
      <c r="S535" s="268"/>
      <c r="T535" s="268"/>
      <c r="U535" s="268"/>
      <c r="V535" s="268"/>
      <c r="W535" s="268"/>
      <c r="X535" s="268"/>
      <c r="Y535" s="268"/>
      <c r="Z535" s="268"/>
    </row>
    <row r="536" spans="1:26" ht="12.75" customHeight="1">
      <c r="A536" s="268"/>
      <c r="B536" s="268"/>
      <c r="C536" s="268"/>
      <c r="D536" s="268"/>
      <c r="E536" s="268"/>
      <c r="F536" s="268"/>
      <c r="G536" s="268"/>
      <c r="H536" s="268"/>
      <c r="I536" s="268"/>
      <c r="J536" s="268"/>
      <c r="K536" s="268"/>
      <c r="L536" s="268"/>
      <c r="M536" s="268"/>
      <c r="N536" s="268"/>
      <c r="O536" s="268"/>
      <c r="P536" s="268"/>
      <c r="Q536" s="268"/>
      <c r="R536" s="268"/>
      <c r="S536" s="268"/>
      <c r="T536" s="268"/>
      <c r="U536" s="268"/>
      <c r="V536" s="268"/>
      <c r="W536" s="268"/>
      <c r="X536" s="268"/>
      <c r="Y536" s="268"/>
      <c r="Z536" s="268"/>
    </row>
    <row r="537" spans="1:26" ht="12.75" customHeight="1">
      <c r="A537" s="268"/>
      <c r="B537" s="268"/>
      <c r="C537" s="268"/>
      <c r="D537" s="268"/>
      <c r="E537" s="268"/>
      <c r="F537" s="268"/>
      <c r="G537" s="268"/>
      <c r="H537" s="268"/>
      <c r="I537" s="268"/>
      <c r="J537" s="268"/>
      <c r="K537" s="268"/>
      <c r="L537" s="268"/>
      <c r="M537" s="268"/>
      <c r="N537" s="268"/>
      <c r="O537" s="268"/>
      <c r="P537" s="268"/>
      <c r="Q537" s="268"/>
      <c r="R537" s="268"/>
      <c r="S537" s="268"/>
      <c r="T537" s="268"/>
      <c r="U537" s="268"/>
      <c r="V537" s="268"/>
      <c r="W537" s="268"/>
      <c r="X537" s="268"/>
      <c r="Y537" s="268"/>
      <c r="Z537" s="268"/>
    </row>
    <row r="538" spans="1:26" ht="12.75" customHeight="1">
      <c r="A538" s="268"/>
      <c r="B538" s="268"/>
      <c r="C538" s="268"/>
      <c r="D538" s="268"/>
      <c r="E538" s="268"/>
      <c r="F538" s="268"/>
      <c r="G538" s="268"/>
      <c r="H538" s="268"/>
      <c r="I538" s="268"/>
      <c r="J538" s="268"/>
      <c r="K538" s="268"/>
      <c r="L538" s="268"/>
      <c r="M538" s="268"/>
      <c r="N538" s="268"/>
      <c r="O538" s="268"/>
      <c r="P538" s="268"/>
      <c r="Q538" s="268"/>
      <c r="R538" s="268"/>
      <c r="S538" s="268"/>
      <c r="T538" s="268"/>
      <c r="U538" s="268"/>
      <c r="V538" s="268"/>
      <c r="W538" s="268"/>
      <c r="X538" s="268"/>
      <c r="Y538" s="268"/>
      <c r="Z538" s="268"/>
    </row>
    <row r="539" spans="1:26" ht="12.75" customHeight="1">
      <c r="A539" s="268"/>
      <c r="B539" s="268"/>
      <c r="C539" s="268"/>
      <c r="D539" s="268"/>
      <c r="E539" s="268"/>
      <c r="F539" s="268"/>
      <c r="G539" s="268"/>
      <c r="H539" s="268"/>
      <c r="I539" s="268"/>
      <c r="J539" s="268"/>
      <c r="K539" s="268"/>
      <c r="L539" s="268"/>
      <c r="M539" s="268"/>
      <c r="N539" s="268"/>
      <c r="O539" s="268"/>
      <c r="P539" s="268"/>
      <c r="Q539" s="268"/>
      <c r="R539" s="268"/>
      <c r="S539" s="268"/>
      <c r="T539" s="268"/>
      <c r="U539" s="268"/>
      <c r="V539" s="268"/>
      <c r="W539" s="268"/>
      <c r="X539" s="268"/>
      <c r="Y539" s="268"/>
      <c r="Z539" s="268"/>
    </row>
    <row r="540" spans="1:26" ht="12.75" customHeight="1">
      <c r="A540" s="268"/>
      <c r="B540" s="268"/>
      <c r="C540" s="268"/>
      <c r="D540" s="268"/>
      <c r="E540" s="268"/>
      <c r="F540" s="268"/>
      <c r="G540" s="268"/>
      <c r="H540" s="268"/>
      <c r="I540" s="268"/>
      <c r="J540" s="268"/>
      <c r="K540" s="268"/>
      <c r="L540" s="268"/>
      <c r="M540" s="268"/>
      <c r="N540" s="268"/>
      <c r="O540" s="268"/>
      <c r="P540" s="268"/>
      <c r="Q540" s="268"/>
      <c r="R540" s="268"/>
      <c r="S540" s="268"/>
      <c r="T540" s="268"/>
      <c r="U540" s="268"/>
      <c r="V540" s="268"/>
      <c r="W540" s="268"/>
      <c r="X540" s="268"/>
      <c r="Y540" s="268"/>
      <c r="Z540" s="268"/>
    </row>
    <row r="541" spans="1:26" ht="12.75" customHeight="1">
      <c r="A541" s="268"/>
      <c r="B541" s="268"/>
      <c r="C541" s="268"/>
      <c r="D541" s="268"/>
      <c r="E541" s="268"/>
      <c r="F541" s="268"/>
      <c r="G541" s="268"/>
      <c r="H541" s="268"/>
      <c r="I541" s="268"/>
      <c r="J541" s="268"/>
      <c r="K541" s="268"/>
      <c r="L541" s="268"/>
      <c r="M541" s="268"/>
      <c r="N541" s="268"/>
      <c r="O541" s="268"/>
      <c r="P541" s="268"/>
      <c r="Q541" s="268"/>
      <c r="R541" s="268"/>
      <c r="S541" s="268"/>
      <c r="T541" s="268"/>
      <c r="U541" s="268"/>
      <c r="V541" s="268"/>
      <c r="W541" s="268"/>
      <c r="X541" s="268"/>
      <c r="Y541" s="268"/>
      <c r="Z541" s="268"/>
    </row>
    <row r="542" spans="1:26" ht="12.75" customHeight="1">
      <c r="A542" s="268"/>
      <c r="B542" s="268"/>
      <c r="C542" s="268"/>
      <c r="D542" s="268"/>
      <c r="E542" s="268"/>
      <c r="F542" s="268"/>
      <c r="G542" s="268"/>
      <c r="H542" s="268"/>
      <c r="I542" s="268"/>
      <c r="J542" s="268"/>
      <c r="K542" s="268"/>
      <c r="L542" s="268"/>
      <c r="M542" s="268"/>
      <c r="N542" s="268"/>
      <c r="O542" s="268"/>
      <c r="P542" s="268"/>
      <c r="Q542" s="268"/>
      <c r="R542" s="268"/>
      <c r="S542" s="268"/>
      <c r="T542" s="268"/>
      <c r="U542" s="268"/>
      <c r="V542" s="268"/>
      <c r="W542" s="268"/>
      <c r="X542" s="268"/>
      <c r="Y542" s="268"/>
      <c r="Z542" s="268"/>
    </row>
    <row r="543" spans="1:26" ht="12.75" customHeight="1">
      <c r="A543" s="268"/>
      <c r="B543" s="268"/>
      <c r="C543" s="268"/>
      <c r="D543" s="268"/>
      <c r="E543" s="268"/>
      <c r="F543" s="268"/>
      <c r="G543" s="268"/>
      <c r="H543" s="268"/>
      <c r="I543" s="268"/>
      <c r="J543" s="268"/>
      <c r="K543" s="268"/>
      <c r="L543" s="268"/>
      <c r="M543" s="268"/>
      <c r="N543" s="268"/>
      <c r="O543" s="268"/>
      <c r="P543" s="268"/>
      <c r="Q543" s="268"/>
      <c r="R543" s="268"/>
      <c r="S543" s="268"/>
      <c r="T543" s="268"/>
      <c r="U543" s="268"/>
      <c r="V543" s="268"/>
      <c r="W543" s="268"/>
      <c r="X543" s="268"/>
      <c r="Y543" s="268"/>
      <c r="Z543" s="268"/>
    </row>
    <row r="544" spans="1:26" ht="12.75" customHeight="1">
      <c r="A544" s="268"/>
      <c r="B544" s="268"/>
      <c r="C544" s="268"/>
      <c r="D544" s="268"/>
      <c r="E544" s="268"/>
      <c r="F544" s="268"/>
      <c r="G544" s="268"/>
      <c r="H544" s="268"/>
      <c r="I544" s="268"/>
      <c r="J544" s="268"/>
      <c r="K544" s="268"/>
      <c r="L544" s="268"/>
      <c r="M544" s="268"/>
      <c r="N544" s="268"/>
      <c r="O544" s="268"/>
      <c r="P544" s="268"/>
      <c r="Q544" s="268"/>
      <c r="R544" s="268"/>
      <c r="S544" s="268"/>
      <c r="T544" s="268"/>
      <c r="U544" s="268"/>
      <c r="V544" s="268"/>
      <c r="W544" s="268"/>
      <c r="X544" s="268"/>
      <c r="Y544" s="268"/>
      <c r="Z544" s="268"/>
    </row>
    <row r="545" spans="1:26" ht="12.75" customHeight="1">
      <c r="A545" s="268"/>
      <c r="B545" s="268"/>
      <c r="C545" s="268"/>
      <c r="D545" s="268"/>
      <c r="E545" s="268"/>
      <c r="F545" s="268"/>
      <c r="G545" s="268"/>
      <c r="H545" s="268"/>
      <c r="I545" s="268"/>
      <c r="J545" s="268"/>
      <c r="K545" s="268"/>
      <c r="L545" s="268"/>
      <c r="M545" s="268"/>
      <c r="N545" s="268"/>
      <c r="O545" s="268"/>
      <c r="P545" s="268"/>
      <c r="Q545" s="268"/>
      <c r="R545" s="268"/>
      <c r="S545" s="268"/>
      <c r="T545" s="268"/>
      <c r="U545" s="268"/>
      <c r="V545" s="268"/>
      <c r="W545" s="268"/>
      <c r="X545" s="268"/>
      <c r="Y545" s="268"/>
      <c r="Z545" s="268"/>
    </row>
    <row r="546" spans="1:26" ht="12.75" customHeight="1">
      <c r="A546" s="268"/>
      <c r="B546" s="268"/>
      <c r="C546" s="268"/>
      <c r="D546" s="268"/>
      <c r="E546" s="268"/>
      <c r="F546" s="268"/>
      <c r="G546" s="268"/>
      <c r="H546" s="268"/>
      <c r="I546" s="268"/>
      <c r="J546" s="268"/>
      <c r="K546" s="268"/>
      <c r="L546" s="268"/>
      <c r="M546" s="268"/>
      <c r="N546" s="268"/>
      <c r="O546" s="268"/>
      <c r="P546" s="268"/>
      <c r="Q546" s="268"/>
      <c r="R546" s="268"/>
      <c r="S546" s="268"/>
      <c r="T546" s="268"/>
      <c r="U546" s="268"/>
      <c r="V546" s="268"/>
      <c r="W546" s="268"/>
      <c r="X546" s="268"/>
      <c r="Y546" s="268"/>
      <c r="Z546" s="268"/>
    </row>
    <row r="547" spans="1:26" ht="12.75" customHeight="1">
      <c r="A547" s="268"/>
      <c r="B547" s="268"/>
      <c r="C547" s="268"/>
      <c r="D547" s="268"/>
      <c r="E547" s="268"/>
      <c r="F547" s="268"/>
      <c r="G547" s="268"/>
      <c r="H547" s="268"/>
      <c r="I547" s="268"/>
      <c r="J547" s="268"/>
      <c r="K547" s="268"/>
      <c r="L547" s="268"/>
      <c r="M547" s="268"/>
      <c r="N547" s="268"/>
      <c r="O547" s="268"/>
      <c r="P547" s="268"/>
      <c r="Q547" s="268"/>
      <c r="R547" s="268"/>
      <c r="S547" s="268"/>
      <c r="T547" s="268"/>
      <c r="U547" s="268"/>
      <c r="V547" s="268"/>
      <c r="W547" s="268"/>
      <c r="X547" s="268"/>
      <c r="Y547" s="268"/>
      <c r="Z547" s="268"/>
    </row>
    <row r="548" spans="1:26" ht="12.75" customHeight="1">
      <c r="A548" s="268"/>
      <c r="B548" s="268"/>
      <c r="C548" s="268"/>
      <c r="D548" s="268"/>
      <c r="E548" s="268"/>
      <c r="F548" s="268"/>
      <c r="G548" s="268"/>
      <c r="H548" s="268"/>
      <c r="I548" s="268"/>
      <c r="J548" s="268"/>
      <c r="K548" s="268"/>
      <c r="L548" s="268"/>
      <c r="M548" s="268"/>
      <c r="N548" s="268"/>
      <c r="O548" s="268"/>
      <c r="P548" s="268"/>
      <c r="Q548" s="268"/>
      <c r="R548" s="268"/>
      <c r="S548" s="268"/>
      <c r="T548" s="268"/>
      <c r="U548" s="268"/>
      <c r="V548" s="268"/>
      <c r="W548" s="268"/>
      <c r="X548" s="268"/>
      <c r="Y548" s="268"/>
      <c r="Z548" s="268"/>
    </row>
    <row r="549" spans="1:26" ht="12.75" customHeight="1">
      <c r="A549" s="268"/>
      <c r="B549" s="268"/>
      <c r="C549" s="268"/>
      <c r="D549" s="268"/>
      <c r="E549" s="268"/>
      <c r="F549" s="268"/>
      <c r="G549" s="268"/>
      <c r="H549" s="268"/>
      <c r="I549" s="268"/>
      <c r="J549" s="268"/>
      <c r="K549" s="268"/>
      <c r="L549" s="268"/>
      <c r="M549" s="268"/>
      <c r="N549" s="268"/>
      <c r="O549" s="268"/>
      <c r="P549" s="268"/>
      <c r="Q549" s="268"/>
      <c r="R549" s="268"/>
      <c r="S549" s="268"/>
      <c r="T549" s="268"/>
      <c r="U549" s="268"/>
      <c r="V549" s="268"/>
      <c r="W549" s="268"/>
      <c r="X549" s="268"/>
      <c r="Y549" s="268"/>
      <c r="Z549" s="268"/>
    </row>
    <row r="550" spans="1:26" ht="12.75" customHeight="1">
      <c r="A550" s="268"/>
      <c r="B550" s="268"/>
      <c r="C550" s="268"/>
      <c r="D550" s="268"/>
      <c r="E550" s="268"/>
      <c r="F550" s="268"/>
      <c r="G550" s="268"/>
      <c r="H550" s="268"/>
      <c r="I550" s="268"/>
      <c r="J550" s="268"/>
      <c r="K550" s="268"/>
      <c r="L550" s="268"/>
      <c r="M550" s="268"/>
      <c r="N550" s="268"/>
      <c r="O550" s="268"/>
      <c r="P550" s="268"/>
      <c r="Q550" s="268"/>
      <c r="R550" s="268"/>
      <c r="S550" s="268"/>
      <c r="T550" s="268"/>
      <c r="U550" s="268"/>
      <c r="V550" s="268"/>
      <c r="W550" s="268"/>
      <c r="X550" s="268"/>
      <c r="Y550" s="268"/>
      <c r="Z550" s="268"/>
    </row>
    <row r="551" spans="1:26" ht="12.75" customHeight="1">
      <c r="A551" s="268"/>
      <c r="B551" s="268"/>
      <c r="C551" s="268"/>
      <c r="D551" s="268"/>
      <c r="E551" s="268"/>
      <c r="F551" s="268"/>
      <c r="G551" s="268"/>
      <c r="H551" s="268"/>
      <c r="I551" s="268"/>
      <c r="J551" s="268"/>
      <c r="K551" s="268"/>
      <c r="L551" s="268"/>
      <c r="M551" s="268"/>
      <c r="N551" s="268"/>
      <c r="O551" s="268"/>
      <c r="P551" s="268"/>
      <c r="Q551" s="268"/>
      <c r="R551" s="268"/>
      <c r="S551" s="268"/>
      <c r="T551" s="268"/>
      <c r="U551" s="268"/>
      <c r="V551" s="268"/>
      <c r="W551" s="268"/>
      <c r="X551" s="268"/>
      <c r="Y551" s="268"/>
      <c r="Z551" s="268"/>
    </row>
    <row r="552" spans="1:26" ht="12.75" customHeight="1">
      <c r="A552" s="268"/>
      <c r="B552" s="268"/>
      <c r="C552" s="268"/>
      <c r="D552" s="268"/>
      <c r="E552" s="268"/>
      <c r="F552" s="268"/>
      <c r="G552" s="268"/>
      <c r="H552" s="268"/>
      <c r="I552" s="268"/>
      <c r="J552" s="268"/>
      <c r="K552" s="268"/>
      <c r="L552" s="268"/>
      <c r="M552" s="268"/>
      <c r="N552" s="268"/>
      <c r="O552" s="268"/>
      <c r="P552" s="268"/>
      <c r="Q552" s="268"/>
      <c r="R552" s="268"/>
      <c r="S552" s="268"/>
      <c r="T552" s="268"/>
      <c r="U552" s="268"/>
      <c r="V552" s="268"/>
      <c r="W552" s="268"/>
      <c r="X552" s="268"/>
      <c r="Y552" s="268"/>
      <c r="Z552" s="268"/>
    </row>
    <row r="553" spans="1:26" ht="12.75" customHeight="1">
      <c r="A553" s="268"/>
      <c r="B553" s="268"/>
      <c r="C553" s="268"/>
      <c r="D553" s="268"/>
      <c r="E553" s="268"/>
      <c r="F553" s="268"/>
      <c r="G553" s="268"/>
      <c r="H553" s="268"/>
      <c r="I553" s="268"/>
      <c r="J553" s="268"/>
      <c r="K553" s="268"/>
      <c r="L553" s="268"/>
      <c r="M553" s="268"/>
      <c r="N553" s="268"/>
      <c r="O553" s="268"/>
      <c r="P553" s="268"/>
      <c r="Q553" s="268"/>
      <c r="R553" s="268"/>
      <c r="S553" s="268"/>
      <c r="T553" s="268"/>
      <c r="U553" s="268"/>
      <c r="V553" s="268"/>
      <c r="W553" s="268"/>
      <c r="X553" s="268"/>
      <c r="Y553" s="268"/>
      <c r="Z553" s="268"/>
    </row>
    <row r="554" spans="1:26" ht="12.75" customHeight="1">
      <c r="A554" s="268"/>
      <c r="B554" s="268"/>
      <c r="C554" s="268"/>
      <c r="D554" s="268"/>
      <c r="E554" s="268"/>
      <c r="F554" s="268"/>
      <c r="G554" s="268"/>
      <c r="H554" s="268"/>
      <c r="I554" s="268"/>
      <c r="J554" s="268"/>
      <c r="K554" s="268"/>
      <c r="L554" s="268"/>
      <c r="M554" s="268"/>
      <c r="N554" s="268"/>
      <c r="O554" s="268"/>
      <c r="P554" s="268"/>
      <c r="Q554" s="268"/>
      <c r="R554" s="268"/>
      <c r="S554" s="268"/>
      <c r="T554" s="268"/>
      <c r="U554" s="268"/>
      <c r="V554" s="268"/>
      <c r="W554" s="268"/>
      <c r="X554" s="268"/>
      <c r="Y554" s="268"/>
      <c r="Z554" s="268"/>
    </row>
    <row r="555" spans="1:26" ht="12.75" customHeight="1">
      <c r="A555" s="268"/>
      <c r="B555" s="268"/>
      <c r="C555" s="268"/>
      <c r="D555" s="268"/>
      <c r="E555" s="268"/>
      <c r="F555" s="268"/>
      <c r="G555" s="268"/>
      <c r="H555" s="268"/>
      <c r="I555" s="268"/>
      <c r="J555" s="268"/>
      <c r="K555" s="268"/>
      <c r="L555" s="268"/>
      <c r="M555" s="268"/>
      <c r="N555" s="268"/>
      <c r="O555" s="268"/>
      <c r="P555" s="268"/>
      <c r="Q555" s="268"/>
      <c r="R555" s="268"/>
      <c r="S555" s="268"/>
      <c r="T555" s="268"/>
      <c r="U555" s="268"/>
      <c r="V555" s="268"/>
      <c r="W555" s="268"/>
      <c r="X555" s="268"/>
      <c r="Y555" s="268"/>
      <c r="Z555" s="268"/>
    </row>
    <row r="556" spans="1:26" ht="12.75" customHeight="1">
      <c r="A556" s="268"/>
      <c r="B556" s="268"/>
      <c r="C556" s="268"/>
      <c r="D556" s="268"/>
      <c r="E556" s="268"/>
      <c r="F556" s="268"/>
      <c r="G556" s="268"/>
      <c r="H556" s="268"/>
      <c r="I556" s="268"/>
      <c r="J556" s="268"/>
      <c r="K556" s="268"/>
      <c r="L556" s="268"/>
      <c r="M556" s="268"/>
      <c r="N556" s="268"/>
      <c r="O556" s="268"/>
      <c r="P556" s="268"/>
      <c r="Q556" s="268"/>
      <c r="R556" s="268"/>
      <c r="S556" s="268"/>
      <c r="T556" s="268"/>
      <c r="U556" s="268"/>
      <c r="V556" s="268"/>
      <c r="W556" s="268"/>
      <c r="X556" s="268"/>
      <c r="Y556" s="268"/>
      <c r="Z556" s="268"/>
    </row>
    <row r="557" spans="1:26" ht="12.75" customHeight="1">
      <c r="A557" s="268"/>
      <c r="B557" s="268"/>
      <c r="C557" s="268"/>
      <c r="D557" s="268"/>
      <c r="E557" s="268"/>
      <c r="F557" s="268"/>
      <c r="G557" s="268"/>
      <c r="H557" s="268"/>
      <c r="I557" s="268"/>
      <c r="J557" s="268"/>
      <c r="K557" s="268"/>
      <c r="L557" s="268"/>
      <c r="M557" s="268"/>
      <c r="N557" s="268"/>
      <c r="O557" s="268"/>
      <c r="P557" s="268"/>
      <c r="Q557" s="268"/>
      <c r="R557" s="268"/>
      <c r="S557" s="268"/>
      <c r="T557" s="268"/>
      <c r="U557" s="268"/>
      <c r="V557" s="268"/>
      <c r="W557" s="268"/>
      <c r="X557" s="268"/>
      <c r="Y557" s="268"/>
      <c r="Z557" s="268"/>
    </row>
    <row r="558" spans="1:26" ht="12.75" customHeight="1">
      <c r="A558" s="268"/>
      <c r="B558" s="268"/>
      <c r="C558" s="268"/>
      <c r="D558" s="268"/>
      <c r="E558" s="268"/>
      <c r="F558" s="268"/>
      <c r="G558" s="268"/>
      <c r="H558" s="268"/>
      <c r="I558" s="268"/>
      <c r="J558" s="268"/>
      <c r="K558" s="268"/>
      <c r="L558" s="268"/>
      <c r="M558" s="268"/>
      <c r="N558" s="268"/>
      <c r="O558" s="268"/>
      <c r="P558" s="268"/>
      <c r="Q558" s="268"/>
      <c r="R558" s="268"/>
      <c r="S558" s="268"/>
      <c r="T558" s="268"/>
      <c r="U558" s="268"/>
      <c r="V558" s="268"/>
      <c r="W558" s="268"/>
      <c r="X558" s="268"/>
      <c r="Y558" s="268"/>
      <c r="Z558" s="268"/>
    </row>
    <row r="559" spans="1:26" ht="12.75" customHeight="1">
      <c r="A559" s="268"/>
      <c r="B559" s="268"/>
      <c r="C559" s="268"/>
      <c r="D559" s="268"/>
      <c r="E559" s="268"/>
      <c r="F559" s="268"/>
      <c r="G559" s="268"/>
      <c r="H559" s="268"/>
      <c r="I559" s="268"/>
      <c r="J559" s="268"/>
      <c r="K559" s="268"/>
      <c r="L559" s="268"/>
      <c r="M559" s="268"/>
      <c r="N559" s="268"/>
      <c r="O559" s="268"/>
      <c r="P559" s="268"/>
      <c r="Q559" s="268"/>
      <c r="R559" s="268"/>
      <c r="S559" s="268"/>
      <c r="T559" s="268"/>
      <c r="U559" s="268"/>
      <c r="V559" s="268"/>
      <c r="W559" s="268"/>
      <c r="X559" s="268"/>
      <c r="Y559" s="268"/>
      <c r="Z559" s="268"/>
    </row>
    <row r="560" spans="1:26" ht="12.75" customHeight="1">
      <c r="A560" s="268"/>
      <c r="B560" s="268"/>
      <c r="C560" s="268"/>
      <c r="D560" s="268"/>
      <c r="E560" s="268"/>
      <c r="F560" s="268"/>
      <c r="G560" s="268"/>
      <c r="H560" s="268"/>
      <c r="I560" s="268"/>
      <c r="J560" s="268"/>
      <c r="K560" s="268"/>
      <c r="L560" s="268"/>
      <c r="M560" s="268"/>
      <c r="N560" s="268"/>
      <c r="O560" s="268"/>
      <c r="P560" s="268"/>
      <c r="Q560" s="268"/>
      <c r="R560" s="268"/>
      <c r="S560" s="268"/>
      <c r="T560" s="268"/>
      <c r="U560" s="268"/>
      <c r="V560" s="268"/>
      <c r="W560" s="268"/>
      <c r="X560" s="268"/>
      <c r="Y560" s="268"/>
      <c r="Z560" s="268"/>
    </row>
    <row r="561" spans="1:26" ht="12.75" customHeight="1">
      <c r="A561" s="268"/>
      <c r="B561" s="268"/>
      <c r="C561" s="268"/>
      <c r="D561" s="268"/>
      <c r="E561" s="268"/>
      <c r="F561" s="268"/>
      <c r="G561" s="268"/>
      <c r="H561" s="268"/>
      <c r="I561" s="268"/>
      <c r="J561" s="268"/>
      <c r="K561" s="268"/>
      <c r="L561" s="268"/>
      <c r="M561" s="268"/>
      <c r="N561" s="268"/>
      <c r="O561" s="268"/>
      <c r="P561" s="268"/>
      <c r="Q561" s="268"/>
      <c r="R561" s="268"/>
      <c r="S561" s="268"/>
      <c r="T561" s="268"/>
      <c r="U561" s="268"/>
      <c r="V561" s="268"/>
      <c r="W561" s="268"/>
      <c r="X561" s="268"/>
      <c r="Y561" s="268"/>
      <c r="Z561" s="268"/>
    </row>
    <row r="562" spans="1:26" ht="12.75" customHeight="1">
      <c r="A562" s="268"/>
      <c r="B562" s="268"/>
      <c r="C562" s="268"/>
      <c r="D562" s="268"/>
      <c r="E562" s="268"/>
      <c r="F562" s="268"/>
      <c r="G562" s="268"/>
      <c r="H562" s="268"/>
      <c r="I562" s="268"/>
      <c r="J562" s="268"/>
      <c r="K562" s="268"/>
      <c r="L562" s="268"/>
      <c r="M562" s="268"/>
      <c r="N562" s="268"/>
      <c r="O562" s="268"/>
      <c r="P562" s="268"/>
      <c r="Q562" s="268"/>
      <c r="R562" s="268"/>
      <c r="S562" s="268"/>
      <c r="T562" s="268"/>
      <c r="U562" s="268"/>
      <c r="V562" s="268"/>
      <c r="W562" s="268"/>
      <c r="X562" s="268"/>
      <c r="Y562" s="268"/>
      <c r="Z562" s="268"/>
    </row>
    <row r="563" spans="1:26" ht="12.75" customHeight="1">
      <c r="A563" s="268"/>
      <c r="B563" s="268"/>
      <c r="C563" s="268"/>
      <c r="D563" s="268"/>
      <c r="E563" s="268"/>
      <c r="F563" s="268"/>
      <c r="G563" s="268"/>
      <c r="H563" s="268"/>
      <c r="I563" s="268"/>
      <c r="J563" s="268"/>
      <c r="K563" s="268"/>
      <c r="L563" s="268"/>
      <c r="M563" s="268"/>
      <c r="N563" s="268"/>
      <c r="O563" s="268"/>
      <c r="P563" s="268"/>
      <c r="Q563" s="268"/>
      <c r="R563" s="268"/>
      <c r="S563" s="268"/>
      <c r="T563" s="268"/>
      <c r="U563" s="268"/>
      <c r="V563" s="268"/>
      <c r="W563" s="268"/>
      <c r="X563" s="268"/>
      <c r="Y563" s="268"/>
      <c r="Z563" s="268"/>
    </row>
    <row r="564" spans="1:26" ht="12.75" customHeight="1">
      <c r="A564" s="268"/>
      <c r="B564" s="268"/>
      <c r="C564" s="268"/>
      <c r="D564" s="268"/>
      <c r="E564" s="268"/>
      <c r="F564" s="268"/>
      <c r="G564" s="268"/>
      <c r="H564" s="268"/>
      <c r="I564" s="268"/>
      <c r="J564" s="268"/>
      <c r="K564" s="268"/>
      <c r="L564" s="268"/>
      <c r="M564" s="268"/>
      <c r="N564" s="268"/>
      <c r="O564" s="268"/>
      <c r="P564" s="268"/>
      <c r="Q564" s="268"/>
      <c r="R564" s="268"/>
      <c r="S564" s="268"/>
      <c r="T564" s="268"/>
      <c r="U564" s="268"/>
      <c r="V564" s="268"/>
      <c r="W564" s="268"/>
      <c r="X564" s="268"/>
      <c r="Y564" s="268"/>
      <c r="Z564" s="268"/>
    </row>
    <row r="565" spans="1:26" ht="12.75" customHeight="1">
      <c r="A565" s="268"/>
      <c r="B565" s="268"/>
      <c r="C565" s="268"/>
      <c r="D565" s="268"/>
      <c r="E565" s="268"/>
      <c r="F565" s="268"/>
      <c r="G565" s="268"/>
      <c r="H565" s="268"/>
      <c r="I565" s="268"/>
      <c r="J565" s="268"/>
      <c r="K565" s="268"/>
      <c r="L565" s="268"/>
      <c r="M565" s="268"/>
      <c r="N565" s="268"/>
      <c r="O565" s="268"/>
      <c r="P565" s="268"/>
      <c r="Q565" s="268"/>
      <c r="R565" s="268"/>
      <c r="S565" s="268"/>
      <c r="T565" s="268"/>
      <c r="U565" s="268"/>
      <c r="V565" s="268"/>
      <c r="W565" s="268"/>
      <c r="X565" s="268"/>
      <c r="Y565" s="268"/>
      <c r="Z565" s="268"/>
    </row>
    <row r="566" spans="1:26" ht="12.75" customHeight="1">
      <c r="A566" s="268"/>
      <c r="B566" s="268"/>
      <c r="C566" s="268"/>
      <c r="D566" s="268"/>
      <c r="E566" s="268"/>
      <c r="F566" s="268"/>
      <c r="G566" s="268"/>
      <c r="H566" s="268"/>
      <c r="I566" s="268"/>
      <c r="J566" s="268"/>
      <c r="K566" s="268"/>
      <c r="L566" s="268"/>
      <c r="M566" s="268"/>
      <c r="N566" s="268"/>
      <c r="O566" s="268"/>
      <c r="P566" s="268"/>
      <c r="Q566" s="268"/>
      <c r="R566" s="268"/>
      <c r="S566" s="268"/>
      <c r="T566" s="268"/>
      <c r="U566" s="268"/>
      <c r="V566" s="268"/>
      <c r="W566" s="268"/>
      <c r="X566" s="268"/>
      <c r="Y566" s="268"/>
      <c r="Z566" s="268"/>
    </row>
    <row r="567" spans="1:26" ht="12.75" customHeight="1">
      <c r="A567" s="268"/>
      <c r="B567" s="268"/>
      <c r="C567" s="268"/>
      <c r="D567" s="268"/>
      <c r="E567" s="268"/>
      <c r="F567" s="268"/>
      <c r="G567" s="268"/>
      <c r="H567" s="268"/>
      <c r="I567" s="268"/>
      <c r="J567" s="268"/>
      <c r="K567" s="268"/>
      <c r="L567" s="268"/>
      <c r="M567" s="268"/>
      <c r="N567" s="268"/>
      <c r="O567" s="268"/>
      <c r="P567" s="268"/>
      <c r="Q567" s="268"/>
      <c r="R567" s="268"/>
      <c r="S567" s="268"/>
      <c r="T567" s="268"/>
      <c r="U567" s="268"/>
      <c r="V567" s="268"/>
      <c r="W567" s="268"/>
      <c r="X567" s="268"/>
      <c r="Y567" s="268"/>
      <c r="Z567" s="268"/>
    </row>
    <row r="568" spans="1:26" ht="12.75" customHeight="1">
      <c r="A568" s="268"/>
      <c r="B568" s="268"/>
      <c r="C568" s="268"/>
      <c r="D568" s="268"/>
      <c r="E568" s="268"/>
      <c r="F568" s="268"/>
      <c r="G568" s="268"/>
      <c r="H568" s="268"/>
      <c r="I568" s="268"/>
      <c r="J568" s="268"/>
      <c r="K568" s="268"/>
      <c r="L568" s="268"/>
      <c r="M568" s="268"/>
      <c r="N568" s="268"/>
      <c r="O568" s="268"/>
      <c r="P568" s="268"/>
      <c r="Q568" s="268"/>
      <c r="R568" s="268"/>
      <c r="S568" s="268"/>
      <c r="T568" s="268"/>
      <c r="U568" s="268"/>
      <c r="V568" s="268"/>
      <c r="W568" s="268"/>
      <c r="X568" s="268"/>
      <c r="Y568" s="268"/>
      <c r="Z568" s="268"/>
    </row>
    <row r="569" spans="1:26" ht="12.75" customHeight="1">
      <c r="A569" s="268"/>
      <c r="B569" s="268"/>
      <c r="C569" s="268"/>
      <c r="D569" s="268"/>
      <c r="E569" s="268"/>
      <c r="F569" s="268"/>
      <c r="G569" s="268"/>
      <c r="H569" s="268"/>
      <c r="I569" s="268"/>
      <c r="J569" s="268"/>
      <c r="K569" s="268"/>
      <c r="L569" s="268"/>
      <c r="M569" s="268"/>
      <c r="N569" s="268"/>
      <c r="O569" s="268"/>
      <c r="P569" s="268"/>
      <c r="Q569" s="268"/>
      <c r="R569" s="268"/>
      <c r="S569" s="268"/>
      <c r="T569" s="268"/>
      <c r="U569" s="268"/>
      <c r="V569" s="268"/>
      <c r="W569" s="268"/>
      <c r="X569" s="268"/>
      <c r="Y569" s="268"/>
      <c r="Z569" s="268"/>
    </row>
    <row r="570" spans="1:26" ht="12.75" customHeight="1">
      <c r="A570" s="268"/>
      <c r="B570" s="268"/>
      <c r="C570" s="268"/>
      <c r="D570" s="268"/>
      <c r="E570" s="268"/>
      <c r="F570" s="268"/>
      <c r="G570" s="268"/>
      <c r="H570" s="268"/>
      <c r="I570" s="268"/>
      <c r="J570" s="268"/>
      <c r="K570" s="268"/>
      <c r="L570" s="268"/>
      <c r="M570" s="268"/>
      <c r="N570" s="268"/>
      <c r="O570" s="268"/>
      <c r="P570" s="268"/>
      <c r="Q570" s="268"/>
      <c r="R570" s="268"/>
      <c r="S570" s="268"/>
      <c r="T570" s="268"/>
      <c r="U570" s="268"/>
      <c r="V570" s="268"/>
      <c r="W570" s="268"/>
      <c r="X570" s="268"/>
      <c r="Y570" s="268"/>
      <c r="Z570" s="268"/>
    </row>
    <row r="571" spans="1:26" ht="12.75" customHeight="1">
      <c r="A571" s="268"/>
      <c r="B571" s="268"/>
      <c r="C571" s="268"/>
      <c r="D571" s="268"/>
      <c r="E571" s="268"/>
      <c r="F571" s="268"/>
      <c r="G571" s="268"/>
      <c r="H571" s="268"/>
      <c r="I571" s="268"/>
      <c r="J571" s="268"/>
      <c r="K571" s="268"/>
      <c r="L571" s="268"/>
      <c r="M571" s="268"/>
      <c r="N571" s="268"/>
      <c r="O571" s="268"/>
      <c r="P571" s="268"/>
      <c r="Q571" s="268"/>
      <c r="R571" s="268"/>
      <c r="S571" s="268"/>
      <c r="T571" s="268"/>
      <c r="U571" s="268"/>
      <c r="V571" s="268"/>
      <c r="W571" s="268"/>
      <c r="X571" s="268"/>
      <c r="Y571" s="268"/>
      <c r="Z571" s="268"/>
    </row>
    <row r="572" spans="1:26" ht="12.75" customHeight="1">
      <c r="A572" s="268"/>
      <c r="B572" s="268"/>
      <c r="C572" s="268"/>
      <c r="D572" s="268"/>
      <c r="E572" s="268"/>
      <c r="F572" s="268"/>
      <c r="G572" s="268"/>
      <c r="H572" s="268"/>
      <c r="I572" s="268"/>
      <c r="J572" s="268"/>
      <c r="K572" s="268"/>
      <c r="L572" s="268"/>
      <c r="M572" s="268"/>
      <c r="N572" s="268"/>
      <c r="O572" s="268"/>
      <c r="P572" s="268"/>
      <c r="Q572" s="268"/>
      <c r="R572" s="268"/>
      <c r="S572" s="268"/>
      <c r="T572" s="268"/>
      <c r="U572" s="268"/>
      <c r="V572" s="268"/>
      <c r="W572" s="268"/>
      <c r="X572" s="268"/>
      <c r="Y572" s="268"/>
      <c r="Z572" s="268"/>
    </row>
    <row r="573" spans="1:26" ht="12.75" customHeight="1">
      <c r="A573" s="268"/>
      <c r="B573" s="268"/>
      <c r="C573" s="268"/>
      <c r="D573" s="268"/>
      <c r="E573" s="268"/>
      <c r="F573" s="268"/>
      <c r="G573" s="268"/>
      <c r="H573" s="268"/>
      <c r="I573" s="268"/>
      <c r="J573" s="268"/>
      <c r="K573" s="268"/>
      <c r="L573" s="268"/>
      <c r="M573" s="268"/>
      <c r="N573" s="268"/>
      <c r="O573" s="268"/>
      <c r="P573" s="268"/>
      <c r="Q573" s="268"/>
      <c r="R573" s="268"/>
      <c r="S573" s="268"/>
      <c r="T573" s="268"/>
      <c r="U573" s="268"/>
      <c r="V573" s="268"/>
      <c r="W573" s="268"/>
      <c r="X573" s="268"/>
      <c r="Y573" s="268"/>
      <c r="Z573" s="268"/>
    </row>
    <row r="574" spans="1:26" ht="12.75" customHeight="1">
      <c r="A574" s="268"/>
      <c r="B574" s="268"/>
      <c r="C574" s="268"/>
      <c r="D574" s="268"/>
      <c r="E574" s="268"/>
      <c r="F574" s="268"/>
      <c r="G574" s="268"/>
      <c r="H574" s="268"/>
      <c r="I574" s="268"/>
      <c r="J574" s="268"/>
      <c r="K574" s="268"/>
      <c r="L574" s="268"/>
      <c r="M574" s="268"/>
      <c r="N574" s="268"/>
      <c r="O574" s="268"/>
      <c r="P574" s="268"/>
      <c r="Q574" s="268"/>
      <c r="R574" s="268"/>
      <c r="S574" s="268"/>
      <c r="T574" s="268"/>
      <c r="U574" s="268"/>
      <c r="V574" s="268"/>
      <c r="W574" s="268"/>
      <c r="X574" s="268"/>
      <c r="Y574" s="268"/>
      <c r="Z574" s="268"/>
    </row>
    <row r="575" spans="1:26" ht="12.75" customHeight="1">
      <c r="A575" s="268"/>
      <c r="B575" s="268"/>
      <c r="C575" s="268"/>
      <c r="D575" s="268"/>
      <c r="E575" s="268"/>
      <c r="F575" s="268"/>
      <c r="G575" s="268"/>
      <c r="H575" s="268"/>
      <c r="I575" s="268"/>
      <c r="J575" s="268"/>
      <c r="K575" s="268"/>
      <c r="L575" s="268"/>
      <c r="M575" s="268"/>
      <c r="N575" s="268"/>
      <c r="O575" s="268"/>
      <c r="P575" s="268"/>
      <c r="Q575" s="268"/>
      <c r="R575" s="268"/>
      <c r="S575" s="268"/>
      <c r="T575" s="268"/>
      <c r="U575" s="268"/>
      <c r="V575" s="268"/>
      <c r="W575" s="268"/>
      <c r="X575" s="268"/>
      <c r="Y575" s="268"/>
      <c r="Z575" s="268"/>
    </row>
    <row r="576" spans="1:26" ht="12.75" customHeight="1">
      <c r="A576" s="268"/>
      <c r="B576" s="268"/>
      <c r="C576" s="268"/>
      <c r="D576" s="268"/>
      <c r="E576" s="268"/>
      <c r="F576" s="268"/>
      <c r="G576" s="268"/>
      <c r="H576" s="268"/>
      <c r="I576" s="268"/>
      <c r="J576" s="268"/>
      <c r="K576" s="268"/>
      <c r="L576" s="268"/>
      <c r="M576" s="268"/>
      <c r="N576" s="268"/>
      <c r="O576" s="268"/>
      <c r="P576" s="268"/>
      <c r="Q576" s="268"/>
      <c r="R576" s="268"/>
      <c r="S576" s="268"/>
      <c r="T576" s="268"/>
      <c r="U576" s="268"/>
      <c r="V576" s="268"/>
      <c r="W576" s="268"/>
      <c r="X576" s="268"/>
      <c r="Y576" s="268"/>
      <c r="Z576" s="268"/>
    </row>
    <row r="577" spans="1:26" ht="12.75" customHeight="1">
      <c r="A577" s="268"/>
      <c r="B577" s="268"/>
      <c r="C577" s="268"/>
      <c r="D577" s="268"/>
      <c r="E577" s="268"/>
      <c r="F577" s="268"/>
      <c r="G577" s="268"/>
      <c r="H577" s="268"/>
      <c r="I577" s="268"/>
      <c r="J577" s="268"/>
      <c r="K577" s="268"/>
      <c r="L577" s="268"/>
      <c r="M577" s="268"/>
      <c r="N577" s="268"/>
      <c r="O577" s="268"/>
      <c r="P577" s="268"/>
      <c r="Q577" s="268"/>
      <c r="R577" s="268"/>
      <c r="S577" s="268"/>
      <c r="T577" s="268"/>
      <c r="U577" s="268"/>
      <c r="V577" s="268"/>
      <c r="W577" s="268"/>
      <c r="X577" s="268"/>
      <c r="Y577" s="268"/>
      <c r="Z577" s="268"/>
    </row>
    <row r="578" spans="1:26" ht="12.75" customHeight="1">
      <c r="A578" s="268"/>
      <c r="B578" s="268"/>
      <c r="C578" s="268"/>
      <c r="D578" s="268"/>
      <c r="E578" s="268"/>
      <c r="F578" s="268"/>
      <c r="G578" s="268"/>
      <c r="H578" s="268"/>
      <c r="I578" s="268"/>
      <c r="J578" s="268"/>
      <c r="K578" s="268"/>
      <c r="L578" s="268"/>
      <c r="M578" s="268"/>
      <c r="N578" s="268"/>
      <c r="O578" s="268"/>
      <c r="P578" s="268"/>
      <c r="Q578" s="268"/>
      <c r="R578" s="268"/>
      <c r="S578" s="268"/>
      <c r="T578" s="268"/>
      <c r="U578" s="268"/>
      <c r="V578" s="268"/>
      <c r="W578" s="268"/>
      <c r="X578" s="268"/>
      <c r="Y578" s="268"/>
      <c r="Z578" s="268"/>
    </row>
    <row r="579" spans="1:26" ht="12.75" customHeight="1">
      <c r="A579" s="268"/>
      <c r="B579" s="268"/>
      <c r="C579" s="268"/>
      <c r="D579" s="268"/>
      <c r="E579" s="268"/>
      <c r="F579" s="268"/>
      <c r="G579" s="268"/>
      <c r="H579" s="268"/>
      <c r="I579" s="268"/>
      <c r="J579" s="268"/>
      <c r="K579" s="268"/>
      <c r="L579" s="268"/>
      <c r="M579" s="268"/>
      <c r="N579" s="268"/>
      <c r="O579" s="268"/>
      <c r="P579" s="268"/>
      <c r="Q579" s="268"/>
      <c r="R579" s="268"/>
      <c r="S579" s="268"/>
      <c r="T579" s="268"/>
      <c r="U579" s="268"/>
      <c r="V579" s="268"/>
      <c r="W579" s="268"/>
      <c r="X579" s="268"/>
      <c r="Y579" s="268"/>
      <c r="Z579" s="268"/>
    </row>
    <row r="580" spans="1:26" ht="12.75" customHeight="1">
      <c r="A580" s="268"/>
      <c r="B580" s="268"/>
      <c r="C580" s="268"/>
      <c r="D580" s="268"/>
      <c r="E580" s="268"/>
      <c r="F580" s="268"/>
      <c r="G580" s="268"/>
      <c r="H580" s="268"/>
      <c r="I580" s="268"/>
      <c r="J580" s="268"/>
      <c r="K580" s="268"/>
      <c r="L580" s="268"/>
      <c r="M580" s="268"/>
      <c r="N580" s="268"/>
      <c r="O580" s="268"/>
      <c r="P580" s="268"/>
      <c r="Q580" s="268"/>
      <c r="R580" s="268"/>
      <c r="S580" s="268"/>
      <c r="T580" s="268"/>
      <c r="U580" s="268"/>
      <c r="V580" s="268"/>
      <c r="W580" s="268"/>
      <c r="X580" s="268"/>
      <c r="Y580" s="268"/>
      <c r="Z580" s="268"/>
    </row>
    <row r="581" spans="1:26" ht="12.75" customHeight="1">
      <c r="A581" s="268"/>
      <c r="B581" s="268"/>
      <c r="C581" s="268"/>
      <c r="D581" s="268"/>
      <c r="E581" s="268"/>
      <c r="F581" s="268"/>
      <c r="G581" s="268"/>
      <c r="H581" s="268"/>
      <c r="I581" s="268"/>
      <c r="J581" s="268"/>
      <c r="K581" s="268"/>
      <c r="L581" s="268"/>
      <c r="M581" s="268"/>
      <c r="N581" s="268"/>
      <c r="O581" s="268"/>
      <c r="P581" s="268"/>
      <c r="Q581" s="268"/>
      <c r="R581" s="268"/>
      <c r="S581" s="268"/>
      <c r="T581" s="268"/>
      <c r="U581" s="268"/>
      <c r="V581" s="268"/>
      <c r="W581" s="268"/>
      <c r="X581" s="268"/>
      <c r="Y581" s="268"/>
      <c r="Z581" s="268"/>
    </row>
    <row r="582" spans="1:26" ht="12.75" customHeight="1">
      <c r="A582" s="268"/>
      <c r="B582" s="268"/>
      <c r="C582" s="268"/>
      <c r="D582" s="268"/>
      <c r="E582" s="268"/>
      <c r="F582" s="268"/>
      <c r="G582" s="268"/>
      <c r="H582" s="268"/>
      <c r="I582" s="268"/>
      <c r="J582" s="268"/>
      <c r="K582" s="268"/>
      <c r="L582" s="268"/>
      <c r="M582" s="268"/>
      <c r="N582" s="268"/>
      <c r="O582" s="268"/>
      <c r="P582" s="268"/>
      <c r="Q582" s="268"/>
      <c r="R582" s="268"/>
      <c r="S582" s="268"/>
      <c r="T582" s="268"/>
      <c r="U582" s="268"/>
      <c r="V582" s="268"/>
      <c r="W582" s="268"/>
      <c r="X582" s="268"/>
      <c r="Y582" s="268"/>
      <c r="Z582" s="268"/>
    </row>
    <row r="583" spans="1:26" ht="12.75" customHeight="1">
      <c r="A583" s="268"/>
      <c r="B583" s="268"/>
      <c r="C583" s="268"/>
      <c r="D583" s="268"/>
      <c r="E583" s="268"/>
      <c r="F583" s="268"/>
      <c r="G583" s="268"/>
      <c r="H583" s="268"/>
      <c r="I583" s="268"/>
      <c r="J583" s="268"/>
      <c r="K583" s="268"/>
      <c r="L583" s="268"/>
      <c r="M583" s="268"/>
      <c r="N583" s="268"/>
      <c r="O583" s="268"/>
      <c r="P583" s="268"/>
      <c r="Q583" s="268"/>
      <c r="R583" s="268"/>
      <c r="S583" s="268"/>
      <c r="T583" s="268"/>
      <c r="U583" s="268"/>
      <c r="V583" s="268"/>
      <c r="W583" s="268"/>
      <c r="X583" s="268"/>
      <c r="Y583" s="268"/>
      <c r="Z583" s="268"/>
    </row>
    <row r="584" spans="1:26" ht="12.75" customHeight="1">
      <c r="A584" s="268"/>
      <c r="B584" s="268"/>
      <c r="C584" s="268"/>
      <c r="D584" s="268"/>
      <c r="E584" s="268"/>
      <c r="F584" s="268"/>
      <c r="G584" s="268"/>
      <c r="H584" s="268"/>
      <c r="I584" s="268"/>
      <c r="J584" s="268"/>
      <c r="K584" s="268"/>
      <c r="L584" s="268"/>
      <c r="M584" s="268"/>
      <c r="N584" s="268"/>
      <c r="O584" s="268"/>
      <c r="P584" s="268"/>
      <c r="Q584" s="268"/>
      <c r="R584" s="268"/>
      <c r="S584" s="268"/>
      <c r="T584" s="268"/>
      <c r="U584" s="268"/>
      <c r="V584" s="268"/>
      <c r="W584" s="268"/>
      <c r="X584" s="268"/>
      <c r="Y584" s="268"/>
      <c r="Z584" s="268"/>
    </row>
    <row r="585" spans="1:26" ht="12.75" customHeight="1">
      <c r="A585" s="268"/>
      <c r="B585" s="268"/>
      <c r="C585" s="268"/>
      <c r="D585" s="268"/>
      <c r="E585" s="268"/>
      <c r="F585" s="268"/>
      <c r="G585" s="268"/>
      <c r="H585" s="268"/>
      <c r="I585" s="268"/>
      <c r="J585" s="268"/>
      <c r="K585" s="268"/>
      <c r="L585" s="268"/>
      <c r="M585" s="268"/>
      <c r="N585" s="268"/>
      <c r="O585" s="268"/>
      <c r="P585" s="268"/>
      <c r="Q585" s="268"/>
      <c r="R585" s="268"/>
      <c r="S585" s="268"/>
      <c r="T585" s="268"/>
      <c r="U585" s="268"/>
      <c r="V585" s="268"/>
      <c r="W585" s="268"/>
      <c r="X585" s="268"/>
      <c r="Y585" s="268"/>
      <c r="Z585" s="268"/>
    </row>
    <row r="586" spans="1:26" ht="12.75" customHeight="1">
      <c r="A586" s="268"/>
      <c r="B586" s="268"/>
      <c r="C586" s="268"/>
      <c r="D586" s="268"/>
      <c r="E586" s="268"/>
      <c r="F586" s="268"/>
      <c r="G586" s="268"/>
      <c r="H586" s="268"/>
      <c r="I586" s="268"/>
      <c r="J586" s="268"/>
      <c r="K586" s="268"/>
      <c r="L586" s="268"/>
      <c r="M586" s="268"/>
      <c r="N586" s="268"/>
      <c r="O586" s="268"/>
      <c r="P586" s="268"/>
      <c r="Q586" s="268"/>
      <c r="R586" s="268"/>
      <c r="S586" s="268"/>
      <c r="T586" s="268"/>
      <c r="U586" s="268"/>
      <c r="V586" s="268"/>
      <c r="W586" s="268"/>
      <c r="X586" s="268"/>
      <c r="Y586" s="268"/>
      <c r="Z586" s="268"/>
    </row>
    <row r="587" spans="1:26" ht="12.75" customHeight="1">
      <c r="A587" s="268"/>
      <c r="B587" s="268"/>
      <c r="C587" s="268"/>
      <c r="D587" s="268"/>
      <c r="E587" s="268"/>
      <c r="F587" s="268"/>
      <c r="G587" s="268"/>
      <c r="H587" s="268"/>
      <c r="I587" s="268"/>
      <c r="J587" s="268"/>
      <c r="K587" s="268"/>
      <c r="L587" s="268"/>
      <c r="M587" s="268"/>
      <c r="N587" s="268"/>
      <c r="O587" s="268"/>
      <c r="P587" s="268"/>
      <c r="Q587" s="268"/>
      <c r="R587" s="268"/>
      <c r="S587" s="268"/>
      <c r="T587" s="268"/>
      <c r="U587" s="268"/>
      <c r="V587" s="268"/>
      <c r="W587" s="268"/>
      <c r="X587" s="268"/>
      <c r="Y587" s="268"/>
      <c r="Z587" s="268"/>
    </row>
    <row r="588" spans="1:26" ht="12.75" customHeight="1">
      <c r="A588" s="268"/>
      <c r="B588" s="268"/>
      <c r="C588" s="268"/>
      <c r="D588" s="268"/>
      <c r="E588" s="268"/>
      <c r="F588" s="268"/>
      <c r="G588" s="268"/>
      <c r="H588" s="268"/>
      <c r="I588" s="268"/>
      <c r="J588" s="268"/>
      <c r="K588" s="268"/>
      <c r="L588" s="268"/>
      <c r="M588" s="268"/>
      <c r="N588" s="268"/>
      <c r="O588" s="268"/>
      <c r="P588" s="268"/>
      <c r="Q588" s="268"/>
      <c r="R588" s="268"/>
      <c r="S588" s="268"/>
      <c r="T588" s="268"/>
      <c r="U588" s="268"/>
      <c r="V588" s="268"/>
      <c r="W588" s="268"/>
      <c r="X588" s="268"/>
      <c r="Y588" s="268"/>
      <c r="Z588" s="268"/>
    </row>
    <row r="589" spans="1:26" ht="12.75" customHeight="1">
      <c r="A589" s="268"/>
      <c r="B589" s="268"/>
      <c r="C589" s="268"/>
      <c r="D589" s="268"/>
      <c r="E589" s="268"/>
      <c r="F589" s="268"/>
      <c r="G589" s="268"/>
      <c r="H589" s="268"/>
      <c r="I589" s="268"/>
      <c r="J589" s="268"/>
      <c r="K589" s="268"/>
      <c r="L589" s="268"/>
      <c r="M589" s="268"/>
      <c r="N589" s="268"/>
      <c r="O589" s="268"/>
      <c r="P589" s="268"/>
      <c r="Q589" s="268"/>
      <c r="R589" s="268"/>
      <c r="S589" s="268"/>
      <c r="T589" s="268"/>
      <c r="U589" s="268"/>
      <c r="V589" s="268"/>
      <c r="W589" s="268"/>
      <c r="X589" s="268"/>
      <c r="Y589" s="268"/>
      <c r="Z589" s="268"/>
    </row>
    <row r="590" spans="1:26" ht="12.75" customHeight="1">
      <c r="A590" s="268"/>
      <c r="B590" s="268"/>
      <c r="C590" s="268"/>
      <c r="D590" s="268"/>
      <c r="E590" s="268"/>
      <c r="F590" s="268"/>
      <c r="G590" s="268"/>
      <c r="H590" s="268"/>
      <c r="I590" s="268"/>
      <c r="J590" s="268"/>
      <c r="K590" s="268"/>
      <c r="L590" s="268"/>
      <c r="M590" s="268"/>
      <c r="N590" s="268"/>
      <c r="O590" s="268"/>
      <c r="P590" s="268"/>
      <c r="Q590" s="268"/>
      <c r="R590" s="268"/>
      <c r="S590" s="268"/>
      <c r="T590" s="268"/>
      <c r="U590" s="268"/>
      <c r="V590" s="268"/>
      <c r="W590" s="268"/>
      <c r="X590" s="268"/>
      <c r="Y590" s="268"/>
      <c r="Z590" s="268"/>
    </row>
    <row r="591" spans="1:26" ht="12.75" customHeight="1">
      <c r="A591" s="268"/>
      <c r="B591" s="268"/>
      <c r="C591" s="268"/>
      <c r="D591" s="268"/>
      <c r="E591" s="268"/>
      <c r="F591" s="268"/>
      <c r="G591" s="268"/>
      <c r="H591" s="268"/>
      <c r="I591" s="268"/>
      <c r="J591" s="268"/>
      <c r="K591" s="268"/>
      <c r="L591" s="268"/>
      <c r="M591" s="268"/>
      <c r="N591" s="268"/>
      <c r="O591" s="268"/>
      <c r="P591" s="268"/>
      <c r="Q591" s="268"/>
      <c r="R591" s="268"/>
      <c r="S591" s="268"/>
      <c r="T591" s="268"/>
      <c r="U591" s="268"/>
      <c r="V591" s="268"/>
      <c r="W591" s="268"/>
      <c r="X591" s="268"/>
      <c r="Y591" s="268"/>
      <c r="Z591" s="268"/>
    </row>
    <row r="592" spans="1:26" ht="12.75" customHeight="1">
      <c r="A592" s="268"/>
      <c r="B592" s="268"/>
      <c r="C592" s="268"/>
      <c r="D592" s="268"/>
      <c r="E592" s="268"/>
      <c r="F592" s="268"/>
      <c r="G592" s="268"/>
      <c r="H592" s="268"/>
      <c r="I592" s="268"/>
      <c r="J592" s="268"/>
      <c r="K592" s="268"/>
      <c r="L592" s="268"/>
      <c r="M592" s="268"/>
      <c r="N592" s="268"/>
      <c r="O592" s="268"/>
      <c r="P592" s="268"/>
      <c r="Q592" s="268"/>
      <c r="R592" s="268"/>
      <c r="S592" s="268"/>
      <c r="T592" s="268"/>
      <c r="U592" s="268"/>
      <c r="V592" s="268"/>
      <c r="W592" s="268"/>
      <c r="X592" s="268"/>
      <c r="Y592" s="268"/>
      <c r="Z592" s="268"/>
    </row>
    <row r="593" spans="1:26" ht="12.75" customHeight="1">
      <c r="A593" s="268"/>
      <c r="B593" s="268"/>
      <c r="C593" s="268"/>
      <c r="D593" s="268"/>
      <c r="E593" s="268"/>
      <c r="F593" s="268"/>
      <c r="G593" s="268"/>
      <c r="H593" s="268"/>
      <c r="I593" s="268"/>
      <c r="J593" s="268"/>
      <c r="K593" s="268"/>
      <c r="L593" s="268"/>
      <c r="M593" s="268"/>
      <c r="N593" s="268"/>
      <c r="O593" s="268"/>
      <c r="P593" s="268"/>
      <c r="Q593" s="268"/>
      <c r="R593" s="268"/>
      <c r="S593" s="268"/>
      <c r="T593" s="268"/>
      <c r="U593" s="268"/>
      <c r="V593" s="268"/>
      <c r="W593" s="268"/>
      <c r="X593" s="268"/>
      <c r="Y593" s="268"/>
      <c r="Z593" s="268"/>
    </row>
    <row r="594" spans="1:26" ht="12.75" customHeight="1">
      <c r="A594" s="268"/>
      <c r="B594" s="268"/>
      <c r="C594" s="268"/>
      <c r="D594" s="268"/>
      <c r="E594" s="268"/>
      <c r="F594" s="268"/>
      <c r="G594" s="268"/>
      <c r="H594" s="268"/>
      <c r="I594" s="268"/>
      <c r="J594" s="268"/>
      <c r="K594" s="268"/>
      <c r="L594" s="268"/>
      <c r="M594" s="268"/>
      <c r="N594" s="268"/>
      <c r="O594" s="268"/>
      <c r="P594" s="268"/>
      <c r="Q594" s="268"/>
      <c r="R594" s="268"/>
      <c r="S594" s="268"/>
      <c r="T594" s="268"/>
      <c r="U594" s="268"/>
      <c r="V594" s="268"/>
      <c r="W594" s="268"/>
      <c r="X594" s="268"/>
      <c r="Y594" s="268"/>
      <c r="Z594" s="268"/>
    </row>
    <row r="595" spans="1:26" ht="12.75" customHeight="1">
      <c r="A595" s="268"/>
      <c r="B595" s="268"/>
      <c r="C595" s="268"/>
      <c r="D595" s="268"/>
      <c r="E595" s="268"/>
      <c r="F595" s="268"/>
      <c r="G595" s="268"/>
      <c r="H595" s="268"/>
      <c r="I595" s="268"/>
      <c r="J595" s="268"/>
      <c r="K595" s="268"/>
      <c r="L595" s="268"/>
      <c r="M595" s="268"/>
      <c r="N595" s="268"/>
      <c r="O595" s="268"/>
      <c r="P595" s="268"/>
      <c r="Q595" s="268"/>
      <c r="R595" s="268"/>
      <c r="S595" s="268"/>
      <c r="T595" s="268"/>
      <c r="U595" s="268"/>
      <c r="V595" s="268"/>
      <c r="W595" s="268"/>
      <c r="X595" s="268"/>
      <c r="Y595" s="268"/>
      <c r="Z595" s="268"/>
    </row>
    <row r="596" spans="1:26" ht="12.75" customHeight="1">
      <c r="A596" s="268"/>
      <c r="B596" s="268"/>
      <c r="C596" s="268"/>
      <c r="D596" s="268"/>
      <c r="E596" s="268"/>
      <c r="F596" s="268"/>
      <c r="G596" s="268"/>
      <c r="H596" s="268"/>
      <c r="I596" s="268"/>
      <c r="J596" s="268"/>
      <c r="K596" s="268"/>
      <c r="L596" s="268"/>
      <c r="M596" s="268"/>
      <c r="N596" s="268"/>
      <c r="O596" s="268"/>
      <c r="P596" s="268"/>
      <c r="Q596" s="268"/>
      <c r="R596" s="268"/>
      <c r="S596" s="268"/>
      <c r="T596" s="268"/>
      <c r="U596" s="268"/>
      <c r="V596" s="268"/>
      <c r="W596" s="268"/>
      <c r="X596" s="268"/>
      <c r="Y596" s="268"/>
      <c r="Z596" s="268"/>
    </row>
    <row r="597" spans="1:26" ht="12.75" customHeight="1">
      <c r="A597" s="268"/>
      <c r="B597" s="268"/>
      <c r="C597" s="268"/>
      <c r="D597" s="268"/>
      <c r="E597" s="268"/>
      <c r="F597" s="268"/>
      <c r="G597" s="268"/>
      <c r="H597" s="268"/>
      <c r="I597" s="268"/>
      <c r="J597" s="268"/>
      <c r="K597" s="268"/>
      <c r="L597" s="268"/>
      <c r="M597" s="268"/>
      <c r="N597" s="268"/>
      <c r="O597" s="268"/>
      <c r="P597" s="268"/>
      <c r="Q597" s="268"/>
      <c r="R597" s="268"/>
      <c r="S597" s="268"/>
      <c r="T597" s="268"/>
      <c r="U597" s="268"/>
      <c r="V597" s="268"/>
      <c r="W597" s="268"/>
      <c r="X597" s="268"/>
      <c r="Y597" s="268"/>
      <c r="Z597" s="268"/>
    </row>
    <row r="598" spans="1:26" ht="12.75" customHeight="1">
      <c r="A598" s="268"/>
      <c r="B598" s="268"/>
      <c r="C598" s="268"/>
      <c r="D598" s="268"/>
      <c r="E598" s="268"/>
      <c r="F598" s="268"/>
      <c r="G598" s="268"/>
      <c r="H598" s="268"/>
      <c r="I598" s="268"/>
      <c r="J598" s="268"/>
      <c r="K598" s="268"/>
      <c r="L598" s="268"/>
      <c r="M598" s="268"/>
      <c r="N598" s="268"/>
      <c r="O598" s="268"/>
      <c r="P598" s="268"/>
      <c r="Q598" s="268"/>
      <c r="R598" s="268"/>
      <c r="S598" s="268"/>
      <c r="T598" s="268"/>
      <c r="U598" s="268"/>
      <c r="V598" s="268"/>
      <c r="W598" s="268"/>
      <c r="X598" s="268"/>
      <c r="Y598" s="268"/>
      <c r="Z598" s="268"/>
    </row>
    <row r="599" spans="1:26" ht="12.75" customHeight="1">
      <c r="A599" s="268"/>
      <c r="B599" s="268"/>
      <c r="C599" s="268"/>
      <c r="D599" s="268"/>
      <c r="E599" s="268"/>
      <c r="F599" s="268"/>
      <c r="G599" s="268"/>
      <c r="H599" s="268"/>
      <c r="I599" s="268"/>
      <c r="J599" s="268"/>
      <c r="K599" s="268"/>
      <c r="L599" s="268"/>
      <c r="M599" s="268"/>
      <c r="N599" s="268"/>
      <c r="O599" s="268"/>
      <c r="P599" s="268"/>
      <c r="Q599" s="268"/>
      <c r="R599" s="268"/>
      <c r="S599" s="268"/>
      <c r="T599" s="268"/>
      <c r="U599" s="268"/>
      <c r="V599" s="268"/>
      <c r="W599" s="268"/>
      <c r="X599" s="268"/>
      <c r="Y599" s="268"/>
      <c r="Z599" s="268"/>
    </row>
    <row r="600" spans="1:26" ht="12.75" customHeight="1">
      <c r="A600" s="268"/>
      <c r="B600" s="268"/>
      <c r="C600" s="268"/>
      <c r="D600" s="268"/>
      <c r="E600" s="268"/>
      <c r="F600" s="268"/>
      <c r="G600" s="268"/>
      <c r="H600" s="268"/>
      <c r="I600" s="268"/>
      <c r="J600" s="268"/>
      <c r="K600" s="268"/>
      <c r="L600" s="268"/>
      <c r="M600" s="268"/>
      <c r="N600" s="268"/>
      <c r="O600" s="268"/>
      <c r="P600" s="268"/>
      <c r="Q600" s="268"/>
      <c r="R600" s="268"/>
      <c r="S600" s="268"/>
      <c r="T600" s="268"/>
      <c r="U600" s="268"/>
      <c r="V600" s="268"/>
      <c r="W600" s="268"/>
      <c r="X600" s="268"/>
      <c r="Y600" s="268"/>
      <c r="Z600" s="268"/>
    </row>
    <row r="601" spans="1:26" ht="12.75" customHeight="1">
      <c r="A601" s="268"/>
      <c r="B601" s="268"/>
      <c r="C601" s="268"/>
      <c r="D601" s="268"/>
      <c r="E601" s="268"/>
      <c r="F601" s="268"/>
      <c r="G601" s="268"/>
      <c r="H601" s="268"/>
      <c r="I601" s="268"/>
      <c r="J601" s="268"/>
      <c r="K601" s="268"/>
      <c r="L601" s="268"/>
      <c r="M601" s="268"/>
      <c r="N601" s="268"/>
      <c r="O601" s="268"/>
      <c r="P601" s="268"/>
      <c r="Q601" s="268"/>
      <c r="R601" s="268"/>
      <c r="S601" s="268"/>
      <c r="T601" s="268"/>
      <c r="U601" s="268"/>
      <c r="V601" s="268"/>
      <c r="W601" s="268"/>
      <c r="X601" s="268"/>
      <c r="Y601" s="268"/>
      <c r="Z601" s="268"/>
    </row>
    <row r="602" spans="1:26" ht="12.75" customHeight="1">
      <c r="A602" s="268"/>
      <c r="B602" s="268"/>
      <c r="C602" s="268"/>
      <c r="D602" s="268"/>
      <c r="E602" s="268"/>
      <c r="F602" s="268"/>
      <c r="G602" s="268"/>
      <c r="H602" s="268"/>
      <c r="I602" s="268"/>
      <c r="J602" s="268"/>
      <c r="K602" s="268"/>
      <c r="L602" s="268"/>
      <c r="M602" s="268"/>
      <c r="N602" s="268"/>
      <c r="O602" s="268"/>
      <c r="P602" s="268"/>
      <c r="Q602" s="268"/>
      <c r="R602" s="268"/>
      <c r="S602" s="268"/>
      <c r="T602" s="268"/>
      <c r="U602" s="268"/>
      <c r="V602" s="268"/>
      <c r="W602" s="268"/>
      <c r="X602" s="268"/>
      <c r="Y602" s="268"/>
      <c r="Z602" s="268"/>
    </row>
    <row r="603" spans="1:26" ht="12.75" customHeight="1">
      <c r="A603" s="268"/>
      <c r="B603" s="268"/>
      <c r="C603" s="268"/>
      <c r="D603" s="268"/>
      <c r="E603" s="268"/>
      <c r="F603" s="268"/>
      <c r="G603" s="268"/>
      <c r="H603" s="268"/>
      <c r="I603" s="268"/>
      <c r="J603" s="268"/>
      <c r="K603" s="268"/>
      <c r="L603" s="268"/>
      <c r="M603" s="268"/>
      <c r="N603" s="268"/>
      <c r="O603" s="268"/>
      <c r="P603" s="268"/>
      <c r="Q603" s="268"/>
      <c r="R603" s="268"/>
      <c r="S603" s="268"/>
      <c r="T603" s="268"/>
      <c r="U603" s="268"/>
      <c r="V603" s="268"/>
      <c r="W603" s="268"/>
      <c r="X603" s="268"/>
      <c r="Y603" s="268"/>
      <c r="Z603" s="268"/>
    </row>
    <row r="604" spans="1:26" ht="12.75" customHeight="1">
      <c r="A604" s="268"/>
      <c r="B604" s="268"/>
      <c r="C604" s="268"/>
      <c r="D604" s="268"/>
      <c r="E604" s="268"/>
      <c r="F604" s="268"/>
      <c r="G604" s="268"/>
      <c r="H604" s="268"/>
      <c r="I604" s="268"/>
      <c r="J604" s="268"/>
      <c r="K604" s="268"/>
      <c r="L604" s="268"/>
      <c r="M604" s="268"/>
      <c r="N604" s="268"/>
      <c r="O604" s="268"/>
      <c r="P604" s="268"/>
      <c r="Q604" s="268"/>
      <c r="R604" s="268"/>
      <c r="S604" s="268"/>
      <c r="T604" s="268"/>
      <c r="U604" s="268"/>
      <c r="V604" s="268"/>
      <c r="W604" s="268"/>
      <c r="X604" s="268"/>
      <c r="Y604" s="268"/>
      <c r="Z604" s="268"/>
    </row>
    <row r="605" spans="1:26" ht="12.75" customHeight="1">
      <c r="A605" s="268"/>
      <c r="B605" s="268"/>
      <c r="C605" s="268"/>
      <c r="D605" s="268"/>
      <c r="E605" s="268"/>
      <c r="F605" s="268"/>
      <c r="G605" s="268"/>
      <c r="H605" s="268"/>
      <c r="I605" s="268"/>
      <c r="J605" s="268"/>
      <c r="K605" s="268"/>
      <c r="L605" s="268"/>
      <c r="M605" s="268"/>
      <c r="N605" s="268"/>
      <c r="O605" s="268"/>
      <c r="P605" s="268"/>
      <c r="Q605" s="268"/>
      <c r="R605" s="268"/>
      <c r="S605" s="268"/>
      <c r="T605" s="268"/>
      <c r="U605" s="268"/>
      <c r="V605" s="268"/>
      <c r="W605" s="268"/>
      <c r="X605" s="268"/>
      <c r="Y605" s="268"/>
      <c r="Z605" s="268"/>
    </row>
    <row r="606" spans="1:26" ht="12.75" customHeight="1">
      <c r="A606" s="268"/>
      <c r="B606" s="268"/>
      <c r="C606" s="268"/>
      <c r="D606" s="268"/>
      <c r="E606" s="268"/>
      <c r="F606" s="268"/>
      <c r="G606" s="268"/>
      <c r="H606" s="268"/>
      <c r="I606" s="268"/>
      <c r="J606" s="268"/>
      <c r="K606" s="268"/>
      <c r="L606" s="268"/>
      <c r="M606" s="268"/>
      <c r="N606" s="268"/>
      <c r="O606" s="268"/>
      <c r="P606" s="268"/>
      <c r="Q606" s="268"/>
      <c r="R606" s="268"/>
      <c r="S606" s="268"/>
      <c r="T606" s="268"/>
      <c r="U606" s="268"/>
      <c r="V606" s="268"/>
      <c r="W606" s="268"/>
      <c r="X606" s="268"/>
      <c r="Y606" s="268"/>
      <c r="Z606" s="268"/>
    </row>
    <row r="607" spans="1:26" ht="12.75" customHeight="1">
      <c r="A607" s="268"/>
      <c r="B607" s="268"/>
      <c r="C607" s="268"/>
      <c r="D607" s="268"/>
      <c r="E607" s="268"/>
      <c r="F607" s="268"/>
      <c r="G607" s="268"/>
      <c r="H607" s="268"/>
      <c r="I607" s="268"/>
      <c r="J607" s="268"/>
      <c r="K607" s="268"/>
      <c r="L607" s="268"/>
      <c r="M607" s="268"/>
      <c r="N607" s="268"/>
      <c r="O607" s="268"/>
      <c r="P607" s="268"/>
      <c r="Q607" s="268"/>
      <c r="R607" s="268"/>
      <c r="S607" s="268"/>
      <c r="T607" s="268"/>
      <c r="U607" s="268"/>
      <c r="V607" s="268"/>
      <c r="W607" s="268"/>
      <c r="X607" s="268"/>
      <c r="Y607" s="268"/>
      <c r="Z607" s="268"/>
    </row>
    <row r="608" spans="1:26" ht="12.75" customHeight="1">
      <c r="A608" s="268"/>
      <c r="B608" s="268"/>
      <c r="C608" s="268"/>
      <c r="D608" s="268"/>
      <c r="E608" s="268"/>
      <c r="F608" s="268"/>
      <c r="G608" s="268"/>
      <c r="H608" s="268"/>
      <c r="I608" s="268"/>
      <c r="J608" s="268"/>
      <c r="K608" s="268"/>
      <c r="L608" s="268"/>
      <c r="M608" s="268"/>
      <c r="N608" s="268"/>
      <c r="O608" s="268"/>
      <c r="P608" s="268"/>
      <c r="Q608" s="268"/>
      <c r="R608" s="268"/>
      <c r="S608" s="268"/>
      <c r="T608" s="268"/>
      <c r="U608" s="268"/>
      <c r="V608" s="268"/>
      <c r="W608" s="268"/>
      <c r="X608" s="268"/>
      <c r="Y608" s="268"/>
      <c r="Z608" s="268"/>
    </row>
    <row r="609" spans="1:26" ht="12.75" customHeight="1">
      <c r="A609" s="268"/>
      <c r="B609" s="268"/>
      <c r="C609" s="268"/>
      <c r="D609" s="268"/>
      <c r="E609" s="268"/>
      <c r="F609" s="268"/>
      <c r="G609" s="268"/>
      <c r="H609" s="268"/>
      <c r="I609" s="268"/>
      <c r="J609" s="268"/>
      <c r="K609" s="268"/>
      <c r="L609" s="268"/>
      <c r="M609" s="268"/>
      <c r="N609" s="268"/>
      <c r="O609" s="268"/>
      <c r="P609" s="268"/>
      <c r="Q609" s="268"/>
      <c r="R609" s="268"/>
      <c r="S609" s="268"/>
      <c r="T609" s="268"/>
      <c r="U609" s="268"/>
      <c r="V609" s="268"/>
      <c r="W609" s="268"/>
      <c r="X609" s="268"/>
      <c r="Y609" s="268"/>
      <c r="Z609" s="268"/>
    </row>
    <row r="610" spans="1:26" ht="12.75" customHeight="1">
      <c r="A610" s="268"/>
      <c r="B610" s="268"/>
      <c r="C610" s="268"/>
      <c r="D610" s="268"/>
      <c r="E610" s="268"/>
      <c r="F610" s="268"/>
      <c r="G610" s="268"/>
      <c r="H610" s="268"/>
      <c r="I610" s="268"/>
      <c r="J610" s="268"/>
      <c r="K610" s="268"/>
      <c r="L610" s="268"/>
      <c r="M610" s="268"/>
      <c r="N610" s="268"/>
      <c r="O610" s="268"/>
      <c r="P610" s="268"/>
      <c r="Q610" s="268"/>
      <c r="R610" s="268"/>
      <c r="S610" s="268"/>
      <c r="T610" s="268"/>
      <c r="U610" s="268"/>
      <c r="V610" s="268"/>
      <c r="W610" s="268"/>
      <c r="X610" s="268"/>
      <c r="Y610" s="268"/>
      <c r="Z610" s="268"/>
    </row>
    <row r="611" spans="1:26" ht="12.75" customHeight="1">
      <c r="A611" s="268"/>
      <c r="B611" s="268"/>
      <c r="C611" s="268"/>
      <c r="D611" s="268"/>
      <c r="E611" s="268"/>
      <c r="F611" s="268"/>
      <c r="G611" s="268"/>
      <c r="H611" s="268"/>
      <c r="I611" s="268"/>
      <c r="J611" s="268"/>
      <c r="K611" s="268"/>
      <c r="L611" s="268"/>
      <c r="M611" s="268"/>
      <c r="N611" s="268"/>
      <c r="O611" s="268"/>
      <c r="P611" s="268"/>
      <c r="Q611" s="268"/>
      <c r="R611" s="268"/>
      <c r="S611" s="268"/>
      <c r="T611" s="268"/>
      <c r="U611" s="268"/>
      <c r="V611" s="268"/>
      <c r="W611" s="268"/>
      <c r="X611" s="268"/>
      <c r="Y611" s="268"/>
      <c r="Z611" s="268"/>
    </row>
    <row r="612" spans="1:26" ht="12.75" customHeight="1">
      <c r="A612" s="268"/>
      <c r="B612" s="268"/>
      <c r="C612" s="268"/>
      <c r="D612" s="268"/>
      <c r="E612" s="268"/>
      <c r="F612" s="268"/>
      <c r="G612" s="268"/>
      <c r="H612" s="268"/>
      <c r="I612" s="268"/>
      <c r="J612" s="268"/>
      <c r="K612" s="268"/>
      <c r="L612" s="268"/>
      <c r="M612" s="268"/>
      <c r="N612" s="268"/>
      <c r="O612" s="268"/>
      <c r="P612" s="268"/>
      <c r="Q612" s="268"/>
      <c r="R612" s="268"/>
      <c r="S612" s="268"/>
      <c r="T612" s="268"/>
      <c r="U612" s="268"/>
      <c r="V612" s="268"/>
      <c r="W612" s="268"/>
      <c r="X612" s="268"/>
      <c r="Y612" s="268"/>
      <c r="Z612" s="268"/>
    </row>
    <row r="613" spans="1:26" ht="12.75" customHeight="1">
      <c r="A613" s="268"/>
      <c r="B613" s="268"/>
      <c r="C613" s="268"/>
      <c r="D613" s="268"/>
      <c r="E613" s="268"/>
      <c r="F613" s="268"/>
      <c r="G613" s="268"/>
      <c r="H613" s="268"/>
      <c r="I613" s="268"/>
      <c r="J613" s="268"/>
      <c r="K613" s="268"/>
      <c r="L613" s="268"/>
      <c r="M613" s="268"/>
      <c r="N613" s="268"/>
      <c r="O613" s="268"/>
      <c r="P613" s="268"/>
      <c r="Q613" s="268"/>
      <c r="R613" s="268"/>
      <c r="S613" s="268"/>
      <c r="T613" s="268"/>
      <c r="U613" s="268"/>
      <c r="V613" s="268"/>
      <c r="W613" s="268"/>
      <c r="X613" s="268"/>
      <c r="Y613" s="268"/>
      <c r="Z613" s="268"/>
    </row>
    <row r="614" spans="1:26" ht="12.75" customHeight="1">
      <c r="A614" s="268"/>
      <c r="B614" s="268"/>
      <c r="C614" s="268"/>
      <c r="D614" s="268"/>
      <c r="E614" s="268"/>
      <c r="F614" s="268"/>
      <c r="G614" s="268"/>
      <c r="H614" s="268"/>
      <c r="I614" s="268"/>
      <c r="J614" s="268"/>
      <c r="K614" s="268"/>
      <c r="L614" s="268"/>
      <c r="M614" s="268"/>
      <c r="N614" s="268"/>
      <c r="O614" s="268"/>
      <c r="P614" s="268"/>
      <c r="Q614" s="268"/>
      <c r="R614" s="268"/>
      <c r="S614" s="268"/>
      <c r="T614" s="268"/>
      <c r="U614" s="268"/>
      <c r="V614" s="268"/>
      <c r="W614" s="268"/>
      <c r="X614" s="268"/>
      <c r="Y614" s="268"/>
      <c r="Z614" s="268"/>
    </row>
    <row r="615" spans="1:26" ht="12.75" customHeight="1">
      <c r="A615" s="268"/>
      <c r="B615" s="268"/>
      <c r="C615" s="268"/>
      <c r="D615" s="268"/>
      <c r="E615" s="268"/>
      <c r="F615" s="268"/>
      <c r="G615" s="268"/>
      <c r="H615" s="268"/>
      <c r="I615" s="268"/>
      <c r="J615" s="268"/>
      <c r="K615" s="268"/>
      <c r="L615" s="268"/>
      <c r="M615" s="268"/>
      <c r="N615" s="268"/>
      <c r="O615" s="268"/>
      <c r="P615" s="268"/>
      <c r="Q615" s="268"/>
      <c r="R615" s="268"/>
      <c r="S615" s="268"/>
      <c r="T615" s="268"/>
      <c r="U615" s="268"/>
      <c r="V615" s="268"/>
      <c r="W615" s="268"/>
      <c r="X615" s="268"/>
      <c r="Y615" s="268"/>
      <c r="Z615" s="268"/>
    </row>
    <row r="616" spans="1:26" ht="12.75" customHeight="1">
      <c r="A616" s="268"/>
      <c r="B616" s="268"/>
      <c r="C616" s="268"/>
      <c r="D616" s="268"/>
      <c r="E616" s="268"/>
      <c r="F616" s="268"/>
      <c r="G616" s="268"/>
      <c r="H616" s="268"/>
      <c r="I616" s="268"/>
      <c r="J616" s="268"/>
      <c r="K616" s="268"/>
      <c r="L616" s="268"/>
      <c r="M616" s="268"/>
      <c r="N616" s="268"/>
      <c r="O616" s="268"/>
      <c r="P616" s="268"/>
      <c r="Q616" s="268"/>
      <c r="R616" s="268"/>
      <c r="S616" s="268"/>
      <c r="T616" s="268"/>
      <c r="U616" s="268"/>
      <c r="V616" s="268"/>
      <c r="W616" s="268"/>
      <c r="X616" s="268"/>
      <c r="Y616" s="268"/>
      <c r="Z616" s="268"/>
    </row>
    <row r="617" spans="1:26" ht="12.75" customHeight="1">
      <c r="A617" s="268"/>
      <c r="B617" s="268"/>
      <c r="C617" s="268"/>
      <c r="D617" s="268"/>
      <c r="E617" s="268"/>
      <c r="F617" s="268"/>
      <c r="G617" s="268"/>
      <c r="H617" s="268"/>
      <c r="I617" s="268"/>
      <c r="J617" s="268"/>
      <c r="K617" s="268"/>
      <c r="L617" s="268"/>
      <c r="M617" s="268"/>
      <c r="N617" s="268"/>
      <c r="O617" s="268"/>
      <c r="P617" s="268"/>
      <c r="Q617" s="268"/>
      <c r="R617" s="268"/>
      <c r="S617" s="268"/>
      <c r="T617" s="268"/>
      <c r="U617" s="268"/>
      <c r="V617" s="268"/>
      <c r="W617" s="268"/>
      <c r="X617" s="268"/>
      <c r="Y617" s="268"/>
      <c r="Z617" s="268"/>
    </row>
    <row r="618" spans="1:26" ht="12.75" customHeight="1">
      <c r="A618" s="268"/>
      <c r="B618" s="268"/>
      <c r="C618" s="268"/>
      <c r="D618" s="268"/>
      <c r="E618" s="268"/>
      <c r="F618" s="268"/>
      <c r="G618" s="268"/>
      <c r="H618" s="268"/>
      <c r="I618" s="268"/>
      <c r="J618" s="268"/>
      <c r="K618" s="268"/>
      <c r="L618" s="268"/>
      <c r="M618" s="268"/>
      <c r="N618" s="268"/>
      <c r="O618" s="268"/>
      <c r="P618" s="268"/>
      <c r="Q618" s="268"/>
      <c r="R618" s="268"/>
      <c r="S618" s="268"/>
      <c r="T618" s="268"/>
      <c r="U618" s="268"/>
      <c r="V618" s="268"/>
      <c r="W618" s="268"/>
      <c r="X618" s="268"/>
      <c r="Y618" s="268"/>
      <c r="Z618" s="268"/>
    </row>
    <row r="619" spans="1:26" ht="12.75" customHeight="1">
      <c r="A619" s="268"/>
      <c r="B619" s="268"/>
      <c r="C619" s="268"/>
      <c r="D619" s="268"/>
      <c r="E619" s="268"/>
      <c r="F619" s="268"/>
      <c r="G619" s="268"/>
      <c r="H619" s="268"/>
      <c r="I619" s="268"/>
      <c r="J619" s="268"/>
      <c r="K619" s="268"/>
      <c r="L619" s="268"/>
      <c r="M619" s="268"/>
      <c r="N619" s="268"/>
      <c r="O619" s="268"/>
      <c r="P619" s="268"/>
      <c r="Q619" s="268"/>
      <c r="R619" s="268"/>
      <c r="S619" s="268"/>
      <c r="T619" s="268"/>
      <c r="U619" s="268"/>
      <c r="V619" s="268"/>
      <c r="W619" s="268"/>
      <c r="X619" s="268"/>
      <c r="Y619" s="268"/>
      <c r="Z619" s="268"/>
    </row>
    <row r="620" spans="1:26" ht="12.75" customHeight="1">
      <c r="A620" s="268"/>
      <c r="B620" s="268"/>
      <c r="C620" s="268"/>
      <c r="D620" s="268"/>
      <c r="E620" s="268"/>
      <c r="F620" s="268"/>
      <c r="G620" s="268"/>
      <c r="H620" s="268"/>
      <c r="I620" s="268"/>
      <c r="J620" s="268"/>
      <c r="K620" s="268"/>
      <c r="L620" s="268"/>
      <c r="M620" s="268"/>
      <c r="N620" s="268"/>
      <c r="O620" s="268"/>
      <c r="P620" s="268"/>
      <c r="Q620" s="268"/>
      <c r="R620" s="268"/>
      <c r="S620" s="268"/>
      <c r="T620" s="268"/>
      <c r="U620" s="268"/>
      <c r="V620" s="268"/>
      <c r="W620" s="268"/>
      <c r="X620" s="268"/>
      <c r="Y620" s="268"/>
      <c r="Z620" s="268"/>
    </row>
    <row r="621" spans="1:26" ht="12.75" customHeight="1">
      <c r="A621" s="268"/>
      <c r="B621" s="268"/>
      <c r="C621" s="268"/>
      <c r="D621" s="268"/>
      <c r="E621" s="268"/>
      <c r="F621" s="268"/>
      <c r="G621" s="268"/>
      <c r="H621" s="268"/>
      <c r="I621" s="268"/>
      <c r="J621" s="268"/>
      <c r="K621" s="268"/>
      <c r="L621" s="268"/>
      <c r="M621" s="268"/>
      <c r="N621" s="268"/>
      <c r="O621" s="268"/>
      <c r="P621" s="268"/>
      <c r="Q621" s="268"/>
      <c r="R621" s="268"/>
      <c r="S621" s="268"/>
      <c r="T621" s="268"/>
      <c r="U621" s="268"/>
      <c r="V621" s="268"/>
      <c r="W621" s="268"/>
      <c r="X621" s="268"/>
      <c r="Y621" s="268"/>
      <c r="Z621" s="268"/>
    </row>
    <row r="622" spans="1:26" ht="12.75" customHeight="1">
      <c r="A622" s="268"/>
      <c r="B622" s="268"/>
      <c r="C622" s="268"/>
      <c r="D622" s="268"/>
      <c r="E622" s="268"/>
      <c r="F622" s="268"/>
      <c r="G622" s="268"/>
      <c r="H622" s="268"/>
      <c r="I622" s="268"/>
      <c r="J622" s="268"/>
      <c r="K622" s="268"/>
      <c r="L622" s="268"/>
      <c r="M622" s="268"/>
      <c r="N622" s="268"/>
      <c r="O622" s="268"/>
      <c r="P622" s="268"/>
      <c r="Q622" s="268"/>
      <c r="R622" s="268"/>
      <c r="S622" s="268"/>
      <c r="T622" s="268"/>
      <c r="U622" s="268"/>
      <c r="V622" s="268"/>
      <c r="W622" s="268"/>
      <c r="X622" s="268"/>
      <c r="Y622" s="268"/>
      <c r="Z622" s="268"/>
    </row>
    <row r="623" spans="1:26" ht="12.75" customHeight="1">
      <c r="A623" s="268"/>
      <c r="B623" s="268"/>
      <c r="C623" s="268"/>
      <c r="D623" s="268"/>
      <c r="E623" s="268"/>
      <c r="F623" s="268"/>
      <c r="G623" s="268"/>
      <c r="H623" s="268"/>
      <c r="I623" s="268"/>
      <c r="J623" s="268"/>
      <c r="K623" s="268"/>
      <c r="L623" s="268"/>
      <c r="M623" s="268"/>
      <c r="N623" s="268"/>
      <c r="O623" s="268"/>
      <c r="P623" s="268"/>
      <c r="Q623" s="268"/>
      <c r="R623" s="268"/>
      <c r="S623" s="268"/>
      <c r="T623" s="268"/>
      <c r="U623" s="268"/>
      <c r="V623" s="268"/>
      <c r="W623" s="268"/>
      <c r="X623" s="268"/>
      <c r="Y623" s="268"/>
      <c r="Z623" s="268"/>
    </row>
    <row r="624" spans="1:26" ht="12.75" customHeight="1">
      <c r="A624" s="268"/>
      <c r="B624" s="268"/>
      <c r="C624" s="268"/>
      <c r="D624" s="268"/>
      <c r="E624" s="268"/>
      <c r="F624" s="268"/>
      <c r="G624" s="268"/>
      <c r="H624" s="268"/>
      <c r="I624" s="268"/>
      <c r="J624" s="268"/>
      <c r="K624" s="268"/>
      <c r="L624" s="268"/>
      <c r="M624" s="268"/>
      <c r="N624" s="268"/>
      <c r="O624" s="268"/>
      <c r="P624" s="268"/>
      <c r="Q624" s="268"/>
      <c r="R624" s="268"/>
      <c r="S624" s="268"/>
      <c r="T624" s="268"/>
      <c r="U624" s="268"/>
      <c r="V624" s="268"/>
      <c r="W624" s="268"/>
      <c r="X624" s="268"/>
      <c r="Y624" s="268"/>
      <c r="Z624" s="268"/>
    </row>
    <row r="625" spans="1:26" ht="12.75" customHeight="1">
      <c r="A625" s="268"/>
      <c r="B625" s="268"/>
      <c r="C625" s="268"/>
      <c r="D625" s="268"/>
      <c r="E625" s="268"/>
      <c r="F625" s="268"/>
      <c r="G625" s="268"/>
      <c r="H625" s="268"/>
      <c r="I625" s="268"/>
      <c r="J625" s="268"/>
      <c r="K625" s="268"/>
      <c r="L625" s="268"/>
      <c r="M625" s="268"/>
      <c r="N625" s="268"/>
      <c r="O625" s="268"/>
      <c r="P625" s="268"/>
      <c r="Q625" s="268"/>
      <c r="R625" s="268"/>
      <c r="S625" s="268"/>
      <c r="T625" s="268"/>
      <c r="U625" s="268"/>
      <c r="V625" s="268"/>
      <c r="W625" s="268"/>
      <c r="X625" s="268"/>
      <c r="Y625" s="268"/>
      <c r="Z625" s="268"/>
    </row>
    <row r="626" spans="1:26" ht="12.75" customHeight="1">
      <c r="A626" s="268"/>
      <c r="B626" s="268"/>
      <c r="C626" s="268"/>
      <c r="D626" s="268"/>
      <c r="E626" s="268"/>
      <c r="F626" s="268"/>
      <c r="G626" s="268"/>
      <c r="H626" s="268"/>
      <c r="I626" s="268"/>
      <c r="J626" s="268"/>
      <c r="K626" s="268"/>
      <c r="L626" s="268"/>
      <c r="M626" s="268"/>
      <c r="N626" s="268"/>
      <c r="O626" s="268"/>
      <c r="P626" s="268"/>
      <c r="Q626" s="268"/>
      <c r="R626" s="268"/>
      <c r="S626" s="268"/>
      <c r="T626" s="268"/>
      <c r="U626" s="268"/>
      <c r="V626" s="268"/>
      <c r="W626" s="268"/>
      <c r="X626" s="268"/>
      <c r="Y626" s="268"/>
      <c r="Z626" s="268"/>
    </row>
    <row r="627" spans="1:26" ht="12.75" customHeight="1">
      <c r="A627" s="268"/>
      <c r="B627" s="268"/>
      <c r="C627" s="268"/>
      <c r="D627" s="268"/>
      <c r="E627" s="268"/>
      <c r="F627" s="268"/>
      <c r="G627" s="268"/>
      <c r="H627" s="268"/>
      <c r="I627" s="268"/>
      <c r="J627" s="268"/>
      <c r="K627" s="268"/>
      <c r="L627" s="268"/>
      <c r="M627" s="268"/>
      <c r="N627" s="268"/>
      <c r="O627" s="268"/>
      <c r="P627" s="268"/>
      <c r="Q627" s="268"/>
      <c r="R627" s="268"/>
      <c r="S627" s="268"/>
      <c r="T627" s="268"/>
      <c r="U627" s="268"/>
      <c r="V627" s="268"/>
      <c r="W627" s="268"/>
      <c r="X627" s="268"/>
      <c r="Y627" s="268"/>
      <c r="Z627" s="268"/>
    </row>
    <row r="628" spans="1:26" ht="12.75" customHeight="1">
      <c r="A628" s="268"/>
      <c r="B628" s="268"/>
      <c r="C628" s="268"/>
      <c r="D628" s="268"/>
      <c r="E628" s="268"/>
      <c r="F628" s="268"/>
      <c r="G628" s="268"/>
      <c r="H628" s="268"/>
      <c r="I628" s="268"/>
      <c r="J628" s="268"/>
      <c r="K628" s="268"/>
      <c r="L628" s="268"/>
      <c r="M628" s="268"/>
      <c r="N628" s="268"/>
      <c r="O628" s="268"/>
      <c r="P628" s="268"/>
      <c r="Q628" s="268"/>
      <c r="R628" s="268"/>
      <c r="S628" s="268"/>
      <c r="T628" s="268"/>
      <c r="U628" s="268"/>
      <c r="V628" s="268"/>
      <c r="W628" s="268"/>
      <c r="X628" s="268"/>
      <c r="Y628" s="268"/>
      <c r="Z628" s="268"/>
    </row>
    <row r="629" spans="1:26" ht="12.75" customHeight="1">
      <c r="A629" s="268"/>
      <c r="B629" s="268"/>
      <c r="C629" s="268"/>
      <c r="D629" s="268"/>
      <c r="E629" s="268"/>
      <c r="F629" s="268"/>
      <c r="G629" s="268"/>
      <c r="H629" s="268"/>
      <c r="I629" s="268"/>
      <c r="J629" s="268"/>
      <c r="K629" s="268"/>
      <c r="L629" s="268"/>
      <c r="M629" s="268"/>
      <c r="N629" s="268"/>
      <c r="O629" s="268"/>
      <c r="P629" s="268"/>
      <c r="Q629" s="268"/>
      <c r="R629" s="268"/>
      <c r="S629" s="268"/>
      <c r="T629" s="268"/>
      <c r="U629" s="268"/>
      <c r="V629" s="268"/>
      <c r="W629" s="268"/>
      <c r="X629" s="268"/>
      <c r="Y629" s="268"/>
      <c r="Z629" s="268"/>
    </row>
    <row r="630" spans="1:26" ht="12.75" customHeight="1">
      <c r="A630" s="268"/>
      <c r="B630" s="268"/>
      <c r="C630" s="268"/>
      <c r="D630" s="268"/>
      <c r="E630" s="268"/>
      <c r="F630" s="268"/>
      <c r="G630" s="268"/>
      <c r="H630" s="268"/>
      <c r="I630" s="268"/>
      <c r="J630" s="268"/>
      <c r="K630" s="268"/>
      <c r="L630" s="268"/>
      <c r="M630" s="268"/>
      <c r="N630" s="268"/>
      <c r="O630" s="268"/>
      <c r="P630" s="268"/>
      <c r="Q630" s="268"/>
      <c r="R630" s="268"/>
      <c r="S630" s="268"/>
      <c r="T630" s="268"/>
      <c r="U630" s="268"/>
      <c r="V630" s="268"/>
      <c r="W630" s="268"/>
      <c r="X630" s="268"/>
      <c r="Y630" s="268"/>
      <c r="Z630" s="268"/>
    </row>
    <row r="631" spans="1:26" ht="12.75" customHeight="1">
      <c r="A631" s="268"/>
      <c r="B631" s="268"/>
      <c r="C631" s="268"/>
      <c r="D631" s="268"/>
      <c r="E631" s="268"/>
      <c r="F631" s="268"/>
      <c r="G631" s="268"/>
      <c r="H631" s="268"/>
      <c r="I631" s="268"/>
      <c r="J631" s="268"/>
      <c r="K631" s="268"/>
      <c r="L631" s="268"/>
      <c r="M631" s="268"/>
      <c r="N631" s="268"/>
      <c r="O631" s="268"/>
      <c r="P631" s="268"/>
      <c r="Q631" s="268"/>
      <c r="R631" s="268"/>
      <c r="S631" s="268"/>
      <c r="T631" s="268"/>
      <c r="U631" s="268"/>
      <c r="V631" s="268"/>
      <c r="W631" s="268"/>
      <c r="X631" s="268"/>
      <c r="Y631" s="268"/>
      <c r="Z631" s="268"/>
    </row>
    <row r="632" spans="1:26" ht="12.75" customHeight="1">
      <c r="A632" s="268"/>
      <c r="B632" s="268"/>
      <c r="C632" s="268"/>
      <c r="D632" s="268"/>
      <c r="E632" s="268"/>
      <c r="F632" s="268"/>
      <c r="G632" s="268"/>
      <c r="H632" s="268"/>
      <c r="I632" s="268"/>
      <c r="J632" s="268"/>
      <c r="K632" s="268"/>
      <c r="L632" s="268"/>
      <c r="M632" s="268"/>
      <c r="N632" s="268"/>
      <c r="O632" s="268"/>
      <c r="P632" s="268"/>
      <c r="Q632" s="268"/>
      <c r="R632" s="268"/>
      <c r="S632" s="268"/>
      <c r="T632" s="268"/>
      <c r="U632" s="268"/>
      <c r="V632" s="268"/>
      <c r="W632" s="268"/>
      <c r="X632" s="268"/>
      <c r="Y632" s="268"/>
      <c r="Z632" s="268"/>
    </row>
    <row r="633" spans="1:26" ht="12.75" customHeight="1">
      <c r="A633" s="268"/>
      <c r="B633" s="268"/>
      <c r="C633" s="268"/>
      <c r="D633" s="268"/>
      <c r="E633" s="268"/>
      <c r="F633" s="268"/>
      <c r="G633" s="268"/>
      <c r="H633" s="268"/>
      <c r="I633" s="268"/>
      <c r="J633" s="268"/>
      <c r="K633" s="268"/>
      <c r="L633" s="268"/>
      <c r="M633" s="268"/>
      <c r="N633" s="268"/>
      <c r="O633" s="268"/>
      <c r="P633" s="268"/>
      <c r="Q633" s="268"/>
      <c r="R633" s="268"/>
      <c r="S633" s="268"/>
      <c r="T633" s="268"/>
      <c r="U633" s="268"/>
      <c r="V633" s="268"/>
      <c r="W633" s="268"/>
      <c r="X633" s="268"/>
      <c r="Y633" s="268"/>
      <c r="Z633" s="268"/>
    </row>
    <row r="634" spans="1:26" ht="12.75" customHeight="1">
      <c r="A634" s="268"/>
      <c r="B634" s="268"/>
      <c r="C634" s="268"/>
      <c r="D634" s="268"/>
      <c r="E634" s="268"/>
      <c r="F634" s="268"/>
      <c r="G634" s="268"/>
      <c r="H634" s="268"/>
      <c r="I634" s="268"/>
      <c r="J634" s="268"/>
      <c r="K634" s="268"/>
      <c r="L634" s="268"/>
      <c r="M634" s="268"/>
      <c r="N634" s="268"/>
      <c r="O634" s="268"/>
      <c r="P634" s="268"/>
      <c r="Q634" s="268"/>
      <c r="R634" s="268"/>
      <c r="S634" s="268"/>
      <c r="T634" s="268"/>
      <c r="U634" s="268"/>
      <c r="V634" s="268"/>
      <c r="W634" s="268"/>
      <c r="X634" s="268"/>
      <c r="Y634" s="268"/>
      <c r="Z634" s="268"/>
    </row>
    <row r="635" spans="1:26" ht="12.75" customHeight="1">
      <c r="A635" s="268"/>
      <c r="B635" s="268"/>
      <c r="C635" s="268"/>
      <c r="D635" s="268"/>
      <c r="E635" s="268"/>
      <c r="F635" s="268"/>
      <c r="G635" s="268"/>
      <c r="H635" s="268"/>
      <c r="I635" s="268"/>
      <c r="J635" s="268"/>
      <c r="K635" s="268"/>
      <c r="L635" s="268"/>
      <c r="M635" s="268"/>
      <c r="N635" s="268"/>
      <c r="O635" s="268"/>
      <c r="P635" s="268"/>
      <c r="Q635" s="268"/>
      <c r="R635" s="268"/>
      <c r="S635" s="268"/>
      <c r="T635" s="268"/>
      <c r="U635" s="268"/>
      <c r="V635" s="268"/>
      <c r="W635" s="268"/>
      <c r="X635" s="268"/>
      <c r="Y635" s="268"/>
      <c r="Z635" s="268"/>
    </row>
    <row r="636" spans="1:26" ht="12.75" customHeight="1">
      <c r="A636" s="268"/>
      <c r="B636" s="268"/>
      <c r="C636" s="268"/>
      <c r="D636" s="268"/>
      <c r="E636" s="268"/>
      <c r="F636" s="268"/>
      <c r="G636" s="268"/>
      <c r="H636" s="268"/>
      <c r="I636" s="268"/>
      <c r="J636" s="268"/>
      <c r="K636" s="268"/>
      <c r="L636" s="268"/>
      <c r="M636" s="268"/>
      <c r="N636" s="268"/>
      <c r="O636" s="268"/>
      <c r="P636" s="268"/>
      <c r="Q636" s="268"/>
      <c r="R636" s="268"/>
      <c r="S636" s="268"/>
      <c r="T636" s="268"/>
      <c r="U636" s="268"/>
      <c r="V636" s="268"/>
      <c r="W636" s="268"/>
      <c r="X636" s="268"/>
      <c r="Y636" s="268"/>
      <c r="Z636" s="268"/>
    </row>
    <row r="637" spans="1:26" ht="12.75" customHeight="1">
      <c r="A637" s="268"/>
      <c r="B637" s="268"/>
      <c r="C637" s="268"/>
      <c r="D637" s="268"/>
      <c r="E637" s="268"/>
      <c r="F637" s="268"/>
      <c r="G637" s="268"/>
      <c r="H637" s="268"/>
      <c r="I637" s="268"/>
      <c r="J637" s="268"/>
      <c r="K637" s="268"/>
      <c r="L637" s="268"/>
      <c r="M637" s="268"/>
      <c r="N637" s="268"/>
      <c r="O637" s="268"/>
      <c r="P637" s="268"/>
      <c r="Q637" s="268"/>
      <c r="R637" s="268"/>
      <c r="S637" s="268"/>
      <c r="T637" s="268"/>
      <c r="U637" s="268"/>
      <c r="V637" s="268"/>
      <c r="W637" s="268"/>
      <c r="X637" s="268"/>
      <c r="Y637" s="268"/>
      <c r="Z637" s="268"/>
    </row>
    <row r="638" spans="1:26" ht="12.75" customHeight="1">
      <c r="A638" s="268"/>
      <c r="B638" s="268"/>
      <c r="C638" s="268"/>
      <c r="D638" s="268"/>
      <c r="E638" s="268"/>
      <c r="F638" s="268"/>
      <c r="G638" s="268"/>
      <c r="H638" s="268"/>
      <c r="I638" s="268"/>
      <c r="J638" s="268"/>
      <c r="K638" s="268"/>
      <c r="L638" s="268"/>
      <c r="M638" s="268"/>
      <c r="N638" s="268"/>
      <c r="O638" s="268"/>
      <c r="P638" s="268"/>
      <c r="Q638" s="268"/>
      <c r="R638" s="268"/>
      <c r="S638" s="268"/>
      <c r="T638" s="268"/>
      <c r="U638" s="268"/>
      <c r="V638" s="268"/>
      <c r="W638" s="268"/>
      <c r="X638" s="268"/>
      <c r="Y638" s="268"/>
      <c r="Z638" s="268"/>
    </row>
    <row r="639" spans="1:26" ht="12.75" customHeight="1">
      <c r="A639" s="268"/>
      <c r="B639" s="268"/>
      <c r="C639" s="268"/>
      <c r="D639" s="268"/>
      <c r="E639" s="268"/>
      <c r="F639" s="268"/>
      <c r="G639" s="268"/>
      <c r="H639" s="268"/>
      <c r="I639" s="268"/>
      <c r="J639" s="268"/>
      <c r="K639" s="268"/>
      <c r="L639" s="268"/>
      <c r="M639" s="268"/>
      <c r="N639" s="268"/>
      <c r="O639" s="268"/>
      <c r="P639" s="268"/>
      <c r="Q639" s="268"/>
      <c r="R639" s="268"/>
      <c r="S639" s="268"/>
      <c r="T639" s="268"/>
      <c r="U639" s="268"/>
      <c r="V639" s="268"/>
      <c r="W639" s="268"/>
      <c r="X639" s="268"/>
      <c r="Y639" s="268"/>
      <c r="Z639" s="268"/>
    </row>
    <row r="640" spans="1:26" ht="12.75" customHeight="1">
      <c r="A640" s="268"/>
      <c r="B640" s="268"/>
      <c r="C640" s="268"/>
      <c r="D640" s="268"/>
      <c r="E640" s="268"/>
      <c r="F640" s="268"/>
      <c r="G640" s="268"/>
      <c r="H640" s="268"/>
      <c r="I640" s="268"/>
      <c r="J640" s="268"/>
      <c r="K640" s="268"/>
      <c r="L640" s="268"/>
      <c r="M640" s="268"/>
      <c r="N640" s="268"/>
      <c r="O640" s="268"/>
      <c r="P640" s="268"/>
      <c r="Q640" s="268"/>
      <c r="R640" s="268"/>
      <c r="S640" s="268"/>
      <c r="T640" s="268"/>
      <c r="U640" s="268"/>
      <c r="V640" s="268"/>
      <c r="W640" s="268"/>
      <c r="X640" s="268"/>
      <c r="Y640" s="268"/>
      <c r="Z640" s="268"/>
    </row>
    <row r="641" spans="1:26" ht="12.75" customHeight="1">
      <c r="A641" s="268"/>
      <c r="B641" s="268"/>
      <c r="C641" s="268"/>
      <c r="D641" s="268"/>
      <c r="E641" s="268"/>
      <c r="F641" s="268"/>
      <c r="G641" s="268"/>
      <c r="H641" s="268"/>
      <c r="I641" s="268"/>
      <c r="J641" s="268"/>
      <c r="K641" s="268"/>
      <c r="L641" s="268"/>
      <c r="M641" s="268"/>
      <c r="N641" s="268"/>
      <c r="O641" s="268"/>
      <c r="P641" s="268"/>
      <c r="Q641" s="268"/>
      <c r="R641" s="268"/>
      <c r="S641" s="268"/>
      <c r="T641" s="268"/>
      <c r="U641" s="268"/>
      <c r="V641" s="268"/>
      <c r="W641" s="268"/>
      <c r="X641" s="268"/>
      <c r="Y641" s="268"/>
      <c r="Z641" s="268"/>
    </row>
    <row r="642" spans="1:26" ht="12.75" customHeight="1">
      <c r="A642" s="268"/>
      <c r="B642" s="268"/>
      <c r="C642" s="268"/>
      <c r="D642" s="268"/>
      <c r="E642" s="268"/>
      <c r="F642" s="268"/>
      <c r="G642" s="268"/>
      <c r="H642" s="268"/>
      <c r="I642" s="268"/>
      <c r="J642" s="268"/>
      <c r="K642" s="268"/>
      <c r="L642" s="268"/>
      <c r="M642" s="268"/>
      <c r="N642" s="268"/>
      <c r="O642" s="268"/>
      <c r="P642" s="268"/>
      <c r="Q642" s="268"/>
      <c r="R642" s="268"/>
      <c r="S642" s="268"/>
      <c r="T642" s="268"/>
      <c r="U642" s="268"/>
      <c r="V642" s="268"/>
      <c r="W642" s="268"/>
      <c r="X642" s="268"/>
      <c r="Y642" s="268"/>
      <c r="Z642" s="268"/>
    </row>
    <row r="643" spans="1:26" ht="12.75" customHeight="1">
      <c r="A643" s="268"/>
      <c r="B643" s="268"/>
      <c r="C643" s="268"/>
      <c r="D643" s="268"/>
      <c r="E643" s="268"/>
      <c r="F643" s="268"/>
      <c r="G643" s="268"/>
      <c r="H643" s="268"/>
      <c r="I643" s="268"/>
      <c r="J643" s="268"/>
      <c r="K643" s="268"/>
      <c r="L643" s="268"/>
      <c r="M643" s="268"/>
      <c r="N643" s="268"/>
      <c r="O643" s="268"/>
      <c r="P643" s="268"/>
      <c r="Q643" s="268"/>
      <c r="R643" s="268"/>
      <c r="S643" s="268"/>
      <c r="T643" s="268"/>
      <c r="U643" s="268"/>
      <c r="V643" s="268"/>
      <c r="W643" s="268"/>
      <c r="X643" s="268"/>
      <c r="Y643" s="268"/>
      <c r="Z643" s="268"/>
    </row>
    <row r="644" spans="1:26" ht="12.75" customHeight="1">
      <c r="A644" s="268"/>
      <c r="B644" s="26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268"/>
      <c r="R644" s="268"/>
      <c r="S644" s="268"/>
      <c r="T644" s="268"/>
      <c r="U644" s="268"/>
      <c r="V644" s="268"/>
      <c r="W644" s="268"/>
      <c r="X644" s="268"/>
      <c r="Y644" s="268"/>
      <c r="Z644" s="268"/>
    </row>
    <row r="645" spans="1:26" ht="12.75" customHeight="1">
      <c r="A645" s="268"/>
      <c r="B645" s="268"/>
      <c r="C645" s="268"/>
      <c r="D645" s="268"/>
      <c r="E645" s="268"/>
      <c r="F645" s="268"/>
      <c r="G645" s="268"/>
      <c r="H645" s="268"/>
      <c r="I645" s="268"/>
      <c r="J645" s="268"/>
      <c r="K645" s="268"/>
      <c r="L645" s="268"/>
      <c r="M645" s="268"/>
      <c r="N645" s="268"/>
      <c r="O645" s="268"/>
      <c r="P645" s="268"/>
      <c r="Q645" s="268"/>
      <c r="R645" s="268"/>
      <c r="S645" s="268"/>
      <c r="T645" s="268"/>
      <c r="U645" s="268"/>
      <c r="V645" s="268"/>
      <c r="W645" s="268"/>
      <c r="X645" s="268"/>
      <c r="Y645" s="268"/>
      <c r="Z645" s="268"/>
    </row>
    <row r="646" spans="1:26" ht="12.75" customHeight="1">
      <c r="A646" s="268"/>
      <c r="B646" s="268"/>
      <c r="C646" s="268"/>
      <c r="D646" s="268"/>
      <c r="E646" s="268"/>
      <c r="F646" s="268"/>
      <c r="G646" s="268"/>
      <c r="H646" s="268"/>
      <c r="I646" s="268"/>
      <c r="J646" s="268"/>
      <c r="K646" s="268"/>
      <c r="L646" s="268"/>
      <c r="M646" s="268"/>
      <c r="N646" s="268"/>
      <c r="O646" s="268"/>
      <c r="P646" s="268"/>
      <c r="Q646" s="268"/>
      <c r="R646" s="268"/>
      <c r="S646" s="268"/>
      <c r="T646" s="268"/>
      <c r="U646" s="268"/>
      <c r="V646" s="268"/>
      <c r="W646" s="268"/>
      <c r="X646" s="268"/>
      <c r="Y646" s="268"/>
      <c r="Z646" s="268"/>
    </row>
    <row r="647" spans="1:26" ht="12.75" customHeight="1">
      <c r="A647" s="268"/>
      <c r="B647" s="268"/>
      <c r="C647" s="268"/>
      <c r="D647" s="268"/>
      <c r="E647" s="268"/>
      <c r="F647" s="268"/>
      <c r="G647" s="268"/>
      <c r="H647" s="268"/>
      <c r="I647" s="268"/>
      <c r="J647" s="268"/>
      <c r="K647" s="268"/>
      <c r="L647" s="268"/>
      <c r="M647" s="268"/>
      <c r="N647" s="268"/>
      <c r="O647" s="268"/>
      <c r="P647" s="268"/>
      <c r="Q647" s="268"/>
      <c r="R647" s="268"/>
      <c r="S647" s="268"/>
      <c r="T647" s="268"/>
      <c r="U647" s="268"/>
      <c r="V647" s="268"/>
      <c r="W647" s="268"/>
      <c r="X647" s="268"/>
      <c r="Y647" s="268"/>
      <c r="Z647" s="268"/>
    </row>
    <row r="648" spans="1:26" ht="12.75" customHeight="1">
      <c r="A648" s="268"/>
      <c r="B648" s="268"/>
      <c r="C648" s="268"/>
      <c r="D648" s="268"/>
      <c r="E648" s="268"/>
      <c r="F648" s="268"/>
      <c r="G648" s="268"/>
      <c r="H648" s="268"/>
      <c r="I648" s="268"/>
      <c r="J648" s="268"/>
      <c r="K648" s="268"/>
      <c r="L648" s="268"/>
      <c r="M648" s="268"/>
      <c r="N648" s="268"/>
      <c r="O648" s="268"/>
      <c r="P648" s="268"/>
      <c r="Q648" s="268"/>
      <c r="R648" s="268"/>
      <c r="S648" s="268"/>
      <c r="T648" s="268"/>
      <c r="U648" s="268"/>
      <c r="V648" s="268"/>
      <c r="W648" s="268"/>
      <c r="X648" s="268"/>
      <c r="Y648" s="268"/>
      <c r="Z648" s="268"/>
    </row>
    <row r="649" spans="1:26" ht="12.75" customHeight="1">
      <c r="A649" s="268"/>
      <c r="B649" s="268"/>
      <c r="C649" s="268"/>
      <c r="D649" s="268"/>
      <c r="E649" s="268"/>
      <c r="F649" s="268"/>
      <c r="G649" s="268"/>
      <c r="H649" s="268"/>
      <c r="I649" s="268"/>
      <c r="J649" s="268"/>
      <c r="K649" s="268"/>
      <c r="L649" s="268"/>
      <c r="M649" s="268"/>
      <c r="N649" s="268"/>
      <c r="O649" s="268"/>
      <c r="P649" s="268"/>
      <c r="Q649" s="268"/>
      <c r="R649" s="268"/>
      <c r="S649" s="268"/>
      <c r="T649" s="268"/>
      <c r="U649" s="268"/>
      <c r="V649" s="268"/>
      <c r="W649" s="268"/>
      <c r="X649" s="268"/>
      <c r="Y649" s="268"/>
      <c r="Z649" s="268"/>
    </row>
    <row r="650" spans="1:26" ht="12.75" customHeight="1">
      <c r="A650" s="268"/>
      <c r="B650" s="268"/>
      <c r="C650" s="268"/>
      <c r="D650" s="268"/>
      <c r="E650" s="268"/>
      <c r="F650" s="268"/>
      <c r="G650" s="268"/>
      <c r="H650" s="268"/>
      <c r="I650" s="268"/>
      <c r="J650" s="268"/>
      <c r="K650" s="268"/>
      <c r="L650" s="268"/>
      <c r="M650" s="268"/>
      <c r="N650" s="268"/>
      <c r="O650" s="268"/>
      <c r="P650" s="268"/>
      <c r="Q650" s="268"/>
      <c r="R650" s="268"/>
      <c r="S650" s="268"/>
      <c r="T650" s="268"/>
      <c r="U650" s="268"/>
      <c r="V650" s="268"/>
      <c r="W650" s="268"/>
      <c r="X650" s="268"/>
      <c r="Y650" s="268"/>
      <c r="Z650" s="268"/>
    </row>
    <row r="651" spans="1:26" ht="12.75" customHeight="1">
      <c r="A651" s="268"/>
      <c r="B651" s="268"/>
      <c r="C651" s="268"/>
      <c r="D651" s="268"/>
      <c r="E651" s="268"/>
      <c r="F651" s="268"/>
      <c r="G651" s="268"/>
      <c r="H651" s="268"/>
      <c r="I651" s="268"/>
      <c r="J651" s="268"/>
      <c r="K651" s="268"/>
      <c r="L651" s="268"/>
      <c r="M651" s="268"/>
      <c r="N651" s="268"/>
      <c r="O651" s="268"/>
      <c r="P651" s="268"/>
      <c r="Q651" s="268"/>
      <c r="R651" s="268"/>
      <c r="S651" s="268"/>
      <c r="T651" s="268"/>
      <c r="U651" s="268"/>
      <c r="V651" s="268"/>
      <c r="W651" s="268"/>
      <c r="X651" s="268"/>
      <c r="Y651" s="268"/>
      <c r="Z651" s="268"/>
    </row>
    <row r="652" spans="1:26" ht="12.75" customHeight="1">
      <c r="A652" s="268"/>
      <c r="B652" s="268"/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268"/>
      <c r="P652" s="268"/>
      <c r="Q652" s="268"/>
      <c r="R652" s="268"/>
      <c r="S652" s="268"/>
      <c r="T652" s="268"/>
      <c r="U652" s="268"/>
      <c r="V652" s="268"/>
      <c r="W652" s="268"/>
      <c r="X652" s="268"/>
      <c r="Y652" s="268"/>
      <c r="Z652" s="268"/>
    </row>
    <row r="653" spans="1:26" ht="12.75" customHeight="1">
      <c r="A653" s="268"/>
      <c r="B653" s="268"/>
      <c r="C653" s="268"/>
      <c r="D653" s="268"/>
      <c r="E653" s="268"/>
      <c r="F653" s="268"/>
      <c r="G653" s="268"/>
      <c r="H653" s="268"/>
      <c r="I653" s="268"/>
      <c r="J653" s="268"/>
      <c r="K653" s="268"/>
      <c r="L653" s="268"/>
      <c r="M653" s="268"/>
      <c r="N653" s="268"/>
      <c r="O653" s="268"/>
      <c r="P653" s="268"/>
      <c r="Q653" s="268"/>
      <c r="R653" s="268"/>
      <c r="S653" s="268"/>
      <c r="T653" s="268"/>
      <c r="U653" s="268"/>
      <c r="V653" s="268"/>
      <c r="W653" s="268"/>
      <c r="X653" s="268"/>
      <c r="Y653" s="268"/>
      <c r="Z653" s="268"/>
    </row>
    <row r="654" spans="1:26" ht="12.75" customHeight="1">
      <c r="A654" s="268"/>
      <c r="B654" s="268"/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268"/>
      <c r="P654" s="268"/>
      <c r="Q654" s="268"/>
      <c r="R654" s="268"/>
      <c r="S654" s="268"/>
      <c r="T654" s="268"/>
      <c r="U654" s="268"/>
      <c r="V654" s="268"/>
      <c r="W654" s="268"/>
      <c r="X654" s="268"/>
      <c r="Y654" s="268"/>
      <c r="Z654" s="268"/>
    </row>
    <row r="655" spans="1:26" ht="12.75" customHeight="1">
      <c r="A655" s="268"/>
      <c r="B655" s="268"/>
      <c r="C655" s="268"/>
      <c r="D655" s="268"/>
      <c r="E655" s="268"/>
      <c r="F655" s="268"/>
      <c r="G655" s="268"/>
      <c r="H655" s="268"/>
      <c r="I655" s="268"/>
      <c r="J655" s="268"/>
      <c r="K655" s="268"/>
      <c r="L655" s="268"/>
      <c r="M655" s="268"/>
      <c r="N655" s="268"/>
      <c r="O655" s="268"/>
      <c r="P655" s="268"/>
      <c r="Q655" s="268"/>
      <c r="R655" s="268"/>
      <c r="S655" s="268"/>
      <c r="T655" s="268"/>
      <c r="U655" s="268"/>
      <c r="V655" s="268"/>
      <c r="W655" s="268"/>
      <c r="X655" s="268"/>
      <c r="Y655" s="268"/>
      <c r="Z655" s="268"/>
    </row>
    <row r="656" spans="1:26" ht="12.75" customHeight="1">
      <c r="A656" s="268"/>
      <c r="B656" s="268"/>
      <c r="C656" s="268"/>
      <c r="D656" s="268"/>
      <c r="E656" s="268"/>
      <c r="F656" s="268"/>
      <c r="G656" s="268"/>
      <c r="H656" s="268"/>
      <c r="I656" s="268"/>
      <c r="J656" s="268"/>
      <c r="K656" s="268"/>
      <c r="L656" s="268"/>
      <c r="M656" s="268"/>
      <c r="N656" s="268"/>
      <c r="O656" s="268"/>
      <c r="P656" s="268"/>
      <c r="Q656" s="268"/>
      <c r="R656" s="268"/>
      <c r="S656" s="268"/>
      <c r="T656" s="268"/>
      <c r="U656" s="268"/>
      <c r="V656" s="268"/>
      <c r="W656" s="268"/>
      <c r="X656" s="268"/>
      <c r="Y656" s="268"/>
      <c r="Z656" s="268"/>
    </row>
    <row r="657" spans="1:26" ht="12.75" customHeight="1">
      <c r="A657" s="268"/>
      <c r="B657" s="268"/>
      <c r="C657" s="268"/>
      <c r="D657" s="268"/>
      <c r="E657" s="268"/>
      <c r="F657" s="268"/>
      <c r="G657" s="268"/>
      <c r="H657" s="268"/>
      <c r="I657" s="268"/>
      <c r="J657" s="268"/>
      <c r="K657" s="268"/>
      <c r="L657" s="268"/>
      <c r="M657" s="268"/>
      <c r="N657" s="268"/>
      <c r="O657" s="268"/>
      <c r="P657" s="268"/>
      <c r="Q657" s="268"/>
      <c r="R657" s="268"/>
      <c r="S657" s="268"/>
      <c r="T657" s="268"/>
      <c r="U657" s="268"/>
      <c r="V657" s="268"/>
      <c r="W657" s="268"/>
      <c r="X657" s="268"/>
      <c r="Y657" s="268"/>
      <c r="Z657" s="268"/>
    </row>
    <row r="658" spans="1:26" ht="12.75" customHeight="1">
      <c r="A658" s="268"/>
      <c r="B658" s="268"/>
      <c r="C658" s="268"/>
      <c r="D658" s="268"/>
      <c r="E658" s="268"/>
      <c r="F658" s="268"/>
      <c r="G658" s="268"/>
      <c r="H658" s="268"/>
      <c r="I658" s="268"/>
      <c r="J658" s="268"/>
      <c r="K658" s="268"/>
      <c r="L658" s="268"/>
      <c r="M658" s="268"/>
      <c r="N658" s="268"/>
      <c r="O658" s="268"/>
      <c r="P658" s="268"/>
      <c r="Q658" s="268"/>
      <c r="R658" s="268"/>
      <c r="S658" s="268"/>
      <c r="T658" s="268"/>
      <c r="U658" s="268"/>
      <c r="V658" s="268"/>
      <c r="W658" s="268"/>
      <c r="X658" s="268"/>
      <c r="Y658" s="268"/>
      <c r="Z658" s="268"/>
    </row>
    <row r="659" spans="1:26" ht="12.75" customHeight="1">
      <c r="A659" s="268"/>
      <c r="B659" s="268"/>
      <c r="C659" s="268"/>
      <c r="D659" s="268"/>
      <c r="E659" s="268"/>
      <c r="F659" s="268"/>
      <c r="G659" s="268"/>
      <c r="H659" s="268"/>
      <c r="I659" s="268"/>
      <c r="J659" s="268"/>
      <c r="K659" s="268"/>
      <c r="L659" s="268"/>
      <c r="M659" s="268"/>
      <c r="N659" s="268"/>
      <c r="O659" s="268"/>
      <c r="P659" s="268"/>
      <c r="Q659" s="268"/>
      <c r="R659" s="268"/>
      <c r="S659" s="268"/>
      <c r="T659" s="268"/>
      <c r="U659" s="268"/>
      <c r="V659" s="268"/>
      <c r="W659" s="268"/>
      <c r="X659" s="268"/>
      <c r="Y659" s="268"/>
      <c r="Z659" s="268"/>
    </row>
    <row r="660" spans="1:26" ht="12.75" customHeight="1">
      <c r="A660" s="268"/>
      <c r="B660" s="268"/>
      <c r="C660" s="268"/>
      <c r="D660" s="268"/>
      <c r="E660" s="268"/>
      <c r="F660" s="268"/>
      <c r="G660" s="268"/>
      <c r="H660" s="268"/>
      <c r="I660" s="268"/>
      <c r="J660" s="268"/>
      <c r="K660" s="268"/>
      <c r="L660" s="268"/>
      <c r="M660" s="268"/>
      <c r="N660" s="268"/>
      <c r="O660" s="268"/>
      <c r="P660" s="268"/>
      <c r="Q660" s="268"/>
      <c r="R660" s="268"/>
      <c r="S660" s="268"/>
      <c r="T660" s="268"/>
      <c r="U660" s="268"/>
      <c r="V660" s="268"/>
      <c r="W660" s="268"/>
      <c r="X660" s="268"/>
      <c r="Y660" s="268"/>
      <c r="Z660" s="268"/>
    </row>
    <row r="661" spans="1:26" ht="12.75" customHeight="1">
      <c r="A661" s="268"/>
      <c r="B661" s="268"/>
      <c r="C661" s="268"/>
      <c r="D661" s="268"/>
      <c r="E661" s="268"/>
      <c r="F661" s="268"/>
      <c r="G661" s="268"/>
      <c r="H661" s="268"/>
      <c r="I661" s="268"/>
      <c r="J661" s="268"/>
      <c r="K661" s="268"/>
      <c r="L661" s="268"/>
      <c r="M661" s="268"/>
      <c r="N661" s="268"/>
      <c r="O661" s="268"/>
      <c r="P661" s="268"/>
      <c r="Q661" s="268"/>
      <c r="R661" s="268"/>
      <c r="S661" s="268"/>
      <c r="T661" s="268"/>
      <c r="U661" s="268"/>
      <c r="V661" s="268"/>
      <c r="W661" s="268"/>
      <c r="X661" s="268"/>
      <c r="Y661" s="268"/>
      <c r="Z661" s="268"/>
    </row>
    <row r="662" spans="1:26" ht="12.75" customHeight="1">
      <c r="A662" s="268"/>
      <c r="B662" s="268"/>
      <c r="C662" s="268"/>
      <c r="D662" s="268"/>
      <c r="E662" s="268"/>
      <c r="F662" s="268"/>
      <c r="G662" s="268"/>
      <c r="H662" s="268"/>
      <c r="I662" s="268"/>
      <c r="J662" s="268"/>
      <c r="K662" s="268"/>
      <c r="L662" s="268"/>
      <c r="M662" s="268"/>
      <c r="N662" s="268"/>
      <c r="O662" s="268"/>
      <c r="P662" s="268"/>
      <c r="Q662" s="268"/>
      <c r="R662" s="268"/>
      <c r="S662" s="268"/>
      <c r="T662" s="268"/>
      <c r="U662" s="268"/>
      <c r="V662" s="268"/>
      <c r="W662" s="268"/>
      <c r="X662" s="268"/>
      <c r="Y662" s="268"/>
      <c r="Z662" s="268"/>
    </row>
    <row r="663" spans="1:26" ht="12.75" customHeight="1">
      <c r="A663" s="268"/>
      <c r="B663" s="268"/>
      <c r="C663" s="268"/>
      <c r="D663" s="268"/>
      <c r="E663" s="268"/>
      <c r="F663" s="268"/>
      <c r="G663" s="268"/>
      <c r="H663" s="268"/>
      <c r="I663" s="268"/>
      <c r="J663" s="268"/>
      <c r="K663" s="268"/>
      <c r="L663" s="268"/>
      <c r="M663" s="268"/>
      <c r="N663" s="268"/>
      <c r="O663" s="268"/>
      <c r="P663" s="268"/>
      <c r="Q663" s="268"/>
      <c r="R663" s="268"/>
      <c r="S663" s="268"/>
      <c r="T663" s="268"/>
      <c r="U663" s="268"/>
      <c r="V663" s="268"/>
      <c r="W663" s="268"/>
      <c r="X663" s="268"/>
      <c r="Y663" s="268"/>
      <c r="Z663" s="268"/>
    </row>
    <row r="664" spans="1:26" ht="12.75" customHeight="1">
      <c r="A664" s="268"/>
      <c r="B664" s="268"/>
      <c r="C664" s="268"/>
      <c r="D664" s="268"/>
      <c r="E664" s="268"/>
      <c r="F664" s="268"/>
      <c r="G664" s="268"/>
      <c r="H664" s="268"/>
      <c r="I664" s="268"/>
      <c r="J664" s="268"/>
      <c r="K664" s="268"/>
      <c r="L664" s="268"/>
      <c r="M664" s="268"/>
      <c r="N664" s="268"/>
      <c r="O664" s="268"/>
      <c r="P664" s="268"/>
      <c r="Q664" s="268"/>
      <c r="R664" s="268"/>
      <c r="S664" s="268"/>
      <c r="T664" s="268"/>
      <c r="U664" s="268"/>
      <c r="V664" s="268"/>
      <c r="W664" s="268"/>
      <c r="X664" s="268"/>
      <c r="Y664" s="268"/>
      <c r="Z664" s="268"/>
    </row>
    <row r="665" spans="1:26" ht="12.75" customHeight="1">
      <c r="A665" s="268"/>
      <c r="B665" s="268"/>
      <c r="C665" s="268"/>
      <c r="D665" s="268"/>
      <c r="E665" s="268"/>
      <c r="F665" s="268"/>
      <c r="G665" s="268"/>
      <c r="H665" s="268"/>
      <c r="I665" s="268"/>
      <c r="J665" s="268"/>
      <c r="K665" s="268"/>
      <c r="L665" s="268"/>
      <c r="M665" s="268"/>
      <c r="N665" s="268"/>
      <c r="O665" s="268"/>
      <c r="P665" s="268"/>
      <c r="Q665" s="268"/>
      <c r="R665" s="268"/>
      <c r="S665" s="268"/>
      <c r="T665" s="268"/>
      <c r="U665" s="268"/>
      <c r="V665" s="268"/>
      <c r="W665" s="268"/>
      <c r="X665" s="268"/>
      <c r="Y665" s="268"/>
      <c r="Z665" s="268"/>
    </row>
    <row r="666" spans="1:26" ht="12.75" customHeight="1">
      <c r="A666" s="268"/>
      <c r="B666" s="268"/>
      <c r="C666" s="268"/>
      <c r="D666" s="268"/>
      <c r="E666" s="268"/>
      <c r="F666" s="268"/>
      <c r="G666" s="268"/>
      <c r="H666" s="268"/>
      <c r="I666" s="268"/>
      <c r="J666" s="268"/>
      <c r="K666" s="268"/>
      <c r="L666" s="268"/>
      <c r="M666" s="268"/>
      <c r="N666" s="268"/>
      <c r="O666" s="268"/>
      <c r="P666" s="268"/>
      <c r="Q666" s="268"/>
      <c r="R666" s="268"/>
      <c r="S666" s="268"/>
      <c r="T666" s="268"/>
      <c r="U666" s="268"/>
      <c r="V666" s="268"/>
      <c r="W666" s="268"/>
      <c r="X666" s="268"/>
      <c r="Y666" s="268"/>
      <c r="Z666" s="268"/>
    </row>
    <row r="667" spans="1:26" ht="12.75" customHeight="1">
      <c r="A667" s="268"/>
      <c r="B667" s="268"/>
      <c r="C667" s="268"/>
      <c r="D667" s="268"/>
      <c r="E667" s="268"/>
      <c r="F667" s="268"/>
      <c r="G667" s="268"/>
      <c r="H667" s="268"/>
      <c r="I667" s="268"/>
      <c r="J667" s="268"/>
      <c r="K667" s="268"/>
      <c r="L667" s="268"/>
      <c r="M667" s="268"/>
      <c r="N667" s="268"/>
      <c r="O667" s="268"/>
      <c r="P667" s="268"/>
      <c r="Q667" s="268"/>
      <c r="R667" s="268"/>
      <c r="S667" s="268"/>
      <c r="T667" s="268"/>
      <c r="U667" s="268"/>
      <c r="V667" s="268"/>
      <c r="W667" s="268"/>
      <c r="X667" s="268"/>
      <c r="Y667" s="268"/>
      <c r="Z667" s="268"/>
    </row>
    <row r="668" spans="1:26" ht="12.75" customHeight="1">
      <c r="A668" s="268"/>
      <c r="B668" s="268"/>
      <c r="C668" s="268"/>
      <c r="D668" s="268"/>
      <c r="E668" s="268"/>
      <c r="F668" s="268"/>
      <c r="G668" s="268"/>
      <c r="H668" s="268"/>
      <c r="I668" s="268"/>
      <c r="J668" s="268"/>
      <c r="K668" s="268"/>
      <c r="L668" s="268"/>
      <c r="M668" s="268"/>
      <c r="N668" s="268"/>
      <c r="O668" s="268"/>
      <c r="P668" s="268"/>
      <c r="Q668" s="268"/>
      <c r="R668" s="268"/>
      <c r="S668" s="268"/>
      <c r="T668" s="268"/>
      <c r="U668" s="268"/>
      <c r="V668" s="268"/>
      <c r="W668" s="268"/>
      <c r="X668" s="268"/>
      <c r="Y668" s="268"/>
      <c r="Z668" s="268"/>
    </row>
    <row r="669" spans="1:26" ht="12.75" customHeight="1">
      <c r="A669" s="268"/>
      <c r="B669" s="268"/>
      <c r="C669" s="268"/>
      <c r="D669" s="268"/>
      <c r="E669" s="268"/>
      <c r="F669" s="268"/>
      <c r="G669" s="268"/>
      <c r="H669" s="268"/>
      <c r="I669" s="268"/>
      <c r="J669" s="268"/>
      <c r="K669" s="268"/>
      <c r="L669" s="268"/>
      <c r="M669" s="268"/>
      <c r="N669" s="268"/>
      <c r="O669" s="268"/>
      <c r="P669" s="268"/>
      <c r="Q669" s="268"/>
      <c r="R669" s="268"/>
      <c r="S669" s="268"/>
      <c r="T669" s="268"/>
      <c r="U669" s="268"/>
      <c r="V669" s="268"/>
      <c r="W669" s="268"/>
      <c r="X669" s="268"/>
      <c r="Y669" s="268"/>
      <c r="Z669" s="268"/>
    </row>
    <row r="670" spans="1:26" ht="12.75" customHeight="1">
      <c r="A670" s="268"/>
      <c r="B670" s="268"/>
      <c r="C670" s="268"/>
      <c r="D670" s="268"/>
      <c r="E670" s="268"/>
      <c r="F670" s="268"/>
      <c r="G670" s="268"/>
      <c r="H670" s="268"/>
      <c r="I670" s="268"/>
      <c r="J670" s="268"/>
      <c r="K670" s="268"/>
      <c r="L670" s="268"/>
      <c r="M670" s="268"/>
      <c r="N670" s="268"/>
      <c r="O670" s="268"/>
      <c r="P670" s="268"/>
      <c r="Q670" s="268"/>
      <c r="R670" s="268"/>
      <c r="S670" s="268"/>
      <c r="T670" s="268"/>
      <c r="U670" s="268"/>
      <c r="V670" s="268"/>
      <c r="W670" s="268"/>
      <c r="X670" s="268"/>
      <c r="Y670" s="268"/>
      <c r="Z670" s="268"/>
    </row>
    <row r="671" spans="1:26" ht="12.75" customHeight="1">
      <c r="A671" s="268"/>
      <c r="B671" s="268"/>
      <c r="C671" s="268"/>
      <c r="D671" s="268"/>
      <c r="E671" s="268"/>
      <c r="F671" s="268"/>
      <c r="G671" s="268"/>
      <c r="H671" s="268"/>
      <c r="I671" s="268"/>
      <c r="J671" s="268"/>
      <c r="K671" s="268"/>
      <c r="L671" s="268"/>
      <c r="M671" s="268"/>
      <c r="N671" s="268"/>
      <c r="O671" s="268"/>
      <c r="P671" s="268"/>
      <c r="Q671" s="268"/>
      <c r="R671" s="268"/>
      <c r="S671" s="268"/>
      <c r="T671" s="268"/>
      <c r="U671" s="268"/>
      <c r="V671" s="268"/>
      <c r="W671" s="268"/>
      <c r="X671" s="268"/>
      <c r="Y671" s="268"/>
      <c r="Z671" s="268"/>
    </row>
    <row r="672" spans="1:26" ht="12.75" customHeight="1">
      <c r="A672" s="268"/>
      <c r="B672" s="268"/>
      <c r="C672" s="268"/>
      <c r="D672" s="268"/>
      <c r="E672" s="268"/>
      <c r="F672" s="268"/>
      <c r="G672" s="268"/>
      <c r="H672" s="268"/>
      <c r="I672" s="268"/>
      <c r="J672" s="268"/>
      <c r="K672" s="268"/>
      <c r="L672" s="268"/>
      <c r="M672" s="268"/>
      <c r="N672" s="268"/>
      <c r="O672" s="268"/>
      <c r="P672" s="268"/>
      <c r="Q672" s="268"/>
      <c r="R672" s="268"/>
      <c r="S672" s="268"/>
      <c r="T672" s="268"/>
      <c r="U672" s="268"/>
      <c r="V672" s="268"/>
      <c r="W672" s="268"/>
      <c r="X672" s="268"/>
      <c r="Y672" s="268"/>
      <c r="Z672" s="268"/>
    </row>
    <row r="673" spans="1:26" ht="12.75" customHeight="1">
      <c r="A673" s="268"/>
      <c r="B673" s="268"/>
      <c r="C673" s="268"/>
      <c r="D673" s="268"/>
      <c r="E673" s="268"/>
      <c r="F673" s="268"/>
      <c r="G673" s="268"/>
      <c r="H673" s="268"/>
      <c r="I673" s="268"/>
      <c r="J673" s="268"/>
      <c r="K673" s="268"/>
      <c r="L673" s="268"/>
      <c r="M673" s="268"/>
      <c r="N673" s="268"/>
      <c r="O673" s="268"/>
      <c r="P673" s="268"/>
      <c r="Q673" s="268"/>
      <c r="R673" s="268"/>
      <c r="S673" s="268"/>
      <c r="T673" s="268"/>
      <c r="U673" s="268"/>
      <c r="V673" s="268"/>
      <c r="W673" s="268"/>
      <c r="X673" s="268"/>
      <c r="Y673" s="268"/>
      <c r="Z673" s="268"/>
    </row>
    <row r="674" spans="1:26" ht="12.75" customHeight="1">
      <c r="A674" s="268"/>
      <c r="B674" s="268"/>
      <c r="C674" s="268"/>
      <c r="D674" s="268"/>
      <c r="E674" s="268"/>
      <c r="F674" s="268"/>
      <c r="G674" s="268"/>
      <c r="H674" s="268"/>
      <c r="I674" s="268"/>
      <c r="J674" s="268"/>
      <c r="K674" s="268"/>
      <c r="L674" s="268"/>
      <c r="M674" s="268"/>
      <c r="N674" s="268"/>
      <c r="O674" s="268"/>
      <c r="P674" s="268"/>
      <c r="Q674" s="268"/>
      <c r="R674" s="268"/>
      <c r="S674" s="268"/>
      <c r="T674" s="268"/>
      <c r="U674" s="268"/>
      <c r="V674" s="268"/>
      <c r="W674" s="268"/>
      <c r="X674" s="268"/>
      <c r="Y674" s="268"/>
      <c r="Z674" s="268"/>
    </row>
    <row r="675" spans="1:26" ht="12.75" customHeight="1">
      <c r="A675" s="268"/>
      <c r="B675" s="268"/>
      <c r="C675" s="268"/>
      <c r="D675" s="268"/>
      <c r="E675" s="268"/>
      <c r="F675" s="268"/>
      <c r="G675" s="268"/>
      <c r="H675" s="268"/>
      <c r="I675" s="268"/>
      <c r="J675" s="268"/>
      <c r="K675" s="268"/>
      <c r="L675" s="268"/>
      <c r="M675" s="268"/>
      <c r="N675" s="268"/>
      <c r="O675" s="268"/>
      <c r="P675" s="268"/>
      <c r="Q675" s="268"/>
      <c r="R675" s="268"/>
      <c r="S675" s="268"/>
      <c r="T675" s="268"/>
      <c r="U675" s="268"/>
      <c r="V675" s="268"/>
      <c r="W675" s="268"/>
      <c r="X675" s="268"/>
      <c r="Y675" s="268"/>
      <c r="Z675" s="268"/>
    </row>
    <row r="676" spans="1:26" ht="12.75" customHeight="1">
      <c r="A676" s="268"/>
      <c r="B676" s="268"/>
      <c r="C676" s="268"/>
      <c r="D676" s="268"/>
      <c r="E676" s="268"/>
      <c r="F676" s="268"/>
      <c r="G676" s="268"/>
      <c r="H676" s="268"/>
      <c r="I676" s="268"/>
      <c r="J676" s="268"/>
      <c r="K676" s="268"/>
      <c r="L676" s="268"/>
      <c r="M676" s="268"/>
      <c r="N676" s="268"/>
      <c r="O676" s="268"/>
      <c r="P676" s="268"/>
      <c r="Q676" s="268"/>
      <c r="R676" s="268"/>
      <c r="S676" s="268"/>
      <c r="T676" s="268"/>
      <c r="U676" s="268"/>
      <c r="V676" s="268"/>
      <c r="W676" s="268"/>
      <c r="X676" s="268"/>
      <c r="Y676" s="268"/>
      <c r="Z676" s="268"/>
    </row>
    <row r="677" spans="1:26" ht="12.75" customHeight="1">
      <c r="A677" s="268"/>
      <c r="B677" s="268"/>
      <c r="C677" s="268"/>
      <c r="D677" s="268"/>
      <c r="E677" s="268"/>
      <c r="F677" s="268"/>
      <c r="G677" s="268"/>
      <c r="H677" s="268"/>
      <c r="I677" s="268"/>
      <c r="J677" s="268"/>
      <c r="K677" s="268"/>
      <c r="L677" s="268"/>
      <c r="M677" s="268"/>
      <c r="N677" s="268"/>
      <c r="O677" s="268"/>
      <c r="P677" s="268"/>
      <c r="Q677" s="268"/>
      <c r="R677" s="268"/>
      <c r="S677" s="268"/>
      <c r="T677" s="268"/>
      <c r="U677" s="268"/>
      <c r="V677" s="268"/>
      <c r="W677" s="268"/>
      <c r="X677" s="268"/>
      <c r="Y677" s="268"/>
      <c r="Z677" s="268"/>
    </row>
    <row r="678" spans="1:26" ht="12.75" customHeight="1">
      <c r="A678" s="268"/>
      <c r="B678" s="268"/>
      <c r="C678" s="268"/>
      <c r="D678" s="268"/>
      <c r="E678" s="268"/>
      <c r="F678" s="268"/>
      <c r="G678" s="268"/>
      <c r="H678" s="268"/>
      <c r="I678" s="268"/>
      <c r="J678" s="268"/>
      <c r="K678" s="268"/>
      <c r="L678" s="268"/>
      <c r="M678" s="268"/>
      <c r="N678" s="268"/>
      <c r="O678" s="268"/>
      <c r="P678" s="268"/>
      <c r="Q678" s="268"/>
      <c r="R678" s="268"/>
      <c r="S678" s="268"/>
      <c r="T678" s="268"/>
      <c r="U678" s="268"/>
      <c r="V678" s="268"/>
      <c r="W678" s="268"/>
      <c r="X678" s="268"/>
      <c r="Y678" s="268"/>
      <c r="Z678" s="268"/>
    </row>
    <row r="679" spans="1:26" ht="12.75" customHeight="1">
      <c r="A679" s="268"/>
      <c r="B679" s="268"/>
      <c r="C679" s="268"/>
      <c r="D679" s="268"/>
      <c r="E679" s="268"/>
      <c r="F679" s="268"/>
      <c r="G679" s="268"/>
      <c r="H679" s="268"/>
      <c r="I679" s="268"/>
      <c r="J679" s="268"/>
      <c r="K679" s="268"/>
      <c r="L679" s="268"/>
      <c r="M679" s="268"/>
      <c r="N679" s="268"/>
      <c r="O679" s="268"/>
      <c r="P679" s="268"/>
      <c r="Q679" s="268"/>
      <c r="R679" s="268"/>
      <c r="S679" s="268"/>
      <c r="T679" s="268"/>
      <c r="U679" s="268"/>
      <c r="V679" s="268"/>
      <c r="W679" s="268"/>
      <c r="X679" s="268"/>
      <c r="Y679" s="268"/>
      <c r="Z679" s="268"/>
    </row>
    <row r="680" spans="1:26" ht="12.75" customHeight="1">
      <c r="A680" s="268"/>
      <c r="B680" s="268"/>
      <c r="C680" s="268"/>
      <c r="D680" s="268"/>
      <c r="E680" s="268"/>
      <c r="F680" s="268"/>
      <c r="G680" s="268"/>
      <c r="H680" s="268"/>
      <c r="I680" s="268"/>
      <c r="J680" s="268"/>
      <c r="K680" s="268"/>
      <c r="L680" s="268"/>
      <c r="M680" s="268"/>
      <c r="N680" s="268"/>
      <c r="O680" s="268"/>
      <c r="P680" s="268"/>
      <c r="Q680" s="268"/>
      <c r="R680" s="268"/>
      <c r="S680" s="268"/>
      <c r="T680" s="268"/>
      <c r="U680" s="268"/>
      <c r="V680" s="268"/>
      <c r="W680" s="268"/>
      <c r="X680" s="268"/>
      <c r="Y680" s="268"/>
      <c r="Z680" s="268"/>
    </row>
    <row r="681" spans="1:26" ht="12.75" customHeight="1">
      <c r="A681" s="268"/>
      <c r="B681" s="268"/>
      <c r="C681" s="268"/>
      <c r="D681" s="268"/>
      <c r="E681" s="268"/>
      <c r="F681" s="268"/>
      <c r="G681" s="268"/>
      <c r="H681" s="268"/>
      <c r="I681" s="268"/>
      <c r="J681" s="268"/>
      <c r="K681" s="268"/>
      <c r="L681" s="268"/>
      <c r="M681" s="268"/>
      <c r="N681" s="268"/>
      <c r="O681" s="268"/>
      <c r="P681" s="268"/>
      <c r="Q681" s="268"/>
      <c r="R681" s="268"/>
      <c r="S681" s="268"/>
      <c r="T681" s="268"/>
      <c r="U681" s="268"/>
      <c r="V681" s="268"/>
      <c r="W681" s="268"/>
      <c r="X681" s="268"/>
      <c r="Y681" s="268"/>
      <c r="Z681" s="268"/>
    </row>
    <row r="682" spans="1:26" ht="12.75" customHeight="1">
      <c r="A682" s="268"/>
      <c r="B682" s="268"/>
      <c r="C682" s="268"/>
      <c r="D682" s="268"/>
      <c r="E682" s="268"/>
      <c r="F682" s="268"/>
      <c r="G682" s="268"/>
      <c r="H682" s="268"/>
      <c r="I682" s="268"/>
      <c r="J682" s="268"/>
      <c r="K682" s="268"/>
      <c r="L682" s="268"/>
      <c r="M682" s="268"/>
      <c r="N682" s="268"/>
      <c r="O682" s="268"/>
      <c r="P682" s="268"/>
      <c r="Q682" s="268"/>
      <c r="R682" s="268"/>
      <c r="S682" s="268"/>
      <c r="T682" s="268"/>
      <c r="U682" s="268"/>
      <c r="V682" s="268"/>
      <c r="W682" s="268"/>
      <c r="X682" s="268"/>
      <c r="Y682" s="268"/>
      <c r="Z682" s="268"/>
    </row>
    <row r="683" spans="1:26" ht="12.75" customHeight="1">
      <c r="A683" s="268"/>
      <c r="B683" s="268"/>
      <c r="C683" s="268"/>
      <c r="D683" s="268"/>
      <c r="E683" s="268"/>
      <c r="F683" s="268"/>
      <c r="G683" s="268"/>
      <c r="H683" s="268"/>
      <c r="I683" s="268"/>
      <c r="J683" s="268"/>
      <c r="K683" s="268"/>
      <c r="L683" s="268"/>
      <c r="M683" s="268"/>
      <c r="N683" s="268"/>
      <c r="O683" s="268"/>
      <c r="P683" s="268"/>
      <c r="Q683" s="268"/>
      <c r="R683" s="268"/>
      <c r="S683" s="268"/>
      <c r="T683" s="268"/>
      <c r="U683" s="268"/>
      <c r="V683" s="268"/>
      <c r="W683" s="268"/>
      <c r="X683" s="268"/>
      <c r="Y683" s="268"/>
      <c r="Z683" s="268"/>
    </row>
    <row r="684" spans="1:26" ht="12.75" customHeight="1">
      <c r="A684" s="268"/>
      <c r="B684" s="268"/>
      <c r="C684" s="268"/>
      <c r="D684" s="268"/>
      <c r="E684" s="268"/>
      <c r="F684" s="268"/>
      <c r="G684" s="268"/>
      <c r="H684" s="268"/>
      <c r="I684" s="268"/>
      <c r="J684" s="268"/>
      <c r="K684" s="268"/>
      <c r="L684" s="268"/>
      <c r="M684" s="268"/>
      <c r="N684" s="268"/>
      <c r="O684" s="268"/>
      <c r="P684" s="268"/>
      <c r="Q684" s="268"/>
      <c r="R684" s="268"/>
      <c r="S684" s="268"/>
      <c r="T684" s="268"/>
      <c r="U684" s="268"/>
      <c r="V684" s="268"/>
      <c r="W684" s="268"/>
      <c r="X684" s="268"/>
      <c r="Y684" s="268"/>
      <c r="Z684" s="268"/>
    </row>
    <row r="685" spans="1:26" ht="12.75" customHeight="1">
      <c r="A685" s="268"/>
      <c r="B685" s="268"/>
      <c r="C685" s="268"/>
      <c r="D685" s="268"/>
      <c r="E685" s="268"/>
      <c r="F685" s="268"/>
      <c r="G685" s="268"/>
      <c r="H685" s="268"/>
      <c r="I685" s="268"/>
      <c r="J685" s="268"/>
      <c r="K685" s="268"/>
      <c r="L685" s="268"/>
      <c r="M685" s="268"/>
      <c r="N685" s="268"/>
      <c r="O685" s="268"/>
      <c r="P685" s="268"/>
      <c r="Q685" s="268"/>
      <c r="R685" s="268"/>
      <c r="S685" s="268"/>
      <c r="T685" s="268"/>
      <c r="U685" s="268"/>
      <c r="V685" s="268"/>
      <c r="W685" s="268"/>
      <c r="X685" s="268"/>
      <c r="Y685" s="268"/>
      <c r="Z685" s="268"/>
    </row>
    <row r="686" spans="1:26" ht="12.75" customHeight="1">
      <c r="A686" s="268"/>
      <c r="B686" s="268"/>
      <c r="C686" s="268"/>
      <c r="D686" s="268"/>
      <c r="E686" s="268"/>
      <c r="F686" s="268"/>
      <c r="G686" s="268"/>
      <c r="H686" s="268"/>
      <c r="I686" s="268"/>
      <c r="J686" s="268"/>
      <c r="K686" s="268"/>
      <c r="L686" s="268"/>
      <c r="M686" s="268"/>
      <c r="N686" s="268"/>
      <c r="O686" s="268"/>
      <c r="P686" s="268"/>
      <c r="Q686" s="268"/>
      <c r="R686" s="268"/>
      <c r="S686" s="268"/>
      <c r="T686" s="268"/>
      <c r="U686" s="268"/>
      <c r="V686" s="268"/>
      <c r="W686" s="268"/>
      <c r="X686" s="268"/>
      <c r="Y686" s="268"/>
      <c r="Z686" s="268"/>
    </row>
    <row r="687" spans="1:26" ht="12.75" customHeight="1">
      <c r="A687" s="268"/>
      <c r="B687" s="268"/>
      <c r="C687" s="268"/>
      <c r="D687" s="268"/>
      <c r="E687" s="268"/>
      <c r="F687" s="268"/>
      <c r="G687" s="268"/>
      <c r="H687" s="268"/>
      <c r="I687" s="268"/>
      <c r="J687" s="268"/>
      <c r="K687" s="268"/>
      <c r="L687" s="268"/>
      <c r="M687" s="268"/>
      <c r="N687" s="268"/>
      <c r="O687" s="268"/>
      <c r="P687" s="268"/>
      <c r="Q687" s="268"/>
      <c r="R687" s="268"/>
      <c r="S687" s="268"/>
      <c r="T687" s="268"/>
      <c r="U687" s="268"/>
      <c r="V687" s="268"/>
      <c r="W687" s="268"/>
      <c r="X687" s="268"/>
      <c r="Y687" s="268"/>
      <c r="Z687" s="268"/>
    </row>
    <row r="688" spans="1:26" ht="12.75" customHeight="1">
      <c r="A688" s="268"/>
      <c r="B688" s="268"/>
      <c r="C688" s="268"/>
      <c r="D688" s="268"/>
      <c r="E688" s="268"/>
      <c r="F688" s="268"/>
      <c r="G688" s="268"/>
      <c r="H688" s="268"/>
      <c r="I688" s="268"/>
      <c r="J688" s="268"/>
      <c r="K688" s="268"/>
      <c r="L688" s="268"/>
      <c r="M688" s="268"/>
      <c r="N688" s="268"/>
      <c r="O688" s="268"/>
      <c r="P688" s="268"/>
      <c r="Q688" s="268"/>
      <c r="R688" s="268"/>
      <c r="S688" s="268"/>
      <c r="T688" s="268"/>
      <c r="U688" s="268"/>
      <c r="V688" s="268"/>
      <c r="W688" s="268"/>
      <c r="X688" s="268"/>
      <c r="Y688" s="268"/>
      <c r="Z688" s="268"/>
    </row>
    <row r="689" spans="1:26" ht="12.75" customHeight="1">
      <c r="A689" s="268"/>
      <c r="B689" s="268"/>
      <c r="C689" s="268"/>
      <c r="D689" s="268"/>
      <c r="E689" s="268"/>
      <c r="F689" s="268"/>
      <c r="G689" s="268"/>
      <c r="H689" s="268"/>
      <c r="I689" s="268"/>
      <c r="J689" s="268"/>
      <c r="K689" s="268"/>
      <c r="L689" s="268"/>
      <c r="M689" s="268"/>
      <c r="N689" s="268"/>
      <c r="O689" s="268"/>
      <c r="P689" s="268"/>
      <c r="Q689" s="268"/>
      <c r="R689" s="268"/>
      <c r="S689" s="268"/>
      <c r="T689" s="268"/>
      <c r="U689" s="268"/>
      <c r="V689" s="268"/>
      <c r="W689" s="268"/>
      <c r="X689" s="268"/>
      <c r="Y689" s="268"/>
      <c r="Z689" s="268"/>
    </row>
    <row r="690" spans="1:26" ht="12.75" customHeight="1">
      <c r="A690" s="268"/>
      <c r="B690" s="268"/>
      <c r="C690" s="268"/>
      <c r="D690" s="268"/>
      <c r="E690" s="268"/>
      <c r="F690" s="268"/>
      <c r="G690" s="268"/>
      <c r="H690" s="268"/>
      <c r="I690" s="268"/>
      <c r="J690" s="268"/>
      <c r="K690" s="268"/>
      <c r="L690" s="268"/>
      <c r="M690" s="268"/>
      <c r="N690" s="268"/>
      <c r="O690" s="268"/>
      <c r="P690" s="268"/>
      <c r="Q690" s="268"/>
      <c r="R690" s="268"/>
      <c r="S690" s="268"/>
      <c r="T690" s="268"/>
      <c r="U690" s="268"/>
      <c r="V690" s="268"/>
      <c r="W690" s="268"/>
      <c r="X690" s="268"/>
      <c r="Y690" s="268"/>
      <c r="Z690" s="268"/>
    </row>
    <row r="691" spans="1:26" ht="12.75" customHeight="1">
      <c r="A691" s="268"/>
      <c r="B691" s="268"/>
      <c r="C691" s="268"/>
      <c r="D691" s="268"/>
      <c r="E691" s="268"/>
      <c r="F691" s="268"/>
      <c r="G691" s="268"/>
      <c r="H691" s="268"/>
      <c r="I691" s="268"/>
      <c r="J691" s="268"/>
      <c r="K691" s="268"/>
      <c r="L691" s="268"/>
      <c r="M691" s="268"/>
      <c r="N691" s="268"/>
      <c r="O691" s="268"/>
      <c r="P691" s="268"/>
      <c r="Q691" s="268"/>
      <c r="R691" s="268"/>
      <c r="S691" s="268"/>
      <c r="T691" s="268"/>
      <c r="U691" s="268"/>
      <c r="V691" s="268"/>
      <c r="W691" s="268"/>
      <c r="X691" s="268"/>
      <c r="Y691" s="268"/>
      <c r="Z691" s="268"/>
    </row>
    <row r="692" spans="1:26" ht="12.75" customHeight="1">
      <c r="A692" s="268"/>
      <c r="B692" s="268"/>
      <c r="C692" s="268"/>
      <c r="D692" s="268"/>
      <c r="E692" s="268"/>
      <c r="F692" s="268"/>
      <c r="G692" s="268"/>
      <c r="H692" s="268"/>
      <c r="I692" s="268"/>
      <c r="J692" s="268"/>
      <c r="K692" s="268"/>
      <c r="L692" s="268"/>
      <c r="M692" s="268"/>
      <c r="N692" s="268"/>
      <c r="O692" s="268"/>
      <c r="P692" s="268"/>
      <c r="Q692" s="268"/>
      <c r="R692" s="268"/>
      <c r="S692" s="268"/>
      <c r="T692" s="268"/>
      <c r="U692" s="268"/>
      <c r="V692" s="268"/>
      <c r="W692" s="268"/>
      <c r="X692" s="268"/>
      <c r="Y692" s="268"/>
      <c r="Z692" s="268"/>
    </row>
    <row r="693" spans="1:26" ht="12.75" customHeight="1">
      <c r="A693" s="268"/>
      <c r="B693" s="268"/>
      <c r="C693" s="268"/>
      <c r="D693" s="268"/>
      <c r="E693" s="268"/>
      <c r="F693" s="268"/>
      <c r="G693" s="268"/>
      <c r="H693" s="268"/>
      <c r="I693" s="268"/>
      <c r="J693" s="268"/>
      <c r="K693" s="268"/>
      <c r="L693" s="268"/>
      <c r="M693" s="268"/>
      <c r="N693" s="268"/>
      <c r="O693" s="268"/>
      <c r="P693" s="268"/>
      <c r="Q693" s="268"/>
      <c r="R693" s="268"/>
      <c r="S693" s="268"/>
      <c r="T693" s="268"/>
      <c r="U693" s="268"/>
      <c r="V693" s="268"/>
      <c r="W693" s="268"/>
      <c r="X693" s="268"/>
      <c r="Y693" s="268"/>
      <c r="Z693" s="268"/>
    </row>
    <row r="694" spans="1:26" ht="12.75" customHeight="1">
      <c r="A694" s="268"/>
      <c r="B694" s="268"/>
      <c r="C694" s="268"/>
      <c r="D694" s="268"/>
      <c r="E694" s="268"/>
      <c r="F694" s="268"/>
      <c r="G694" s="268"/>
      <c r="H694" s="268"/>
      <c r="I694" s="268"/>
      <c r="J694" s="268"/>
      <c r="K694" s="268"/>
      <c r="L694" s="268"/>
      <c r="M694" s="268"/>
      <c r="N694" s="268"/>
      <c r="O694" s="268"/>
      <c r="P694" s="268"/>
      <c r="Q694" s="268"/>
      <c r="R694" s="268"/>
      <c r="S694" s="268"/>
      <c r="T694" s="268"/>
      <c r="U694" s="268"/>
      <c r="V694" s="268"/>
      <c r="W694" s="268"/>
      <c r="X694" s="268"/>
      <c r="Y694" s="268"/>
      <c r="Z694" s="268"/>
    </row>
    <row r="695" spans="1:26" ht="12.75" customHeight="1">
      <c r="A695" s="268"/>
      <c r="B695" s="268"/>
      <c r="C695" s="268"/>
      <c r="D695" s="268"/>
      <c r="E695" s="268"/>
      <c r="F695" s="268"/>
      <c r="G695" s="268"/>
      <c r="H695" s="268"/>
      <c r="I695" s="268"/>
      <c r="J695" s="268"/>
      <c r="K695" s="268"/>
      <c r="L695" s="268"/>
      <c r="M695" s="268"/>
      <c r="N695" s="268"/>
      <c r="O695" s="268"/>
      <c r="P695" s="268"/>
      <c r="Q695" s="268"/>
      <c r="R695" s="268"/>
      <c r="S695" s="268"/>
      <c r="T695" s="268"/>
      <c r="U695" s="268"/>
      <c r="V695" s="268"/>
      <c r="W695" s="268"/>
      <c r="X695" s="268"/>
      <c r="Y695" s="268"/>
      <c r="Z695" s="268"/>
    </row>
    <row r="696" spans="1:26" ht="12.75" customHeight="1">
      <c r="A696" s="268"/>
      <c r="B696" s="268"/>
      <c r="C696" s="268"/>
      <c r="D696" s="268"/>
      <c r="E696" s="268"/>
      <c r="F696" s="268"/>
      <c r="G696" s="268"/>
      <c r="H696" s="268"/>
      <c r="I696" s="268"/>
      <c r="J696" s="268"/>
      <c r="K696" s="268"/>
      <c r="L696" s="268"/>
      <c r="M696" s="268"/>
      <c r="N696" s="268"/>
      <c r="O696" s="268"/>
      <c r="P696" s="268"/>
      <c r="Q696" s="268"/>
      <c r="R696" s="268"/>
      <c r="S696" s="268"/>
      <c r="T696" s="268"/>
      <c r="U696" s="268"/>
      <c r="V696" s="268"/>
      <c r="W696" s="268"/>
      <c r="X696" s="268"/>
      <c r="Y696" s="268"/>
      <c r="Z696" s="268"/>
    </row>
    <row r="697" spans="1:26" ht="12.75" customHeight="1">
      <c r="A697" s="268"/>
      <c r="B697" s="268"/>
      <c r="C697" s="268"/>
      <c r="D697" s="268"/>
      <c r="E697" s="268"/>
      <c r="F697" s="268"/>
      <c r="G697" s="268"/>
      <c r="H697" s="268"/>
      <c r="I697" s="268"/>
      <c r="J697" s="268"/>
      <c r="K697" s="268"/>
      <c r="L697" s="268"/>
      <c r="M697" s="268"/>
      <c r="N697" s="268"/>
      <c r="O697" s="268"/>
      <c r="P697" s="268"/>
      <c r="Q697" s="268"/>
      <c r="R697" s="268"/>
      <c r="S697" s="268"/>
      <c r="T697" s="268"/>
      <c r="U697" s="268"/>
      <c r="V697" s="268"/>
      <c r="W697" s="268"/>
      <c r="X697" s="268"/>
      <c r="Y697" s="268"/>
      <c r="Z697" s="268"/>
    </row>
    <row r="698" spans="1:26" ht="12.75" customHeight="1">
      <c r="A698" s="268"/>
      <c r="B698" s="268"/>
      <c r="C698" s="268"/>
      <c r="D698" s="268"/>
      <c r="E698" s="268"/>
      <c r="F698" s="268"/>
      <c r="G698" s="268"/>
      <c r="H698" s="268"/>
      <c r="I698" s="268"/>
      <c r="J698" s="268"/>
      <c r="K698" s="268"/>
      <c r="L698" s="268"/>
      <c r="M698" s="268"/>
      <c r="N698" s="268"/>
      <c r="O698" s="268"/>
      <c r="P698" s="268"/>
      <c r="Q698" s="268"/>
      <c r="R698" s="268"/>
      <c r="S698" s="268"/>
      <c r="T698" s="268"/>
      <c r="U698" s="268"/>
      <c r="V698" s="268"/>
      <c r="W698" s="268"/>
      <c r="X698" s="268"/>
      <c r="Y698" s="268"/>
      <c r="Z698" s="268"/>
    </row>
    <row r="699" spans="1:26" ht="12.75" customHeight="1">
      <c r="A699" s="268"/>
      <c r="B699" s="268"/>
      <c r="C699" s="268"/>
      <c r="D699" s="268"/>
      <c r="E699" s="268"/>
      <c r="F699" s="268"/>
      <c r="G699" s="268"/>
      <c r="H699" s="268"/>
      <c r="I699" s="268"/>
      <c r="J699" s="268"/>
      <c r="K699" s="268"/>
      <c r="L699" s="268"/>
      <c r="M699" s="268"/>
      <c r="N699" s="268"/>
      <c r="O699" s="268"/>
      <c r="P699" s="268"/>
      <c r="Q699" s="268"/>
      <c r="R699" s="268"/>
      <c r="S699" s="268"/>
      <c r="T699" s="268"/>
      <c r="U699" s="268"/>
      <c r="V699" s="268"/>
      <c r="W699" s="268"/>
      <c r="X699" s="268"/>
      <c r="Y699" s="268"/>
      <c r="Z699" s="268"/>
    </row>
    <row r="700" spans="1:26" ht="12.75" customHeight="1">
      <c r="A700" s="268"/>
      <c r="B700" s="268"/>
      <c r="C700" s="268"/>
      <c r="D700" s="268"/>
      <c r="E700" s="268"/>
      <c r="F700" s="268"/>
      <c r="G700" s="268"/>
      <c r="H700" s="268"/>
      <c r="I700" s="268"/>
      <c r="J700" s="268"/>
      <c r="K700" s="268"/>
      <c r="L700" s="268"/>
      <c r="M700" s="268"/>
      <c r="N700" s="268"/>
      <c r="O700" s="268"/>
      <c r="P700" s="268"/>
      <c r="Q700" s="268"/>
      <c r="R700" s="268"/>
      <c r="S700" s="268"/>
      <c r="T700" s="268"/>
      <c r="U700" s="268"/>
      <c r="V700" s="268"/>
      <c r="W700" s="268"/>
      <c r="X700" s="268"/>
      <c r="Y700" s="268"/>
      <c r="Z700" s="268"/>
    </row>
    <row r="701" spans="1:26" ht="12.75" customHeight="1">
      <c r="A701" s="268"/>
      <c r="B701" s="268"/>
      <c r="C701" s="268"/>
      <c r="D701" s="268"/>
      <c r="E701" s="268"/>
      <c r="F701" s="268"/>
      <c r="G701" s="268"/>
      <c r="H701" s="268"/>
      <c r="I701" s="268"/>
      <c r="J701" s="268"/>
      <c r="K701" s="268"/>
      <c r="L701" s="268"/>
      <c r="M701" s="268"/>
      <c r="N701" s="268"/>
      <c r="O701" s="268"/>
      <c r="P701" s="268"/>
      <c r="Q701" s="268"/>
      <c r="R701" s="268"/>
      <c r="S701" s="268"/>
      <c r="T701" s="268"/>
      <c r="U701" s="268"/>
      <c r="V701" s="268"/>
      <c r="W701" s="268"/>
      <c r="X701" s="268"/>
      <c r="Y701" s="268"/>
      <c r="Z701" s="268"/>
    </row>
    <row r="702" spans="1:26" ht="12.75" customHeight="1">
      <c r="A702" s="268"/>
      <c r="B702" s="268"/>
      <c r="C702" s="268"/>
      <c r="D702" s="268"/>
      <c r="E702" s="268"/>
      <c r="F702" s="268"/>
      <c r="G702" s="268"/>
      <c r="H702" s="268"/>
      <c r="I702" s="268"/>
      <c r="J702" s="268"/>
      <c r="K702" s="268"/>
      <c r="L702" s="268"/>
      <c r="M702" s="268"/>
      <c r="N702" s="268"/>
      <c r="O702" s="268"/>
      <c r="P702" s="268"/>
      <c r="Q702" s="268"/>
      <c r="R702" s="268"/>
      <c r="S702" s="268"/>
      <c r="T702" s="268"/>
      <c r="U702" s="268"/>
      <c r="V702" s="268"/>
      <c r="W702" s="268"/>
      <c r="X702" s="268"/>
      <c r="Y702" s="268"/>
      <c r="Z702" s="268"/>
    </row>
    <row r="703" spans="1:26" ht="12.75" customHeight="1">
      <c r="A703" s="268"/>
      <c r="B703" s="268"/>
      <c r="C703" s="268"/>
      <c r="D703" s="268"/>
      <c r="E703" s="268"/>
      <c r="F703" s="268"/>
      <c r="G703" s="268"/>
      <c r="H703" s="268"/>
      <c r="I703" s="268"/>
      <c r="J703" s="268"/>
      <c r="K703" s="268"/>
      <c r="L703" s="268"/>
      <c r="M703" s="268"/>
      <c r="N703" s="268"/>
      <c r="O703" s="268"/>
      <c r="P703" s="268"/>
      <c r="Q703" s="268"/>
      <c r="R703" s="268"/>
      <c r="S703" s="268"/>
      <c r="T703" s="268"/>
      <c r="U703" s="268"/>
      <c r="V703" s="268"/>
      <c r="W703" s="268"/>
      <c r="X703" s="268"/>
      <c r="Y703" s="268"/>
      <c r="Z703" s="268"/>
    </row>
    <row r="704" spans="1:26" ht="12.75" customHeight="1">
      <c r="A704" s="268"/>
      <c r="B704" s="268"/>
      <c r="C704" s="268"/>
      <c r="D704" s="268"/>
      <c r="E704" s="268"/>
      <c r="F704" s="268"/>
      <c r="G704" s="268"/>
      <c r="H704" s="268"/>
      <c r="I704" s="268"/>
      <c r="J704" s="268"/>
      <c r="K704" s="268"/>
      <c r="L704" s="268"/>
      <c r="M704" s="268"/>
      <c r="N704" s="268"/>
      <c r="O704" s="268"/>
      <c r="P704" s="268"/>
      <c r="Q704" s="268"/>
      <c r="R704" s="268"/>
      <c r="S704" s="268"/>
      <c r="T704" s="268"/>
      <c r="U704" s="268"/>
      <c r="V704" s="268"/>
      <c r="W704" s="268"/>
      <c r="X704" s="268"/>
      <c r="Y704" s="268"/>
      <c r="Z704" s="268"/>
    </row>
    <row r="705" spans="1:26" ht="12.75" customHeight="1">
      <c r="A705" s="268"/>
      <c r="B705" s="268"/>
      <c r="C705" s="268"/>
      <c r="D705" s="268"/>
      <c r="E705" s="268"/>
      <c r="F705" s="268"/>
      <c r="G705" s="268"/>
      <c r="H705" s="268"/>
      <c r="I705" s="268"/>
      <c r="J705" s="268"/>
      <c r="K705" s="268"/>
      <c r="L705" s="268"/>
      <c r="M705" s="268"/>
      <c r="N705" s="268"/>
      <c r="O705" s="268"/>
      <c r="P705" s="268"/>
      <c r="Q705" s="268"/>
      <c r="R705" s="268"/>
      <c r="S705" s="268"/>
      <c r="T705" s="268"/>
      <c r="U705" s="268"/>
      <c r="V705" s="268"/>
      <c r="W705" s="268"/>
      <c r="X705" s="268"/>
      <c r="Y705" s="268"/>
      <c r="Z705" s="268"/>
    </row>
    <row r="706" spans="1:26" ht="12.75" customHeight="1">
      <c r="A706" s="268"/>
      <c r="B706" s="268"/>
      <c r="C706" s="268"/>
      <c r="D706" s="268"/>
      <c r="E706" s="268"/>
      <c r="F706" s="268"/>
      <c r="G706" s="268"/>
      <c r="H706" s="268"/>
      <c r="I706" s="268"/>
      <c r="J706" s="268"/>
      <c r="K706" s="268"/>
      <c r="L706" s="268"/>
      <c r="M706" s="268"/>
      <c r="N706" s="268"/>
      <c r="O706" s="268"/>
      <c r="P706" s="268"/>
      <c r="Q706" s="268"/>
      <c r="R706" s="268"/>
      <c r="S706" s="268"/>
      <c r="T706" s="268"/>
      <c r="U706" s="268"/>
      <c r="V706" s="268"/>
      <c r="W706" s="268"/>
      <c r="X706" s="268"/>
      <c r="Y706" s="268"/>
      <c r="Z706" s="268"/>
    </row>
    <row r="707" spans="1:26" ht="12.75" customHeight="1">
      <c r="A707" s="268"/>
      <c r="B707" s="268"/>
      <c r="C707" s="268"/>
      <c r="D707" s="268"/>
      <c r="E707" s="268"/>
      <c r="F707" s="268"/>
      <c r="G707" s="268"/>
      <c r="H707" s="268"/>
      <c r="I707" s="268"/>
      <c r="J707" s="268"/>
      <c r="K707" s="268"/>
      <c r="L707" s="268"/>
      <c r="M707" s="268"/>
      <c r="N707" s="268"/>
      <c r="O707" s="268"/>
      <c r="P707" s="268"/>
      <c r="Q707" s="268"/>
      <c r="R707" s="268"/>
      <c r="S707" s="268"/>
      <c r="T707" s="268"/>
      <c r="U707" s="268"/>
      <c r="V707" s="268"/>
      <c r="W707" s="268"/>
      <c r="X707" s="268"/>
      <c r="Y707" s="268"/>
      <c r="Z707" s="268"/>
    </row>
    <row r="708" spans="1:26" ht="12.75" customHeight="1">
      <c r="A708" s="268"/>
      <c r="B708" s="268"/>
      <c r="C708" s="268"/>
      <c r="D708" s="268"/>
      <c r="E708" s="268"/>
      <c r="F708" s="268"/>
      <c r="G708" s="268"/>
      <c r="H708" s="268"/>
      <c r="I708" s="268"/>
      <c r="J708" s="268"/>
      <c r="K708" s="268"/>
      <c r="L708" s="268"/>
      <c r="M708" s="268"/>
      <c r="N708" s="268"/>
      <c r="O708" s="268"/>
      <c r="P708" s="268"/>
      <c r="Q708" s="268"/>
      <c r="R708" s="268"/>
      <c r="S708" s="268"/>
      <c r="T708" s="268"/>
      <c r="U708" s="268"/>
      <c r="V708" s="268"/>
      <c r="W708" s="268"/>
      <c r="X708" s="268"/>
      <c r="Y708" s="268"/>
      <c r="Z708" s="268"/>
    </row>
    <row r="709" spans="1:26" ht="12.75" customHeight="1">
      <c r="A709" s="268"/>
      <c r="B709" s="268"/>
      <c r="C709" s="268"/>
      <c r="D709" s="268"/>
      <c r="E709" s="268"/>
      <c r="F709" s="268"/>
      <c r="G709" s="268"/>
      <c r="H709" s="268"/>
      <c r="I709" s="268"/>
      <c r="J709" s="268"/>
      <c r="K709" s="268"/>
      <c r="L709" s="268"/>
      <c r="M709" s="268"/>
      <c r="N709" s="268"/>
      <c r="O709" s="268"/>
      <c r="P709" s="268"/>
      <c r="Q709" s="268"/>
      <c r="R709" s="268"/>
      <c r="S709" s="268"/>
      <c r="T709" s="268"/>
      <c r="U709" s="268"/>
      <c r="V709" s="268"/>
      <c r="W709" s="268"/>
      <c r="X709" s="268"/>
      <c r="Y709" s="268"/>
      <c r="Z709" s="268"/>
    </row>
    <row r="710" spans="1:26" ht="12.75" customHeight="1">
      <c r="A710" s="268"/>
      <c r="B710" s="268"/>
      <c r="C710" s="268"/>
      <c r="D710" s="268"/>
      <c r="E710" s="268"/>
      <c r="F710" s="268"/>
      <c r="G710" s="268"/>
      <c r="H710" s="268"/>
      <c r="I710" s="268"/>
      <c r="J710" s="268"/>
      <c r="K710" s="268"/>
      <c r="L710" s="268"/>
      <c r="M710" s="268"/>
      <c r="N710" s="268"/>
      <c r="O710" s="268"/>
      <c r="P710" s="268"/>
      <c r="Q710" s="268"/>
      <c r="R710" s="268"/>
      <c r="S710" s="268"/>
      <c r="T710" s="268"/>
      <c r="U710" s="268"/>
      <c r="V710" s="268"/>
      <c r="W710" s="268"/>
      <c r="X710" s="268"/>
      <c r="Y710" s="268"/>
      <c r="Z710" s="268"/>
    </row>
    <row r="711" spans="1:26" ht="12.75" customHeight="1">
      <c r="A711" s="268"/>
      <c r="B711" s="268"/>
      <c r="C711" s="268"/>
      <c r="D711" s="268"/>
      <c r="E711" s="268"/>
      <c r="F711" s="268"/>
      <c r="G711" s="268"/>
      <c r="H711" s="268"/>
      <c r="I711" s="268"/>
      <c r="J711" s="268"/>
      <c r="K711" s="268"/>
      <c r="L711" s="268"/>
      <c r="M711" s="268"/>
      <c r="N711" s="268"/>
      <c r="O711" s="268"/>
      <c r="P711" s="268"/>
      <c r="Q711" s="268"/>
      <c r="R711" s="268"/>
      <c r="S711" s="268"/>
      <c r="T711" s="268"/>
      <c r="U711" s="268"/>
      <c r="V711" s="268"/>
      <c r="W711" s="268"/>
      <c r="X711" s="268"/>
      <c r="Y711" s="268"/>
      <c r="Z711" s="268"/>
    </row>
    <row r="712" spans="1:26" ht="12.75" customHeight="1">
      <c r="A712" s="268"/>
      <c r="B712" s="268"/>
      <c r="C712" s="268"/>
      <c r="D712" s="268"/>
      <c r="E712" s="268"/>
      <c r="F712" s="268"/>
      <c r="G712" s="268"/>
      <c r="H712" s="268"/>
      <c r="I712" s="268"/>
      <c r="J712" s="268"/>
      <c r="K712" s="268"/>
      <c r="L712" s="268"/>
      <c r="M712" s="268"/>
      <c r="N712" s="268"/>
      <c r="O712" s="268"/>
      <c r="P712" s="268"/>
      <c r="Q712" s="268"/>
      <c r="R712" s="268"/>
      <c r="S712" s="268"/>
      <c r="T712" s="268"/>
      <c r="U712" s="268"/>
      <c r="V712" s="268"/>
      <c r="W712" s="268"/>
      <c r="X712" s="268"/>
      <c r="Y712" s="268"/>
      <c r="Z712" s="268"/>
    </row>
    <row r="713" spans="1:26" ht="12.75" customHeight="1">
      <c r="A713" s="268"/>
      <c r="B713" s="268"/>
      <c r="C713" s="268"/>
      <c r="D713" s="268"/>
      <c r="E713" s="268"/>
      <c r="F713" s="268"/>
      <c r="G713" s="268"/>
      <c r="H713" s="268"/>
      <c r="I713" s="268"/>
      <c r="J713" s="268"/>
      <c r="K713" s="268"/>
      <c r="L713" s="268"/>
      <c r="M713" s="268"/>
      <c r="N713" s="268"/>
      <c r="O713" s="268"/>
      <c r="P713" s="268"/>
      <c r="Q713" s="268"/>
      <c r="R713" s="268"/>
      <c r="S713" s="268"/>
      <c r="T713" s="268"/>
      <c r="U713" s="268"/>
      <c r="V713" s="268"/>
      <c r="W713" s="268"/>
      <c r="X713" s="268"/>
      <c r="Y713" s="268"/>
      <c r="Z713" s="268"/>
    </row>
    <row r="714" spans="1:26" ht="12.75" customHeight="1">
      <c r="A714" s="268"/>
      <c r="B714" s="268"/>
      <c r="C714" s="268"/>
      <c r="D714" s="268"/>
      <c r="E714" s="268"/>
      <c r="F714" s="268"/>
      <c r="G714" s="268"/>
      <c r="H714" s="268"/>
      <c r="I714" s="268"/>
      <c r="J714" s="268"/>
      <c r="K714" s="268"/>
      <c r="L714" s="268"/>
      <c r="M714" s="268"/>
      <c r="N714" s="268"/>
      <c r="O714" s="268"/>
      <c r="P714" s="268"/>
      <c r="Q714" s="268"/>
      <c r="R714" s="268"/>
      <c r="S714" s="268"/>
      <c r="T714" s="268"/>
      <c r="U714" s="268"/>
      <c r="V714" s="268"/>
      <c r="W714" s="268"/>
      <c r="X714" s="268"/>
      <c r="Y714" s="268"/>
      <c r="Z714" s="268"/>
    </row>
    <row r="715" spans="1:26" ht="12.75" customHeight="1">
      <c r="A715" s="268"/>
      <c r="B715" s="268"/>
      <c r="C715" s="268"/>
      <c r="D715" s="268"/>
      <c r="E715" s="268"/>
      <c r="F715" s="268"/>
      <c r="G715" s="268"/>
      <c r="H715" s="268"/>
      <c r="I715" s="268"/>
      <c r="J715" s="268"/>
      <c r="K715" s="268"/>
      <c r="L715" s="268"/>
      <c r="M715" s="268"/>
      <c r="N715" s="268"/>
      <c r="O715" s="268"/>
      <c r="P715" s="268"/>
      <c r="Q715" s="268"/>
      <c r="R715" s="268"/>
      <c r="S715" s="268"/>
      <c r="T715" s="268"/>
      <c r="U715" s="268"/>
      <c r="V715" s="268"/>
      <c r="W715" s="268"/>
      <c r="X715" s="268"/>
      <c r="Y715" s="268"/>
      <c r="Z715" s="268"/>
    </row>
    <row r="716" spans="1:26" ht="12.75" customHeight="1">
      <c r="A716" s="268"/>
      <c r="B716" s="268"/>
      <c r="C716" s="268"/>
      <c r="D716" s="268"/>
      <c r="E716" s="268"/>
      <c r="F716" s="268"/>
      <c r="G716" s="268"/>
      <c r="H716" s="268"/>
      <c r="I716" s="268"/>
      <c r="J716" s="268"/>
      <c r="K716" s="268"/>
      <c r="L716" s="268"/>
      <c r="M716" s="268"/>
      <c r="N716" s="268"/>
      <c r="O716" s="268"/>
      <c r="P716" s="268"/>
      <c r="Q716" s="268"/>
      <c r="R716" s="268"/>
      <c r="S716" s="268"/>
      <c r="T716" s="268"/>
      <c r="U716" s="268"/>
      <c r="V716" s="268"/>
      <c r="W716" s="268"/>
      <c r="X716" s="268"/>
      <c r="Y716" s="268"/>
      <c r="Z716" s="268"/>
    </row>
    <row r="717" spans="1:26" ht="12.75" customHeight="1">
      <c r="A717" s="268"/>
      <c r="B717" s="268"/>
      <c r="C717" s="268"/>
      <c r="D717" s="268"/>
      <c r="E717" s="268"/>
      <c r="F717" s="268"/>
      <c r="G717" s="268"/>
      <c r="H717" s="268"/>
      <c r="I717" s="268"/>
      <c r="J717" s="268"/>
      <c r="K717" s="268"/>
      <c r="L717" s="268"/>
      <c r="M717" s="268"/>
      <c r="N717" s="268"/>
      <c r="O717" s="268"/>
      <c r="P717" s="268"/>
      <c r="Q717" s="268"/>
      <c r="R717" s="268"/>
      <c r="S717" s="268"/>
      <c r="T717" s="268"/>
      <c r="U717" s="268"/>
      <c r="V717" s="268"/>
      <c r="W717" s="268"/>
      <c r="X717" s="268"/>
      <c r="Y717" s="268"/>
      <c r="Z717" s="268"/>
    </row>
    <row r="718" spans="1:26" ht="12.75" customHeight="1">
      <c r="A718" s="268"/>
      <c r="B718" s="268"/>
      <c r="C718" s="268"/>
      <c r="D718" s="268"/>
      <c r="E718" s="268"/>
      <c r="F718" s="268"/>
      <c r="G718" s="268"/>
      <c r="H718" s="268"/>
      <c r="I718" s="268"/>
      <c r="J718" s="268"/>
      <c r="K718" s="268"/>
      <c r="L718" s="268"/>
      <c r="M718" s="268"/>
      <c r="N718" s="268"/>
      <c r="O718" s="268"/>
      <c r="P718" s="268"/>
      <c r="Q718" s="268"/>
      <c r="R718" s="268"/>
      <c r="S718" s="268"/>
      <c r="T718" s="268"/>
      <c r="U718" s="268"/>
      <c r="V718" s="268"/>
      <c r="W718" s="268"/>
      <c r="X718" s="268"/>
      <c r="Y718" s="268"/>
      <c r="Z718" s="268"/>
    </row>
    <row r="719" spans="1:26" ht="12.75" customHeight="1">
      <c r="A719" s="268"/>
      <c r="B719" s="268"/>
      <c r="C719" s="268"/>
      <c r="D719" s="268"/>
      <c r="E719" s="268"/>
      <c r="F719" s="268"/>
      <c r="G719" s="268"/>
      <c r="H719" s="268"/>
      <c r="I719" s="268"/>
      <c r="J719" s="268"/>
      <c r="K719" s="268"/>
      <c r="L719" s="268"/>
      <c r="M719" s="268"/>
      <c r="N719" s="268"/>
      <c r="O719" s="268"/>
      <c r="P719" s="268"/>
      <c r="Q719" s="268"/>
      <c r="R719" s="268"/>
      <c r="S719" s="268"/>
      <c r="T719" s="268"/>
      <c r="U719" s="268"/>
      <c r="V719" s="268"/>
      <c r="W719" s="268"/>
      <c r="X719" s="268"/>
      <c r="Y719" s="268"/>
      <c r="Z719" s="268"/>
    </row>
    <row r="720" spans="1:26" ht="12.75" customHeight="1">
      <c r="A720" s="268"/>
      <c r="B720" s="268"/>
      <c r="C720" s="268"/>
      <c r="D720" s="268"/>
      <c r="E720" s="268"/>
      <c r="F720" s="268"/>
      <c r="G720" s="268"/>
      <c r="H720" s="268"/>
      <c r="I720" s="268"/>
      <c r="J720" s="268"/>
      <c r="K720" s="268"/>
      <c r="L720" s="268"/>
      <c r="M720" s="268"/>
      <c r="N720" s="268"/>
      <c r="O720" s="268"/>
      <c r="P720" s="268"/>
      <c r="Q720" s="268"/>
      <c r="R720" s="268"/>
      <c r="S720" s="268"/>
      <c r="T720" s="268"/>
      <c r="U720" s="268"/>
      <c r="V720" s="268"/>
      <c r="W720" s="268"/>
      <c r="X720" s="268"/>
      <c r="Y720" s="268"/>
      <c r="Z720" s="268"/>
    </row>
    <row r="721" spans="1:26" ht="12.75" customHeight="1">
      <c r="A721" s="268"/>
      <c r="B721" s="268"/>
      <c r="C721" s="268"/>
      <c r="D721" s="268"/>
      <c r="E721" s="268"/>
      <c r="F721" s="268"/>
      <c r="G721" s="268"/>
      <c r="H721" s="268"/>
      <c r="I721" s="268"/>
      <c r="J721" s="268"/>
      <c r="K721" s="268"/>
      <c r="L721" s="268"/>
      <c r="M721" s="268"/>
      <c r="N721" s="268"/>
      <c r="O721" s="268"/>
      <c r="P721" s="268"/>
      <c r="Q721" s="268"/>
      <c r="R721" s="268"/>
      <c r="S721" s="268"/>
      <c r="T721" s="268"/>
      <c r="U721" s="268"/>
      <c r="V721" s="268"/>
      <c r="W721" s="268"/>
      <c r="X721" s="268"/>
      <c r="Y721" s="268"/>
      <c r="Z721" s="268"/>
    </row>
    <row r="722" spans="1:26" ht="12.75" customHeight="1">
      <c r="A722" s="268"/>
      <c r="B722" s="268"/>
      <c r="C722" s="268"/>
      <c r="D722" s="268"/>
      <c r="E722" s="268"/>
      <c r="F722" s="268"/>
      <c r="G722" s="268"/>
      <c r="H722" s="268"/>
      <c r="I722" s="268"/>
      <c r="J722" s="268"/>
      <c r="K722" s="268"/>
      <c r="L722" s="268"/>
      <c r="M722" s="268"/>
      <c r="N722" s="268"/>
      <c r="O722" s="268"/>
      <c r="P722" s="268"/>
      <c r="Q722" s="268"/>
      <c r="R722" s="268"/>
      <c r="S722" s="268"/>
      <c r="T722" s="268"/>
      <c r="U722" s="268"/>
      <c r="V722" s="268"/>
      <c r="W722" s="268"/>
      <c r="X722" s="268"/>
      <c r="Y722" s="268"/>
      <c r="Z722" s="268"/>
    </row>
    <row r="723" spans="1:26" ht="12.75" customHeight="1">
      <c r="A723" s="268"/>
      <c r="B723" s="268"/>
      <c r="C723" s="268"/>
      <c r="D723" s="268"/>
      <c r="E723" s="268"/>
      <c r="F723" s="268"/>
      <c r="G723" s="268"/>
      <c r="H723" s="268"/>
      <c r="I723" s="268"/>
      <c r="J723" s="268"/>
      <c r="K723" s="268"/>
      <c r="L723" s="268"/>
      <c r="M723" s="268"/>
      <c r="N723" s="268"/>
      <c r="O723" s="268"/>
      <c r="P723" s="268"/>
      <c r="Q723" s="268"/>
      <c r="R723" s="268"/>
      <c r="S723" s="268"/>
      <c r="T723" s="268"/>
      <c r="U723" s="268"/>
      <c r="V723" s="268"/>
      <c r="W723" s="268"/>
      <c r="X723" s="268"/>
      <c r="Y723" s="268"/>
      <c r="Z723" s="268"/>
    </row>
    <row r="724" spans="1:26" ht="12.75" customHeight="1">
      <c r="A724" s="268"/>
      <c r="B724" s="268"/>
      <c r="C724" s="268"/>
      <c r="D724" s="268"/>
      <c r="E724" s="268"/>
      <c r="F724" s="268"/>
      <c r="G724" s="268"/>
      <c r="H724" s="268"/>
      <c r="I724" s="268"/>
      <c r="J724" s="268"/>
      <c r="K724" s="268"/>
      <c r="L724" s="268"/>
      <c r="M724" s="268"/>
      <c r="N724" s="268"/>
      <c r="O724" s="268"/>
      <c r="P724" s="268"/>
      <c r="Q724" s="268"/>
      <c r="R724" s="268"/>
      <c r="S724" s="268"/>
      <c r="T724" s="268"/>
      <c r="U724" s="268"/>
      <c r="V724" s="268"/>
      <c r="W724" s="268"/>
      <c r="X724" s="268"/>
      <c r="Y724" s="268"/>
      <c r="Z724" s="268"/>
    </row>
    <row r="725" spans="1:26" ht="12.75" customHeight="1">
      <c r="A725" s="268"/>
      <c r="B725" s="268"/>
      <c r="C725" s="268"/>
      <c r="D725" s="268"/>
      <c r="E725" s="268"/>
      <c r="F725" s="268"/>
      <c r="G725" s="268"/>
      <c r="H725" s="268"/>
      <c r="I725" s="268"/>
      <c r="J725" s="268"/>
      <c r="K725" s="268"/>
      <c r="L725" s="268"/>
      <c r="M725" s="268"/>
      <c r="N725" s="268"/>
      <c r="O725" s="268"/>
      <c r="P725" s="268"/>
      <c r="Q725" s="268"/>
      <c r="R725" s="268"/>
      <c r="S725" s="268"/>
      <c r="T725" s="268"/>
      <c r="U725" s="268"/>
      <c r="V725" s="268"/>
      <c r="W725" s="268"/>
      <c r="X725" s="268"/>
      <c r="Y725" s="268"/>
      <c r="Z725" s="268"/>
    </row>
    <row r="726" spans="1:26" ht="12.75" customHeight="1">
      <c r="A726" s="268"/>
      <c r="B726" s="268"/>
      <c r="C726" s="268"/>
      <c r="D726" s="268"/>
      <c r="E726" s="268"/>
      <c r="F726" s="268"/>
      <c r="G726" s="268"/>
      <c r="H726" s="268"/>
      <c r="I726" s="268"/>
      <c r="J726" s="268"/>
      <c r="K726" s="268"/>
      <c r="L726" s="268"/>
      <c r="M726" s="268"/>
      <c r="N726" s="268"/>
      <c r="O726" s="268"/>
      <c r="P726" s="268"/>
      <c r="Q726" s="268"/>
      <c r="R726" s="268"/>
      <c r="S726" s="268"/>
      <c r="T726" s="268"/>
      <c r="U726" s="268"/>
      <c r="V726" s="268"/>
      <c r="W726" s="268"/>
      <c r="X726" s="268"/>
      <c r="Y726" s="268"/>
      <c r="Z726" s="268"/>
    </row>
    <row r="727" spans="1:26" ht="12.75" customHeight="1">
      <c r="A727" s="268"/>
      <c r="B727" s="268"/>
      <c r="C727" s="268"/>
      <c r="D727" s="268"/>
      <c r="E727" s="268"/>
      <c r="F727" s="268"/>
      <c r="G727" s="268"/>
      <c r="H727" s="268"/>
      <c r="I727" s="268"/>
      <c r="J727" s="268"/>
      <c r="K727" s="268"/>
      <c r="L727" s="268"/>
      <c r="M727" s="268"/>
      <c r="N727" s="268"/>
      <c r="O727" s="268"/>
      <c r="P727" s="268"/>
      <c r="Q727" s="268"/>
      <c r="R727" s="268"/>
      <c r="S727" s="268"/>
      <c r="T727" s="268"/>
      <c r="U727" s="268"/>
      <c r="V727" s="268"/>
      <c r="W727" s="268"/>
      <c r="X727" s="268"/>
      <c r="Y727" s="268"/>
      <c r="Z727" s="268"/>
    </row>
    <row r="728" spans="1:26" ht="12.75" customHeight="1">
      <c r="A728" s="268"/>
      <c r="B728" s="268"/>
      <c r="C728" s="268"/>
      <c r="D728" s="268"/>
      <c r="E728" s="268"/>
      <c r="F728" s="268"/>
      <c r="G728" s="268"/>
      <c r="H728" s="268"/>
      <c r="I728" s="268"/>
      <c r="J728" s="268"/>
      <c r="K728" s="268"/>
      <c r="L728" s="268"/>
      <c r="M728" s="268"/>
      <c r="N728" s="268"/>
      <c r="O728" s="268"/>
      <c r="P728" s="268"/>
      <c r="Q728" s="268"/>
      <c r="R728" s="268"/>
      <c r="S728" s="268"/>
      <c r="T728" s="268"/>
      <c r="U728" s="268"/>
      <c r="V728" s="268"/>
      <c r="W728" s="268"/>
      <c r="X728" s="268"/>
      <c r="Y728" s="268"/>
      <c r="Z728" s="268"/>
    </row>
    <row r="729" spans="1:26" ht="12.75" customHeight="1">
      <c r="A729" s="268"/>
      <c r="B729" s="268"/>
      <c r="C729" s="268"/>
      <c r="D729" s="268"/>
      <c r="E729" s="268"/>
      <c r="F729" s="268"/>
      <c r="G729" s="268"/>
      <c r="H729" s="268"/>
      <c r="I729" s="268"/>
      <c r="J729" s="268"/>
      <c r="K729" s="268"/>
      <c r="L729" s="268"/>
      <c r="M729" s="268"/>
      <c r="N729" s="268"/>
      <c r="O729" s="268"/>
      <c r="P729" s="268"/>
      <c r="Q729" s="268"/>
      <c r="R729" s="268"/>
      <c r="S729" s="268"/>
      <c r="T729" s="268"/>
      <c r="U729" s="268"/>
      <c r="V729" s="268"/>
      <c r="W729" s="268"/>
      <c r="X729" s="268"/>
      <c r="Y729" s="268"/>
      <c r="Z729" s="268"/>
    </row>
    <row r="730" spans="1:26" ht="12.75" customHeight="1">
      <c r="A730" s="268"/>
      <c r="B730" s="268"/>
      <c r="C730" s="268"/>
      <c r="D730" s="268"/>
      <c r="E730" s="268"/>
      <c r="F730" s="268"/>
      <c r="G730" s="268"/>
      <c r="H730" s="268"/>
      <c r="I730" s="268"/>
      <c r="J730" s="268"/>
      <c r="K730" s="268"/>
      <c r="L730" s="268"/>
      <c r="M730" s="268"/>
      <c r="N730" s="268"/>
      <c r="O730" s="268"/>
      <c r="P730" s="268"/>
      <c r="Q730" s="268"/>
      <c r="R730" s="268"/>
      <c r="S730" s="268"/>
      <c r="T730" s="268"/>
      <c r="U730" s="268"/>
      <c r="V730" s="268"/>
      <c r="W730" s="268"/>
      <c r="X730" s="268"/>
      <c r="Y730" s="268"/>
      <c r="Z730" s="268"/>
    </row>
    <row r="731" spans="1:26" ht="12.75" customHeight="1">
      <c r="A731" s="268"/>
      <c r="B731" s="268"/>
      <c r="C731" s="268"/>
      <c r="D731" s="268"/>
      <c r="E731" s="268"/>
      <c r="F731" s="268"/>
      <c r="G731" s="268"/>
      <c r="H731" s="268"/>
      <c r="I731" s="268"/>
      <c r="J731" s="268"/>
      <c r="K731" s="268"/>
      <c r="L731" s="268"/>
      <c r="M731" s="268"/>
      <c r="N731" s="268"/>
      <c r="O731" s="268"/>
      <c r="P731" s="268"/>
      <c r="Q731" s="268"/>
      <c r="R731" s="268"/>
      <c r="S731" s="268"/>
      <c r="T731" s="268"/>
      <c r="U731" s="268"/>
      <c r="V731" s="268"/>
      <c r="W731" s="268"/>
      <c r="X731" s="268"/>
      <c r="Y731" s="268"/>
      <c r="Z731" s="268"/>
    </row>
    <row r="732" spans="1:26" ht="12.75" customHeight="1">
      <c r="A732" s="268"/>
      <c r="B732" s="268"/>
      <c r="C732" s="268"/>
      <c r="D732" s="268"/>
      <c r="E732" s="268"/>
      <c r="F732" s="268"/>
      <c r="G732" s="268"/>
      <c r="H732" s="268"/>
      <c r="I732" s="268"/>
      <c r="J732" s="268"/>
      <c r="K732" s="268"/>
      <c r="L732" s="268"/>
      <c r="M732" s="268"/>
      <c r="N732" s="268"/>
      <c r="O732" s="268"/>
      <c r="P732" s="268"/>
      <c r="Q732" s="268"/>
      <c r="R732" s="268"/>
      <c r="S732" s="268"/>
      <c r="T732" s="268"/>
      <c r="U732" s="268"/>
      <c r="V732" s="268"/>
      <c r="W732" s="268"/>
      <c r="X732" s="268"/>
      <c r="Y732" s="268"/>
      <c r="Z732" s="268"/>
    </row>
    <row r="733" spans="1:26" ht="12.75" customHeight="1">
      <c r="A733" s="268"/>
      <c r="B733" s="268"/>
      <c r="C733" s="268"/>
      <c r="D733" s="268"/>
      <c r="E733" s="268"/>
      <c r="F733" s="268"/>
      <c r="G733" s="268"/>
      <c r="H733" s="268"/>
      <c r="I733" s="268"/>
      <c r="J733" s="268"/>
      <c r="K733" s="268"/>
      <c r="L733" s="268"/>
      <c r="M733" s="268"/>
      <c r="N733" s="268"/>
      <c r="O733" s="268"/>
      <c r="P733" s="268"/>
      <c r="Q733" s="268"/>
      <c r="R733" s="268"/>
      <c r="S733" s="268"/>
      <c r="T733" s="268"/>
      <c r="U733" s="268"/>
      <c r="V733" s="268"/>
      <c r="W733" s="268"/>
      <c r="X733" s="268"/>
      <c r="Y733" s="268"/>
      <c r="Z733" s="268"/>
    </row>
    <row r="734" spans="1:26" ht="12.75" customHeight="1">
      <c r="A734" s="268"/>
      <c r="B734" s="268"/>
      <c r="C734" s="268"/>
      <c r="D734" s="268"/>
      <c r="E734" s="268"/>
      <c r="F734" s="268"/>
      <c r="G734" s="268"/>
      <c r="H734" s="268"/>
      <c r="I734" s="268"/>
      <c r="J734" s="268"/>
      <c r="K734" s="268"/>
      <c r="L734" s="268"/>
      <c r="M734" s="268"/>
      <c r="N734" s="268"/>
      <c r="O734" s="268"/>
      <c r="P734" s="268"/>
      <c r="Q734" s="268"/>
      <c r="R734" s="268"/>
      <c r="S734" s="268"/>
      <c r="T734" s="268"/>
      <c r="U734" s="268"/>
      <c r="V734" s="268"/>
      <c r="W734" s="268"/>
      <c r="X734" s="268"/>
      <c r="Y734" s="268"/>
      <c r="Z734" s="268"/>
    </row>
    <row r="735" spans="1:26" ht="12.75" customHeight="1">
      <c r="A735" s="268"/>
      <c r="B735" s="268"/>
      <c r="C735" s="268"/>
      <c r="D735" s="268"/>
      <c r="E735" s="268"/>
      <c r="F735" s="268"/>
      <c r="G735" s="268"/>
      <c r="H735" s="268"/>
      <c r="I735" s="268"/>
      <c r="J735" s="268"/>
      <c r="K735" s="268"/>
      <c r="L735" s="268"/>
      <c r="M735" s="268"/>
      <c r="N735" s="268"/>
      <c r="O735" s="268"/>
      <c r="P735" s="268"/>
      <c r="Q735" s="268"/>
      <c r="R735" s="268"/>
      <c r="S735" s="268"/>
      <c r="T735" s="268"/>
      <c r="U735" s="268"/>
      <c r="V735" s="268"/>
      <c r="W735" s="268"/>
      <c r="X735" s="268"/>
      <c r="Y735" s="268"/>
      <c r="Z735" s="268"/>
    </row>
    <row r="736" spans="1:26" ht="12.75" customHeight="1">
      <c r="A736" s="268"/>
      <c r="B736" s="268"/>
      <c r="C736" s="268"/>
      <c r="D736" s="268"/>
      <c r="E736" s="268"/>
      <c r="F736" s="268"/>
      <c r="G736" s="268"/>
      <c r="H736" s="268"/>
      <c r="I736" s="268"/>
      <c r="J736" s="268"/>
      <c r="K736" s="268"/>
      <c r="L736" s="268"/>
      <c r="M736" s="268"/>
      <c r="N736" s="268"/>
      <c r="O736" s="268"/>
      <c r="P736" s="268"/>
      <c r="Q736" s="268"/>
      <c r="R736" s="268"/>
      <c r="S736" s="268"/>
      <c r="T736" s="268"/>
      <c r="U736" s="268"/>
      <c r="V736" s="268"/>
      <c r="W736" s="268"/>
      <c r="X736" s="268"/>
      <c r="Y736" s="268"/>
      <c r="Z736" s="268"/>
    </row>
    <row r="737" spans="1:26" ht="12.75" customHeight="1">
      <c r="A737" s="268"/>
      <c r="B737" s="268"/>
      <c r="C737" s="268"/>
      <c r="D737" s="268"/>
      <c r="E737" s="268"/>
      <c r="F737" s="268"/>
      <c r="G737" s="268"/>
      <c r="H737" s="268"/>
      <c r="I737" s="268"/>
      <c r="J737" s="268"/>
      <c r="K737" s="268"/>
      <c r="L737" s="268"/>
      <c r="M737" s="268"/>
      <c r="N737" s="268"/>
      <c r="O737" s="268"/>
      <c r="P737" s="268"/>
      <c r="Q737" s="268"/>
      <c r="R737" s="268"/>
      <c r="S737" s="268"/>
      <c r="T737" s="268"/>
      <c r="U737" s="268"/>
      <c r="V737" s="268"/>
      <c r="W737" s="268"/>
      <c r="X737" s="268"/>
      <c r="Y737" s="268"/>
      <c r="Z737" s="268"/>
    </row>
    <row r="738" spans="1:26" ht="12.75" customHeight="1">
      <c r="A738" s="268"/>
      <c r="B738" s="268"/>
      <c r="C738" s="268"/>
      <c r="D738" s="268"/>
      <c r="E738" s="268"/>
      <c r="F738" s="268"/>
      <c r="G738" s="268"/>
      <c r="H738" s="268"/>
      <c r="I738" s="268"/>
      <c r="J738" s="268"/>
      <c r="K738" s="268"/>
      <c r="L738" s="268"/>
      <c r="M738" s="268"/>
      <c r="N738" s="268"/>
      <c r="O738" s="268"/>
      <c r="P738" s="268"/>
      <c r="Q738" s="268"/>
      <c r="R738" s="268"/>
      <c r="S738" s="268"/>
      <c r="T738" s="268"/>
      <c r="U738" s="268"/>
      <c r="V738" s="268"/>
      <c r="W738" s="268"/>
      <c r="X738" s="268"/>
      <c r="Y738" s="268"/>
      <c r="Z738" s="268"/>
    </row>
    <row r="739" spans="1:26" ht="12.75" customHeight="1">
      <c r="A739" s="268"/>
      <c r="B739" s="268"/>
      <c r="C739" s="268"/>
      <c r="D739" s="268"/>
      <c r="E739" s="268"/>
      <c r="F739" s="268"/>
      <c r="G739" s="268"/>
      <c r="H739" s="268"/>
      <c r="I739" s="268"/>
      <c r="J739" s="268"/>
      <c r="K739" s="268"/>
      <c r="L739" s="268"/>
      <c r="M739" s="268"/>
      <c r="N739" s="268"/>
      <c r="O739" s="268"/>
      <c r="P739" s="268"/>
      <c r="Q739" s="268"/>
      <c r="R739" s="268"/>
      <c r="S739" s="268"/>
      <c r="T739" s="268"/>
      <c r="U739" s="268"/>
      <c r="V739" s="268"/>
      <c r="W739" s="268"/>
      <c r="X739" s="268"/>
      <c r="Y739" s="268"/>
      <c r="Z739" s="268"/>
    </row>
    <row r="740" spans="1:26" ht="12.75" customHeight="1">
      <c r="A740" s="268"/>
      <c r="B740" s="268"/>
      <c r="C740" s="268"/>
      <c r="D740" s="268"/>
      <c r="E740" s="268"/>
      <c r="F740" s="268"/>
      <c r="G740" s="268"/>
      <c r="H740" s="268"/>
      <c r="I740" s="268"/>
      <c r="J740" s="268"/>
      <c r="K740" s="268"/>
      <c r="L740" s="268"/>
      <c r="M740" s="268"/>
      <c r="N740" s="268"/>
      <c r="O740" s="268"/>
      <c r="P740" s="268"/>
      <c r="Q740" s="268"/>
      <c r="R740" s="268"/>
      <c r="S740" s="268"/>
      <c r="T740" s="268"/>
      <c r="U740" s="268"/>
      <c r="V740" s="268"/>
      <c r="W740" s="268"/>
      <c r="X740" s="268"/>
      <c r="Y740" s="268"/>
      <c r="Z740" s="268"/>
    </row>
    <row r="741" spans="1:26" ht="12.75" customHeight="1">
      <c r="A741" s="268"/>
      <c r="B741" s="268"/>
      <c r="C741" s="268"/>
      <c r="D741" s="268"/>
      <c r="E741" s="268"/>
      <c r="F741" s="268"/>
      <c r="G741" s="268"/>
      <c r="H741" s="268"/>
      <c r="I741" s="268"/>
      <c r="J741" s="268"/>
      <c r="K741" s="268"/>
      <c r="L741" s="268"/>
      <c r="M741" s="268"/>
      <c r="N741" s="268"/>
      <c r="O741" s="268"/>
      <c r="P741" s="268"/>
      <c r="Q741" s="268"/>
      <c r="R741" s="268"/>
      <c r="S741" s="268"/>
      <c r="T741" s="268"/>
      <c r="U741" s="268"/>
      <c r="V741" s="268"/>
      <c r="W741" s="268"/>
      <c r="X741" s="268"/>
      <c r="Y741" s="268"/>
      <c r="Z741" s="268"/>
    </row>
    <row r="742" spans="1:26" ht="12.75" customHeight="1">
      <c r="A742" s="268"/>
      <c r="B742" s="268"/>
      <c r="C742" s="268"/>
      <c r="D742" s="268"/>
      <c r="E742" s="268"/>
      <c r="F742" s="268"/>
      <c r="G742" s="268"/>
      <c r="H742" s="268"/>
      <c r="I742" s="268"/>
      <c r="J742" s="268"/>
      <c r="K742" s="268"/>
      <c r="L742" s="268"/>
      <c r="M742" s="268"/>
      <c r="N742" s="268"/>
      <c r="O742" s="268"/>
      <c r="P742" s="268"/>
      <c r="Q742" s="268"/>
      <c r="R742" s="268"/>
      <c r="S742" s="268"/>
      <c r="T742" s="268"/>
      <c r="U742" s="268"/>
      <c r="V742" s="268"/>
      <c r="W742" s="268"/>
      <c r="X742" s="268"/>
      <c r="Y742" s="268"/>
      <c r="Z742" s="268"/>
    </row>
    <row r="743" spans="1:26" ht="12.75" customHeight="1">
      <c r="A743" s="268"/>
      <c r="B743" s="268"/>
      <c r="C743" s="268"/>
      <c r="D743" s="268"/>
      <c r="E743" s="268"/>
      <c r="F743" s="268"/>
      <c r="G743" s="268"/>
      <c r="H743" s="268"/>
      <c r="I743" s="268"/>
      <c r="J743" s="268"/>
      <c r="K743" s="268"/>
      <c r="L743" s="268"/>
      <c r="M743" s="268"/>
      <c r="N743" s="268"/>
      <c r="O743" s="268"/>
      <c r="P743" s="268"/>
      <c r="Q743" s="268"/>
      <c r="R743" s="268"/>
      <c r="S743" s="268"/>
      <c r="T743" s="268"/>
      <c r="U743" s="268"/>
      <c r="V743" s="268"/>
      <c r="W743" s="268"/>
      <c r="X743" s="268"/>
      <c r="Y743" s="268"/>
      <c r="Z743" s="268"/>
    </row>
    <row r="744" spans="1:26" ht="12.75" customHeight="1">
      <c r="A744" s="268"/>
      <c r="B744" s="268"/>
      <c r="C744" s="268"/>
      <c r="D744" s="268"/>
      <c r="E744" s="268"/>
      <c r="F744" s="268"/>
      <c r="G744" s="268"/>
      <c r="H744" s="268"/>
      <c r="I744" s="268"/>
      <c r="J744" s="268"/>
      <c r="K744" s="268"/>
      <c r="L744" s="268"/>
      <c r="M744" s="268"/>
      <c r="N744" s="268"/>
      <c r="O744" s="268"/>
      <c r="P744" s="268"/>
      <c r="Q744" s="268"/>
      <c r="R744" s="268"/>
      <c r="S744" s="268"/>
      <c r="T744" s="268"/>
      <c r="U744" s="268"/>
      <c r="V744" s="268"/>
      <c r="W744" s="268"/>
      <c r="X744" s="268"/>
      <c r="Y744" s="268"/>
      <c r="Z744" s="268"/>
    </row>
    <row r="745" spans="1:26" ht="12.75" customHeight="1">
      <c r="A745" s="268"/>
      <c r="B745" s="268"/>
      <c r="C745" s="268"/>
      <c r="D745" s="268"/>
      <c r="E745" s="268"/>
      <c r="F745" s="268"/>
      <c r="G745" s="268"/>
      <c r="H745" s="268"/>
      <c r="I745" s="268"/>
      <c r="J745" s="268"/>
      <c r="K745" s="268"/>
      <c r="L745" s="268"/>
      <c r="M745" s="268"/>
      <c r="N745" s="268"/>
      <c r="O745" s="268"/>
      <c r="P745" s="268"/>
      <c r="Q745" s="268"/>
      <c r="R745" s="268"/>
      <c r="S745" s="268"/>
      <c r="T745" s="268"/>
      <c r="U745" s="268"/>
      <c r="V745" s="268"/>
      <c r="W745" s="268"/>
      <c r="X745" s="268"/>
      <c r="Y745" s="268"/>
      <c r="Z745" s="268"/>
    </row>
    <row r="746" spans="1:26" ht="12.75" customHeight="1">
      <c r="A746" s="268"/>
      <c r="B746" s="268"/>
      <c r="C746" s="268"/>
      <c r="D746" s="268"/>
      <c r="E746" s="268"/>
      <c r="F746" s="268"/>
      <c r="G746" s="268"/>
      <c r="H746" s="268"/>
      <c r="I746" s="268"/>
      <c r="J746" s="268"/>
      <c r="K746" s="268"/>
      <c r="L746" s="268"/>
      <c r="M746" s="268"/>
      <c r="N746" s="268"/>
      <c r="O746" s="268"/>
      <c r="P746" s="268"/>
      <c r="Q746" s="268"/>
      <c r="R746" s="268"/>
      <c r="S746" s="268"/>
      <c r="T746" s="268"/>
      <c r="U746" s="268"/>
      <c r="V746" s="268"/>
      <c r="W746" s="268"/>
      <c r="X746" s="268"/>
      <c r="Y746" s="268"/>
      <c r="Z746" s="268"/>
    </row>
    <row r="747" spans="1:26" ht="12.75" customHeight="1">
      <c r="A747" s="268"/>
      <c r="B747" s="268"/>
      <c r="C747" s="268"/>
      <c r="D747" s="268"/>
      <c r="E747" s="268"/>
      <c r="F747" s="268"/>
      <c r="G747" s="268"/>
      <c r="H747" s="268"/>
      <c r="I747" s="268"/>
      <c r="J747" s="268"/>
      <c r="K747" s="268"/>
      <c r="L747" s="268"/>
      <c r="M747" s="268"/>
      <c r="N747" s="268"/>
      <c r="O747" s="268"/>
      <c r="P747" s="268"/>
      <c r="Q747" s="268"/>
      <c r="R747" s="268"/>
      <c r="S747" s="268"/>
      <c r="T747" s="268"/>
      <c r="U747" s="268"/>
      <c r="V747" s="268"/>
      <c r="W747" s="268"/>
      <c r="X747" s="268"/>
      <c r="Y747" s="268"/>
      <c r="Z747" s="268"/>
    </row>
    <row r="748" spans="1:26" ht="12.75" customHeight="1">
      <c r="A748" s="268"/>
      <c r="B748" s="268"/>
      <c r="C748" s="268"/>
      <c r="D748" s="268"/>
      <c r="E748" s="268"/>
      <c r="F748" s="268"/>
      <c r="G748" s="268"/>
      <c r="H748" s="268"/>
      <c r="I748" s="268"/>
      <c r="J748" s="268"/>
      <c r="K748" s="268"/>
      <c r="L748" s="268"/>
      <c r="M748" s="268"/>
      <c r="N748" s="268"/>
      <c r="O748" s="268"/>
      <c r="P748" s="268"/>
      <c r="Q748" s="268"/>
      <c r="R748" s="268"/>
      <c r="S748" s="268"/>
      <c r="T748" s="268"/>
      <c r="U748" s="268"/>
      <c r="V748" s="268"/>
      <c r="W748" s="268"/>
      <c r="X748" s="268"/>
      <c r="Y748" s="268"/>
      <c r="Z748" s="268"/>
    </row>
    <row r="749" spans="1:26" ht="12.75" customHeight="1">
      <c r="A749" s="268"/>
      <c r="B749" s="268"/>
      <c r="C749" s="268"/>
      <c r="D749" s="268"/>
      <c r="E749" s="268"/>
      <c r="F749" s="268"/>
      <c r="G749" s="268"/>
      <c r="H749" s="268"/>
      <c r="I749" s="268"/>
      <c r="J749" s="268"/>
      <c r="K749" s="268"/>
      <c r="L749" s="268"/>
      <c r="M749" s="268"/>
      <c r="N749" s="268"/>
      <c r="O749" s="268"/>
      <c r="P749" s="268"/>
      <c r="Q749" s="268"/>
      <c r="R749" s="268"/>
      <c r="S749" s="268"/>
      <c r="T749" s="268"/>
      <c r="U749" s="268"/>
      <c r="V749" s="268"/>
      <c r="W749" s="268"/>
      <c r="X749" s="268"/>
      <c r="Y749" s="268"/>
      <c r="Z749" s="268"/>
    </row>
    <row r="750" spans="1:26" ht="12.75" customHeight="1">
      <c r="A750" s="268"/>
      <c r="B750" s="268"/>
      <c r="C750" s="268"/>
      <c r="D750" s="268"/>
      <c r="E750" s="268"/>
      <c r="F750" s="268"/>
      <c r="G750" s="268"/>
      <c r="H750" s="268"/>
      <c r="I750" s="268"/>
      <c r="J750" s="268"/>
      <c r="K750" s="268"/>
      <c r="L750" s="268"/>
      <c r="M750" s="268"/>
      <c r="N750" s="268"/>
      <c r="O750" s="268"/>
      <c r="P750" s="268"/>
      <c r="Q750" s="268"/>
      <c r="R750" s="268"/>
      <c r="S750" s="268"/>
      <c r="T750" s="268"/>
      <c r="U750" s="268"/>
      <c r="V750" s="268"/>
      <c r="W750" s="268"/>
      <c r="X750" s="268"/>
      <c r="Y750" s="268"/>
      <c r="Z750" s="268"/>
    </row>
    <row r="751" spans="1:26" ht="12.75" customHeight="1">
      <c r="A751" s="268"/>
      <c r="B751" s="268"/>
      <c r="C751" s="268"/>
      <c r="D751" s="268"/>
      <c r="E751" s="268"/>
      <c r="F751" s="268"/>
      <c r="G751" s="268"/>
      <c r="H751" s="268"/>
      <c r="I751" s="268"/>
      <c r="J751" s="268"/>
      <c r="K751" s="268"/>
      <c r="L751" s="268"/>
      <c r="M751" s="268"/>
      <c r="N751" s="268"/>
      <c r="O751" s="268"/>
      <c r="P751" s="268"/>
      <c r="Q751" s="268"/>
      <c r="R751" s="268"/>
      <c r="S751" s="268"/>
      <c r="T751" s="268"/>
      <c r="U751" s="268"/>
      <c r="V751" s="268"/>
      <c r="W751" s="268"/>
      <c r="X751" s="268"/>
      <c r="Y751" s="268"/>
      <c r="Z751" s="268"/>
    </row>
    <row r="752" spans="1:26" ht="12.75" customHeight="1">
      <c r="A752" s="268"/>
      <c r="B752" s="268"/>
      <c r="C752" s="268"/>
      <c r="D752" s="268"/>
      <c r="E752" s="268"/>
      <c r="F752" s="268"/>
      <c r="G752" s="268"/>
      <c r="H752" s="268"/>
      <c r="I752" s="268"/>
      <c r="J752" s="268"/>
      <c r="K752" s="268"/>
      <c r="L752" s="268"/>
      <c r="M752" s="268"/>
      <c r="N752" s="268"/>
      <c r="O752" s="268"/>
      <c r="P752" s="268"/>
      <c r="Q752" s="268"/>
      <c r="R752" s="268"/>
      <c r="S752" s="268"/>
      <c r="T752" s="268"/>
      <c r="U752" s="268"/>
      <c r="V752" s="268"/>
      <c r="W752" s="268"/>
      <c r="X752" s="268"/>
      <c r="Y752" s="268"/>
      <c r="Z752" s="268"/>
    </row>
    <row r="753" spans="1:26" ht="12.75" customHeight="1">
      <c r="A753" s="268"/>
      <c r="B753" s="268"/>
      <c r="C753" s="268"/>
      <c r="D753" s="268"/>
      <c r="E753" s="268"/>
      <c r="F753" s="268"/>
      <c r="G753" s="268"/>
      <c r="H753" s="268"/>
      <c r="I753" s="268"/>
      <c r="J753" s="268"/>
      <c r="K753" s="268"/>
      <c r="L753" s="268"/>
      <c r="M753" s="268"/>
      <c r="N753" s="268"/>
      <c r="O753" s="268"/>
      <c r="P753" s="268"/>
      <c r="Q753" s="268"/>
      <c r="R753" s="268"/>
      <c r="S753" s="268"/>
      <c r="T753" s="268"/>
      <c r="U753" s="268"/>
      <c r="V753" s="268"/>
      <c r="W753" s="268"/>
      <c r="X753" s="268"/>
      <c r="Y753" s="268"/>
      <c r="Z753" s="268"/>
    </row>
    <row r="754" spans="1:26" ht="12.75" customHeight="1">
      <c r="A754" s="268"/>
      <c r="B754" s="268"/>
      <c r="C754" s="268"/>
      <c r="D754" s="268"/>
      <c r="E754" s="268"/>
      <c r="F754" s="268"/>
      <c r="G754" s="268"/>
      <c r="H754" s="268"/>
      <c r="I754" s="268"/>
      <c r="J754" s="268"/>
      <c r="K754" s="268"/>
      <c r="L754" s="268"/>
      <c r="M754" s="268"/>
      <c r="N754" s="268"/>
      <c r="O754" s="268"/>
      <c r="P754" s="268"/>
      <c r="Q754" s="268"/>
      <c r="R754" s="268"/>
      <c r="S754" s="268"/>
      <c r="T754" s="268"/>
      <c r="U754" s="268"/>
      <c r="V754" s="268"/>
      <c r="W754" s="268"/>
      <c r="X754" s="268"/>
      <c r="Y754" s="268"/>
      <c r="Z754" s="268"/>
    </row>
    <row r="755" spans="1:26" ht="12.75" customHeight="1">
      <c r="A755" s="268"/>
      <c r="B755" s="268"/>
      <c r="C755" s="268"/>
      <c r="D755" s="268"/>
      <c r="E755" s="268"/>
      <c r="F755" s="268"/>
      <c r="G755" s="268"/>
      <c r="H755" s="268"/>
      <c r="I755" s="268"/>
      <c r="J755" s="268"/>
      <c r="K755" s="268"/>
      <c r="L755" s="268"/>
      <c r="M755" s="268"/>
      <c r="N755" s="268"/>
      <c r="O755" s="268"/>
      <c r="P755" s="268"/>
      <c r="Q755" s="268"/>
      <c r="R755" s="268"/>
      <c r="S755" s="268"/>
      <c r="T755" s="268"/>
      <c r="U755" s="268"/>
      <c r="V755" s="268"/>
      <c r="W755" s="268"/>
      <c r="X755" s="268"/>
      <c r="Y755" s="268"/>
      <c r="Z755" s="268"/>
    </row>
    <row r="756" spans="1:26" ht="12.75" customHeight="1">
      <c r="A756" s="268"/>
      <c r="B756" s="268"/>
      <c r="C756" s="268"/>
      <c r="D756" s="268"/>
      <c r="E756" s="268"/>
      <c r="F756" s="268"/>
      <c r="G756" s="268"/>
      <c r="H756" s="268"/>
      <c r="I756" s="268"/>
      <c r="J756" s="268"/>
      <c r="K756" s="268"/>
      <c r="L756" s="268"/>
      <c r="M756" s="268"/>
      <c r="N756" s="268"/>
      <c r="O756" s="268"/>
      <c r="P756" s="268"/>
      <c r="Q756" s="268"/>
      <c r="R756" s="268"/>
      <c r="S756" s="268"/>
      <c r="T756" s="268"/>
      <c r="U756" s="268"/>
      <c r="V756" s="268"/>
      <c r="W756" s="268"/>
      <c r="X756" s="268"/>
      <c r="Y756" s="268"/>
      <c r="Z756" s="268"/>
    </row>
    <row r="757" spans="1:26" ht="12.75" customHeight="1">
      <c r="A757" s="268"/>
      <c r="B757" s="268"/>
      <c r="C757" s="268"/>
      <c r="D757" s="268"/>
      <c r="E757" s="268"/>
      <c r="F757" s="268"/>
      <c r="G757" s="268"/>
      <c r="H757" s="268"/>
      <c r="I757" s="268"/>
      <c r="J757" s="268"/>
      <c r="K757" s="268"/>
      <c r="L757" s="268"/>
      <c r="M757" s="268"/>
      <c r="N757" s="268"/>
      <c r="O757" s="268"/>
      <c r="P757" s="268"/>
      <c r="Q757" s="268"/>
      <c r="R757" s="268"/>
      <c r="S757" s="268"/>
      <c r="T757" s="268"/>
      <c r="U757" s="268"/>
      <c r="V757" s="268"/>
      <c r="W757" s="268"/>
      <c r="X757" s="268"/>
      <c r="Y757" s="268"/>
      <c r="Z757" s="268"/>
    </row>
    <row r="758" spans="1:26" ht="12.75" customHeight="1">
      <c r="A758" s="268"/>
      <c r="B758" s="268"/>
      <c r="C758" s="268"/>
      <c r="D758" s="268"/>
      <c r="E758" s="268"/>
      <c r="F758" s="268"/>
      <c r="G758" s="268"/>
      <c r="H758" s="268"/>
      <c r="I758" s="268"/>
      <c r="J758" s="268"/>
      <c r="K758" s="268"/>
      <c r="L758" s="268"/>
      <c r="M758" s="268"/>
      <c r="N758" s="268"/>
      <c r="O758" s="268"/>
      <c r="P758" s="268"/>
      <c r="Q758" s="268"/>
      <c r="R758" s="268"/>
      <c r="S758" s="268"/>
      <c r="T758" s="268"/>
      <c r="U758" s="268"/>
      <c r="V758" s="268"/>
      <c r="W758" s="268"/>
      <c r="X758" s="268"/>
      <c r="Y758" s="268"/>
      <c r="Z758" s="268"/>
    </row>
    <row r="759" spans="1:26" ht="12.75" customHeight="1">
      <c r="A759" s="268"/>
      <c r="B759" s="268"/>
      <c r="C759" s="268"/>
      <c r="D759" s="268"/>
      <c r="E759" s="268"/>
      <c r="F759" s="268"/>
      <c r="G759" s="268"/>
      <c r="H759" s="268"/>
      <c r="I759" s="268"/>
      <c r="J759" s="268"/>
      <c r="K759" s="268"/>
      <c r="L759" s="268"/>
      <c r="M759" s="268"/>
      <c r="N759" s="268"/>
      <c r="O759" s="268"/>
      <c r="P759" s="268"/>
      <c r="Q759" s="268"/>
      <c r="R759" s="268"/>
      <c r="S759" s="268"/>
      <c r="T759" s="268"/>
      <c r="U759" s="268"/>
      <c r="V759" s="268"/>
      <c r="W759" s="268"/>
      <c r="X759" s="268"/>
      <c r="Y759" s="268"/>
      <c r="Z759" s="268"/>
    </row>
    <row r="760" spans="1:26" ht="12.75" customHeight="1">
      <c r="A760" s="268"/>
      <c r="B760" s="268"/>
      <c r="C760" s="268"/>
      <c r="D760" s="268"/>
      <c r="E760" s="268"/>
      <c r="F760" s="268"/>
      <c r="G760" s="268"/>
      <c r="H760" s="268"/>
      <c r="I760" s="268"/>
      <c r="J760" s="268"/>
      <c r="K760" s="268"/>
      <c r="L760" s="268"/>
      <c r="M760" s="268"/>
      <c r="N760" s="268"/>
      <c r="O760" s="268"/>
      <c r="P760" s="268"/>
      <c r="Q760" s="268"/>
      <c r="R760" s="268"/>
      <c r="S760" s="268"/>
      <c r="T760" s="268"/>
      <c r="U760" s="268"/>
      <c r="V760" s="268"/>
      <c r="W760" s="268"/>
      <c r="X760" s="268"/>
      <c r="Y760" s="268"/>
      <c r="Z760" s="268"/>
    </row>
    <row r="761" spans="1:26" ht="12.75" customHeight="1">
      <c r="A761" s="268"/>
      <c r="B761" s="268"/>
      <c r="C761" s="268"/>
      <c r="D761" s="268"/>
      <c r="E761" s="268"/>
      <c r="F761" s="268"/>
      <c r="G761" s="268"/>
      <c r="H761" s="268"/>
      <c r="I761" s="268"/>
      <c r="J761" s="268"/>
      <c r="K761" s="268"/>
      <c r="L761" s="268"/>
      <c r="M761" s="268"/>
      <c r="N761" s="268"/>
      <c r="O761" s="268"/>
      <c r="P761" s="268"/>
      <c r="Q761" s="268"/>
      <c r="R761" s="268"/>
      <c r="S761" s="268"/>
      <c r="T761" s="268"/>
      <c r="U761" s="268"/>
      <c r="V761" s="268"/>
      <c r="W761" s="268"/>
      <c r="X761" s="268"/>
      <c r="Y761" s="268"/>
      <c r="Z761" s="268"/>
    </row>
    <row r="762" spans="1:26" ht="12.75" customHeight="1">
      <c r="A762" s="268"/>
      <c r="B762" s="268"/>
      <c r="C762" s="268"/>
      <c r="D762" s="268"/>
      <c r="E762" s="268"/>
      <c r="F762" s="268"/>
      <c r="G762" s="268"/>
      <c r="H762" s="268"/>
      <c r="I762" s="268"/>
      <c r="J762" s="268"/>
      <c r="K762" s="268"/>
      <c r="L762" s="268"/>
      <c r="M762" s="268"/>
      <c r="N762" s="268"/>
      <c r="O762" s="268"/>
      <c r="P762" s="268"/>
      <c r="Q762" s="268"/>
      <c r="R762" s="268"/>
      <c r="S762" s="268"/>
      <c r="T762" s="268"/>
      <c r="U762" s="268"/>
      <c r="V762" s="268"/>
      <c r="W762" s="268"/>
      <c r="X762" s="268"/>
      <c r="Y762" s="268"/>
      <c r="Z762" s="268"/>
    </row>
    <row r="763" spans="1:26" ht="12.75" customHeight="1">
      <c r="A763" s="268"/>
      <c r="B763" s="268"/>
      <c r="C763" s="268"/>
      <c r="D763" s="268"/>
      <c r="E763" s="268"/>
      <c r="F763" s="268"/>
      <c r="G763" s="268"/>
      <c r="H763" s="268"/>
      <c r="I763" s="268"/>
      <c r="J763" s="268"/>
      <c r="K763" s="268"/>
      <c r="L763" s="268"/>
      <c r="M763" s="268"/>
      <c r="N763" s="268"/>
      <c r="O763" s="268"/>
      <c r="P763" s="268"/>
      <c r="Q763" s="268"/>
      <c r="R763" s="268"/>
      <c r="S763" s="268"/>
      <c r="T763" s="268"/>
      <c r="U763" s="268"/>
      <c r="V763" s="268"/>
      <c r="W763" s="268"/>
      <c r="X763" s="268"/>
      <c r="Y763" s="268"/>
      <c r="Z763" s="268"/>
    </row>
    <row r="764" spans="1:26" ht="12.75" customHeight="1">
      <c r="A764" s="268"/>
      <c r="B764" s="268"/>
      <c r="C764" s="268"/>
      <c r="D764" s="268"/>
      <c r="E764" s="268"/>
      <c r="F764" s="268"/>
      <c r="G764" s="268"/>
      <c r="H764" s="268"/>
      <c r="I764" s="268"/>
      <c r="J764" s="268"/>
      <c r="K764" s="268"/>
      <c r="L764" s="268"/>
      <c r="M764" s="268"/>
      <c r="N764" s="268"/>
      <c r="O764" s="268"/>
      <c r="P764" s="268"/>
      <c r="Q764" s="268"/>
      <c r="R764" s="268"/>
      <c r="S764" s="268"/>
      <c r="T764" s="268"/>
      <c r="U764" s="268"/>
      <c r="V764" s="268"/>
      <c r="W764" s="268"/>
      <c r="X764" s="268"/>
      <c r="Y764" s="268"/>
      <c r="Z764" s="268"/>
    </row>
    <row r="765" spans="1:26" ht="12.75" customHeight="1">
      <c r="A765" s="268"/>
      <c r="B765" s="268"/>
      <c r="C765" s="268"/>
      <c r="D765" s="268"/>
      <c r="E765" s="268"/>
      <c r="F765" s="268"/>
      <c r="G765" s="268"/>
      <c r="H765" s="268"/>
      <c r="I765" s="268"/>
      <c r="J765" s="268"/>
      <c r="K765" s="268"/>
      <c r="L765" s="268"/>
      <c r="M765" s="268"/>
      <c r="N765" s="268"/>
      <c r="O765" s="268"/>
      <c r="P765" s="268"/>
      <c r="Q765" s="268"/>
      <c r="R765" s="268"/>
      <c r="S765" s="268"/>
      <c r="T765" s="268"/>
      <c r="U765" s="268"/>
      <c r="V765" s="268"/>
      <c r="W765" s="268"/>
      <c r="X765" s="268"/>
      <c r="Y765" s="268"/>
      <c r="Z765" s="268"/>
    </row>
    <row r="766" spans="1:26" ht="12.75" customHeight="1">
      <c r="A766" s="268"/>
      <c r="B766" s="268"/>
      <c r="C766" s="268"/>
      <c r="D766" s="268"/>
      <c r="E766" s="268"/>
      <c r="F766" s="268"/>
      <c r="G766" s="268"/>
      <c r="H766" s="268"/>
      <c r="I766" s="268"/>
      <c r="J766" s="268"/>
      <c r="K766" s="268"/>
      <c r="L766" s="268"/>
      <c r="M766" s="268"/>
      <c r="N766" s="268"/>
      <c r="O766" s="268"/>
      <c r="P766" s="268"/>
      <c r="Q766" s="268"/>
      <c r="R766" s="268"/>
      <c r="S766" s="268"/>
      <c r="T766" s="268"/>
      <c r="U766" s="268"/>
      <c r="V766" s="268"/>
      <c r="W766" s="268"/>
      <c r="X766" s="268"/>
      <c r="Y766" s="268"/>
      <c r="Z766" s="268"/>
    </row>
    <row r="767" spans="1:26" ht="12.75" customHeight="1">
      <c r="A767" s="268"/>
      <c r="B767" s="268"/>
      <c r="C767" s="268"/>
      <c r="D767" s="268"/>
      <c r="E767" s="268"/>
      <c r="F767" s="268"/>
      <c r="G767" s="268"/>
      <c r="H767" s="268"/>
      <c r="I767" s="268"/>
      <c r="J767" s="268"/>
      <c r="K767" s="268"/>
      <c r="L767" s="268"/>
      <c r="M767" s="268"/>
      <c r="N767" s="268"/>
      <c r="O767" s="268"/>
      <c r="P767" s="268"/>
      <c r="Q767" s="268"/>
      <c r="R767" s="268"/>
      <c r="S767" s="268"/>
      <c r="T767" s="268"/>
      <c r="U767" s="268"/>
      <c r="V767" s="268"/>
      <c r="W767" s="268"/>
      <c r="X767" s="268"/>
      <c r="Y767" s="268"/>
      <c r="Z767" s="268"/>
    </row>
    <row r="768" spans="1:26" ht="12.75" customHeight="1">
      <c r="A768" s="268"/>
      <c r="B768" s="268"/>
      <c r="C768" s="268"/>
      <c r="D768" s="268"/>
      <c r="E768" s="268"/>
      <c r="F768" s="268"/>
      <c r="G768" s="268"/>
      <c r="H768" s="268"/>
      <c r="I768" s="268"/>
      <c r="J768" s="268"/>
      <c r="K768" s="268"/>
      <c r="L768" s="268"/>
      <c r="M768" s="268"/>
      <c r="N768" s="268"/>
      <c r="O768" s="268"/>
      <c r="P768" s="268"/>
      <c r="Q768" s="268"/>
      <c r="R768" s="268"/>
      <c r="S768" s="268"/>
      <c r="T768" s="268"/>
      <c r="U768" s="268"/>
      <c r="V768" s="268"/>
      <c r="W768" s="268"/>
      <c r="X768" s="268"/>
      <c r="Y768" s="268"/>
      <c r="Z768" s="268"/>
    </row>
    <row r="769" spans="1:26" ht="12.75" customHeight="1">
      <c r="A769" s="268"/>
      <c r="B769" s="268"/>
      <c r="C769" s="268"/>
      <c r="D769" s="268"/>
      <c r="E769" s="268"/>
      <c r="F769" s="268"/>
      <c r="G769" s="268"/>
      <c r="H769" s="268"/>
      <c r="I769" s="268"/>
      <c r="J769" s="268"/>
      <c r="K769" s="268"/>
      <c r="L769" s="268"/>
      <c r="M769" s="268"/>
      <c r="N769" s="268"/>
      <c r="O769" s="268"/>
      <c r="P769" s="268"/>
      <c r="Q769" s="268"/>
      <c r="R769" s="268"/>
      <c r="S769" s="268"/>
      <c r="T769" s="268"/>
      <c r="U769" s="268"/>
      <c r="V769" s="268"/>
      <c r="W769" s="268"/>
      <c r="X769" s="268"/>
      <c r="Y769" s="268"/>
      <c r="Z769" s="268"/>
    </row>
    <row r="770" spans="1:26" ht="12.75" customHeight="1">
      <c r="A770" s="268"/>
      <c r="B770" s="268"/>
      <c r="C770" s="268"/>
      <c r="D770" s="268"/>
      <c r="E770" s="268"/>
      <c r="F770" s="268"/>
      <c r="G770" s="268"/>
      <c r="H770" s="268"/>
      <c r="I770" s="268"/>
      <c r="J770" s="268"/>
      <c r="K770" s="268"/>
      <c r="L770" s="268"/>
      <c r="M770" s="268"/>
      <c r="N770" s="268"/>
      <c r="O770" s="268"/>
      <c r="P770" s="268"/>
      <c r="Q770" s="268"/>
      <c r="R770" s="268"/>
      <c r="S770" s="268"/>
      <c r="T770" s="268"/>
      <c r="U770" s="268"/>
      <c r="V770" s="268"/>
      <c r="W770" s="268"/>
      <c r="X770" s="268"/>
      <c r="Y770" s="268"/>
      <c r="Z770" s="268"/>
    </row>
    <row r="771" spans="1:26" ht="12.75" customHeight="1">
      <c r="A771" s="268"/>
      <c r="B771" s="268"/>
      <c r="C771" s="268"/>
      <c r="D771" s="268"/>
      <c r="E771" s="268"/>
      <c r="F771" s="268"/>
      <c r="G771" s="268"/>
      <c r="H771" s="268"/>
      <c r="I771" s="268"/>
      <c r="J771" s="268"/>
      <c r="K771" s="268"/>
      <c r="L771" s="268"/>
      <c r="M771" s="268"/>
      <c r="N771" s="268"/>
      <c r="O771" s="268"/>
      <c r="P771" s="268"/>
      <c r="Q771" s="268"/>
      <c r="R771" s="268"/>
      <c r="S771" s="268"/>
      <c r="T771" s="268"/>
      <c r="U771" s="268"/>
      <c r="V771" s="268"/>
      <c r="W771" s="268"/>
      <c r="X771" s="268"/>
      <c r="Y771" s="268"/>
      <c r="Z771" s="268"/>
    </row>
    <row r="772" spans="1:26" ht="12.75" customHeight="1">
      <c r="A772" s="268"/>
      <c r="B772" s="268"/>
      <c r="C772" s="268"/>
      <c r="D772" s="268"/>
      <c r="E772" s="268"/>
      <c r="F772" s="268"/>
      <c r="G772" s="268"/>
      <c r="H772" s="268"/>
      <c r="I772" s="268"/>
      <c r="J772" s="268"/>
      <c r="K772" s="268"/>
      <c r="L772" s="268"/>
      <c r="M772" s="268"/>
      <c r="N772" s="268"/>
      <c r="O772" s="268"/>
      <c r="P772" s="268"/>
      <c r="Q772" s="268"/>
      <c r="R772" s="268"/>
      <c r="S772" s="268"/>
      <c r="T772" s="268"/>
      <c r="U772" s="268"/>
      <c r="V772" s="268"/>
      <c r="W772" s="268"/>
      <c r="X772" s="268"/>
      <c r="Y772" s="268"/>
      <c r="Z772" s="268"/>
    </row>
    <row r="773" spans="1:26" ht="12.75" customHeight="1">
      <c r="A773" s="268"/>
      <c r="B773" s="268"/>
      <c r="C773" s="268"/>
      <c r="D773" s="268"/>
      <c r="E773" s="268"/>
      <c r="F773" s="268"/>
      <c r="G773" s="268"/>
      <c r="H773" s="268"/>
      <c r="I773" s="268"/>
      <c r="J773" s="268"/>
      <c r="K773" s="268"/>
      <c r="L773" s="268"/>
      <c r="M773" s="268"/>
      <c r="N773" s="268"/>
      <c r="O773" s="268"/>
      <c r="P773" s="268"/>
      <c r="Q773" s="268"/>
      <c r="R773" s="268"/>
      <c r="S773" s="268"/>
      <c r="T773" s="268"/>
      <c r="U773" s="268"/>
      <c r="V773" s="268"/>
      <c r="W773" s="268"/>
      <c r="X773" s="268"/>
      <c r="Y773" s="268"/>
      <c r="Z773" s="268"/>
    </row>
    <row r="774" spans="1:26" ht="12.75" customHeight="1">
      <c r="A774" s="268"/>
      <c r="B774" s="268"/>
      <c r="C774" s="268"/>
      <c r="D774" s="268"/>
      <c r="E774" s="268"/>
      <c r="F774" s="268"/>
      <c r="G774" s="268"/>
      <c r="H774" s="268"/>
      <c r="I774" s="268"/>
      <c r="J774" s="268"/>
      <c r="K774" s="268"/>
      <c r="L774" s="268"/>
      <c r="M774" s="268"/>
      <c r="N774" s="268"/>
      <c r="O774" s="268"/>
      <c r="P774" s="268"/>
      <c r="Q774" s="268"/>
      <c r="R774" s="268"/>
      <c r="S774" s="268"/>
      <c r="T774" s="268"/>
      <c r="U774" s="268"/>
      <c r="V774" s="268"/>
      <c r="W774" s="268"/>
      <c r="X774" s="268"/>
      <c r="Y774" s="268"/>
      <c r="Z774" s="268"/>
    </row>
    <row r="775" spans="1:26" ht="12.75" customHeight="1">
      <c r="A775" s="268"/>
      <c r="B775" s="268"/>
      <c r="C775" s="268"/>
      <c r="D775" s="268"/>
      <c r="E775" s="268"/>
      <c r="F775" s="268"/>
      <c r="G775" s="268"/>
      <c r="H775" s="268"/>
      <c r="I775" s="268"/>
      <c r="J775" s="268"/>
      <c r="K775" s="268"/>
      <c r="L775" s="268"/>
      <c r="M775" s="268"/>
      <c r="N775" s="268"/>
      <c r="O775" s="268"/>
      <c r="P775" s="268"/>
      <c r="Q775" s="268"/>
      <c r="R775" s="268"/>
      <c r="S775" s="268"/>
      <c r="T775" s="268"/>
      <c r="U775" s="268"/>
      <c r="V775" s="268"/>
      <c r="W775" s="268"/>
      <c r="X775" s="268"/>
      <c r="Y775" s="268"/>
      <c r="Z775" s="268"/>
    </row>
    <row r="776" spans="1:26" ht="12.75" customHeight="1">
      <c r="A776" s="268"/>
      <c r="B776" s="268"/>
      <c r="C776" s="268"/>
      <c r="D776" s="268"/>
      <c r="E776" s="268"/>
      <c r="F776" s="268"/>
      <c r="G776" s="268"/>
      <c r="H776" s="268"/>
      <c r="I776" s="268"/>
      <c r="J776" s="268"/>
      <c r="K776" s="268"/>
      <c r="L776" s="268"/>
      <c r="M776" s="268"/>
      <c r="N776" s="268"/>
      <c r="O776" s="268"/>
      <c r="P776" s="268"/>
      <c r="Q776" s="268"/>
      <c r="R776" s="268"/>
      <c r="S776" s="268"/>
      <c r="T776" s="268"/>
      <c r="U776" s="268"/>
      <c r="V776" s="268"/>
      <c r="W776" s="268"/>
      <c r="X776" s="268"/>
      <c r="Y776" s="268"/>
      <c r="Z776" s="268"/>
    </row>
    <row r="777" spans="1:26" ht="12.75" customHeight="1">
      <c r="A777" s="268"/>
      <c r="B777" s="268"/>
      <c r="C777" s="268"/>
      <c r="D777" s="268"/>
      <c r="E777" s="268"/>
      <c r="F777" s="268"/>
      <c r="G777" s="268"/>
      <c r="H777" s="268"/>
      <c r="I777" s="268"/>
      <c r="J777" s="268"/>
      <c r="K777" s="268"/>
      <c r="L777" s="268"/>
      <c r="M777" s="268"/>
      <c r="N777" s="268"/>
      <c r="O777" s="268"/>
      <c r="P777" s="268"/>
      <c r="Q777" s="268"/>
      <c r="R777" s="268"/>
      <c r="S777" s="268"/>
      <c r="T777" s="268"/>
      <c r="U777" s="268"/>
      <c r="V777" s="268"/>
      <c r="W777" s="268"/>
      <c r="X777" s="268"/>
      <c r="Y777" s="268"/>
      <c r="Z777" s="268"/>
    </row>
    <row r="778" spans="1:26" ht="12.75" customHeight="1">
      <c r="A778" s="268"/>
      <c r="B778" s="268"/>
      <c r="C778" s="268"/>
      <c r="D778" s="268"/>
      <c r="E778" s="268"/>
      <c r="F778" s="268"/>
      <c r="G778" s="268"/>
      <c r="H778" s="268"/>
      <c r="I778" s="268"/>
      <c r="J778" s="268"/>
      <c r="K778" s="268"/>
      <c r="L778" s="268"/>
      <c r="M778" s="268"/>
      <c r="N778" s="268"/>
      <c r="O778" s="268"/>
      <c r="P778" s="268"/>
      <c r="Q778" s="268"/>
      <c r="R778" s="268"/>
      <c r="S778" s="268"/>
      <c r="T778" s="268"/>
      <c r="U778" s="268"/>
      <c r="V778" s="268"/>
      <c r="W778" s="268"/>
      <c r="X778" s="268"/>
      <c r="Y778" s="268"/>
      <c r="Z778" s="268"/>
    </row>
    <row r="779" spans="1:26" ht="12.75" customHeight="1">
      <c r="A779" s="268"/>
      <c r="B779" s="268"/>
      <c r="C779" s="268"/>
      <c r="D779" s="268"/>
      <c r="E779" s="268"/>
      <c r="F779" s="268"/>
      <c r="G779" s="268"/>
      <c r="H779" s="268"/>
      <c r="I779" s="268"/>
      <c r="J779" s="268"/>
      <c r="K779" s="268"/>
      <c r="L779" s="268"/>
      <c r="M779" s="268"/>
      <c r="N779" s="268"/>
      <c r="O779" s="268"/>
      <c r="P779" s="268"/>
      <c r="Q779" s="268"/>
      <c r="R779" s="268"/>
      <c r="S779" s="268"/>
      <c r="T779" s="268"/>
      <c r="U779" s="268"/>
      <c r="V779" s="268"/>
      <c r="W779" s="268"/>
      <c r="X779" s="268"/>
      <c r="Y779" s="268"/>
      <c r="Z779" s="268"/>
    </row>
    <row r="780" spans="1:26" ht="12.75" customHeight="1">
      <c r="A780" s="268"/>
      <c r="B780" s="268"/>
      <c r="C780" s="268"/>
      <c r="D780" s="268"/>
      <c r="E780" s="268"/>
      <c r="F780" s="268"/>
      <c r="G780" s="268"/>
      <c r="H780" s="268"/>
      <c r="I780" s="268"/>
      <c r="J780" s="268"/>
      <c r="K780" s="268"/>
      <c r="L780" s="268"/>
      <c r="M780" s="268"/>
      <c r="N780" s="268"/>
      <c r="O780" s="268"/>
      <c r="P780" s="268"/>
      <c r="Q780" s="268"/>
      <c r="R780" s="268"/>
      <c r="S780" s="268"/>
      <c r="T780" s="268"/>
      <c r="U780" s="268"/>
      <c r="V780" s="268"/>
      <c r="W780" s="268"/>
      <c r="X780" s="268"/>
      <c r="Y780" s="268"/>
      <c r="Z780" s="268"/>
    </row>
    <row r="781" spans="1:26" ht="12.75" customHeight="1">
      <c r="A781" s="268"/>
      <c r="B781" s="268"/>
      <c r="C781" s="268"/>
      <c r="D781" s="268"/>
      <c r="E781" s="268"/>
      <c r="F781" s="268"/>
      <c r="G781" s="268"/>
      <c r="H781" s="268"/>
      <c r="I781" s="268"/>
      <c r="J781" s="268"/>
      <c r="K781" s="268"/>
      <c r="L781" s="268"/>
      <c r="M781" s="268"/>
      <c r="N781" s="268"/>
      <c r="O781" s="268"/>
      <c r="P781" s="268"/>
      <c r="Q781" s="268"/>
      <c r="R781" s="268"/>
      <c r="S781" s="268"/>
      <c r="T781" s="268"/>
      <c r="U781" s="268"/>
      <c r="V781" s="268"/>
      <c r="W781" s="268"/>
      <c r="X781" s="268"/>
      <c r="Y781" s="268"/>
      <c r="Z781" s="268"/>
    </row>
    <row r="782" spans="1:26" ht="12.75" customHeight="1">
      <c r="A782" s="268"/>
      <c r="B782" s="268"/>
      <c r="C782" s="268"/>
      <c r="D782" s="268"/>
      <c r="E782" s="268"/>
      <c r="F782" s="268"/>
      <c r="G782" s="268"/>
      <c r="H782" s="268"/>
      <c r="I782" s="268"/>
      <c r="J782" s="268"/>
      <c r="K782" s="268"/>
      <c r="L782" s="268"/>
      <c r="M782" s="268"/>
      <c r="N782" s="268"/>
      <c r="O782" s="268"/>
      <c r="P782" s="268"/>
      <c r="Q782" s="268"/>
      <c r="R782" s="268"/>
      <c r="S782" s="268"/>
      <c r="T782" s="268"/>
      <c r="U782" s="268"/>
      <c r="V782" s="268"/>
      <c r="W782" s="268"/>
      <c r="X782" s="268"/>
      <c r="Y782" s="268"/>
      <c r="Z782" s="268"/>
    </row>
    <row r="783" spans="1:26" ht="12.75" customHeight="1">
      <c r="A783" s="268"/>
      <c r="B783" s="268"/>
      <c r="C783" s="268"/>
      <c r="D783" s="268"/>
      <c r="E783" s="268"/>
      <c r="F783" s="268"/>
      <c r="G783" s="268"/>
      <c r="H783" s="268"/>
      <c r="I783" s="268"/>
      <c r="J783" s="268"/>
      <c r="K783" s="268"/>
      <c r="L783" s="268"/>
      <c r="M783" s="268"/>
      <c r="N783" s="268"/>
      <c r="O783" s="268"/>
      <c r="P783" s="268"/>
      <c r="Q783" s="268"/>
      <c r="R783" s="268"/>
      <c r="S783" s="268"/>
      <c r="T783" s="268"/>
      <c r="U783" s="268"/>
      <c r="V783" s="268"/>
      <c r="W783" s="268"/>
      <c r="X783" s="268"/>
      <c r="Y783" s="268"/>
      <c r="Z783" s="268"/>
    </row>
    <row r="784" spans="1:26" ht="12.75" customHeight="1">
      <c r="A784" s="268"/>
      <c r="B784" s="268"/>
      <c r="C784" s="268"/>
      <c r="D784" s="268"/>
      <c r="E784" s="268"/>
      <c r="F784" s="268"/>
      <c r="G784" s="268"/>
      <c r="H784" s="268"/>
      <c r="I784" s="268"/>
      <c r="J784" s="268"/>
      <c r="K784" s="268"/>
      <c r="L784" s="268"/>
      <c r="M784" s="268"/>
      <c r="N784" s="268"/>
      <c r="O784" s="268"/>
      <c r="P784" s="268"/>
      <c r="Q784" s="268"/>
      <c r="R784" s="268"/>
      <c r="S784" s="268"/>
      <c r="T784" s="268"/>
      <c r="U784" s="268"/>
      <c r="V784" s="268"/>
      <c r="W784" s="268"/>
      <c r="X784" s="268"/>
      <c r="Y784" s="268"/>
      <c r="Z784" s="268"/>
    </row>
    <row r="785" spans="1:26" ht="12.75" customHeight="1">
      <c r="A785" s="268"/>
      <c r="B785" s="268"/>
      <c r="C785" s="268"/>
      <c r="D785" s="268"/>
      <c r="E785" s="268"/>
      <c r="F785" s="268"/>
      <c r="G785" s="268"/>
      <c r="H785" s="268"/>
      <c r="I785" s="268"/>
      <c r="J785" s="268"/>
      <c r="K785" s="268"/>
      <c r="L785" s="268"/>
      <c r="M785" s="268"/>
      <c r="N785" s="268"/>
      <c r="O785" s="268"/>
      <c r="P785" s="268"/>
      <c r="Q785" s="268"/>
      <c r="R785" s="268"/>
      <c r="S785" s="268"/>
      <c r="T785" s="268"/>
      <c r="U785" s="268"/>
      <c r="V785" s="268"/>
      <c r="W785" s="268"/>
      <c r="X785" s="268"/>
      <c r="Y785" s="268"/>
      <c r="Z785" s="268"/>
    </row>
    <row r="786" spans="1:26" ht="12.75" customHeight="1">
      <c r="A786" s="268"/>
      <c r="B786" s="268"/>
      <c r="C786" s="268"/>
      <c r="D786" s="268"/>
      <c r="E786" s="268"/>
      <c r="F786" s="268"/>
      <c r="G786" s="268"/>
      <c r="H786" s="268"/>
      <c r="I786" s="268"/>
      <c r="J786" s="268"/>
      <c r="K786" s="268"/>
      <c r="L786" s="268"/>
      <c r="M786" s="268"/>
      <c r="N786" s="268"/>
      <c r="O786" s="268"/>
      <c r="P786" s="268"/>
      <c r="Q786" s="268"/>
      <c r="R786" s="268"/>
      <c r="S786" s="268"/>
      <c r="T786" s="268"/>
      <c r="U786" s="268"/>
      <c r="V786" s="268"/>
      <c r="W786" s="268"/>
      <c r="X786" s="268"/>
      <c r="Y786" s="268"/>
      <c r="Z786" s="268"/>
    </row>
    <row r="787" spans="1:26" ht="12.75" customHeight="1">
      <c r="A787" s="268"/>
      <c r="B787" s="268"/>
      <c r="C787" s="268"/>
      <c r="D787" s="268"/>
      <c r="E787" s="268"/>
      <c r="F787" s="268"/>
      <c r="G787" s="268"/>
      <c r="H787" s="268"/>
      <c r="I787" s="268"/>
      <c r="J787" s="268"/>
      <c r="K787" s="268"/>
      <c r="L787" s="268"/>
      <c r="M787" s="268"/>
      <c r="N787" s="268"/>
      <c r="O787" s="268"/>
      <c r="P787" s="268"/>
      <c r="Q787" s="268"/>
      <c r="R787" s="268"/>
      <c r="S787" s="268"/>
      <c r="T787" s="268"/>
      <c r="U787" s="268"/>
      <c r="V787" s="268"/>
      <c r="W787" s="268"/>
      <c r="X787" s="268"/>
      <c r="Y787" s="268"/>
      <c r="Z787" s="268"/>
    </row>
    <row r="788" spans="1:26" ht="12.75" customHeight="1">
      <c r="A788" s="268"/>
      <c r="B788" s="268"/>
      <c r="C788" s="268"/>
      <c r="D788" s="268"/>
      <c r="E788" s="268"/>
      <c r="F788" s="268"/>
      <c r="G788" s="268"/>
      <c r="H788" s="268"/>
      <c r="I788" s="268"/>
      <c r="J788" s="268"/>
      <c r="K788" s="268"/>
      <c r="L788" s="268"/>
      <c r="M788" s="268"/>
      <c r="N788" s="268"/>
      <c r="O788" s="268"/>
      <c r="P788" s="268"/>
      <c r="Q788" s="268"/>
      <c r="R788" s="268"/>
      <c r="S788" s="268"/>
      <c r="T788" s="268"/>
      <c r="U788" s="268"/>
      <c r="V788" s="268"/>
      <c r="W788" s="268"/>
      <c r="X788" s="268"/>
      <c r="Y788" s="268"/>
      <c r="Z788" s="268"/>
    </row>
    <row r="789" spans="1:26" ht="12.75" customHeight="1">
      <c r="A789" s="268"/>
      <c r="B789" s="268"/>
      <c r="C789" s="268"/>
      <c r="D789" s="268"/>
      <c r="E789" s="268"/>
      <c r="F789" s="268"/>
      <c r="G789" s="268"/>
      <c r="H789" s="268"/>
      <c r="I789" s="268"/>
      <c r="J789" s="268"/>
      <c r="K789" s="268"/>
      <c r="L789" s="268"/>
      <c r="M789" s="268"/>
      <c r="N789" s="268"/>
      <c r="O789" s="268"/>
      <c r="P789" s="268"/>
      <c r="Q789" s="268"/>
      <c r="R789" s="268"/>
      <c r="S789" s="268"/>
      <c r="T789" s="268"/>
      <c r="U789" s="268"/>
      <c r="V789" s="268"/>
      <c r="W789" s="268"/>
      <c r="X789" s="268"/>
      <c r="Y789" s="268"/>
      <c r="Z789" s="268"/>
    </row>
    <row r="790" spans="1:26" ht="12.75" customHeight="1">
      <c r="A790" s="268"/>
      <c r="B790" s="268"/>
      <c r="C790" s="268"/>
      <c r="D790" s="268"/>
      <c r="E790" s="268"/>
      <c r="F790" s="268"/>
      <c r="G790" s="268"/>
      <c r="H790" s="268"/>
      <c r="I790" s="268"/>
      <c r="J790" s="268"/>
      <c r="K790" s="268"/>
      <c r="L790" s="268"/>
      <c r="M790" s="268"/>
      <c r="N790" s="268"/>
      <c r="O790" s="268"/>
      <c r="P790" s="268"/>
      <c r="Q790" s="268"/>
      <c r="R790" s="268"/>
      <c r="S790" s="268"/>
      <c r="T790" s="268"/>
      <c r="U790" s="268"/>
      <c r="V790" s="268"/>
      <c r="W790" s="268"/>
      <c r="X790" s="268"/>
      <c r="Y790" s="268"/>
      <c r="Z790" s="268"/>
    </row>
    <row r="791" spans="1:26" ht="12.75" customHeight="1">
      <c r="A791" s="268"/>
      <c r="B791" s="268"/>
      <c r="C791" s="268"/>
      <c r="D791" s="268"/>
      <c r="E791" s="268"/>
      <c r="F791" s="268"/>
      <c r="G791" s="268"/>
      <c r="H791" s="268"/>
      <c r="I791" s="268"/>
      <c r="J791" s="268"/>
      <c r="K791" s="268"/>
      <c r="L791" s="268"/>
      <c r="M791" s="268"/>
      <c r="N791" s="268"/>
      <c r="O791" s="268"/>
      <c r="P791" s="268"/>
      <c r="Q791" s="268"/>
      <c r="R791" s="268"/>
      <c r="S791" s="268"/>
      <c r="T791" s="268"/>
      <c r="U791" s="268"/>
      <c r="V791" s="268"/>
      <c r="W791" s="268"/>
      <c r="X791" s="268"/>
      <c r="Y791" s="268"/>
      <c r="Z791" s="268"/>
    </row>
    <row r="792" spans="1:26" ht="12.75" customHeight="1">
      <c r="A792" s="268"/>
      <c r="B792" s="268"/>
      <c r="C792" s="268"/>
      <c r="D792" s="268"/>
      <c r="E792" s="268"/>
      <c r="F792" s="268"/>
      <c r="G792" s="268"/>
      <c r="H792" s="268"/>
      <c r="I792" s="268"/>
      <c r="J792" s="268"/>
      <c r="K792" s="268"/>
      <c r="L792" s="268"/>
      <c r="M792" s="268"/>
      <c r="N792" s="268"/>
      <c r="O792" s="268"/>
      <c r="P792" s="268"/>
      <c r="Q792" s="268"/>
      <c r="R792" s="268"/>
      <c r="S792" s="268"/>
      <c r="T792" s="268"/>
      <c r="U792" s="268"/>
      <c r="V792" s="268"/>
      <c r="W792" s="268"/>
      <c r="X792" s="268"/>
      <c r="Y792" s="268"/>
      <c r="Z792" s="268"/>
    </row>
    <row r="793" spans="1:26" ht="12.75" customHeight="1">
      <c r="A793" s="268"/>
      <c r="B793" s="268"/>
      <c r="C793" s="268"/>
      <c r="D793" s="268"/>
      <c r="E793" s="268"/>
      <c r="F793" s="268"/>
      <c r="G793" s="268"/>
      <c r="H793" s="268"/>
      <c r="I793" s="268"/>
      <c r="J793" s="268"/>
      <c r="K793" s="268"/>
      <c r="L793" s="268"/>
      <c r="M793" s="268"/>
      <c r="N793" s="268"/>
      <c r="O793" s="268"/>
      <c r="P793" s="268"/>
      <c r="Q793" s="268"/>
      <c r="R793" s="268"/>
      <c r="S793" s="268"/>
      <c r="T793" s="268"/>
      <c r="U793" s="268"/>
      <c r="V793" s="268"/>
      <c r="W793" s="268"/>
      <c r="X793" s="268"/>
      <c r="Y793" s="268"/>
      <c r="Z793" s="268"/>
    </row>
    <row r="794" spans="1:26" ht="12.75" customHeight="1">
      <c r="A794" s="268"/>
      <c r="B794" s="268"/>
      <c r="C794" s="268"/>
      <c r="D794" s="268"/>
      <c r="E794" s="268"/>
      <c r="F794" s="268"/>
      <c r="G794" s="268"/>
      <c r="H794" s="268"/>
      <c r="I794" s="268"/>
      <c r="J794" s="268"/>
      <c r="K794" s="268"/>
      <c r="L794" s="268"/>
      <c r="M794" s="268"/>
      <c r="N794" s="268"/>
      <c r="O794" s="268"/>
      <c r="P794" s="268"/>
      <c r="Q794" s="268"/>
      <c r="R794" s="268"/>
      <c r="S794" s="268"/>
      <c r="T794" s="268"/>
      <c r="U794" s="268"/>
      <c r="V794" s="268"/>
      <c r="W794" s="268"/>
      <c r="X794" s="268"/>
      <c r="Y794" s="268"/>
      <c r="Z794" s="268"/>
    </row>
    <row r="795" spans="1:26" ht="12.75" customHeight="1">
      <c r="A795" s="268"/>
      <c r="B795" s="268"/>
      <c r="C795" s="268"/>
      <c r="D795" s="268"/>
      <c r="E795" s="268"/>
      <c r="F795" s="268"/>
      <c r="G795" s="268"/>
      <c r="H795" s="268"/>
      <c r="I795" s="268"/>
      <c r="J795" s="268"/>
      <c r="K795" s="268"/>
      <c r="L795" s="268"/>
      <c r="M795" s="268"/>
      <c r="N795" s="268"/>
      <c r="O795" s="268"/>
      <c r="P795" s="268"/>
      <c r="Q795" s="268"/>
      <c r="R795" s="268"/>
      <c r="S795" s="268"/>
      <c r="T795" s="268"/>
      <c r="U795" s="268"/>
      <c r="V795" s="268"/>
      <c r="W795" s="268"/>
      <c r="X795" s="268"/>
      <c r="Y795" s="268"/>
      <c r="Z795" s="268"/>
    </row>
    <row r="796" spans="1:26" ht="12.75" customHeight="1">
      <c r="A796" s="268"/>
      <c r="B796" s="268"/>
      <c r="C796" s="268"/>
      <c r="D796" s="268"/>
      <c r="E796" s="268"/>
      <c r="F796" s="268"/>
      <c r="G796" s="268"/>
      <c r="H796" s="268"/>
      <c r="I796" s="268"/>
      <c r="J796" s="268"/>
      <c r="K796" s="268"/>
      <c r="L796" s="268"/>
      <c r="M796" s="268"/>
      <c r="N796" s="268"/>
      <c r="O796" s="268"/>
      <c r="P796" s="268"/>
      <c r="Q796" s="268"/>
      <c r="R796" s="268"/>
      <c r="S796" s="268"/>
      <c r="T796" s="268"/>
      <c r="U796" s="268"/>
      <c r="V796" s="268"/>
      <c r="W796" s="268"/>
      <c r="X796" s="268"/>
      <c r="Y796" s="268"/>
      <c r="Z796" s="268"/>
    </row>
    <row r="797" spans="1:26" ht="12.75" customHeight="1">
      <c r="A797" s="268"/>
      <c r="B797" s="268"/>
      <c r="C797" s="268"/>
      <c r="D797" s="268"/>
      <c r="E797" s="268"/>
      <c r="F797" s="268"/>
      <c r="G797" s="268"/>
      <c r="H797" s="268"/>
      <c r="I797" s="268"/>
      <c r="J797" s="268"/>
      <c r="K797" s="268"/>
      <c r="L797" s="268"/>
      <c r="M797" s="268"/>
      <c r="N797" s="268"/>
      <c r="O797" s="268"/>
      <c r="P797" s="268"/>
      <c r="Q797" s="268"/>
      <c r="R797" s="268"/>
      <c r="S797" s="268"/>
      <c r="T797" s="268"/>
      <c r="U797" s="268"/>
      <c r="V797" s="268"/>
      <c r="W797" s="268"/>
      <c r="X797" s="268"/>
      <c r="Y797" s="268"/>
      <c r="Z797" s="268"/>
    </row>
    <row r="798" spans="1:26" ht="12.75" customHeight="1">
      <c r="A798" s="268"/>
      <c r="B798" s="268"/>
      <c r="C798" s="268"/>
      <c r="D798" s="268"/>
      <c r="E798" s="268"/>
      <c r="F798" s="268"/>
      <c r="G798" s="268"/>
      <c r="H798" s="268"/>
      <c r="I798" s="268"/>
      <c r="J798" s="268"/>
      <c r="K798" s="268"/>
      <c r="L798" s="268"/>
      <c r="M798" s="268"/>
      <c r="N798" s="268"/>
      <c r="O798" s="268"/>
      <c r="P798" s="268"/>
      <c r="Q798" s="268"/>
      <c r="R798" s="268"/>
      <c r="S798" s="268"/>
      <c r="T798" s="268"/>
      <c r="U798" s="268"/>
      <c r="V798" s="268"/>
      <c r="W798" s="268"/>
      <c r="X798" s="268"/>
      <c r="Y798" s="268"/>
      <c r="Z798" s="268"/>
    </row>
    <row r="799" spans="1:26" ht="12.75" customHeight="1">
      <c r="A799" s="268"/>
      <c r="B799" s="268"/>
      <c r="C799" s="268"/>
      <c r="D799" s="268"/>
      <c r="E799" s="268"/>
      <c r="F799" s="268"/>
      <c r="G799" s="268"/>
      <c r="H799" s="268"/>
      <c r="I799" s="268"/>
      <c r="J799" s="268"/>
      <c r="K799" s="268"/>
      <c r="L799" s="268"/>
      <c r="M799" s="268"/>
      <c r="N799" s="268"/>
      <c r="O799" s="268"/>
      <c r="P799" s="268"/>
      <c r="Q799" s="268"/>
      <c r="R799" s="268"/>
      <c r="S799" s="268"/>
      <c r="T799" s="268"/>
      <c r="U799" s="268"/>
      <c r="V799" s="268"/>
      <c r="W799" s="268"/>
      <c r="X799" s="268"/>
      <c r="Y799" s="268"/>
      <c r="Z799" s="268"/>
    </row>
    <row r="800" spans="1:26" ht="12.75" customHeight="1">
      <c r="A800" s="268"/>
      <c r="B800" s="268"/>
      <c r="C800" s="268"/>
      <c r="D800" s="268"/>
      <c r="E800" s="268"/>
      <c r="F800" s="268"/>
      <c r="G800" s="268"/>
      <c r="H800" s="268"/>
      <c r="I800" s="268"/>
      <c r="J800" s="268"/>
      <c r="K800" s="268"/>
      <c r="L800" s="268"/>
      <c r="M800" s="268"/>
      <c r="N800" s="268"/>
      <c r="O800" s="268"/>
      <c r="P800" s="268"/>
      <c r="Q800" s="268"/>
      <c r="R800" s="268"/>
      <c r="S800" s="268"/>
      <c r="T800" s="268"/>
      <c r="U800" s="268"/>
      <c r="V800" s="268"/>
      <c r="W800" s="268"/>
      <c r="X800" s="268"/>
      <c r="Y800" s="268"/>
      <c r="Z800" s="268"/>
    </row>
    <row r="801" spans="1:26" ht="12.75" customHeight="1">
      <c r="A801" s="268"/>
      <c r="B801" s="268"/>
      <c r="C801" s="268"/>
      <c r="D801" s="268"/>
      <c r="E801" s="268"/>
      <c r="F801" s="268"/>
      <c r="G801" s="268"/>
      <c r="H801" s="268"/>
      <c r="I801" s="268"/>
      <c r="J801" s="268"/>
      <c r="K801" s="268"/>
      <c r="L801" s="268"/>
      <c r="M801" s="268"/>
      <c r="N801" s="268"/>
      <c r="O801" s="268"/>
      <c r="P801" s="268"/>
      <c r="Q801" s="268"/>
      <c r="R801" s="268"/>
      <c r="S801" s="268"/>
      <c r="T801" s="268"/>
      <c r="U801" s="268"/>
      <c r="V801" s="268"/>
      <c r="W801" s="268"/>
      <c r="X801" s="268"/>
      <c r="Y801" s="268"/>
      <c r="Z801" s="268"/>
    </row>
    <row r="802" spans="1:26" ht="12.75" customHeight="1">
      <c r="A802" s="268"/>
      <c r="B802" s="268"/>
      <c r="C802" s="268"/>
      <c r="D802" s="268"/>
      <c r="E802" s="268"/>
      <c r="F802" s="268"/>
      <c r="G802" s="268"/>
      <c r="H802" s="268"/>
      <c r="I802" s="268"/>
      <c r="J802" s="268"/>
      <c r="K802" s="268"/>
      <c r="L802" s="268"/>
      <c r="M802" s="268"/>
      <c r="N802" s="268"/>
      <c r="O802" s="268"/>
      <c r="P802" s="268"/>
      <c r="Q802" s="268"/>
      <c r="R802" s="268"/>
      <c r="S802" s="268"/>
      <c r="T802" s="268"/>
      <c r="U802" s="268"/>
      <c r="V802" s="268"/>
      <c r="W802" s="268"/>
      <c r="X802" s="268"/>
      <c r="Y802" s="268"/>
      <c r="Z802" s="268"/>
    </row>
    <row r="803" spans="1:26" ht="12.75" customHeight="1">
      <c r="A803" s="268"/>
      <c r="B803" s="268"/>
      <c r="C803" s="268"/>
      <c r="D803" s="268"/>
      <c r="E803" s="268"/>
      <c r="F803" s="268"/>
      <c r="G803" s="268"/>
      <c r="H803" s="268"/>
      <c r="I803" s="268"/>
      <c r="J803" s="268"/>
      <c r="K803" s="268"/>
      <c r="L803" s="268"/>
      <c r="M803" s="268"/>
      <c r="N803" s="268"/>
      <c r="O803" s="268"/>
      <c r="P803" s="268"/>
      <c r="Q803" s="268"/>
      <c r="R803" s="268"/>
      <c r="S803" s="268"/>
      <c r="T803" s="268"/>
      <c r="U803" s="268"/>
      <c r="V803" s="268"/>
      <c r="W803" s="268"/>
      <c r="X803" s="268"/>
      <c r="Y803" s="268"/>
      <c r="Z803" s="268"/>
    </row>
    <row r="804" spans="1:26" ht="12.75" customHeight="1">
      <c r="A804" s="268"/>
      <c r="B804" s="268"/>
      <c r="C804" s="268"/>
      <c r="D804" s="268"/>
      <c r="E804" s="268"/>
      <c r="F804" s="268"/>
      <c r="G804" s="268"/>
      <c r="H804" s="268"/>
      <c r="I804" s="268"/>
      <c r="J804" s="268"/>
      <c r="K804" s="268"/>
      <c r="L804" s="268"/>
      <c r="M804" s="268"/>
      <c r="N804" s="268"/>
      <c r="O804" s="268"/>
      <c r="P804" s="268"/>
      <c r="Q804" s="268"/>
      <c r="R804" s="268"/>
      <c r="S804" s="268"/>
      <c r="T804" s="268"/>
      <c r="U804" s="268"/>
      <c r="V804" s="268"/>
      <c r="W804" s="268"/>
      <c r="X804" s="268"/>
      <c r="Y804" s="268"/>
      <c r="Z804" s="268"/>
    </row>
    <row r="805" spans="1:26" ht="12.75" customHeight="1">
      <c r="A805" s="268"/>
      <c r="B805" s="268"/>
      <c r="C805" s="268"/>
      <c r="D805" s="268"/>
      <c r="E805" s="268"/>
      <c r="F805" s="268"/>
      <c r="G805" s="268"/>
      <c r="H805" s="268"/>
      <c r="I805" s="268"/>
      <c r="J805" s="268"/>
      <c r="K805" s="268"/>
      <c r="L805" s="268"/>
      <c r="M805" s="268"/>
      <c r="N805" s="268"/>
      <c r="O805" s="268"/>
      <c r="P805" s="268"/>
      <c r="Q805" s="268"/>
      <c r="R805" s="268"/>
      <c r="S805" s="268"/>
      <c r="T805" s="268"/>
      <c r="U805" s="268"/>
      <c r="V805" s="268"/>
      <c r="W805" s="268"/>
      <c r="X805" s="268"/>
      <c r="Y805" s="268"/>
      <c r="Z805" s="268"/>
    </row>
    <row r="806" spans="1:26" ht="12.75" customHeight="1">
      <c r="A806" s="268"/>
      <c r="B806" s="268"/>
      <c r="C806" s="268"/>
      <c r="D806" s="268"/>
      <c r="E806" s="268"/>
      <c r="F806" s="268"/>
      <c r="G806" s="268"/>
      <c r="H806" s="268"/>
      <c r="I806" s="268"/>
      <c r="J806" s="268"/>
      <c r="K806" s="268"/>
      <c r="L806" s="268"/>
      <c r="M806" s="268"/>
      <c r="N806" s="268"/>
      <c r="O806" s="268"/>
      <c r="P806" s="268"/>
      <c r="Q806" s="268"/>
      <c r="R806" s="268"/>
      <c r="S806" s="268"/>
      <c r="T806" s="268"/>
      <c r="U806" s="268"/>
      <c r="V806" s="268"/>
      <c r="W806" s="268"/>
      <c r="X806" s="268"/>
      <c r="Y806" s="268"/>
      <c r="Z806" s="268"/>
    </row>
    <row r="807" spans="1:26" ht="12.75" customHeight="1">
      <c r="A807" s="268"/>
      <c r="B807" s="268"/>
      <c r="C807" s="268"/>
      <c r="D807" s="268"/>
      <c r="E807" s="268"/>
      <c r="F807" s="268"/>
      <c r="G807" s="268"/>
      <c r="H807" s="268"/>
      <c r="I807" s="268"/>
      <c r="J807" s="268"/>
      <c r="K807" s="268"/>
      <c r="L807" s="268"/>
      <c r="M807" s="268"/>
      <c r="N807" s="268"/>
      <c r="O807" s="268"/>
      <c r="P807" s="268"/>
      <c r="Q807" s="268"/>
      <c r="R807" s="268"/>
      <c r="S807" s="268"/>
      <c r="T807" s="268"/>
      <c r="U807" s="268"/>
      <c r="V807" s="268"/>
      <c r="W807" s="268"/>
      <c r="X807" s="268"/>
      <c r="Y807" s="268"/>
      <c r="Z807" s="268"/>
    </row>
    <row r="808" spans="1:26" ht="12.75" customHeight="1">
      <c r="A808" s="268"/>
      <c r="B808" s="268"/>
      <c r="C808" s="268"/>
      <c r="D808" s="268"/>
      <c r="E808" s="268"/>
      <c r="F808" s="268"/>
      <c r="G808" s="268"/>
      <c r="H808" s="268"/>
      <c r="I808" s="268"/>
      <c r="J808" s="268"/>
      <c r="K808" s="268"/>
      <c r="L808" s="268"/>
      <c r="M808" s="268"/>
      <c r="N808" s="268"/>
      <c r="O808" s="268"/>
      <c r="P808" s="268"/>
      <c r="Q808" s="268"/>
      <c r="R808" s="268"/>
      <c r="S808" s="268"/>
      <c r="T808" s="268"/>
      <c r="U808" s="268"/>
      <c r="V808" s="268"/>
      <c r="W808" s="268"/>
      <c r="X808" s="268"/>
      <c r="Y808" s="268"/>
      <c r="Z808" s="268"/>
    </row>
    <row r="809" spans="1:26" ht="12.75" customHeight="1">
      <c r="A809" s="268"/>
      <c r="B809" s="268"/>
      <c r="C809" s="268"/>
      <c r="D809" s="268"/>
      <c r="E809" s="268"/>
      <c r="F809" s="268"/>
      <c r="G809" s="268"/>
      <c r="H809" s="268"/>
      <c r="I809" s="268"/>
      <c r="J809" s="268"/>
      <c r="K809" s="268"/>
      <c r="L809" s="268"/>
      <c r="M809" s="268"/>
      <c r="N809" s="268"/>
      <c r="O809" s="268"/>
      <c r="P809" s="268"/>
      <c r="Q809" s="268"/>
      <c r="R809" s="268"/>
      <c r="S809" s="268"/>
      <c r="T809" s="268"/>
      <c r="U809" s="268"/>
      <c r="V809" s="268"/>
      <c r="W809" s="268"/>
      <c r="X809" s="268"/>
      <c r="Y809" s="268"/>
      <c r="Z809" s="268"/>
    </row>
    <row r="810" spans="1:26" ht="12.75" customHeight="1">
      <c r="A810" s="268"/>
      <c r="B810" s="268"/>
      <c r="C810" s="268"/>
      <c r="D810" s="268"/>
      <c r="E810" s="268"/>
      <c r="F810" s="268"/>
      <c r="G810" s="268"/>
      <c r="H810" s="268"/>
      <c r="I810" s="268"/>
      <c r="J810" s="268"/>
      <c r="K810" s="268"/>
      <c r="L810" s="268"/>
      <c r="M810" s="268"/>
      <c r="N810" s="268"/>
      <c r="O810" s="268"/>
      <c r="P810" s="268"/>
      <c r="Q810" s="268"/>
      <c r="R810" s="268"/>
      <c r="S810" s="268"/>
      <c r="T810" s="268"/>
      <c r="U810" s="268"/>
      <c r="V810" s="268"/>
      <c r="W810" s="268"/>
      <c r="X810" s="268"/>
      <c r="Y810" s="268"/>
      <c r="Z810" s="268"/>
    </row>
    <row r="811" spans="1:26" ht="12.75" customHeight="1">
      <c r="A811" s="268"/>
      <c r="B811" s="268"/>
      <c r="C811" s="268"/>
      <c r="D811" s="268"/>
      <c r="E811" s="268"/>
      <c r="F811" s="268"/>
      <c r="G811" s="268"/>
      <c r="H811" s="268"/>
      <c r="I811" s="268"/>
      <c r="J811" s="268"/>
      <c r="K811" s="268"/>
      <c r="L811" s="268"/>
      <c r="M811" s="268"/>
      <c r="N811" s="268"/>
      <c r="O811" s="268"/>
      <c r="P811" s="268"/>
      <c r="Q811" s="268"/>
      <c r="R811" s="268"/>
      <c r="S811" s="268"/>
      <c r="T811" s="268"/>
      <c r="U811" s="268"/>
      <c r="V811" s="268"/>
      <c r="W811" s="268"/>
      <c r="X811" s="268"/>
      <c r="Y811" s="268"/>
      <c r="Z811" s="268"/>
    </row>
    <row r="812" spans="1:26" ht="12.75" customHeight="1">
      <c r="A812" s="268"/>
      <c r="B812" s="268"/>
      <c r="C812" s="268"/>
      <c r="D812" s="268"/>
      <c r="E812" s="268"/>
      <c r="F812" s="268"/>
      <c r="G812" s="268"/>
      <c r="H812" s="268"/>
      <c r="I812" s="268"/>
      <c r="J812" s="268"/>
      <c r="K812" s="268"/>
      <c r="L812" s="268"/>
      <c r="M812" s="268"/>
      <c r="N812" s="268"/>
      <c r="O812" s="268"/>
      <c r="P812" s="268"/>
      <c r="Q812" s="268"/>
      <c r="R812" s="268"/>
      <c r="S812" s="268"/>
      <c r="T812" s="268"/>
      <c r="U812" s="268"/>
      <c r="V812" s="268"/>
      <c r="W812" s="268"/>
      <c r="X812" s="268"/>
      <c r="Y812" s="268"/>
      <c r="Z812" s="268"/>
    </row>
    <row r="813" spans="1:26" ht="12.75" customHeight="1">
      <c r="A813" s="268"/>
      <c r="B813" s="268"/>
      <c r="C813" s="268"/>
      <c r="D813" s="268"/>
      <c r="E813" s="268"/>
      <c r="F813" s="268"/>
      <c r="G813" s="268"/>
      <c r="H813" s="268"/>
      <c r="I813" s="268"/>
      <c r="J813" s="268"/>
      <c r="K813" s="268"/>
      <c r="L813" s="268"/>
      <c r="M813" s="268"/>
      <c r="N813" s="268"/>
      <c r="O813" s="268"/>
      <c r="P813" s="268"/>
      <c r="Q813" s="268"/>
      <c r="R813" s="268"/>
      <c r="S813" s="268"/>
      <c r="T813" s="268"/>
      <c r="U813" s="268"/>
      <c r="V813" s="268"/>
      <c r="W813" s="268"/>
      <c r="X813" s="268"/>
      <c r="Y813" s="268"/>
      <c r="Z813" s="268"/>
    </row>
    <row r="814" spans="1:26" ht="12.75" customHeight="1">
      <c r="A814" s="268"/>
      <c r="B814" s="268"/>
      <c r="C814" s="268"/>
      <c r="D814" s="268"/>
      <c r="E814" s="268"/>
      <c r="F814" s="268"/>
      <c r="G814" s="268"/>
      <c r="H814" s="268"/>
      <c r="I814" s="268"/>
      <c r="J814" s="268"/>
      <c r="K814" s="268"/>
      <c r="L814" s="268"/>
      <c r="M814" s="268"/>
      <c r="N814" s="268"/>
      <c r="O814" s="268"/>
      <c r="P814" s="268"/>
      <c r="Q814" s="268"/>
      <c r="R814" s="268"/>
      <c r="S814" s="268"/>
      <c r="T814" s="268"/>
      <c r="U814" s="268"/>
      <c r="V814" s="268"/>
      <c r="W814" s="268"/>
      <c r="X814" s="268"/>
      <c r="Y814" s="268"/>
      <c r="Z814" s="268"/>
    </row>
    <row r="815" spans="1:26" ht="12.75" customHeight="1">
      <c r="A815" s="268"/>
      <c r="B815" s="268"/>
      <c r="C815" s="268"/>
      <c r="D815" s="268"/>
      <c r="E815" s="268"/>
      <c r="F815" s="268"/>
      <c r="G815" s="268"/>
      <c r="H815" s="268"/>
      <c r="I815" s="268"/>
      <c r="J815" s="268"/>
      <c r="K815" s="268"/>
      <c r="L815" s="268"/>
      <c r="M815" s="268"/>
      <c r="N815" s="268"/>
      <c r="O815" s="268"/>
      <c r="P815" s="268"/>
      <c r="Q815" s="268"/>
      <c r="R815" s="268"/>
      <c r="S815" s="268"/>
      <c r="T815" s="268"/>
      <c r="U815" s="268"/>
      <c r="V815" s="268"/>
      <c r="W815" s="268"/>
      <c r="X815" s="268"/>
      <c r="Y815" s="268"/>
      <c r="Z815" s="268"/>
    </row>
    <row r="816" spans="1:26" ht="12.75" customHeight="1">
      <c r="A816" s="268"/>
      <c r="B816" s="268"/>
      <c r="C816" s="268"/>
      <c r="D816" s="268"/>
      <c r="E816" s="268"/>
      <c r="F816" s="268"/>
      <c r="G816" s="268"/>
      <c r="H816" s="268"/>
      <c r="I816" s="268"/>
      <c r="J816" s="268"/>
      <c r="K816" s="268"/>
      <c r="L816" s="268"/>
      <c r="M816" s="268"/>
      <c r="N816" s="268"/>
      <c r="O816" s="268"/>
      <c r="P816" s="268"/>
      <c r="Q816" s="268"/>
      <c r="R816" s="268"/>
      <c r="S816" s="268"/>
      <c r="T816" s="268"/>
      <c r="U816" s="268"/>
      <c r="V816" s="268"/>
      <c r="W816" s="268"/>
      <c r="X816" s="268"/>
      <c r="Y816" s="268"/>
      <c r="Z816" s="268"/>
    </row>
    <row r="817" spans="1:26" ht="12.75" customHeight="1">
      <c r="A817" s="268"/>
      <c r="B817" s="268"/>
      <c r="C817" s="268"/>
      <c r="D817" s="268"/>
      <c r="E817" s="268"/>
      <c r="F817" s="268"/>
      <c r="G817" s="268"/>
      <c r="H817" s="268"/>
      <c r="I817" s="268"/>
      <c r="J817" s="268"/>
      <c r="K817" s="268"/>
      <c r="L817" s="268"/>
      <c r="M817" s="268"/>
      <c r="N817" s="268"/>
      <c r="O817" s="268"/>
      <c r="P817" s="268"/>
      <c r="Q817" s="268"/>
      <c r="R817" s="268"/>
      <c r="S817" s="268"/>
      <c r="T817" s="268"/>
      <c r="U817" s="268"/>
      <c r="V817" s="268"/>
      <c r="W817" s="268"/>
      <c r="X817" s="268"/>
      <c r="Y817" s="268"/>
      <c r="Z817" s="268"/>
    </row>
    <row r="818" spans="1:26" ht="12.75" customHeight="1">
      <c r="A818" s="268"/>
      <c r="B818" s="268"/>
      <c r="C818" s="268"/>
      <c r="D818" s="268"/>
      <c r="E818" s="268"/>
      <c r="F818" s="268"/>
      <c r="G818" s="268"/>
      <c r="H818" s="268"/>
      <c r="I818" s="268"/>
      <c r="J818" s="268"/>
      <c r="K818" s="268"/>
      <c r="L818" s="268"/>
      <c r="M818" s="268"/>
      <c r="N818" s="268"/>
      <c r="O818" s="268"/>
      <c r="P818" s="268"/>
      <c r="Q818" s="268"/>
      <c r="R818" s="268"/>
      <c r="S818" s="268"/>
      <c r="T818" s="268"/>
      <c r="U818" s="268"/>
      <c r="V818" s="268"/>
      <c r="W818" s="268"/>
      <c r="X818" s="268"/>
      <c r="Y818" s="268"/>
      <c r="Z818" s="268"/>
    </row>
    <row r="819" spans="1:26" ht="12.75" customHeight="1">
      <c r="A819" s="268"/>
      <c r="B819" s="268"/>
      <c r="C819" s="268"/>
      <c r="D819" s="268"/>
      <c r="E819" s="268"/>
      <c r="F819" s="268"/>
      <c r="G819" s="268"/>
      <c r="H819" s="268"/>
      <c r="I819" s="268"/>
      <c r="J819" s="268"/>
      <c r="K819" s="268"/>
      <c r="L819" s="268"/>
      <c r="M819" s="268"/>
      <c r="N819" s="268"/>
      <c r="O819" s="268"/>
      <c r="P819" s="268"/>
      <c r="Q819" s="268"/>
      <c r="R819" s="268"/>
      <c r="S819" s="268"/>
      <c r="T819" s="268"/>
      <c r="U819" s="268"/>
      <c r="V819" s="268"/>
      <c r="W819" s="268"/>
      <c r="X819" s="268"/>
      <c r="Y819" s="268"/>
      <c r="Z819" s="268"/>
    </row>
    <row r="820" spans="1:26" ht="12.75" customHeight="1">
      <c r="A820" s="268"/>
      <c r="B820" s="268"/>
      <c r="C820" s="268"/>
      <c r="D820" s="268"/>
      <c r="E820" s="268"/>
      <c r="F820" s="268"/>
      <c r="G820" s="268"/>
      <c r="H820" s="268"/>
      <c r="I820" s="268"/>
      <c r="J820" s="268"/>
      <c r="K820" s="268"/>
      <c r="L820" s="268"/>
      <c r="M820" s="268"/>
      <c r="N820" s="268"/>
      <c r="O820" s="268"/>
      <c r="P820" s="268"/>
      <c r="Q820" s="268"/>
      <c r="R820" s="268"/>
      <c r="S820" s="268"/>
      <c r="T820" s="268"/>
      <c r="U820" s="268"/>
      <c r="V820" s="268"/>
      <c r="W820" s="268"/>
      <c r="X820" s="268"/>
      <c r="Y820" s="268"/>
      <c r="Z820" s="268"/>
    </row>
    <row r="821" spans="1:26" ht="12.75" customHeight="1">
      <c r="A821" s="268"/>
      <c r="B821" s="268"/>
      <c r="C821" s="268"/>
      <c r="D821" s="268"/>
      <c r="E821" s="268"/>
      <c r="F821" s="268"/>
      <c r="G821" s="268"/>
      <c r="H821" s="268"/>
      <c r="I821" s="268"/>
      <c r="J821" s="268"/>
      <c r="K821" s="268"/>
      <c r="L821" s="268"/>
      <c r="M821" s="268"/>
      <c r="N821" s="268"/>
      <c r="O821" s="268"/>
      <c r="P821" s="268"/>
      <c r="Q821" s="268"/>
      <c r="R821" s="268"/>
      <c r="S821" s="268"/>
      <c r="T821" s="268"/>
      <c r="U821" s="268"/>
      <c r="V821" s="268"/>
      <c r="W821" s="268"/>
      <c r="X821" s="268"/>
      <c r="Y821" s="268"/>
      <c r="Z821" s="268"/>
    </row>
    <row r="822" spans="1:26" ht="12.75" customHeight="1">
      <c r="A822" s="268"/>
      <c r="B822" s="268"/>
      <c r="C822" s="268"/>
      <c r="D822" s="268"/>
      <c r="E822" s="268"/>
      <c r="F822" s="268"/>
      <c r="G822" s="268"/>
      <c r="H822" s="268"/>
      <c r="I822" s="268"/>
      <c r="J822" s="268"/>
      <c r="K822" s="268"/>
      <c r="L822" s="268"/>
      <c r="M822" s="268"/>
      <c r="N822" s="268"/>
      <c r="O822" s="268"/>
      <c r="P822" s="268"/>
      <c r="Q822" s="268"/>
      <c r="R822" s="268"/>
      <c r="S822" s="268"/>
      <c r="T822" s="268"/>
      <c r="U822" s="268"/>
      <c r="V822" s="268"/>
      <c r="W822" s="268"/>
      <c r="X822" s="268"/>
      <c r="Y822" s="268"/>
      <c r="Z822" s="268"/>
    </row>
    <row r="823" spans="1:26" ht="12.75" customHeight="1">
      <c r="A823" s="268"/>
      <c r="B823" s="268"/>
      <c r="C823" s="268"/>
      <c r="D823" s="268"/>
      <c r="E823" s="268"/>
      <c r="F823" s="268"/>
      <c r="G823" s="268"/>
      <c r="H823" s="268"/>
      <c r="I823" s="268"/>
      <c r="J823" s="268"/>
      <c r="K823" s="268"/>
      <c r="L823" s="268"/>
      <c r="M823" s="268"/>
      <c r="N823" s="268"/>
      <c r="O823" s="268"/>
      <c r="P823" s="268"/>
      <c r="Q823" s="268"/>
      <c r="R823" s="268"/>
      <c r="S823" s="268"/>
      <c r="T823" s="268"/>
      <c r="U823" s="268"/>
      <c r="V823" s="268"/>
      <c r="W823" s="268"/>
      <c r="X823" s="268"/>
      <c r="Y823" s="268"/>
      <c r="Z823" s="268"/>
    </row>
    <row r="824" spans="1:26" ht="12.75" customHeight="1">
      <c r="A824" s="268"/>
      <c r="B824" s="268"/>
      <c r="C824" s="268"/>
      <c r="D824" s="268"/>
      <c r="E824" s="268"/>
      <c r="F824" s="268"/>
      <c r="G824" s="268"/>
      <c r="H824" s="268"/>
      <c r="I824" s="268"/>
      <c r="J824" s="268"/>
      <c r="K824" s="268"/>
      <c r="L824" s="268"/>
      <c r="M824" s="268"/>
      <c r="N824" s="268"/>
      <c r="O824" s="268"/>
      <c r="P824" s="268"/>
      <c r="Q824" s="268"/>
      <c r="R824" s="268"/>
      <c r="S824" s="268"/>
      <c r="T824" s="268"/>
      <c r="U824" s="268"/>
      <c r="V824" s="268"/>
      <c r="W824" s="268"/>
      <c r="X824" s="268"/>
      <c r="Y824" s="268"/>
      <c r="Z824" s="268"/>
    </row>
    <row r="825" spans="1:26" ht="12.75" customHeight="1">
      <c r="A825" s="268"/>
      <c r="B825" s="268"/>
      <c r="C825" s="268"/>
      <c r="D825" s="268"/>
      <c r="E825" s="268"/>
      <c r="F825" s="268"/>
      <c r="G825" s="268"/>
      <c r="H825" s="268"/>
      <c r="I825" s="268"/>
      <c r="J825" s="268"/>
      <c r="K825" s="268"/>
      <c r="L825" s="268"/>
      <c r="M825" s="268"/>
      <c r="N825" s="268"/>
      <c r="O825" s="268"/>
      <c r="P825" s="268"/>
      <c r="Q825" s="268"/>
      <c r="R825" s="268"/>
      <c r="S825" s="268"/>
      <c r="T825" s="268"/>
      <c r="U825" s="268"/>
      <c r="V825" s="268"/>
      <c r="W825" s="268"/>
      <c r="X825" s="268"/>
      <c r="Y825" s="268"/>
      <c r="Z825" s="268"/>
    </row>
    <row r="826" spans="1:26" ht="12.75" customHeight="1">
      <c r="A826" s="268"/>
      <c r="B826" s="268"/>
      <c r="C826" s="268"/>
      <c r="D826" s="268"/>
      <c r="E826" s="268"/>
      <c r="F826" s="268"/>
      <c r="G826" s="268"/>
      <c r="H826" s="268"/>
      <c r="I826" s="268"/>
      <c r="J826" s="268"/>
      <c r="K826" s="268"/>
      <c r="L826" s="268"/>
      <c r="M826" s="268"/>
      <c r="N826" s="268"/>
      <c r="O826" s="268"/>
      <c r="P826" s="268"/>
      <c r="Q826" s="268"/>
      <c r="R826" s="268"/>
      <c r="S826" s="268"/>
      <c r="T826" s="268"/>
      <c r="U826" s="268"/>
      <c r="V826" s="268"/>
      <c r="W826" s="268"/>
      <c r="X826" s="268"/>
      <c r="Y826" s="268"/>
      <c r="Z826" s="268"/>
    </row>
    <row r="827" spans="1:26" ht="12.75" customHeight="1">
      <c r="A827" s="268"/>
      <c r="B827" s="268"/>
      <c r="C827" s="268"/>
      <c r="D827" s="268"/>
      <c r="E827" s="268"/>
      <c r="F827" s="268"/>
      <c r="G827" s="268"/>
      <c r="H827" s="268"/>
      <c r="I827" s="268"/>
      <c r="J827" s="268"/>
      <c r="K827" s="268"/>
      <c r="L827" s="268"/>
      <c r="M827" s="268"/>
      <c r="N827" s="268"/>
      <c r="O827" s="268"/>
      <c r="P827" s="268"/>
      <c r="Q827" s="268"/>
      <c r="R827" s="268"/>
      <c r="S827" s="268"/>
      <c r="T827" s="268"/>
      <c r="U827" s="268"/>
      <c r="V827" s="268"/>
      <c r="W827" s="268"/>
      <c r="X827" s="268"/>
      <c r="Y827" s="268"/>
      <c r="Z827" s="268"/>
    </row>
    <row r="828" spans="1:26" ht="12.75" customHeight="1">
      <c r="A828" s="268"/>
      <c r="B828" s="268"/>
      <c r="C828" s="268"/>
      <c r="D828" s="268"/>
      <c r="E828" s="268"/>
      <c r="F828" s="268"/>
      <c r="G828" s="268"/>
      <c r="H828" s="268"/>
      <c r="I828" s="268"/>
      <c r="J828" s="268"/>
      <c r="K828" s="268"/>
      <c r="L828" s="268"/>
      <c r="M828" s="268"/>
      <c r="N828" s="268"/>
      <c r="O828" s="268"/>
      <c r="P828" s="268"/>
      <c r="Q828" s="268"/>
      <c r="R828" s="268"/>
      <c r="S828" s="268"/>
      <c r="T828" s="268"/>
      <c r="U828" s="268"/>
      <c r="V828" s="268"/>
      <c r="W828" s="268"/>
      <c r="X828" s="268"/>
      <c r="Y828" s="268"/>
      <c r="Z828" s="268"/>
    </row>
    <row r="829" spans="1:26" ht="12.75" customHeight="1">
      <c r="A829" s="268"/>
      <c r="B829" s="268"/>
      <c r="C829" s="268"/>
      <c r="D829" s="268"/>
      <c r="E829" s="268"/>
      <c r="F829" s="268"/>
      <c r="G829" s="268"/>
      <c r="H829" s="268"/>
      <c r="I829" s="268"/>
      <c r="J829" s="268"/>
      <c r="K829" s="268"/>
      <c r="L829" s="268"/>
      <c r="M829" s="268"/>
      <c r="N829" s="268"/>
      <c r="O829" s="268"/>
      <c r="P829" s="268"/>
      <c r="Q829" s="268"/>
      <c r="R829" s="268"/>
      <c r="S829" s="268"/>
      <c r="T829" s="268"/>
      <c r="U829" s="268"/>
      <c r="V829" s="268"/>
      <c r="W829" s="268"/>
      <c r="X829" s="268"/>
      <c r="Y829" s="268"/>
      <c r="Z829" s="268"/>
    </row>
    <row r="830" spans="1:26" ht="12.75" customHeight="1">
      <c r="A830" s="268"/>
      <c r="B830" s="268"/>
      <c r="C830" s="268"/>
      <c r="D830" s="268"/>
      <c r="E830" s="268"/>
      <c r="F830" s="268"/>
      <c r="G830" s="268"/>
      <c r="H830" s="268"/>
      <c r="I830" s="268"/>
      <c r="J830" s="268"/>
      <c r="K830" s="268"/>
      <c r="L830" s="268"/>
      <c r="M830" s="268"/>
      <c r="N830" s="268"/>
      <c r="O830" s="268"/>
      <c r="P830" s="268"/>
      <c r="Q830" s="268"/>
      <c r="R830" s="268"/>
      <c r="S830" s="268"/>
      <c r="T830" s="268"/>
      <c r="U830" s="268"/>
      <c r="V830" s="268"/>
      <c r="W830" s="268"/>
      <c r="X830" s="268"/>
      <c r="Y830" s="268"/>
      <c r="Z830" s="268"/>
    </row>
    <row r="831" spans="1:26" ht="12.75" customHeight="1">
      <c r="A831" s="268"/>
      <c r="B831" s="268"/>
      <c r="C831" s="268"/>
      <c r="D831" s="268"/>
      <c r="E831" s="268"/>
      <c r="F831" s="268"/>
      <c r="G831" s="268"/>
      <c r="H831" s="268"/>
      <c r="I831" s="268"/>
      <c r="J831" s="268"/>
      <c r="K831" s="268"/>
      <c r="L831" s="268"/>
      <c r="M831" s="268"/>
      <c r="N831" s="268"/>
      <c r="O831" s="268"/>
      <c r="P831" s="268"/>
      <c r="Q831" s="268"/>
      <c r="R831" s="268"/>
      <c r="S831" s="268"/>
      <c r="T831" s="268"/>
      <c r="U831" s="268"/>
      <c r="V831" s="268"/>
      <c r="W831" s="268"/>
      <c r="X831" s="268"/>
      <c r="Y831" s="268"/>
      <c r="Z831" s="268"/>
    </row>
    <row r="832" spans="1:26" ht="12.75" customHeight="1">
      <c r="A832" s="268"/>
      <c r="B832" s="268"/>
      <c r="C832" s="268"/>
      <c r="D832" s="268"/>
      <c r="E832" s="268"/>
      <c r="F832" s="268"/>
      <c r="G832" s="268"/>
      <c r="H832" s="268"/>
      <c r="I832" s="268"/>
      <c r="J832" s="268"/>
      <c r="K832" s="268"/>
      <c r="L832" s="268"/>
      <c r="M832" s="268"/>
      <c r="N832" s="268"/>
      <c r="O832" s="268"/>
      <c r="P832" s="268"/>
      <c r="Q832" s="268"/>
      <c r="R832" s="268"/>
      <c r="S832" s="268"/>
      <c r="T832" s="268"/>
      <c r="U832" s="268"/>
      <c r="V832" s="268"/>
      <c r="W832" s="268"/>
      <c r="X832" s="268"/>
      <c r="Y832" s="268"/>
      <c r="Z832" s="268"/>
    </row>
    <row r="833" spans="1:26" ht="12.75" customHeight="1">
      <c r="A833" s="268"/>
      <c r="B833" s="268"/>
      <c r="C833" s="268"/>
      <c r="D833" s="268"/>
      <c r="E833" s="268"/>
      <c r="F833" s="268"/>
      <c r="G833" s="268"/>
      <c r="H833" s="268"/>
      <c r="I833" s="268"/>
      <c r="J833" s="268"/>
      <c r="K833" s="268"/>
      <c r="L833" s="268"/>
      <c r="M833" s="268"/>
      <c r="N833" s="268"/>
      <c r="O833" s="268"/>
      <c r="P833" s="268"/>
      <c r="Q833" s="268"/>
      <c r="R833" s="268"/>
      <c r="S833" s="268"/>
      <c r="T833" s="268"/>
      <c r="U833" s="268"/>
      <c r="V833" s="268"/>
      <c r="W833" s="268"/>
      <c r="X833" s="268"/>
      <c r="Y833" s="268"/>
      <c r="Z833" s="268"/>
    </row>
    <row r="834" spans="1:26" ht="12.75" customHeight="1">
      <c r="A834" s="268"/>
      <c r="B834" s="268"/>
      <c r="C834" s="268"/>
      <c r="D834" s="268"/>
      <c r="E834" s="268"/>
      <c r="F834" s="268"/>
      <c r="G834" s="268"/>
      <c r="H834" s="268"/>
      <c r="I834" s="268"/>
      <c r="J834" s="268"/>
      <c r="K834" s="268"/>
      <c r="L834" s="268"/>
      <c r="M834" s="268"/>
      <c r="N834" s="268"/>
      <c r="O834" s="268"/>
      <c r="P834" s="268"/>
      <c r="Q834" s="268"/>
      <c r="R834" s="268"/>
      <c r="S834" s="268"/>
      <c r="T834" s="268"/>
      <c r="U834" s="268"/>
      <c r="V834" s="268"/>
      <c r="W834" s="268"/>
      <c r="X834" s="268"/>
      <c r="Y834" s="268"/>
      <c r="Z834" s="268"/>
    </row>
    <row r="835" spans="1:26" ht="12.75" customHeight="1">
      <c r="A835" s="268"/>
      <c r="B835" s="268"/>
      <c r="C835" s="268"/>
      <c r="D835" s="268"/>
      <c r="E835" s="268"/>
      <c r="F835" s="268"/>
      <c r="G835" s="268"/>
      <c r="H835" s="268"/>
      <c r="I835" s="268"/>
      <c r="J835" s="268"/>
      <c r="K835" s="268"/>
      <c r="L835" s="268"/>
      <c r="M835" s="268"/>
      <c r="N835" s="268"/>
      <c r="O835" s="268"/>
      <c r="P835" s="268"/>
      <c r="Q835" s="268"/>
      <c r="R835" s="268"/>
      <c r="S835" s="268"/>
      <c r="T835" s="268"/>
      <c r="U835" s="268"/>
      <c r="V835" s="268"/>
      <c r="W835" s="268"/>
      <c r="X835" s="268"/>
      <c r="Y835" s="268"/>
      <c r="Z835" s="268"/>
    </row>
    <row r="836" spans="1:26" ht="12.75" customHeight="1">
      <c r="A836" s="268"/>
      <c r="B836" s="268"/>
      <c r="C836" s="268"/>
      <c r="D836" s="268"/>
      <c r="E836" s="268"/>
      <c r="F836" s="268"/>
      <c r="G836" s="268"/>
      <c r="H836" s="268"/>
      <c r="I836" s="268"/>
      <c r="J836" s="268"/>
      <c r="K836" s="268"/>
      <c r="L836" s="268"/>
      <c r="M836" s="268"/>
      <c r="N836" s="268"/>
      <c r="O836" s="268"/>
      <c r="P836" s="268"/>
      <c r="Q836" s="268"/>
      <c r="R836" s="268"/>
      <c r="S836" s="268"/>
      <c r="T836" s="268"/>
      <c r="U836" s="268"/>
      <c r="V836" s="268"/>
      <c r="W836" s="268"/>
      <c r="X836" s="268"/>
      <c r="Y836" s="268"/>
      <c r="Z836" s="268"/>
    </row>
    <row r="837" spans="1:26" ht="12.75" customHeight="1">
      <c r="A837" s="268"/>
      <c r="B837" s="268"/>
      <c r="C837" s="268"/>
      <c r="D837" s="268"/>
      <c r="E837" s="268"/>
      <c r="F837" s="268"/>
      <c r="G837" s="268"/>
      <c r="H837" s="268"/>
      <c r="I837" s="268"/>
      <c r="J837" s="268"/>
      <c r="K837" s="268"/>
      <c r="L837" s="268"/>
      <c r="M837" s="268"/>
      <c r="N837" s="268"/>
      <c r="O837" s="268"/>
      <c r="P837" s="268"/>
      <c r="Q837" s="268"/>
      <c r="R837" s="268"/>
      <c r="S837" s="268"/>
      <c r="T837" s="268"/>
      <c r="U837" s="268"/>
      <c r="V837" s="268"/>
      <c r="W837" s="268"/>
      <c r="X837" s="268"/>
      <c r="Y837" s="268"/>
      <c r="Z837" s="268"/>
    </row>
    <row r="838" spans="1:26" ht="12.75" customHeight="1">
      <c r="A838" s="268"/>
      <c r="B838" s="268"/>
      <c r="C838" s="268"/>
      <c r="D838" s="268"/>
      <c r="E838" s="268"/>
      <c r="F838" s="268"/>
      <c r="G838" s="268"/>
      <c r="H838" s="268"/>
      <c r="I838" s="268"/>
      <c r="J838" s="268"/>
      <c r="K838" s="268"/>
      <c r="L838" s="268"/>
      <c r="M838" s="268"/>
      <c r="N838" s="268"/>
      <c r="O838" s="268"/>
      <c r="P838" s="268"/>
      <c r="Q838" s="268"/>
      <c r="R838" s="268"/>
      <c r="S838" s="268"/>
      <c r="T838" s="268"/>
      <c r="U838" s="268"/>
      <c r="V838" s="268"/>
      <c r="W838" s="268"/>
      <c r="X838" s="268"/>
      <c r="Y838" s="268"/>
      <c r="Z838" s="268"/>
    </row>
    <row r="839" spans="1:26" ht="12.75" customHeight="1">
      <c r="A839" s="268"/>
      <c r="B839" s="268"/>
      <c r="C839" s="268"/>
      <c r="D839" s="268"/>
      <c r="E839" s="268"/>
      <c r="F839" s="268"/>
      <c r="G839" s="268"/>
      <c r="H839" s="268"/>
      <c r="I839" s="268"/>
      <c r="J839" s="268"/>
      <c r="K839" s="268"/>
      <c r="L839" s="268"/>
      <c r="M839" s="268"/>
      <c r="N839" s="268"/>
      <c r="O839" s="268"/>
      <c r="P839" s="268"/>
      <c r="Q839" s="268"/>
      <c r="R839" s="268"/>
      <c r="S839" s="268"/>
      <c r="T839" s="268"/>
      <c r="U839" s="268"/>
      <c r="V839" s="268"/>
      <c r="W839" s="268"/>
      <c r="X839" s="268"/>
      <c r="Y839" s="268"/>
      <c r="Z839" s="268"/>
    </row>
    <row r="840" spans="1:26" ht="12.75" customHeight="1">
      <c r="A840" s="268"/>
      <c r="B840" s="268"/>
      <c r="C840" s="268"/>
      <c r="D840" s="268"/>
      <c r="E840" s="268"/>
      <c r="F840" s="268"/>
      <c r="G840" s="268"/>
      <c r="H840" s="268"/>
      <c r="I840" s="268"/>
      <c r="J840" s="268"/>
      <c r="K840" s="268"/>
      <c r="L840" s="268"/>
      <c r="M840" s="268"/>
      <c r="N840" s="268"/>
      <c r="O840" s="268"/>
      <c r="P840" s="268"/>
      <c r="Q840" s="268"/>
      <c r="R840" s="268"/>
      <c r="S840" s="268"/>
      <c r="T840" s="268"/>
      <c r="U840" s="268"/>
      <c r="V840" s="268"/>
      <c r="W840" s="268"/>
      <c r="X840" s="268"/>
      <c r="Y840" s="268"/>
      <c r="Z840" s="268"/>
    </row>
    <row r="841" spans="1:26" ht="12.75" customHeight="1">
      <c r="A841" s="268"/>
      <c r="B841" s="268"/>
      <c r="C841" s="268"/>
      <c r="D841" s="268"/>
      <c r="E841" s="268"/>
      <c r="F841" s="268"/>
      <c r="G841" s="268"/>
      <c r="H841" s="268"/>
      <c r="I841" s="268"/>
      <c r="J841" s="268"/>
      <c r="K841" s="268"/>
      <c r="L841" s="268"/>
      <c r="M841" s="268"/>
      <c r="N841" s="268"/>
      <c r="O841" s="268"/>
      <c r="P841" s="268"/>
      <c r="Q841" s="268"/>
      <c r="R841" s="268"/>
      <c r="S841" s="268"/>
      <c r="T841" s="268"/>
      <c r="U841" s="268"/>
      <c r="V841" s="268"/>
      <c r="W841" s="268"/>
      <c r="X841" s="268"/>
      <c r="Y841" s="268"/>
      <c r="Z841" s="268"/>
    </row>
    <row r="842" spans="1:26" ht="12.75" customHeight="1">
      <c r="A842" s="268"/>
      <c r="B842" s="268"/>
      <c r="C842" s="268"/>
      <c r="D842" s="268"/>
      <c r="E842" s="268"/>
      <c r="F842" s="268"/>
      <c r="G842" s="268"/>
      <c r="H842" s="268"/>
      <c r="I842" s="268"/>
      <c r="J842" s="268"/>
      <c r="K842" s="268"/>
      <c r="L842" s="268"/>
      <c r="M842" s="268"/>
      <c r="N842" s="268"/>
      <c r="O842" s="268"/>
      <c r="P842" s="268"/>
      <c r="Q842" s="268"/>
      <c r="R842" s="268"/>
      <c r="S842" s="268"/>
      <c r="T842" s="268"/>
      <c r="U842" s="268"/>
      <c r="V842" s="268"/>
      <c r="W842" s="268"/>
      <c r="X842" s="268"/>
      <c r="Y842" s="268"/>
      <c r="Z842" s="268"/>
    </row>
    <row r="843" spans="1:26" ht="12.75" customHeight="1">
      <c r="A843" s="268"/>
      <c r="B843" s="268"/>
      <c r="C843" s="268"/>
      <c r="D843" s="268"/>
      <c r="E843" s="268"/>
      <c r="F843" s="268"/>
      <c r="G843" s="268"/>
      <c r="H843" s="268"/>
      <c r="I843" s="268"/>
      <c r="J843" s="268"/>
      <c r="K843" s="268"/>
      <c r="L843" s="268"/>
      <c r="M843" s="268"/>
      <c r="N843" s="268"/>
      <c r="O843" s="268"/>
      <c r="P843" s="268"/>
      <c r="Q843" s="268"/>
      <c r="R843" s="268"/>
      <c r="S843" s="268"/>
      <c r="T843" s="268"/>
      <c r="U843" s="268"/>
      <c r="V843" s="268"/>
      <c r="W843" s="268"/>
      <c r="X843" s="268"/>
      <c r="Y843" s="268"/>
      <c r="Z843" s="268"/>
    </row>
    <row r="844" spans="1:26" ht="12.75" customHeight="1">
      <c r="A844" s="268"/>
      <c r="B844" s="268"/>
      <c r="C844" s="268"/>
      <c r="D844" s="268"/>
      <c r="E844" s="268"/>
      <c r="F844" s="268"/>
      <c r="G844" s="268"/>
      <c r="H844" s="268"/>
      <c r="I844" s="268"/>
      <c r="J844" s="268"/>
      <c r="K844" s="268"/>
      <c r="L844" s="268"/>
      <c r="M844" s="268"/>
      <c r="N844" s="268"/>
      <c r="O844" s="268"/>
      <c r="P844" s="268"/>
      <c r="Q844" s="268"/>
      <c r="R844" s="268"/>
      <c r="S844" s="268"/>
      <c r="T844" s="268"/>
      <c r="U844" s="268"/>
      <c r="V844" s="268"/>
      <c r="W844" s="268"/>
      <c r="X844" s="268"/>
      <c r="Y844" s="268"/>
      <c r="Z844" s="268"/>
    </row>
    <row r="845" spans="1:26" ht="12.75" customHeight="1">
      <c r="A845" s="268"/>
      <c r="B845" s="268"/>
      <c r="C845" s="268"/>
      <c r="D845" s="268"/>
      <c r="E845" s="268"/>
      <c r="F845" s="268"/>
      <c r="G845" s="268"/>
      <c r="H845" s="268"/>
      <c r="I845" s="268"/>
      <c r="J845" s="268"/>
      <c r="K845" s="268"/>
      <c r="L845" s="268"/>
      <c r="M845" s="268"/>
      <c r="N845" s="268"/>
      <c r="O845" s="268"/>
      <c r="P845" s="268"/>
      <c r="Q845" s="268"/>
      <c r="R845" s="268"/>
      <c r="S845" s="268"/>
      <c r="T845" s="268"/>
      <c r="U845" s="268"/>
      <c r="V845" s="268"/>
      <c r="W845" s="268"/>
      <c r="X845" s="268"/>
      <c r="Y845" s="268"/>
      <c r="Z845" s="268"/>
    </row>
    <row r="846" spans="1:26" ht="12.75" customHeight="1">
      <c r="A846" s="268"/>
      <c r="B846" s="268"/>
      <c r="C846" s="268"/>
      <c r="D846" s="268"/>
      <c r="E846" s="268"/>
      <c r="F846" s="268"/>
      <c r="G846" s="268"/>
      <c r="H846" s="268"/>
      <c r="I846" s="268"/>
      <c r="J846" s="268"/>
      <c r="K846" s="268"/>
      <c r="L846" s="268"/>
      <c r="M846" s="268"/>
      <c r="N846" s="268"/>
      <c r="O846" s="268"/>
      <c r="P846" s="268"/>
      <c r="Q846" s="268"/>
      <c r="R846" s="268"/>
      <c r="S846" s="268"/>
      <c r="T846" s="268"/>
      <c r="U846" s="268"/>
      <c r="V846" s="268"/>
      <c r="W846" s="268"/>
      <c r="X846" s="268"/>
      <c r="Y846" s="268"/>
      <c r="Z846" s="268"/>
    </row>
    <row r="847" spans="1:26" ht="12.75" customHeight="1">
      <c r="A847" s="268"/>
      <c r="B847" s="268"/>
      <c r="C847" s="268"/>
      <c r="D847" s="268"/>
      <c r="E847" s="268"/>
      <c r="F847" s="268"/>
      <c r="G847" s="268"/>
      <c r="H847" s="268"/>
      <c r="I847" s="268"/>
      <c r="J847" s="268"/>
      <c r="K847" s="268"/>
      <c r="L847" s="268"/>
      <c r="M847" s="268"/>
      <c r="N847" s="268"/>
      <c r="O847" s="268"/>
      <c r="P847" s="268"/>
      <c r="Q847" s="268"/>
      <c r="R847" s="268"/>
      <c r="S847" s="268"/>
      <c r="T847" s="268"/>
      <c r="U847" s="268"/>
      <c r="V847" s="268"/>
      <c r="W847" s="268"/>
      <c r="X847" s="268"/>
      <c r="Y847" s="268"/>
      <c r="Z847" s="268"/>
    </row>
    <row r="848" spans="1:26" ht="12.75" customHeight="1">
      <c r="A848" s="268"/>
      <c r="B848" s="268"/>
      <c r="C848" s="268"/>
      <c r="D848" s="268"/>
      <c r="E848" s="268"/>
      <c r="F848" s="268"/>
      <c r="G848" s="268"/>
      <c r="H848" s="268"/>
      <c r="I848" s="268"/>
      <c r="J848" s="268"/>
      <c r="K848" s="268"/>
      <c r="L848" s="268"/>
      <c r="M848" s="268"/>
      <c r="N848" s="268"/>
      <c r="O848" s="268"/>
      <c r="P848" s="268"/>
      <c r="Q848" s="268"/>
      <c r="R848" s="268"/>
      <c r="S848" s="268"/>
      <c r="T848" s="268"/>
      <c r="U848" s="268"/>
      <c r="V848" s="268"/>
      <c r="W848" s="268"/>
      <c r="X848" s="268"/>
      <c r="Y848" s="268"/>
      <c r="Z848" s="268"/>
    </row>
    <row r="849" spans="1:26" ht="12.75" customHeight="1">
      <c r="A849" s="268"/>
      <c r="B849" s="268"/>
      <c r="C849" s="268"/>
      <c r="D849" s="268"/>
      <c r="E849" s="268"/>
      <c r="F849" s="268"/>
      <c r="G849" s="268"/>
      <c r="H849" s="268"/>
      <c r="I849" s="268"/>
      <c r="J849" s="268"/>
      <c r="K849" s="268"/>
      <c r="L849" s="268"/>
      <c r="M849" s="268"/>
      <c r="N849" s="268"/>
      <c r="O849" s="268"/>
      <c r="P849" s="268"/>
      <c r="Q849" s="268"/>
      <c r="R849" s="268"/>
      <c r="S849" s="268"/>
      <c r="T849" s="268"/>
      <c r="U849" s="268"/>
      <c r="V849" s="268"/>
      <c r="W849" s="268"/>
      <c r="X849" s="268"/>
      <c r="Y849" s="268"/>
      <c r="Z849" s="268"/>
    </row>
    <row r="850" spans="1:26" ht="12.75" customHeight="1">
      <c r="A850" s="268"/>
      <c r="B850" s="268"/>
      <c r="C850" s="268"/>
      <c r="D850" s="268"/>
      <c r="E850" s="268"/>
      <c r="F850" s="268"/>
      <c r="G850" s="268"/>
      <c r="H850" s="268"/>
      <c r="I850" s="268"/>
      <c r="J850" s="268"/>
      <c r="K850" s="268"/>
      <c r="L850" s="268"/>
      <c r="M850" s="268"/>
      <c r="N850" s="268"/>
      <c r="O850" s="268"/>
      <c r="P850" s="268"/>
      <c r="Q850" s="268"/>
      <c r="R850" s="268"/>
      <c r="S850" s="268"/>
      <c r="T850" s="268"/>
      <c r="U850" s="268"/>
      <c r="V850" s="268"/>
      <c r="W850" s="268"/>
      <c r="X850" s="268"/>
      <c r="Y850" s="268"/>
      <c r="Z850" s="268"/>
    </row>
    <row r="851" spans="1:26" ht="12.75" customHeight="1">
      <c r="A851" s="268"/>
      <c r="B851" s="268"/>
      <c r="C851" s="268"/>
      <c r="D851" s="268"/>
      <c r="E851" s="268"/>
      <c r="F851" s="268"/>
      <c r="G851" s="268"/>
      <c r="H851" s="268"/>
      <c r="I851" s="268"/>
      <c r="J851" s="268"/>
      <c r="K851" s="268"/>
      <c r="L851" s="268"/>
      <c r="M851" s="268"/>
      <c r="N851" s="268"/>
      <c r="O851" s="268"/>
      <c r="P851" s="268"/>
      <c r="Q851" s="268"/>
      <c r="R851" s="268"/>
      <c r="S851" s="268"/>
      <c r="T851" s="268"/>
      <c r="U851" s="268"/>
      <c r="V851" s="268"/>
      <c r="W851" s="268"/>
      <c r="X851" s="268"/>
      <c r="Y851" s="268"/>
      <c r="Z851" s="268"/>
    </row>
    <row r="852" spans="1:26" ht="12.75" customHeight="1">
      <c r="A852" s="268"/>
      <c r="B852" s="268"/>
      <c r="C852" s="268"/>
      <c r="D852" s="268"/>
      <c r="E852" s="268"/>
      <c r="F852" s="268"/>
      <c r="G852" s="268"/>
      <c r="H852" s="268"/>
      <c r="I852" s="268"/>
      <c r="J852" s="268"/>
      <c r="K852" s="268"/>
      <c r="L852" s="268"/>
      <c r="M852" s="268"/>
      <c r="N852" s="268"/>
      <c r="O852" s="268"/>
      <c r="P852" s="268"/>
      <c r="Q852" s="268"/>
      <c r="R852" s="268"/>
      <c r="S852" s="268"/>
      <c r="T852" s="268"/>
      <c r="U852" s="268"/>
      <c r="V852" s="268"/>
      <c r="W852" s="268"/>
      <c r="X852" s="268"/>
      <c r="Y852" s="268"/>
      <c r="Z852" s="268"/>
    </row>
    <row r="853" spans="1:26" ht="12.75" customHeight="1">
      <c r="A853" s="268"/>
      <c r="B853" s="268"/>
      <c r="C853" s="268"/>
      <c r="D853" s="268"/>
      <c r="E853" s="268"/>
      <c r="F853" s="268"/>
      <c r="G853" s="268"/>
      <c r="H853" s="268"/>
      <c r="I853" s="268"/>
      <c r="J853" s="268"/>
      <c r="K853" s="268"/>
      <c r="L853" s="268"/>
      <c r="M853" s="268"/>
      <c r="N853" s="268"/>
      <c r="O853" s="268"/>
      <c r="P853" s="268"/>
      <c r="Q853" s="268"/>
      <c r="R853" s="268"/>
      <c r="S853" s="268"/>
      <c r="T853" s="268"/>
      <c r="U853" s="268"/>
      <c r="V853" s="268"/>
      <c r="W853" s="268"/>
      <c r="X853" s="268"/>
      <c r="Y853" s="268"/>
      <c r="Z853" s="268"/>
    </row>
    <row r="854" spans="1:26" ht="12.75" customHeight="1">
      <c r="A854" s="268"/>
      <c r="B854" s="268"/>
      <c r="C854" s="268"/>
      <c r="D854" s="268"/>
      <c r="E854" s="268"/>
      <c r="F854" s="268"/>
      <c r="G854" s="268"/>
      <c r="H854" s="268"/>
      <c r="I854" s="268"/>
      <c r="J854" s="268"/>
      <c r="K854" s="268"/>
      <c r="L854" s="268"/>
      <c r="M854" s="268"/>
      <c r="N854" s="268"/>
      <c r="O854" s="268"/>
      <c r="P854" s="268"/>
      <c r="Q854" s="268"/>
      <c r="R854" s="268"/>
      <c r="S854" s="268"/>
      <c r="T854" s="268"/>
      <c r="U854" s="268"/>
      <c r="V854" s="268"/>
      <c r="W854" s="268"/>
      <c r="X854" s="268"/>
      <c r="Y854" s="268"/>
      <c r="Z854" s="268"/>
    </row>
    <row r="855" spans="1:26" ht="12.75" customHeight="1">
      <c r="A855" s="268"/>
      <c r="B855" s="268"/>
      <c r="C855" s="268"/>
      <c r="D855" s="268"/>
      <c r="E855" s="268"/>
      <c r="F855" s="268"/>
      <c r="G855" s="268"/>
      <c r="H855" s="268"/>
      <c r="I855" s="268"/>
      <c r="J855" s="268"/>
      <c r="K855" s="268"/>
      <c r="L855" s="268"/>
      <c r="M855" s="268"/>
      <c r="N855" s="268"/>
      <c r="O855" s="268"/>
      <c r="P855" s="268"/>
      <c r="Q855" s="268"/>
      <c r="R855" s="268"/>
      <c r="S855" s="268"/>
      <c r="T855" s="268"/>
      <c r="U855" s="268"/>
      <c r="V855" s="268"/>
      <c r="W855" s="268"/>
      <c r="X855" s="268"/>
      <c r="Y855" s="268"/>
      <c r="Z855" s="268"/>
    </row>
    <row r="856" spans="1:26" ht="12.75" customHeight="1">
      <c r="A856" s="268"/>
      <c r="B856" s="268"/>
      <c r="C856" s="268"/>
      <c r="D856" s="268"/>
      <c r="E856" s="268"/>
      <c r="F856" s="268"/>
      <c r="G856" s="268"/>
      <c r="H856" s="268"/>
      <c r="I856" s="268"/>
      <c r="J856" s="268"/>
      <c r="K856" s="268"/>
      <c r="L856" s="268"/>
      <c r="M856" s="268"/>
      <c r="N856" s="268"/>
      <c r="O856" s="268"/>
      <c r="P856" s="268"/>
      <c r="Q856" s="268"/>
      <c r="R856" s="268"/>
      <c r="S856" s="268"/>
      <c r="T856" s="268"/>
      <c r="U856" s="268"/>
      <c r="V856" s="268"/>
      <c r="W856" s="268"/>
      <c r="X856" s="268"/>
      <c r="Y856" s="268"/>
      <c r="Z856" s="268"/>
    </row>
    <row r="857" spans="1:26" ht="12.75" customHeight="1">
      <c r="A857" s="268"/>
      <c r="B857" s="268"/>
      <c r="C857" s="268"/>
      <c r="D857" s="268"/>
      <c r="E857" s="268"/>
      <c r="F857" s="268"/>
      <c r="G857" s="268"/>
      <c r="H857" s="268"/>
      <c r="I857" s="268"/>
      <c r="J857" s="268"/>
      <c r="K857" s="268"/>
      <c r="L857" s="268"/>
      <c r="M857" s="268"/>
      <c r="N857" s="268"/>
      <c r="O857" s="268"/>
      <c r="P857" s="268"/>
      <c r="Q857" s="268"/>
      <c r="R857" s="268"/>
      <c r="S857" s="268"/>
      <c r="T857" s="268"/>
      <c r="U857" s="268"/>
      <c r="V857" s="268"/>
      <c r="W857" s="268"/>
      <c r="X857" s="268"/>
      <c r="Y857" s="268"/>
      <c r="Z857" s="268"/>
    </row>
    <row r="858" spans="1:26" ht="12.75" customHeight="1">
      <c r="A858" s="268"/>
      <c r="B858" s="268"/>
      <c r="C858" s="268"/>
      <c r="D858" s="268"/>
      <c r="E858" s="268"/>
      <c r="F858" s="268"/>
      <c r="G858" s="268"/>
      <c r="H858" s="268"/>
      <c r="I858" s="268"/>
      <c r="J858" s="268"/>
      <c r="K858" s="268"/>
      <c r="L858" s="268"/>
      <c r="M858" s="268"/>
      <c r="N858" s="268"/>
      <c r="O858" s="268"/>
      <c r="P858" s="268"/>
      <c r="Q858" s="268"/>
      <c r="R858" s="268"/>
      <c r="S858" s="268"/>
      <c r="T858" s="268"/>
      <c r="U858" s="268"/>
      <c r="V858" s="268"/>
      <c r="W858" s="268"/>
      <c r="X858" s="268"/>
      <c r="Y858" s="268"/>
      <c r="Z858" s="268"/>
    </row>
    <row r="859" spans="1:26" ht="12.75" customHeight="1">
      <c r="A859" s="268"/>
      <c r="B859" s="268"/>
      <c r="C859" s="268"/>
      <c r="D859" s="268"/>
      <c r="E859" s="268"/>
      <c r="F859" s="268"/>
      <c r="G859" s="268"/>
      <c r="H859" s="268"/>
      <c r="I859" s="268"/>
      <c r="J859" s="268"/>
      <c r="K859" s="268"/>
      <c r="L859" s="268"/>
      <c r="M859" s="268"/>
      <c r="N859" s="268"/>
      <c r="O859" s="268"/>
      <c r="P859" s="268"/>
      <c r="Q859" s="268"/>
      <c r="R859" s="268"/>
      <c r="S859" s="268"/>
      <c r="T859" s="268"/>
      <c r="U859" s="268"/>
      <c r="V859" s="268"/>
      <c r="W859" s="268"/>
      <c r="X859" s="268"/>
      <c r="Y859" s="268"/>
      <c r="Z859" s="268"/>
    </row>
    <row r="860" spans="1:26" ht="12.75" customHeight="1">
      <c r="A860" s="268"/>
      <c r="B860" s="268"/>
      <c r="C860" s="268"/>
      <c r="D860" s="268"/>
      <c r="E860" s="268"/>
      <c r="F860" s="268"/>
      <c r="G860" s="268"/>
      <c r="H860" s="268"/>
      <c r="I860" s="268"/>
      <c r="J860" s="268"/>
      <c r="K860" s="268"/>
      <c r="L860" s="268"/>
      <c r="M860" s="268"/>
      <c r="N860" s="268"/>
      <c r="O860" s="268"/>
      <c r="P860" s="268"/>
      <c r="Q860" s="268"/>
      <c r="R860" s="268"/>
      <c r="S860" s="268"/>
      <c r="T860" s="268"/>
      <c r="U860" s="268"/>
      <c r="V860" s="268"/>
      <c r="W860" s="268"/>
      <c r="X860" s="268"/>
      <c r="Y860" s="268"/>
      <c r="Z860" s="268"/>
    </row>
    <row r="861" spans="1:26" ht="12.75" customHeight="1">
      <c r="A861" s="268"/>
      <c r="B861" s="268"/>
      <c r="C861" s="268"/>
      <c r="D861" s="268"/>
      <c r="E861" s="268"/>
      <c r="F861" s="268"/>
      <c r="G861" s="268"/>
      <c r="H861" s="268"/>
      <c r="I861" s="268"/>
      <c r="J861" s="268"/>
      <c r="K861" s="268"/>
      <c r="L861" s="268"/>
      <c r="M861" s="268"/>
      <c r="N861" s="268"/>
      <c r="O861" s="268"/>
      <c r="P861" s="268"/>
      <c r="Q861" s="268"/>
      <c r="R861" s="268"/>
      <c r="S861" s="268"/>
      <c r="T861" s="268"/>
      <c r="U861" s="268"/>
      <c r="V861" s="268"/>
      <c r="W861" s="268"/>
      <c r="X861" s="268"/>
      <c r="Y861" s="268"/>
      <c r="Z861" s="268"/>
    </row>
    <row r="862" spans="1:26" ht="12.75" customHeight="1">
      <c r="A862" s="268"/>
      <c r="B862" s="268"/>
      <c r="C862" s="268"/>
      <c r="D862" s="268"/>
      <c r="E862" s="268"/>
      <c r="F862" s="268"/>
      <c r="G862" s="268"/>
      <c r="H862" s="268"/>
      <c r="I862" s="268"/>
      <c r="J862" s="268"/>
      <c r="K862" s="268"/>
      <c r="L862" s="268"/>
      <c r="M862" s="268"/>
      <c r="N862" s="268"/>
      <c r="O862" s="268"/>
      <c r="P862" s="268"/>
      <c r="Q862" s="268"/>
      <c r="R862" s="268"/>
      <c r="S862" s="268"/>
      <c r="T862" s="268"/>
      <c r="U862" s="268"/>
      <c r="V862" s="268"/>
      <c r="W862" s="268"/>
      <c r="X862" s="268"/>
      <c r="Y862" s="268"/>
      <c r="Z862" s="268"/>
    </row>
    <row r="863" spans="1:26" ht="12.75" customHeight="1">
      <c r="A863" s="268"/>
      <c r="B863" s="268"/>
      <c r="C863" s="268"/>
      <c r="D863" s="268"/>
      <c r="E863" s="268"/>
      <c r="F863" s="268"/>
      <c r="G863" s="268"/>
      <c r="H863" s="268"/>
      <c r="I863" s="268"/>
      <c r="J863" s="268"/>
      <c r="K863" s="268"/>
      <c r="L863" s="268"/>
      <c r="M863" s="268"/>
      <c r="N863" s="268"/>
      <c r="O863" s="268"/>
      <c r="P863" s="268"/>
      <c r="Q863" s="268"/>
      <c r="R863" s="268"/>
      <c r="S863" s="268"/>
      <c r="T863" s="268"/>
      <c r="U863" s="268"/>
      <c r="V863" s="268"/>
      <c r="W863" s="268"/>
      <c r="X863" s="268"/>
      <c r="Y863" s="268"/>
      <c r="Z863" s="268"/>
    </row>
    <row r="864" spans="1:26" ht="12.75" customHeight="1">
      <c r="A864" s="268"/>
      <c r="B864" s="268"/>
      <c r="C864" s="268"/>
      <c r="D864" s="268"/>
      <c r="E864" s="268"/>
      <c r="F864" s="268"/>
      <c r="G864" s="268"/>
      <c r="H864" s="268"/>
      <c r="I864" s="268"/>
      <c r="J864" s="268"/>
      <c r="K864" s="268"/>
      <c r="L864" s="268"/>
      <c r="M864" s="268"/>
      <c r="N864" s="268"/>
      <c r="O864" s="268"/>
      <c r="P864" s="268"/>
      <c r="Q864" s="268"/>
      <c r="R864" s="268"/>
      <c r="S864" s="268"/>
      <c r="T864" s="268"/>
      <c r="U864" s="268"/>
      <c r="V864" s="268"/>
      <c r="W864" s="268"/>
      <c r="X864" s="268"/>
      <c r="Y864" s="268"/>
      <c r="Z864" s="268"/>
    </row>
    <row r="865" spans="1:26" ht="12.75" customHeight="1">
      <c r="A865" s="268"/>
      <c r="B865" s="268"/>
      <c r="C865" s="268"/>
      <c r="D865" s="268"/>
      <c r="E865" s="268"/>
      <c r="F865" s="268"/>
      <c r="G865" s="268"/>
      <c r="H865" s="268"/>
      <c r="I865" s="268"/>
      <c r="J865" s="268"/>
      <c r="K865" s="268"/>
      <c r="L865" s="268"/>
      <c r="M865" s="268"/>
      <c r="N865" s="268"/>
      <c r="O865" s="268"/>
      <c r="P865" s="268"/>
      <c r="Q865" s="268"/>
      <c r="R865" s="268"/>
      <c r="S865" s="268"/>
      <c r="T865" s="268"/>
      <c r="U865" s="268"/>
      <c r="V865" s="268"/>
      <c r="W865" s="268"/>
      <c r="X865" s="268"/>
      <c r="Y865" s="268"/>
      <c r="Z865" s="268"/>
    </row>
    <row r="866" spans="1:26" ht="12.75" customHeight="1">
      <c r="A866" s="268"/>
      <c r="B866" s="268"/>
      <c r="C866" s="268"/>
      <c r="D866" s="268"/>
      <c r="E866" s="268"/>
      <c r="F866" s="268"/>
      <c r="G866" s="268"/>
      <c r="H866" s="268"/>
      <c r="I866" s="268"/>
      <c r="J866" s="268"/>
      <c r="K866" s="268"/>
      <c r="L866" s="268"/>
      <c r="M866" s="268"/>
      <c r="N866" s="268"/>
      <c r="O866" s="268"/>
      <c r="P866" s="268"/>
      <c r="Q866" s="268"/>
      <c r="R866" s="268"/>
      <c r="S866" s="268"/>
      <c r="T866" s="268"/>
      <c r="U866" s="268"/>
      <c r="V866" s="268"/>
      <c r="W866" s="268"/>
      <c r="X866" s="268"/>
      <c r="Y866" s="268"/>
      <c r="Z866" s="268"/>
    </row>
    <row r="867" spans="1:26" ht="12.75" customHeight="1">
      <c r="A867" s="268"/>
      <c r="B867" s="268"/>
      <c r="C867" s="268"/>
      <c r="D867" s="268"/>
      <c r="E867" s="268"/>
      <c r="F867" s="268"/>
      <c r="G867" s="268"/>
      <c r="H867" s="268"/>
      <c r="I867" s="268"/>
      <c r="J867" s="268"/>
      <c r="K867" s="268"/>
      <c r="L867" s="268"/>
      <c r="M867" s="268"/>
      <c r="N867" s="268"/>
      <c r="O867" s="268"/>
      <c r="P867" s="268"/>
      <c r="Q867" s="268"/>
      <c r="R867" s="268"/>
      <c r="S867" s="268"/>
      <c r="T867" s="268"/>
      <c r="U867" s="268"/>
      <c r="V867" s="268"/>
      <c r="W867" s="268"/>
      <c r="X867" s="268"/>
      <c r="Y867" s="268"/>
      <c r="Z867" s="268"/>
    </row>
    <row r="868" spans="1:26" ht="12.75" customHeight="1">
      <c r="A868" s="268"/>
      <c r="B868" s="268"/>
      <c r="C868" s="268"/>
      <c r="D868" s="268"/>
      <c r="E868" s="268"/>
      <c r="F868" s="268"/>
      <c r="G868" s="268"/>
      <c r="H868" s="268"/>
      <c r="I868" s="268"/>
      <c r="J868" s="268"/>
      <c r="K868" s="268"/>
      <c r="L868" s="268"/>
      <c r="M868" s="268"/>
      <c r="N868" s="268"/>
      <c r="O868" s="268"/>
      <c r="P868" s="268"/>
      <c r="Q868" s="268"/>
      <c r="R868" s="268"/>
      <c r="S868" s="268"/>
      <c r="T868" s="268"/>
      <c r="U868" s="268"/>
      <c r="V868" s="268"/>
      <c r="W868" s="268"/>
      <c r="X868" s="268"/>
      <c r="Y868" s="268"/>
      <c r="Z868" s="268"/>
    </row>
    <row r="869" spans="1:26" ht="12.75" customHeight="1">
      <c r="A869" s="268"/>
      <c r="B869" s="268"/>
      <c r="C869" s="268"/>
      <c r="D869" s="268"/>
      <c r="E869" s="268"/>
      <c r="F869" s="268"/>
      <c r="G869" s="268"/>
      <c r="H869" s="268"/>
      <c r="I869" s="268"/>
      <c r="J869" s="268"/>
      <c r="K869" s="268"/>
      <c r="L869" s="268"/>
      <c r="M869" s="268"/>
      <c r="N869" s="268"/>
      <c r="O869" s="268"/>
      <c r="P869" s="268"/>
      <c r="Q869" s="268"/>
      <c r="R869" s="268"/>
      <c r="S869" s="268"/>
      <c r="T869" s="268"/>
      <c r="U869" s="268"/>
      <c r="V869" s="268"/>
      <c r="W869" s="268"/>
      <c r="X869" s="268"/>
      <c r="Y869" s="268"/>
      <c r="Z869" s="268"/>
    </row>
    <row r="870" spans="1:26" ht="12.75" customHeight="1">
      <c r="A870" s="268"/>
      <c r="B870" s="268"/>
      <c r="C870" s="268"/>
      <c r="D870" s="268"/>
      <c r="E870" s="268"/>
      <c r="F870" s="268"/>
      <c r="G870" s="268"/>
      <c r="H870" s="268"/>
      <c r="I870" s="268"/>
      <c r="J870" s="268"/>
      <c r="K870" s="268"/>
      <c r="L870" s="268"/>
      <c r="M870" s="268"/>
      <c r="N870" s="268"/>
      <c r="O870" s="268"/>
      <c r="P870" s="268"/>
      <c r="Q870" s="268"/>
      <c r="R870" s="268"/>
      <c r="S870" s="268"/>
      <c r="T870" s="268"/>
      <c r="U870" s="268"/>
      <c r="V870" s="268"/>
      <c r="W870" s="268"/>
      <c r="X870" s="268"/>
      <c r="Y870" s="268"/>
      <c r="Z870" s="268"/>
    </row>
    <row r="871" spans="1:26" ht="12.75" customHeight="1">
      <c r="A871" s="268"/>
      <c r="B871" s="268"/>
      <c r="C871" s="268"/>
      <c r="D871" s="268"/>
      <c r="E871" s="268"/>
      <c r="F871" s="268"/>
      <c r="G871" s="268"/>
      <c r="H871" s="268"/>
      <c r="I871" s="268"/>
      <c r="J871" s="268"/>
      <c r="K871" s="268"/>
      <c r="L871" s="268"/>
      <c r="M871" s="268"/>
      <c r="N871" s="268"/>
      <c r="O871" s="268"/>
      <c r="P871" s="268"/>
      <c r="Q871" s="268"/>
      <c r="R871" s="268"/>
      <c r="S871" s="268"/>
      <c r="T871" s="268"/>
      <c r="U871" s="268"/>
      <c r="V871" s="268"/>
      <c r="W871" s="268"/>
      <c r="X871" s="268"/>
      <c r="Y871" s="268"/>
      <c r="Z871" s="268"/>
    </row>
    <row r="872" spans="1:26" ht="12.75" customHeight="1">
      <c r="A872" s="268"/>
      <c r="B872" s="268"/>
      <c r="C872" s="268"/>
      <c r="D872" s="268"/>
      <c r="E872" s="268"/>
      <c r="F872" s="268"/>
      <c r="G872" s="268"/>
      <c r="H872" s="268"/>
      <c r="I872" s="268"/>
      <c r="J872" s="268"/>
      <c r="K872" s="268"/>
      <c r="L872" s="268"/>
      <c r="M872" s="268"/>
      <c r="N872" s="268"/>
      <c r="O872" s="268"/>
      <c r="P872" s="268"/>
      <c r="Q872" s="268"/>
      <c r="R872" s="268"/>
      <c r="S872" s="268"/>
      <c r="T872" s="268"/>
      <c r="U872" s="268"/>
      <c r="V872" s="268"/>
      <c r="W872" s="268"/>
      <c r="X872" s="268"/>
      <c r="Y872" s="268"/>
      <c r="Z872" s="268"/>
    </row>
    <row r="873" spans="1:26" ht="12.75" customHeight="1">
      <c r="A873" s="268"/>
      <c r="B873" s="268"/>
      <c r="C873" s="268"/>
      <c r="D873" s="268"/>
      <c r="E873" s="268"/>
      <c r="F873" s="268"/>
      <c r="G873" s="268"/>
      <c r="H873" s="268"/>
      <c r="I873" s="268"/>
      <c r="J873" s="268"/>
      <c r="K873" s="268"/>
      <c r="L873" s="268"/>
      <c r="M873" s="268"/>
      <c r="N873" s="268"/>
      <c r="O873" s="268"/>
      <c r="P873" s="268"/>
      <c r="Q873" s="268"/>
      <c r="R873" s="268"/>
      <c r="S873" s="268"/>
      <c r="T873" s="268"/>
      <c r="U873" s="268"/>
      <c r="V873" s="268"/>
      <c r="W873" s="268"/>
      <c r="X873" s="268"/>
      <c r="Y873" s="268"/>
      <c r="Z873" s="268"/>
    </row>
    <row r="874" spans="1:26" ht="12.75" customHeight="1">
      <c r="A874" s="268"/>
      <c r="B874" s="268"/>
      <c r="C874" s="268"/>
      <c r="D874" s="268"/>
      <c r="E874" s="268"/>
      <c r="F874" s="268"/>
      <c r="G874" s="268"/>
      <c r="H874" s="268"/>
      <c r="I874" s="268"/>
      <c r="J874" s="268"/>
      <c r="K874" s="268"/>
      <c r="L874" s="268"/>
      <c r="M874" s="268"/>
      <c r="N874" s="268"/>
      <c r="O874" s="268"/>
      <c r="P874" s="268"/>
      <c r="Q874" s="268"/>
      <c r="R874" s="268"/>
      <c r="S874" s="268"/>
      <c r="T874" s="268"/>
      <c r="U874" s="268"/>
      <c r="V874" s="268"/>
      <c r="W874" s="268"/>
      <c r="X874" s="268"/>
      <c r="Y874" s="268"/>
      <c r="Z874" s="268"/>
    </row>
    <row r="875" spans="1:26" ht="12.75" customHeight="1">
      <c r="A875" s="268"/>
      <c r="B875" s="268"/>
      <c r="C875" s="268"/>
      <c r="D875" s="268"/>
      <c r="E875" s="268"/>
      <c r="F875" s="268"/>
      <c r="G875" s="268"/>
      <c r="H875" s="268"/>
      <c r="I875" s="268"/>
      <c r="J875" s="268"/>
      <c r="K875" s="268"/>
      <c r="L875" s="268"/>
      <c r="M875" s="268"/>
      <c r="N875" s="268"/>
      <c r="O875" s="268"/>
      <c r="P875" s="268"/>
      <c r="Q875" s="268"/>
      <c r="R875" s="268"/>
      <c r="S875" s="268"/>
      <c r="T875" s="268"/>
      <c r="U875" s="268"/>
      <c r="V875" s="268"/>
      <c r="W875" s="268"/>
      <c r="X875" s="268"/>
      <c r="Y875" s="268"/>
      <c r="Z875" s="268"/>
    </row>
    <row r="876" spans="1:26" ht="12.75" customHeight="1">
      <c r="A876" s="268"/>
      <c r="B876" s="268"/>
      <c r="C876" s="268"/>
      <c r="D876" s="268"/>
      <c r="E876" s="268"/>
      <c r="F876" s="268"/>
      <c r="G876" s="268"/>
      <c r="H876" s="268"/>
      <c r="I876" s="268"/>
      <c r="J876" s="268"/>
      <c r="K876" s="268"/>
      <c r="L876" s="268"/>
      <c r="M876" s="268"/>
      <c r="N876" s="268"/>
      <c r="O876" s="268"/>
      <c r="P876" s="268"/>
      <c r="Q876" s="268"/>
      <c r="R876" s="268"/>
      <c r="S876" s="268"/>
      <c r="T876" s="268"/>
      <c r="U876" s="268"/>
      <c r="V876" s="268"/>
      <c r="W876" s="268"/>
      <c r="X876" s="268"/>
      <c r="Y876" s="268"/>
      <c r="Z876" s="268"/>
    </row>
    <row r="877" spans="1:26" ht="12.75" customHeight="1">
      <c r="A877" s="268"/>
      <c r="B877" s="268"/>
      <c r="C877" s="268"/>
      <c r="D877" s="268"/>
      <c r="E877" s="268"/>
      <c r="F877" s="268"/>
      <c r="G877" s="268"/>
      <c r="H877" s="268"/>
      <c r="I877" s="268"/>
      <c r="J877" s="268"/>
      <c r="K877" s="268"/>
      <c r="L877" s="268"/>
      <c r="M877" s="268"/>
      <c r="N877" s="268"/>
      <c r="O877" s="268"/>
      <c r="P877" s="268"/>
      <c r="Q877" s="268"/>
      <c r="R877" s="268"/>
      <c r="S877" s="268"/>
      <c r="T877" s="268"/>
      <c r="U877" s="268"/>
      <c r="V877" s="268"/>
      <c r="W877" s="268"/>
      <c r="X877" s="268"/>
      <c r="Y877" s="268"/>
      <c r="Z877" s="268"/>
    </row>
    <row r="878" spans="1:26" ht="12.75" customHeight="1">
      <c r="A878" s="268"/>
      <c r="B878" s="268"/>
      <c r="C878" s="268"/>
      <c r="D878" s="268"/>
      <c r="E878" s="268"/>
      <c r="F878" s="268"/>
      <c r="G878" s="268"/>
      <c r="H878" s="268"/>
      <c r="I878" s="268"/>
      <c r="J878" s="268"/>
      <c r="K878" s="268"/>
      <c r="L878" s="268"/>
      <c r="M878" s="268"/>
      <c r="N878" s="268"/>
      <c r="O878" s="268"/>
      <c r="P878" s="268"/>
      <c r="Q878" s="268"/>
      <c r="R878" s="268"/>
      <c r="S878" s="268"/>
      <c r="T878" s="268"/>
      <c r="U878" s="268"/>
      <c r="V878" s="268"/>
      <c r="W878" s="268"/>
      <c r="X878" s="268"/>
      <c r="Y878" s="268"/>
      <c r="Z878" s="268"/>
    </row>
    <row r="879" spans="1:26" ht="12.75" customHeight="1">
      <c r="A879" s="268"/>
      <c r="B879" s="268"/>
      <c r="C879" s="268"/>
      <c r="D879" s="268"/>
      <c r="E879" s="268"/>
      <c r="F879" s="268"/>
      <c r="G879" s="268"/>
      <c r="H879" s="268"/>
      <c r="I879" s="268"/>
      <c r="J879" s="268"/>
      <c r="K879" s="268"/>
      <c r="L879" s="268"/>
      <c r="M879" s="268"/>
      <c r="N879" s="268"/>
      <c r="O879" s="268"/>
      <c r="P879" s="268"/>
      <c r="Q879" s="268"/>
      <c r="R879" s="268"/>
      <c r="S879" s="268"/>
      <c r="T879" s="268"/>
      <c r="U879" s="268"/>
      <c r="V879" s="268"/>
      <c r="W879" s="268"/>
      <c r="X879" s="268"/>
      <c r="Y879" s="268"/>
      <c r="Z879" s="268"/>
    </row>
    <row r="880" spans="1:26" ht="12.75" customHeight="1">
      <c r="A880" s="268"/>
      <c r="B880" s="268"/>
      <c r="C880" s="268"/>
      <c r="D880" s="268"/>
      <c r="E880" s="268"/>
      <c r="F880" s="268"/>
      <c r="G880" s="268"/>
      <c r="H880" s="268"/>
      <c r="I880" s="268"/>
      <c r="J880" s="268"/>
      <c r="K880" s="268"/>
      <c r="L880" s="268"/>
      <c r="M880" s="268"/>
      <c r="N880" s="268"/>
      <c r="O880" s="268"/>
      <c r="P880" s="268"/>
      <c r="Q880" s="268"/>
      <c r="R880" s="268"/>
      <c r="S880" s="268"/>
      <c r="T880" s="268"/>
      <c r="U880" s="268"/>
      <c r="V880" s="268"/>
      <c r="W880" s="268"/>
      <c r="X880" s="268"/>
      <c r="Y880" s="268"/>
      <c r="Z880" s="268"/>
    </row>
    <row r="881" spans="1:26" ht="12.75" customHeight="1">
      <c r="A881" s="268"/>
      <c r="B881" s="268"/>
      <c r="C881" s="268"/>
      <c r="D881" s="268"/>
      <c r="E881" s="268"/>
      <c r="F881" s="268"/>
      <c r="G881" s="268"/>
      <c r="H881" s="268"/>
      <c r="I881" s="268"/>
      <c r="J881" s="268"/>
      <c r="K881" s="268"/>
      <c r="L881" s="268"/>
      <c r="M881" s="268"/>
      <c r="N881" s="268"/>
      <c r="O881" s="268"/>
      <c r="P881" s="268"/>
      <c r="Q881" s="268"/>
      <c r="R881" s="268"/>
      <c r="S881" s="268"/>
      <c r="T881" s="268"/>
      <c r="U881" s="268"/>
      <c r="V881" s="268"/>
      <c r="W881" s="268"/>
      <c r="X881" s="268"/>
      <c r="Y881" s="268"/>
      <c r="Z881" s="268"/>
    </row>
    <row r="882" spans="1:26" ht="12.75" customHeight="1">
      <c r="A882" s="268"/>
      <c r="B882" s="268"/>
      <c r="C882" s="268"/>
      <c r="D882" s="268"/>
      <c r="E882" s="268"/>
      <c r="F882" s="268"/>
      <c r="G882" s="268"/>
      <c r="H882" s="268"/>
      <c r="I882" s="268"/>
      <c r="J882" s="268"/>
      <c r="K882" s="268"/>
      <c r="L882" s="268"/>
      <c r="M882" s="268"/>
      <c r="N882" s="268"/>
      <c r="O882" s="268"/>
      <c r="P882" s="268"/>
      <c r="Q882" s="268"/>
      <c r="R882" s="268"/>
      <c r="S882" s="268"/>
      <c r="T882" s="268"/>
      <c r="U882" s="268"/>
      <c r="V882" s="268"/>
      <c r="W882" s="268"/>
      <c r="X882" s="268"/>
      <c r="Y882" s="268"/>
      <c r="Z882" s="268"/>
    </row>
    <row r="883" spans="1:26" ht="12.75" customHeight="1">
      <c r="A883" s="268"/>
      <c r="B883" s="268"/>
      <c r="C883" s="268"/>
      <c r="D883" s="268"/>
      <c r="E883" s="268"/>
      <c r="F883" s="268"/>
      <c r="G883" s="268"/>
      <c r="H883" s="268"/>
      <c r="I883" s="268"/>
      <c r="J883" s="268"/>
      <c r="K883" s="268"/>
      <c r="L883" s="268"/>
      <c r="M883" s="268"/>
      <c r="N883" s="268"/>
      <c r="O883" s="268"/>
      <c r="P883" s="268"/>
      <c r="Q883" s="268"/>
      <c r="R883" s="268"/>
      <c r="S883" s="268"/>
      <c r="T883" s="268"/>
      <c r="U883" s="268"/>
      <c r="V883" s="268"/>
      <c r="W883" s="268"/>
      <c r="X883" s="268"/>
      <c r="Y883" s="268"/>
      <c r="Z883" s="268"/>
    </row>
    <row r="884" spans="1:26" ht="12.75" customHeight="1">
      <c r="A884" s="268"/>
      <c r="B884" s="268"/>
      <c r="C884" s="268"/>
      <c r="D884" s="268"/>
      <c r="E884" s="268"/>
      <c r="F884" s="268"/>
      <c r="G884" s="268"/>
      <c r="H884" s="268"/>
      <c r="I884" s="268"/>
      <c r="J884" s="268"/>
      <c r="K884" s="268"/>
      <c r="L884" s="268"/>
      <c r="M884" s="268"/>
      <c r="N884" s="268"/>
      <c r="O884" s="268"/>
      <c r="P884" s="268"/>
      <c r="Q884" s="268"/>
      <c r="R884" s="268"/>
      <c r="S884" s="268"/>
      <c r="T884" s="268"/>
      <c r="U884" s="268"/>
      <c r="V884" s="268"/>
      <c r="W884" s="268"/>
      <c r="X884" s="268"/>
      <c r="Y884" s="268"/>
      <c r="Z884" s="268"/>
    </row>
    <row r="885" spans="1:26" ht="12.75" customHeight="1">
      <c r="A885" s="268"/>
      <c r="B885" s="268"/>
      <c r="C885" s="268"/>
      <c r="D885" s="268"/>
      <c r="E885" s="268"/>
      <c r="F885" s="268"/>
      <c r="G885" s="268"/>
      <c r="H885" s="268"/>
      <c r="I885" s="268"/>
      <c r="J885" s="268"/>
      <c r="K885" s="268"/>
      <c r="L885" s="268"/>
      <c r="M885" s="268"/>
      <c r="N885" s="268"/>
      <c r="O885" s="268"/>
      <c r="P885" s="268"/>
      <c r="Q885" s="268"/>
      <c r="R885" s="268"/>
      <c r="S885" s="268"/>
      <c r="T885" s="268"/>
      <c r="U885" s="268"/>
      <c r="V885" s="268"/>
      <c r="W885" s="268"/>
      <c r="X885" s="268"/>
      <c r="Y885" s="268"/>
      <c r="Z885" s="268"/>
    </row>
    <row r="886" spans="1:26" ht="12.75" customHeight="1">
      <c r="A886" s="268"/>
      <c r="B886" s="268"/>
      <c r="C886" s="268"/>
      <c r="D886" s="268"/>
      <c r="E886" s="268"/>
      <c r="F886" s="268"/>
      <c r="G886" s="268"/>
      <c r="H886" s="268"/>
      <c r="I886" s="268"/>
      <c r="J886" s="268"/>
      <c r="K886" s="268"/>
      <c r="L886" s="268"/>
      <c r="M886" s="268"/>
      <c r="N886" s="268"/>
      <c r="O886" s="268"/>
      <c r="P886" s="268"/>
      <c r="Q886" s="268"/>
      <c r="R886" s="268"/>
      <c r="S886" s="268"/>
      <c r="T886" s="268"/>
      <c r="U886" s="268"/>
      <c r="V886" s="268"/>
      <c r="W886" s="268"/>
      <c r="X886" s="268"/>
      <c r="Y886" s="268"/>
      <c r="Z886" s="268"/>
    </row>
    <row r="887" spans="1:26" ht="12.75" customHeight="1">
      <c r="A887" s="268"/>
      <c r="B887" s="268"/>
      <c r="C887" s="268"/>
      <c r="D887" s="268"/>
      <c r="E887" s="268"/>
      <c r="F887" s="268"/>
      <c r="G887" s="268"/>
      <c r="H887" s="268"/>
      <c r="I887" s="268"/>
      <c r="J887" s="268"/>
      <c r="K887" s="268"/>
      <c r="L887" s="268"/>
      <c r="M887" s="268"/>
      <c r="N887" s="268"/>
      <c r="O887" s="268"/>
      <c r="P887" s="268"/>
      <c r="Q887" s="268"/>
      <c r="R887" s="268"/>
      <c r="S887" s="268"/>
      <c r="T887" s="268"/>
      <c r="U887" s="268"/>
      <c r="V887" s="268"/>
      <c r="W887" s="268"/>
      <c r="X887" s="268"/>
      <c r="Y887" s="268"/>
      <c r="Z887" s="268"/>
    </row>
    <row r="888" spans="1:26" ht="12.75" customHeight="1">
      <c r="A888" s="268"/>
      <c r="B888" s="268"/>
      <c r="C888" s="268"/>
      <c r="D888" s="268"/>
      <c r="E888" s="268"/>
      <c r="F888" s="268"/>
      <c r="G888" s="268"/>
      <c r="H888" s="268"/>
      <c r="I888" s="268"/>
      <c r="J888" s="268"/>
      <c r="K888" s="268"/>
      <c r="L888" s="268"/>
      <c r="M888" s="268"/>
      <c r="N888" s="268"/>
      <c r="O888" s="268"/>
      <c r="P888" s="268"/>
      <c r="Q888" s="268"/>
      <c r="R888" s="268"/>
      <c r="S888" s="268"/>
      <c r="T888" s="268"/>
      <c r="U888" s="268"/>
      <c r="V888" s="268"/>
      <c r="W888" s="268"/>
      <c r="X888" s="268"/>
      <c r="Y888" s="268"/>
      <c r="Z888" s="268"/>
    </row>
    <row r="889" spans="1:26" ht="12.75" customHeight="1">
      <c r="A889" s="268"/>
      <c r="B889" s="268"/>
      <c r="C889" s="268"/>
      <c r="D889" s="268"/>
      <c r="E889" s="268"/>
      <c r="F889" s="268"/>
      <c r="G889" s="268"/>
      <c r="H889" s="268"/>
      <c r="I889" s="268"/>
      <c r="J889" s="268"/>
      <c r="K889" s="268"/>
      <c r="L889" s="268"/>
      <c r="M889" s="268"/>
      <c r="N889" s="268"/>
      <c r="O889" s="268"/>
      <c r="P889" s="268"/>
      <c r="Q889" s="268"/>
      <c r="R889" s="268"/>
      <c r="S889" s="268"/>
      <c r="T889" s="268"/>
      <c r="U889" s="268"/>
      <c r="V889" s="268"/>
      <c r="W889" s="268"/>
      <c r="X889" s="268"/>
      <c r="Y889" s="268"/>
      <c r="Z889" s="268"/>
    </row>
    <row r="890" spans="1:26" ht="12.75" customHeight="1">
      <c r="A890" s="268"/>
      <c r="B890" s="268"/>
      <c r="C890" s="268"/>
      <c r="D890" s="268"/>
      <c r="E890" s="268"/>
      <c r="F890" s="268"/>
      <c r="G890" s="268"/>
      <c r="H890" s="268"/>
      <c r="I890" s="268"/>
      <c r="J890" s="268"/>
      <c r="K890" s="268"/>
      <c r="L890" s="268"/>
      <c r="M890" s="268"/>
      <c r="N890" s="268"/>
      <c r="O890" s="268"/>
      <c r="P890" s="268"/>
      <c r="Q890" s="268"/>
      <c r="R890" s="268"/>
      <c r="S890" s="268"/>
      <c r="T890" s="268"/>
      <c r="U890" s="268"/>
      <c r="V890" s="268"/>
      <c r="W890" s="268"/>
      <c r="X890" s="268"/>
      <c r="Y890" s="268"/>
      <c r="Z890" s="268"/>
    </row>
    <row r="891" spans="1:26" ht="12.75" customHeight="1">
      <c r="A891" s="268"/>
      <c r="B891" s="268"/>
      <c r="C891" s="268"/>
      <c r="D891" s="268"/>
      <c r="E891" s="268"/>
      <c r="F891" s="268"/>
      <c r="G891" s="268"/>
      <c r="H891" s="268"/>
      <c r="I891" s="268"/>
      <c r="J891" s="268"/>
      <c r="K891" s="268"/>
      <c r="L891" s="268"/>
      <c r="M891" s="268"/>
      <c r="N891" s="268"/>
      <c r="O891" s="268"/>
      <c r="P891" s="268"/>
      <c r="Q891" s="268"/>
      <c r="R891" s="268"/>
      <c r="S891" s="268"/>
      <c r="T891" s="268"/>
      <c r="U891" s="268"/>
      <c r="V891" s="268"/>
      <c r="W891" s="268"/>
      <c r="X891" s="268"/>
      <c r="Y891" s="268"/>
      <c r="Z891" s="268"/>
    </row>
    <row r="892" spans="1:26" ht="12.75" customHeight="1">
      <c r="A892" s="268"/>
      <c r="B892" s="268"/>
      <c r="C892" s="268"/>
      <c r="D892" s="268"/>
      <c r="E892" s="268"/>
      <c r="F892" s="268"/>
      <c r="G892" s="268"/>
      <c r="H892" s="268"/>
      <c r="I892" s="268"/>
      <c r="J892" s="268"/>
      <c r="K892" s="268"/>
      <c r="L892" s="268"/>
      <c r="M892" s="268"/>
      <c r="N892" s="268"/>
      <c r="O892" s="268"/>
      <c r="P892" s="268"/>
      <c r="Q892" s="268"/>
      <c r="R892" s="268"/>
      <c r="S892" s="268"/>
      <c r="T892" s="268"/>
      <c r="U892" s="268"/>
      <c r="V892" s="268"/>
      <c r="W892" s="268"/>
      <c r="X892" s="268"/>
      <c r="Y892" s="268"/>
      <c r="Z892" s="268"/>
    </row>
    <row r="893" spans="1:26" ht="12.75" customHeight="1">
      <c r="A893" s="268"/>
      <c r="B893" s="268"/>
      <c r="C893" s="268"/>
      <c r="D893" s="268"/>
      <c r="E893" s="268"/>
      <c r="F893" s="268"/>
      <c r="G893" s="268"/>
      <c r="H893" s="268"/>
      <c r="I893" s="268"/>
      <c r="J893" s="268"/>
      <c r="K893" s="268"/>
      <c r="L893" s="268"/>
      <c r="M893" s="268"/>
      <c r="N893" s="268"/>
      <c r="O893" s="268"/>
      <c r="P893" s="268"/>
      <c r="Q893" s="268"/>
      <c r="R893" s="268"/>
      <c r="S893" s="268"/>
      <c r="T893" s="268"/>
      <c r="U893" s="268"/>
      <c r="V893" s="268"/>
      <c r="W893" s="268"/>
      <c r="X893" s="268"/>
      <c r="Y893" s="268"/>
      <c r="Z893" s="268"/>
    </row>
    <row r="894" spans="1:26" ht="12.75" customHeight="1">
      <c r="A894" s="268"/>
      <c r="B894" s="268"/>
      <c r="C894" s="268"/>
      <c r="D894" s="268"/>
      <c r="E894" s="268"/>
      <c r="F894" s="268"/>
      <c r="G894" s="268"/>
      <c r="H894" s="268"/>
      <c r="I894" s="268"/>
      <c r="J894" s="268"/>
      <c r="K894" s="268"/>
      <c r="L894" s="268"/>
      <c r="M894" s="268"/>
      <c r="N894" s="268"/>
      <c r="O894" s="268"/>
      <c r="P894" s="268"/>
      <c r="Q894" s="268"/>
      <c r="R894" s="268"/>
      <c r="S894" s="268"/>
      <c r="T894" s="268"/>
      <c r="U894" s="268"/>
      <c r="V894" s="268"/>
      <c r="W894" s="268"/>
      <c r="X894" s="268"/>
      <c r="Y894" s="268"/>
      <c r="Z894" s="268"/>
    </row>
    <row r="895" spans="1:26" ht="12.75" customHeight="1">
      <c r="A895" s="268"/>
      <c r="B895" s="268"/>
      <c r="C895" s="268"/>
      <c r="D895" s="268"/>
      <c r="E895" s="268"/>
      <c r="F895" s="268"/>
      <c r="G895" s="268"/>
      <c r="H895" s="268"/>
      <c r="I895" s="268"/>
      <c r="J895" s="268"/>
      <c r="K895" s="268"/>
      <c r="L895" s="268"/>
      <c r="M895" s="268"/>
      <c r="N895" s="268"/>
      <c r="O895" s="268"/>
      <c r="P895" s="268"/>
      <c r="Q895" s="268"/>
      <c r="R895" s="268"/>
      <c r="S895" s="268"/>
      <c r="T895" s="268"/>
      <c r="U895" s="268"/>
      <c r="V895" s="268"/>
      <c r="W895" s="268"/>
      <c r="X895" s="268"/>
      <c r="Y895" s="268"/>
      <c r="Z895" s="268"/>
    </row>
    <row r="896" spans="1:26" ht="12.75" customHeight="1">
      <c r="A896" s="268"/>
      <c r="B896" s="268"/>
      <c r="C896" s="268"/>
      <c r="D896" s="268"/>
      <c r="E896" s="268"/>
      <c r="F896" s="268"/>
      <c r="G896" s="268"/>
      <c r="H896" s="268"/>
      <c r="I896" s="268"/>
      <c r="J896" s="268"/>
      <c r="K896" s="268"/>
      <c r="L896" s="268"/>
      <c r="M896" s="268"/>
      <c r="N896" s="268"/>
      <c r="O896" s="268"/>
      <c r="P896" s="268"/>
      <c r="Q896" s="268"/>
      <c r="R896" s="268"/>
      <c r="S896" s="268"/>
      <c r="T896" s="268"/>
      <c r="U896" s="268"/>
      <c r="V896" s="268"/>
      <c r="W896" s="268"/>
      <c r="X896" s="268"/>
      <c r="Y896" s="268"/>
      <c r="Z896" s="268"/>
    </row>
    <row r="897" spans="1:26" ht="12.75" customHeight="1">
      <c r="A897" s="268"/>
      <c r="B897" s="268"/>
      <c r="C897" s="268"/>
      <c r="D897" s="268"/>
      <c r="E897" s="268"/>
      <c r="F897" s="268"/>
      <c r="G897" s="268"/>
      <c r="H897" s="268"/>
      <c r="I897" s="268"/>
      <c r="J897" s="268"/>
      <c r="K897" s="268"/>
      <c r="L897" s="268"/>
      <c r="M897" s="268"/>
      <c r="N897" s="268"/>
      <c r="O897" s="268"/>
      <c r="P897" s="268"/>
      <c r="Q897" s="268"/>
      <c r="R897" s="268"/>
      <c r="S897" s="268"/>
      <c r="T897" s="268"/>
      <c r="U897" s="268"/>
      <c r="V897" s="268"/>
      <c r="W897" s="268"/>
      <c r="X897" s="268"/>
      <c r="Y897" s="268"/>
      <c r="Z897" s="268"/>
    </row>
    <row r="898" spans="1:26" ht="12.75" customHeight="1">
      <c r="A898" s="268"/>
      <c r="B898" s="268"/>
      <c r="C898" s="268"/>
      <c r="D898" s="268"/>
      <c r="E898" s="268"/>
      <c r="F898" s="268"/>
      <c r="G898" s="268"/>
      <c r="H898" s="268"/>
      <c r="I898" s="268"/>
      <c r="J898" s="268"/>
      <c r="K898" s="268"/>
      <c r="L898" s="268"/>
      <c r="M898" s="268"/>
      <c r="N898" s="268"/>
      <c r="O898" s="268"/>
      <c r="P898" s="268"/>
      <c r="Q898" s="268"/>
      <c r="R898" s="268"/>
      <c r="S898" s="268"/>
      <c r="T898" s="268"/>
      <c r="U898" s="268"/>
      <c r="V898" s="268"/>
      <c r="W898" s="268"/>
      <c r="X898" s="268"/>
      <c r="Y898" s="268"/>
      <c r="Z898" s="268"/>
    </row>
    <row r="899" spans="1:26" ht="12.75" customHeight="1">
      <c r="A899" s="268"/>
      <c r="B899" s="268"/>
      <c r="C899" s="268"/>
      <c r="D899" s="268"/>
      <c r="E899" s="268"/>
      <c r="F899" s="268"/>
      <c r="G899" s="268"/>
      <c r="H899" s="268"/>
      <c r="I899" s="268"/>
      <c r="J899" s="268"/>
      <c r="K899" s="268"/>
      <c r="L899" s="268"/>
      <c r="M899" s="268"/>
      <c r="N899" s="268"/>
      <c r="O899" s="268"/>
      <c r="P899" s="268"/>
      <c r="Q899" s="268"/>
      <c r="R899" s="268"/>
      <c r="S899" s="268"/>
      <c r="T899" s="268"/>
      <c r="U899" s="268"/>
      <c r="V899" s="268"/>
      <c r="W899" s="268"/>
      <c r="X899" s="268"/>
      <c r="Y899" s="268"/>
      <c r="Z899" s="268"/>
    </row>
    <row r="900" spans="1:26" ht="12.75" customHeight="1">
      <c r="A900" s="268"/>
      <c r="B900" s="268"/>
      <c r="C900" s="268"/>
      <c r="D900" s="268"/>
      <c r="E900" s="268"/>
      <c r="F900" s="268"/>
      <c r="G900" s="268"/>
      <c r="H900" s="268"/>
      <c r="I900" s="268"/>
      <c r="J900" s="268"/>
      <c r="K900" s="268"/>
      <c r="L900" s="268"/>
      <c r="M900" s="268"/>
      <c r="N900" s="268"/>
      <c r="O900" s="268"/>
      <c r="P900" s="268"/>
      <c r="Q900" s="268"/>
      <c r="R900" s="268"/>
      <c r="S900" s="268"/>
      <c r="T900" s="268"/>
      <c r="U900" s="268"/>
      <c r="V900" s="268"/>
      <c r="W900" s="268"/>
      <c r="X900" s="268"/>
      <c r="Y900" s="268"/>
      <c r="Z900" s="268"/>
    </row>
    <row r="901" spans="1:26" ht="12.75" customHeight="1">
      <c r="A901" s="268"/>
      <c r="B901" s="268"/>
      <c r="C901" s="268"/>
      <c r="D901" s="268"/>
      <c r="E901" s="268"/>
      <c r="F901" s="268"/>
      <c r="G901" s="268"/>
      <c r="H901" s="268"/>
      <c r="I901" s="268"/>
      <c r="J901" s="268"/>
      <c r="K901" s="268"/>
      <c r="L901" s="268"/>
      <c r="M901" s="268"/>
      <c r="N901" s="268"/>
      <c r="O901" s="268"/>
      <c r="P901" s="268"/>
      <c r="Q901" s="268"/>
      <c r="R901" s="268"/>
      <c r="S901" s="268"/>
      <c r="T901" s="268"/>
      <c r="U901" s="268"/>
      <c r="V901" s="268"/>
      <c r="W901" s="268"/>
      <c r="X901" s="268"/>
      <c r="Y901" s="268"/>
      <c r="Z901" s="268"/>
    </row>
    <row r="902" spans="1:26" ht="12.75" customHeight="1">
      <c r="A902" s="268"/>
      <c r="B902" s="268"/>
      <c r="C902" s="268"/>
      <c r="D902" s="268"/>
      <c r="E902" s="268"/>
      <c r="F902" s="268"/>
      <c r="G902" s="268"/>
      <c r="H902" s="268"/>
      <c r="I902" s="268"/>
      <c r="J902" s="268"/>
      <c r="K902" s="268"/>
      <c r="L902" s="268"/>
      <c r="M902" s="268"/>
      <c r="N902" s="268"/>
      <c r="O902" s="268"/>
      <c r="P902" s="268"/>
      <c r="Q902" s="268"/>
      <c r="R902" s="268"/>
      <c r="S902" s="268"/>
      <c r="T902" s="268"/>
      <c r="U902" s="268"/>
      <c r="V902" s="268"/>
      <c r="W902" s="268"/>
      <c r="X902" s="268"/>
      <c r="Y902" s="268"/>
      <c r="Z902" s="268"/>
    </row>
    <row r="903" spans="1:26" ht="12.75" customHeight="1">
      <c r="A903" s="268"/>
      <c r="B903" s="268"/>
      <c r="C903" s="268"/>
      <c r="D903" s="268"/>
      <c r="E903" s="268"/>
      <c r="F903" s="268"/>
      <c r="G903" s="268"/>
      <c r="H903" s="268"/>
      <c r="I903" s="268"/>
      <c r="J903" s="268"/>
      <c r="K903" s="268"/>
      <c r="L903" s="268"/>
      <c r="M903" s="268"/>
      <c r="N903" s="268"/>
      <c r="O903" s="268"/>
      <c r="P903" s="268"/>
      <c r="Q903" s="268"/>
      <c r="R903" s="268"/>
      <c r="S903" s="268"/>
      <c r="T903" s="268"/>
      <c r="U903" s="268"/>
      <c r="V903" s="268"/>
      <c r="W903" s="268"/>
      <c r="X903" s="268"/>
      <c r="Y903" s="268"/>
      <c r="Z903" s="268"/>
    </row>
    <row r="904" spans="1:26" ht="12.75" customHeight="1">
      <c r="A904" s="268"/>
      <c r="B904" s="268"/>
      <c r="C904" s="268"/>
      <c r="D904" s="268"/>
      <c r="E904" s="268"/>
      <c r="F904" s="268"/>
      <c r="G904" s="268"/>
      <c r="H904" s="268"/>
      <c r="I904" s="268"/>
      <c r="J904" s="268"/>
      <c r="K904" s="268"/>
      <c r="L904" s="268"/>
      <c r="M904" s="268"/>
      <c r="N904" s="268"/>
      <c r="O904" s="268"/>
      <c r="P904" s="268"/>
      <c r="Q904" s="268"/>
      <c r="R904" s="268"/>
      <c r="S904" s="268"/>
      <c r="T904" s="268"/>
      <c r="U904" s="268"/>
      <c r="V904" s="268"/>
      <c r="W904" s="268"/>
      <c r="X904" s="268"/>
      <c r="Y904" s="268"/>
      <c r="Z904" s="268"/>
    </row>
    <row r="905" spans="1:26" ht="12.75" customHeight="1">
      <c r="A905" s="268"/>
      <c r="B905" s="268"/>
      <c r="C905" s="268"/>
      <c r="D905" s="268"/>
      <c r="E905" s="268"/>
      <c r="F905" s="268"/>
      <c r="G905" s="268"/>
      <c r="H905" s="268"/>
      <c r="I905" s="268"/>
      <c r="J905" s="268"/>
      <c r="K905" s="268"/>
      <c r="L905" s="268"/>
      <c r="M905" s="268"/>
      <c r="N905" s="268"/>
      <c r="O905" s="268"/>
      <c r="P905" s="268"/>
      <c r="Q905" s="268"/>
      <c r="R905" s="268"/>
      <c r="S905" s="268"/>
      <c r="T905" s="268"/>
      <c r="U905" s="268"/>
      <c r="V905" s="268"/>
      <c r="W905" s="268"/>
      <c r="X905" s="268"/>
      <c r="Y905" s="268"/>
      <c r="Z905" s="268"/>
    </row>
    <row r="906" spans="1:26" ht="12.75" customHeight="1">
      <c r="A906" s="268"/>
      <c r="B906" s="268"/>
      <c r="C906" s="268"/>
      <c r="D906" s="268"/>
      <c r="E906" s="268"/>
      <c r="F906" s="268"/>
      <c r="G906" s="268"/>
      <c r="H906" s="268"/>
      <c r="I906" s="268"/>
      <c r="J906" s="268"/>
      <c r="K906" s="268"/>
      <c r="L906" s="268"/>
      <c r="M906" s="268"/>
      <c r="N906" s="268"/>
      <c r="O906" s="268"/>
      <c r="P906" s="268"/>
      <c r="Q906" s="268"/>
      <c r="R906" s="268"/>
      <c r="S906" s="268"/>
      <c r="T906" s="268"/>
      <c r="U906" s="268"/>
      <c r="V906" s="268"/>
      <c r="W906" s="268"/>
      <c r="X906" s="268"/>
      <c r="Y906" s="268"/>
      <c r="Z906" s="268"/>
    </row>
    <row r="907" spans="1:26" ht="12.75" customHeight="1">
      <c r="A907" s="268"/>
      <c r="B907" s="268"/>
      <c r="C907" s="268"/>
      <c r="D907" s="268"/>
      <c r="E907" s="268"/>
      <c r="F907" s="268"/>
      <c r="G907" s="268"/>
      <c r="H907" s="268"/>
      <c r="I907" s="268"/>
      <c r="J907" s="268"/>
      <c r="K907" s="268"/>
      <c r="L907" s="268"/>
      <c r="M907" s="268"/>
      <c r="N907" s="268"/>
      <c r="O907" s="268"/>
      <c r="P907" s="268"/>
      <c r="Q907" s="268"/>
      <c r="R907" s="268"/>
      <c r="S907" s="268"/>
      <c r="T907" s="268"/>
      <c r="U907" s="268"/>
      <c r="V907" s="268"/>
      <c r="W907" s="268"/>
      <c r="X907" s="268"/>
      <c r="Y907" s="268"/>
      <c r="Z907" s="268"/>
    </row>
    <row r="908" spans="1:26" ht="12.75" customHeight="1">
      <c r="A908" s="268"/>
      <c r="B908" s="268"/>
      <c r="C908" s="268"/>
      <c r="D908" s="268"/>
      <c r="E908" s="268"/>
      <c r="F908" s="268"/>
      <c r="G908" s="268"/>
      <c r="H908" s="268"/>
      <c r="I908" s="268"/>
      <c r="J908" s="268"/>
      <c r="K908" s="268"/>
      <c r="L908" s="268"/>
      <c r="M908" s="268"/>
      <c r="N908" s="268"/>
      <c r="O908" s="268"/>
      <c r="P908" s="268"/>
      <c r="Q908" s="268"/>
      <c r="R908" s="268"/>
      <c r="S908" s="268"/>
      <c r="T908" s="268"/>
      <c r="U908" s="268"/>
      <c r="V908" s="268"/>
      <c r="W908" s="268"/>
      <c r="X908" s="268"/>
      <c r="Y908" s="268"/>
      <c r="Z908" s="268"/>
    </row>
    <row r="909" spans="1:26" ht="12.75" customHeight="1">
      <c r="A909" s="268"/>
      <c r="B909" s="268"/>
      <c r="C909" s="268"/>
      <c r="D909" s="268"/>
      <c r="E909" s="268"/>
      <c r="F909" s="268"/>
      <c r="G909" s="268"/>
      <c r="H909" s="268"/>
      <c r="I909" s="268"/>
      <c r="J909" s="268"/>
      <c r="K909" s="268"/>
      <c r="L909" s="268"/>
      <c r="M909" s="268"/>
      <c r="N909" s="268"/>
      <c r="O909" s="268"/>
      <c r="P909" s="268"/>
      <c r="Q909" s="268"/>
      <c r="R909" s="268"/>
      <c r="S909" s="268"/>
      <c r="T909" s="268"/>
      <c r="U909" s="268"/>
      <c r="V909" s="268"/>
      <c r="W909" s="268"/>
      <c r="X909" s="268"/>
      <c r="Y909" s="268"/>
      <c r="Z909" s="268"/>
    </row>
    <row r="910" spans="1:26" ht="12.75" customHeight="1">
      <c r="A910" s="268"/>
      <c r="B910" s="268"/>
      <c r="C910" s="268"/>
      <c r="D910" s="268"/>
      <c r="E910" s="268"/>
      <c r="F910" s="268"/>
      <c r="G910" s="268"/>
      <c r="H910" s="268"/>
      <c r="I910" s="268"/>
      <c r="J910" s="268"/>
      <c r="K910" s="268"/>
      <c r="L910" s="268"/>
      <c r="M910" s="268"/>
      <c r="N910" s="268"/>
      <c r="O910" s="268"/>
      <c r="P910" s="268"/>
      <c r="Q910" s="268"/>
      <c r="R910" s="268"/>
      <c r="S910" s="268"/>
      <c r="T910" s="268"/>
      <c r="U910" s="268"/>
      <c r="V910" s="268"/>
      <c r="W910" s="268"/>
      <c r="X910" s="268"/>
      <c r="Y910" s="268"/>
      <c r="Z910" s="268"/>
    </row>
    <row r="911" spans="1:26" ht="12.75" customHeight="1">
      <c r="A911" s="268"/>
      <c r="B911" s="268"/>
      <c r="C911" s="268"/>
      <c r="D911" s="268"/>
      <c r="E911" s="268"/>
      <c r="F911" s="268"/>
      <c r="G911" s="268"/>
      <c r="H911" s="268"/>
      <c r="I911" s="268"/>
      <c r="J911" s="268"/>
      <c r="K911" s="268"/>
      <c r="L911" s="268"/>
      <c r="M911" s="268"/>
      <c r="N911" s="268"/>
      <c r="O911" s="268"/>
      <c r="P911" s="268"/>
      <c r="Q911" s="268"/>
      <c r="R911" s="268"/>
      <c r="S911" s="268"/>
      <c r="T911" s="268"/>
      <c r="U911" s="268"/>
      <c r="V911" s="268"/>
      <c r="W911" s="268"/>
      <c r="X911" s="268"/>
      <c r="Y911" s="268"/>
      <c r="Z911" s="268"/>
    </row>
    <row r="912" spans="1:26" ht="12.75" customHeight="1">
      <c r="A912" s="268"/>
      <c r="B912" s="268"/>
      <c r="C912" s="268"/>
      <c r="D912" s="268"/>
      <c r="E912" s="268"/>
      <c r="F912" s="268"/>
      <c r="G912" s="268"/>
      <c r="H912" s="268"/>
      <c r="I912" s="268"/>
      <c r="J912" s="268"/>
      <c r="K912" s="268"/>
      <c r="L912" s="268"/>
      <c r="M912" s="268"/>
      <c r="N912" s="268"/>
      <c r="O912" s="268"/>
      <c r="P912" s="268"/>
      <c r="Q912" s="268"/>
      <c r="R912" s="268"/>
      <c r="S912" s="268"/>
      <c r="T912" s="268"/>
      <c r="U912" s="268"/>
      <c r="V912" s="268"/>
      <c r="W912" s="268"/>
      <c r="X912" s="268"/>
      <c r="Y912" s="268"/>
      <c r="Z912" s="268"/>
    </row>
    <row r="913" spans="1:26" ht="12.75" customHeight="1">
      <c r="A913" s="268"/>
      <c r="B913" s="268"/>
      <c r="C913" s="268"/>
      <c r="D913" s="268"/>
      <c r="E913" s="268"/>
      <c r="F913" s="268"/>
      <c r="G913" s="268"/>
      <c r="H913" s="268"/>
      <c r="I913" s="268"/>
      <c r="J913" s="268"/>
      <c r="K913" s="268"/>
      <c r="L913" s="268"/>
      <c r="M913" s="268"/>
      <c r="N913" s="268"/>
      <c r="O913" s="268"/>
      <c r="P913" s="268"/>
      <c r="Q913" s="268"/>
      <c r="R913" s="268"/>
      <c r="S913" s="268"/>
      <c r="T913" s="268"/>
      <c r="U913" s="268"/>
      <c r="V913" s="268"/>
      <c r="W913" s="268"/>
      <c r="X913" s="268"/>
      <c r="Y913" s="268"/>
      <c r="Z913" s="268"/>
    </row>
    <row r="914" spans="1:26" ht="12.75" customHeight="1">
      <c r="A914" s="268"/>
      <c r="B914" s="268"/>
      <c r="C914" s="268"/>
      <c r="D914" s="268"/>
      <c r="E914" s="268"/>
      <c r="F914" s="268"/>
      <c r="G914" s="268"/>
      <c r="H914" s="268"/>
      <c r="I914" s="268"/>
      <c r="J914" s="268"/>
      <c r="K914" s="268"/>
      <c r="L914" s="268"/>
      <c r="M914" s="268"/>
      <c r="N914" s="268"/>
      <c r="O914" s="268"/>
      <c r="P914" s="268"/>
      <c r="Q914" s="268"/>
      <c r="R914" s="268"/>
      <c r="S914" s="268"/>
      <c r="T914" s="268"/>
      <c r="U914" s="268"/>
      <c r="V914" s="268"/>
      <c r="W914" s="268"/>
      <c r="X914" s="268"/>
      <c r="Y914" s="268"/>
      <c r="Z914" s="268"/>
    </row>
    <row r="915" spans="1:26" ht="12.75" customHeight="1">
      <c r="A915" s="268"/>
      <c r="B915" s="268"/>
      <c r="C915" s="268"/>
      <c r="D915" s="268"/>
      <c r="E915" s="268"/>
      <c r="F915" s="268"/>
      <c r="G915" s="268"/>
      <c r="H915" s="268"/>
      <c r="I915" s="268"/>
      <c r="J915" s="268"/>
      <c r="K915" s="268"/>
      <c r="L915" s="268"/>
      <c r="M915" s="268"/>
      <c r="N915" s="268"/>
      <c r="O915" s="268"/>
      <c r="P915" s="268"/>
      <c r="Q915" s="268"/>
      <c r="R915" s="268"/>
      <c r="S915" s="268"/>
      <c r="T915" s="268"/>
      <c r="U915" s="268"/>
      <c r="V915" s="268"/>
      <c r="W915" s="268"/>
      <c r="X915" s="268"/>
      <c r="Y915" s="268"/>
      <c r="Z915" s="268"/>
    </row>
    <row r="916" spans="1:26" ht="12.75" customHeight="1">
      <c r="A916" s="268"/>
      <c r="B916" s="268"/>
      <c r="C916" s="268"/>
      <c r="D916" s="268"/>
      <c r="E916" s="268"/>
      <c r="F916" s="268"/>
      <c r="G916" s="268"/>
      <c r="H916" s="268"/>
      <c r="I916" s="268"/>
      <c r="J916" s="268"/>
      <c r="K916" s="268"/>
      <c r="L916" s="268"/>
      <c r="M916" s="268"/>
      <c r="N916" s="268"/>
      <c r="O916" s="268"/>
      <c r="P916" s="268"/>
      <c r="Q916" s="268"/>
      <c r="R916" s="268"/>
      <c r="S916" s="268"/>
      <c r="T916" s="268"/>
      <c r="U916" s="268"/>
      <c r="V916" s="268"/>
      <c r="W916" s="268"/>
      <c r="X916" s="268"/>
      <c r="Y916" s="268"/>
      <c r="Z916" s="268"/>
    </row>
    <row r="917" spans="1:26" ht="12.75" customHeight="1">
      <c r="A917" s="268"/>
      <c r="B917" s="268"/>
      <c r="C917" s="268"/>
      <c r="D917" s="268"/>
      <c r="E917" s="268"/>
      <c r="F917" s="268"/>
      <c r="G917" s="268"/>
      <c r="H917" s="268"/>
      <c r="I917" s="268"/>
      <c r="J917" s="268"/>
      <c r="K917" s="268"/>
      <c r="L917" s="268"/>
      <c r="M917" s="268"/>
      <c r="N917" s="268"/>
      <c r="O917" s="268"/>
      <c r="P917" s="268"/>
      <c r="Q917" s="268"/>
      <c r="R917" s="268"/>
      <c r="S917" s="268"/>
      <c r="T917" s="268"/>
      <c r="U917" s="268"/>
      <c r="V917" s="268"/>
      <c r="W917" s="268"/>
      <c r="X917" s="268"/>
      <c r="Y917" s="268"/>
      <c r="Z917" s="268"/>
    </row>
    <row r="918" spans="1:26" ht="12.75" customHeight="1">
      <c r="A918" s="268"/>
      <c r="B918" s="268"/>
      <c r="C918" s="268"/>
      <c r="D918" s="268"/>
      <c r="E918" s="268"/>
      <c r="F918" s="268"/>
      <c r="G918" s="268"/>
      <c r="H918" s="268"/>
      <c r="I918" s="268"/>
      <c r="J918" s="268"/>
      <c r="K918" s="268"/>
      <c r="L918" s="268"/>
      <c r="M918" s="268"/>
      <c r="N918" s="268"/>
      <c r="O918" s="268"/>
      <c r="P918" s="268"/>
      <c r="Q918" s="268"/>
      <c r="R918" s="268"/>
      <c r="S918" s="268"/>
      <c r="T918" s="268"/>
      <c r="U918" s="268"/>
      <c r="V918" s="268"/>
      <c r="W918" s="268"/>
      <c r="X918" s="268"/>
      <c r="Y918" s="268"/>
      <c r="Z918" s="268"/>
    </row>
    <row r="919" spans="1:26" ht="12.75" customHeight="1">
      <c r="A919" s="268"/>
      <c r="B919" s="268"/>
      <c r="C919" s="268"/>
      <c r="D919" s="268"/>
      <c r="E919" s="268"/>
      <c r="F919" s="268"/>
      <c r="G919" s="268"/>
      <c r="H919" s="268"/>
      <c r="I919" s="268"/>
      <c r="J919" s="268"/>
      <c r="K919" s="268"/>
      <c r="L919" s="268"/>
      <c r="M919" s="268"/>
      <c r="N919" s="268"/>
      <c r="O919" s="268"/>
      <c r="P919" s="268"/>
      <c r="Q919" s="268"/>
      <c r="R919" s="268"/>
      <c r="S919" s="268"/>
      <c r="T919" s="268"/>
      <c r="U919" s="268"/>
      <c r="V919" s="268"/>
      <c r="W919" s="268"/>
      <c r="X919" s="268"/>
      <c r="Y919" s="268"/>
      <c r="Z919" s="268"/>
    </row>
    <row r="920" spans="1:26" ht="12.75" customHeight="1">
      <c r="A920" s="268"/>
      <c r="B920" s="268"/>
      <c r="C920" s="268"/>
      <c r="D920" s="268"/>
      <c r="E920" s="268"/>
      <c r="F920" s="268"/>
      <c r="G920" s="268"/>
      <c r="H920" s="268"/>
      <c r="I920" s="268"/>
      <c r="J920" s="268"/>
      <c r="K920" s="268"/>
      <c r="L920" s="268"/>
      <c r="M920" s="268"/>
      <c r="N920" s="268"/>
      <c r="O920" s="268"/>
      <c r="P920" s="268"/>
      <c r="Q920" s="268"/>
      <c r="R920" s="268"/>
      <c r="S920" s="268"/>
      <c r="T920" s="268"/>
      <c r="U920" s="268"/>
      <c r="V920" s="268"/>
      <c r="W920" s="268"/>
      <c r="X920" s="268"/>
      <c r="Y920" s="268"/>
      <c r="Z920" s="268"/>
    </row>
    <row r="921" spans="1:26" ht="12.75" customHeight="1">
      <c r="A921" s="268"/>
      <c r="B921" s="268"/>
      <c r="C921" s="268"/>
      <c r="D921" s="268"/>
      <c r="E921" s="268"/>
      <c r="F921" s="268"/>
      <c r="G921" s="268"/>
      <c r="H921" s="268"/>
      <c r="I921" s="268"/>
      <c r="J921" s="268"/>
      <c r="K921" s="268"/>
      <c r="L921" s="268"/>
      <c r="M921" s="268"/>
      <c r="N921" s="268"/>
      <c r="O921" s="268"/>
      <c r="P921" s="268"/>
      <c r="Q921" s="268"/>
      <c r="R921" s="268"/>
      <c r="S921" s="268"/>
      <c r="T921" s="268"/>
      <c r="U921" s="268"/>
      <c r="V921" s="268"/>
      <c r="W921" s="268"/>
      <c r="X921" s="268"/>
      <c r="Y921" s="268"/>
      <c r="Z921" s="268"/>
    </row>
    <row r="922" spans="1:26" ht="12.75" customHeight="1">
      <c r="A922" s="268"/>
      <c r="B922" s="268"/>
      <c r="C922" s="268"/>
      <c r="D922" s="268"/>
      <c r="E922" s="268"/>
      <c r="F922" s="268"/>
      <c r="G922" s="268"/>
      <c r="H922" s="268"/>
      <c r="I922" s="268"/>
      <c r="J922" s="268"/>
      <c r="K922" s="268"/>
      <c r="L922" s="268"/>
      <c r="M922" s="268"/>
      <c r="N922" s="268"/>
      <c r="O922" s="268"/>
      <c r="P922" s="268"/>
      <c r="Q922" s="268"/>
      <c r="R922" s="268"/>
      <c r="S922" s="268"/>
      <c r="T922" s="268"/>
      <c r="U922" s="268"/>
      <c r="V922" s="268"/>
      <c r="W922" s="268"/>
      <c r="X922" s="268"/>
      <c r="Y922" s="268"/>
      <c r="Z922" s="268"/>
    </row>
    <row r="923" spans="1:26" ht="12.75" customHeight="1">
      <c r="A923" s="268"/>
      <c r="B923" s="268"/>
      <c r="C923" s="268"/>
      <c r="D923" s="268"/>
      <c r="E923" s="268"/>
      <c r="F923" s="268"/>
      <c r="G923" s="268"/>
      <c r="H923" s="268"/>
      <c r="I923" s="268"/>
      <c r="J923" s="268"/>
      <c r="K923" s="268"/>
      <c r="L923" s="268"/>
      <c r="M923" s="268"/>
      <c r="N923" s="268"/>
      <c r="O923" s="268"/>
      <c r="P923" s="268"/>
      <c r="Q923" s="268"/>
      <c r="R923" s="268"/>
      <c r="S923" s="268"/>
      <c r="T923" s="268"/>
      <c r="U923" s="268"/>
      <c r="V923" s="268"/>
      <c r="W923" s="268"/>
      <c r="X923" s="268"/>
      <c r="Y923" s="268"/>
      <c r="Z923" s="268"/>
    </row>
    <row r="924" spans="1:26" ht="12.75" customHeight="1">
      <c r="A924" s="268"/>
      <c r="B924" s="268"/>
      <c r="C924" s="268"/>
      <c r="D924" s="268"/>
      <c r="E924" s="268"/>
      <c r="F924" s="268"/>
      <c r="G924" s="268"/>
      <c r="H924" s="268"/>
      <c r="I924" s="268"/>
      <c r="J924" s="268"/>
      <c r="K924" s="268"/>
      <c r="L924" s="268"/>
      <c r="M924" s="268"/>
      <c r="N924" s="268"/>
      <c r="O924" s="268"/>
      <c r="P924" s="268"/>
      <c r="Q924" s="268"/>
      <c r="R924" s="268"/>
      <c r="S924" s="268"/>
      <c r="T924" s="268"/>
      <c r="U924" s="268"/>
      <c r="V924" s="268"/>
      <c r="W924" s="268"/>
      <c r="X924" s="268"/>
      <c r="Y924" s="268"/>
      <c r="Z924" s="268"/>
    </row>
    <row r="925" spans="1:26" ht="12.75" customHeight="1">
      <c r="A925" s="268"/>
      <c r="B925" s="268"/>
      <c r="C925" s="268"/>
      <c r="D925" s="268"/>
      <c r="E925" s="268"/>
      <c r="F925" s="268"/>
      <c r="G925" s="268"/>
      <c r="H925" s="268"/>
      <c r="I925" s="268"/>
      <c r="J925" s="268"/>
      <c r="K925" s="268"/>
      <c r="L925" s="268"/>
      <c r="M925" s="268"/>
      <c r="N925" s="268"/>
      <c r="O925" s="268"/>
      <c r="P925" s="268"/>
      <c r="Q925" s="268"/>
      <c r="R925" s="268"/>
      <c r="S925" s="268"/>
      <c r="T925" s="268"/>
      <c r="U925" s="268"/>
      <c r="V925" s="268"/>
      <c r="W925" s="268"/>
      <c r="X925" s="268"/>
      <c r="Y925" s="268"/>
      <c r="Z925" s="268"/>
    </row>
    <row r="926" spans="1:26" ht="12.75" customHeight="1">
      <c r="A926" s="268"/>
      <c r="B926" s="268"/>
      <c r="C926" s="268"/>
      <c r="D926" s="268"/>
      <c r="E926" s="268"/>
      <c r="F926" s="268"/>
      <c r="G926" s="268"/>
      <c r="H926" s="268"/>
      <c r="I926" s="268"/>
      <c r="J926" s="268"/>
      <c r="K926" s="268"/>
      <c r="L926" s="268"/>
      <c r="M926" s="268"/>
      <c r="N926" s="268"/>
      <c r="O926" s="268"/>
      <c r="P926" s="268"/>
      <c r="Q926" s="268"/>
      <c r="R926" s="268"/>
      <c r="S926" s="268"/>
      <c r="T926" s="268"/>
      <c r="U926" s="268"/>
      <c r="V926" s="268"/>
      <c r="W926" s="268"/>
      <c r="X926" s="268"/>
      <c r="Y926" s="268"/>
      <c r="Z926" s="268"/>
    </row>
    <row r="927" spans="1:26" ht="12.75" customHeight="1">
      <c r="A927" s="268"/>
      <c r="B927" s="268"/>
      <c r="C927" s="268"/>
      <c r="D927" s="268"/>
      <c r="E927" s="268"/>
      <c r="F927" s="268"/>
      <c r="G927" s="268"/>
      <c r="H927" s="268"/>
      <c r="I927" s="268"/>
      <c r="J927" s="268"/>
      <c r="K927" s="268"/>
      <c r="L927" s="268"/>
      <c r="M927" s="268"/>
      <c r="N927" s="268"/>
      <c r="O927" s="268"/>
      <c r="P927" s="268"/>
      <c r="Q927" s="268"/>
      <c r="R927" s="268"/>
      <c r="S927" s="268"/>
      <c r="T927" s="268"/>
      <c r="U927" s="268"/>
      <c r="V927" s="268"/>
      <c r="W927" s="268"/>
      <c r="X927" s="268"/>
      <c r="Y927" s="268"/>
      <c r="Z927" s="268"/>
    </row>
    <row r="928" spans="1:26" ht="12.75" customHeight="1">
      <c r="A928" s="268"/>
      <c r="B928" s="268"/>
      <c r="C928" s="268"/>
      <c r="D928" s="268"/>
      <c r="E928" s="268"/>
      <c r="F928" s="268"/>
      <c r="G928" s="268"/>
      <c r="H928" s="268"/>
      <c r="I928" s="268"/>
      <c r="J928" s="268"/>
      <c r="K928" s="268"/>
      <c r="L928" s="268"/>
      <c r="M928" s="268"/>
      <c r="N928" s="268"/>
      <c r="O928" s="268"/>
      <c r="P928" s="268"/>
      <c r="Q928" s="268"/>
      <c r="R928" s="268"/>
      <c r="S928" s="268"/>
      <c r="T928" s="268"/>
      <c r="U928" s="268"/>
      <c r="V928" s="268"/>
      <c r="W928" s="268"/>
      <c r="X928" s="268"/>
      <c r="Y928" s="268"/>
      <c r="Z928" s="268"/>
    </row>
    <row r="929" spans="1:26" ht="12.75" customHeight="1">
      <c r="A929" s="268"/>
      <c r="B929" s="268"/>
      <c r="C929" s="268"/>
      <c r="D929" s="268"/>
      <c r="E929" s="268"/>
      <c r="F929" s="268"/>
      <c r="G929" s="268"/>
      <c r="H929" s="268"/>
      <c r="I929" s="268"/>
      <c r="J929" s="268"/>
      <c r="K929" s="268"/>
      <c r="L929" s="268"/>
      <c r="M929" s="268"/>
      <c r="N929" s="268"/>
      <c r="O929" s="268"/>
      <c r="P929" s="268"/>
      <c r="Q929" s="268"/>
      <c r="R929" s="268"/>
      <c r="S929" s="268"/>
      <c r="T929" s="268"/>
      <c r="U929" s="268"/>
      <c r="V929" s="268"/>
      <c r="W929" s="268"/>
      <c r="X929" s="268"/>
      <c r="Y929" s="268"/>
      <c r="Z929" s="268"/>
    </row>
    <row r="930" spans="1:26" ht="12.75" customHeight="1">
      <c r="A930" s="268"/>
      <c r="B930" s="268"/>
      <c r="C930" s="268"/>
      <c r="D930" s="268"/>
      <c r="E930" s="268"/>
      <c r="F930" s="268"/>
      <c r="G930" s="268"/>
      <c r="H930" s="268"/>
      <c r="I930" s="268"/>
      <c r="J930" s="268"/>
      <c r="K930" s="268"/>
      <c r="L930" s="268"/>
      <c r="M930" s="268"/>
      <c r="N930" s="268"/>
      <c r="O930" s="268"/>
      <c r="P930" s="268"/>
      <c r="Q930" s="268"/>
      <c r="R930" s="268"/>
      <c r="S930" s="268"/>
      <c r="T930" s="268"/>
      <c r="U930" s="268"/>
      <c r="V930" s="268"/>
      <c r="W930" s="268"/>
      <c r="X930" s="268"/>
      <c r="Y930" s="268"/>
      <c r="Z930" s="268"/>
    </row>
    <row r="931" spans="1:26" ht="12.75" customHeight="1">
      <c r="A931" s="268"/>
      <c r="B931" s="268"/>
      <c r="C931" s="268"/>
      <c r="D931" s="268"/>
      <c r="E931" s="268"/>
      <c r="F931" s="268"/>
      <c r="G931" s="268"/>
      <c r="H931" s="268"/>
      <c r="I931" s="268"/>
      <c r="J931" s="268"/>
      <c r="K931" s="268"/>
      <c r="L931" s="268"/>
      <c r="M931" s="268"/>
      <c r="N931" s="268"/>
      <c r="O931" s="268"/>
      <c r="P931" s="268"/>
      <c r="Q931" s="268"/>
      <c r="R931" s="268"/>
      <c r="S931" s="268"/>
      <c r="T931" s="268"/>
      <c r="U931" s="268"/>
      <c r="V931" s="268"/>
      <c r="W931" s="268"/>
      <c r="X931" s="268"/>
      <c r="Y931" s="268"/>
      <c r="Z931" s="268"/>
    </row>
    <row r="932" spans="1:26" ht="12.75" customHeight="1">
      <c r="A932" s="268"/>
      <c r="B932" s="268"/>
      <c r="C932" s="268"/>
      <c r="D932" s="268"/>
      <c r="E932" s="268"/>
      <c r="F932" s="268"/>
      <c r="G932" s="268"/>
      <c r="H932" s="268"/>
      <c r="I932" s="268"/>
      <c r="J932" s="268"/>
      <c r="K932" s="268"/>
      <c r="L932" s="268"/>
      <c r="M932" s="268"/>
      <c r="N932" s="268"/>
      <c r="O932" s="268"/>
      <c r="P932" s="268"/>
      <c r="Q932" s="268"/>
      <c r="R932" s="268"/>
      <c r="S932" s="268"/>
      <c r="T932" s="268"/>
      <c r="U932" s="268"/>
      <c r="V932" s="268"/>
      <c r="W932" s="268"/>
      <c r="X932" s="268"/>
      <c r="Y932" s="268"/>
      <c r="Z932" s="268"/>
    </row>
    <row r="933" spans="1:26" ht="12.75" customHeight="1">
      <c r="A933" s="268"/>
      <c r="B933" s="268"/>
      <c r="C933" s="268"/>
      <c r="D933" s="268"/>
      <c r="E933" s="268"/>
      <c r="F933" s="268"/>
      <c r="G933" s="268"/>
      <c r="H933" s="268"/>
      <c r="I933" s="268"/>
      <c r="J933" s="268"/>
      <c r="K933" s="268"/>
      <c r="L933" s="268"/>
      <c r="M933" s="268"/>
      <c r="N933" s="268"/>
      <c r="O933" s="268"/>
      <c r="P933" s="268"/>
      <c r="Q933" s="268"/>
      <c r="R933" s="268"/>
      <c r="S933" s="268"/>
      <c r="T933" s="268"/>
      <c r="U933" s="268"/>
      <c r="V933" s="268"/>
      <c r="W933" s="268"/>
      <c r="X933" s="268"/>
      <c r="Y933" s="268"/>
      <c r="Z933" s="268"/>
    </row>
    <row r="934" spans="1:26" ht="12.75" customHeight="1">
      <c r="A934" s="268"/>
      <c r="B934" s="268"/>
      <c r="C934" s="268"/>
      <c r="D934" s="268"/>
      <c r="E934" s="268"/>
      <c r="F934" s="268"/>
      <c r="G934" s="268"/>
      <c r="H934" s="268"/>
      <c r="I934" s="268"/>
      <c r="J934" s="268"/>
      <c r="K934" s="268"/>
      <c r="L934" s="268"/>
      <c r="M934" s="268"/>
      <c r="N934" s="268"/>
      <c r="O934" s="268"/>
      <c r="P934" s="268"/>
      <c r="Q934" s="268"/>
      <c r="R934" s="268"/>
      <c r="S934" s="268"/>
      <c r="T934" s="268"/>
      <c r="U934" s="268"/>
      <c r="V934" s="268"/>
      <c r="W934" s="268"/>
      <c r="X934" s="268"/>
      <c r="Y934" s="268"/>
      <c r="Z934" s="268"/>
    </row>
    <row r="935" spans="1:26" ht="12.75" customHeight="1">
      <c r="A935" s="268"/>
      <c r="B935" s="268"/>
      <c r="C935" s="268"/>
      <c r="D935" s="268"/>
      <c r="E935" s="268"/>
      <c r="F935" s="268"/>
      <c r="G935" s="268"/>
      <c r="H935" s="268"/>
      <c r="I935" s="268"/>
      <c r="J935" s="268"/>
      <c r="K935" s="268"/>
      <c r="L935" s="268"/>
      <c r="M935" s="268"/>
      <c r="N935" s="268"/>
      <c r="O935" s="268"/>
      <c r="P935" s="268"/>
      <c r="Q935" s="268"/>
      <c r="R935" s="268"/>
      <c r="S935" s="268"/>
      <c r="T935" s="268"/>
      <c r="U935" s="268"/>
      <c r="V935" s="268"/>
      <c r="W935" s="268"/>
      <c r="X935" s="268"/>
      <c r="Y935" s="268"/>
      <c r="Z935" s="268"/>
    </row>
    <row r="936" spans="1:26" ht="12.75" customHeight="1">
      <c r="A936" s="268"/>
      <c r="B936" s="268"/>
      <c r="C936" s="268"/>
      <c r="D936" s="268"/>
      <c r="E936" s="268"/>
      <c r="F936" s="268"/>
      <c r="G936" s="268"/>
      <c r="H936" s="268"/>
      <c r="I936" s="268"/>
      <c r="J936" s="268"/>
      <c r="K936" s="268"/>
      <c r="L936" s="268"/>
      <c r="M936" s="268"/>
      <c r="N936" s="268"/>
      <c r="O936" s="268"/>
      <c r="P936" s="268"/>
      <c r="Q936" s="268"/>
      <c r="R936" s="268"/>
      <c r="S936" s="268"/>
      <c r="T936" s="268"/>
      <c r="U936" s="268"/>
      <c r="V936" s="268"/>
      <c r="W936" s="268"/>
      <c r="X936" s="268"/>
      <c r="Y936" s="268"/>
      <c r="Z936" s="268"/>
    </row>
    <row r="937" spans="1:26" ht="12.75" customHeight="1">
      <c r="A937" s="268"/>
      <c r="B937" s="268"/>
      <c r="C937" s="268"/>
      <c r="D937" s="268"/>
      <c r="E937" s="268"/>
      <c r="F937" s="268"/>
      <c r="G937" s="268"/>
      <c r="H937" s="268"/>
      <c r="I937" s="268"/>
      <c r="J937" s="268"/>
      <c r="K937" s="268"/>
      <c r="L937" s="268"/>
      <c r="M937" s="268"/>
      <c r="N937" s="268"/>
      <c r="O937" s="268"/>
      <c r="P937" s="268"/>
      <c r="Q937" s="268"/>
      <c r="R937" s="268"/>
      <c r="S937" s="268"/>
      <c r="T937" s="268"/>
      <c r="U937" s="268"/>
      <c r="V937" s="268"/>
      <c r="W937" s="268"/>
      <c r="X937" s="268"/>
      <c r="Y937" s="268"/>
      <c r="Z937" s="268"/>
    </row>
    <row r="938" spans="1:26" ht="12.75" customHeight="1">
      <c r="A938" s="268"/>
      <c r="B938" s="268"/>
      <c r="C938" s="268"/>
      <c r="D938" s="268"/>
      <c r="E938" s="268"/>
      <c r="F938" s="268"/>
      <c r="G938" s="268"/>
      <c r="H938" s="268"/>
      <c r="I938" s="268"/>
      <c r="J938" s="268"/>
      <c r="K938" s="268"/>
      <c r="L938" s="268"/>
      <c r="M938" s="268"/>
      <c r="N938" s="268"/>
      <c r="O938" s="268"/>
      <c r="P938" s="268"/>
      <c r="Q938" s="268"/>
      <c r="R938" s="268"/>
      <c r="S938" s="268"/>
      <c r="T938" s="268"/>
      <c r="U938" s="268"/>
      <c r="V938" s="268"/>
      <c r="W938" s="268"/>
      <c r="X938" s="268"/>
      <c r="Y938" s="268"/>
      <c r="Z938" s="268"/>
    </row>
    <row r="939" spans="1:26" ht="12.75" customHeight="1">
      <c r="A939" s="268"/>
      <c r="B939" s="268"/>
      <c r="C939" s="268"/>
      <c r="D939" s="268"/>
      <c r="E939" s="268"/>
      <c r="F939" s="268"/>
      <c r="G939" s="268"/>
      <c r="H939" s="268"/>
      <c r="I939" s="268"/>
      <c r="J939" s="268"/>
      <c r="K939" s="268"/>
      <c r="L939" s="268"/>
      <c r="M939" s="268"/>
      <c r="N939" s="268"/>
      <c r="O939" s="268"/>
      <c r="P939" s="268"/>
      <c r="Q939" s="268"/>
      <c r="R939" s="268"/>
      <c r="S939" s="268"/>
      <c r="T939" s="268"/>
      <c r="U939" s="268"/>
      <c r="V939" s="268"/>
      <c r="W939" s="268"/>
      <c r="X939" s="268"/>
      <c r="Y939" s="268"/>
      <c r="Z939" s="268"/>
    </row>
    <row r="940" spans="1:26" ht="12.75" customHeight="1">
      <c r="A940" s="268"/>
      <c r="B940" s="268"/>
      <c r="C940" s="268"/>
      <c r="D940" s="268"/>
      <c r="E940" s="268"/>
      <c r="F940" s="268"/>
      <c r="G940" s="268"/>
      <c r="H940" s="268"/>
      <c r="I940" s="268"/>
      <c r="J940" s="268"/>
      <c r="K940" s="268"/>
      <c r="L940" s="268"/>
      <c r="M940" s="268"/>
      <c r="N940" s="268"/>
      <c r="O940" s="268"/>
      <c r="P940" s="268"/>
      <c r="Q940" s="268"/>
      <c r="R940" s="268"/>
      <c r="S940" s="268"/>
      <c r="T940" s="268"/>
      <c r="U940" s="268"/>
      <c r="V940" s="268"/>
      <c r="W940" s="268"/>
      <c r="X940" s="268"/>
      <c r="Y940" s="268"/>
      <c r="Z940" s="268"/>
    </row>
    <row r="941" spans="1:26" ht="12.75" customHeight="1">
      <c r="A941" s="268"/>
      <c r="B941" s="268"/>
      <c r="C941" s="268"/>
      <c r="D941" s="268"/>
      <c r="E941" s="268"/>
      <c r="F941" s="268"/>
      <c r="G941" s="268"/>
      <c r="H941" s="268"/>
      <c r="I941" s="268"/>
      <c r="J941" s="268"/>
      <c r="K941" s="268"/>
      <c r="L941" s="268"/>
      <c r="M941" s="268"/>
      <c r="N941" s="268"/>
      <c r="O941" s="268"/>
      <c r="P941" s="268"/>
      <c r="Q941" s="268"/>
      <c r="R941" s="268"/>
      <c r="S941" s="268"/>
      <c r="T941" s="268"/>
      <c r="U941" s="268"/>
      <c r="V941" s="268"/>
      <c r="W941" s="268"/>
      <c r="X941" s="268"/>
      <c r="Y941" s="268"/>
      <c r="Z941" s="268"/>
    </row>
    <row r="942" spans="1:26" ht="12.75" customHeight="1">
      <c r="A942" s="268"/>
      <c r="B942" s="268"/>
      <c r="C942" s="268"/>
      <c r="D942" s="268"/>
      <c r="E942" s="268"/>
      <c r="F942" s="268"/>
      <c r="G942" s="268"/>
      <c r="H942" s="268"/>
      <c r="I942" s="268"/>
      <c r="J942" s="268"/>
      <c r="K942" s="268"/>
      <c r="L942" s="268"/>
      <c r="M942" s="268"/>
      <c r="N942" s="268"/>
      <c r="O942" s="268"/>
      <c r="P942" s="268"/>
      <c r="Q942" s="268"/>
      <c r="R942" s="268"/>
      <c r="S942" s="268"/>
      <c r="T942" s="268"/>
      <c r="U942" s="268"/>
      <c r="V942" s="268"/>
      <c r="W942" s="268"/>
      <c r="X942" s="268"/>
      <c r="Y942" s="268"/>
      <c r="Z942" s="268"/>
    </row>
    <row r="943" spans="1:26" ht="12.75" customHeight="1">
      <c r="A943" s="268"/>
      <c r="B943" s="268"/>
      <c r="C943" s="268"/>
      <c r="D943" s="268"/>
      <c r="E943" s="268"/>
      <c r="F943" s="268"/>
      <c r="G943" s="268"/>
      <c r="H943" s="268"/>
      <c r="I943" s="268"/>
      <c r="J943" s="268"/>
      <c r="K943" s="268"/>
      <c r="L943" s="268"/>
      <c r="M943" s="268"/>
      <c r="N943" s="268"/>
      <c r="O943" s="268"/>
      <c r="P943" s="268"/>
      <c r="Q943" s="268"/>
      <c r="R943" s="268"/>
      <c r="S943" s="268"/>
      <c r="T943" s="268"/>
      <c r="U943" s="268"/>
      <c r="V943" s="268"/>
      <c r="W943" s="268"/>
      <c r="X943" s="268"/>
      <c r="Y943" s="268"/>
      <c r="Z943" s="268"/>
    </row>
    <row r="944" spans="1:26" ht="12.75" customHeight="1">
      <c r="A944" s="268"/>
      <c r="B944" s="268"/>
      <c r="C944" s="268"/>
      <c r="D944" s="268"/>
      <c r="E944" s="268"/>
      <c r="F944" s="268"/>
      <c r="G944" s="268"/>
      <c r="H944" s="268"/>
      <c r="I944" s="268"/>
      <c r="J944" s="268"/>
      <c r="K944" s="268"/>
      <c r="L944" s="268"/>
      <c r="M944" s="268"/>
      <c r="N944" s="268"/>
      <c r="O944" s="268"/>
      <c r="P944" s="268"/>
      <c r="Q944" s="268"/>
      <c r="R944" s="268"/>
      <c r="S944" s="268"/>
      <c r="T944" s="268"/>
      <c r="U944" s="268"/>
      <c r="V944" s="268"/>
      <c r="W944" s="268"/>
      <c r="X944" s="268"/>
      <c r="Y944" s="268"/>
      <c r="Z944" s="268"/>
    </row>
    <row r="945" spans="1:26" ht="12.75" customHeight="1">
      <c r="A945" s="268"/>
      <c r="B945" s="268"/>
      <c r="C945" s="268"/>
      <c r="D945" s="268"/>
      <c r="E945" s="268"/>
      <c r="F945" s="268"/>
      <c r="G945" s="268"/>
      <c r="H945" s="268"/>
      <c r="I945" s="268"/>
      <c r="J945" s="268"/>
      <c r="K945" s="268"/>
      <c r="L945" s="268"/>
      <c r="M945" s="268"/>
      <c r="N945" s="268"/>
      <c r="O945" s="268"/>
      <c r="P945" s="268"/>
      <c r="Q945" s="268"/>
      <c r="R945" s="268"/>
      <c r="S945" s="268"/>
      <c r="T945" s="268"/>
      <c r="U945" s="268"/>
      <c r="V945" s="268"/>
      <c r="W945" s="268"/>
      <c r="X945" s="268"/>
      <c r="Y945" s="268"/>
      <c r="Z945" s="268"/>
    </row>
    <row r="946" spans="1:26" ht="12.75" customHeight="1">
      <c r="A946" s="268"/>
      <c r="B946" s="268"/>
      <c r="C946" s="268"/>
      <c r="D946" s="268"/>
      <c r="E946" s="268"/>
      <c r="F946" s="268"/>
      <c r="G946" s="268"/>
      <c r="H946" s="268"/>
      <c r="I946" s="268"/>
      <c r="J946" s="268"/>
      <c r="K946" s="268"/>
      <c r="L946" s="268"/>
      <c r="M946" s="268"/>
      <c r="N946" s="268"/>
      <c r="O946" s="268"/>
      <c r="P946" s="268"/>
      <c r="Q946" s="268"/>
      <c r="R946" s="268"/>
      <c r="S946" s="268"/>
      <c r="T946" s="268"/>
      <c r="U946" s="268"/>
      <c r="V946" s="268"/>
      <c r="W946" s="268"/>
      <c r="X946" s="268"/>
      <c r="Y946" s="268"/>
      <c r="Z946" s="268"/>
    </row>
    <row r="947" spans="1:26" ht="12.75" customHeight="1">
      <c r="A947" s="268"/>
      <c r="B947" s="268"/>
      <c r="C947" s="268"/>
      <c r="D947" s="268"/>
      <c r="E947" s="268"/>
      <c r="F947" s="268"/>
      <c r="G947" s="268"/>
      <c r="H947" s="268"/>
      <c r="I947" s="268"/>
      <c r="J947" s="268"/>
      <c r="K947" s="268"/>
      <c r="L947" s="268"/>
      <c r="M947" s="268"/>
      <c r="N947" s="268"/>
      <c r="O947" s="268"/>
      <c r="P947" s="268"/>
      <c r="Q947" s="268"/>
      <c r="R947" s="268"/>
      <c r="S947" s="268"/>
      <c r="T947" s="268"/>
      <c r="U947" s="268"/>
      <c r="V947" s="268"/>
      <c r="W947" s="268"/>
      <c r="X947" s="268"/>
      <c r="Y947" s="268"/>
      <c r="Z947" s="268"/>
    </row>
    <row r="948" spans="1:26" ht="12.75" customHeight="1">
      <c r="A948" s="268"/>
      <c r="B948" s="268"/>
      <c r="C948" s="268"/>
      <c r="D948" s="268"/>
      <c r="E948" s="268"/>
      <c r="F948" s="268"/>
      <c r="G948" s="268"/>
      <c r="H948" s="268"/>
      <c r="I948" s="268"/>
      <c r="J948" s="268"/>
      <c r="K948" s="268"/>
      <c r="L948" s="268"/>
      <c r="M948" s="268"/>
      <c r="N948" s="268"/>
      <c r="O948" s="268"/>
      <c r="P948" s="268"/>
      <c r="Q948" s="268"/>
      <c r="R948" s="268"/>
      <c r="S948" s="268"/>
      <c r="T948" s="268"/>
      <c r="U948" s="268"/>
      <c r="V948" s="268"/>
      <c r="W948" s="268"/>
      <c r="X948" s="268"/>
      <c r="Y948" s="268"/>
      <c r="Z948" s="268"/>
    </row>
    <row r="949" spans="1:26" ht="12.75" customHeight="1">
      <c r="A949" s="268"/>
      <c r="B949" s="268"/>
      <c r="C949" s="268"/>
      <c r="D949" s="268"/>
      <c r="E949" s="268"/>
      <c r="F949" s="268"/>
      <c r="G949" s="268"/>
      <c r="H949" s="268"/>
      <c r="I949" s="268"/>
      <c r="J949" s="268"/>
      <c r="K949" s="268"/>
      <c r="L949" s="268"/>
      <c r="M949" s="268"/>
      <c r="N949" s="268"/>
      <c r="O949" s="268"/>
      <c r="P949" s="268"/>
      <c r="Q949" s="268"/>
      <c r="R949" s="268"/>
      <c r="S949" s="268"/>
      <c r="T949" s="268"/>
      <c r="U949" s="268"/>
      <c r="V949" s="268"/>
      <c r="W949" s="268"/>
      <c r="X949" s="268"/>
      <c r="Y949" s="268"/>
      <c r="Z949" s="268"/>
    </row>
    <row r="950" spans="1:26" ht="12.75" customHeight="1">
      <c r="A950" s="268"/>
      <c r="B950" s="268"/>
      <c r="C950" s="268"/>
      <c r="D950" s="268"/>
      <c r="E950" s="268"/>
      <c r="F950" s="268"/>
      <c r="G950" s="268"/>
      <c r="H950" s="268"/>
      <c r="I950" s="268"/>
      <c r="J950" s="268"/>
      <c r="K950" s="268"/>
      <c r="L950" s="268"/>
      <c r="M950" s="268"/>
      <c r="N950" s="268"/>
      <c r="O950" s="268"/>
      <c r="P950" s="268"/>
      <c r="Q950" s="268"/>
      <c r="R950" s="268"/>
      <c r="S950" s="268"/>
      <c r="T950" s="268"/>
      <c r="U950" s="268"/>
      <c r="V950" s="268"/>
      <c r="W950" s="268"/>
      <c r="X950" s="268"/>
      <c r="Y950" s="268"/>
      <c r="Z950" s="268"/>
    </row>
    <row r="951" spans="1:26" ht="12.75" customHeight="1">
      <c r="A951" s="268"/>
      <c r="B951" s="268"/>
      <c r="C951" s="268"/>
      <c r="D951" s="268"/>
      <c r="E951" s="268"/>
      <c r="F951" s="268"/>
      <c r="G951" s="268"/>
      <c r="H951" s="268"/>
      <c r="I951" s="268"/>
      <c r="J951" s="268"/>
      <c r="K951" s="268"/>
      <c r="L951" s="268"/>
      <c r="M951" s="268"/>
      <c r="N951" s="268"/>
      <c r="O951" s="268"/>
      <c r="P951" s="268"/>
      <c r="Q951" s="268"/>
      <c r="R951" s="268"/>
      <c r="S951" s="268"/>
      <c r="T951" s="268"/>
      <c r="U951" s="268"/>
      <c r="V951" s="268"/>
      <c r="W951" s="268"/>
      <c r="X951" s="268"/>
      <c r="Y951" s="268"/>
      <c r="Z951" s="268"/>
    </row>
    <row r="952" spans="1:26" ht="12.75" customHeight="1">
      <c r="A952" s="268"/>
      <c r="B952" s="268"/>
      <c r="C952" s="268"/>
      <c r="D952" s="268"/>
      <c r="E952" s="268"/>
      <c r="F952" s="268"/>
      <c r="G952" s="268"/>
      <c r="H952" s="268"/>
      <c r="I952" s="268"/>
      <c r="J952" s="268"/>
      <c r="K952" s="268"/>
      <c r="L952" s="268"/>
      <c r="M952" s="268"/>
      <c r="N952" s="268"/>
      <c r="O952" s="268"/>
      <c r="P952" s="268"/>
      <c r="Q952" s="268"/>
      <c r="R952" s="268"/>
      <c r="S952" s="268"/>
      <c r="T952" s="268"/>
      <c r="U952" s="268"/>
      <c r="V952" s="268"/>
      <c r="W952" s="268"/>
      <c r="X952" s="268"/>
      <c r="Y952" s="268"/>
      <c r="Z952" s="268"/>
    </row>
    <row r="953" spans="1:26" ht="12.75" customHeight="1">
      <c r="A953" s="268"/>
      <c r="B953" s="268"/>
      <c r="C953" s="268"/>
      <c r="D953" s="268"/>
      <c r="E953" s="268"/>
      <c r="F953" s="268"/>
      <c r="G953" s="268"/>
      <c r="H953" s="268"/>
      <c r="I953" s="268"/>
      <c r="J953" s="268"/>
      <c r="K953" s="268"/>
      <c r="L953" s="268"/>
      <c r="M953" s="268"/>
      <c r="N953" s="268"/>
      <c r="O953" s="268"/>
      <c r="P953" s="268"/>
      <c r="Q953" s="268"/>
      <c r="R953" s="268"/>
      <c r="S953" s="268"/>
      <c r="T953" s="268"/>
      <c r="U953" s="268"/>
      <c r="V953" s="268"/>
      <c r="W953" s="268"/>
      <c r="X953" s="268"/>
      <c r="Y953" s="268"/>
      <c r="Z953" s="268"/>
    </row>
    <row r="954" spans="1:26" ht="12.75" customHeight="1">
      <c r="A954" s="268"/>
      <c r="B954" s="268"/>
      <c r="C954" s="268"/>
      <c r="D954" s="268"/>
      <c r="E954" s="268"/>
      <c r="F954" s="268"/>
      <c r="G954" s="268"/>
      <c r="H954" s="268"/>
      <c r="I954" s="268"/>
      <c r="J954" s="268"/>
      <c r="K954" s="268"/>
      <c r="L954" s="268"/>
      <c r="M954" s="268"/>
      <c r="N954" s="268"/>
      <c r="O954" s="268"/>
      <c r="P954" s="268"/>
      <c r="Q954" s="268"/>
      <c r="R954" s="268"/>
      <c r="S954" s="268"/>
      <c r="T954" s="268"/>
      <c r="U954" s="268"/>
      <c r="V954" s="268"/>
      <c r="W954" s="268"/>
      <c r="X954" s="268"/>
      <c r="Y954" s="268"/>
      <c r="Z954" s="268"/>
    </row>
    <row r="955" spans="1:26" ht="12.75" customHeight="1">
      <c r="A955" s="268"/>
      <c r="B955" s="268"/>
      <c r="C955" s="268"/>
      <c r="D955" s="268"/>
      <c r="E955" s="268"/>
      <c r="F955" s="268"/>
      <c r="G955" s="268"/>
      <c r="H955" s="268"/>
      <c r="I955" s="268"/>
      <c r="J955" s="268"/>
      <c r="K955" s="268"/>
      <c r="L955" s="268"/>
      <c r="M955" s="268"/>
      <c r="N955" s="268"/>
      <c r="O955" s="268"/>
      <c r="P955" s="268"/>
      <c r="Q955" s="268"/>
      <c r="R955" s="268"/>
      <c r="S955" s="268"/>
      <c r="T955" s="268"/>
      <c r="U955" s="268"/>
      <c r="V955" s="268"/>
      <c r="W955" s="268"/>
      <c r="X955" s="268"/>
      <c r="Y955" s="268"/>
      <c r="Z955" s="268"/>
    </row>
    <row r="956" spans="1:26" ht="12.75" customHeight="1">
      <c r="A956" s="268"/>
      <c r="B956" s="268"/>
      <c r="C956" s="268"/>
      <c r="D956" s="268"/>
      <c r="E956" s="268"/>
      <c r="F956" s="268"/>
      <c r="G956" s="268"/>
      <c r="H956" s="268"/>
      <c r="I956" s="268"/>
      <c r="J956" s="268"/>
      <c r="K956" s="268"/>
      <c r="L956" s="268"/>
      <c r="M956" s="268"/>
      <c r="N956" s="268"/>
      <c r="O956" s="268"/>
      <c r="P956" s="268"/>
      <c r="Q956" s="268"/>
      <c r="R956" s="268"/>
      <c r="S956" s="268"/>
      <c r="T956" s="268"/>
      <c r="U956" s="268"/>
      <c r="V956" s="268"/>
      <c r="W956" s="268"/>
      <c r="X956" s="268"/>
      <c r="Y956" s="268"/>
      <c r="Z956" s="268"/>
    </row>
    <row r="957" spans="1:26" ht="12.75" customHeight="1">
      <c r="A957" s="268"/>
      <c r="B957" s="268"/>
      <c r="C957" s="268"/>
      <c r="D957" s="268"/>
      <c r="E957" s="268"/>
      <c r="F957" s="268"/>
      <c r="G957" s="268"/>
      <c r="H957" s="268"/>
      <c r="I957" s="268"/>
      <c r="J957" s="268"/>
      <c r="K957" s="268"/>
      <c r="L957" s="268"/>
      <c r="M957" s="268"/>
      <c r="N957" s="268"/>
      <c r="O957" s="268"/>
      <c r="P957" s="268"/>
      <c r="Q957" s="268"/>
      <c r="R957" s="268"/>
      <c r="S957" s="268"/>
      <c r="T957" s="268"/>
      <c r="U957" s="268"/>
      <c r="V957" s="268"/>
      <c r="W957" s="268"/>
      <c r="X957" s="268"/>
      <c r="Y957" s="268"/>
      <c r="Z957" s="268"/>
    </row>
    <row r="958" spans="1:26" ht="12.75" customHeight="1">
      <c r="A958" s="268"/>
      <c r="B958" s="268"/>
      <c r="C958" s="268"/>
      <c r="D958" s="268"/>
      <c r="E958" s="268"/>
      <c r="F958" s="268"/>
      <c r="G958" s="268"/>
      <c r="H958" s="268"/>
      <c r="I958" s="268"/>
      <c r="J958" s="268"/>
      <c r="K958" s="268"/>
      <c r="L958" s="268"/>
      <c r="M958" s="268"/>
      <c r="N958" s="268"/>
      <c r="O958" s="268"/>
      <c r="P958" s="268"/>
      <c r="Q958" s="268"/>
      <c r="R958" s="268"/>
      <c r="S958" s="268"/>
      <c r="T958" s="268"/>
      <c r="U958" s="268"/>
      <c r="V958" s="268"/>
      <c r="W958" s="268"/>
      <c r="X958" s="268"/>
      <c r="Y958" s="268"/>
      <c r="Z958" s="268"/>
    </row>
    <row r="959" spans="1:26" ht="12.75" customHeight="1">
      <c r="A959" s="268"/>
      <c r="B959" s="268"/>
      <c r="C959" s="268"/>
      <c r="D959" s="268"/>
      <c r="E959" s="268"/>
      <c r="F959" s="268"/>
      <c r="G959" s="268"/>
      <c r="H959" s="268"/>
      <c r="I959" s="268"/>
      <c r="J959" s="268"/>
      <c r="K959" s="268"/>
      <c r="L959" s="268"/>
      <c r="M959" s="268"/>
      <c r="N959" s="268"/>
      <c r="O959" s="268"/>
      <c r="P959" s="268"/>
      <c r="Q959" s="268"/>
      <c r="R959" s="268"/>
      <c r="S959" s="268"/>
      <c r="T959" s="268"/>
      <c r="U959" s="268"/>
      <c r="V959" s="268"/>
      <c r="W959" s="268"/>
      <c r="X959" s="268"/>
      <c r="Y959" s="268"/>
      <c r="Z959" s="268"/>
    </row>
    <row r="960" spans="1:26" ht="12.75" customHeight="1">
      <c r="A960" s="268"/>
      <c r="B960" s="268"/>
      <c r="C960" s="268"/>
      <c r="D960" s="268"/>
      <c r="E960" s="268"/>
      <c r="F960" s="268"/>
      <c r="G960" s="268"/>
      <c r="H960" s="268"/>
      <c r="I960" s="268"/>
      <c r="J960" s="268"/>
      <c r="K960" s="268"/>
      <c r="L960" s="268"/>
      <c r="M960" s="268"/>
      <c r="N960" s="268"/>
      <c r="O960" s="268"/>
      <c r="P960" s="268"/>
      <c r="Q960" s="268"/>
      <c r="R960" s="268"/>
      <c r="S960" s="268"/>
      <c r="T960" s="268"/>
      <c r="U960" s="268"/>
      <c r="V960" s="268"/>
      <c r="W960" s="268"/>
      <c r="X960" s="268"/>
      <c r="Y960" s="268"/>
      <c r="Z960" s="268"/>
    </row>
    <row r="961" spans="1:26" ht="12.75" customHeight="1">
      <c r="A961" s="268"/>
      <c r="B961" s="268"/>
      <c r="C961" s="268"/>
      <c r="D961" s="268"/>
      <c r="E961" s="268"/>
      <c r="F961" s="268"/>
      <c r="G961" s="268"/>
      <c r="H961" s="268"/>
      <c r="I961" s="268"/>
      <c r="J961" s="268"/>
      <c r="K961" s="268"/>
      <c r="L961" s="268"/>
      <c r="M961" s="268"/>
      <c r="N961" s="268"/>
      <c r="O961" s="268"/>
      <c r="P961" s="268"/>
      <c r="Q961" s="268"/>
      <c r="R961" s="268"/>
      <c r="S961" s="268"/>
      <c r="T961" s="268"/>
      <c r="U961" s="268"/>
      <c r="V961" s="268"/>
      <c r="W961" s="268"/>
      <c r="X961" s="268"/>
      <c r="Y961" s="268"/>
      <c r="Z961" s="268"/>
    </row>
    <row r="962" spans="1:26" ht="12.75" customHeight="1">
      <c r="A962" s="268"/>
      <c r="B962" s="268"/>
      <c r="C962" s="268"/>
      <c r="D962" s="268"/>
      <c r="E962" s="268"/>
      <c r="F962" s="268"/>
      <c r="G962" s="268"/>
      <c r="H962" s="268"/>
      <c r="I962" s="268"/>
      <c r="J962" s="268"/>
      <c r="K962" s="268"/>
      <c r="L962" s="268"/>
      <c r="M962" s="268"/>
      <c r="N962" s="268"/>
      <c r="O962" s="268"/>
      <c r="P962" s="268"/>
      <c r="Q962" s="268"/>
      <c r="R962" s="268"/>
      <c r="S962" s="268"/>
      <c r="T962" s="268"/>
      <c r="U962" s="268"/>
      <c r="V962" s="268"/>
      <c r="W962" s="268"/>
      <c r="X962" s="268"/>
      <c r="Y962" s="268"/>
      <c r="Z962" s="268"/>
    </row>
    <row r="963" spans="1:26" ht="12.75" customHeight="1">
      <c r="A963" s="268"/>
      <c r="B963" s="268"/>
      <c r="C963" s="268"/>
      <c r="D963" s="268"/>
      <c r="E963" s="268"/>
      <c r="F963" s="268"/>
      <c r="G963" s="268"/>
      <c r="H963" s="268"/>
      <c r="I963" s="268"/>
      <c r="J963" s="268"/>
      <c r="K963" s="268"/>
      <c r="L963" s="268"/>
      <c r="M963" s="268"/>
      <c r="N963" s="268"/>
      <c r="O963" s="268"/>
      <c r="P963" s="268"/>
      <c r="Q963" s="268"/>
      <c r="R963" s="268"/>
      <c r="S963" s="268"/>
      <c r="T963" s="268"/>
      <c r="U963" s="268"/>
      <c r="V963" s="268"/>
      <c r="W963" s="268"/>
      <c r="X963" s="268"/>
      <c r="Y963" s="268"/>
      <c r="Z963" s="268"/>
    </row>
    <row r="964" spans="1:26" ht="12.75" customHeight="1">
      <c r="A964" s="268"/>
      <c r="B964" s="268"/>
      <c r="C964" s="268"/>
      <c r="D964" s="268"/>
      <c r="E964" s="268"/>
      <c r="F964" s="268"/>
      <c r="G964" s="268"/>
      <c r="H964" s="268"/>
      <c r="I964" s="268"/>
      <c r="J964" s="268"/>
      <c r="K964" s="268"/>
      <c r="L964" s="268"/>
      <c r="M964" s="268"/>
      <c r="N964" s="268"/>
      <c r="O964" s="268"/>
      <c r="P964" s="268"/>
      <c r="Q964" s="268"/>
      <c r="R964" s="268"/>
      <c r="S964" s="268"/>
      <c r="T964" s="268"/>
      <c r="U964" s="268"/>
      <c r="V964" s="268"/>
      <c r="W964" s="268"/>
      <c r="X964" s="268"/>
      <c r="Y964" s="268"/>
      <c r="Z964" s="268"/>
    </row>
    <row r="965" spans="1:26" ht="12.75" customHeight="1">
      <c r="A965" s="268"/>
      <c r="B965" s="268"/>
      <c r="C965" s="268"/>
      <c r="D965" s="268"/>
      <c r="E965" s="268"/>
      <c r="F965" s="268"/>
      <c r="G965" s="268"/>
      <c r="H965" s="268"/>
      <c r="I965" s="268"/>
      <c r="J965" s="268"/>
      <c r="K965" s="268"/>
      <c r="L965" s="268"/>
      <c r="M965" s="268"/>
      <c r="N965" s="268"/>
      <c r="O965" s="268"/>
      <c r="P965" s="268"/>
      <c r="Q965" s="268"/>
      <c r="R965" s="268"/>
      <c r="S965" s="268"/>
      <c r="T965" s="268"/>
      <c r="U965" s="268"/>
      <c r="V965" s="268"/>
      <c r="W965" s="268"/>
      <c r="X965" s="268"/>
      <c r="Y965" s="268"/>
      <c r="Z965" s="268"/>
    </row>
    <row r="966" spans="1:26" ht="12.75" customHeight="1">
      <c r="A966" s="268"/>
      <c r="B966" s="268"/>
      <c r="C966" s="268"/>
      <c r="D966" s="268"/>
      <c r="E966" s="268"/>
      <c r="F966" s="268"/>
      <c r="G966" s="268"/>
      <c r="H966" s="268"/>
      <c r="I966" s="268"/>
      <c r="J966" s="268"/>
      <c r="K966" s="268"/>
      <c r="L966" s="268"/>
      <c r="M966" s="268"/>
      <c r="N966" s="268"/>
      <c r="O966" s="268"/>
      <c r="P966" s="268"/>
      <c r="Q966" s="268"/>
      <c r="R966" s="268"/>
      <c r="S966" s="268"/>
      <c r="T966" s="268"/>
      <c r="U966" s="268"/>
      <c r="V966" s="268"/>
      <c r="W966" s="268"/>
      <c r="X966" s="268"/>
      <c r="Y966" s="268"/>
      <c r="Z966" s="268"/>
    </row>
    <row r="967" spans="1:26" ht="12.75" customHeight="1">
      <c r="A967" s="268"/>
      <c r="B967" s="268"/>
      <c r="C967" s="268"/>
      <c r="D967" s="268"/>
      <c r="E967" s="268"/>
      <c r="F967" s="268"/>
      <c r="G967" s="268"/>
      <c r="H967" s="268"/>
      <c r="I967" s="268"/>
      <c r="J967" s="268"/>
      <c r="K967" s="268"/>
      <c r="L967" s="268"/>
      <c r="M967" s="268"/>
      <c r="N967" s="268"/>
      <c r="O967" s="268"/>
      <c r="P967" s="268"/>
      <c r="Q967" s="268"/>
      <c r="R967" s="268"/>
      <c r="S967" s="268"/>
      <c r="T967" s="268"/>
      <c r="U967" s="268"/>
      <c r="V967" s="268"/>
      <c r="W967" s="268"/>
      <c r="X967" s="268"/>
      <c r="Y967" s="268"/>
      <c r="Z967" s="268"/>
    </row>
    <row r="968" spans="1:26" ht="12.75" customHeight="1">
      <c r="A968" s="268"/>
      <c r="B968" s="268"/>
      <c r="C968" s="268"/>
      <c r="D968" s="268"/>
      <c r="E968" s="268"/>
      <c r="F968" s="268"/>
      <c r="G968" s="268"/>
      <c r="H968" s="268"/>
      <c r="I968" s="268"/>
      <c r="J968" s="268"/>
      <c r="K968" s="268"/>
      <c r="L968" s="268"/>
      <c r="M968" s="268"/>
      <c r="N968" s="268"/>
      <c r="O968" s="268"/>
      <c r="P968" s="268"/>
      <c r="Q968" s="268"/>
      <c r="R968" s="268"/>
      <c r="S968" s="268"/>
      <c r="T968" s="268"/>
      <c r="U968" s="268"/>
      <c r="V968" s="268"/>
      <c r="W968" s="268"/>
      <c r="X968" s="268"/>
      <c r="Y968" s="268"/>
      <c r="Z968" s="268"/>
    </row>
    <row r="969" spans="1:26" ht="12.75" customHeight="1">
      <c r="A969" s="268"/>
      <c r="B969" s="268"/>
      <c r="C969" s="268"/>
      <c r="D969" s="268"/>
      <c r="E969" s="268"/>
      <c r="F969" s="268"/>
      <c r="G969" s="268"/>
      <c r="H969" s="268"/>
      <c r="I969" s="268"/>
      <c r="J969" s="268"/>
      <c r="K969" s="268"/>
      <c r="L969" s="268"/>
      <c r="M969" s="268"/>
      <c r="N969" s="268"/>
      <c r="O969" s="268"/>
      <c r="P969" s="268"/>
      <c r="Q969" s="268"/>
      <c r="R969" s="268"/>
      <c r="S969" s="268"/>
      <c r="T969" s="268"/>
      <c r="U969" s="268"/>
      <c r="V969" s="268"/>
      <c r="W969" s="268"/>
      <c r="X969" s="268"/>
      <c r="Y969" s="268"/>
      <c r="Z969" s="268"/>
    </row>
    <row r="970" spans="1:26" ht="12.75" customHeight="1">
      <c r="A970" s="268"/>
      <c r="B970" s="268"/>
      <c r="C970" s="268"/>
      <c r="D970" s="268"/>
      <c r="E970" s="268"/>
      <c r="F970" s="268"/>
      <c r="G970" s="268"/>
      <c r="H970" s="268"/>
      <c r="I970" s="268"/>
      <c r="J970" s="268"/>
      <c r="K970" s="268"/>
      <c r="L970" s="268"/>
      <c r="M970" s="268"/>
      <c r="N970" s="268"/>
      <c r="O970" s="268"/>
      <c r="P970" s="268"/>
      <c r="Q970" s="268"/>
      <c r="R970" s="268"/>
      <c r="S970" s="268"/>
      <c r="T970" s="268"/>
      <c r="U970" s="268"/>
      <c r="V970" s="268"/>
      <c r="W970" s="268"/>
      <c r="X970" s="268"/>
      <c r="Y970" s="268"/>
      <c r="Z970" s="268"/>
    </row>
    <row r="971" spans="1:26" ht="12.75" customHeight="1">
      <c r="A971" s="268"/>
      <c r="B971" s="268"/>
      <c r="C971" s="268"/>
      <c r="D971" s="268"/>
      <c r="E971" s="268"/>
      <c r="F971" s="268"/>
      <c r="G971" s="268"/>
      <c r="H971" s="268"/>
      <c r="I971" s="268"/>
      <c r="J971" s="268"/>
      <c r="K971" s="268"/>
      <c r="L971" s="268"/>
      <c r="M971" s="268"/>
      <c r="N971" s="268"/>
      <c r="O971" s="268"/>
      <c r="P971" s="268"/>
      <c r="Q971" s="268"/>
      <c r="R971" s="268"/>
      <c r="S971" s="268"/>
      <c r="T971" s="268"/>
      <c r="U971" s="268"/>
      <c r="V971" s="268"/>
      <c r="W971" s="268"/>
      <c r="X971" s="268"/>
      <c r="Y971" s="268"/>
      <c r="Z971" s="268"/>
    </row>
    <row r="972" spans="1:26" ht="12.75" customHeight="1">
      <c r="A972" s="268"/>
      <c r="B972" s="268"/>
      <c r="C972" s="268"/>
      <c r="D972" s="268"/>
      <c r="E972" s="268"/>
      <c r="F972" s="268"/>
      <c r="G972" s="268"/>
      <c r="H972" s="268"/>
      <c r="I972" s="268"/>
      <c r="J972" s="268"/>
      <c r="K972" s="268"/>
      <c r="L972" s="268"/>
      <c r="M972" s="268"/>
      <c r="N972" s="268"/>
      <c r="O972" s="268"/>
      <c r="P972" s="268"/>
      <c r="Q972" s="268"/>
      <c r="R972" s="268"/>
      <c r="S972" s="268"/>
      <c r="T972" s="268"/>
      <c r="U972" s="268"/>
      <c r="V972" s="268"/>
      <c r="W972" s="268"/>
      <c r="X972" s="268"/>
      <c r="Y972" s="268"/>
      <c r="Z972" s="268"/>
    </row>
    <row r="973" spans="1:26" ht="12.75" customHeight="1">
      <c r="A973" s="268"/>
      <c r="B973" s="268"/>
      <c r="C973" s="268"/>
      <c r="D973" s="268"/>
      <c r="E973" s="268"/>
      <c r="F973" s="268"/>
      <c r="G973" s="268"/>
      <c r="H973" s="268"/>
      <c r="I973" s="268"/>
      <c r="J973" s="268"/>
      <c r="K973" s="268"/>
      <c r="L973" s="268"/>
      <c r="M973" s="268"/>
      <c r="N973" s="268"/>
      <c r="O973" s="268"/>
      <c r="P973" s="268"/>
      <c r="Q973" s="268"/>
      <c r="R973" s="268"/>
      <c r="S973" s="268"/>
      <c r="T973" s="268"/>
      <c r="U973" s="268"/>
      <c r="V973" s="268"/>
      <c r="W973" s="268"/>
      <c r="X973" s="268"/>
      <c r="Y973" s="268"/>
      <c r="Z973" s="268"/>
    </row>
    <row r="974" spans="1:26" ht="12.75" customHeight="1">
      <c r="A974" s="268"/>
      <c r="B974" s="268"/>
      <c r="C974" s="268"/>
      <c r="D974" s="268"/>
      <c r="E974" s="268"/>
      <c r="F974" s="268"/>
      <c r="G974" s="268"/>
      <c r="H974" s="268"/>
      <c r="I974" s="268"/>
      <c r="J974" s="268"/>
      <c r="K974" s="268"/>
      <c r="L974" s="268"/>
      <c r="M974" s="268"/>
      <c r="N974" s="268"/>
      <c r="O974" s="268"/>
      <c r="P974" s="268"/>
      <c r="Q974" s="268"/>
      <c r="R974" s="268"/>
      <c r="S974" s="268"/>
      <c r="T974" s="268"/>
      <c r="U974" s="268"/>
      <c r="V974" s="268"/>
      <c r="W974" s="268"/>
      <c r="X974" s="268"/>
      <c r="Y974" s="268"/>
      <c r="Z974" s="268"/>
    </row>
    <row r="975" spans="1:26" ht="12.75" customHeight="1">
      <c r="A975" s="268"/>
      <c r="B975" s="268"/>
      <c r="C975" s="268"/>
      <c r="D975" s="268"/>
      <c r="E975" s="268"/>
      <c r="F975" s="268"/>
      <c r="G975" s="268"/>
      <c r="H975" s="268"/>
      <c r="I975" s="268"/>
      <c r="J975" s="268"/>
      <c r="K975" s="268"/>
      <c r="L975" s="268"/>
      <c r="M975" s="268"/>
      <c r="N975" s="268"/>
      <c r="O975" s="268"/>
      <c r="P975" s="268"/>
      <c r="Q975" s="268"/>
      <c r="R975" s="268"/>
      <c r="S975" s="268"/>
      <c r="T975" s="268"/>
      <c r="U975" s="268"/>
      <c r="V975" s="268"/>
      <c r="W975" s="268"/>
      <c r="X975" s="268"/>
      <c r="Y975" s="268"/>
      <c r="Z975" s="268"/>
    </row>
    <row r="976" spans="1:26" ht="12.75" customHeight="1">
      <c r="A976" s="268"/>
      <c r="B976" s="268"/>
      <c r="C976" s="268"/>
      <c r="D976" s="268"/>
      <c r="E976" s="268"/>
      <c r="F976" s="268"/>
      <c r="G976" s="268"/>
      <c r="H976" s="268"/>
      <c r="I976" s="268"/>
      <c r="J976" s="268"/>
      <c r="K976" s="268"/>
      <c r="L976" s="268"/>
      <c r="M976" s="268"/>
      <c r="N976" s="268"/>
      <c r="O976" s="268"/>
      <c r="P976" s="268"/>
      <c r="Q976" s="268"/>
      <c r="R976" s="268"/>
      <c r="S976" s="268"/>
      <c r="T976" s="268"/>
      <c r="U976" s="268"/>
      <c r="V976" s="268"/>
      <c r="W976" s="268"/>
      <c r="X976" s="268"/>
      <c r="Y976" s="268"/>
      <c r="Z976" s="268"/>
    </row>
    <row r="977" spans="1:26" ht="12.75" customHeight="1">
      <c r="A977" s="268"/>
      <c r="B977" s="268"/>
      <c r="C977" s="268"/>
      <c r="D977" s="268"/>
      <c r="E977" s="268"/>
      <c r="F977" s="268"/>
      <c r="G977" s="268"/>
      <c r="H977" s="268"/>
      <c r="I977" s="268"/>
      <c r="J977" s="268"/>
      <c r="K977" s="268"/>
      <c r="L977" s="268"/>
      <c r="M977" s="268"/>
      <c r="N977" s="268"/>
      <c r="O977" s="268"/>
      <c r="P977" s="268"/>
      <c r="Q977" s="268"/>
      <c r="R977" s="268"/>
      <c r="S977" s="268"/>
      <c r="T977" s="268"/>
      <c r="U977" s="268"/>
      <c r="V977" s="268"/>
      <c r="W977" s="268"/>
      <c r="X977" s="268"/>
      <c r="Y977" s="268"/>
      <c r="Z977" s="268"/>
    </row>
    <row r="978" spans="1:26" ht="12.75" customHeight="1">
      <c r="A978" s="268"/>
      <c r="B978" s="268"/>
      <c r="C978" s="268"/>
      <c r="D978" s="268"/>
      <c r="E978" s="268"/>
      <c r="F978" s="268"/>
      <c r="G978" s="268"/>
      <c r="H978" s="268"/>
      <c r="I978" s="268"/>
      <c r="J978" s="268"/>
      <c r="K978" s="268"/>
      <c r="L978" s="268"/>
      <c r="M978" s="268"/>
      <c r="N978" s="268"/>
      <c r="O978" s="268"/>
      <c r="P978" s="268"/>
      <c r="Q978" s="268"/>
      <c r="R978" s="268"/>
      <c r="S978" s="268"/>
      <c r="T978" s="268"/>
      <c r="U978" s="268"/>
      <c r="V978" s="268"/>
      <c r="W978" s="268"/>
      <c r="X978" s="268"/>
      <c r="Y978" s="268"/>
      <c r="Z978" s="268"/>
    </row>
    <row r="979" spans="1:26" ht="12.75" customHeight="1">
      <c r="A979" s="268"/>
      <c r="B979" s="268"/>
      <c r="C979" s="268"/>
      <c r="D979" s="268"/>
      <c r="E979" s="268"/>
      <c r="F979" s="268"/>
      <c r="G979" s="268"/>
      <c r="H979" s="268"/>
      <c r="I979" s="268"/>
      <c r="J979" s="268"/>
      <c r="K979" s="268"/>
      <c r="L979" s="268"/>
      <c r="M979" s="268"/>
      <c r="N979" s="268"/>
      <c r="O979" s="268"/>
      <c r="P979" s="268"/>
      <c r="Q979" s="268"/>
      <c r="R979" s="268"/>
      <c r="S979" s="268"/>
      <c r="T979" s="268"/>
      <c r="U979" s="268"/>
      <c r="V979" s="268"/>
      <c r="W979" s="268"/>
      <c r="X979" s="268"/>
      <c r="Y979" s="268"/>
      <c r="Z979" s="268"/>
    </row>
    <row r="980" spans="1:26" ht="12.75" customHeight="1">
      <c r="A980" s="268"/>
      <c r="B980" s="268"/>
      <c r="C980" s="268"/>
      <c r="D980" s="268"/>
      <c r="E980" s="268"/>
      <c r="F980" s="268"/>
      <c r="G980" s="268"/>
      <c r="H980" s="268"/>
      <c r="I980" s="268"/>
      <c r="J980" s="268"/>
      <c r="K980" s="268"/>
      <c r="L980" s="268"/>
      <c r="M980" s="268"/>
      <c r="N980" s="268"/>
      <c r="O980" s="268"/>
      <c r="P980" s="268"/>
      <c r="Q980" s="268"/>
      <c r="R980" s="268"/>
      <c r="S980" s="268"/>
      <c r="T980" s="268"/>
      <c r="U980" s="268"/>
      <c r="V980" s="268"/>
      <c r="W980" s="268"/>
      <c r="X980" s="268"/>
      <c r="Y980" s="268"/>
      <c r="Z980" s="268"/>
    </row>
    <row r="981" spans="1:26" ht="12.75" customHeight="1">
      <c r="A981" s="268"/>
      <c r="B981" s="268"/>
      <c r="C981" s="268"/>
      <c r="D981" s="268"/>
      <c r="E981" s="268"/>
      <c r="F981" s="268"/>
      <c r="G981" s="268"/>
      <c r="H981" s="268"/>
      <c r="I981" s="268"/>
      <c r="J981" s="268"/>
      <c r="K981" s="268"/>
      <c r="L981" s="268"/>
      <c r="M981" s="268"/>
      <c r="N981" s="268"/>
      <c r="O981" s="268"/>
      <c r="P981" s="268"/>
      <c r="Q981" s="268"/>
      <c r="R981" s="268"/>
      <c r="S981" s="268"/>
      <c r="T981" s="268"/>
      <c r="U981" s="268"/>
      <c r="V981" s="268"/>
      <c r="W981" s="268"/>
      <c r="X981" s="268"/>
      <c r="Y981" s="268"/>
      <c r="Z981" s="268"/>
    </row>
    <row r="982" spans="1:26" ht="12.75" customHeight="1">
      <c r="A982" s="268"/>
      <c r="B982" s="268"/>
      <c r="C982" s="268"/>
      <c r="D982" s="268"/>
      <c r="E982" s="268"/>
      <c r="F982" s="268"/>
      <c r="G982" s="268"/>
      <c r="H982" s="268"/>
      <c r="I982" s="268"/>
      <c r="J982" s="268"/>
      <c r="K982" s="268"/>
      <c r="L982" s="268"/>
      <c r="M982" s="268"/>
      <c r="N982" s="268"/>
      <c r="O982" s="268"/>
      <c r="P982" s="268"/>
      <c r="Q982" s="268"/>
      <c r="R982" s="268"/>
      <c r="S982" s="268"/>
      <c r="T982" s="268"/>
      <c r="U982" s="268"/>
      <c r="V982" s="268"/>
      <c r="W982" s="268"/>
      <c r="X982" s="268"/>
      <c r="Y982" s="268"/>
      <c r="Z982" s="268"/>
    </row>
    <row r="983" spans="1:26" ht="12.75" customHeight="1">
      <c r="A983" s="268"/>
      <c r="B983" s="268"/>
      <c r="C983" s="268"/>
      <c r="D983" s="268"/>
      <c r="E983" s="268"/>
      <c r="F983" s="268"/>
      <c r="G983" s="268"/>
      <c r="H983" s="268"/>
      <c r="I983" s="268"/>
      <c r="J983" s="268"/>
      <c r="K983" s="268"/>
      <c r="L983" s="268"/>
      <c r="M983" s="268"/>
      <c r="N983" s="268"/>
      <c r="O983" s="268"/>
      <c r="P983" s="268"/>
      <c r="Q983" s="268"/>
      <c r="R983" s="268"/>
      <c r="S983" s="268"/>
      <c r="T983" s="268"/>
      <c r="U983" s="268"/>
      <c r="V983" s="268"/>
      <c r="W983" s="268"/>
      <c r="X983" s="268"/>
      <c r="Y983" s="268"/>
      <c r="Z983" s="268"/>
    </row>
    <row r="984" spans="1:26" ht="12.75" customHeight="1">
      <c r="A984" s="268"/>
      <c r="B984" s="268"/>
      <c r="C984" s="268"/>
      <c r="D984" s="268"/>
      <c r="E984" s="268"/>
      <c r="F984" s="268"/>
      <c r="G984" s="268"/>
      <c r="H984" s="268"/>
      <c r="I984" s="268"/>
      <c r="J984" s="268"/>
      <c r="K984" s="268"/>
      <c r="L984" s="268"/>
      <c r="M984" s="268"/>
      <c r="N984" s="268"/>
      <c r="O984" s="268"/>
      <c r="P984" s="268"/>
      <c r="Q984" s="268"/>
      <c r="R984" s="268"/>
      <c r="S984" s="268"/>
      <c r="T984" s="268"/>
      <c r="U984" s="268"/>
      <c r="V984" s="268"/>
      <c r="W984" s="268"/>
      <c r="X984" s="268"/>
      <c r="Y984" s="268"/>
      <c r="Z984" s="268"/>
    </row>
    <row r="985" spans="1:26" ht="12.75" customHeight="1">
      <c r="A985" s="268"/>
      <c r="B985" s="268"/>
      <c r="C985" s="268"/>
      <c r="D985" s="268"/>
      <c r="E985" s="268"/>
      <c r="F985" s="268"/>
      <c r="G985" s="268"/>
      <c r="H985" s="268"/>
      <c r="I985" s="268"/>
      <c r="J985" s="268"/>
      <c r="K985" s="268"/>
      <c r="L985" s="268"/>
      <c r="M985" s="268"/>
      <c r="N985" s="268"/>
      <c r="O985" s="268"/>
      <c r="P985" s="268"/>
      <c r="Q985" s="268"/>
      <c r="R985" s="268"/>
      <c r="S985" s="268"/>
      <c r="T985" s="268"/>
      <c r="U985" s="268"/>
      <c r="V985" s="268"/>
      <c r="W985" s="268"/>
      <c r="X985" s="268"/>
      <c r="Y985" s="268"/>
      <c r="Z985" s="268"/>
    </row>
    <row r="986" spans="1:26" ht="12.75" customHeight="1">
      <c r="A986" s="268"/>
      <c r="B986" s="268"/>
      <c r="C986" s="268"/>
      <c r="D986" s="268"/>
      <c r="E986" s="268"/>
      <c r="F986" s="268"/>
      <c r="G986" s="268"/>
      <c r="H986" s="268"/>
      <c r="I986" s="268"/>
      <c r="J986" s="268"/>
      <c r="K986" s="268"/>
      <c r="L986" s="268"/>
      <c r="M986" s="268"/>
      <c r="N986" s="268"/>
      <c r="O986" s="268"/>
      <c r="P986" s="268"/>
      <c r="Q986" s="268"/>
      <c r="R986" s="268"/>
      <c r="S986" s="268"/>
      <c r="T986" s="268"/>
      <c r="U986" s="268"/>
      <c r="V986" s="268"/>
      <c r="W986" s="268"/>
      <c r="X986" s="268"/>
      <c r="Y986" s="268"/>
      <c r="Z986" s="268"/>
    </row>
    <row r="987" spans="1:26" ht="12.75" customHeight="1">
      <c r="A987" s="268"/>
      <c r="B987" s="268"/>
      <c r="C987" s="268"/>
      <c r="D987" s="268"/>
      <c r="E987" s="268"/>
      <c r="F987" s="268"/>
      <c r="G987" s="268"/>
      <c r="H987" s="268"/>
      <c r="I987" s="268"/>
      <c r="J987" s="268"/>
      <c r="K987" s="268"/>
      <c r="L987" s="268"/>
      <c r="M987" s="268"/>
      <c r="N987" s="268"/>
      <c r="O987" s="268"/>
      <c r="P987" s="268"/>
      <c r="Q987" s="268"/>
      <c r="R987" s="268"/>
      <c r="S987" s="268"/>
      <c r="T987" s="268"/>
      <c r="U987" s="268"/>
      <c r="V987" s="268"/>
      <c r="W987" s="268"/>
      <c r="X987" s="268"/>
      <c r="Y987" s="268"/>
      <c r="Z987" s="268"/>
    </row>
    <row r="988" spans="1:26" ht="12.75" customHeight="1">
      <c r="A988" s="268"/>
      <c r="B988" s="268"/>
      <c r="C988" s="268"/>
      <c r="D988" s="268"/>
      <c r="E988" s="268"/>
      <c r="F988" s="268"/>
      <c r="G988" s="268"/>
      <c r="H988" s="268"/>
      <c r="I988" s="268"/>
      <c r="J988" s="268"/>
      <c r="K988" s="268"/>
      <c r="L988" s="268"/>
      <c r="M988" s="268"/>
      <c r="N988" s="268"/>
      <c r="O988" s="268"/>
      <c r="P988" s="268"/>
      <c r="Q988" s="268"/>
      <c r="R988" s="268"/>
      <c r="S988" s="268"/>
      <c r="T988" s="268"/>
      <c r="U988" s="268"/>
      <c r="V988" s="268"/>
      <c r="W988" s="268"/>
      <c r="X988" s="268"/>
      <c r="Y988" s="268"/>
      <c r="Z988" s="268"/>
    </row>
    <row r="989" spans="1:26" ht="12.75" customHeight="1">
      <c r="A989" s="268"/>
      <c r="B989" s="268"/>
      <c r="C989" s="268"/>
      <c r="D989" s="268"/>
      <c r="E989" s="268"/>
      <c r="F989" s="268"/>
      <c r="G989" s="268"/>
      <c r="H989" s="268"/>
      <c r="I989" s="268"/>
      <c r="J989" s="268"/>
      <c r="K989" s="268"/>
      <c r="L989" s="268"/>
      <c r="M989" s="268"/>
      <c r="N989" s="268"/>
      <c r="O989" s="268"/>
      <c r="P989" s="268"/>
      <c r="Q989" s="268"/>
      <c r="R989" s="268"/>
      <c r="S989" s="268"/>
      <c r="T989" s="268"/>
      <c r="U989" s="268"/>
      <c r="V989" s="268"/>
      <c r="W989" s="268"/>
      <c r="X989" s="268"/>
      <c r="Y989" s="268"/>
      <c r="Z989" s="268"/>
    </row>
    <row r="990" spans="1:26" ht="12.75" customHeight="1">
      <c r="A990" s="268"/>
      <c r="B990" s="268"/>
      <c r="C990" s="268"/>
      <c r="D990" s="268"/>
      <c r="E990" s="268"/>
      <c r="F990" s="268"/>
      <c r="G990" s="268"/>
      <c r="H990" s="268"/>
      <c r="I990" s="268"/>
      <c r="J990" s="268"/>
      <c r="K990" s="268"/>
      <c r="L990" s="268"/>
      <c r="M990" s="268"/>
      <c r="N990" s="268"/>
      <c r="O990" s="268"/>
      <c r="P990" s="268"/>
      <c r="Q990" s="268"/>
      <c r="R990" s="268"/>
      <c r="S990" s="268"/>
      <c r="T990" s="268"/>
      <c r="U990" s="268"/>
      <c r="V990" s="268"/>
      <c r="W990" s="268"/>
      <c r="X990" s="268"/>
      <c r="Y990" s="268"/>
      <c r="Z990" s="268"/>
    </row>
    <row r="991" spans="1:26" ht="12.75" customHeight="1">
      <c r="A991" s="268"/>
      <c r="B991" s="268"/>
      <c r="C991" s="268"/>
      <c r="D991" s="268"/>
      <c r="E991" s="268"/>
      <c r="F991" s="268"/>
      <c r="G991" s="268"/>
      <c r="H991" s="268"/>
      <c r="I991" s="268"/>
      <c r="J991" s="268"/>
      <c r="K991" s="268"/>
      <c r="L991" s="268"/>
      <c r="M991" s="268"/>
      <c r="N991" s="268"/>
      <c r="O991" s="268"/>
      <c r="P991" s="268"/>
      <c r="Q991" s="268"/>
      <c r="R991" s="268"/>
      <c r="S991" s="268"/>
      <c r="T991" s="268"/>
      <c r="U991" s="268"/>
      <c r="V991" s="268"/>
      <c r="W991" s="268"/>
      <c r="X991" s="268"/>
      <c r="Y991" s="268"/>
      <c r="Z991" s="268"/>
    </row>
    <row r="992" spans="1:26" ht="12.75" customHeight="1">
      <c r="A992" s="268"/>
      <c r="B992" s="268"/>
      <c r="C992" s="268"/>
      <c r="D992" s="268"/>
      <c r="E992" s="268"/>
      <c r="F992" s="268"/>
      <c r="G992" s="268"/>
      <c r="H992" s="268"/>
      <c r="I992" s="268"/>
      <c r="J992" s="268"/>
      <c r="K992" s="268"/>
      <c r="L992" s="268"/>
      <c r="M992" s="268"/>
      <c r="N992" s="268"/>
      <c r="O992" s="268"/>
      <c r="P992" s="268"/>
      <c r="Q992" s="268"/>
      <c r="R992" s="268"/>
      <c r="S992" s="268"/>
      <c r="T992" s="268"/>
      <c r="U992" s="268"/>
      <c r="V992" s="268"/>
      <c r="W992" s="268"/>
      <c r="X992" s="268"/>
      <c r="Y992" s="268"/>
      <c r="Z992" s="268"/>
    </row>
    <row r="993" spans="1:26" ht="12.75" customHeight="1">
      <c r="A993" s="268"/>
      <c r="B993" s="268"/>
      <c r="C993" s="268"/>
      <c r="D993" s="268"/>
      <c r="E993" s="268"/>
      <c r="F993" s="268"/>
      <c r="G993" s="268"/>
      <c r="H993" s="268"/>
      <c r="I993" s="268"/>
      <c r="J993" s="268"/>
      <c r="K993" s="268"/>
      <c r="L993" s="268"/>
      <c r="M993" s="268"/>
      <c r="N993" s="268"/>
      <c r="O993" s="268"/>
      <c r="P993" s="268"/>
      <c r="Q993" s="268"/>
      <c r="R993" s="268"/>
      <c r="S993" s="268"/>
      <c r="T993" s="268"/>
      <c r="U993" s="268"/>
      <c r="V993" s="268"/>
      <c r="W993" s="268"/>
      <c r="X993" s="268"/>
      <c r="Y993" s="268"/>
      <c r="Z993" s="268"/>
    </row>
    <row r="994" spans="1:26" ht="12.75" customHeight="1">
      <c r="A994" s="268"/>
      <c r="B994" s="268"/>
      <c r="C994" s="268"/>
      <c r="D994" s="268"/>
      <c r="E994" s="268"/>
      <c r="F994" s="268"/>
      <c r="G994" s="268"/>
      <c r="H994" s="268"/>
      <c r="I994" s="268"/>
      <c r="J994" s="268"/>
      <c r="K994" s="268"/>
      <c r="L994" s="268"/>
      <c r="M994" s="268"/>
      <c r="N994" s="268"/>
      <c r="O994" s="268"/>
      <c r="P994" s="268"/>
      <c r="Q994" s="268"/>
      <c r="R994" s="268"/>
      <c r="S994" s="268"/>
      <c r="T994" s="268"/>
      <c r="U994" s="268"/>
      <c r="V994" s="268"/>
      <c r="W994" s="268"/>
      <c r="X994" s="268"/>
      <c r="Y994" s="268"/>
      <c r="Z994" s="268"/>
    </row>
    <row r="995" spans="1:26" ht="12.75" customHeight="1">
      <c r="A995" s="268"/>
      <c r="B995" s="268"/>
      <c r="C995" s="268"/>
      <c r="D995" s="268"/>
      <c r="E995" s="268"/>
      <c r="F995" s="268"/>
      <c r="G995" s="268"/>
      <c r="H995" s="268"/>
      <c r="I995" s="268"/>
      <c r="J995" s="268"/>
      <c r="K995" s="268"/>
      <c r="L995" s="268"/>
      <c r="M995" s="268"/>
      <c r="N995" s="268"/>
      <c r="O995" s="268"/>
      <c r="P995" s="268"/>
      <c r="Q995" s="268"/>
      <c r="R995" s="268"/>
      <c r="S995" s="268"/>
      <c r="T995" s="268"/>
      <c r="U995" s="268"/>
      <c r="V995" s="268"/>
      <c r="W995" s="268"/>
      <c r="X995" s="268"/>
      <c r="Y995" s="268"/>
      <c r="Z995" s="268"/>
    </row>
    <row r="996" spans="1:26" ht="12.75" customHeight="1">
      <c r="A996" s="268"/>
      <c r="B996" s="268"/>
      <c r="C996" s="268"/>
      <c r="D996" s="268"/>
      <c r="E996" s="268"/>
      <c r="F996" s="268"/>
      <c r="G996" s="268"/>
      <c r="H996" s="268"/>
      <c r="I996" s="268"/>
      <c r="J996" s="268"/>
      <c r="K996" s="268"/>
      <c r="L996" s="268"/>
      <c r="M996" s="268"/>
      <c r="N996" s="268"/>
      <c r="O996" s="268"/>
      <c r="P996" s="268"/>
      <c r="Q996" s="268"/>
      <c r="R996" s="268"/>
      <c r="S996" s="268"/>
      <c r="T996" s="268"/>
      <c r="U996" s="268"/>
      <c r="V996" s="268"/>
      <c r="W996" s="268"/>
      <c r="X996" s="268"/>
      <c r="Y996" s="268"/>
      <c r="Z996" s="268"/>
    </row>
    <row r="997" spans="1:26" ht="12.75" customHeight="1">
      <c r="A997" s="268"/>
      <c r="B997" s="268"/>
      <c r="C997" s="268"/>
      <c r="D997" s="268"/>
      <c r="E997" s="268"/>
      <c r="F997" s="268"/>
      <c r="G997" s="268"/>
      <c r="H997" s="268"/>
      <c r="I997" s="268"/>
      <c r="J997" s="268"/>
      <c r="K997" s="268"/>
      <c r="L997" s="268"/>
      <c r="M997" s="268"/>
      <c r="N997" s="268"/>
      <c r="O997" s="268"/>
      <c r="P997" s="268"/>
      <c r="Q997" s="268"/>
      <c r="R997" s="268"/>
      <c r="S997" s="268"/>
      <c r="T997" s="268"/>
      <c r="U997" s="268"/>
      <c r="V997" s="268"/>
      <c r="W997" s="268"/>
      <c r="X997" s="268"/>
      <c r="Y997" s="268"/>
      <c r="Z997" s="268"/>
    </row>
    <row r="998" spans="1:26" ht="12.75" customHeight="1">
      <c r="A998" s="268"/>
      <c r="B998" s="268"/>
      <c r="C998" s="268"/>
      <c r="D998" s="268"/>
      <c r="E998" s="268"/>
      <c r="F998" s="268"/>
      <c r="G998" s="268"/>
      <c r="H998" s="268"/>
      <c r="I998" s="268"/>
      <c r="J998" s="268"/>
      <c r="K998" s="268"/>
      <c r="L998" s="268"/>
      <c r="M998" s="268"/>
      <c r="N998" s="268"/>
      <c r="O998" s="268"/>
      <c r="P998" s="268"/>
      <c r="Q998" s="268"/>
      <c r="R998" s="268"/>
      <c r="S998" s="268"/>
      <c r="T998" s="268"/>
      <c r="U998" s="268"/>
      <c r="V998" s="268"/>
      <c r="W998" s="268"/>
      <c r="X998" s="268"/>
      <c r="Y998" s="268"/>
      <c r="Z998" s="268"/>
    </row>
    <row r="999" spans="1:26" ht="12.75" customHeight="1">
      <c r="A999" s="268"/>
      <c r="B999" s="268"/>
      <c r="C999" s="268"/>
      <c r="D999" s="268"/>
      <c r="E999" s="268"/>
      <c r="F999" s="268"/>
      <c r="G999" s="268"/>
      <c r="H999" s="268"/>
      <c r="I999" s="268"/>
      <c r="J999" s="268"/>
      <c r="K999" s="268"/>
      <c r="L999" s="268"/>
      <c r="M999" s="268"/>
      <c r="N999" s="268"/>
      <c r="O999" s="268"/>
      <c r="P999" s="268"/>
      <c r="Q999" s="268"/>
      <c r="R999" s="268"/>
      <c r="S999" s="268"/>
      <c r="T999" s="268"/>
      <c r="U999" s="268"/>
      <c r="V999" s="268"/>
      <c r="W999" s="268"/>
      <c r="X999" s="268"/>
      <c r="Y999" s="268"/>
      <c r="Z999" s="268"/>
    </row>
    <row r="1000" spans="1:26" ht="12.75" customHeight="1">
      <c r="A1000" s="268"/>
      <c r="B1000" s="268"/>
      <c r="C1000" s="268"/>
      <c r="D1000" s="268"/>
      <c r="E1000" s="268"/>
      <c r="F1000" s="268"/>
      <c r="G1000" s="268"/>
      <c r="H1000" s="268"/>
      <c r="I1000" s="268"/>
      <c r="J1000" s="268"/>
      <c r="K1000" s="268"/>
      <c r="L1000" s="268"/>
      <c r="M1000" s="268"/>
      <c r="N1000" s="268"/>
      <c r="O1000" s="268"/>
      <c r="P1000" s="268"/>
      <c r="Q1000" s="268"/>
      <c r="R1000" s="268"/>
      <c r="S1000" s="268"/>
      <c r="T1000" s="268"/>
      <c r="U1000" s="268"/>
      <c r="V1000" s="268"/>
      <c r="W1000" s="268"/>
      <c r="X1000" s="268"/>
      <c r="Y1000" s="268"/>
      <c r="Z1000" s="268"/>
    </row>
  </sheetData>
  <mergeCells count="7">
    <mergeCell ref="A8:A9"/>
    <mergeCell ref="B8:F8"/>
    <mergeCell ref="A1:F1"/>
    <mergeCell ref="A2:F2"/>
    <mergeCell ref="A3:F3"/>
    <mergeCell ref="A5:F5"/>
    <mergeCell ref="A6:F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selection sqref="A1:D1"/>
    </sheetView>
  </sheetViews>
  <sheetFormatPr baseColWidth="10" defaultColWidth="14.453125" defaultRowHeight="15" customHeight="1"/>
  <cols>
    <col min="1" max="1" width="25.7265625" customWidth="1"/>
    <col min="2" max="3" width="11.7265625" customWidth="1"/>
    <col min="4" max="4" width="29.26953125" customWidth="1"/>
    <col min="5" max="26" width="11.453125" customWidth="1"/>
  </cols>
  <sheetData>
    <row r="1" spans="1:26" ht="12.75" customHeight="1">
      <c r="A1" s="341" t="s">
        <v>1555</v>
      </c>
      <c r="B1" s="337"/>
      <c r="C1" s="337"/>
      <c r="D1" s="337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</row>
    <row r="2" spans="1:26" ht="12.75" customHeight="1">
      <c r="A2" s="341" t="s">
        <v>1556</v>
      </c>
      <c r="B2" s="337"/>
      <c r="C2" s="337"/>
      <c r="D2" s="337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</row>
    <row r="3" spans="1:26" ht="12.75" customHeight="1">
      <c r="A3" s="341" t="s">
        <v>1557</v>
      </c>
      <c r="B3" s="337"/>
      <c r="C3" s="337"/>
      <c r="D3" s="337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</row>
    <row r="4" spans="1:26" ht="12.75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</row>
    <row r="5" spans="1:26" ht="12.75" customHeight="1">
      <c r="A5" s="341" t="s">
        <v>1576</v>
      </c>
      <c r="B5" s="337"/>
      <c r="C5" s="337"/>
      <c r="D5" s="337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</row>
    <row r="6" spans="1:26" ht="12.75" customHeight="1">
      <c r="A6" s="341" t="s">
        <v>1577</v>
      </c>
      <c r="B6" s="337"/>
      <c r="C6" s="337"/>
      <c r="D6" s="337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</row>
    <row r="7" spans="1:26" ht="12.75" customHeight="1">
      <c r="A7" s="268"/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</row>
    <row r="8" spans="1:26" ht="12.75" customHeight="1">
      <c r="A8" s="342" t="s">
        <v>1362</v>
      </c>
      <c r="B8" s="344" t="s">
        <v>1578</v>
      </c>
      <c r="C8" s="345"/>
      <c r="D8" s="345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2.75" customHeight="1">
      <c r="A9" s="343"/>
      <c r="B9" s="269" t="s">
        <v>1561</v>
      </c>
      <c r="C9" s="270" t="s">
        <v>1562</v>
      </c>
      <c r="D9" s="269" t="s">
        <v>1579</v>
      </c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2.75" customHeight="1">
      <c r="A10" s="272"/>
      <c r="B10" s="272"/>
      <c r="C10" s="272"/>
      <c r="D10" s="272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2.75" customHeight="1">
      <c r="A11" s="272">
        <v>2013</v>
      </c>
      <c r="B11" s="277">
        <v>100</v>
      </c>
      <c r="C11" s="274"/>
      <c r="D11" s="292">
        <v>1</v>
      </c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</row>
    <row r="12" spans="1:26" ht="12.75" customHeight="1">
      <c r="A12" s="272">
        <f t="shared" ref="A12:A19" si="0">+A11+1</f>
        <v>2014</v>
      </c>
      <c r="B12" s="277">
        <v>102.6</v>
      </c>
      <c r="C12" s="293">
        <f t="shared" ref="C12:C22" si="1">(B12/B11)-1</f>
        <v>2.6000000000000023E-2</v>
      </c>
      <c r="D12" s="292">
        <v>0.97</v>
      </c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</row>
    <row r="13" spans="1:26" ht="12.75" customHeight="1">
      <c r="A13" s="272">
        <f t="shared" si="0"/>
        <v>2015</v>
      </c>
      <c r="B13" s="277">
        <v>102.8</v>
      </c>
      <c r="C13" s="293">
        <f t="shared" si="1"/>
        <v>1.9493177387914784E-3</v>
      </c>
      <c r="D13" s="292">
        <v>0.97</v>
      </c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</row>
    <row r="14" spans="1:26" ht="12.75" customHeight="1">
      <c r="A14" s="272">
        <f t="shared" si="0"/>
        <v>2016</v>
      </c>
      <c r="B14" s="277">
        <v>103.5</v>
      </c>
      <c r="C14" s="293">
        <f t="shared" si="1"/>
        <v>6.809338521400754E-3</v>
      </c>
      <c r="D14" s="292">
        <v>0.97</v>
      </c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</row>
    <row r="15" spans="1:26" ht="12.75" customHeight="1">
      <c r="A15" s="272">
        <f t="shared" si="0"/>
        <v>2017</v>
      </c>
      <c r="B15" s="277">
        <v>104.4</v>
      </c>
      <c r="C15" s="293">
        <f t="shared" si="1"/>
        <v>8.6956521739129933E-3</v>
      </c>
      <c r="D15" s="292">
        <v>0.96</v>
      </c>
      <c r="E15" s="268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</row>
    <row r="16" spans="1:26" ht="12.75" customHeight="1">
      <c r="A16" s="272">
        <f t="shared" si="0"/>
        <v>2018</v>
      </c>
      <c r="B16" s="277">
        <v>105.2</v>
      </c>
      <c r="C16" s="293">
        <f t="shared" si="1"/>
        <v>7.6628352490422103E-3</v>
      </c>
      <c r="D16" s="292">
        <v>0.95</v>
      </c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</row>
    <row r="17" spans="1:26" ht="12.75" customHeight="1">
      <c r="A17" s="272">
        <f t="shared" si="0"/>
        <v>2019</v>
      </c>
      <c r="B17" s="277">
        <v>104.9</v>
      </c>
      <c r="C17" s="293">
        <f t="shared" si="1"/>
        <v>-2.8517110266159662E-3</v>
      </c>
      <c r="D17" s="292">
        <v>0.95</v>
      </c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</row>
    <row r="18" spans="1:26" ht="12.75" customHeight="1">
      <c r="A18" s="272">
        <f t="shared" si="0"/>
        <v>2020</v>
      </c>
      <c r="B18" s="277">
        <v>103.2</v>
      </c>
      <c r="C18" s="293">
        <f t="shared" si="1"/>
        <v>-1.6205910390848399E-2</v>
      </c>
      <c r="D18" s="292">
        <v>0.97</v>
      </c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</row>
    <row r="19" spans="1:26" ht="12.75" customHeight="1">
      <c r="A19" s="272">
        <f t="shared" si="0"/>
        <v>2021</v>
      </c>
      <c r="B19" s="277">
        <v>104.9</v>
      </c>
      <c r="C19" s="293">
        <f t="shared" si="1"/>
        <v>1.6472868217054293E-2</v>
      </c>
      <c r="D19" s="292">
        <v>0.95</v>
      </c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</row>
    <row r="20" spans="1:26" ht="12.75" customHeight="1">
      <c r="A20" s="272">
        <v>2022</v>
      </c>
      <c r="B20" s="277">
        <v>107.9</v>
      </c>
      <c r="C20" s="293">
        <f t="shared" si="1"/>
        <v>2.8598665395614953E-2</v>
      </c>
      <c r="D20" s="292">
        <v>0.93</v>
      </c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</row>
    <row r="21" spans="1:26" ht="12.75" customHeight="1">
      <c r="A21" s="272">
        <v>2023</v>
      </c>
      <c r="B21" s="277">
        <v>109.5</v>
      </c>
      <c r="C21" s="293">
        <f t="shared" si="1"/>
        <v>1.4828544949026856E-2</v>
      </c>
      <c r="D21" s="292">
        <v>0.91</v>
      </c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</row>
    <row r="22" spans="1:26" ht="12.75" customHeight="1">
      <c r="A22" s="281">
        <v>2024</v>
      </c>
      <c r="B22" s="283">
        <v>110.3</v>
      </c>
      <c r="C22" s="294">
        <f t="shared" si="1"/>
        <v>7.3059360730594047E-3</v>
      </c>
      <c r="D22" s="295">
        <v>0.91</v>
      </c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</row>
    <row r="23" spans="1:26" ht="12.75" customHeight="1">
      <c r="A23" s="268"/>
      <c r="B23" s="276"/>
      <c r="C23" s="291"/>
      <c r="D23" s="276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</row>
    <row r="24" spans="1:26" ht="12.75" customHeight="1">
      <c r="A24" s="268" t="s">
        <v>1570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</row>
    <row r="25" spans="1:26" ht="12.75" customHeight="1">
      <c r="A25" s="268" t="s">
        <v>1571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</row>
    <row r="26" spans="1:26" ht="12.75" customHeight="1">
      <c r="A26" s="268" t="s">
        <v>1572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</row>
    <row r="27" spans="1:26" ht="12.75" customHeight="1">
      <c r="A27" s="268" t="s">
        <v>1573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</row>
    <row r="28" spans="1:26" ht="12.75" customHeight="1">
      <c r="A28" s="268" t="s">
        <v>1574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</row>
    <row r="29" spans="1:26" ht="12.75" customHeight="1">
      <c r="A29" s="268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</row>
    <row r="30" spans="1:26" ht="12.75" customHeight="1">
      <c r="A30" s="268" t="s">
        <v>1575</v>
      </c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</row>
    <row r="31" spans="1:26" ht="12.75" customHeight="1">
      <c r="A31" s="268"/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</row>
    <row r="32" spans="1:26" ht="12.75" customHeight="1">
      <c r="A32" s="268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</row>
    <row r="33" spans="1:26" ht="12.75" customHeight="1">
      <c r="A33" s="268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</row>
    <row r="34" spans="1:26" ht="12.75" customHeight="1">
      <c r="A34" s="268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</row>
    <row r="35" spans="1:26" ht="12.75" customHeight="1">
      <c r="A35" s="268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</row>
    <row r="36" spans="1:26" ht="12.75" customHeight="1">
      <c r="A36" s="268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</row>
    <row r="37" spans="1:26" ht="12.75" customHeight="1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</row>
    <row r="38" spans="1:26" ht="12.75" customHeight="1">
      <c r="A38" s="268"/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</row>
    <row r="39" spans="1:26" ht="12.75" customHeight="1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</row>
    <row r="40" spans="1:26" ht="12.75" customHeight="1">
      <c r="A40" s="268"/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</row>
    <row r="41" spans="1:26" ht="12.75" customHeight="1">
      <c r="A41" s="268"/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</row>
    <row r="42" spans="1:26" ht="12.75" customHeight="1">
      <c r="A42" s="268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</row>
    <row r="43" spans="1:26" ht="12.75" customHeight="1">
      <c r="A43" s="268"/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</row>
    <row r="44" spans="1:26" ht="12.75" customHeight="1">
      <c r="A44" s="268"/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</row>
    <row r="45" spans="1:26" ht="12.75" customHeight="1">
      <c r="A45" s="268"/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</row>
    <row r="46" spans="1:26" ht="12.75" customHeight="1">
      <c r="A46" s="268"/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</row>
    <row r="47" spans="1:26" ht="12.75" customHeight="1">
      <c r="A47" s="268"/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</row>
    <row r="48" spans="1:26" ht="12.75" customHeight="1">
      <c r="A48" s="268"/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</row>
    <row r="49" spans="1:26" ht="12.75" customHeight="1">
      <c r="A49" s="268"/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</row>
    <row r="50" spans="1:26" ht="12.75" customHeight="1">
      <c r="A50" s="268"/>
      <c r="B50" s="268"/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2.75" customHeight="1">
      <c r="A51" s="268"/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</row>
    <row r="52" spans="1:26" ht="12.75" customHeight="1">
      <c r="A52" s="268"/>
      <c r="B52" s="268"/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</row>
    <row r="53" spans="1:26" ht="12.75" customHeight="1">
      <c r="A53" s="268"/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</row>
    <row r="54" spans="1:26" ht="12.75" customHeight="1">
      <c r="A54" s="268"/>
      <c r="B54" s="268"/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</row>
    <row r="55" spans="1:26" ht="12.75" customHeight="1">
      <c r="A55" s="268"/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</row>
    <row r="56" spans="1:26" ht="12.75" customHeight="1">
      <c r="A56" s="268"/>
      <c r="B56" s="268"/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</row>
    <row r="57" spans="1:26" ht="12.75" customHeight="1">
      <c r="A57" s="268"/>
      <c r="B57" s="268"/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</row>
    <row r="58" spans="1:26" ht="12.75" customHeight="1">
      <c r="A58" s="268"/>
      <c r="B58" s="268"/>
      <c r="C58" s="268"/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</row>
    <row r="59" spans="1:26" ht="12.75" customHeight="1">
      <c r="A59" s="268"/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</row>
    <row r="60" spans="1:26" ht="12.75" customHeight="1">
      <c r="A60" s="268"/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</row>
    <row r="61" spans="1:26" ht="12.75" customHeight="1">
      <c r="A61" s="268"/>
      <c r="B61" s="268"/>
      <c r="C61" s="268"/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</row>
    <row r="62" spans="1:26" ht="12.75" customHeight="1">
      <c r="A62" s="268"/>
      <c r="B62" s="268"/>
      <c r="C62" s="268"/>
      <c r="D62" s="268"/>
      <c r="E62" s="268"/>
      <c r="F62" s="268"/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</row>
    <row r="63" spans="1:26" ht="12.75" customHeight="1">
      <c r="A63" s="268"/>
      <c r="B63" s="268"/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</row>
    <row r="64" spans="1:26" ht="12.75" customHeight="1">
      <c r="A64" s="268"/>
      <c r="B64" s="268"/>
      <c r="C64" s="268"/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</row>
    <row r="65" spans="1:26" ht="12.75" customHeight="1">
      <c r="A65" s="268"/>
      <c r="B65" s="268"/>
      <c r="C65" s="268"/>
      <c r="D65" s="268"/>
      <c r="E65" s="268"/>
      <c r="F65" s="268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</row>
    <row r="66" spans="1:26" ht="12.75" customHeight="1">
      <c r="A66" s="268"/>
      <c r="B66" s="268"/>
      <c r="C66" s="268"/>
      <c r="D66" s="268"/>
      <c r="E66" s="268"/>
      <c r="F66" s="268"/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</row>
    <row r="67" spans="1:26" ht="12.75" customHeight="1">
      <c r="A67" s="268"/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</row>
    <row r="68" spans="1:26" ht="12.75" customHeight="1">
      <c r="A68" s="268"/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</row>
    <row r="69" spans="1:26" ht="12.75" customHeight="1">
      <c r="A69" s="268"/>
      <c r="B69" s="268"/>
      <c r="C69" s="268"/>
      <c r="D69" s="268"/>
      <c r="E69" s="268"/>
      <c r="F69" s="268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</row>
    <row r="70" spans="1:26" ht="12.75" customHeight="1">
      <c r="A70" s="268"/>
      <c r="B70" s="268"/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</row>
    <row r="71" spans="1:26" ht="12.75" customHeight="1">
      <c r="A71" s="268"/>
      <c r="B71" s="268"/>
      <c r="C71" s="268"/>
      <c r="D71" s="268"/>
      <c r="E71" s="268"/>
      <c r="F71" s="268"/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</row>
    <row r="72" spans="1:26" ht="12.75" customHeight="1">
      <c r="A72" s="268"/>
      <c r="B72" s="268"/>
      <c r="C72" s="268"/>
      <c r="D72" s="268"/>
      <c r="E72" s="268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</row>
    <row r="73" spans="1:26" ht="12.75" customHeight="1">
      <c r="A73" s="268"/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</row>
    <row r="74" spans="1:26" ht="12.75" customHeight="1">
      <c r="A74" s="268"/>
      <c r="B74" s="268"/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</row>
    <row r="75" spans="1:26" ht="12.75" customHeight="1">
      <c r="A75" s="268"/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</row>
    <row r="76" spans="1:26" ht="12.75" customHeight="1">
      <c r="A76" s="268"/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</row>
    <row r="77" spans="1:26" ht="12.75" customHeight="1">
      <c r="A77" s="268"/>
      <c r="B77" s="268"/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</row>
    <row r="78" spans="1:26" ht="12.75" customHeight="1">
      <c r="A78" s="268"/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</row>
    <row r="79" spans="1:26" ht="12.75" customHeight="1">
      <c r="A79" s="268"/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</row>
    <row r="80" spans="1:26" ht="12.75" customHeight="1">
      <c r="A80" s="268"/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</row>
    <row r="81" spans="1:26" ht="12.75" customHeight="1">
      <c r="A81" s="268"/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</row>
    <row r="82" spans="1:26" ht="12.75" customHeight="1">
      <c r="A82" s="268"/>
      <c r="B82" s="268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</row>
    <row r="83" spans="1:26" ht="12.75" customHeight="1">
      <c r="A83" s="268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</row>
    <row r="84" spans="1:26" ht="12.75" customHeight="1">
      <c r="A84" s="268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</row>
    <row r="85" spans="1:26" ht="12.75" customHeight="1">
      <c r="A85" s="268"/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</row>
    <row r="86" spans="1:26" ht="12.75" customHeight="1">
      <c r="A86" s="268"/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</row>
    <row r="87" spans="1:26" ht="12.75" customHeight="1">
      <c r="A87" s="268"/>
      <c r="B87" s="268"/>
      <c r="C87" s="268"/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</row>
    <row r="88" spans="1:26" ht="12.75" customHeight="1">
      <c r="A88" s="268"/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</row>
    <row r="89" spans="1:26" ht="12.75" customHeight="1">
      <c r="A89" s="268"/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</row>
    <row r="90" spans="1:26" ht="12.75" customHeight="1">
      <c r="A90" s="268"/>
      <c r="B90" s="268"/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</row>
    <row r="91" spans="1:26" ht="12.75" customHeight="1">
      <c r="A91" s="268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</row>
    <row r="92" spans="1:26" ht="12.75" customHeight="1">
      <c r="A92" s="268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</row>
    <row r="93" spans="1:26" ht="12.75" customHeight="1">
      <c r="A93" s="268"/>
      <c r="B93" s="268"/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</row>
    <row r="94" spans="1:26" ht="12.75" customHeight="1">
      <c r="A94" s="268"/>
      <c r="B94" s="268"/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</row>
    <row r="95" spans="1:26" ht="12.75" customHeight="1">
      <c r="A95" s="268"/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</row>
    <row r="96" spans="1:26" ht="12.75" customHeight="1">
      <c r="A96" s="268"/>
      <c r="B96" s="268"/>
      <c r="C96" s="268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</row>
    <row r="97" spans="1:26" ht="12.75" customHeight="1">
      <c r="A97" s="268"/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</row>
    <row r="98" spans="1:26" ht="12.75" customHeight="1">
      <c r="A98" s="268"/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</row>
    <row r="99" spans="1:26" ht="12.75" customHeight="1">
      <c r="A99" s="268"/>
      <c r="B99" s="268"/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</row>
    <row r="100" spans="1:26" ht="12.75" customHeight="1">
      <c r="A100" s="268"/>
      <c r="B100" s="268"/>
      <c r="C100" s="268"/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</row>
    <row r="101" spans="1:26" ht="12.75" customHeight="1">
      <c r="A101" s="268"/>
      <c r="B101" s="268"/>
      <c r="C101" s="268"/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</row>
    <row r="102" spans="1:26" ht="12.75" customHeight="1">
      <c r="A102" s="268"/>
      <c r="B102" s="268"/>
      <c r="C102" s="268"/>
      <c r="D102" s="268"/>
      <c r="E102" s="268"/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</row>
    <row r="103" spans="1:26" ht="12.75" customHeight="1">
      <c r="A103" s="268"/>
      <c r="B103" s="268"/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</row>
    <row r="104" spans="1:26" ht="12.75" customHeight="1">
      <c r="A104" s="268"/>
      <c r="B104" s="268"/>
      <c r="C104" s="268"/>
      <c r="D104" s="268"/>
      <c r="E104" s="268"/>
      <c r="F104" s="268"/>
      <c r="G104" s="268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</row>
    <row r="105" spans="1:26" ht="12.75" customHeight="1">
      <c r="A105" s="268"/>
      <c r="B105" s="268"/>
      <c r="C105" s="268"/>
      <c r="D105" s="268"/>
      <c r="E105" s="268"/>
      <c r="F105" s="268"/>
      <c r="G105" s="268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</row>
    <row r="106" spans="1:26" ht="12.75" customHeight="1">
      <c r="A106" s="268"/>
      <c r="B106" s="268"/>
      <c r="C106" s="268"/>
      <c r="D106" s="268"/>
      <c r="E106" s="268"/>
      <c r="F106" s="268"/>
      <c r="G106" s="268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</row>
    <row r="107" spans="1:26" ht="12.75" customHeight="1">
      <c r="A107" s="268"/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</row>
    <row r="108" spans="1:26" ht="12.75" customHeight="1">
      <c r="A108" s="268"/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</row>
    <row r="109" spans="1:26" ht="12.75" customHeight="1">
      <c r="A109" s="268"/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</row>
    <row r="110" spans="1:26" ht="12.75" customHeight="1">
      <c r="A110" s="268"/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</row>
    <row r="111" spans="1:26" ht="12.75" customHeight="1">
      <c r="A111" s="268"/>
      <c r="B111" s="268"/>
      <c r="C111" s="268"/>
      <c r="D111" s="268"/>
      <c r="E111" s="268"/>
      <c r="F111" s="268"/>
      <c r="G111" s="268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</row>
    <row r="112" spans="1:26" ht="12.75" customHeight="1">
      <c r="A112" s="268"/>
      <c r="B112" s="268"/>
      <c r="C112" s="268"/>
      <c r="D112" s="268"/>
      <c r="E112" s="268"/>
      <c r="F112" s="268"/>
      <c r="G112" s="268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</row>
    <row r="113" spans="1:26" ht="12.75" customHeight="1">
      <c r="A113" s="268"/>
      <c r="B113" s="268"/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</row>
    <row r="114" spans="1:26" ht="12.75" customHeight="1">
      <c r="A114" s="268"/>
      <c r="B114" s="268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</row>
    <row r="115" spans="1:26" ht="12.75" customHeight="1">
      <c r="A115" s="268"/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</row>
    <row r="116" spans="1:26" ht="12.75" customHeight="1">
      <c r="A116" s="268"/>
      <c r="B116" s="268"/>
      <c r="C116" s="268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</row>
    <row r="117" spans="1:26" ht="12.75" customHeight="1">
      <c r="A117" s="268"/>
      <c r="B117" s="268"/>
      <c r="C117" s="268"/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</row>
    <row r="118" spans="1:26" ht="12.75" customHeight="1">
      <c r="A118" s="268"/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</row>
    <row r="119" spans="1:26" ht="12.75" customHeight="1">
      <c r="A119" s="268"/>
      <c r="B119" s="268"/>
      <c r="C119" s="268"/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</row>
    <row r="120" spans="1:26" ht="12.75" customHeight="1">
      <c r="A120" s="268"/>
      <c r="B120" s="268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</row>
    <row r="121" spans="1:26" ht="12.75" customHeight="1">
      <c r="A121" s="268"/>
      <c r="B121" s="268"/>
      <c r="C121" s="268"/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</row>
    <row r="122" spans="1:26" ht="12.75" customHeight="1">
      <c r="A122" s="268"/>
      <c r="B122" s="268"/>
      <c r="C122" s="268"/>
      <c r="D122" s="268"/>
      <c r="E122" s="268"/>
      <c r="F122" s="268"/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</row>
    <row r="123" spans="1:26" ht="12.75" customHeight="1">
      <c r="A123" s="268"/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</row>
    <row r="124" spans="1:26" ht="12.75" customHeight="1">
      <c r="A124" s="268"/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</row>
    <row r="125" spans="1:26" ht="12.75" customHeight="1">
      <c r="A125" s="268"/>
      <c r="B125" s="268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</row>
    <row r="126" spans="1:26" ht="12.75" customHeight="1">
      <c r="A126" s="268"/>
      <c r="B126" s="268"/>
      <c r="C126" s="268"/>
      <c r="D126" s="268"/>
      <c r="E126" s="268"/>
      <c r="F126" s="268"/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</row>
    <row r="127" spans="1:26" ht="12.75" customHeight="1">
      <c r="A127" s="268"/>
      <c r="B127" s="268"/>
      <c r="C127" s="268"/>
      <c r="D127" s="268"/>
      <c r="E127" s="268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</row>
    <row r="128" spans="1:26" ht="12.75" customHeight="1">
      <c r="A128" s="268"/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</row>
    <row r="129" spans="1:26" ht="12.75" customHeight="1">
      <c r="A129" s="268"/>
      <c r="B129" s="268"/>
      <c r="C129" s="268"/>
      <c r="D129" s="268"/>
      <c r="E129" s="268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</row>
    <row r="130" spans="1:26" ht="12.75" customHeight="1">
      <c r="A130" s="268"/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</row>
    <row r="131" spans="1:26" ht="12.75" customHeight="1">
      <c r="A131" s="268"/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</row>
    <row r="132" spans="1:26" ht="12.75" customHeight="1">
      <c r="A132" s="268"/>
      <c r="B132" s="268"/>
      <c r="C132" s="268"/>
      <c r="D132" s="268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</row>
    <row r="133" spans="1:26" ht="12.75" customHeight="1">
      <c r="A133" s="268"/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</row>
    <row r="134" spans="1:26" ht="12.75" customHeight="1">
      <c r="A134" s="268"/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</row>
    <row r="135" spans="1:26" ht="12.75" customHeight="1">
      <c r="A135" s="268"/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</row>
    <row r="136" spans="1:26" ht="12.75" customHeight="1">
      <c r="A136" s="268"/>
      <c r="B136" s="268"/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</row>
    <row r="137" spans="1:26" ht="12.75" customHeight="1">
      <c r="A137" s="268"/>
      <c r="B137" s="268"/>
      <c r="C137" s="268"/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</row>
    <row r="138" spans="1:26" ht="12.75" customHeight="1">
      <c r="A138" s="268"/>
      <c r="B138" s="268"/>
      <c r="C138" s="268"/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</row>
    <row r="139" spans="1:26" ht="12.75" customHeight="1">
      <c r="A139" s="268"/>
      <c r="B139" s="268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</row>
    <row r="140" spans="1:26" ht="12.75" customHeight="1">
      <c r="A140" s="268"/>
      <c r="B140" s="268"/>
      <c r="C140" s="268"/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</row>
    <row r="141" spans="1:26" ht="12.75" customHeight="1">
      <c r="A141" s="268"/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</row>
    <row r="142" spans="1:26" ht="12.75" customHeight="1">
      <c r="A142" s="268"/>
      <c r="B142" s="268"/>
      <c r="C142" s="268"/>
      <c r="D142" s="26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</row>
    <row r="143" spans="1:26" ht="12.75" customHeight="1">
      <c r="A143" s="268"/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</row>
    <row r="144" spans="1:26" ht="12.75" customHeight="1">
      <c r="A144" s="268"/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</row>
    <row r="145" spans="1:26" ht="12.75" customHeight="1">
      <c r="A145" s="268"/>
      <c r="B145" s="268"/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</row>
    <row r="146" spans="1:26" ht="12.75" customHeight="1">
      <c r="A146" s="268"/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/>
      <c r="Z146" s="268"/>
    </row>
    <row r="147" spans="1:26" ht="12.75" customHeight="1">
      <c r="A147" s="268"/>
      <c r="B147" s="268"/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</row>
    <row r="148" spans="1:26" ht="12.75" customHeight="1">
      <c r="A148" s="268"/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</row>
    <row r="149" spans="1:26" ht="12.75" customHeight="1">
      <c r="A149" s="268"/>
      <c r="B149" s="268"/>
      <c r="C149" s="268"/>
      <c r="D149" s="268"/>
      <c r="E149" s="268"/>
      <c r="F149" s="268"/>
      <c r="G149" s="268"/>
      <c r="H149" s="268"/>
      <c r="I149" s="268"/>
      <c r="J149" s="268"/>
      <c r="K149" s="268"/>
      <c r="L149" s="268"/>
      <c r="M149" s="268"/>
      <c r="N149" s="268"/>
      <c r="O149" s="268"/>
      <c r="P149" s="268"/>
      <c r="Q149" s="268"/>
      <c r="R149" s="268"/>
      <c r="S149" s="268"/>
      <c r="T149" s="268"/>
      <c r="U149" s="268"/>
      <c r="V149" s="268"/>
      <c r="W149" s="268"/>
      <c r="X149" s="268"/>
      <c r="Y149" s="268"/>
      <c r="Z149" s="268"/>
    </row>
    <row r="150" spans="1:26" ht="12.75" customHeight="1">
      <c r="A150" s="268"/>
      <c r="B150" s="268"/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</row>
    <row r="151" spans="1:26" ht="12.75" customHeight="1">
      <c r="A151" s="268"/>
      <c r="B151" s="268"/>
      <c r="C151" s="268"/>
      <c r="D151" s="268"/>
      <c r="E151" s="268"/>
      <c r="F151" s="268"/>
      <c r="G151" s="268"/>
      <c r="H151" s="268"/>
      <c r="I151" s="268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</row>
    <row r="152" spans="1:26" ht="12.75" customHeight="1">
      <c r="A152" s="268"/>
      <c r="B152" s="268"/>
      <c r="C152" s="268"/>
      <c r="D152" s="268"/>
      <c r="E152" s="268"/>
      <c r="F152" s="268"/>
      <c r="G152" s="268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1:26" ht="12.75" customHeight="1">
      <c r="A153" s="268"/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1:26" ht="12.75" customHeight="1">
      <c r="A154" s="268"/>
      <c r="B154" s="268"/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1:26" ht="12.75" customHeight="1">
      <c r="A155" s="268"/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1:26" ht="12.75" customHeight="1">
      <c r="A156" s="268"/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1:26" ht="12.75" customHeight="1">
      <c r="A157" s="268"/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1:26" ht="12.75" customHeight="1">
      <c r="A158" s="268"/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268"/>
      <c r="O158" s="268"/>
      <c r="P158" s="268"/>
      <c r="Q158" s="268"/>
      <c r="R158" s="268"/>
      <c r="S158" s="268"/>
      <c r="T158" s="268"/>
      <c r="U158" s="268"/>
      <c r="V158" s="268"/>
      <c r="W158" s="268"/>
      <c r="X158" s="268"/>
      <c r="Y158" s="268"/>
      <c r="Z158" s="268"/>
    </row>
    <row r="159" spans="1:26" ht="12.75" customHeight="1">
      <c r="A159" s="268"/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268"/>
      <c r="O159" s="268"/>
      <c r="P159" s="268"/>
      <c r="Q159" s="268"/>
      <c r="R159" s="268"/>
      <c r="S159" s="268"/>
      <c r="T159" s="268"/>
      <c r="U159" s="268"/>
      <c r="V159" s="268"/>
      <c r="W159" s="268"/>
      <c r="X159" s="268"/>
      <c r="Y159" s="268"/>
      <c r="Z159" s="268"/>
    </row>
    <row r="160" spans="1:26" ht="12.75" customHeight="1">
      <c r="A160" s="268"/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268"/>
      <c r="O160" s="268"/>
      <c r="P160" s="268"/>
      <c r="Q160" s="268"/>
      <c r="R160" s="268"/>
      <c r="S160" s="268"/>
      <c r="T160" s="268"/>
      <c r="U160" s="268"/>
      <c r="V160" s="268"/>
      <c r="W160" s="268"/>
      <c r="X160" s="268"/>
      <c r="Y160" s="268"/>
      <c r="Z160" s="268"/>
    </row>
    <row r="161" spans="1:26" ht="12.75" customHeight="1">
      <c r="A161" s="268"/>
      <c r="B161" s="268"/>
      <c r="C161" s="268"/>
      <c r="D161" s="268"/>
      <c r="E161" s="268"/>
      <c r="F161" s="268"/>
      <c r="G161" s="268"/>
      <c r="H161" s="268"/>
      <c r="I161" s="268"/>
      <c r="J161" s="268"/>
      <c r="K161" s="268"/>
      <c r="L161" s="268"/>
      <c r="M161" s="268"/>
      <c r="N161" s="268"/>
      <c r="O161" s="268"/>
      <c r="P161" s="268"/>
      <c r="Q161" s="268"/>
      <c r="R161" s="268"/>
      <c r="S161" s="268"/>
      <c r="T161" s="268"/>
      <c r="U161" s="268"/>
      <c r="V161" s="268"/>
      <c r="W161" s="268"/>
      <c r="X161" s="268"/>
      <c r="Y161" s="268"/>
      <c r="Z161" s="268"/>
    </row>
    <row r="162" spans="1:26" ht="12.75" customHeight="1">
      <c r="A162" s="268"/>
      <c r="B162" s="268"/>
      <c r="C162" s="268"/>
      <c r="D162" s="268"/>
      <c r="E162" s="268"/>
      <c r="F162" s="268"/>
      <c r="G162" s="268"/>
      <c r="H162" s="268"/>
      <c r="I162" s="268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68"/>
      <c r="W162" s="268"/>
      <c r="X162" s="268"/>
      <c r="Y162" s="268"/>
      <c r="Z162" s="268"/>
    </row>
    <row r="163" spans="1:26" ht="12.75" customHeight="1">
      <c r="A163" s="268"/>
      <c r="B163" s="268"/>
      <c r="C163" s="268"/>
      <c r="D163" s="268"/>
      <c r="E163" s="268"/>
      <c r="F163" s="268"/>
      <c r="G163" s="268"/>
      <c r="H163" s="268"/>
      <c r="I163" s="268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</row>
    <row r="164" spans="1:26" ht="12.75" customHeight="1">
      <c r="A164" s="268"/>
      <c r="B164" s="268"/>
      <c r="C164" s="268"/>
      <c r="D164" s="268"/>
      <c r="E164" s="268"/>
      <c r="F164" s="268"/>
      <c r="G164" s="268"/>
      <c r="H164" s="268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68"/>
      <c r="W164" s="268"/>
      <c r="X164" s="268"/>
      <c r="Y164" s="268"/>
      <c r="Z164" s="268"/>
    </row>
    <row r="165" spans="1:26" ht="12.75" customHeight="1">
      <c r="A165" s="268"/>
      <c r="B165" s="268"/>
      <c r="C165" s="268"/>
      <c r="D165" s="268"/>
      <c r="E165" s="268"/>
      <c r="F165" s="268"/>
      <c r="G165" s="268"/>
      <c r="H165" s="268"/>
      <c r="I165" s="268"/>
      <c r="J165" s="268"/>
      <c r="K165" s="268"/>
      <c r="L165" s="268"/>
      <c r="M165" s="268"/>
      <c r="N165" s="268"/>
      <c r="O165" s="268"/>
      <c r="P165" s="268"/>
      <c r="Q165" s="268"/>
      <c r="R165" s="268"/>
      <c r="S165" s="268"/>
      <c r="T165" s="268"/>
      <c r="U165" s="268"/>
      <c r="V165" s="268"/>
      <c r="W165" s="268"/>
      <c r="X165" s="268"/>
      <c r="Y165" s="268"/>
      <c r="Z165" s="268"/>
    </row>
    <row r="166" spans="1:26" ht="12.75" customHeight="1">
      <c r="A166" s="268"/>
      <c r="B166" s="268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8"/>
      <c r="T166" s="268"/>
      <c r="U166" s="268"/>
      <c r="V166" s="268"/>
      <c r="W166" s="268"/>
      <c r="X166" s="268"/>
      <c r="Y166" s="268"/>
      <c r="Z166" s="268"/>
    </row>
    <row r="167" spans="1:26" ht="12.75" customHeight="1">
      <c r="A167" s="268"/>
      <c r="B167" s="268"/>
      <c r="C167" s="268"/>
      <c r="D167" s="268"/>
      <c r="E167" s="268"/>
      <c r="F167" s="268"/>
      <c r="G167" s="268"/>
      <c r="H167" s="268"/>
      <c r="I167" s="268"/>
      <c r="J167" s="268"/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68"/>
      <c r="W167" s="268"/>
      <c r="X167" s="268"/>
      <c r="Y167" s="268"/>
      <c r="Z167" s="268"/>
    </row>
    <row r="168" spans="1:26" ht="12.75" customHeight="1">
      <c r="A168" s="268"/>
      <c r="B168" s="268"/>
      <c r="C168" s="268"/>
      <c r="D168" s="268"/>
      <c r="E168" s="268"/>
      <c r="F168" s="268"/>
      <c r="G168" s="268"/>
      <c r="H168" s="268"/>
      <c r="I168" s="268"/>
      <c r="J168" s="268"/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68"/>
      <c r="W168" s="268"/>
      <c r="X168" s="268"/>
      <c r="Y168" s="268"/>
      <c r="Z168" s="268"/>
    </row>
    <row r="169" spans="1:26" ht="12.75" customHeight="1">
      <c r="A169" s="268"/>
      <c r="B169" s="268"/>
      <c r="C169" s="268"/>
      <c r="D169" s="268"/>
      <c r="E169" s="268"/>
      <c r="F169" s="268"/>
      <c r="G169" s="268"/>
      <c r="H169" s="268"/>
      <c r="I169" s="268"/>
      <c r="J169" s="268"/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68"/>
    </row>
    <row r="170" spans="1:26" ht="12.75" customHeight="1">
      <c r="A170" s="268"/>
      <c r="B170" s="268"/>
      <c r="C170" s="268"/>
      <c r="D170" s="268"/>
      <c r="E170" s="268"/>
      <c r="F170" s="268"/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68"/>
    </row>
    <row r="171" spans="1:26" ht="12.75" customHeight="1">
      <c r="A171" s="268"/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</row>
    <row r="172" spans="1:26" ht="12.75" customHeight="1">
      <c r="A172" s="268"/>
      <c r="B172" s="268"/>
      <c r="C172" s="268"/>
      <c r="D172" s="268"/>
      <c r="E172" s="268"/>
      <c r="F172" s="268"/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</row>
    <row r="173" spans="1:26" ht="12.75" customHeight="1">
      <c r="A173" s="268"/>
      <c r="B173" s="268"/>
      <c r="C173" s="268"/>
      <c r="D173" s="268"/>
      <c r="E173" s="268"/>
      <c r="F173" s="268"/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268"/>
    </row>
    <row r="174" spans="1:26" ht="12.75" customHeight="1">
      <c r="A174" s="268"/>
      <c r="B174" s="268"/>
      <c r="C174" s="268"/>
      <c r="D174" s="268"/>
      <c r="E174" s="268"/>
      <c r="F174" s="268"/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</row>
    <row r="175" spans="1:26" ht="12.75" customHeight="1">
      <c r="A175" s="268"/>
      <c r="B175" s="268"/>
      <c r="C175" s="268"/>
      <c r="D175" s="268"/>
      <c r="E175" s="268"/>
      <c r="F175" s="268"/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</row>
    <row r="176" spans="1:26" ht="12.75" customHeight="1">
      <c r="A176" s="268"/>
      <c r="B176" s="268"/>
      <c r="C176" s="268"/>
      <c r="D176" s="268"/>
      <c r="E176" s="268"/>
      <c r="F176" s="268"/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  <c r="X176" s="268"/>
      <c r="Y176" s="268"/>
      <c r="Z176" s="268"/>
    </row>
    <row r="177" spans="1:26" ht="12.75" customHeight="1">
      <c r="A177" s="268"/>
      <c r="B177" s="268"/>
      <c r="C177" s="268"/>
      <c r="D177" s="268"/>
      <c r="E177" s="268"/>
      <c r="F177" s="268"/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</row>
    <row r="178" spans="1:26" ht="12.75" customHeight="1">
      <c r="A178" s="268"/>
      <c r="B178" s="268"/>
      <c r="C178" s="268"/>
      <c r="D178" s="268"/>
      <c r="E178" s="268"/>
      <c r="F178" s="268"/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</row>
    <row r="179" spans="1:26" ht="12.75" customHeight="1">
      <c r="A179" s="268"/>
      <c r="B179" s="268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</row>
    <row r="180" spans="1:26" ht="12.75" customHeight="1">
      <c r="A180" s="268"/>
      <c r="B180" s="268"/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</row>
    <row r="181" spans="1:26" ht="12.75" customHeight="1">
      <c r="A181" s="268"/>
      <c r="B181" s="268"/>
      <c r="C181" s="268"/>
      <c r="D181" s="268"/>
      <c r="E181" s="268"/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</row>
    <row r="182" spans="1:26" ht="12.75" customHeight="1">
      <c r="A182" s="268"/>
      <c r="B182" s="268"/>
      <c r="C182" s="268"/>
      <c r="D182" s="268"/>
      <c r="E182" s="268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</row>
    <row r="183" spans="1:26" ht="12.75" customHeight="1">
      <c r="A183" s="268"/>
      <c r="B183" s="268"/>
      <c r="C183" s="268"/>
      <c r="D183" s="268"/>
      <c r="E183" s="268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</row>
    <row r="184" spans="1:26" ht="12.75" customHeight="1">
      <c r="A184" s="268"/>
      <c r="B184" s="268"/>
      <c r="C184" s="268"/>
      <c r="D184" s="268"/>
      <c r="E184" s="268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</row>
    <row r="185" spans="1:26" ht="12.75" customHeight="1">
      <c r="A185" s="268"/>
      <c r="B185" s="268"/>
      <c r="C185" s="268"/>
      <c r="D185" s="268"/>
      <c r="E185" s="268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68"/>
    </row>
    <row r="186" spans="1:26" ht="12.75" customHeight="1">
      <c r="A186" s="268"/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68"/>
    </row>
    <row r="187" spans="1:26" ht="12.75" customHeight="1">
      <c r="A187" s="268"/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</row>
    <row r="188" spans="1:26" ht="12.75" customHeight="1">
      <c r="A188" s="268"/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</row>
    <row r="189" spans="1:26" ht="12.75" customHeight="1">
      <c r="A189" s="268"/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268"/>
    </row>
    <row r="190" spans="1:26" ht="12.75" customHeight="1">
      <c r="A190" s="268"/>
      <c r="B190" s="268"/>
      <c r="C190" s="268"/>
      <c r="D190" s="268"/>
      <c r="E190" s="26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  <c r="X190" s="268"/>
      <c r="Y190" s="268"/>
      <c r="Z190" s="268"/>
    </row>
    <row r="191" spans="1:26" ht="12.75" customHeight="1">
      <c r="A191" s="268"/>
      <c r="B191" s="268"/>
      <c r="C191" s="268"/>
      <c r="D191" s="268"/>
      <c r="E191" s="26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</row>
    <row r="192" spans="1:26" ht="12.75" customHeight="1">
      <c r="A192" s="268"/>
      <c r="B192" s="268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68"/>
    </row>
    <row r="193" spans="1:26" ht="12.75" customHeight="1">
      <c r="A193" s="268"/>
      <c r="B193" s="268"/>
      <c r="C193" s="268"/>
      <c r="D193" s="268"/>
      <c r="E193" s="26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68"/>
    </row>
    <row r="194" spans="1:26" ht="12.75" customHeight="1">
      <c r="A194" s="268"/>
      <c r="B194" s="268"/>
      <c r="C194" s="268"/>
      <c r="D194" s="268"/>
      <c r="E194" s="26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</row>
    <row r="195" spans="1:26" ht="12.75" customHeight="1">
      <c r="A195" s="268"/>
      <c r="B195" s="268"/>
      <c r="C195" s="268"/>
      <c r="D195" s="268"/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68"/>
    </row>
    <row r="196" spans="1:26" ht="12.75" customHeight="1">
      <c r="A196" s="268"/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68"/>
    </row>
    <row r="197" spans="1:26" ht="12.75" customHeight="1">
      <c r="A197" s="268"/>
      <c r="B197" s="268"/>
      <c r="C197" s="268"/>
      <c r="D197" s="26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</row>
    <row r="198" spans="1:26" ht="12.75" customHeight="1">
      <c r="A198" s="268"/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</row>
    <row r="199" spans="1:26" ht="12.75" customHeight="1">
      <c r="A199" s="268"/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</row>
    <row r="200" spans="1:26" ht="12.75" customHeight="1">
      <c r="A200" s="268"/>
      <c r="B200" s="268"/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</row>
    <row r="201" spans="1:26" ht="12.75" customHeight="1">
      <c r="A201" s="268"/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</row>
    <row r="202" spans="1:26" ht="12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</row>
    <row r="203" spans="1:26" ht="12.75" customHeight="1">
      <c r="A203" s="268"/>
      <c r="B203" s="268"/>
      <c r="C203" s="268"/>
      <c r="D203" s="268"/>
      <c r="E203" s="268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</row>
    <row r="204" spans="1:26" ht="12.75" customHeight="1">
      <c r="A204" s="268"/>
      <c r="B204" s="268"/>
      <c r="C204" s="268"/>
      <c r="D204" s="268"/>
      <c r="E204" s="268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</row>
    <row r="205" spans="1:26" ht="12.75" customHeight="1">
      <c r="A205" s="268"/>
      <c r="B205" s="268"/>
      <c r="C205" s="268"/>
      <c r="D205" s="268"/>
      <c r="E205" s="268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</row>
    <row r="206" spans="1:26" ht="12.75" customHeight="1">
      <c r="A206" s="268"/>
      <c r="B206" s="268"/>
      <c r="C206" s="268"/>
      <c r="D206" s="268"/>
      <c r="E206" s="268"/>
      <c r="F206" s="268"/>
      <c r="G206" s="268"/>
      <c r="H206" s="268"/>
      <c r="I206" s="268"/>
      <c r="J206" s="268"/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</row>
    <row r="207" spans="1:26" ht="12.75" customHeight="1">
      <c r="A207" s="268"/>
      <c r="B207" s="268"/>
      <c r="C207" s="268"/>
      <c r="D207" s="268"/>
      <c r="E207" s="268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</row>
    <row r="208" spans="1:26" ht="12.75" customHeight="1">
      <c r="A208" s="268"/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</row>
    <row r="209" spans="1:26" ht="12.75" customHeight="1">
      <c r="A209" s="268"/>
      <c r="B209" s="268"/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</row>
    <row r="210" spans="1:26" ht="12.75" customHeight="1">
      <c r="A210" s="268"/>
      <c r="B210" s="268"/>
      <c r="C210" s="268"/>
      <c r="D210" s="268"/>
      <c r="E210" s="268"/>
      <c r="F210" s="268"/>
      <c r="G210" s="268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</row>
    <row r="211" spans="1:26" ht="12.75" customHeight="1">
      <c r="A211" s="268"/>
      <c r="B211" s="268"/>
      <c r="C211" s="268"/>
      <c r="D211" s="268"/>
      <c r="E211" s="268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</row>
    <row r="212" spans="1:26" ht="12.75" customHeight="1">
      <c r="A212" s="268"/>
      <c r="B212" s="268"/>
      <c r="C212" s="268"/>
      <c r="D212" s="268"/>
      <c r="E212" s="268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</row>
    <row r="213" spans="1:26" ht="12.75" customHeight="1">
      <c r="A213" s="268"/>
      <c r="B213" s="268"/>
      <c r="C213" s="268"/>
      <c r="D213" s="268"/>
      <c r="E213" s="268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</row>
    <row r="214" spans="1:26" ht="12.75" customHeight="1">
      <c r="A214" s="268"/>
      <c r="B214" s="268"/>
      <c r="C214" s="268"/>
      <c r="D214" s="268"/>
      <c r="E214" s="268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</row>
    <row r="215" spans="1:26" ht="12.75" customHeight="1">
      <c r="A215" s="268"/>
      <c r="B215" s="268"/>
      <c r="C215" s="268"/>
      <c r="D215" s="268"/>
      <c r="E215" s="268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</row>
    <row r="216" spans="1:26" ht="12.75" customHeight="1">
      <c r="A216" s="268"/>
      <c r="B216" s="268"/>
      <c r="C216" s="268"/>
      <c r="D216" s="268"/>
      <c r="E216" s="268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</row>
    <row r="217" spans="1:26" ht="12.75" customHeight="1">
      <c r="A217" s="268"/>
      <c r="B217" s="268"/>
      <c r="C217" s="268"/>
      <c r="D217" s="268"/>
      <c r="E217" s="268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</row>
    <row r="218" spans="1:26" ht="12.75" customHeight="1">
      <c r="A218" s="268"/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</row>
    <row r="219" spans="1:26" ht="12.75" customHeight="1">
      <c r="A219" s="268"/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</row>
    <row r="220" spans="1:26" ht="12.75" customHeight="1">
      <c r="A220" s="268"/>
      <c r="B220" s="268"/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</row>
    <row r="221" spans="1:26" ht="12.75" customHeight="1">
      <c r="A221" s="268"/>
      <c r="B221" s="268"/>
      <c r="C221" s="268"/>
      <c r="D221" s="268"/>
      <c r="E221" s="268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</row>
    <row r="222" spans="1:26" ht="12.75" customHeight="1">
      <c r="A222" s="268"/>
      <c r="B222" s="268"/>
      <c r="C222" s="268"/>
      <c r="D222" s="268"/>
      <c r="E222" s="268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</row>
    <row r="223" spans="1:26" ht="12.75" customHeight="1">
      <c r="A223" s="268"/>
      <c r="B223" s="268"/>
      <c r="C223" s="268"/>
      <c r="D223" s="268"/>
      <c r="E223" s="268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</row>
    <row r="224" spans="1:26" ht="12.75" customHeight="1">
      <c r="A224" s="268"/>
      <c r="B224" s="268"/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</row>
    <row r="225" spans="1:26" ht="12.75" customHeight="1">
      <c r="A225" s="268"/>
      <c r="B225" s="268"/>
      <c r="C225" s="268"/>
      <c r="D225" s="268"/>
      <c r="E225" s="268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</row>
    <row r="226" spans="1:26" ht="12.75" customHeight="1">
      <c r="A226" s="268"/>
      <c r="B226" s="268"/>
      <c r="C226" s="268"/>
      <c r="D226" s="268"/>
      <c r="E226" s="268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</row>
    <row r="227" spans="1:26" ht="12.75" customHeight="1">
      <c r="A227" s="268"/>
      <c r="B227" s="268"/>
      <c r="C227" s="268"/>
      <c r="D227" s="268"/>
      <c r="E227" s="268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</row>
    <row r="228" spans="1:26" ht="12.75" customHeight="1">
      <c r="A228" s="268"/>
      <c r="B228" s="268"/>
      <c r="C228" s="268"/>
      <c r="D228" s="268"/>
      <c r="E228" s="268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</row>
    <row r="229" spans="1:26" ht="12.75" customHeight="1">
      <c r="A229" s="268"/>
      <c r="B229" s="268"/>
      <c r="C229" s="268"/>
      <c r="D229" s="268"/>
      <c r="E229" s="268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</row>
    <row r="230" spans="1:26" ht="12.75" customHeight="1">
      <c r="A230" s="268"/>
      <c r="B230" s="268"/>
      <c r="C230" s="268"/>
      <c r="D230" s="268"/>
      <c r="E230" s="268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</row>
    <row r="231" spans="1:26" ht="12.75" customHeight="1">
      <c r="A231" s="268"/>
      <c r="B231" s="268"/>
      <c r="C231" s="268"/>
      <c r="D231" s="268"/>
      <c r="E231" s="268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</row>
    <row r="232" spans="1:26" ht="12.75" customHeight="1">
      <c r="A232" s="268"/>
      <c r="B232" s="268"/>
      <c r="C232" s="268"/>
      <c r="D232" s="268"/>
      <c r="E232" s="268"/>
      <c r="F232" s="268"/>
      <c r="G232" s="268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</row>
    <row r="233" spans="1:26" ht="12.75" customHeight="1">
      <c r="A233" s="268"/>
      <c r="B233" s="268"/>
      <c r="C233" s="268"/>
      <c r="D233" s="268"/>
      <c r="E233" s="268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</row>
    <row r="234" spans="1:26" ht="12.75" customHeight="1">
      <c r="A234" s="268"/>
      <c r="B234" s="268"/>
      <c r="C234" s="268"/>
      <c r="D234" s="268"/>
      <c r="E234" s="268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</row>
    <row r="235" spans="1:26" ht="12.75" customHeight="1">
      <c r="A235" s="268"/>
      <c r="B235" s="268"/>
      <c r="C235" s="268"/>
      <c r="D235" s="268"/>
      <c r="E235" s="268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</row>
    <row r="236" spans="1:26" ht="12.75" customHeight="1">
      <c r="A236" s="268"/>
      <c r="B236" s="268"/>
      <c r="C236" s="268"/>
      <c r="D236" s="268"/>
      <c r="E236" s="268"/>
      <c r="F236" s="268"/>
      <c r="G236" s="268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</row>
    <row r="237" spans="1:26" ht="12.75" customHeight="1">
      <c r="A237" s="268"/>
      <c r="B237" s="268"/>
      <c r="C237" s="268"/>
      <c r="D237" s="268"/>
      <c r="E237" s="268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</row>
    <row r="238" spans="1:26" ht="12.75" customHeight="1">
      <c r="A238" s="268"/>
      <c r="B238" s="268"/>
      <c r="C238" s="268"/>
      <c r="D238" s="268"/>
      <c r="E238" s="268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</row>
    <row r="239" spans="1:26" ht="12.75" customHeight="1">
      <c r="A239" s="268"/>
      <c r="B239" s="268"/>
      <c r="C239" s="268"/>
      <c r="D239" s="268"/>
      <c r="E239" s="268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</row>
    <row r="240" spans="1:26" ht="12.75" customHeight="1">
      <c r="A240" s="268"/>
      <c r="B240" s="268"/>
      <c r="C240" s="268"/>
      <c r="D240" s="268"/>
      <c r="E240" s="268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</row>
    <row r="241" spans="1:26" ht="12.75" customHeight="1">
      <c r="A241" s="268"/>
      <c r="B241" s="268"/>
      <c r="C241" s="268"/>
      <c r="D241" s="268"/>
      <c r="E241" s="268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</row>
    <row r="242" spans="1:26" ht="12.75" customHeight="1">
      <c r="A242" s="268"/>
      <c r="B242" s="268"/>
      <c r="C242" s="268"/>
      <c r="D242" s="268"/>
      <c r="E242" s="268"/>
      <c r="F242" s="268"/>
      <c r="G242" s="268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</row>
    <row r="243" spans="1:26" ht="12.75" customHeight="1">
      <c r="A243" s="268"/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68"/>
    </row>
    <row r="244" spans="1:26" ht="12.75" customHeight="1">
      <c r="A244" s="268"/>
      <c r="B244" s="268"/>
      <c r="C244" s="268"/>
      <c r="D244" s="268"/>
      <c r="E244" s="268"/>
      <c r="F244" s="268"/>
      <c r="G244" s="268"/>
      <c r="H244" s="268"/>
      <c r="I244" s="268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68"/>
      <c r="W244" s="268"/>
      <c r="X244" s="268"/>
      <c r="Y244" s="268"/>
      <c r="Z244" s="268"/>
    </row>
    <row r="245" spans="1:26" ht="12.75" customHeight="1">
      <c r="A245" s="268"/>
      <c r="B245" s="268"/>
      <c r="C245" s="268"/>
      <c r="D245" s="268"/>
      <c r="E245" s="268"/>
      <c r="F245" s="268"/>
      <c r="G245" s="268"/>
      <c r="H245" s="268"/>
      <c r="I245" s="268"/>
      <c r="J245" s="268"/>
      <c r="K245" s="268"/>
      <c r="L245" s="268"/>
      <c r="M245" s="268"/>
      <c r="N245" s="268"/>
      <c r="O245" s="268"/>
      <c r="P245" s="268"/>
      <c r="Q245" s="268"/>
      <c r="R245" s="268"/>
      <c r="S245" s="268"/>
      <c r="T245" s="268"/>
      <c r="U245" s="268"/>
      <c r="V245" s="268"/>
      <c r="W245" s="268"/>
      <c r="X245" s="268"/>
      <c r="Y245" s="268"/>
      <c r="Z245" s="268"/>
    </row>
    <row r="246" spans="1:26" ht="12.75" customHeight="1">
      <c r="A246" s="268"/>
      <c r="B246" s="268"/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268"/>
      <c r="O246" s="268"/>
      <c r="P246" s="268"/>
      <c r="Q246" s="268"/>
      <c r="R246" s="268"/>
      <c r="S246" s="268"/>
      <c r="T246" s="268"/>
      <c r="U246" s="268"/>
      <c r="V246" s="268"/>
      <c r="W246" s="268"/>
      <c r="X246" s="268"/>
      <c r="Y246" s="268"/>
      <c r="Z246" s="268"/>
    </row>
    <row r="247" spans="1:26" ht="12.75" customHeight="1">
      <c r="A247" s="268"/>
      <c r="B247" s="268"/>
      <c r="C247" s="268"/>
      <c r="D247" s="268"/>
      <c r="E247" s="268"/>
      <c r="F247" s="268"/>
      <c r="G247" s="268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  <c r="Y247" s="268"/>
      <c r="Z247" s="268"/>
    </row>
    <row r="248" spans="1:26" ht="12.75" customHeight="1">
      <c r="A248" s="268"/>
      <c r="B248" s="268"/>
      <c r="C248" s="268"/>
      <c r="D248" s="268"/>
      <c r="E248" s="268"/>
      <c r="F248" s="268"/>
      <c r="G248" s="268"/>
      <c r="H248" s="268"/>
      <c r="I248" s="268"/>
      <c r="J248" s="268"/>
      <c r="K248" s="268"/>
      <c r="L248" s="268"/>
      <c r="M248" s="268"/>
      <c r="N248" s="268"/>
      <c r="O248" s="268"/>
      <c r="P248" s="268"/>
      <c r="Q248" s="268"/>
      <c r="R248" s="268"/>
      <c r="S248" s="268"/>
      <c r="T248" s="268"/>
      <c r="U248" s="268"/>
      <c r="V248" s="268"/>
      <c r="W248" s="268"/>
      <c r="X248" s="268"/>
      <c r="Y248" s="268"/>
      <c r="Z248" s="268"/>
    </row>
    <row r="249" spans="1:26" ht="12.75" customHeight="1">
      <c r="A249" s="268"/>
      <c r="B249" s="268"/>
      <c r="C249" s="268"/>
      <c r="D249" s="268"/>
      <c r="E249" s="268"/>
      <c r="F249" s="268"/>
      <c r="G249" s="268"/>
      <c r="H249" s="268"/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68"/>
      <c r="W249" s="268"/>
      <c r="X249" s="268"/>
      <c r="Y249" s="268"/>
      <c r="Z249" s="268"/>
    </row>
    <row r="250" spans="1:26" ht="12.75" customHeight="1">
      <c r="A250" s="268"/>
      <c r="B250" s="268"/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268"/>
      <c r="O250" s="268"/>
      <c r="P250" s="268"/>
      <c r="Q250" s="268"/>
      <c r="R250" s="268"/>
      <c r="S250" s="268"/>
      <c r="T250" s="268"/>
      <c r="U250" s="268"/>
      <c r="V250" s="268"/>
      <c r="W250" s="268"/>
      <c r="X250" s="268"/>
      <c r="Y250" s="268"/>
      <c r="Z250" s="268"/>
    </row>
    <row r="251" spans="1:26" ht="12.75" customHeight="1">
      <c r="A251" s="268"/>
      <c r="B251" s="268"/>
      <c r="C251" s="268"/>
      <c r="D251" s="268"/>
      <c r="E251" s="268"/>
      <c r="F251" s="268"/>
      <c r="G251" s="268"/>
      <c r="H251" s="268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268"/>
      <c r="X251" s="268"/>
      <c r="Y251" s="268"/>
      <c r="Z251" s="268"/>
    </row>
    <row r="252" spans="1:26" ht="12.75" customHeight="1">
      <c r="A252" s="268"/>
      <c r="B252" s="268"/>
      <c r="C252" s="268"/>
      <c r="D252" s="268"/>
      <c r="E252" s="268"/>
      <c r="F252" s="268"/>
      <c r="G252" s="268"/>
      <c r="H252" s="268"/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68"/>
      <c r="W252" s="268"/>
      <c r="X252" s="268"/>
      <c r="Y252" s="268"/>
      <c r="Z252" s="268"/>
    </row>
    <row r="253" spans="1:26" ht="12.75" customHeight="1">
      <c r="A253" s="268"/>
      <c r="B253" s="268"/>
      <c r="C253" s="268"/>
      <c r="D253" s="268"/>
      <c r="E253" s="268"/>
      <c r="F253" s="268"/>
      <c r="G253" s="268"/>
      <c r="H253" s="268"/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68"/>
      <c r="W253" s="268"/>
      <c r="X253" s="268"/>
      <c r="Y253" s="268"/>
      <c r="Z253" s="268"/>
    </row>
    <row r="254" spans="1:26" ht="12.75" customHeight="1">
      <c r="A254" s="268"/>
      <c r="B254" s="268"/>
      <c r="C254" s="268"/>
      <c r="D254" s="268"/>
      <c r="E254" s="268"/>
      <c r="F254" s="268"/>
      <c r="G254" s="268"/>
      <c r="H254" s="268"/>
      <c r="I254" s="268"/>
      <c r="J254" s="268"/>
      <c r="K254" s="268"/>
      <c r="L254" s="268"/>
      <c r="M254" s="268"/>
      <c r="N254" s="268"/>
      <c r="O254" s="268"/>
      <c r="P254" s="268"/>
      <c r="Q254" s="268"/>
      <c r="R254" s="268"/>
      <c r="S254" s="268"/>
      <c r="T254" s="268"/>
      <c r="U254" s="268"/>
      <c r="V254" s="268"/>
      <c r="W254" s="268"/>
      <c r="X254" s="268"/>
      <c r="Y254" s="268"/>
      <c r="Z254" s="268"/>
    </row>
    <row r="255" spans="1:26" ht="12.75" customHeight="1">
      <c r="A255" s="268"/>
      <c r="B255" s="268"/>
      <c r="C255" s="268"/>
      <c r="D255" s="268"/>
      <c r="E255" s="268"/>
      <c r="F255" s="268"/>
      <c r="G255" s="268"/>
      <c r="H255" s="268"/>
      <c r="I255" s="268"/>
      <c r="J255" s="268"/>
      <c r="K255" s="268"/>
      <c r="L255" s="268"/>
      <c r="M255" s="268"/>
      <c r="N255" s="268"/>
      <c r="O255" s="268"/>
      <c r="P255" s="268"/>
      <c r="Q255" s="268"/>
      <c r="R255" s="268"/>
      <c r="S255" s="268"/>
      <c r="T255" s="268"/>
      <c r="U255" s="268"/>
      <c r="V255" s="268"/>
      <c r="W255" s="268"/>
      <c r="X255" s="268"/>
      <c r="Y255" s="268"/>
      <c r="Z255" s="268"/>
    </row>
    <row r="256" spans="1:26" ht="12.75" customHeight="1">
      <c r="A256" s="268"/>
      <c r="B256" s="268"/>
      <c r="C256" s="268"/>
      <c r="D256" s="268"/>
      <c r="E256" s="268"/>
      <c r="F256" s="268"/>
      <c r="G256" s="268"/>
      <c r="H256" s="268"/>
      <c r="I256" s="268"/>
      <c r="J256" s="268"/>
      <c r="K256" s="268"/>
      <c r="L256" s="268"/>
      <c r="M256" s="268"/>
      <c r="N256" s="268"/>
      <c r="O256" s="268"/>
      <c r="P256" s="268"/>
      <c r="Q256" s="268"/>
      <c r="R256" s="268"/>
      <c r="S256" s="268"/>
      <c r="T256" s="268"/>
      <c r="U256" s="268"/>
      <c r="V256" s="268"/>
      <c r="W256" s="268"/>
      <c r="X256" s="268"/>
      <c r="Y256" s="268"/>
      <c r="Z256" s="268"/>
    </row>
    <row r="257" spans="1:26" ht="12.75" customHeight="1">
      <c r="A257" s="268"/>
      <c r="B257" s="268"/>
      <c r="C257" s="268"/>
      <c r="D257" s="268"/>
      <c r="E257" s="268"/>
      <c r="F257" s="268"/>
      <c r="G257" s="268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268"/>
      <c r="X257" s="268"/>
      <c r="Y257" s="268"/>
      <c r="Z257" s="268"/>
    </row>
    <row r="258" spans="1:26" ht="12.75" customHeight="1">
      <c r="A258" s="268"/>
      <c r="B258" s="268"/>
      <c r="C258" s="268"/>
      <c r="D258" s="268"/>
      <c r="E258" s="268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268"/>
      <c r="S258" s="268"/>
      <c r="T258" s="268"/>
      <c r="U258" s="268"/>
      <c r="V258" s="268"/>
      <c r="W258" s="268"/>
      <c r="X258" s="268"/>
      <c r="Y258" s="268"/>
      <c r="Z258" s="268"/>
    </row>
    <row r="259" spans="1:26" ht="12.75" customHeight="1">
      <c r="A259" s="268"/>
      <c r="B259" s="268"/>
      <c r="C259" s="268"/>
      <c r="D259" s="268"/>
      <c r="E259" s="268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268"/>
      <c r="X259" s="268"/>
      <c r="Y259" s="268"/>
      <c r="Z259" s="268"/>
    </row>
    <row r="260" spans="1:26" ht="12.75" customHeight="1">
      <c r="A260" s="268"/>
      <c r="B260" s="268"/>
      <c r="C260" s="268"/>
      <c r="D260" s="268"/>
      <c r="E260" s="268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268"/>
      <c r="X260" s="268"/>
      <c r="Y260" s="268"/>
      <c r="Z260" s="268"/>
    </row>
    <row r="261" spans="1:26" ht="12.75" customHeight="1">
      <c r="A261" s="268"/>
      <c r="B261" s="268"/>
      <c r="C261" s="268"/>
      <c r="D261" s="268"/>
      <c r="E261" s="268"/>
      <c r="F261" s="268"/>
      <c r="G261" s="268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268"/>
      <c r="S261" s="268"/>
      <c r="T261" s="268"/>
      <c r="U261" s="268"/>
      <c r="V261" s="268"/>
      <c r="W261" s="268"/>
      <c r="X261" s="268"/>
      <c r="Y261" s="268"/>
      <c r="Z261" s="268"/>
    </row>
    <row r="262" spans="1:26" ht="12.75" customHeight="1">
      <c r="A262" s="268"/>
      <c r="B262" s="268"/>
      <c r="C262" s="268"/>
      <c r="D262" s="268"/>
      <c r="E262" s="268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</row>
    <row r="263" spans="1:26" ht="12.75" customHeight="1">
      <c r="A263" s="268"/>
      <c r="B263" s="268"/>
      <c r="C263" s="268"/>
      <c r="D263" s="268"/>
      <c r="E263" s="268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</row>
    <row r="264" spans="1:26" ht="12.75" customHeight="1">
      <c r="A264" s="268"/>
      <c r="B264" s="268"/>
      <c r="C264" s="268"/>
      <c r="D264" s="268"/>
      <c r="E264" s="268"/>
      <c r="F264" s="268"/>
      <c r="G264" s="268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268"/>
      <c r="S264" s="268"/>
      <c r="T264" s="268"/>
      <c r="U264" s="268"/>
      <c r="V264" s="268"/>
      <c r="W264" s="268"/>
      <c r="X264" s="268"/>
      <c r="Y264" s="268"/>
      <c r="Z264" s="268"/>
    </row>
    <row r="265" spans="1:26" ht="12.75" customHeight="1">
      <c r="A265" s="268"/>
      <c r="B265" s="268"/>
      <c r="C265" s="268"/>
      <c r="D265" s="268"/>
      <c r="E265" s="268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T265" s="268"/>
      <c r="U265" s="268"/>
      <c r="V265" s="268"/>
      <c r="W265" s="268"/>
      <c r="X265" s="268"/>
      <c r="Y265" s="268"/>
      <c r="Z265" s="268"/>
    </row>
    <row r="266" spans="1:26" ht="12.75" customHeight="1">
      <c r="A266" s="268"/>
      <c r="B266" s="268"/>
      <c r="C266" s="268"/>
      <c r="D266" s="268"/>
      <c r="E266" s="268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T266" s="268"/>
      <c r="U266" s="268"/>
      <c r="V266" s="268"/>
      <c r="W266" s="268"/>
      <c r="X266" s="268"/>
      <c r="Y266" s="268"/>
      <c r="Z266" s="268"/>
    </row>
    <row r="267" spans="1:26" ht="12.75" customHeight="1">
      <c r="A267" s="268"/>
      <c r="B267" s="268"/>
      <c r="C267" s="268"/>
      <c r="D267" s="268"/>
      <c r="E267" s="268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T267" s="268"/>
      <c r="U267" s="268"/>
      <c r="V267" s="268"/>
      <c r="W267" s="268"/>
      <c r="X267" s="268"/>
      <c r="Y267" s="268"/>
      <c r="Z267" s="268"/>
    </row>
    <row r="268" spans="1:26" ht="12.75" customHeight="1">
      <c r="A268" s="268"/>
      <c r="B268" s="268"/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68"/>
      <c r="W268" s="268"/>
      <c r="X268" s="268"/>
      <c r="Y268" s="268"/>
      <c r="Z268" s="268"/>
    </row>
    <row r="269" spans="1:26" ht="12.75" customHeight="1">
      <c r="A269" s="268"/>
      <c r="B269" s="268"/>
      <c r="C269" s="268"/>
      <c r="D269" s="268"/>
      <c r="E269" s="268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T269" s="268"/>
      <c r="U269" s="268"/>
      <c r="V269" s="268"/>
      <c r="W269" s="268"/>
      <c r="X269" s="268"/>
      <c r="Y269" s="268"/>
      <c r="Z269" s="268"/>
    </row>
    <row r="270" spans="1:26" ht="12.75" customHeight="1">
      <c r="A270" s="268"/>
      <c r="B270" s="268"/>
      <c r="C270" s="268"/>
      <c r="D270" s="268"/>
      <c r="E270" s="268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T270" s="268"/>
      <c r="U270" s="268"/>
      <c r="V270" s="268"/>
      <c r="W270" s="268"/>
      <c r="X270" s="268"/>
      <c r="Y270" s="268"/>
      <c r="Z270" s="268"/>
    </row>
    <row r="271" spans="1:26" ht="12.75" customHeight="1">
      <c r="A271" s="268"/>
      <c r="B271" s="268"/>
      <c r="C271" s="268"/>
      <c r="D271" s="268"/>
      <c r="E271" s="268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68"/>
      <c r="W271" s="268"/>
      <c r="X271" s="268"/>
      <c r="Y271" s="268"/>
      <c r="Z271" s="268"/>
    </row>
    <row r="272" spans="1:26" ht="12.75" customHeight="1">
      <c r="A272" s="268"/>
      <c r="B272" s="268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T272" s="268"/>
      <c r="U272" s="268"/>
      <c r="V272" s="268"/>
      <c r="W272" s="268"/>
      <c r="X272" s="268"/>
      <c r="Y272" s="268"/>
      <c r="Z272" s="268"/>
    </row>
    <row r="273" spans="1:26" ht="12.75" customHeight="1">
      <c r="A273" s="268"/>
      <c r="B273" s="268"/>
      <c r="C273" s="268"/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T273" s="268"/>
      <c r="U273" s="268"/>
      <c r="V273" s="268"/>
      <c r="W273" s="268"/>
      <c r="X273" s="268"/>
      <c r="Y273" s="268"/>
      <c r="Z273" s="268"/>
    </row>
    <row r="274" spans="1:26" ht="12.75" customHeight="1">
      <c r="A274" s="268"/>
      <c r="B274" s="268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T274" s="268"/>
      <c r="U274" s="268"/>
      <c r="V274" s="268"/>
      <c r="W274" s="268"/>
      <c r="X274" s="268"/>
      <c r="Y274" s="268"/>
      <c r="Z274" s="268"/>
    </row>
    <row r="275" spans="1:26" ht="12.75" customHeight="1">
      <c r="A275" s="268"/>
      <c r="B275" s="268"/>
      <c r="C275" s="268"/>
      <c r="D275" s="268"/>
      <c r="E275" s="268"/>
      <c r="F275" s="268"/>
      <c r="G275" s="268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T275" s="268"/>
      <c r="U275" s="268"/>
      <c r="V275" s="268"/>
      <c r="W275" s="268"/>
      <c r="X275" s="268"/>
      <c r="Y275" s="268"/>
      <c r="Z275" s="268"/>
    </row>
    <row r="276" spans="1:26" ht="12.75" customHeight="1">
      <c r="A276" s="268"/>
      <c r="B276" s="268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T276" s="268"/>
      <c r="U276" s="268"/>
      <c r="V276" s="268"/>
      <c r="W276" s="268"/>
      <c r="X276" s="268"/>
      <c r="Y276" s="268"/>
      <c r="Z276" s="268"/>
    </row>
    <row r="277" spans="1:26" ht="12.75" customHeight="1">
      <c r="A277" s="268"/>
      <c r="B277" s="268"/>
      <c r="C277" s="268"/>
      <c r="D277" s="268"/>
      <c r="E277" s="268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T277" s="268"/>
      <c r="U277" s="268"/>
      <c r="V277" s="268"/>
      <c r="W277" s="268"/>
      <c r="X277" s="268"/>
      <c r="Y277" s="268"/>
      <c r="Z277" s="268"/>
    </row>
    <row r="278" spans="1:26" ht="12.75" customHeight="1">
      <c r="A278" s="268"/>
      <c r="B278" s="268"/>
      <c r="C278" s="268"/>
      <c r="D278" s="268"/>
      <c r="E278" s="268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T278" s="268"/>
      <c r="U278" s="268"/>
      <c r="V278" s="268"/>
      <c r="W278" s="268"/>
      <c r="X278" s="268"/>
      <c r="Y278" s="268"/>
      <c r="Z278" s="268"/>
    </row>
    <row r="279" spans="1:26" ht="12.75" customHeight="1">
      <c r="A279" s="268"/>
      <c r="B279" s="268"/>
      <c r="C279" s="268"/>
      <c r="D279" s="268"/>
      <c r="E279" s="268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</row>
    <row r="280" spans="1:26" ht="12.75" customHeight="1">
      <c r="A280" s="268"/>
      <c r="B280" s="268"/>
      <c r="C280" s="268"/>
      <c r="D280" s="268"/>
      <c r="E280" s="268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</row>
    <row r="281" spans="1:26" ht="12.75" customHeight="1">
      <c r="A281" s="268"/>
      <c r="B281" s="268"/>
      <c r="C281" s="268"/>
      <c r="D281" s="268"/>
      <c r="E281" s="268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</row>
    <row r="282" spans="1:26" ht="12.75" customHeight="1">
      <c r="A282" s="268"/>
      <c r="B282" s="268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</row>
    <row r="283" spans="1:26" ht="12.75" customHeight="1">
      <c r="A283" s="268"/>
      <c r="B283" s="268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</row>
    <row r="284" spans="1:26" ht="12.75" customHeight="1">
      <c r="A284" s="268"/>
      <c r="B284" s="268"/>
      <c r="C284" s="268"/>
      <c r="D284" s="268"/>
      <c r="E284" s="268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</row>
    <row r="285" spans="1:26" ht="12.75" customHeight="1">
      <c r="A285" s="268"/>
      <c r="B285" s="268"/>
      <c r="C285" s="268"/>
      <c r="D285" s="268"/>
      <c r="E285" s="268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</row>
    <row r="286" spans="1:26" ht="12.75" customHeight="1">
      <c r="A286" s="268"/>
      <c r="B286" s="268"/>
      <c r="C286" s="268"/>
      <c r="D286" s="268"/>
      <c r="E286" s="268"/>
      <c r="F286" s="268"/>
      <c r="G286" s="268"/>
      <c r="H286" s="268"/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68"/>
      <c r="W286" s="268"/>
      <c r="X286" s="268"/>
      <c r="Y286" s="268"/>
      <c r="Z286" s="268"/>
    </row>
    <row r="287" spans="1:26" ht="12.75" customHeight="1">
      <c r="A287" s="268"/>
      <c r="B287" s="268"/>
      <c r="C287" s="268"/>
      <c r="D287" s="268"/>
      <c r="E287" s="268"/>
      <c r="F287" s="268"/>
      <c r="G287" s="268"/>
      <c r="H287" s="268"/>
      <c r="I287" s="268"/>
      <c r="J287" s="268"/>
      <c r="K287" s="268"/>
      <c r="L287" s="268"/>
      <c r="M287" s="268"/>
      <c r="N287" s="268"/>
      <c r="O287" s="268"/>
      <c r="P287" s="268"/>
      <c r="Q287" s="268"/>
      <c r="R287" s="268"/>
      <c r="S287" s="268"/>
      <c r="T287" s="268"/>
      <c r="U287" s="268"/>
      <c r="V287" s="268"/>
      <c r="W287" s="268"/>
      <c r="X287" s="268"/>
      <c r="Y287" s="268"/>
      <c r="Z287" s="268"/>
    </row>
    <row r="288" spans="1:26" ht="12.75" customHeight="1">
      <c r="A288" s="268"/>
      <c r="B288" s="268"/>
      <c r="C288" s="268"/>
      <c r="D288" s="268"/>
      <c r="E288" s="268"/>
      <c r="F288" s="268"/>
      <c r="G288" s="268"/>
      <c r="H288" s="268"/>
      <c r="I288" s="268"/>
      <c r="J288" s="268"/>
      <c r="K288" s="268"/>
      <c r="L288" s="268"/>
      <c r="M288" s="268"/>
      <c r="N288" s="268"/>
      <c r="O288" s="268"/>
      <c r="P288" s="268"/>
      <c r="Q288" s="268"/>
      <c r="R288" s="268"/>
      <c r="S288" s="268"/>
      <c r="T288" s="268"/>
      <c r="U288" s="268"/>
      <c r="V288" s="268"/>
      <c r="W288" s="268"/>
      <c r="X288" s="268"/>
      <c r="Y288" s="268"/>
      <c r="Z288" s="268"/>
    </row>
    <row r="289" spans="1:26" ht="12.75" customHeight="1">
      <c r="A289" s="268"/>
      <c r="B289" s="268"/>
      <c r="C289" s="268"/>
      <c r="D289" s="268"/>
      <c r="E289" s="268"/>
      <c r="F289" s="268"/>
      <c r="G289" s="268"/>
      <c r="H289" s="268"/>
      <c r="I289" s="268"/>
      <c r="J289" s="268"/>
      <c r="K289" s="268"/>
      <c r="L289" s="268"/>
      <c r="M289" s="268"/>
      <c r="N289" s="268"/>
      <c r="O289" s="268"/>
      <c r="P289" s="268"/>
      <c r="Q289" s="268"/>
      <c r="R289" s="268"/>
      <c r="S289" s="268"/>
      <c r="T289" s="268"/>
      <c r="U289" s="268"/>
      <c r="V289" s="268"/>
      <c r="W289" s="268"/>
      <c r="X289" s="268"/>
      <c r="Y289" s="268"/>
      <c r="Z289" s="268"/>
    </row>
    <row r="290" spans="1:26" ht="12.75" customHeight="1">
      <c r="A290" s="268"/>
      <c r="B290" s="268"/>
      <c r="C290" s="268"/>
      <c r="D290" s="268"/>
      <c r="E290" s="268"/>
      <c r="F290" s="268"/>
      <c r="G290" s="268"/>
      <c r="H290" s="268"/>
      <c r="I290" s="268"/>
      <c r="J290" s="268"/>
      <c r="K290" s="268"/>
      <c r="L290" s="268"/>
      <c r="M290" s="268"/>
      <c r="N290" s="268"/>
      <c r="O290" s="268"/>
      <c r="P290" s="268"/>
      <c r="Q290" s="268"/>
      <c r="R290" s="268"/>
      <c r="S290" s="268"/>
      <c r="T290" s="268"/>
      <c r="U290" s="268"/>
      <c r="V290" s="268"/>
      <c r="W290" s="268"/>
      <c r="X290" s="268"/>
      <c r="Y290" s="268"/>
      <c r="Z290" s="268"/>
    </row>
    <row r="291" spans="1:26" ht="12.75" customHeight="1">
      <c r="A291" s="268"/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68"/>
      <c r="W291" s="268"/>
      <c r="X291" s="268"/>
      <c r="Y291" s="268"/>
      <c r="Z291" s="268"/>
    </row>
    <row r="292" spans="1:26" ht="12.75" customHeight="1">
      <c r="A292" s="268"/>
      <c r="B292" s="268"/>
      <c r="C292" s="268"/>
      <c r="D292" s="268"/>
      <c r="E292" s="268"/>
      <c r="F292" s="268"/>
      <c r="G292" s="268"/>
      <c r="H292" s="268"/>
      <c r="I292" s="268"/>
      <c r="J292" s="268"/>
      <c r="K292" s="268"/>
      <c r="L292" s="268"/>
      <c r="M292" s="268"/>
      <c r="N292" s="268"/>
      <c r="O292" s="268"/>
      <c r="P292" s="268"/>
      <c r="Q292" s="268"/>
      <c r="R292" s="268"/>
      <c r="S292" s="268"/>
      <c r="T292" s="268"/>
      <c r="U292" s="268"/>
      <c r="V292" s="268"/>
      <c r="W292" s="268"/>
      <c r="X292" s="268"/>
      <c r="Y292" s="268"/>
      <c r="Z292" s="268"/>
    </row>
    <row r="293" spans="1:26" ht="12.75" customHeight="1">
      <c r="A293" s="268"/>
      <c r="B293" s="268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  <c r="N293" s="268"/>
      <c r="O293" s="268"/>
      <c r="P293" s="268"/>
      <c r="Q293" s="268"/>
      <c r="R293" s="268"/>
      <c r="S293" s="268"/>
      <c r="T293" s="268"/>
      <c r="U293" s="268"/>
      <c r="V293" s="268"/>
      <c r="W293" s="268"/>
      <c r="X293" s="268"/>
      <c r="Y293" s="268"/>
      <c r="Z293" s="268"/>
    </row>
    <row r="294" spans="1:26" ht="12.75" customHeight="1">
      <c r="A294" s="268"/>
      <c r="B294" s="268"/>
      <c r="C294" s="268"/>
      <c r="D294" s="268"/>
      <c r="E294" s="268"/>
      <c r="F294" s="268"/>
      <c r="G294" s="268"/>
      <c r="H294" s="268"/>
      <c r="I294" s="268"/>
      <c r="J294" s="268"/>
      <c r="K294" s="268"/>
      <c r="L294" s="268"/>
      <c r="M294" s="268"/>
      <c r="N294" s="268"/>
      <c r="O294" s="268"/>
      <c r="P294" s="268"/>
      <c r="Q294" s="268"/>
      <c r="R294" s="268"/>
      <c r="S294" s="268"/>
      <c r="T294" s="268"/>
      <c r="U294" s="268"/>
      <c r="V294" s="268"/>
      <c r="W294" s="268"/>
      <c r="X294" s="268"/>
      <c r="Y294" s="268"/>
      <c r="Z294" s="268"/>
    </row>
    <row r="295" spans="1:26" ht="12.75" customHeight="1">
      <c r="A295" s="268"/>
      <c r="B295" s="26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  <c r="N295" s="268"/>
      <c r="O295" s="268"/>
      <c r="P295" s="268"/>
      <c r="Q295" s="268"/>
      <c r="R295" s="268"/>
      <c r="S295" s="268"/>
      <c r="T295" s="268"/>
      <c r="U295" s="268"/>
      <c r="V295" s="268"/>
      <c r="W295" s="268"/>
      <c r="X295" s="268"/>
      <c r="Y295" s="268"/>
      <c r="Z295" s="268"/>
    </row>
    <row r="296" spans="1:26" ht="12.75" customHeight="1">
      <c r="A296" s="268"/>
      <c r="B296" s="268"/>
      <c r="C296" s="268"/>
      <c r="D296" s="268"/>
      <c r="E296" s="268"/>
      <c r="F296" s="268"/>
      <c r="G296" s="268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/>
      <c r="Z296" s="268"/>
    </row>
    <row r="297" spans="1:26" ht="12.75" customHeight="1">
      <c r="A297" s="268"/>
      <c r="B297" s="268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  <c r="N297" s="268"/>
      <c r="O297" s="268"/>
      <c r="P297" s="268"/>
      <c r="Q297" s="268"/>
      <c r="R297" s="268"/>
      <c r="S297" s="268"/>
      <c r="T297" s="268"/>
      <c r="U297" s="268"/>
      <c r="V297" s="268"/>
      <c r="W297" s="268"/>
      <c r="X297" s="268"/>
      <c r="Y297" s="268"/>
      <c r="Z297" s="268"/>
    </row>
    <row r="298" spans="1:26" ht="12.75" customHeight="1">
      <c r="A298" s="268"/>
      <c r="B298" s="268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68"/>
    </row>
    <row r="299" spans="1:26" ht="12.75" customHeight="1">
      <c r="A299" s="268"/>
      <c r="B299" s="268"/>
      <c r="C299" s="268"/>
      <c r="D299" s="268"/>
      <c r="E299" s="268"/>
      <c r="F299" s="268"/>
      <c r="G299" s="268"/>
      <c r="H299" s="268"/>
      <c r="I299" s="268"/>
      <c r="J299" s="268"/>
      <c r="K299" s="268"/>
      <c r="L299" s="268"/>
      <c r="M299" s="268"/>
      <c r="N299" s="268"/>
      <c r="O299" s="268"/>
      <c r="P299" s="268"/>
      <c r="Q299" s="268"/>
      <c r="R299" s="268"/>
      <c r="S299" s="268"/>
      <c r="T299" s="268"/>
      <c r="U299" s="268"/>
      <c r="V299" s="268"/>
      <c r="W299" s="268"/>
      <c r="X299" s="268"/>
      <c r="Y299" s="268"/>
      <c r="Z299" s="268"/>
    </row>
    <row r="300" spans="1:26" ht="12.75" customHeight="1">
      <c r="A300" s="268"/>
      <c r="B300" s="268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68"/>
    </row>
    <row r="301" spans="1:26" ht="12.75" customHeight="1">
      <c r="A301" s="268"/>
      <c r="B301" s="268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68"/>
    </row>
    <row r="302" spans="1:26" ht="12.75" customHeight="1">
      <c r="A302" s="268"/>
      <c r="B302" s="268"/>
      <c r="C302" s="268"/>
      <c r="D302" s="268"/>
      <c r="E302" s="268"/>
      <c r="F302" s="268"/>
      <c r="G302" s="268"/>
      <c r="H302" s="268"/>
      <c r="I302" s="268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68"/>
    </row>
    <row r="303" spans="1:26" ht="12.75" customHeight="1">
      <c r="A303" s="268"/>
      <c r="B303" s="268"/>
      <c r="C303" s="268"/>
      <c r="D303" s="268"/>
      <c r="E303" s="268"/>
      <c r="F303" s="268"/>
      <c r="G303" s="268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68"/>
      <c r="V303" s="268"/>
      <c r="W303" s="268"/>
      <c r="X303" s="268"/>
      <c r="Y303" s="268"/>
      <c r="Z303" s="268"/>
    </row>
    <row r="304" spans="1:26" ht="12.75" customHeight="1">
      <c r="A304" s="268"/>
      <c r="B304" s="268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68"/>
      <c r="V304" s="268"/>
      <c r="W304" s="268"/>
      <c r="X304" s="268"/>
      <c r="Y304" s="268"/>
      <c r="Z304" s="268"/>
    </row>
    <row r="305" spans="1:26" ht="12.75" customHeight="1">
      <c r="A305" s="268"/>
      <c r="B305" s="268"/>
      <c r="C305" s="268"/>
      <c r="D305" s="268"/>
      <c r="E305" s="268"/>
      <c r="F305" s="268"/>
      <c r="G305" s="268"/>
      <c r="H305" s="268"/>
      <c r="I305" s="268"/>
      <c r="J305" s="268"/>
      <c r="K305" s="268"/>
      <c r="L305" s="268"/>
      <c r="M305" s="268"/>
      <c r="N305" s="268"/>
      <c r="O305" s="268"/>
      <c r="P305" s="268"/>
      <c r="Q305" s="268"/>
      <c r="R305" s="268"/>
      <c r="S305" s="268"/>
      <c r="T305" s="268"/>
      <c r="U305" s="268"/>
      <c r="V305" s="268"/>
      <c r="W305" s="268"/>
      <c r="X305" s="268"/>
      <c r="Y305" s="268"/>
      <c r="Z305" s="268"/>
    </row>
    <row r="306" spans="1:26" ht="12.75" customHeight="1">
      <c r="A306" s="268"/>
      <c r="B306" s="268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268"/>
      <c r="Q306" s="268"/>
      <c r="R306" s="268"/>
      <c r="S306" s="268"/>
      <c r="T306" s="268"/>
      <c r="U306" s="268"/>
      <c r="V306" s="268"/>
      <c r="W306" s="268"/>
      <c r="X306" s="268"/>
      <c r="Y306" s="268"/>
      <c r="Z306" s="268"/>
    </row>
    <row r="307" spans="1:26" ht="12.75" customHeight="1">
      <c r="A307" s="268"/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  <c r="N307" s="268"/>
      <c r="O307" s="268"/>
      <c r="P307" s="268"/>
      <c r="Q307" s="268"/>
      <c r="R307" s="268"/>
      <c r="S307" s="268"/>
      <c r="T307" s="268"/>
      <c r="U307" s="268"/>
      <c r="V307" s="268"/>
      <c r="W307" s="268"/>
      <c r="X307" s="268"/>
      <c r="Y307" s="268"/>
      <c r="Z307" s="268"/>
    </row>
    <row r="308" spans="1:26" ht="12.75" customHeight="1">
      <c r="A308" s="268"/>
      <c r="B308" s="268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  <c r="N308" s="268"/>
      <c r="O308" s="268"/>
      <c r="P308" s="268"/>
      <c r="Q308" s="268"/>
      <c r="R308" s="268"/>
      <c r="S308" s="268"/>
      <c r="T308" s="268"/>
      <c r="U308" s="268"/>
      <c r="V308" s="268"/>
      <c r="W308" s="268"/>
      <c r="X308" s="268"/>
      <c r="Y308" s="268"/>
      <c r="Z308" s="268"/>
    </row>
    <row r="309" spans="1:26" ht="12.75" customHeight="1">
      <c r="A309" s="268"/>
      <c r="B309" s="268"/>
      <c r="C309" s="268"/>
      <c r="D309" s="268"/>
      <c r="E309" s="268"/>
      <c r="F309" s="268"/>
      <c r="G309" s="268"/>
      <c r="H309" s="268"/>
      <c r="I309" s="268"/>
      <c r="J309" s="268"/>
      <c r="K309" s="268"/>
      <c r="L309" s="268"/>
      <c r="M309" s="268"/>
      <c r="N309" s="268"/>
      <c r="O309" s="268"/>
      <c r="P309" s="268"/>
      <c r="Q309" s="268"/>
      <c r="R309" s="268"/>
      <c r="S309" s="268"/>
      <c r="T309" s="268"/>
      <c r="U309" s="268"/>
      <c r="V309" s="268"/>
      <c r="W309" s="268"/>
      <c r="X309" s="268"/>
      <c r="Y309" s="268"/>
      <c r="Z309" s="268"/>
    </row>
    <row r="310" spans="1:26" ht="12.75" customHeight="1">
      <c r="A310" s="268"/>
      <c r="B310" s="268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  <c r="N310" s="268"/>
      <c r="O310" s="268"/>
      <c r="P310" s="268"/>
      <c r="Q310" s="268"/>
      <c r="R310" s="268"/>
      <c r="S310" s="268"/>
      <c r="T310" s="268"/>
      <c r="U310" s="268"/>
      <c r="V310" s="268"/>
      <c r="W310" s="268"/>
      <c r="X310" s="268"/>
      <c r="Y310" s="268"/>
      <c r="Z310" s="268"/>
    </row>
    <row r="311" spans="1:26" ht="12.75" customHeight="1">
      <c r="A311" s="268"/>
      <c r="B311" s="268"/>
      <c r="C311" s="268"/>
      <c r="D311" s="268"/>
      <c r="E311" s="268"/>
      <c r="F311" s="268"/>
      <c r="G311" s="268"/>
      <c r="H311" s="268"/>
      <c r="I311" s="268"/>
      <c r="J311" s="268"/>
      <c r="K311" s="268"/>
      <c r="L311" s="268"/>
      <c r="M311" s="268"/>
      <c r="N311" s="268"/>
      <c r="O311" s="268"/>
      <c r="P311" s="268"/>
      <c r="Q311" s="268"/>
      <c r="R311" s="268"/>
      <c r="S311" s="268"/>
      <c r="T311" s="268"/>
      <c r="U311" s="268"/>
      <c r="V311" s="268"/>
      <c r="W311" s="268"/>
      <c r="X311" s="268"/>
      <c r="Y311" s="268"/>
      <c r="Z311" s="268"/>
    </row>
    <row r="312" spans="1:26" ht="12.75" customHeight="1">
      <c r="A312" s="268"/>
      <c r="B312" s="268"/>
      <c r="C312" s="268"/>
      <c r="D312" s="268"/>
      <c r="E312" s="268"/>
      <c r="F312" s="268"/>
      <c r="G312" s="268"/>
      <c r="H312" s="268"/>
      <c r="I312" s="268"/>
      <c r="J312" s="268"/>
      <c r="K312" s="268"/>
      <c r="L312" s="268"/>
      <c r="M312" s="268"/>
      <c r="N312" s="268"/>
      <c r="O312" s="268"/>
      <c r="P312" s="268"/>
      <c r="Q312" s="268"/>
      <c r="R312" s="268"/>
      <c r="S312" s="268"/>
      <c r="T312" s="268"/>
      <c r="U312" s="268"/>
      <c r="V312" s="268"/>
      <c r="W312" s="268"/>
      <c r="X312" s="268"/>
      <c r="Y312" s="268"/>
      <c r="Z312" s="268"/>
    </row>
    <row r="313" spans="1:26" ht="12.75" customHeight="1">
      <c r="A313" s="268"/>
      <c r="B313" s="268"/>
      <c r="C313" s="268"/>
      <c r="D313" s="268"/>
      <c r="E313" s="268"/>
      <c r="F313" s="268"/>
      <c r="G313" s="268"/>
      <c r="H313" s="268"/>
      <c r="I313" s="268"/>
      <c r="J313" s="268"/>
      <c r="K313" s="268"/>
      <c r="L313" s="268"/>
      <c r="M313" s="268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68"/>
    </row>
    <row r="314" spans="1:26" ht="12.75" customHeight="1">
      <c r="A314" s="268"/>
      <c r="B314" s="268"/>
      <c r="C314" s="268"/>
      <c r="D314" s="268"/>
      <c r="E314" s="268"/>
      <c r="F314" s="268"/>
      <c r="G314" s="268"/>
      <c r="H314" s="268"/>
      <c r="I314" s="268"/>
      <c r="J314" s="268"/>
      <c r="K314" s="268"/>
      <c r="L314" s="268"/>
      <c r="M314" s="268"/>
      <c r="N314" s="268"/>
      <c r="O314" s="268"/>
      <c r="P314" s="268"/>
      <c r="Q314" s="268"/>
      <c r="R314" s="268"/>
      <c r="S314" s="268"/>
      <c r="T314" s="268"/>
      <c r="U314" s="268"/>
      <c r="V314" s="268"/>
      <c r="W314" s="268"/>
      <c r="X314" s="268"/>
      <c r="Y314" s="268"/>
      <c r="Z314" s="268"/>
    </row>
    <row r="315" spans="1:26" ht="12.75" customHeight="1">
      <c r="A315" s="268"/>
      <c r="B315" s="268"/>
      <c r="C315" s="268"/>
      <c r="D315" s="268"/>
      <c r="E315" s="268"/>
      <c r="F315" s="268"/>
      <c r="G315" s="268"/>
      <c r="H315" s="268"/>
      <c r="I315" s="268"/>
      <c r="J315" s="268"/>
      <c r="K315" s="268"/>
      <c r="L315" s="268"/>
      <c r="M315" s="268"/>
      <c r="N315" s="268"/>
      <c r="O315" s="268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</row>
    <row r="316" spans="1:26" ht="12.75" customHeight="1">
      <c r="A316" s="268"/>
      <c r="B316" s="268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  <c r="N316" s="268"/>
      <c r="O316" s="268"/>
      <c r="P316" s="268"/>
      <c r="Q316" s="268"/>
      <c r="R316" s="268"/>
      <c r="S316" s="268"/>
      <c r="T316" s="268"/>
      <c r="U316" s="268"/>
      <c r="V316" s="268"/>
      <c r="W316" s="268"/>
      <c r="X316" s="268"/>
      <c r="Y316" s="268"/>
      <c r="Z316" s="268"/>
    </row>
    <row r="317" spans="1:26" ht="12.75" customHeight="1">
      <c r="A317" s="268"/>
      <c r="B317" s="268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  <c r="N317" s="268"/>
      <c r="O317" s="268"/>
      <c r="P317" s="268"/>
      <c r="Q317" s="268"/>
      <c r="R317" s="268"/>
      <c r="S317" s="268"/>
      <c r="T317" s="268"/>
      <c r="U317" s="268"/>
      <c r="V317" s="268"/>
      <c r="W317" s="268"/>
      <c r="X317" s="268"/>
      <c r="Y317" s="268"/>
      <c r="Z317" s="268"/>
    </row>
    <row r="318" spans="1:26" ht="12.75" customHeight="1">
      <c r="A318" s="268"/>
      <c r="B318" s="268"/>
      <c r="C318" s="268"/>
      <c r="D318" s="268"/>
      <c r="E318" s="268"/>
      <c r="F318" s="268"/>
      <c r="G318" s="268"/>
      <c r="H318" s="268"/>
      <c r="I318" s="268"/>
      <c r="J318" s="268"/>
      <c r="K318" s="268"/>
      <c r="L318" s="268"/>
      <c r="M318" s="268"/>
      <c r="N318" s="268"/>
      <c r="O318" s="268"/>
      <c r="P318" s="268"/>
      <c r="Q318" s="268"/>
      <c r="R318" s="268"/>
      <c r="S318" s="268"/>
      <c r="T318" s="268"/>
      <c r="U318" s="268"/>
      <c r="V318" s="268"/>
      <c r="W318" s="268"/>
      <c r="X318" s="268"/>
      <c r="Y318" s="268"/>
      <c r="Z318" s="268"/>
    </row>
    <row r="319" spans="1:26" ht="12.75" customHeight="1">
      <c r="A319" s="268"/>
      <c r="B319" s="268"/>
      <c r="C319" s="268"/>
      <c r="D319" s="268"/>
      <c r="E319" s="268"/>
      <c r="F319" s="268"/>
      <c r="G319" s="268"/>
      <c r="H319" s="268"/>
      <c r="I319" s="268"/>
      <c r="J319" s="268"/>
      <c r="K319" s="268"/>
      <c r="L319" s="268"/>
      <c r="M319" s="268"/>
      <c r="N319" s="268"/>
      <c r="O319" s="268"/>
      <c r="P319" s="268"/>
      <c r="Q319" s="268"/>
      <c r="R319" s="268"/>
      <c r="S319" s="268"/>
      <c r="T319" s="268"/>
      <c r="U319" s="268"/>
      <c r="V319" s="268"/>
      <c r="W319" s="268"/>
      <c r="X319" s="268"/>
      <c r="Y319" s="268"/>
      <c r="Z319" s="268"/>
    </row>
    <row r="320" spans="1:26" ht="12.75" customHeight="1">
      <c r="A320" s="268"/>
      <c r="B320" s="268"/>
      <c r="C320" s="268"/>
      <c r="D320" s="268"/>
      <c r="E320" s="268"/>
      <c r="F320" s="268"/>
      <c r="G320" s="268"/>
      <c r="H320" s="268"/>
      <c r="I320" s="268"/>
      <c r="J320" s="268"/>
      <c r="K320" s="268"/>
      <c r="L320" s="268"/>
      <c r="M320" s="268"/>
      <c r="N320" s="268"/>
      <c r="O320" s="268"/>
      <c r="P320" s="268"/>
      <c r="Q320" s="268"/>
      <c r="R320" s="268"/>
      <c r="S320" s="268"/>
      <c r="T320" s="268"/>
      <c r="U320" s="268"/>
      <c r="V320" s="268"/>
      <c r="W320" s="268"/>
      <c r="X320" s="268"/>
      <c r="Y320" s="268"/>
      <c r="Z320" s="268"/>
    </row>
    <row r="321" spans="1:26" ht="12.75" customHeight="1">
      <c r="A321" s="268"/>
      <c r="B321" s="268"/>
      <c r="C321" s="268"/>
      <c r="D321" s="268"/>
      <c r="E321" s="268"/>
      <c r="F321" s="268"/>
      <c r="G321" s="268"/>
      <c r="H321" s="268"/>
      <c r="I321" s="268"/>
      <c r="J321" s="268"/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68"/>
    </row>
    <row r="322" spans="1:26" ht="12.75" customHeight="1">
      <c r="A322" s="268"/>
      <c r="B322" s="268"/>
      <c r="C322" s="268"/>
      <c r="D322" s="268"/>
      <c r="E322" s="268"/>
      <c r="F322" s="268"/>
      <c r="G322" s="268"/>
      <c r="H322" s="268"/>
      <c r="I322" s="268"/>
      <c r="J322" s="268"/>
      <c r="K322" s="268"/>
      <c r="L322" s="268"/>
      <c r="M322" s="268"/>
      <c r="N322" s="268"/>
      <c r="O322" s="268"/>
      <c r="P322" s="268"/>
      <c r="Q322" s="268"/>
      <c r="R322" s="268"/>
      <c r="S322" s="268"/>
      <c r="T322" s="268"/>
      <c r="U322" s="268"/>
      <c r="V322" s="268"/>
      <c r="W322" s="268"/>
      <c r="X322" s="268"/>
      <c r="Y322" s="268"/>
      <c r="Z322" s="268"/>
    </row>
    <row r="323" spans="1:26" ht="12.75" customHeight="1">
      <c r="A323" s="268"/>
      <c r="B323" s="268"/>
      <c r="C323" s="268"/>
      <c r="D323" s="268"/>
      <c r="E323" s="268"/>
      <c r="F323" s="268"/>
      <c r="G323" s="268"/>
      <c r="H323" s="268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</row>
    <row r="324" spans="1:26" ht="12.75" customHeight="1">
      <c r="A324" s="268"/>
      <c r="B324" s="268"/>
      <c r="C324" s="268"/>
      <c r="D324" s="268"/>
      <c r="E324" s="268"/>
      <c r="F324" s="268"/>
      <c r="G324" s="268"/>
      <c r="H324" s="268"/>
      <c r="I324" s="268"/>
      <c r="J324" s="268"/>
      <c r="K324" s="268"/>
      <c r="L324" s="268"/>
      <c r="M324" s="268"/>
      <c r="N324" s="268"/>
      <c r="O324" s="268"/>
      <c r="P324" s="268"/>
      <c r="Q324" s="268"/>
      <c r="R324" s="268"/>
      <c r="S324" s="268"/>
      <c r="T324" s="268"/>
      <c r="U324" s="268"/>
      <c r="V324" s="268"/>
      <c r="W324" s="268"/>
      <c r="X324" s="268"/>
      <c r="Y324" s="268"/>
      <c r="Z324" s="268"/>
    </row>
    <row r="325" spans="1:26" ht="12.75" customHeight="1">
      <c r="A325" s="268"/>
      <c r="B325" s="268"/>
      <c r="C325" s="268"/>
      <c r="D325" s="268"/>
      <c r="E325" s="268"/>
      <c r="F325" s="268"/>
      <c r="G325" s="268"/>
      <c r="H325" s="268"/>
      <c r="I325" s="268"/>
      <c r="J325" s="268"/>
      <c r="K325" s="268"/>
      <c r="L325" s="268"/>
      <c r="M325" s="268"/>
      <c r="N325" s="268"/>
      <c r="O325" s="268"/>
      <c r="P325" s="268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</row>
    <row r="326" spans="1:26" ht="12.75" customHeight="1">
      <c r="A326" s="268"/>
      <c r="B326" s="268"/>
      <c r="C326" s="268"/>
      <c r="D326" s="268"/>
      <c r="E326" s="268"/>
      <c r="F326" s="268"/>
      <c r="G326" s="268"/>
      <c r="H326" s="268"/>
      <c r="I326" s="268"/>
      <c r="J326" s="268"/>
      <c r="K326" s="268"/>
      <c r="L326" s="268"/>
      <c r="M326" s="268"/>
      <c r="N326" s="268"/>
      <c r="O326" s="268"/>
      <c r="P326" s="268"/>
      <c r="Q326" s="268"/>
      <c r="R326" s="268"/>
      <c r="S326" s="268"/>
      <c r="T326" s="268"/>
      <c r="U326" s="268"/>
      <c r="V326" s="268"/>
      <c r="W326" s="268"/>
      <c r="X326" s="268"/>
      <c r="Y326" s="268"/>
      <c r="Z326" s="268"/>
    </row>
    <row r="327" spans="1:26" ht="12.75" customHeight="1">
      <c r="A327" s="268"/>
      <c r="B327" s="268"/>
      <c r="C327" s="268"/>
      <c r="D327" s="268"/>
      <c r="E327" s="268"/>
      <c r="F327" s="268"/>
      <c r="G327" s="268"/>
      <c r="H327" s="268"/>
      <c r="I327" s="268"/>
      <c r="J327" s="268"/>
      <c r="K327" s="268"/>
      <c r="L327" s="268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</row>
    <row r="328" spans="1:26" ht="12.75" customHeight="1">
      <c r="A328" s="268"/>
      <c r="B328" s="268"/>
      <c r="C328" s="268"/>
      <c r="D328" s="268"/>
      <c r="E328" s="268"/>
      <c r="F328" s="268"/>
      <c r="G328" s="268"/>
      <c r="H328" s="268"/>
      <c r="I328" s="268"/>
      <c r="J328" s="268"/>
      <c r="K328" s="268"/>
      <c r="L328" s="268"/>
      <c r="M328" s="268"/>
      <c r="N328" s="268"/>
      <c r="O328" s="268"/>
      <c r="P328" s="268"/>
      <c r="Q328" s="268"/>
      <c r="R328" s="268"/>
      <c r="S328" s="268"/>
      <c r="T328" s="268"/>
      <c r="U328" s="268"/>
      <c r="V328" s="268"/>
      <c r="W328" s="268"/>
      <c r="X328" s="268"/>
      <c r="Y328" s="268"/>
      <c r="Z328" s="268"/>
    </row>
    <row r="329" spans="1:26" ht="12.75" customHeight="1">
      <c r="A329" s="268"/>
      <c r="B329" s="268"/>
      <c r="C329" s="268"/>
      <c r="D329" s="268"/>
      <c r="E329" s="268"/>
      <c r="F329" s="268"/>
      <c r="G329" s="268"/>
      <c r="H329" s="268"/>
      <c r="I329" s="268"/>
      <c r="J329" s="268"/>
      <c r="K329" s="268"/>
      <c r="L329" s="268"/>
      <c r="M329" s="268"/>
      <c r="N329" s="268"/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</row>
    <row r="330" spans="1:26" ht="12.75" customHeight="1">
      <c r="A330" s="268"/>
      <c r="B330" s="268"/>
      <c r="C330" s="268"/>
      <c r="D330" s="268"/>
      <c r="E330" s="268"/>
      <c r="F330" s="268"/>
      <c r="G330" s="268"/>
      <c r="H330" s="268"/>
      <c r="I330" s="268"/>
      <c r="J330" s="268"/>
      <c r="K330" s="268"/>
      <c r="L330" s="268"/>
      <c r="M330" s="268"/>
      <c r="N330" s="268"/>
      <c r="O330" s="268"/>
      <c r="P330" s="268"/>
      <c r="Q330" s="268"/>
      <c r="R330" s="268"/>
      <c r="S330" s="268"/>
      <c r="T330" s="268"/>
      <c r="U330" s="268"/>
      <c r="V330" s="268"/>
      <c r="W330" s="268"/>
      <c r="X330" s="268"/>
      <c r="Y330" s="268"/>
      <c r="Z330" s="268"/>
    </row>
    <row r="331" spans="1:26" ht="12.75" customHeight="1">
      <c r="A331" s="268"/>
      <c r="B331" s="268"/>
      <c r="C331" s="268"/>
      <c r="D331" s="268"/>
      <c r="E331" s="268"/>
      <c r="F331" s="268"/>
      <c r="G331" s="268"/>
      <c r="H331" s="268"/>
      <c r="I331" s="268"/>
      <c r="J331" s="268"/>
      <c r="K331" s="268"/>
      <c r="L331" s="268"/>
      <c r="M331" s="268"/>
      <c r="N331" s="268"/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</row>
    <row r="332" spans="1:26" ht="12.75" customHeight="1">
      <c r="A332" s="268"/>
      <c r="B332" s="268"/>
      <c r="C332" s="268"/>
      <c r="D332" s="268"/>
      <c r="E332" s="268"/>
      <c r="F332" s="268"/>
      <c r="G332" s="268"/>
      <c r="H332" s="268"/>
      <c r="I332" s="268"/>
      <c r="J332" s="268"/>
      <c r="K332" s="268"/>
      <c r="L332" s="268"/>
      <c r="M332" s="268"/>
      <c r="N332" s="268"/>
      <c r="O332" s="268"/>
      <c r="P332" s="268"/>
      <c r="Q332" s="268"/>
      <c r="R332" s="268"/>
      <c r="S332" s="268"/>
      <c r="T332" s="268"/>
      <c r="U332" s="268"/>
      <c r="V332" s="268"/>
      <c r="W332" s="268"/>
      <c r="X332" s="268"/>
      <c r="Y332" s="268"/>
      <c r="Z332" s="268"/>
    </row>
    <row r="333" spans="1:26" ht="12.75" customHeight="1">
      <c r="A333" s="268"/>
      <c r="B333" s="268"/>
      <c r="C333" s="268"/>
      <c r="D333" s="268"/>
      <c r="E333" s="268"/>
      <c r="F333" s="268"/>
      <c r="G333" s="268"/>
      <c r="H333" s="268"/>
      <c r="I333" s="268"/>
      <c r="J333" s="268"/>
      <c r="K333" s="268"/>
      <c r="L333" s="268"/>
      <c r="M333" s="268"/>
      <c r="N333" s="268"/>
      <c r="O333" s="268"/>
      <c r="P333" s="268"/>
      <c r="Q333" s="268"/>
      <c r="R333" s="268"/>
      <c r="S333" s="268"/>
      <c r="T333" s="268"/>
      <c r="U333" s="268"/>
      <c r="V333" s="268"/>
      <c r="W333" s="268"/>
      <c r="X333" s="268"/>
      <c r="Y333" s="268"/>
      <c r="Z333" s="268"/>
    </row>
    <row r="334" spans="1:26" ht="12.75" customHeight="1">
      <c r="A334" s="268"/>
      <c r="B334" s="268"/>
      <c r="C334" s="268"/>
      <c r="D334" s="268"/>
      <c r="E334" s="268"/>
      <c r="F334" s="268"/>
      <c r="G334" s="268"/>
      <c r="H334" s="268"/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</row>
    <row r="335" spans="1:26" ht="12.75" customHeight="1">
      <c r="A335" s="268"/>
      <c r="B335" s="268"/>
      <c r="C335" s="268"/>
      <c r="D335" s="268"/>
      <c r="E335" s="268"/>
      <c r="F335" s="268"/>
      <c r="G335" s="268"/>
      <c r="H335" s="268"/>
      <c r="I335" s="268"/>
      <c r="J335" s="268"/>
      <c r="K335" s="268"/>
      <c r="L335" s="268"/>
      <c r="M335" s="268"/>
      <c r="N335" s="268"/>
      <c r="O335" s="268"/>
      <c r="P335" s="268"/>
      <c r="Q335" s="268"/>
      <c r="R335" s="268"/>
      <c r="S335" s="268"/>
      <c r="T335" s="268"/>
      <c r="U335" s="268"/>
      <c r="V335" s="268"/>
      <c r="W335" s="268"/>
      <c r="X335" s="268"/>
      <c r="Y335" s="268"/>
      <c r="Z335" s="268"/>
    </row>
    <row r="336" spans="1:26" ht="12.75" customHeight="1">
      <c r="A336" s="268"/>
      <c r="B336" s="268"/>
      <c r="C336" s="268"/>
      <c r="D336" s="268"/>
      <c r="E336" s="268"/>
      <c r="F336" s="268"/>
      <c r="G336" s="268"/>
      <c r="H336" s="268"/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</row>
    <row r="337" spans="1:26" ht="12.75" customHeight="1">
      <c r="A337" s="268"/>
      <c r="B337" s="268"/>
      <c r="C337" s="268"/>
      <c r="D337" s="268"/>
      <c r="E337" s="268"/>
      <c r="F337" s="268"/>
      <c r="G337" s="268"/>
      <c r="H337" s="268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68"/>
      <c r="U337" s="268"/>
      <c r="V337" s="268"/>
      <c r="W337" s="268"/>
      <c r="X337" s="268"/>
      <c r="Y337" s="268"/>
      <c r="Z337" s="268"/>
    </row>
    <row r="338" spans="1:26" ht="12.75" customHeight="1">
      <c r="A338" s="268"/>
      <c r="B338" s="268"/>
      <c r="C338" s="268"/>
      <c r="D338" s="268"/>
      <c r="E338" s="268"/>
      <c r="F338" s="268"/>
      <c r="G338" s="268"/>
      <c r="H338" s="268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</row>
    <row r="339" spans="1:26" ht="12.75" customHeight="1">
      <c r="A339" s="268"/>
      <c r="B339" s="268"/>
      <c r="C339" s="268"/>
      <c r="D339" s="268"/>
      <c r="E339" s="268"/>
      <c r="F339" s="268"/>
      <c r="G339" s="268"/>
      <c r="H339" s="268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68"/>
    </row>
    <row r="340" spans="1:26" ht="12.75" customHeight="1">
      <c r="A340" s="268"/>
      <c r="B340" s="268"/>
      <c r="C340" s="268"/>
      <c r="D340" s="268"/>
      <c r="E340" s="268"/>
      <c r="F340" s="268"/>
      <c r="G340" s="268"/>
      <c r="H340" s="268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</row>
    <row r="341" spans="1:26" ht="12.75" customHeight="1">
      <c r="A341" s="268"/>
      <c r="B341" s="268"/>
      <c r="C341" s="268"/>
      <c r="D341" s="268"/>
      <c r="E341" s="268"/>
      <c r="F341" s="268"/>
      <c r="G341" s="268"/>
      <c r="H341" s="268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268"/>
      <c r="U341" s="268"/>
      <c r="V341" s="268"/>
      <c r="W341" s="268"/>
      <c r="X341" s="268"/>
      <c r="Y341" s="268"/>
      <c r="Z341" s="268"/>
    </row>
    <row r="342" spans="1:26" ht="12.75" customHeight="1">
      <c r="A342" s="268"/>
      <c r="B342" s="268"/>
      <c r="C342" s="268"/>
      <c r="D342" s="268"/>
      <c r="E342" s="268"/>
      <c r="F342" s="268"/>
      <c r="G342" s="268"/>
      <c r="H342" s="268"/>
      <c r="I342" s="268"/>
      <c r="J342" s="268"/>
      <c r="K342" s="268"/>
      <c r="L342" s="268"/>
      <c r="M342" s="268"/>
      <c r="N342" s="268"/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</row>
    <row r="343" spans="1:26" ht="12.75" customHeight="1">
      <c r="A343" s="268"/>
      <c r="B343" s="268"/>
      <c r="C343" s="268"/>
      <c r="D343" s="268"/>
      <c r="E343" s="268"/>
      <c r="F343" s="268"/>
      <c r="G343" s="268"/>
      <c r="H343" s="268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</row>
    <row r="344" spans="1:26" ht="12.75" customHeight="1">
      <c r="A344" s="268"/>
      <c r="B344" s="268"/>
      <c r="C344" s="268"/>
      <c r="D344" s="268"/>
      <c r="E344" s="268"/>
      <c r="F344" s="268"/>
      <c r="G344" s="268"/>
      <c r="H344" s="268"/>
      <c r="I344" s="268"/>
      <c r="J344" s="268"/>
      <c r="K344" s="268"/>
      <c r="L344" s="268"/>
      <c r="M344" s="268"/>
      <c r="N344" s="268"/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68"/>
    </row>
    <row r="345" spans="1:26" ht="12.75" customHeight="1">
      <c r="A345" s="268"/>
      <c r="B345" s="268"/>
      <c r="C345" s="268"/>
      <c r="D345" s="268"/>
      <c r="E345" s="268"/>
      <c r="F345" s="268"/>
      <c r="G345" s="268"/>
      <c r="H345" s="268"/>
      <c r="I345" s="268"/>
      <c r="J345" s="268"/>
      <c r="K345" s="268"/>
      <c r="L345" s="268"/>
      <c r="M345" s="268"/>
      <c r="N345" s="268"/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68"/>
    </row>
    <row r="346" spans="1:26" ht="12.75" customHeight="1">
      <c r="A346" s="268"/>
      <c r="B346" s="268"/>
      <c r="C346" s="268"/>
      <c r="D346" s="268"/>
      <c r="E346" s="268"/>
      <c r="F346" s="268"/>
      <c r="G346" s="268"/>
      <c r="H346" s="268"/>
      <c r="I346" s="268"/>
      <c r="J346" s="268"/>
      <c r="K346" s="268"/>
      <c r="L346" s="268"/>
      <c r="M346" s="268"/>
      <c r="N346" s="268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</row>
    <row r="347" spans="1:26" ht="12.75" customHeight="1">
      <c r="A347" s="268"/>
      <c r="B347" s="268"/>
      <c r="C347" s="268"/>
      <c r="D347" s="268"/>
      <c r="E347" s="268"/>
      <c r="F347" s="268"/>
      <c r="G347" s="268"/>
      <c r="H347" s="268"/>
      <c r="I347" s="268"/>
      <c r="J347" s="268"/>
      <c r="K347" s="268"/>
      <c r="L347" s="268"/>
      <c r="M347" s="268"/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68"/>
    </row>
    <row r="348" spans="1:26" ht="12.75" customHeight="1">
      <c r="A348" s="268"/>
      <c r="B348" s="268"/>
      <c r="C348" s="268"/>
      <c r="D348" s="268"/>
      <c r="E348" s="268"/>
      <c r="F348" s="268"/>
      <c r="G348" s="268"/>
      <c r="H348" s="268"/>
      <c r="I348" s="268"/>
      <c r="J348" s="268"/>
      <c r="K348" s="268"/>
      <c r="L348" s="268"/>
      <c r="M348" s="268"/>
      <c r="N348" s="268"/>
      <c r="O348" s="268"/>
      <c r="P348" s="268"/>
      <c r="Q348" s="268"/>
      <c r="R348" s="268"/>
      <c r="S348" s="268"/>
      <c r="T348" s="268"/>
      <c r="U348" s="268"/>
      <c r="V348" s="268"/>
      <c r="W348" s="268"/>
      <c r="X348" s="268"/>
      <c r="Y348" s="268"/>
      <c r="Z348" s="268"/>
    </row>
    <row r="349" spans="1:26" ht="12.75" customHeight="1">
      <c r="A349" s="268"/>
      <c r="B349" s="268"/>
      <c r="C349" s="268"/>
      <c r="D349" s="268"/>
      <c r="E349" s="268"/>
      <c r="F349" s="268"/>
      <c r="G349" s="268"/>
      <c r="H349" s="268"/>
      <c r="I349" s="268"/>
      <c r="J349" s="268"/>
      <c r="K349" s="268"/>
      <c r="L349" s="268"/>
      <c r="M349" s="268"/>
      <c r="N349" s="268"/>
      <c r="O349" s="268"/>
      <c r="P349" s="268"/>
      <c r="Q349" s="268"/>
      <c r="R349" s="268"/>
      <c r="S349" s="268"/>
      <c r="T349" s="268"/>
      <c r="U349" s="268"/>
      <c r="V349" s="268"/>
      <c r="W349" s="268"/>
      <c r="X349" s="268"/>
      <c r="Y349" s="268"/>
      <c r="Z349" s="268"/>
    </row>
    <row r="350" spans="1:26" ht="12.75" customHeight="1">
      <c r="A350" s="268"/>
      <c r="B350" s="268"/>
      <c r="C350" s="268"/>
      <c r="D350" s="268"/>
      <c r="E350" s="268"/>
      <c r="F350" s="268"/>
      <c r="G350" s="268"/>
      <c r="H350" s="268"/>
      <c r="I350" s="268"/>
      <c r="J350" s="268"/>
      <c r="K350" s="268"/>
      <c r="L350" s="268"/>
      <c r="M350" s="268"/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</row>
    <row r="351" spans="1:26" ht="12.75" customHeight="1">
      <c r="A351" s="268"/>
      <c r="B351" s="268"/>
      <c r="C351" s="268"/>
      <c r="D351" s="268"/>
      <c r="E351" s="268"/>
      <c r="F351" s="268"/>
      <c r="G351" s="268"/>
      <c r="H351" s="268"/>
      <c r="I351" s="268"/>
      <c r="J351" s="268"/>
      <c r="K351" s="268"/>
      <c r="L351" s="268"/>
      <c r="M351" s="268"/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</row>
    <row r="352" spans="1:26" ht="12.75" customHeight="1">
      <c r="A352" s="268"/>
      <c r="B352" s="268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</row>
    <row r="353" spans="1:26" ht="12.75" customHeight="1">
      <c r="A353" s="268"/>
      <c r="B353" s="268"/>
      <c r="C353" s="268"/>
      <c r="D353" s="268"/>
      <c r="E353" s="268"/>
      <c r="F353" s="268"/>
      <c r="G353" s="268"/>
      <c r="H353" s="268"/>
      <c r="I353" s="268"/>
      <c r="J353" s="268"/>
      <c r="K353" s="268"/>
      <c r="L353" s="268"/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</row>
    <row r="354" spans="1:26" ht="12.75" customHeight="1">
      <c r="A354" s="268"/>
      <c r="B354" s="26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</row>
    <row r="355" spans="1:26" ht="12.75" customHeight="1">
      <c r="A355" s="268"/>
      <c r="B355" s="268"/>
      <c r="C355" s="268"/>
      <c r="D355" s="268"/>
      <c r="E355" s="268"/>
      <c r="F355" s="268"/>
      <c r="G355" s="268"/>
      <c r="H355" s="268"/>
      <c r="I355" s="268"/>
      <c r="J355" s="268"/>
      <c r="K355" s="268"/>
      <c r="L355" s="268"/>
      <c r="M355" s="268"/>
      <c r="N355" s="268"/>
      <c r="O355" s="268"/>
      <c r="P355" s="268"/>
      <c r="Q355" s="268"/>
      <c r="R355" s="268"/>
      <c r="S355" s="268"/>
      <c r="T355" s="268"/>
      <c r="U355" s="268"/>
      <c r="V355" s="268"/>
      <c r="W355" s="268"/>
      <c r="X355" s="268"/>
      <c r="Y355" s="268"/>
      <c r="Z355" s="268"/>
    </row>
    <row r="356" spans="1:26" ht="12.75" customHeight="1">
      <c r="A356" s="268"/>
      <c r="B356" s="268"/>
      <c r="C356" s="268"/>
      <c r="D356" s="268"/>
      <c r="E356" s="268"/>
      <c r="F356" s="268"/>
      <c r="G356" s="268"/>
      <c r="H356" s="268"/>
      <c r="I356" s="268"/>
      <c r="J356" s="268"/>
      <c r="K356" s="268"/>
      <c r="L356" s="268"/>
      <c r="M356" s="268"/>
      <c r="N356" s="268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</row>
    <row r="357" spans="1:26" ht="12.75" customHeight="1">
      <c r="A357" s="268"/>
      <c r="B357" s="268"/>
      <c r="C357" s="268"/>
      <c r="D357" s="268"/>
      <c r="E357" s="268"/>
      <c r="F357" s="268"/>
      <c r="G357" s="268"/>
      <c r="H357" s="268"/>
      <c r="I357" s="268"/>
      <c r="J357" s="268"/>
      <c r="K357" s="268"/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</row>
    <row r="358" spans="1:26" ht="12.75" customHeight="1">
      <c r="A358" s="268"/>
      <c r="B358" s="268"/>
      <c r="C358" s="268"/>
      <c r="D358" s="268"/>
      <c r="E358" s="268"/>
      <c r="F358" s="268"/>
      <c r="G358" s="268"/>
      <c r="H358" s="268"/>
      <c r="I358" s="268"/>
      <c r="J358" s="268"/>
      <c r="K358" s="268"/>
      <c r="L358" s="268"/>
      <c r="M358" s="268"/>
      <c r="N358" s="268"/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</row>
    <row r="359" spans="1:26" ht="12.75" customHeight="1">
      <c r="A359" s="268"/>
      <c r="B359" s="268"/>
      <c r="C359" s="268"/>
      <c r="D359" s="268"/>
      <c r="E359" s="268"/>
      <c r="F359" s="268"/>
      <c r="G359" s="268"/>
      <c r="H359" s="268"/>
      <c r="I359" s="268"/>
      <c r="J359" s="268"/>
      <c r="K359" s="268"/>
      <c r="L359" s="268"/>
      <c r="M359" s="268"/>
      <c r="N359" s="268"/>
      <c r="O359" s="268"/>
      <c r="P359" s="268"/>
      <c r="Q359" s="268"/>
      <c r="R359" s="268"/>
      <c r="S359" s="268"/>
      <c r="T359" s="268"/>
      <c r="U359" s="268"/>
      <c r="V359" s="268"/>
      <c r="W359" s="268"/>
      <c r="X359" s="268"/>
      <c r="Y359" s="268"/>
      <c r="Z359" s="268"/>
    </row>
    <row r="360" spans="1:26" ht="12.75" customHeight="1">
      <c r="A360" s="268"/>
      <c r="B360" s="268"/>
      <c r="C360" s="268"/>
      <c r="D360" s="268"/>
      <c r="E360" s="268"/>
      <c r="F360" s="268"/>
      <c r="G360" s="268"/>
      <c r="H360" s="268"/>
      <c r="I360" s="268"/>
      <c r="J360" s="268"/>
      <c r="K360" s="268"/>
      <c r="L360" s="268"/>
      <c r="M360" s="268"/>
      <c r="N360" s="268"/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</row>
    <row r="361" spans="1:26" ht="12.75" customHeight="1">
      <c r="A361" s="268"/>
      <c r="B361" s="268"/>
      <c r="C361" s="268"/>
      <c r="D361" s="268"/>
      <c r="E361" s="268"/>
      <c r="F361" s="268"/>
      <c r="G361" s="268"/>
      <c r="H361" s="268"/>
      <c r="I361" s="268"/>
      <c r="J361" s="268"/>
      <c r="K361" s="268"/>
      <c r="L361" s="268"/>
      <c r="M361" s="268"/>
      <c r="N361" s="268"/>
      <c r="O361" s="268"/>
      <c r="P361" s="268"/>
      <c r="Q361" s="268"/>
      <c r="R361" s="268"/>
      <c r="S361" s="268"/>
      <c r="T361" s="268"/>
      <c r="U361" s="268"/>
      <c r="V361" s="268"/>
      <c r="W361" s="268"/>
      <c r="X361" s="268"/>
      <c r="Y361" s="268"/>
      <c r="Z361" s="268"/>
    </row>
    <row r="362" spans="1:26" ht="12.75" customHeight="1">
      <c r="A362" s="268"/>
      <c r="B362" s="268"/>
      <c r="C362" s="268"/>
      <c r="D362" s="268"/>
      <c r="E362" s="268"/>
      <c r="F362" s="268"/>
      <c r="G362" s="268"/>
      <c r="H362" s="268"/>
      <c r="I362" s="268"/>
      <c r="J362" s="268"/>
      <c r="K362" s="268"/>
      <c r="L362" s="268"/>
      <c r="M362" s="268"/>
      <c r="N362" s="268"/>
      <c r="O362" s="268"/>
      <c r="P362" s="268"/>
      <c r="Q362" s="268"/>
      <c r="R362" s="268"/>
      <c r="S362" s="268"/>
      <c r="T362" s="268"/>
      <c r="U362" s="268"/>
      <c r="V362" s="268"/>
      <c r="W362" s="268"/>
      <c r="X362" s="268"/>
      <c r="Y362" s="268"/>
      <c r="Z362" s="268"/>
    </row>
    <row r="363" spans="1:26" ht="12.75" customHeight="1">
      <c r="A363" s="268"/>
      <c r="B363" s="268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268"/>
      <c r="Q363" s="268"/>
      <c r="R363" s="268"/>
      <c r="S363" s="268"/>
      <c r="T363" s="268"/>
      <c r="U363" s="268"/>
      <c r="V363" s="268"/>
      <c r="W363" s="268"/>
      <c r="X363" s="268"/>
      <c r="Y363" s="268"/>
      <c r="Z363" s="268"/>
    </row>
    <row r="364" spans="1:26" ht="12.75" customHeight="1">
      <c r="A364" s="268"/>
      <c r="B364" s="268"/>
      <c r="C364" s="268"/>
      <c r="D364" s="268"/>
      <c r="E364" s="268"/>
      <c r="F364" s="268"/>
      <c r="G364" s="268"/>
      <c r="H364" s="268"/>
      <c r="I364" s="268"/>
      <c r="J364" s="268"/>
      <c r="K364" s="268"/>
      <c r="L364" s="268"/>
      <c r="M364" s="268"/>
      <c r="N364" s="268"/>
      <c r="O364" s="268"/>
      <c r="P364" s="268"/>
      <c r="Q364" s="268"/>
      <c r="R364" s="268"/>
      <c r="S364" s="268"/>
      <c r="T364" s="268"/>
      <c r="U364" s="268"/>
      <c r="V364" s="268"/>
      <c r="W364" s="268"/>
      <c r="X364" s="268"/>
      <c r="Y364" s="268"/>
      <c r="Z364" s="268"/>
    </row>
    <row r="365" spans="1:26" ht="12.75" customHeight="1">
      <c r="A365" s="268"/>
      <c r="B365" s="268"/>
      <c r="C365" s="268"/>
      <c r="D365" s="268"/>
      <c r="E365" s="268"/>
      <c r="F365" s="268"/>
      <c r="G365" s="268"/>
      <c r="H365" s="268"/>
      <c r="I365" s="268"/>
      <c r="J365" s="268"/>
      <c r="K365" s="268"/>
      <c r="L365" s="268"/>
      <c r="M365" s="268"/>
      <c r="N365" s="268"/>
      <c r="O365" s="268"/>
      <c r="P365" s="268"/>
      <c r="Q365" s="268"/>
      <c r="R365" s="268"/>
      <c r="S365" s="268"/>
      <c r="T365" s="268"/>
      <c r="U365" s="268"/>
      <c r="V365" s="268"/>
      <c r="W365" s="268"/>
      <c r="X365" s="268"/>
      <c r="Y365" s="268"/>
      <c r="Z365" s="268"/>
    </row>
    <row r="366" spans="1:26" ht="12.75" customHeight="1">
      <c r="A366" s="268"/>
      <c r="B366" s="268"/>
      <c r="C366" s="268"/>
      <c r="D366" s="268"/>
      <c r="E366" s="268"/>
      <c r="F366" s="268"/>
      <c r="G366" s="268"/>
      <c r="H366" s="268"/>
      <c r="I366" s="268"/>
      <c r="J366" s="268"/>
      <c r="K366" s="268"/>
      <c r="L366" s="268"/>
      <c r="M366" s="268"/>
      <c r="N366" s="268"/>
      <c r="O366" s="268"/>
      <c r="P366" s="268"/>
      <c r="Q366" s="268"/>
      <c r="R366" s="268"/>
      <c r="S366" s="268"/>
      <c r="T366" s="268"/>
      <c r="U366" s="268"/>
      <c r="V366" s="268"/>
      <c r="W366" s="268"/>
      <c r="X366" s="268"/>
      <c r="Y366" s="268"/>
      <c r="Z366" s="268"/>
    </row>
    <row r="367" spans="1:26" ht="12.75" customHeight="1">
      <c r="A367" s="268"/>
      <c r="B367" s="268"/>
      <c r="C367" s="268"/>
      <c r="D367" s="268"/>
      <c r="E367" s="268"/>
      <c r="F367" s="268"/>
      <c r="G367" s="268"/>
      <c r="H367" s="268"/>
      <c r="I367" s="268"/>
      <c r="J367" s="268"/>
      <c r="K367" s="268"/>
      <c r="L367" s="268"/>
      <c r="M367" s="268"/>
      <c r="N367" s="268"/>
      <c r="O367" s="268"/>
      <c r="P367" s="268"/>
      <c r="Q367" s="268"/>
      <c r="R367" s="268"/>
      <c r="S367" s="268"/>
      <c r="T367" s="268"/>
      <c r="U367" s="268"/>
      <c r="V367" s="268"/>
      <c r="W367" s="268"/>
      <c r="X367" s="268"/>
      <c r="Y367" s="268"/>
      <c r="Z367" s="268"/>
    </row>
    <row r="368" spans="1:26" ht="12.75" customHeight="1">
      <c r="A368" s="268"/>
      <c r="B368" s="268"/>
      <c r="C368" s="268"/>
      <c r="D368" s="268"/>
      <c r="E368" s="268"/>
      <c r="F368" s="268"/>
      <c r="G368" s="268"/>
      <c r="H368" s="268"/>
      <c r="I368" s="268"/>
      <c r="J368" s="268"/>
      <c r="K368" s="268"/>
      <c r="L368" s="268"/>
      <c r="M368" s="268"/>
      <c r="N368" s="268"/>
      <c r="O368" s="268"/>
      <c r="P368" s="268"/>
      <c r="Q368" s="268"/>
      <c r="R368" s="268"/>
      <c r="S368" s="268"/>
      <c r="T368" s="268"/>
      <c r="U368" s="268"/>
      <c r="V368" s="268"/>
      <c r="W368" s="268"/>
      <c r="X368" s="268"/>
      <c r="Y368" s="268"/>
      <c r="Z368" s="268"/>
    </row>
    <row r="369" spans="1:26" ht="12.75" customHeight="1">
      <c r="A369" s="268"/>
      <c r="B369" s="268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268"/>
      <c r="Q369" s="268"/>
      <c r="R369" s="268"/>
      <c r="S369" s="268"/>
      <c r="T369" s="268"/>
      <c r="U369" s="268"/>
      <c r="V369" s="268"/>
      <c r="W369" s="268"/>
      <c r="X369" s="268"/>
      <c r="Y369" s="268"/>
      <c r="Z369" s="268"/>
    </row>
    <row r="370" spans="1:26" ht="12.75" customHeight="1">
      <c r="A370" s="268"/>
      <c r="B370" s="268"/>
      <c r="C370" s="268"/>
      <c r="D370" s="268"/>
      <c r="E370" s="268"/>
      <c r="F370" s="268"/>
      <c r="G370" s="268"/>
      <c r="H370" s="268"/>
      <c r="I370" s="268"/>
      <c r="J370" s="268"/>
      <c r="K370" s="268"/>
      <c r="L370" s="268"/>
      <c r="M370" s="268"/>
      <c r="N370" s="268"/>
      <c r="O370" s="268"/>
      <c r="P370" s="268"/>
      <c r="Q370" s="268"/>
      <c r="R370" s="268"/>
      <c r="S370" s="268"/>
      <c r="T370" s="268"/>
      <c r="U370" s="268"/>
      <c r="V370" s="268"/>
      <c r="W370" s="268"/>
      <c r="X370" s="268"/>
      <c r="Y370" s="268"/>
      <c r="Z370" s="268"/>
    </row>
    <row r="371" spans="1:26" ht="12.75" customHeight="1">
      <c r="A371" s="268"/>
      <c r="B371" s="268"/>
      <c r="C371" s="268"/>
      <c r="D371" s="268"/>
      <c r="E371" s="268"/>
      <c r="F371" s="268"/>
      <c r="G371" s="268"/>
      <c r="H371" s="268"/>
      <c r="I371" s="268"/>
      <c r="J371" s="268"/>
      <c r="K371" s="268"/>
      <c r="L371" s="268"/>
      <c r="M371" s="268"/>
      <c r="N371" s="268"/>
      <c r="O371" s="268"/>
      <c r="P371" s="268"/>
      <c r="Q371" s="268"/>
      <c r="R371" s="268"/>
      <c r="S371" s="268"/>
      <c r="T371" s="268"/>
      <c r="U371" s="268"/>
      <c r="V371" s="268"/>
      <c r="W371" s="268"/>
      <c r="X371" s="268"/>
      <c r="Y371" s="268"/>
      <c r="Z371" s="268"/>
    </row>
    <row r="372" spans="1:26" ht="12.75" customHeight="1">
      <c r="A372" s="268"/>
      <c r="B372" s="268"/>
      <c r="C372" s="268"/>
      <c r="D372" s="268"/>
      <c r="E372" s="268"/>
      <c r="F372" s="268"/>
      <c r="G372" s="268"/>
      <c r="H372" s="268"/>
      <c r="I372" s="268"/>
      <c r="J372" s="268"/>
      <c r="K372" s="268"/>
      <c r="L372" s="268"/>
      <c r="M372" s="268"/>
      <c r="N372" s="268"/>
      <c r="O372" s="268"/>
      <c r="P372" s="268"/>
      <c r="Q372" s="268"/>
      <c r="R372" s="268"/>
      <c r="S372" s="268"/>
      <c r="T372" s="268"/>
      <c r="U372" s="268"/>
      <c r="V372" s="268"/>
      <c r="W372" s="268"/>
      <c r="X372" s="268"/>
      <c r="Y372" s="268"/>
      <c r="Z372" s="268"/>
    </row>
    <row r="373" spans="1:26" ht="12.75" customHeight="1">
      <c r="A373" s="268"/>
      <c r="B373" s="268"/>
      <c r="C373" s="268"/>
      <c r="D373" s="268"/>
      <c r="E373" s="268"/>
      <c r="F373" s="268"/>
      <c r="G373" s="268"/>
      <c r="H373" s="268"/>
      <c r="I373" s="268"/>
      <c r="J373" s="268"/>
      <c r="K373" s="268"/>
      <c r="L373" s="268"/>
      <c r="M373" s="268"/>
      <c r="N373" s="268"/>
      <c r="O373" s="268"/>
      <c r="P373" s="268"/>
      <c r="Q373" s="268"/>
      <c r="R373" s="268"/>
      <c r="S373" s="268"/>
      <c r="T373" s="268"/>
      <c r="U373" s="268"/>
      <c r="V373" s="268"/>
      <c r="W373" s="268"/>
      <c r="X373" s="268"/>
      <c r="Y373" s="268"/>
      <c r="Z373" s="268"/>
    </row>
    <row r="374" spans="1:26" ht="12.75" customHeight="1">
      <c r="A374" s="268"/>
      <c r="B374" s="268"/>
      <c r="C374" s="268"/>
      <c r="D374" s="268"/>
      <c r="E374" s="268"/>
      <c r="F374" s="268"/>
      <c r="G374" s="268"/>
      <c r="H374" s="268"/>
      <c r="I374" s="268"/>
      <c r="J374" s="268"/>
      <c r="K374" s="268"/>
      <c r="L374" s="268"/>
      <c r="M374" s="268"/>
      <c r="N374" s="268"/>
      <c r="O374" s="268"/>
      <c r="P374" s="268"/>
      <c r="Q374" s="268"/>
      <c r="R374" s="268"/>
      <c r="S374" s="268"/>
      <c r="T374" s="268"/>
      <c r="U374" s="268"/>
      <c r="V374" s="268"/>
      <c r="W374" s="268"/>
      <c r="X374" s="268"/>
      <c r="Y374" s="268"/>
      <c r="Z374" s="268"/>
    </row>
    <row r="375" spans="1:26" ht="12.75" customHeight="1">
      <c r="A375" s="268"/>
      <c r="B375" s="268"/>
      <c r="C375" s="268"/>
      <c r="D375" s="268"/>
      <c r="E375" s="268"/>
      <c r="F375" s="268"/>
      <c r="G375" s="268"/>
      <c r="H375" s="268"/>
      <c r="I375" s="268"/>
      <c r="J375" s="268"/>
      <c r="K375" s="268"/>
      <c r="L375" s="268"/>
      <c r="M375" s="268"/>
      <c r="N375" s="268"/>
      <c r="O375" s="268"/>
      <c r="P375" s="268"/>
      <c r="Q375" s="268"/>
      <c r="R375" s="268"/>
      <c r="S375" s="268"/>
      <c r="T375" s="268"/>
      <c r="U375" s="268"/>
      <c r="V375" s="268"/>
      <c r="W375" s="268"/>
      <c r="X375" s="268"/>
      <c r="Y375" s="268"/>
      <c r="Z375" s="268"/>
    </row>
    <row r="376" spans="1:26" ht="12.75" customHeight="1">
      <c r="A376" s="268"/>
      <c r="B376" s="268"/>
      <c r="C376" s="268"/>
      <c r="D376" s="268"/>
      <c r="E376" s="268"/>
      <c r="F376" s="268"/>
      <c r="G376" s="268"/>
      <c r="H376" s="268"/>
      <c r="I376" s="268"/>
      <c r="J376" s="268"/>
      <c r="K376" s="268"/>
      <c r="L376" s="268"/>
      <c r="M376" s="268"/>
      <c r="N376" s="268"/>
      <c r="O376" s="268"/>
      <c r="P376" s="268"/>
      <c r="Q376" s="268"/>
      <c r="R376" s="268"/>
      <c r="S376" s="268"/>
      <c r="T376" s="268"/>
      <c r="U376" s="268"/>
      <c r="V376" s="268"/>
      <c r="W376" s="268"/>
      <c r="X376" s="268"/>
      <c r="Y376" s="268"/>
      <c r="Z376" s="268"/>
    </row>
    <row r="377" spans="1:26" ht="12.75" customHeight="1">
      <c r="A377" s="268"/>
      <c r="B377" s="268"/>
      <c r="C377" s="268"/>
      <c r="D377" s="268"/>
      <c r="E377" s="268"/>
      <c r="F377" s="268"/>
      <c r="G377" s="268"/>
      <c r="H377" s="268"/>
      <c r="I377" s="268"/>
      <c r="J377" s="268"/>
      <c r="K377" s="268"/>
      <c r="L377" s="268"/>
      <c r="M377" s="268"/>
      <c r="N377" s="268"/>
      <c r="O377" s="268"/>
      <c r="P377" s="268"/>
      <c r="Q377" s="268"/>
      <c r="R377" s="268"/>
      <c r="S377" s="268"/>
      <c r="T377" s="268"/>
      <c r="U377" s="268"/>
      <c r="V377" s="268"/>
      <c r="W377" s="268"/>
      <c r="X377" s="268"/>
      <c r="Y377" s="268"/>
      <c r="Z377" s="268"/>
    </row>
    <row r="378" spans="1:26" ht="12.75" customHeight="1">
      <c r="A378" s="268"/>
      <c r="B378" s="268"/>
      <c r="C378" s="268"/>
      <c r="D378" s="268"/>
      <c r="E378" s="268"/>
      <c r="F378" s="268"/>
      <c r="G378" s="268"/>
      <c r="H378" s="268"/>
      <c r="I378" s="268"/>
      <c r="J378" s="268"/>
      <c r="K378" s="268"/>
      <c r="L378" s="268"/>
      <c r="M378" s="268"/>
      <c r="N378" s="268"/>
      <c r="O378" s="268"/>
      <c r="P378" s="268"/>
      <c r="Q378" s="268"/>
      <c r="R378" s="268"/>
      <c r="S378" s="268"/>
      <c r="T378" s="268"/>
      <c r="U378" s="268"/>
      <c r="V378" s="268"/>
      <c r="W378" s="268"/>
      <c r="X378" s="268"/>
      <c r="Y378" s="268"/>
      <c r="Z378" s="268"/>
    </row>
    <row r="379" spans="1:26" ht="12.75" customHeight="1">
      <c r="A379" s="268"/>
      <c r="B379" s="268"/>
      <c r="C379" s="268"/>
      <c r="D379" s="268"/>
      <c r="E379" s="268"/>
      <c r="F379" s="268"/>
      <c r="G379" s="268"/>
      <c r="H379" s="268"/>
      <c r="I379" s="268"/>
      <c r="J379" s="268"/>
      <c r="K379" s="268"/>
      <c r="L379" s="268"/>
      <c r="M379" s="268"/>
      <c r="N379" s="268"/>
      <c r="O379" s="268"/>
      <c r="P379" s="268"/>
      <c r="Q379" s="268"/>
      <c r="R379" s="268"/>
      <c r="S379" s="268"/>
      <c r="T379" s="268"/>
      <c r="U379" s="268"/>
      <c r="V379" s="268"/>
      <c r="W379" s="268"/>
      <c r="X379" s="268"/>
      <c r="Y379" s="268"/>
      <c r="Z379" s="268"/>
    </row>
    <row r="380" spans="1:26" ht="12.75" customHeight="1">
      <c r="A380" s="268"/>
      <c r="B380" s="268"/>
      <c r="C380" s="268"/>
      <c r="D380" s="268"/>
      <c r="E380" s="268"/>
      <c r="F380" s="268"/>
      <c r="G380" s="268"/>
      <c r="H380" s="268"/>
      <c r="I380" s="268"/>
      <c r="J380" s="268"/>
      <c r="K380" s="268"/>
      <c r="L380" s="268"/>
      <c r="M380" s="268"/>
      <c r="N380" s="268"/>
      <c r="O380" s="268"/>
      <c r="P380" s="268"/>
      <c r="Q380" s="268"/>
      <c r="R380" s="268"/>
      <c r="S380" s="268"/>
      <c r="T380" s="268"/>
      <c r="U380" s="268"/>
      <c r="V380" s="268"/>
      <c r="W380" s="268"/>
      <c r="X380" s="268"/>
      <c r="Y380" s="268"/>
      <c r="Z380" s="268"/>
    </row>
    <row r="381" spans="1:26" ht="12.75" customHeight="1">
      <c r="A381" s="268"/>
      <c r="B381" s="268"/>
      <c r="C381" s="268"/>
      <c r="D381" s="268"/>
      <c r="E381" s="268"/>
      <c r="F381" s="268"/>
      <c r="G381" s="268"/>
      <c r="H381" s="268"/>
      <c r="I381" s="268"/>
      <c r="J381" s="268"/>
      <c r="K381" s="268"/>
      <c r="L381" s="268"/>
      <c r="M381" s="268"/>
      <c r="N381" s="268"/>
      <c r="O381" s="268"/>
      <c r="P381" s="268"/>
      <c r="Q381" s="268"/>
      <c r="R381" s="268"/>
      <c r="S381" s="268"/>
      <c r="T381" s="268"/>
      <c r="U381" s="268"/>
      <c r="V381" s="268"/>
      <c r="W381" s="268"/>
      <c r="X381" s="268"/>
      <c r="Y381" s="268"/>
      <c r="Z381" s="268"/>
    </row>
    <row r="382" spans="1:26" ht="12.75" customHeight="1">
      <c r="A382" s="268"/>
      <c r="B382" s="268"/>
      <c r="C382" s="268"/>
      <c r="D382" s="268"/>
      <c r="E382" s="268"/>
      <c r="F382" s="268"/>
      <c r="G382" s="268"/>
      <c r="H382" s="268"/>
      <c r="I382" s="268"/>
      <c r="J382" s="268"/>
      <c r="K382" s="268"/>
      <c r="L382" s="268"/>
      <c r="M382" s="268"/>
      <c r="N382" s="268"/>
      <c r="O382" s="268"/>
      <c r="P382" s="268"/>
      <c r="Q382" s="268"/>
      <c r="R382" s="268"/>
      <c r="S382" s="268"/>
      <c r="T382" s="268"/>
      <c r="U382" s="268"/>
      <c r="V382" s="268"/>
      <c r="W382" s="268"/>
      <c r="X382" s="268"/>
      <c r="Y382" s="268"/>
      <c r="Z382" s="268"/>
    </row>
    <row r="383" spans="1:26" ht="12.75" customHeight="1">
      <c r="A383" s="268"/>
      <c r="B383" s="268"/>
      <c r="C383" s="268"/>
      <c r="D383" s="268"/>
      <c r="E383" s="268"/>
      <c r="F383" s="268"/>
      <c r="G383" s="268"/>
      <c r="H383" s="268"/>
      <c r="I383" s="268"/>
      <c r="J383" s="268"/>
      <c r="K383" s="268"/>
      <c r="L383" s="268"/>
      <c r="M383" s="268"/>
      <c r="N383" s="268"/>
      <c r="O383" s="268"/>
      <c r="P383" s="268"/>
      <c r="Q383" s="268"/>
      <c r="R383" s="268"/>
      <c r="S383" s="268"/>
      <c r="T383" s="268"/>
      <c r="U383" s="268"/>
      <c r="V383" s="268"/>
      <c r="W383" s="268"/>
      <c r="X383" s="268"/>
      <c r="Y383" s="268"/>
      <c r="Z383" s="268"/>
    </row>
    <row r="384" spans="1:26" ht="12.75" customHeight="1">
      <c r="A384" s="268"/>
      <c r="B384" s="268"/>
      <c r="C384" s="268"/>
      <c r="D384" s="268"/>
      <c r="E384" s="268"/>
      <c r="F384" s="268"/>
      <c r="G384" s="268"/>
      <c r="H384" s="268"/>
      <c r="I384" s="268"/>
      <c r="J384" s="268"/>
      <c r="K384" s="268"/>
      <c r="L384" s="268"/>
      <c r="M384" s="268"/>
      <c r="N384" s="268"/>
      <c r="O384" s="268"/>
      <c r="P384" s="268"/>
      <c r="Q384" s="268"/>
      <c r="R384" s="268"/>
      <c r="S384" s="268"/>
      <c r="T384" s="268"/>
      <c r="U384" s="268"/>
      <c r="V384" s="268"/>
      <c r="W384" s="268"/>
      <c r="X384" s="268"/>
      <c r="Y384" s="268"/>
      <c r="Z384" s="268"/>
    </row>
    <row r="385" spans="1:26" ht="12.75" customHeight="1">
      <c r="A385" s="268"/>
      <c r="B385" s="268"/>
      <c r="C385" s="268"/>
      <c r="D385" s="268"/>
      <c r="E385" s="268"/>
      <c r="F385" s="268"/>
      <c r="G385" s="268"/>
      <c r="H385" s="268"/>
      <c r="I385" s="268"/>
      <c r="J385" s="268"/>
      <c r="K385" s="268"/>
      <c r="L385" s="268"/>
      <c r="M385" s="268"/>
      <c r="N385" s="268"/>
      <c r="O385" s="268"/>
      <c r="P385" s="268"/>
      <c r="Q385" s="268"/>
      <c r="R385" s="268"/>
      <c r="S385" s="268"/>
      <c r="T385" s="268"/>
      <c r="U385" s="268"/>
      <c r="V385" s="268"/>
      <c r="W385" s="268"/>
      <c r="X385" s="268"/>
      <c r="Y385" s="268"/>
      <c r="Z385" s="268"/>
    </row>
    <row r="386" spans="1:26" ht="12.75" customHeight="1">
      <c r="A386" s="268"/>
      <c r="B386" s="268"/>
      <c r="C386" s="268"/>
      <c r="D386" s="268"/>
      <c r="E386" s="268"/>
      <c r="F386" s="268"/>
      <c r="G386" s="268"/>
      <c r="H386" s="268"/>
      <c r="I386" s="268"/>
      <c r="J386" s="268"/>
      <c r="K386" s="268"/>
      <c r="L386" s="268"/>
      <c r="M386" s="268"/>
      <c r="N386" s="268"/>
      <c r="O386" s="268"/>
      <c r="P386" s="268"/>
      <c r="Q386" s="268"/>
      <c r="R386" s="268"/>
      <c r="S386" s="268"/>
      <c r="T386" s="268"/>
      <c r="U386" s="268"/>
      <c r="V386" s="268"/>
      <c r="W386" s="268"/>
      <c r="X386" s="268"/>
      <c r="Y386" s="268"/>
      <c r="Z386" s="268"/>
    </row>
    <row r="387" spans="1:26" ht="12.75" customHeight="1">
      <c r="A387" s="268"/>
      <c r="B387" s="268"/>
      <c r="C387" s="268"/>
      <c r="D387" s="268"/>
      <c r="E387" s="268"/>
      <c r="F387" s="268"/>
      <c r="G387" s="268"/>
      <c r="H387" s="268"/>
      <c r="I387" s="268"/>
      <c r="J387" s="268"/>
      <c r="K387" s="268"/>
      <c r="L387" s="268"/>
      <c r="M387" s="268"/>
      <c r="N387" s="268"/>
      <c r="O387" s="268"/>
      <c r="P387" s="268"/>
      <c r="Q387" s="268"/>
      <c r="R387" s="268"/>
      <c r="S387" s="268"/>
      <c r="T387" s="268"/>
      <c r="U387" s="268"/>
      <c r="V387" s="268"/>
      <c r="W387" s="268"/>
      <c r="X387" s="268"/>
      <c r="Y387" s="268"/>
      <c r="Z387" s="268"/>
    </row>
    <row r="388" spans="1:26" ht="12.75" customHeight="1">
      <c r="A388" s="268"/>
      <c r="B388" s="268"/>
      <c r="C388" s="268"/>
      <c r="D388" s="268"/>
      <c r="E388" s="268"/>
      <c r="F388" s="268"/>
      <c r="G388" s="268"/>
      <c r="H388" s="268"/>
      <c r="I388" s="268"/>
      <c r="J388" s="268"/>
      <c r="K388" s="268"/>
      <c r="L388" s="268"/>
      <c r="M388" s="268"/>
      <c r="N388" s="268"/>
      <c r="O388" s="268"/>
      <c r="P388" s="268"/>
      <c r="Q388" s="268"/>
      <c r="R388" s="268"/>
      <c r="S388" s="268"/>
      <c r="T388" s="268"/>
      <c r="U388" s="268"/>
      <c r="V388" s="268"/>
      <c r="W388" s="268"/>
      <c r="X388" s="268"/>
      <c r="Y388" s="268"/>
      <c r="Z388" s="268"/>
    </row>
    <row r="389" spans="1:26" ht="12.75" customHeight="1">
      <c r="A389" s="268"/>
      <c r="B389" s="268"/>
      <c r="C389" s="268"/>
      <c r="D389" s="268"/>
      <c r="E389" s="268"/>
      <c r="F389" s="268"/>
      <c r="G389" s="268"/>
      <c r="H389" s="268"/>
      <c r="I389" s="268"/>
      <c r="J389" s="268"/>
      <c r="K389" s="268"/>
      <c r="L389" s="268"/>
      <c r="M389" s="268"/>
      <c r="N389" s="268"/>
      <c r="O389" s="268"/>
      <c r="P389" s="268"/>
      <c r="Q389" s="268"/>
      <c r="R389" s="268"/>
      <c r="S389" s="268"/>
      <c r="T389" s="268"/>
      <c r="U389" s="268"/>
      <c r="V389" s="268"/>
      <c r="W389" s="268"/>
      <c r="X389" s="268"/>
      <c r="Y389" s="268"/>
      <c r="Z389" s="268"/>
    </row>
    <row r="390" spans="1:26" ht="12.75" customHeight="1">
      <c r="A390" s="268"/>
      <c r="B390" s="268"/>
      <c r="C390" s="268"/>
      <c r="D390" s="268"/>
      <c r="E390" s="268"/>
      <c r="F390" s="268"/>
      <c r="G390" s="268"/>
      <c r="H390" s="268"/>
      <c r="I390" s="268"/>
      <c r="J390" s="268"/>
      <c r="K390" s="268"/>
      <c r="L390" s="268"/>
      <c r="M390" s="268"/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/>
      <c r="Z390" s="268"/>
    </row>
    <row r="391" spans="1:26" ht="12.75" customHeight="1">
      <c r="A391" s="268"/>
      <c r="B391" s="268"/>
      <c r="C391" s="268"/>
      <c r="D391" s="268"/>
      <c r="E391" s="268"/>
      <c r="F391" s="268"/>
      <c r="G391" s="268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8"/>
      <c r="V391" s="268"/>
      <c r="W391" s="268"/>
      <c r="X391" s="268"/>
      <c r="Y391" s="268"/>
      <c r="Z391" s="268"/>
    </row>
    <row r="392" spans="1:26" ht="12.75" customHeight="1">
      <c r="A392" s="268"/>
      <c r="B392" s="268"/>
      <c r="C392" s="268"/>
      <c r="D392" s="268"/>
      <c r="E392" s="268"/>
      <c r="F392" s="268"/>
      <c r="G392" s="268"/>
      <c r="H392" s="268"/>
      <c r="I392" s="268"/>
      <c r="J392" s="268"/>
      <c r="K392" s="268"/>
      <c r="L392" s="268"/>
      <c r="M392" s="268"/>
      <c r="N392" s="268"/>
      <c r="O392" s="268"/>
      <c r="P392" s="268"/>
      <c r="Q392" s="268"/>
      <c r="R392" s="268"/>
      <c r="S392" s="268"/>
      <c r="T392" s="268"/>
      <c r="U392" s="268"/>
      <c r="V392" s="268"/>
      <c r="W392" s="268"/>
      <c r="X392" s="268"/>
      <c r="Y392" s="268"/>
      <c r="Z392" s="268"/>
    </row>
    <row r="393" spans="1:26" ht="12.75" customHeight="1">
      <c r="A393" s="268"/>
      <c r="B393" s="268"/>
      <c r="C393" s="268"/>
      <c r="D393" s="268"/>
      <c r="E393" s="268"/>
      <c r="F393" s="268"/>
      <c r="G393" s="268"/>
      <c r="H393" s="268"/>
      <c r="I393" s="268"/>
      <c r="J393" s="268"/>
      <c r="K393" s="268"/>
      <c r="L393" s="268"/>
      <c r="M393" s="268"/>
      <c r="N393" s="268"/>
      <c r="O393" s="268"/>
      <c r="P393" s="268"/>
      <c r="Q393" s="268"/>
      <c r="R393" s="268"/>
      <c r="S393" s="268"/>
      <c r="T393" s="268"/>
      <c r="U393" s="268"/>
      <c r="V393" s="268"/>
      <c r="W393" s="268"/>
      <c r="X393" s="268"/>
      <c r="Y393" s="268"/>
      <c r="Z393" s="268"/>
    </row>
    <row r="394" spans="1:26" ht="12.75" customHeight="1">
      <c r="A394" s="268"/>
      <c r="B394" s="268"/>
      <c r="C394" s="268"/>
      <c r="D394" s="268"/>
      <c r="E394" s="268"/>
      <c r="F394" s="268"/>
      <c r="G394" s="268"/>
      <c r="H394" s="268"/>
      <c r="I394" s="268"/>
      <c r="J394" s="268"/>
      <c r="K394" s="268"/>
      <c r="L394" s="268"/>
      <c r="M394" s="268"/>
      <c r="N394" s="268"/>
      <c r="O394" s="268"/>
      <c r="P394" s="268"/>
      <c r="Q394" s="268"/>
      <c r="R394" s="268"/>
      <c r="S394" s="268"/>
      <c r="T394" s="268"/>
      <c r="U394" s="268"/>
      <c r="V394" s="268"/>
      <c r="W394" s="268"/>
      <c r="X394" s="268"/>
      <c r="Y394" s="268"/>
      <c r="Z394" s="268"/>
    </row>
    <row r="395" spans="1:26" ht="12.75" customHeight="1">
      <c r="A395" s="268"/>
      <c r="B395" s="268"/>
      <c r="C395" s="268"/>
      <c r="D395" s="268"/>
      <c r="E395" s="268"/>
      <c r="F395" s="268"/>
      <c r="G395" s="268"/>
      <c r="H395" s="268"/>
      <c r="I395" s="268"/>
      <c r="J395" s="268"/>
      <c r="K395" s="268"/>
      <c r="L395" s="268"/>
      <c r="M395" s="268"/>
      <c r="N395" s="268"/>
      <c r="O395" s="268"/>
      <c r="P395" s="268"/>
      <c r="Q395" s="268"/>
      <c r="R395" s="268"/>
      <c r="S395" s="268"/>
      <c r="T395" s="268"/>
      <c r="U395" s="268"/>
      <c r="V395" s="268"/>
      <c r="W395" s="268"/>
      <c r="X395" s="268"/>
      <c r="Y395" s="268"/>
      <c r="Z395" s="268"/>
    </row>
    <row r="396" spans="1:26" ht="12.75" customHeight="1">
      <c r="A396" s="268"/>
      <c r="B396" s="268"/>
      <c r="C396" s="268"/>
      <c r="D396" s="268"/>
      <c r="E396" s="268"/>
      <c r="F396" s="268"/>
      <c r="G396" s="268"/>
      <c r="H396" s="268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/>
      <c r="U396" s="268"/>
      <c r="V396" s="268"/>
      <c r="W396" s="268"/>
      <c r="X396" s="268"/>
      <c r="Y396" s="268"/>
      <c r="Z396" s="268"/>
    </row>
    <row r="397" spans="1:26" ht="12.75" customHeight="1">
      <c r="A397" s="268"/>
      <c r="B397" s="268"/>
      <c r="C397" s="268"/>
      <c r="D397" s="268"/>
      <c r="E397" s="268"/>
      <c r="F397" s="268"/>
      <c r="G397" s="268"/>
      <c r="H397" s="268"/>
      <c r="I397" s="268"/>
      <c r="J397" s="268"/>
      <c r="K397" s="268"/>
      <c r="L397" s="268"/>
      <c r="M397" s="268"/>
      <c r="N397" s="268"/>
      <c r="O397" s="268"/>
      <c r="P397" s="268"/>
      <c r="Q397" s="268"/>
      <c r="R397" s="268"/>
      <c r="S397" s="268"/>
      <c r="T397" s="268"/>
      <c r="U397" s="268"/>
      <c r="V397" s="268"/>
      <c r="W397" s="268"/>
      <c r="X397" s="268"/>
      <c r="Y397" s="268"/>
      <c r="Z397" s="268"/>
    </row>
    <row r="398" spans="1:26" ht="12.75" customHeight="1">
      <c r="A398" s="268"/>
      <c r="B398" s="268"/>
      <c r="C398" s="268"/>
      <c r="D398" s="268"/>
      <c r="E398" s="268"/>
      <c r="F398" s="268"/>
      <c r="G398" s="268"/>
      <c r="H398" s="268"/>
      <c r="I398" s="268"/>
      <c r="J398" s="268"/>
      <c r="K398" s="268"/>
      <c r="L398" s="268"/>
      <c r="M398" s="268"/>
      <c r="N398" s="268"/>
      <c r="O398" s="268"/>
      <c r="P398" s="268"/>
      <c r="Q398" s="268"/>
      <c r="R398" s="268"/>
      <c r="S398" s="268"/>
      <c r="T398" s="268"/>
      <c r="U398" s="268"/>
      <c r="V398" s="268"/>
      <c r="W398" s="268"/>
      <c r="X398" s="268"/>
      <c r="Y398" s="268"/>
      <c r="Z398" s="268"/>
    </row>
    <row r="399" spans="1:26" ht="12.75" customHeight="1">
      <c r="A399" s="268"/>
      <c r="B399" s="268"/>
      <c r="C399" s="268"/>
      <c r="D399" s="268"/>
      <c r="E399" s="268"/>
      <c r="F399" s="268"/>
      <c r="G399" s="268"/>
      <c r="H399" s="268"/>
      <c r="I399" s="268"/>
      <c r="J399" s="268"/>
      <c r="K399" s="268"/>
      <c r="L399" s="268"/>
      <c r="M399" s="268"/>
      <c r="N399" s="268"/>
      <c r="O399" s="268"/>
      <c r="P399" s="268"/>
      <c r="Q399" s="268"/>
      <c r="R399" s="268"/>
      <c r="S399" s="268"/>
      <c r="T399" s="268"/>
      <c r="U399" s="268"/>
      <c r="V399" s="268"/>
      <c r="W399" s="268"/>
      <c r="X399" s="268"/>
      <c r="Y399" s="268"/>
      <c r="Z399" s="268"/>
    </row>
    <row r="400" spans="1:26" ht="12.75" customHeight="1">
      <c r="A400" s="268"/>
      <c r="B400" s="268"/>
      <c r="C400" s="268"/>
      <c r="D400" s="268"/>
      <c r="E400" s="268"/>
      <c r="F400" s="268"/>
      <c r="G400" s="268"/>
      <c r="H400" s="268"/>
      <c r="I400" s="268"/>
      <c r="J400" s="268"/>
      <c r="K400" s="268"/>
      <c r="L400" s="268"/>
      <c r="M400" s="268"/>
      <c r="N400" s="268"/>
      <c r="O400" s="268"/>
      <c r="P400" s="268"/>
      <c r="Q400" s="268"/>
      <c r="R400" s="268"/>
      <c r="S400" s="268"/>
      <c r="T400" s="268"/>
      <c r="U400" s="268"/>
      <c r="V400" s="268"/>
      <c r="W400" s="268"/>
      <c r="X400" s="268"/>
      <c r="Y400" s="268"/>
      <c r="Z400" s="268"/>
    </row>
    <row r="401" spans="1:26" ht="12.75" customHeight="1">
      <c r="A401" s="268"/>
      <c r="B401" s="268"/>
      <c r="C401" s="268"/>
      <c r="D401" s="268"/>
      <c r="E401" s="268"/>
      <c r="F401" s="268"/>
      <c r="G401" s="268"/>
      <c r="H401" s="268"/>
      <c r="I401" s="268"/>
      <c r="J401" s="268"/>
      <c r="K401" s="268"/>
      <c r="L401" s="268"/>
      <c r="M401" s="268"/>
      <c r="N401" s="268"/>
      <c r="O401" s="268"/>
      <c r="P401" s="268"/>
      <c r="Q401" s="268"/>
      <c r="R401" s="268"/>
      <c r="S401" s="268"/>
      <c r="T401" s="268"/>
      <c r="U401" s="268"/>
      <c r="V401" s="268"/>
      <c r="W401" s="268"/>
      <c r="X401" s="268"/>
      <c r="Y401" s="268"/>
      <c r="Z401" s="268"/>
    </row>
    <row r="402" spans="1:26" ht="12.75" customHeight="1">
      <c r="A402" s="268"/>
      <c r="B402" s="268"/>
      <c r="C402" s="268"/>
      <c r="D402" s="268"/>
      <c r="E402" s="268"/>
      <c r="F402" s="268"/>
      <c r="G402" s="268"/>
      <c r="H402" s="268"/>
      <c r="I402" s="268"/>
      <c r="J402" s="268"/>
      <c r="K402" s="268"/>
      <c r="L402" s="268"/>
      <c r="M402" s="268"/>
      <c r="N402" s="268"/>
      <c r="O402" s="268"/>
      <c r="P402" s="268"/>
      <c r="Q402" s="268"/>
      <c r="R402" s="268"/>
      <c r="S402" s="268"/>
      <c r="T402" s="268"/>
      <c r="U402" s="268"/>
      <c r="V402" s="268"/>
      <c r="W402" s="268"/>
      <c r="X402" s="268"/>
      <c r="Y402" s="268"/>
      <c r="Z402" s="268"/>
    </row>
    <row r="403" spans="1:26" ht="12.75" customHeight="1">
      <c r="A403" s="268"/>
      <c r="B403" s="268"/>
      <c r="C403" s="268"/>
      <c r="D403" s="268"/>
      <c r="E403" s="268"/>
      <c r="F403" s="268"/>
      <c r="G403" s="268"/>
      <c r="H403" s="268"/>
      <c r="I403" s="268"/>
      <c r="J403" s="268"/>
      <c r="K403" s="268"/>
      <c r="L403" s="268"/>
      <c r="M403" s="268"/>
      <c r="N403" s="268"/>
      <c r="O403" s="268"/>
      <c r="P403" s="268"/>
      <c r="Q403" s="268"/>
      <c r="R403" s="268"/>
      <c r="S403" s="268"/>
      <c r="T403" s="268"/>
      <c r="U403" s="268"/>
      <c r="V403" s="268"/>
      <c r="W403" s="268"/>
      <c r="X403" s="268"/>
      <c r="Y403" s="268"/>
      <c r="Z403" s="268"/>
    </row>
    <row r="404" spans="1:26" ht="12.75" customHeight="1">
      <c r="A404" s="268"/>
      <c r="B404" s="268"/>
      <c r="C404" s="268"/>
      <c r="D404" s="268"/>
      <c r="E404" s="268"/>
      <c r="F404" s="268"/>
      <c r="G404" s="268"/>
      <c r="H404" s="268"/>
      <c r="I404" s="268"/>
      <c r="J404" s="268"/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68"/>
      <c r="W404" s="268"/>
      <c r="X404" s="268"/>
      <c r="Y404" s="268"/>
      <c r="Z404" s="268"/>
    </row>
    <row r="405" spans="1:26" ht="12.75" customHeight="1">
      <c r="A405" s="268"/>
      <c r="B405" s="268"/>
      <c r="C405" s="268"/>
      <c r="D405" s="268"/>
      <c r="E405" s="268"/>
      <c r="F405" s="268"/>
      <c r="G405" s="268"/>
      <c r="H405" s="268"/>
      <c r="I405" s="268"/>
      <c r="J405" s="268"/>
      <c r="K405" s="268"/>
      <c r="L405" s="268"/>
      <c r="M405" s="268"/>
      <c r="N405" s="268"/>
      <c r="O405" s="268"/>
      <c r="P405" s="268"/>
      <c r="Q405" s="268"/>
      <c r="R405" s="268"/>
      <c r="S405" s="268"/>
      <c r="T405" s="268"/>
      <c r="U405" s="268"/>
      <c r="V405" s="268"/>
      <c r="W405" s="268"/>
      <c r="X405" s="268"/>
      <c r="Y405" s="268"/>
      <c r="Z405" s="268"/>
    </row>
    <row r="406" spans="1:26" ht="12.75" customHeight="1">
      <c r="A406" s="268"/>
      <c r="B406" s="268"/>
      <c r="C406" s="268"/>
      <c r="D406" s="268"/>
      <c r="E406" s="268"/>
      <c r="F406" s="268"/>
      <c r="G406" s="268"/>
      <c r="H406" s="268"/>
      <c r="I406" s="268"/>
      <c r="J406" s="268"/>
      <c r="K406" s="268"/>
      <c r="L406" s="268"/>
      <c r="M406" s="268"/>
      <c r="N406" s="268"/>
      <c r="O406" s="268"/>
      <c r="P406" s="268"/>
      <c r="Q406" s="268"/>
      <c r="R406" s="268"/>
      <c r="S406" s="268"/>
      <c r="T406" s="268"/>
      <c r="U406" s="268"/>
      <c r="V406" s="268"/>
      <c r="W406" s="268"/>
      <c r="X406" s="268"/>
      <c r="Y406" s="268"/>
      <c r="Z406" s="268"/>
    </row>
    <row r="407" spans="1:26" ht="12.75" customHeight="1">
      <c r="A407" s="268"/>
      <c r="B407" s="268"/>
      <c r="C407" s="268"/>
      <c r="D407" s="268"/>
      <c r="E407" s="268"/>
      <c r="F407" s="268"/>
      <c r="G407" s="268"/>
      <c r="H407" s="268"/>
      <c r="I407" s="268"/>
      <c r="J407" s="268"/>
      <c r="K407" s="268"/>
      <c r="L407" s="268"/>
      <c r="M407" s="268"/>
      <c r="N407" s="268"/>
      <c r="O407" s="268"/>
      <c r="P407" s="268"/>
      <c r="Q407" s="268"/>
      <c r="R407" s="268"/>
      <c r="S407" s="268"/>
      <c r="T407" s="268"/>
      <c r="U407" s="268"/>
      <c r="V407" s="268"/>
      <c r="W407" s="268"/>
      <c r="X407" s="268"/>
      <c r="Y407" s="268"/>
      <c r="Z407" s="268"/>
    </row>
    <row r="408" spans="1:26" ht="12.75" customHeight="1">
      <c r="A408" s="268"/>
      <c r="B408" s="268"/>
      <c r="C408" s="268"/>
      <c r="D408" s="268"/>
      <c r="E408" s="268"/>
      <c r="F408" s="268"/>
      <c r="G408" s="268"/>
      <c r="H408" s="268"/>
      <c r="I408" s="268"/>
      <c r="J408" s="268"/>
      <c r="K408" s="268"/>
      <c r="L408" s="268"/>
      <c r="M408" s="268"/>
      <c r="N408" s="268"/>
      <c r="O408" s="268"/>
      <c r="P408" s="268"/>
      <c r="Q408" s="268"/>
      <c r="R408" s="268"/>
      <c r="S408" s="268"/>
      <c r="T408" s="268"/>
      <c r="U408" s="268"/>
      <c r="V408" s="268"/>
      <c r="W408" s="268"/>
      <c r="X408" s="268"/>
      <c r="Y408" s="268"/>
      <c r="Z408" s="268"/>
    </row>
    <row r="409" spans="1:26" ht="12.75" customHeight="1">
      <c r="A409" s="268"/>
      <c r="B409" s="268"/>
      <c r="C409" s="268"/>
      <c r="D409" s="268"/>
      <c r="E409" s="268"/>
      <c r="F409" s="268"/>
      <c r="G409" s="268"/>
      <c r="H409" s="268"/>
      <c r="I409" s="268"/>
      <c r="J409" s="268"/>
      <c r="K409" s="268"/>
      <c r="L409" s="268"/>
      <c r="M409" s="268"/>
      <c r="N409" s="268"/>
      <c r="O409" s="268"/>
      <c r="P409" s="268"/>
      <c r="Q409" s="268"/>
      <c r="R409" s="268"/>
      <c r="S409" s="268"/>
      <c r="T409" s="268"/>
      <c r="U409" s="268"/>
      <c r="V409" s="268"/>
      <c r="W409" s="268"/>
      <c r="X409" s="268"/>
      <c r="Y409" s="268"/>
      <c r="Z409" s="268"/>
    </row>
    <row r="410" spans="1:26" ht="12.75" customHeight="1">
      <c r="A410" s="268"/>
      <c r="B410" s="268"/>
      <c r="C410" s="268"/>
      <c r="D410" s="268"/>
      <c r="E410" s="268"/>
      <c r="F410" s="268"/>
      <c r="G410" s="268"/>
      <c r="H410" s="268"/>
      <c r="I410" s="268"/>
      <c r="J410" s="268"/>
      <c r="K410" s="268"/>
      <c r="L410" s="268"/>
      <c r="M410" s="268"/>
      <c r="N410" s="268"/>
      <c r="O410" s="268"/>
      <c r="P410" s="268"/>
      <c r="Q410" s="268"/>
      <c r="R410" s="268"/>
      <c r="S410" s="268"/>
      <c r="T410" s="268"/>
      <c r="U410" s="268"/>
      <c r="V410" s="268"/>
      <c r="W410" s="268"/>
      <c r="X410" s="268"/>
      <c r="Y410" s="268"/>
      <c r="Z410" s="268"/>
    </row>
    <row r="411" spans="1:26" ht="12.75" customHeight="1">
      <c r="A411" s="268"/>
      <c r="B411" s="268"/>
      <c r="C411" s="268"/>
      <c r="D411" s="268"/>
      <c r="E411" s="268"/>
      <c r="F411" s="268"/>
      <c r="G411" s="268"/>
      <c r="H411" s="268"/>
      <c r="I411" s="268"/>
      <c r="J411" s="268"/>
      <c r="K411" s="268"/>
      <c r="L411" s="268"/>
      <c r="M411" s="268"/>
      <c r="N411" s="268"/>
      <c r="O411" s="268"/>
      <c r="P411" s="268"/>
      <c r="Q411" s="268"/>
      <c r="R411" s="268"/>
      <c r="S411" s="268"/>
      <c r="T411" s="268"/>
      <c r="U411" s="268"/>
      <c r="V411" s="268"/>
      <c r="W411" s="268"/>
      <c r="X411" s="268"/>
      <c r="Y411" s="268"/>
      <c r="Z411" s="268"/>
    </row>
    <row r="412" spans="1:26" ht="12.75" customHeight="1">
      <c r="A412" s="268"/>
      <c r="B412" s="268"/>
      <c r="C412" s="268"/>
      <c r="D412" s="268"/>
      <c r="E412" s="268"/>
      <c r="F412" s="268"/>
      <c r="G412" s="268"/>
      <c r="H412" s="268"/>
      <c r="I412" s="268"/>
      <c r="J412" s="268"/>
      <c r="K412" s="268"/>
      <c r="L412" s="268"/>
      <c r="M412" s="268"/>
      <c r="N412" s="268"/>
      <c r="O412" s="268"/>
      <c r="P412" s="268"/>
      <c r="Q412" s="268"/>
      <c r="R412" s="268"/>
      <c r="S412" s="268"/>
      <c r="T412" s="268"/>
      <c r="U412" s="268"/>
      <c r="V412" s="268"/>
      <c r="W412" s="268"/>
      <c r="X412" s="268"/>
      <c r="Y412" s="268"/>
      <c r="Z412" s="268"/>
    </row>
    <row r="413" spans="1:26" ht="12.75" customHeight="1">
      <c r="A413" s="268"/>
      <c r="B413" s="268"/>
      <c r="C413" s="268"/>
      <c r="D413" s="268"/>
      <c r="E413" s="268"/>
      <c r="F413" s="268"/>
      <c r="G413" s="268"/>
      <c r="H413" s="268"/>
      <c r="I413" s="268"/>
      <c r="J413" s="268"/>
      <c r="K413" s="268"/>
      <c r="L413" s="268"/>
      <c r="M413" s="268"/>
      <c r="N413" s="268"/>
      <c r="O413" s="268"/>
      <c r="P413" s="268"/>
      <c r="Q413" s="268"/>
      <c r="R413" s="268"/>
      <c r="S413" s="268"/>
      <c r="T413" s="268"/>
      <c r="U413" s="268"/>
      <c r="V413" s="268"/>
      <c r="W413" s="268"/>
      <c r="X413" s="268"/>
      <c r="Y413" s="268"/>
      <c r="Z413" s="268"/>
    </row>
    <row r="414" spans="1:26" ht="12.75" customHeight="1">
      <c r="A414" s="268"/>
      <c r="B414" s="268"/>
      <c r="C414" s="268"/>
      <c r="D414" s="268"/>
      <c r="E414" s="268"/>
      <c r="F414" s="268"/>
      <c r="G414" s="268"/>
      <c r="H414" s="268"/>
      <c r="I414" s="268"/>
      <c r="J414" s="268"/>
      <c r="K414" s="268"/>
      <c r="L414" s="268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</row>
    <row r="415" spans="1:26" ht="12.75" customHeight="1">
      <c r="A415" s="268"/>
      <c r="B415" s="268"/>
      <c r="C415" s="268"/>
      <c r="D415" s="268"/>
      <c r="E415" s="268"/>
      <c r="F415" s="268"/>
      <c r="G415" s="268"/>
      <c r="H415" s="268"/>
      <c r="I415" s="268"/>
      <c r="J415" s="268"/>
      <c r="K415" s="268"/>
      <c r="L415" s="268"/>
      <c r="M415" s="268"/>
      <c r="N415" s="268"/>
      <c r="O415" s="268"/>
      <c r="P415" s="268"/>
      <c r="Q415" s="268"/>
      <c r="R415" s="268"/>
      <c r="S415" s="268"/>
      <c r="T415" s="268"/>
      <c r="U415" s="268"/>
      <c r="V415" s="268"/>
      <c r="W415" s="268"/>
      <c r="X415" s="268"/>
      <c r="Y415" s="268"/>
      <c r="Z415" s="268"/>
    </row>
    <row r="416" spans="1:26" ht="12.75" customHeight="1">
      <c r="A416" s="268"/>
      <c r="B416" s="268"/>
      <c r="C416" s="268"/>
      <c r="D416" s="268"/>
      <c r="E416" s="268"/>
      <c r="F416" s="268"/>
      <c r="G416" s="268"/>
      <c r="H416" s="268"/>
      <c r="I416" s="268"/>
      <c r="J416" s="268"/>
      <c r="K416" s="268"/>
      <c r="L416" s="268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</row>
    <row r="417" spans="1:26" ht="12.75" customHeight="1">
      <c r="A417" s="268"/>
      <c r="B417" s="268"/>
      <c r="C417" s="268"/>
      <c r="D417" s="268"/>
      <c r="E417" s="268"/>
      <c r="F417" s="268"/>
      <c r="G417" s="268"/>
      <c r="H417" s="268"/>
      <c r="I417" s="268"/>
      <c r="J417" s="268"/>
      <c r="K417" s="268"/>
      <c r="L417" s="268"/>
      <c r="M417" s="268"/>
      <c r="N417" s="268"/>
      <c r="O417" s="268"/>
      <c r="P417" s="268"/>
      <c r="Q417" s="268"/>
      <c r="R417" s="268"/>
      <c r="S417" s="268"/>
      <c r="T417" s="268"/>
      <c r="U417" s="268"/>
      <c r="V417" s="268"/>
      <c r="W417" s="268"/>
      <c r="X417" s="268"/>
      <c r="Y417" s="268"/>
      <c r="Z417" s="268"/>
    </row>
    <row r="418" spans="1:26" ht="12.75" customHeight="1">
      <c r="A418" s="268"/>
      <c r="B418" s="268"/>
      <c r="C418" s="268"/>
      <c r="D418" s="268"/>
      <c r="E418" s="268"/>
      <c r="F418" s="268"/>
      <c r="G418" s="268"/>
      <c r="H418" s="268"/>
      <c r="I418" s="268"/>
      <c r="J418" s="268"/>
      <c r="K418" s="268"/>
      <c r="L418" s="268"/>
      <c r="M418" s="268"/>
      <c r="N418" s="268"/>
      <c r="O418" s="268"/>
      <c r="P418" s="268"/>
      <c r="Q418" s="268"/>
      <c r="R418" s="268"/>
      <c r="S418" s="268"/>
      <c r="T418" s="268"/>
      <c r="U418" s="268"/>
      <c r="V418" s="268"/>
      <c r="W418" s="268"/>
      <c r="X418" s="268"/>
      <c r="Y418" s="268"/>
      <c r="Z418" s="268"/>
    </row>
    <row r="419" spans="1:26" ht="12.75" customHeight="1">
      <c r="A419" s="268"/>
      <c r="B419" s="268"/>
      <c r="C419" s="268"/>
      <c r="D419" s="268"/>
      <c r="E419" s="268"/>
      <c r="F419" s="268"/>
      <c r="G419" s="268"/>
      <c r="H419" s="268"/>
      <c r="I419" s="268"/>
      <c r="J419" s="268"/>
      <c r="K419" s="268"/>
      <c r="L419" s="268"/>
      <c r="M419" s="268"/>
      <c r="N419" s="268"/>
      <c r="O419" s="268"/>
      <c r="P419" s="268"/>
      <c r="Q419" s="268"/>
      <c r="R419" s="268"/>
      <c r="S419" s="268"/>
      <c r="T419" s="268"/>
      <c r="U419" s="268"/>
      <c r="V419" s="268"/>
      <c r="W419" s="268"/>
      <c r="X419" s="268"/>
      <c r="Y419" s="268"/>
      <c r="Z419" s="268"/>
    </row>
    <row r="420" spans="1:26" ht="12.75" customHeight="1">
      <c r="A420" s="268"/>
      <c r="B420" s="268"/>
      <c r="C420" s="268"/>
      <c r="D420" s="268"/>
      <c r="E420" s="268"/>
      <c r="F420" s="268"/>
      <c r="G420" s="268"/>
      <c r="H420" s="268"/>
      <c r="I420" s="268"/>
      <c r="J420" s="268"/>
      <c r="K420" s="268"/>
      <c r="L420" s="268"/>
      <c r="M420" s="268"/>
      <c r="N420" s="268"/>
      <c r="O420" s="268"/>
      <c r="P420" s="268"/>
      <c r="Q420" s="268"/>
      <c r="R420" s="268"/>
      <c r="S420" s="268"/>
      <c r="T420" s="268"/>
      <c r="U420" s="268"/>
      <c r="V420" s="268"/>
      <c r="W420" s="268"/>
      <c r="X420" s="268"/>
      <c r="Y420" s="268"/>
      <c r="Z420" s="268"/>
    </row>
    <row r="421" spans="1:26" ht="12.75" customHeight="1">
      <c r="A421" s="268"/>
      <c r="B421" s="268"/>
      <c r="C421" s="268"/>
      <c r="D421" s="268"/>
      <c r="E421" s="268"/>
      <c r="F421" s="268"/>
      <c r="G421" s="268"/>
      <c r="H421" s="268"/>
      <c r="I421" s="268"/>
      <c r="J421" s="268"/>
      <c r="K421" s="268"/>
      <c r="L421" s="268"/>
      <c r="M421" s="268"/>
      <c r="N421" s="268"/>
      <c r="O421" s="268"/>
      <c r="P421" s="268"/>
      <c r="Q421" s="268"/>
      <c r="R421" s="268"/>
      <c r="S421" s="268"/>
      <c r="T421" s="268"/>
      <c r="U421" s="268"/>
      <c r="V421" s="268"/>
      <c r="W421" s="268"/>
      <c r="X421" s="268"/>
      <c r="Y421" s="268"/>
      <c r="Z421" s="268"/>
    </row>
    <row r="422" spans="1:26" ht="12.75" customHeight="1">
      <c r="A422" s="268"/>
      <c r="B422" s="268"/>
      <c r="C422" s="268"/>
      <c r="D422" s="268"/>
      <c r="E422" s="268"/>
      <c r="F422" s="268"/>
      <c r="G422" s="268"/>
      <c r="H422" s="268"/>
      <c r="I422" s="268"/>
      <c r="J422" s="268"/>
      <c r="K422" s="268"/>
      <c r="L422" s="268"/>
      <c r="M422" s="268"/>
      <c r="N422" s="268"/>
      <c r="O422" s="268"/>
      <c r="P422" s="268"/>
      <c r="Q422" s="268"/>
      <c r="R422" s="268"/>
      <c r="S422" s="268"/>
      <c r="T422" s="268"/>
      <c r="U422" s="268"/>
      <c r="V422" s="268"/>
      <c r="W422" s="268"/>
      <c r="X422" s="268"/>
      <c r="Y422" s="268"/>
      <c r="Z422" s="268"/>
    </row>
    <row r="423" spans="1:26" ht="12.75" customHeight="1">
      <c r="A423" s="268"/>
      <c r="B423" s="268"/>
      <c r="C423" s="268"/>
      <c r="D423" s="268"/>
      <c r="E423" s="268"/>
      <c r="F423" s="268"/>
      <c r="G423" s="268"/>
      <c r="H423" s="268"/>
      <c r="I423" s="268"/>
      <c r="J423" s="268"/>
      <c r="K423" s="268"/>
      <c r="L423" s="268"/>
      <c r="M423" s="268"/>
      <c r="N423" s="268"/>
      <c r="O423" s="268"/>
      <c r="P423" s="268"/>
      <c r="Q423" s="268"/>
      <c r="R423" s="268"/>
      <c r="S423" s="268"/>
      <c r="T423" s="268"/>
      <c r="U423" s="268"/>
      <c r="V423" s="268"/>
      <c r="W423" s="268"/>
      <c r="X423" s="268"/>
      <c r="Y423" s="268"/>
      <c r="Z423" s="268"/>
    </row>
    <row r="424" spans="1:26" ht="12.75" customHeight="1">
      <c r="A424" s="268"/>
      <c r="B424" s="268"/>
      <c r="C424" s="268"/>
      <c r="D424" s="268"/>
      <c r="E424" s="268"/>
      <c r="F424" s="268"/>
      <c r="G424" s="268"/>
      <c r="H424" s="268"/>
      <c r="I424" s="268"/>
      <c r="J424" s="268"/>
      <c r="K424" s="268"/>
      <c r="L424" s="268"/>
      <c r="M424" s="268"/>
      <c r="N424" s="268"/>
      <c r="O424" s="268"/>
      <c r="P424" s="268"/>
      <c r="Q424" s="268"/>
      <c r="R424" s="268"/>
      <c r="S424" s="268"/>
      <c r="T424" s="268"/>
      <c r="U424" s="268"/>
      <c r="V424" s="268"/>
      <c r="W424" s="268"/>
      <c r="X424" s="268"/>
      <c r="Y424" s="268"/>
      <c r="Z424" s="268"/>
    </row>
    <row r="425" spans="1:26" ht="12.75" customHeight="1">
      <c r="A425" s="268"/>
      <c r="B425" s="268"/>
      <c r="C425" s="268"/>
      <c r="D425" s="268"/>
      <c r="E425" s="268"/>
      <c r="F425" s="268"/>
      <c r="G425" s="268"/>
      <c r="H425" s="268"/>
      <c r="I425" s="268"/>
      <c r="J425" s="268"/>
      <c r="K425" s="268"/>
      <c r="L425" s="268"/>
      <c r="M425" s="268"/>
      <c r="N425" s="268"/>
      <c r="O425" s="268"/>
      <c r="P425" s="268"/>
      <c r="Q425" s="268"/>
      <c r="R425" s="268"/>
      <c r="S425" s="268"/>
      <c r="T425" s="268"/>
      <c r="U425" s="268"/>
      <c r="V425" s="268"/>
      <c r="W425" s="268"/>
      <c r="X425" s="268"/>
      <c r="Y425" s="268"/>
      <c r="Z425" s="268"/>
    </row>
    <row r="426" spans="1:26" ht="12.75" customHeight="1">
      <c r="A426" s="268"/>
      <c r="B426" s="268"/>
      <c r="C426" s="268"/>
      <c r="D426" s="268"/>
      <c r="E426" s="268"/>
      <c r="F426" s="268"/>
      <c r="G426" s="268"/>
      <c r="H426" s="268"/>
      <c r="I426" s="268"/>
      <c r="J426" s="268"/>
      <c r="K426" s="268"/>
      <c r="L426" s="268"/>
      <c r="M426" s="268"/>
      <c r="N426" s="268"/>
      <c r="O426" s="268"/>
      <c r="P426" s="268"/>
      <c r="Q426" s="268"/>
      <c r="R426" s="268"/>
      <c r="S426" s="268"/>
      <c r="T426" s="268"/>
      <c r="U426" s="268"/>
      <c r="V426" s="268"/>
      <c r="W426" s="268"/>
      <c r="X426" s="268"/>
      <c r="Y426" s="268"/>
      <c r="Z426" s="268"/>
    </row>
    <row r="427" spans="1:26" ht="12.75" customHeight="1">
      <c r="A427" s="268"/>
      <c r="B427" s="268"/>
      <c r="C427" s="268"/>
      <c r="D427" s="268"/>
      <c r="E427" s="268"/>
      <c r="F427" s="268"/>
      <c r="G427" s="268"/>
      <c r="H427" s="268"/>
      <c r="I427" s="268"/>
      <c r="J427" s="268"/>
      <c r="K427" s="268"/>
      <c r="L427" s="268"/>
      <c r="M427" s="268"/>
      <c r="N427" s="268"/>
      <c r="O427" s="268"/>
      <c r="P427" s="268"/>
      <c r="Q427" s="268"/>
      <c r="R427" s="268"/>
      <c r="S427" s="268"/>
      <c r="T427" s="268"/>
      <c r="U427" s="268"/>
      <c r="V427" s="268"/>
      <c r="W427" s="268"/>
      <c r="X427" s="268"/>
      <c r="Y427" s="268"/>
      <c r="Z427" s="268"/>
    </row>
    <row r="428" spans="1:26" ht="12.75" customHeight="1">
      <c r="A428" s="268"/>
      <c r="B428" s="268"/>
      <c r="C428" s="268"/>
      <c r="D428" s="268"/>
      <c r="E428" s="268"/>
      <c r="F428" s="268"/>
      <c r="G428" s="268"/>
      <c r="H428" s="268"/>
      <c r="I428" s="268"/>
      <c r="J428" s="268"/>
      <c r="K428" s="268"/>
      <c r="L428" s="268"/>
      <c r="M428" s="268"/>
      <c r="N428" s="268"/>
      <c r="O428" s="268"/>
      <c r="P428" s="268"/>
      <c r="Q428" s="268"/>
      <c r="R428" s="268"/>
      <c r="S428" s="268"/>
      <c r="T428" s="268"/>
      <c r="U428" s="268"/>
      <c r="V428" s="268"/>
      <c r="W428" s="268"/>
      <c r="X428" s="268"/>
      <c r="Y428" s="268"/>
      <c r="Z428" s="268"/>
    </row>
    <row r="429" spans="1:26" ht="12.75" customHeight="1">
      <c r="A429" s="268"/>
      <c r="B429" s="268"/>
      <c r="C429" s="268"/>
      <c r="D429" s="268"/>
      <c r="E429" s="268"/>
      <c r="F429" s="268"/>
      <c r="G429" s="268"/>
      <c r="H429" s="268"/>
      <c r="I429" s="268"/>
      <c r="J429" s="268"/>
      <c r="K429" s="268"/>
      <c r="L429" s="268"/>
      <c r="M429" s="268"/>
      <c r="N429" s="268"/>
      <c r="O429" s="268"/>
      <c r="P429" s="268"/>
      <c r="Q429" s="268"/>
      <c r="R429" s="268"/>
      <c r="S429" s="268"/>
      <c r="T429" s="268"/>
      <c r="U429" s="268"/>
      <c r="V429" s="268"/>
      <c r="W429" s="268"/>
      <c r="X429" s="268"/>
      <c r="Y429" s="268"/>
      <c r="Z429" s="268"/>
    </row>
    <row r="430" spans="1:26" ht="12.75" customHeight="1">
      <c r="A430" s="268"/>
      <c r="B430" s="268"/>
      <c r="C430" s="268"/>
      <c r="D430" s="268"/>
      <c r="E430" s="268"/>
      <c r="F430" s="268"/>
      <c r="G430" s="268"/>
      <c r="H430" s="268"/>
      <c r="I430" s="268"/>
      <c r="J430" s="268"/>
      <c r="K430" s="268"/>
      <c r="L430" s="268"/>
      <c r="M430" s="268"/>
      <c r="N430" s="268"/>
      <c r="O430" s="268"/>
      <c r="P430" s="268"/>
      <c r="Q430" s="268"/>
      <c r="R430" s="268"/>
      <c r="S430" s="268"/>
      <c r="T430" s="268"/>
      <c r="U430" s="268"/>
      <c r="V430" s="268"/>
      <c r="W430" s="268"/>
      <c r="X430" s="268"/>
      <c r="Y430" s="268"/>
      <c r="Z430" s="268"/>
    </row>
    <row r="431" spans="1:26" ht="12.75" customHeight="1">
      <c r="A431" s="268"/>
      <c r="B431" s="268"/>
      <c r="C431" s="268"/>
      <c r="D431" s="268"/>
      <c r="E431" s="268"/>
      <c r="F431" s="268"/>
      <c r="G431" s="268"/>
      <c r="H431" s="268"/>
      <c r="I431" s="268"/>
      <c r="J431" s="268"/>
      <c r="K431" s="268"/>
      <c r="L431" s="268"/>
      <c r="M431" s="268"/>
      <c r="N431" s="268"/>
      <c r="O431" s="268"/>
      <c r="P431" s="268"/>
      <c r="Q431" s="268"/>
      <c r="R431" s="268"/>
      <c r="S431" s="268"/>
      <c r="T431" s="268"/>
      <c r="U431" s="268"/>
      <c r="V431" s="268"/>
      <c r="W431" s="268"/>
      <c r="X431" s="268"/>
      <c r="Y431" s="268"/>
      <c r="Z431" s="268"/>
    </row>
    <row r="432" spans="1:26" ht="12.75" customHeight="1">
      <c r="A432" s="268"/>
      <c r="B432" s="268"/>
      <c r="C432" s="268"/>
      <c r="D432" s="268"/>
      <c r="E432" s="268"/>
      <c r="F432" s="268"/>
      <c r="G432" s="268"/>
      <c r="H432" s="268"/>
      <c r="I432" s="268"/>
      <c r="J432" s="268"/>
      <c r="K432" s="268"/>
      <c r="L432" s="268"/>
      <c r="M432" s="268"/>
      <c r="N432" s="268"/>
      <c r="O432" s="268"/>
      <c r="P432" s="268"/>
      <c r="Q432" s="268"/>
      <c r="R432" s="268"/>
      <c r="S432" s="268"/>
      <c r="T432" s="268"/>
      <c r="U432" s="268"/>
      <c r="V432" s="268"/>
      <c r="W432" s="268"/>
      <c r="X432" s="268"/>
      <c r="Y432" s="268"/>
      <c r="Z432" s="268"/>
    </row>
    <row r="433" spans="1:26" ht="12.75" customHeight="1">
      <c r="A433" s="268"/>
      <c r="B433" s="268"/>
      <c r="C433" s="268"/>
      <c r="D433" s="268"/>
      <c r="E433" s="268"/>
      <c r="F433" s="268"/>
      <c r="G433" s="268"/>
      <c r="H433" s="268"/>
      <c r="I433" s="268"/>
      <c r="J433" s="268"/>
      <c r="K433" s="268"/>
      <c r="L433" s="268"/>
      <c r="M433" s="268"/>
      <c r="N433" s="268"/>
      <c r="O433" s="268"/>
      <c r="P433" s="268"/>
      <c r="Q433" s="268"/>
      <c r="R433" s="268"/>
      <c r="S433" s="268"/>
      <c r="T433" s="268"/>
      <c r="U433" s="268"/>
      <c r="V433" s="268"/>
      <c r="W433" s="268"/>
      <c r="X433" s="268"/>
      <c r="Y433" s="268"/>
      <c r="Z433" s="268"/>
    </row>
    <row r="434" spans="1:26" ht="12.75" customHeight="1">
      <c r="A434" s="268"/>
      <c r="B434" s="268"/>
      <c r="C434" s="268"/>
      <c r="D434" s="268"/>
      <c r="E434" s="268"/>
      <c r="F434" s="268"/>
      <c r="G434" s="268"/>
      <c r="H434" s="268"/>
      <c r="I434" s="268"/>
      <c r="J434" s="268"/>
      <c r="K434" s="268"/>
      <c r="L434" s="268"/>
      <c r="M434" s="268"/>
      <c r="N434" s="268"/>
      <c r="O434" s="268"/>
      <c r="P434" s="268"/>
      <c r="Q434" s="268"/>
      <c r="R434" s="268"/>
      <c r="S434" s="268"/>
      <c r="T434" s="268"/>
      <c r="U434" s="268"/>
      <c r="V434" s="268"/>
      <c r="W434" s="268"/>
      <c r="X434" s="268"/>
      <c r="Y434" s="268"/>
      <c r="Z434" s="268"/>
    </row>
    <row r="435" spans="1:26" ht="12.75" customHeight="1">
      <c r="A435" s="268"/>
      <c r="B435" s="268"/>
      <c r="C435" s="268"/>
      <c r="D435" s="268"/>
      <c r="E435" s="268"/>
      <c r="F435" s="268"/>
      <c r="G435" s="268"/>
      <c r="H435" s="268"/>
      <c r="I435" s="268"/>
      <c r="J435" s="268"/>
      <c r="K435" s="268"/>
      <c r="L435" s="268"/>
      <c r="M435" s="268"/>
      <c r="N435" s="268"/>
      <c r="O435" s="268"/>
      <c r="P435" s="268"/>
      <c r="Q435" s="268"/>
      <c r="R435" s="268"/>
      <c r="S435" s="268"/>
      <c r="T435" s="268"/>
      <c r="U435" s="268"/>
      <c r="V435" s="268"/>
      <c r="W435" s="268"/>
      <c r="X435" s="268"/>
      <c r="Y435" s="268"/>
      <c r="Z435" s="268"/>
    </row>
    <row r="436" spans="1:26" ht="12.75" customHeight="1">
      <c r="A436" s="268"/>
      <c r="B436" s="268"/>
      <c r="C436" s="268"/>
      <c r="D436" s="268"/>
      <c r="E436" s="268"/>
      <c r="F436" s="268"/>
      <c r="G436" s="268"/>
      <c r="H436" s="268"/>
      <c r="I436" s="268"/>
      <c r="J436" s="268"/>
      <c r="K436" s="268"/>
      <c r="L436" s="268"/>
      <c r="M436" s="268"/>
      <c r="N436" s="268"/>
      <c r="O436" s="268"/>
      <c r="P436" s="268"/>
      <c r="Q436" s="268"/>
      <c r="R436" s="268"/>
      <c r="S436" s="268"/>
      <c r="T436" s="268"/>
      <c r="U436" s="268"/>
      <c r="V436" s="268"/>
      <c r="W436" s="268"/>
      <c r="X436" s="268"/>
      <c r="Y436" s="268"/>
      <c r="Z436" s="268"/>
    </row>
    <row r="437" spans="1:26" ht="12.75" customHeight="1">
      <c r="A437" s="268"/>
      <c r="B437" s="268"/>
      <c r="C437" s="268"/>
      <c r="D437" s="268"/>
      <c r="E437" s="268"/>
      <c r="F437" s="268"/>
      <c r="G437" s="268"/>
      <c r="H437" s="268"/>
      <c r="I437" s="268"/>
      <c r="J437" s="268"/>
      <c r="K437" s="268"/>
      <c r="L437" s="268"/>
      <c r="M437" s="268"/>
      <c r="N437" s="268"/>
      <c r="O437" s="268"/>
      <c r="P437" s="268"/>
      <c r="Q437" s="268"/>
      <c r="R437" s="268"/>
      <c r="S437" s="268"/>
      <c r="T437" s="268"/>
      <c r="U437" s="268"/>
      <c r="V437" s="268"/>
      <c r="W437" s="268"/>
      <c r="X437" s="268"/>
      <c r="Y437" s="268"/>
      <c r="Z437" s="268"/>
    </row>
    <row r="438" spans="1:26" ht="12.75" customHeight="1">
      <c r="A438" s="268"/>
      <c r="B438" s="268"/>
      <c r="C438" s="268"/>
      <c r="D438" s="268"/>
      <c r="E438" s="268"/>
      <c r="F438" s="268"/>
      <c r="G438" s="268"/>
      <c r="H438" s="268"/>
      <c r="I438" s="268"/>
      <c r="J438" s="268"/>
      <c r="K438" s="268"/>
      <c r="L438" s="268"/>
      <c r="M438" s="268"/>
      <c r="N438" s="268"/>
      <c r="O438" s="268"/>
      <c r="P438" s="268"/>
      <c r="Q438" s="268"/>
      <c r="R438" s="268"/>
      <c r="S438" s="268"/>
      <c r="T438" s="268"/>
      <c r="U438" s="268"/>
      <c r="V438" s="268"/>
      <c r="W438" s="268"/>
      <c r="X438" s="268"/>
      <c r="Y438" s="268"/>
      <c r="Z438" s="268"/>
    </row>
    <row r="439" spans="1:26" ht="12.75" customHeight="1">
      <c r="A439" s="268"/>
      <c r="B439" s="268"/>
      <c r="C439" s="268"/>
      <c r="D439" s="268"/>
      <c r="E439" s="268"/>
      <c r="F439" s="268"/>
      <c r="G439" s="268"/>
      <c r="H439" s="268"/>
      <c r="I439" s="268"/>
      <c r="J439" s="268"/>
      <c r="K439" s="268"/>
      <c r="L439" s="268"/>
      <c r="M439" s="268"/>
      <c r="N439" s="268"/>
      <c r="O439" s="268"/>
      <c r="P439" s="268"/>
      <c r="Q439" s="268"/>
      <c r="R439" s="268"/>
      <c r="S439" s="268"/>
      <c r="T439" s="268"/>
      <c r="U439" s="268"/>
      <c r="V439" s="268"/>
      <c r="W439" s="268"/>
      <c r="X439" s="268"/>
      <c r="Y439" s="268"/>
      <c r="Z439" s="268"/>
    </row>
    <row r="440" spans="1:26" ht="12.75" customHeight="1">
      <c r="A440" s="268"/>
      <c r="B440" s="268"/>
      <c r="C440" s="268"/>
      <c r="D440" s="268"/>
      <c r="E440" s="268"/>
      <c r="F440" s="268"/>
      <c r="G440" s="268"/>
      <c r="H440" s="268"/>
      <c r="I440" s="268"/>
      <c r="J440" s="268"/>
      <c r="K440" s="268"/>
      <c r="L440" s="268"/>
      <c r="M440" s="268"/>
      <c r="N440" s="268"/>
      <c r="O440" s="268"/>
      <c r="P440" s="268"/>
      <c r="Q440" s="268"/>
      <c r="R440" s="268"/>
      <c r="S440" s="268"/>
      <c r="T440" s="268"/>
      <c r="U440" s="268"/>
      <c r="V440" s="268"/>
      <c r="W440" s="268"/>
      <c r="X440" s="268"/>
      <c r="Y440" s="268"/>
      <c r="Z440" s="268"/>
    </row>
    <row r="441" spans="1:26" ht="12.75" customHeight="1">
      <c r="A441" s="268"/>
      <c r="B441" s="268"/>
      <c r="C441" s="268"/>
      <c r="D441" s="268"/>
      <c r="E441" s="268"/>
      <c r="F441" s="268"/>
      <c r="G441" s="268"/>
      <c r="H441" s="268"/>
      <c r="I441" s="268"/>
      <c r="J441" s="268"/>
      <c r="K441" s="268"/>
      <c r="L441" s="268"/>
      <c r="M441" s="268"/>
      <c r="N441" s="268"/>
      <c r="O441" s="268"/>
      <c r="P441" s="268"/>
      <c r="Q441" s="268"/>
      <c r="R441" s="268"/>
      <c r="S441" s="268"/>
      <c r="T441" s="268"/>
      <c r="U441" s="268"/>
      <c r="V441" s="268"/>
      <c r="W441" s="268"/>
      <c r="X441" s="268"/>
      <c r="Y441" s="268"/>
      <c r="Z441" s="268"/>
    </row>
    <row r="442" spans="1:26" ht="12.75" customHeight="1">
      <c r="A442" s="268"/>
      <c r="B442" s="268"/>
      <c r="C442" s="268"/>
      <c r="D442" s="268"/>
      <c r="E442" s="268"/>
      <c r="F442" s="268"/>
      <c r="G442" s="268"/>
      <c r="H442" s="268"/>
      <c r="I442" s="268"/>
      <c r="J442" s="268"/>
      <c r="K442" s="268"/>
      <c r="L442" s="268"/>
      <c r="M442" s="268"/>
      <c r="N442" s="268"/>
      <c r="O442" s="268"/>
      <c r="P442" s="268"/>
      <c r="Q442" s="268"/>
      <c r="R442" s="268"/>
      <c r="S442" s="268"/>
      <c r="T442" s="268"/>
      <c r="U442" s="268"/>
      <c r="V442" s="268"/>
      <c r="W442" s="268"/>
      <c r="X442" s="268"/>
      <c r="Y442" s="268"/>
      <c r="Z442" s="268"/>
    </row>
    <row r="443" spans="1:26" ht="12.75" customHeight="1">
      <c r="A443" s="268"/>
      <c r="B443" s="268"/>
      <c r="C443" s="268"/>
      <c r="D443" s="268"/>
      <c r="E443" s="268"/>
      <c r="F443" s="268"/>
      <c r="G443" s="268"/>
      <c r="H443" s="268"/>
      <c r="I443" s="268"/>
      <c r="J443" s="268"/>
      <c r="K443" s="268"/>
      <c r="L443" s="268"/>
      <c r="M443" s="268"/>
      <c r="N443" s="268"/>
      <c r="O443" s="268"/>
      <c r="P443" s="268"/>
      <c r="Q443" s="268"/>
      <c r="R443" s="268"/>
      <c r="S443" s="268"/>
      <c r="T443" s="268"/>
      <c r="U443" s="268"/>
      <c r="V443" s="268"/>
      <c r="W443" s="268"/>
      <c r="X443" s="268"/>
      <c r="Y443" s="268"/>
      <c r="Z443" s="268"/>
    </row>
    <row r="444" spans="1:26" ht="12.75" customHeight="1">
      <c r="A444" s="268"/>
      <c r="B444" s="268"/>
      <c r="C444" s="268"/>
      <c r="D444" s="268"/>
      <c r="E444" s="268"/>
      <c r="F444" s="268"/>
      <c r="G444" s="268"/>
      <c r="H444" s="268"/>
      <c r="I444" s="268"/>
      <c r="J444" s="268"/>
      <c r="K444" s="268"/>
      <c r="L444" s="268"/>
      <c r="M444" s="268"/>
      <c r="N444" s="268"/>
      <c r="O444" s="268"/>
      <c r="P444" s="268"/>
      <c r="Q444" s="268"/>
      <c r="R444" s="268"/>
      <c r="S444" s="268"/>
      <c r="T444" s="268"/>
      <c r="U444" s="268"/>
      <c r="V444" s="268"/>
      <c r="W444" s="268"/>
      <c r="X444" s="268"/>
      <c r="Y444" s="268"/>
      <c r="Z444" s="268"/>
    </row>
    <row r="445" spans="1:26" ht="12.75" customHeight="1">
      <c r="A445" s="268"/>
      <c r="B445" s="268"/>
      <c r="C445" s="268"/>
      <c r="D445" s="268"/>
      <c r="E445" s="268"/>
      <c r="F445" s="268"/>
      <c r="G445" s="268"/>
      <c r="H445" s="268"/>
      <c r="I445" s="268"/>
      <c r="J445" s="268"/>
      <c r="K445" s="268"/>
      <c r="L445" s="268"/>
      <c r="M445" s="268"/>
      <c r="N445" s="268"/>
      <c r="O445" s="268"/>
      <c r="P445" s="268"/>
      <c r="Q445" s="268"/>
      <c r="R445" s="268"/>
      <c r="S445" s="268"/>
      <c r="T445" s="268"/>
      <c r="U445" s="268"/>
      <c r="V445" s="268"/>
      <c r="W445" s="268"/>
      <c r="X445" s="268"/>
      <c r="Y445" s="268"/>
      <c r="Z445" s="268"/>
    </row>
    <row r="446" spans="1:26" ht="12.75" customHeight="1">
      <c r="A446" s="268"/>
      <c r="B446" s="268"/>
      <c r="C446" s="268"/>
      <c r="D446" s="268"/>
      <c r="E446" s="268"/>
      <c r="F446" s="268"/>
      <c r="G446" s="268"/>
      <c r="H446" s="268"/>
      <c r="I446" s="268"/>
      <c r="J446" s="268"/>
      <c r="K446" s="268"/>
      <c r="L446" s="268"/>
      <c r="M446" s="268"/>
      <c r="N446" s="268"/>
      <c r="O446" s="268"/>
      <c r="P446" s="268"/>
      <c r="Q446" s="268"/>
      <c r="R446" s="268"/>
      <c r="S446" s="268"/>
      <c r="T446" s="268"/>
      <c r="U446" s="268"/>
      <c r="V446" s="268"/>
      <c r="W446" s="268"/>
      <c r="X446" s="268"/>
      <c r="Y446" s="268"/>
      <c r="Z446" s="268"/>
    </row>
    <row r="447" spans="1:26" ht="12.75" customHeight="1">
      <c r="A447" s="268"/>
      <c r="B447" s="268"/>
      <c r="C447" s="268"/>
      <c r="D447" s="268"/>
      <c r="E447" s="268"/>
      <c r="F447" s="268"/>
      <c r="G447" s="268"/>
      <c r="H447" s="268"/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S447" s="268"/>
      <c r="T447" s="268"/>
      <c r="U447" s="268"/>
      <c r="V447" s="268"/>
      <c r="W447" s="268"/>
      <c r="X447" s="268"/>
      <c r="Y447" s="268"/>
      <c r="Z447" s="268"/>
    </row>
    <row r="448" spans="1:26" ht="12.75" customHeight="1">
      <c r="A448" s="268"/>
      <c r="B448" s="268"/>
      <c r="C448" s="268"/>
      <c r="D448" s="268"/>
      <c r="E448" s="268"/>
      <c r="F448" s="268"/>
      <c r="G448" s="268"/>
      <c r="H448" s="268"/>
      <c r="I448" s="268"/>
      <c r="J448" s="268"/>
      <c r="K448" s="268"/>
      <c r="L448" s="268"/>
      <c r="M448" s="268"/>
      <c r="N448" s="268"/>
      <c r="O448" s="268"/>
      <c r="P448" s="268"/>
      <c r="Q448" s="268"/>
      <c r="R448" s="268"/>
      <c r="S448" s="268"/>
      <c r="T448" s="268"/>
      <c r="U448" s="268"/>
      <c r="V448" s="268"/>
      <c r="W448" s="268"/>
      <c r="X448" s="268"/>
      <c r="Y448" s="268"/>
      <c r="Z448" s="268"/>
    </row>
    <row r="449" spans="1:26" ht="12.75" customHeight="1">
      <c r="A449" s="268"/>
      <c r="B449" s="268"/>
      <c r="C449" s="268"/>
      <c r="D449" s="268"/>
      <c r="E449" s="268"/>
      <c r="F449" s="268"/>
      <c r="G449" s="268"/>
      <c r="H449" s="268"/>
      <c r="I449" s="268"/>
      <c r="J449" s="268"/>
      <c r="K449" s="268"/>
      <c r="L449" s="268"/>
      <c r="M449" s="268"/>
      <c r="N449" s="268"/>
      <c r="O449" s="268"/>
      <c r="P449" s="268"/>
      <c r="Q449" s="268"/>
      <c r="R449" s="268"/>
      <c r="S449" s="268"/>
      <c r="T449" s="268"/>
      <c r="U449" s="268"/>
      <c r="V449" s="268"/>
      <c r="W449" s="268"/>
      <c r="X449" s="268"/>
      <c r="Y449" s="268"/>
      <c r="Z449" s="268"/>
    </row>
    <row r="450" spans="1:26" ht="12.75" customHeight="1">
      <c r="A450" s="268"/>
      <c r="B450" s="268"/>
      <c r="C450" s="268"/>
      <c r="D450" s="268"/>
      <c r="E450" s="268"/>
      <c r="F450" s="268"/>
      <c r="G450" s="268"/>
      <c r="H450" s="268"/>
      <c r="I450" s="268"/>
      <c r="J450" s="268"/>
      <c r="K450" s="268"/>
      <c r="L450" s="268"/>
      <c r="M450" s="268"/>
      <c r="N450" s="268"/>
      <c r="O450" s="268"/>
      <c r="P450" s="268"/>
      <c r="Q450" s="268"/>
      <c r="R450" s="268"/>
      <c r="S450" s="268"/>
      <c r="T450" s="268"/>
      <c r="U450" s="268"/>
      <c r="V450" s="268"/>
      <c r="W450" s="268"/>
      <c r="X450" s="268"/>
      <c r="Y450" s="268"/>
      <c r="Z450" s="268"/>
    </row>
    <row r="451" spans="1:26" ht="12.75" customHeight="1">
      <c r="A451" s="268"/>
      <c r="B451" s="268"/>
      <c r="C451" s="268"/>
      <c r="D451" s="268"/>
      <c r="E451" s="268"/>
      <c r="F451" s="268"/>
      <c r="G451" s="268"/>
      <c r="H451" s="268"/>
      <c r="I451" s="268"/>
      <c r="J451" s="268"/>
      <c r="K451" s="268"/>
      <c r="L451" s="268"/>
      <c r="M451" s="268"/>
      <c r="N451" s="268"/>
      <c r="O451" s="268"/>
      <c r="P451" s="268"/>
      <c r="Q451" s="268"/>
      <c r="R451" s="268"/>
      <c r="S451" s="268"/>
      <c r="T451" s="268"/>
      <c r="U451" s="268"/>
      <c r="V451" s="268"/>
      <c r="W451" s="268"/>
      <c r="X451" s="268"/>
      <c r="Y451" s="268"/>
      <c r="Z451" s="268"/>
    </row>
    <row r="452" spans="1:26" ht="12.75" customHeight="1">
      <c r="A452" s="268"/>
      <c r="B452" s="268"/>
      <c r="C452" s="268"/>
      <c r="D452" s="268"/>
      <c r="E452" s="268"/>
      <c r="F452" s="268"/>
      <c r="G452" s="268"/>
      <c r="H452" s="268"/>
      <c r="I452" s="268"/>
      <c r="J452" s="268"/>
      <c r="K452" s="268"/>
      <c r="L452" s="268"/>
      <c r="M452" s="268"/>
      <c r="N452" s="268"/>
      <c r="O452" s="268"/>
      <c r="P452" s="268"/>
      <c r="Q452" s="268"/>
      <c r="R452" s="268"/>
      <c r="S452" s="268"/>
      <c r="T452" s="268"/>
      <c r="U452" s="268"/>
      <c r="V452" s="268"/>
      <c r="W452" s="268"/>
      <c r="X452" s="268"/>
      <c r="Y452" s="268"/>
      <c r="Z452" s="268"/>
    </row>
    <row r="453" spans="1:26" ht="12.75" customHeight="1">
      <c r="A453" s="268"/>
      <c r="B453" s="268"/>
      <c r="C453" s="268"/>
      <c r="D453" s="268"/>
      <c r="E453" s="268"/>
      <c r="F453" s="268"/>
      <c r="G453" s="268"/>
      <c r="H453" s="268"/>
      <c r="I453" s="268"/>
      <c r="J453" s="268"/>
      <c r="K453" s="268"/>
      <c r="L453" s="268"/>
      <c r="M453" s="268"/>
      <c r="N453" s="268"/>
      <c r="O453" s="268"/>
      <c r="P453" s="268"/>
      <c r="Q453" s="268"/>
      <c r="R453" s="268"/>
      <c r="S453" s="268"/>
      <c r="T453" s="268"/>
      <c r="U453" s="268"/>
      <c r="V453" s="268"/>
      <c r="W453" s="268"/>
      <c r="X453" s="268"/>
      <c r="Y453" s="268"/>
      <c r="Z453" s="268"/>
    </row>
    <row r="454" spans="1:26" ht="12.75" customHeight="1">
      <c r="A454" s="268"/>
      <c r="B454" s="268"/>
      <c r="C454" s="268"/>
      <c r="D454" s="268"/>
      <c r="E454" s="268"/>
      <c r="F454" s="268"/>
      <c r="G454" s="268"/>
      <c r="H454" s="268"/>
      <c r="I454" s="268"/>
      <c r="J454" s="268"/>
      <c r="K454" s="268"/>
      <c r="L454" s="268"/>
      <c r="M454" s="268"/>
      <c r="N454" s="268"/>
      <c r="O454" s="268"/>
      <c r="P454" s="268"/>
      <c r="Q454" s="268"/>
      <c r="R454" s="268"/>
      <c r="S454" s="268"/>
      <c r="T454" s="268"/>
      <c r="U454" s="268"/>
      <c r="V454" s="268"/>
      <c r="W454" s="268"/>
      <c r="X454" s="268"/>
      <c r="Y454" s="268"/>
      <c r="Z454" s="268"/>
    </row>
    <row r="455" spans="1:26" ht="12.75" customHeight="1">
      <c r="A455" s="268"/>
      <c r="B455" s="268"/>
      <c r="C455" s="268"/>
      <c r="D455" s="268"/>
      <c r="E455" s="268"/>
      <c r="F455" s="268"/>
      <c r="G455" s="268"/>
      <c r="H455" s="268"/>
      <c r="I455" s="268"/>
      <c r="J455" s="268"/>
      <c r="K455" s="268"/>
      <c r="L455" s="268"/>
      <c r="M455" s="268"/>
      <c r="N455" s="268"/>
      <c r="O455" s="268"/>
      <c r="P455" s="268"/>
      <c r="Q455" s="268"/>
      <c r="R455" s="268"/>
      <c r="S455" s="268"/>
      <c r="T455" s="268"/>
      <c r="U455" s="268"/>
      <c r="V455" s="268"/>
      <c r="W455" s="268"/>
      <c r="X455" s="268"/>
      <c r="Y455" s="268"/>
      <c r="Z455" s="268"/>
    </row>
    <row r="456" spans="1:26" ht="12.75" customHeight="1">
      <c r="A456" s="268"/>
      <c r="B456" s="268"/>
      <c r="C456" s="268"/>
      <c r="D456" s="268"/>
      <c r="E456" s="268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S456" s="268"/>
      <c r="T456" s="268"/>
      <c r="U456" s="268"/>
      <c r="V456" s="268"/>
      <c r="W456" s="268"/>
      <c r="X456" s="268"/>
      <c r="Y456" s="268"/>
      <c r="Z456" s="268"/>
    </row>
    <row r="457" spans="1:26" ht="12.75" customHeight="1">
      <c r="A457" s="268"/>
      <c r="B457" s="268"/>
      <c r="C457" s="268"/>
      <c r="D457" s="268"/>
      <c r="E457" s="268"/>
      <c r="F457" s="268"/>
      <c r="G457" s="268"/>
      <c r="H457" s="268"/>
      <c r="I457" s="268"/>
      <c r="J457" s="268"/>
      <c r="K457" s="268"/>
      <c r="L457" s="268"/>
      <c r="M457" s="268"/>
      <c r="N457" s="268"/>
      <c r="O457" s="268"/>
      <c r="P457" s="268"/>
      <c r="Q457" s="268"/>
      <c r="R457" s="268"/>
      <c r="S457" s="268"/>
      <c r="T457" s="268"/>
      <c r="U457" s="268"/>
      <c r="V457" s="268"/>
      <c r="W457" s="268"/>
      <c r="X457" s="268"/>
      <c r="Y457" s="268"/>
      <c r="Z457" s="268"/>
    </row>
    <row r="458" spans="1:26" ht="12.75" customHeight="1">
      <c r="A458" s="268"/>
      <c r="B458" s="268"/>
      <c r="C458" s="268"/>
      <c r="D458" s="268"/>
      <c r="E458" s="268"/>
      <c r="F458" s="268"/>
      <c r="G458" s="268"/>
      <c r="H458" s="268"/>
      <c r="I458" s="268"/>
      <c r="J458" s="268"/>
      <c r="K458" s="268"/>
      <c r="L458" s="268"/>
      <c r="M458" s="268"/>
      <c r="N458" s="268"/>
      <c r="O458" s="268"/>
      <c r="P458" s="268"/>
      <c r="Q458" s="268"/>
      <c r="R458" s="268"/>
      <c r="S458" s="268"/>
      <c r="T458" s="268"/>
      <c r="U458" s="268"/>
      <c r="V458" s="268"/>
      <c r="W458" s="268"/>
      <c r="X458" s="268"/>
      <c r="Y458" s="268"/>
      <c r="Z458" s="268"/>
    </row>
    <row r="459" spans="1:26" ht="12.75" customHeight="1">
      <c r="A459" s="268"/>
      <c r="B459" s="268"/>
      <c r="C459" s="268"/>
      <c r="D459" s="268"/>
      <c r="E459" s="268"/>
      <c r="F459" s="268"/>
      <c r="G459" s="268"/>
      <c r="H459" s="268"/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S459" s="268"/>
      <c r="T459" s="268"/>
      <c r="U459" s="268"/>
      <c r="V459" s="268"/>
      <c r="W459" s="268"/>
      <c r="X459" s="268"/>
      <c r="Y459" s="268"/>
      <c r="Z459" s="268"/>
    </row>
    <row r="460" spans="1:26" ht="12.75" customHeight="1">
      <c r="A460" s="268"/>
      <c r="B460" s="268"/>
      <c r="C460" s="268"/>
      <c r="D460" s="268"/>
      <c r="E460" s="268"/>
      <c r="F460" s="268"/>
      <c r="G460" s="268"/>
      <c r="H460" s="268"/>
      <c r="I460" s="268"/>
      <c r="J460" s="268"/>
      <c r="K460" s="268"/>
      <c r="L460" s="268"/>
      <c r="M460" s="268"/>
      <c r="N460" s="268"/>
      <c r="O460" s="268"/>
      <c r="P460" s="268"/>
      <c r="Q460" s="268"/>
      <c r="R460" s="268"/>
      <c r="S460" s="268"/>
      <c r="T460" s="268"/>
      <c r="U460" s="268"/>
      <c r="V460" s="268"/>
      <c r="W460" s="268"/>
      <c r="X460" s="268"/>
      <c r="Y460" s="268"/>
      <c r="Z460" s="268"/>
    </row>
    <row r="461" spans="1:26" ht="12.75" customHeight="1">
      <c r="A461" s="268"/>
      <c r="B461" s="268"/>
      <c r="C461" s="268"/>
      <c r="D461" s="268"/>
      <c r="E461" s="268"/>
      <c r="F461" s="268"/>
      <c r="G461" s="268"/>
      <c r="H461" s="268"/>
      <c r="I461" s="268"/>
      <c r="J461" s="268"/>
      <c r="K461" s="268"/>
      <c r="L461" s="268"/>
      <c r="M461" s="268"/>
      <c r="N461" s="268"/>
      <c r="O461" s="268"/>
      <c r="P461" s="268"/>
      <c r="Q461" s="268"/>
      <c r="R461" s="268"/>
      <c r="S461" s="268"/>
      <c r="T461" s="268"/>
      <c r="U461" s="268"/>
      <c r="V461" s="268"/>
      <c r="W461" s="268"/>
      <c r="X461" s="268"/>
      <c r="Y461" s="268"/>
      <c r="Z461" s="268"/>
    </row>
    <row r="462" spans="1:26" ht="12.75" customHeight="1">
      <c r="A462" s="268"/>
      <c r="B462" s="268"/>
      <c r="C462" s="268"/>
      <c r="D462" s="268"/>
      <c r="E462" s="268"/>
      <c r="F462" s="268"/>
      <c r="G462" s="268"/>
      <c r="H462" s="268"/>
      <c r="I462" s="268"/>
      <c r="J462" s="268"/>
      <c r="K462" s="268"/>
      <c r="L462" s="268"/>
      <c r="M462" s="268"/>
      <c r="N462" s="268"/>
      <c r="O462" s="268"/>
      <c r="P462" s="268"/>
      <c r="Q462" s="268"/>
      <c r="R462" s="268"/>
      <c r="S462" s="268"/>
      <c r="T462" s="268"/>
      <c r="U462" s="268"/>
      <c r="V462" s="268"/>
      <c r="W462" s="268"/>
      <c r="X462" s="268"/>
      <c r="Y462" s="268"/>
      <c r="Z462" s="268"/>
    </row>
    <row r="463" spans="1:26" ht="12.75" customHeight="1">
      <c r="A463" s="268"/>
      <c r="B463" s="268"/>
      <c r="C463" s="268"/>
      <c r="D463" s="268"/>
      <c r="E463" s="268"/>
      <c r="F463" s="268"/>
      <c r="G463" s="268"/>
      <c r="H463" s="268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</row>
    <row r="464" spans="1:26" ht="12.75" customHeight="1">
      <c r="A464" s="268"/>
      <c r="B464" s="268"/>
      <c r="C464" s="268"/>
      <c r="D464" s="268"/>
      <c r="E464" s="268"/>
      <c r="F464" s="268"/>
      <c r="G464" s="268"/>
      <c r="H464" s="268"/>
      <c r="I464" s="268"/>
      <c r="J464" s="268"/>
      <c r="K464" s="268"/>
      <c r="L464" s="268"/>
      <c r="M464" s="268"/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</row>
    <row r="465" spans="1:26" ht="12.75" customHeight="1">
      <c r="A465" s="268"/>
      <c r="B465" s="268"/>
      <c r="C465" s="268"/>
      <c r="D465" s="268"/>
      <c r="E465" s="268"/>
      <c r="F465" s="268"/>
      <c r="G465" s="268"/>
      <c r="H465" s="268"/>
      <c r="I465" s="268"/>
      <c r="J465" s="268"/>
      <c r="K465" s="268"/>
      <c r="L465" s="268"/>
      <c r="M465" s="268"/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</row>
    <row r="466" spans="1:26" ht="12.75" customHeight="1">
      <c r="A466" s="268"/>
      <c r="B466" s="268"/>
      <c r="C466" s="268"/>
      <c r="D466" s="268"/>
      <c r="E466" s="268"/>
      <c r="F466" s="268"/>
      <c r="G466" s="268"/>
      <c r="H466" s="268"/>
      <c r="I466" s="268"/>
      <c r="J466" s="268"/>
      <c r="K466" s="268"/>
      <c r="L466" s="268"/>
      <c r="M466" s="268"/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</row>
    <row r="467" spans="1:26" ht="12.75" customHeight="1">
      <c r="A467" s="268"/>
      <c r="B467" s="268"/>
      <c r="C467" s="268"/>
      <c r="D467" s="268"/>
      <c r="E467" s="268"/>
      <c r="F467" s="268"/>
      <c r="G467" s="268"/>
      <c r="H467" s="268"/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</row>
    <row r="468" spans="1:26" ht="12.75" customHeight="1">
      <c r="A468" s="268"/>
      <c r="B468" s="268"/>
      <c r="C468" s="268"/>
      <c r="D468" s="268"/>
      <c r="E468" s="268"/>
      <c r="F468" s="268"/>
      <c r="G468" s="268"/>
      <c r="H468" s="268"/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</row>
    <row r="469" spans="1:26" ht="12.75" customHeight="1">
      <c r="A469" s="268"/>
      <c r="B469" s="268"/>
      <c r="C469" s="268"/>
      <c r="D469" s="268"/>
      <c r="E469" s="268"/>
      <c r="F469" s="268"/>
      <c r="G469" s="268"/>
      <c r="H469" s="268"/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</row>
    <row r="470" spans="1:26" ht="12.75" customHeight="1">
      <c r="A470" s="268"/>
      <c r="B470" s="268"/>
      <c r="C470" s="268"/>
      <c r="D470" s="268"/>
      <c r="E470" s="268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</row>
    <row r="471" spans="1:26" ht="12.75" customHeight="1">
      <c r="A471" s="268"/>
      <c r="B471" s="268"/>
      <c r="C471" s="268"/>
      <c r="D471" s="268"/>
      <c r="E471" s="268"/>
      <c r="F471" s="268"/>
      <c r="G471" s="268"/>
      <c r="H471" s="268"/>
      <c r="I471" s="268"/>
      <c r="J471" s="268"/>
      <c r="K471" s="268"/>
      <c r="L471" s="268"/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</row>
    <row r="472" spans="1:26" ht="12.75" customHeight="1">
      <c r="A472" s="268"/>
      <c r="B472" s="268"/>
      <c r="C472" s="268"/>
      <c r="D472" s="268"/>
      <c r="E472" s="268"/>
      <c r="F472" s="268"/>
      <c r="G472" s="268"/>
      <c r="H472" s="268"/>
      <c r="I472" s="268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</row>
    <row r="473" spans="1:26" ht="12.75" customHeight="1">
      <c r="A473" s="268"/>
      <c r="B473" s="268"/>
      <c r="C473" s="268"/>
      <c r="D473" s="268"/>
      <c r="E473" s="268"/>
      <c r="F473" s="268"/>
      <c r="G473" s="268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</row>
    <row r="474" spans="1:26" ht="12.75" customHeight="1">
      <c r="A474" s="268"/>
      <c r="B474" s="268"/>
      <c r="C474" s="268"/>
      <c r="D474" s="268"/>
      <c r="E474" s="268"/>
      <c r="F474" s="268"/>
      <c r="G474" s="268"/>
      <c r="H474" s="268"/>
      <c r="I474" s="268"/>
      <c r="J474" s="268"/>
      <c r="K474" s="268"/>
      <c r="L474" s="268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</row>
    <row r="475" spans="1:26" ht="12.75" customHeight="1">
      <c r="A475" s="268"/>
      <c r="B475" s="268"/>
      <c r="C475" s="268"/>
      <c r="D475" s="268"/>
      <c r="E475" s="268"/>
      <c r="F475" s="268"/>
      <c r="G475" s="268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</row>
    <row r="476" spans="1:26" ht="12.75" customHeight="1">
      <c r="A476" s="268"/>
      <c r="B476" s="268"/>
      <c r="C476" s="268"/>
      <c r="D476" s="268"/>
      <c r="E476" s="268"/>
      <c r="F476" s="268"/>
      <c r="G476" s="268"/>
      <c r="H476" s="268"/>
      <c r="I476" s="268"/>
      <c r="J476" s="268"/>
      <c r="K476" s="268"/>
      <c r="L476" s="268"/>
      <c r="M476" s="268"/>
      <c r="N476" s="268"/>
      <c r="O476" s="268"/>
      <c r="P476" s="268"/>
      <c r="Q476" s="268"/>
      <c r="R476" s="268"/>
      <c r="S476" s="268"/>
      <c r="T476" s="268"/>
      <c r="U476" s="268"/>
      <c r="V476" s="268"/>
      <c r="W476" s="268"/>
      <c r="X476" s="268"/>
      <c r="Y476" s="268"/>
      <c r="Z476" s="268"/>
    </row>
    <row r="477" spans="1:26" ht="12.75" customHeight="1">
      <c r="A477" s="268"/>
      <c r="B477" s="268"/>
      <c r="C477" s="268"/>
      <c r="D477" s="268"/>
      <c r="E477" s="268"/>
      <c r="F477" s="268"/>
      <c r="G477" s="268"/>
      <c r="H477" s="268"/>
      <c r="I477" s="268"/>
      <c r="J477" s="268"/>
      <c r="K477" s="268"/>
      <c r="L477" s="268"/>
      <c r="M477" s="268"/>
      <c r="N477" s="268"/>
      <c r="O477" s="268"/>
      <c r="P477" s="268"/>
      <c r="Q477" s="268"/>
      <c r="R477" s="268"/>
      <c r="S477" s="268"/>
      <c r="T477" s="268"/>
      <c r="U477" s="268"/>
      <c r="V477" s="268"/>
      <c r="W477" s="268"/>
      <c r="X477" s="268"/>
      <c r="Y477" s="268"/>
      <c r="Z477" s="268"/>
    </row>
    <row r="478" spans="1:26" ht="12.75" customHeight="1">
      <c r="A478" s="268"/>
      <c r="B478" s="268"/>
      <c r="C478" s="268"/>
      <c r="D478" s="268"/>
      <c r="E478" s="268"/>
      <c r="F478" s="268"/>
      <c r="G478" s="268"/>
      <c r="H478" s="268"/>
      <c r="I478" s="268"/>
      <c r="J478" s="268"/>
      <c r="K478" s="268"/>
      <c r="L478" s="268"/>
      <c r="M478" s="268"/>
      <c r="N478" s="268"/>
      <c r="O478" s="268"/>
      <c r="P478" s="268"/>
      <c r="Q478" s="268"/>
      <c r="R478" s="268"/>
      <c r="S478" s="268"/>
      <c r="T478" s="268"/>
      <c r="U478" s="268"/>
      <c r="V478" s="268"/>
      <c r="W478" s="268"/>
      <c r="X478" s="268"/>
      <c r="Y478" s="268"/>
      <c r="Z478" s="268"/>
    </row>
    <row r="479" spans="1:26" ht="12.75" customHeight="1">
      <c r="A479" s="268"/>
      <c r="B479" s="268"/>
      <c r="C479" s="268"/>
      <c r="D479" s="268"/>
      <c r="E479" s="268"/>
      <c r="F479" s="268"/>
      <c r="G479" s="268"/>
      <c r="H479" s="268"/>
      <c r="I479" s="268"/>
      <c r="J479" s="268"/>
      <c r="K479" s="268"/>
      <c r="L479" s="268"/>
      <c r="M479" s="268"/>
      <c r="N479" s="268"/>
      <c r="O479" s="268"/>
      <c r="P479" s="268"/>
      <c r="Q479" s="268"/>
      <c r="R479" s="268"/>
      <c r="S479" s="268"/>
      <c r="T479" s="268"/>
      <c r="U479" s="268"/>
      <c r="V479" s="268"/>
      <c r="W479" s="268"/>
      <c r="X479" s="268"/>
      <c r="Y479" s="268"/>
      <c r="Z479" s="268"/>
    </row>
    <row r="480" spans="1:26" ht="12.75" customHeight="1">
      <c r="A480" s="268"/>
      <c r="B480" s="268"/>
      <c r="C480" s="268"/>
      <c r="D480" s="268"/>
      <c r="E480" s="268"/>
      <c r="F480" s="268"/>
      <c r="G480" s="268"/>
      <c r="H480" s="268"/>
      <c r="I480" s="268"/>
      <c r="J480" s="268"/>
      <c r="K480" s="268"/>
      <c r="L480" s="268"/>
      <c r="M480" s="268"/>
      <c r="N480" s="268"/>
      <c r="O480" s="268"/>
      <c r="P480" s="268"/>
      <c r="Q480" s="268"/>
      <c r="R480" s="268"/>
      <c r="S480" s="268"/>
      <c r="T480" s="268"/>
      <c r="U480" s="268"/>
      <c r="V480" s="268"/>
      <c r="W480" s="268"/>
      <c r="X480" s="268"/>
      <c r="Y480" s="268"/>
      <c r="Z480" s="268"/>
    </row>
    <row r="481" spans="1:26" ht="12.75" customHeight="1">
      <c r="A481" s="268"/>
      <c r="B481" s="268"/>
      <c r="C481" s="268"/>
      <c r="D481" s="268"/>
      <c r="E481" s="268"/>
      <c r="F481" s="268"/>
      <c r="G481" s="268"/>
      <c r="H481" s="268"/>
      <c r="I481" s="268"/>
      <c r="J481" s="268"/>
      <c r="K481" s="268"/>
      <c r="L481" s="268"/>
      <c r="M481" s="268"/>
      <c r="N481" s="268"/>
      <c r="O481" s="268"/>
      <c r="P481" s="268"/>
      <c r="Q481" s="268"/>
      <c r="R481" s="268"/>
      <c r="S481" s="268"/>
      <c r="T481" s="268"/>
      <c r="U481" s="268"/>
      <c r="V481" s="268"/>
      <c r="W481" s="268"/>
      <c r="X481" s="268"/>
      <c r="Y481" s="268"/>
      <c r="Z481" s="268"/>
    </row>
    <row r="482" spans="1:26" ht="12.75" customHeight="1">
      <c r="A482" s="268"/>
      <c r="B482" s="268"/>
      <c r="C482" s="268"/>
      <c r="D482" s="268"/>
      <c r="E482" s="268"/>
      <c r="F482" s="268"/>
      <c r="G482" s="268"/>
      <c r="H482" s="268"/>
      <c r="I482" s="268"/>
      <c r="J482" s="268"/>
      <c r="K482" s="268"/>
      <c r="L482" s="268"/>
      <c r="M482" s="268"/>
      <c r="N482" s="268"/>
      <c r="O482" s="268"/>
      <c r="P482" s="268"/>
      <c r="Q482" s="268"/>
      <c r="R482" s="268"/>
      <c r="S482" s="268"/>
      <c r="T482" s="268"/>
      <c r="U482" s="268"/>
      <c r="V482" s="268"/>
      <c r="W482" s="268"/>
      <c r="X482" s="268"/>
      <c r="Y482" s="268"/>
      <c r="Z482" s="268"/>
    </row>
    <row r="483" spans="1:26" ht="12.75" customHeight="1">
      <c r="A483" s="268"/>
      <c r="B483" s="268"/>
      <c r="C483" s="268"/>
      <c r="D483" s="268"/>
      <c r="E483" s="268"/>
      <c r="F483" s="268"/>
      <c r="G483" s="268"/>
      <c r="H483" s="268"/>
      <c r="I483" s="268"/>
      <c r="J483" s="268"/>
      <c r="K483" s="268"/>
      <c r="L483" s="268"/>
      <c r="M483" s="268"/>
      <c r="N483" s="268"/>
      <c r="O483" s="268"/>
      <c r="P483" s="268"/>
      <c r="Q483" s="268"/>
      <c r="R483" s="268"/>
      <c r="S483" s="268"/>
      <c r="T483" s="268"/>
      <c r="U483" s="268"/>
      <c r="V483" s="268"/>
      <c r="W483" s="268"/>
      <c r="X483" s="268"/>
      <c r="Y483" s="268"/>
      <c r="Z483" s="268"/>
    </row>
    <row r="484" spans="1:26" ht="12.75" customHeight="1">
      <c r="A484" s="268"/>
      <c r="B484" s="268"/>
      <c r="C484" s="268"/>
      <c r="D484" s="268"/>
      <c r="E484" s="268"/>
      <c r="F484" s="268"/>
      <c r="G484" s="268"/>
      <c r="H484" s="268"/>
      <c r="I484" s="268"/>
      <c r="J484" s="268"/>
      <c r="K484" s="268"/>
      <c r="L484" s="268"/>
      <c r="M484" s="268"/>
      <c r="N484" s="268"/>
      <c r="O484" s="268"/>
      <c r="P484" s="268"/>
      <c r="Q484" s="268"/>
      <c r="R484" s="268"/>
      <c r="S484" s="268"/>
      <c r="T484" s="268"/>
      <c r="U484" s="268"/>
      <c r="V484" s="268"/>
      <c r="W484" s="268"/>
      <c r="X484" s="268"/>
      <c r="Y484" s="268"/>
      <c r="Z484" s="268"/>
    </row>
    <row r="485" spans="1:26" ht="12.75" customHeight="1">
      <c r="A485" s="268"/>
      <c r="B485" s="268"/>
      <c r="C485" s="268"/>
      <c r="D485" s="268"/>
      <c r="E485" s="268"/>
      <c r="F485" s="268"/>
      <c r="G485" s="268"/>
      <c r="H485" s="268"/>
      <c r="I485" s="268"/>
      <c r="J485" s="268"/>
      <c r="K485" s="268"/>
      <c r="L485" s="268"/>
      <c r="M485" s="268"/>
      <c r="N485" s="268"/>
      <c r="O485" s="268"/>
      <c r="P485" s="268"/>
      <c r="Q485" s="268"/>
      <c r="R485" s="268"/>
      <c r="S485" s="268"/>
      <c r="T485" s="268"/>
      <c r="U485" s="268"/>
      <c r="V485" s="268"/>
      <c r="W485" s="268"/>
      <c r="X485" s="268"/>
      <c r="Y485" s="268"/>
      <c r="Z485" s="268"/>
    </row>
    <row r="486" spans="1:26" ht="12.75" customHeight="1">
      <c r="A486" s="268"/>
      <c r="B486" s="268"/>
      <c r="C486" s="268"/>
      <c r="D486" s="268"/>
      <c r="E486" s="268"/>
      <c r="F486" s="268"/>
      <c r="G486" s="268"/>
      <c r="H486" s="268"/>
      <c r="I486" s="268"/>
      <c r="J486" s="268"/>
      <c r="K486" s="268"/>
      <c r="L486" s="268"/>
      <c r="M486" s="268"/>
      <c r="N486" s="268"/>
      <c r="O486" s="268"/>
      <c r="P486" s="268"/>
      <c r="Q486" s="268"/>
      <c r="R486" s="268"/>
      <c r="S486" s="268"/>
      <c r="T486" s="268"/>
      <c r="U486" s="268"/>
      <c r="V486" s="268"/>
      <c r="W486" s="268"/>
      <c r="X486" s="268"/>
      <c r="Y486" s="268"/>
      <c r="Z486" s="268"/>
    </row>
    <row r="487" spans="1:26" ht="12.75" customHeight="1">
      <c r="A487" s="268"/>
      <c r="B487" s="268"/>
      <c r="C487" s="268"/>
      <c r="D487" s="268"/>
      <c r="E487" s="268"/>
      <c r="F487" s="268"/>
      <c r="G487" s="268"/>
      <c r="H487" s="268"/>
      <c r="I487" s="268"/>
      <c r="J487" s="268"/>
      <c r="K487" s="268"/>
      <c r="L487" s="268"/>
      <c r="M487" s="268"/>
      <c r="N487" s="268"/>
      <c r="O487" s="268"/>
      <c r="P487" s="268"/>
      <c r="Q487" s="268"/>
      <c r="R487" s="268"/>
      <c r="S487" s="268"/>
      <c r="T487" s="268"/>
      <c r="U487" s="268"/>
      <c r="V487" s="268"/>
      <c r="W487" s="268"/>
      <c r="X487" s="268"/>
      <c r="Y487" s="268"/>
      <c r="Z487" s="268"/>
    </row>
    <row r="488" spans="1:26" ht="12.75" customHeight="1">
      <c r="A488" s="268"/>
      <c r="B488" s="268"/>
      <c r="C488" s="268"/>
      <c r="D488" s="268"/>
      <c r="E488" s="268"/>
      <c r="F488" s="268"/>
      <c r="G488" s="268"/>
      <c r="H488" s="268"/>
      <c r="I488" s="268"/>
      <c r="J488" s="268"/>
      <c r="K488" s="268"/>
      <c r="L488" s="268"/>
      <c r="M488" s="268"/>
      <c r="N488" s="268"/>
      <c r="O488" s="268"/>
      <c r="P488" s="268"/>
      <c r="Q488" s="268"/>
      <c r="R488" s="268"/>
      <c r="S488" s="268"/>
      <c r="T488" s="268"/>
      <c r="U488" s="268"/>
      <c r="V488" s="268"/>
      <c r="W488" s="268"/>
      <c r="X488" s="268"/>
      <c r="Y488" s="268"/>
      <c r="Z488" s="268"/>
    </row>
    <row r="489" spans="1:26" ht="12.75" customHeight="1">
      <c r="A489" s="268"/>
      <c r="B489" s="268"/>
      <c r="C489" s="268"/>
      <c r="D489" s="268"/>
      <c r="E489" s="268"/>
      <c r="F489" s="268"/>
      <c r="G489" s="268"/>
      <c r="H489" s="268"/>
      <c r="I489" s="268"/>
      <c r="J489" s="268"/>
      <c r="K489" s="268"/>
      <c r="L489" s="268"/>
      <c r="M489" s="268"/>
      <c r="N489" s="268"/>
      <c r="O489" s="268"/>
      <c r="P489" s="268"/>
      <c r="Q489" s="268"/>
      <c r="R489" s="268"/>
      <c r="S489" s="268"/>
      <c r="T489" s="268"/>
      <c r="U489" s="268"/>
      <c r="V489" s="268"/>
      <c r="W489" s="268"/>
      <c r="X489" s="268"/>
      <c r="Y489" s="268"/>
      <c r="Z489" s="268"/>
    </row>
    <row r="490" spans="1:26" ht="12.75" customHeight="1">
      <c r="A490" s="268"/>
      <c r="B490" s="268"/>
      <c r="C490" s="268"/>
      <c r="D490" s="268"/>
      <c r="E490" s="268"/>
      <c r="F490" s="268"/>
      <c r="G490" s="268"/>
      <c r="H490" s="268"/>
      <c r="I490" s="268"/>
      <c r="J490" s="268"/>
      <c r="K490" s="268"/>
      <c r="L490" s="268"/>
      <c r="M490" s="268"/>
      <c r="N490" s="268"/>
      <c r="O490" s="268"/>
      <c r="P490" s="268"/>
      <c r="Q490" s="268"/>
      <c r="R490" s="268"/>
      <c r="S490" s="268"/>
      <c r="T490" s="268"/>
      <c r="U490" s="268"/>
      <c r="V490" s="268"/>
      <c r="W490" s="268"/>
      <c r="X490" s="268"/>
      <c r="Y490" s="268"/>
      <c r="Z490" s="268"/>
    </row>
    <row r="491" spans="1:26" ht="12.75" customHeight="1">
      <c r="A491" s="268"/>
      <c r="B491" s="268"/>
      <c r="C491" s="268"/>
      <c r="D491" s="268"/>
      <c r="E491" s="268"/>
      <c r="F491" s="268"/>
      <c r="G491" s="268"/>
      <c r="H491" s="268"/>
      <c r="I491" s="268"/>
      <c r="J491" s="268"/>
      <c r="K491" s="268"/>
      <c r="L491" s="268"/>
      <c r="M491" s="268"/>
      <c r="N491" s="268"/>
      <c r="O491" s="268"/>
      <c r="P491" s="268"/>
      <c r="Q491" s="268"/>
      <c r="R491" s="268"/>
      <c r="S491" s="268"/>
      <c r="T491" s="268"/>
      <c r="U491" s="268"/>
      <c r="V491" s="268"/>
      <c r="W491" s="268"/>
      <c r="X491" s="268"/>
      <c r="Y491" s="268"/>
      <c r="Z491" s="268"/>
    </row>
    <row r="492" spans="1:26" ht="12.75" customHeight="1">
      <c r="A492" s="268"/>
      <c r="B492" s="268"/>
      <c r="C492" s="268"/>
      <c r="D492" s="268"/>
      <c r="E492" s="268"/>
      <c r="F492" s="268"/>
      <c r="G492" s="268"/>
      <c r="H492" s="268"/>
      <c r="I492" s="268"/>
      <c r="J492" s="268"/>
      <c r="K492" s="268"/>
      <c r="L492" s="268"/>
      <c r="M492" s="268"/>
      <c r="N492" s="268"/>
      <c r="O492" s="268"/>
      <c r="P492" s="268"/>
      <c r="Q492" s="268"/>
      <c r="R492" s="268"/>
      <c r="S492" s="268"/>
      <c r="T492" s="268"/>
      <c r="U492" s="268"/>
      <c r="V492" s="268"/>
      <c r="W492" s="268"/>
      <c r="X492" s="268"/>
      <c r="Y492" s="268"/>
      <c r="Z492" s="268"/>
    </row>
    <row r="493" spans="1:26" ht="12.75" customHeight="1">
      <c r="A493" s="268"/>
      <c r="B493" s="268"/>
      <c r="C493" s="268"/>
      <c r="D493" s="268"/>
      <c r="E493" s="268"/>
      <c r="F493" s="268"/>
      <c r="G493" s="268"/>
      <c r="H493" s="268"/>
      <c r="I493" s="268"/>
      <c r="J493" s="268"/>
      <c r="K493" s="268"/>
      <c r="L493" s="268"/>
      <c r="M493" s="268"/>
      <c r="N493" s="268"/>
      <c r="O493" s="268"/>
      <c r="P493" s="268"/>
      <c r="Q493" s="268"/>
      <c r="R493" s="268"/>
      <c r="S493" s="268"/>
      <c r="T493" s="268"/>
      <c r="U493" s="268"/>
      <c r="V493" s="268"/>
      <c r="W493" s="268"/>
      <c r="X493" s="268"/>
      <c r="Y493" s="268"/>
      <c r="Z493" s="268"/>
    </row>
    <row r="494" spans="1:26" ht="12.75" customHeight="1">
      <c r="A494" s="268"/>
      <c r="B494" s="268"/>
      <c r="C494" s="268"/>
      <c r="D494" s="268"/>
      <c r="E494" s="268"/>
      <c r="F494" s="268"/>
      <c r="G494" s="268"/>
      <c r="H494" s="268"/>
      <c r="I494" s="268"/>
      <c r="J494" s="268"/>
      <c r="K494" s="268"/>
      <c r="L494" s="268"/>
      <c r="M494" s="268"/>
      <c r="N494" s="268"/>
      <c r="O494" s="268"/>
      <c r="P494" s="268"/>
      <c r="Q494" s="268"/>
      <c r="R494" s="268"/>
      <c r="S494" s="268"/>
      <c r="T494" s="268"/>
      <c r="U494" s="268"/>
      <c r="V494" s="268"/>
      <c r="W494" s="268"/>
      <c r="X494" s="268"/>
      <c r="Y494" s="268"/>
      <c r="Z494" s="268"/>
    </row>
    <row r="495" spans="1:26" ht="12.75" customHeight="1">
      <c r="A495" s="268"/>
      <c r="B495" s="268"/>
      <c r="C495" s="268"/>
      <c r="D495" s="268"/>
      <c r="E495" s="268"/>
      <c r="F495" s="268"/>
      <c r="G495" s="268"/>
      <c r="H495" s="268"/>
      <c r="I495" s="268"/>
      <c r="J495" s="268"/>
      <c r="K495" s="268"/>
      <c r="L495" s="268"/>
      <c r="M495" s="268"/>
      <c r="N495" s="268"/>
      <c r="O495" s="268"/>
      <c r="P495" s="268"/>
      <c r="Q495" s="268"/>
      <c r="R495" s="268"/>
      <c r="S495" s="268"/>
      <c r="T495" s="268"/>
      <c r="U495" s="268"/>
      <c r="V495" s="268"/>
      <c r="W495" s="268"/>
      <c r="X495" s="268"/>
      <c r="Y495" s="268"/>
      <c r="Z495" s="268"/>
    </row>
    <row r="496" spans="1:26" ht="12.75" customHeight="1">
      <c r="A496" s="268"/>
      <c r="B496" s="268"/>
      <c r="C496" s="268"/>
      <c r="D496" s="268"/>
      <c r="E496" s="268"/>
      <c r="F496" s="268"/>
      <c r="G496" s="268"/>
      <c r="H496" s="268"/>
      <c r="I496" s="268"/>
      <c r="J496" s="268"/>
      <c r="K496" s="268"/>
      <c r="L496" s="268"/>
      <c r="M496" s="268"/>
      <c r="N496" s="268"/>
      <c r="O496" s="268"/>
      <c r="P496" s="268"/>
      <c r="Q496" s="268"/>
      <c r="R496" s="268"/>
      <c r="S496" s="268"/>
      <c r="T496" s="268"/>
      <c r="U496" s="268"/>
      <c r="V496" s="268"/>
      <c r="W496" s="268"/>
      <c r="X496" s="268"/>
      <c r="Y496" s="268"/>
      <c r="Z496" s="268"/>
    </row>
    <row r="497" spans="1:26" ht="12.75" customHeight="1">
      <c r="A497" s="268"/>
      <c r="B497" s="268"/>
      <c r="C497" s="268"/>
      <c r="D497" s="268"/>
      <c r="E497" s="268"/>
      <c r="F497" s="268"/>
      <c r="G497" s="268"/>
      <c r="H497" s="268"/>
      <c r="I497" s="268"/>
      <c r="J497" s="268"/>
      <c r="K497" s="268"/>
      <c r="L497" s="268"/>
      <c r="M497" s="268"/>
      <c r="N497" s="268"/>
      <c r="O497" s="268"/>
      <c r="P497" s="268"/>
      <c r="Q497" s="268"/>
      <c r="R497" s="268"/>
      <c r="S497" s="268"/>
      <c r="T497" s="268"/>
      <c r="U497" s="268"/>
      <c r="V497" s="268"/>
      <c r="W497" s="268"/>
      <c r="X497" s="268"/>
      <c r="Y497" s="268"/>
      <c r="Z497" s="268"/>
    </row>
    <row r="498" spans="1:26" ht="12.75" customHeight="1">
      <c r="A498" s="268"/>
      <c r="B498" s="268"/>
      <c r="C498" s="268"/>
      <c r="D498" s="268"/>
      <c r="E498" s="268"/>
      <c r="F498" s="268"/>
      <c r="G498" s="268"/>
      <c r="H498" s="268"/>
      <c r="I498" s="268"/>
      <c r="J498" s="268"/>
      <c r="K498" s="268"/>
      <c r="L498" s="268"/>
      <c r="M498" s="268"/>
      <c r="N498" s="268"/>
      <c r="O498" s="268"/>
      <c r="P498" s="268"/>
      <c r="Q498" s="268"/>
      <c r="R498" s="268"/>
      <c r="S498" s="268"/>
      <c r="T498" s="268"/>
      <c r="U498" s="268"/>
      <c r="V498" s="268"/>
      <c r="W498" s="268"/>
      <c r="X498" s="268"/>
      <c r="Y498" s="268"/>
      <c r="Z498" s="268"/>
    </row>
    <row r="499" spans="1:26" ht="12.75" customHeight="1">
      <c r="A499" s="268"/>
      <c r="B499" s="268"/>
      <c r="C499" s="268"/>
      <c r="D499" s="268"/>
      <c r="E499" s="268"/>
      <c r="F499" s="268"/>
      <c r="G499" s="268"/>
      <c r="H499" s="268"/>
      <c r="I499" s="268"/>
      <c r="J499" s="268"/>
      <c r="K499" s="268"/>
      <c r="L499" s="268"/>
      <c r="M499" s="268"/>
      <c r="N499" s="268"/>
      <c r="O499" s="268"/>
      <c r="P499" s="268"/>
      <c r="Q499" s="268"/>
      <c r="R499" s="268"/>
      <c r="S499" s="268"/>
      <c r="T499" s="268"/>
      <c r="U499" s="268"/>
      <c r="V499" s="268"/>
      <c r="W499" s="268"/>
      <c r="X499" s="268"/>
      <c r="Y499" s="268"/>
      <c r="Z499" s="268"/>
    </row>
    <row r="500" spans="1:26" ht="12.75" customHeight="1">
      <c r="A500" s="268"/>
      <c r="B500" s="268"/>
      <c r="C500" s="268"/>
      <c r="D500" s="268"/>
      <c r="E500" s="268"/>
      <c r="F500" s="268"/>
      <c r="G500" s="268"/>
      <c r="H500" s="268"/>
      <c r="I500" s="268"/>
      <c r="J500" s="268"/>
      <c r="K500" s="268"/>
      <c r="L500" s="268"/>
      <c r="M500" s="268"/>
      <c r="N500" s="268"/>
      <c r="O500" s="268"/>
      <c r="P500" s="268"/>
      <c r="Q500" s="268"/>
      <c r="R500" s="268"/>
      <c r="S500" s="268"/>
      <c r="T500" s="268"/>
      <c r="U500" s="268"/>
      <c r="V500" s="268"/>
      <c r="W500" s="268"/>
      <c r="X500" s="268"/>
      <c r="Y500" s="268"/>
      <c r="Z500" s="268"/>
    </row>
    <row r="501" spans="1:26" ht="12.75" customHeight="1">
      <c r="A501" s="268"/>
      <c r="B501" s="268"/>
      <c r="C501" s="268"/>
      <c r="D501" s="268"/>
      <c r="E501" s="268"/>
      <c r="F501" s="268"/>
      <c r="G501" s="268"/>
      <c r="H501" s="268"/>
      <c r="I501" s="268"/>
      <c r="J501" s="268"/>
      <c r="K501" s="268"/>
      <c r="L501" s="268"/>
      <c r="M501" s="268"/>
      <c r="N501" s="268"/>
      <c r="O501" s="268"/>
      <c r="P501" s="268"/>
      <c r="Q501" s="268"/>
      <c r="R501" s="268"/>
      <c r="S501" s="268"/>
      <c r="T501" s="268"/>
      <c r="U501" s="268"/>
      <c r="V501" s="268"/>
      <c r="W501" s="268"/>
      <c r="X501" s="268"/>
      <c r="Y501" s="268"/>
      <c r="Z501" s="268"/>
    </row>
    <row r="502" spans="1:26" ht="12.75" customHeight="1">
      <c r="A502" s="268"/>
      <c r="B502" s="268"/>
      <c r="C502" s="268"/>
      <c r="D502" s="268"/>
      <c r="E502" s="268"/>
      <c r="F502" s="268"/>
      <c r="G502" s="268"/>
      <c r="H502" s="268"/>
      <c r="I502" s="268"/>
      <c r="J502" s="268"/>
      <c r="K502" s="268"/>
      <c r="L502" s="268"/>
      <c r="M502" s="268"/>
      <c r="N502" s="268"/>
      <c r="O502" s="268"/>
      <c r="P502" s="268"/>
      <c r="Q502" s="268"/>
      <c r="R502" s="268"/>
      <c r="S502" s="268"/>
      <c r="T502" s="268"/>
      <c r="U502" s="268"/>
      <c r="V502" s="268"/>
      <c r="W502" s="268"/>
      <c r="X502" s="268"/>
      <c r="Y502" s="268"/>
      <c r="Z502" s="268"/>
    </row>
    <row r="503" spans="1:26" ht="12.75" customHeight="1">
      <c r="A503" s="268"/>
      <c r="B503" s="268"/>
      <c r="C503" s="268"/>
      <c r="D503" s="268"/>
      <c r="E503" s="268"/>
      <c r="F503" s="268"/>
      <c r="G503" s="268"/>
      <c r="H503" s="268"/>
      <c r="I503" s="268"/>
      <c r="J503" s="268"/>
      <c r="K503" s="268"/>
      <c r="L503" s="268"/>
      <c r="M503" s="268"/>
      <c r="N503" s="268"/>
      <c r="O503" s="268"/>
      <c r="P503" s="268"/>
      <c r="Q503" s="268"/>
      <c r="R503" s="268"/>
      <c r="S503" s="268"/>
      <c r="T503" s="268"/>
      <c r="U503" s="268"/>
      <c r="V503" s="268"/>
      <c r="W503" s="268"/>
      <c r="X503" s="268"/>
      <c r="Y503" s="268"/>
      <c r="Z503" s="268"/>
    </row>
    <row r="504" spans="1:26" ht="12.75" customHeight="1">
      <c r="A504" s="268"/>
      <c r="B504" s="268"/>
      <c r="C504" s="268"/>
      <c r="D504" s="268"/>
      <c r="E504" s="268"/>
      <c r="F504" s="268"/>
      <c r="G504" s="268"/>
      <c r="H504" s="268"/>
      <c r="I504" s="268"/>
      <c r="J504" s="268"/>
      <c r="K504" s="268"/>
      <c r="L504" s="268"/>
      <c r="M504" s="268"/>
      <c r="N504" s="268"/>
      <c r="O504" s="268"/>
      <c r="P504" s="268"/>
      <c r="Q504" s="268"/>
      <c r="R504" s="268"/>
      <c r="S504" s="268"/>
      <c r="T504" s="268"/>
      <c r="U504" s="268"/>
      <c r="V504" s="268"/>
      <c r="W504" s="268"/>
      <c r="X504" s="268"/>
      <c r="Y504" s="268"/>
      <c r="Z504" s="268"/>
    </row>
    <row r="505" spans="1:26" ht="12.75" customHeight="1">
      <c r="A505" s="268"/>
      <c r="B505" s="268"/>
      <c r="C505" s="268"/>
      <c r="D505" s="268"/>
      <c r="E505" s="268"/>
      <c r="F505" s="268"/>
      <c r="G505" s="268"/>
      <c r="H505" s="268"/>
      <c r="I505" s="268"/>
      <c r="J505" s="268"/>
      <c r="K505" s="268"/>
      <c r="L505" s="268"/>
      <c r="M505" s="268"/>
      <c r="N505" s="268"/>
      <c r="O505" s="268"/>
      <c r="P505" s="268"/>
      <c r="Q505" s="268"/>
      <c r="R505" s="268"/>
      <c r="S505" s="268"/>
      <c r="T505" s="268"/>
      <c r="U505" s="268"/>
      <c r="V505" s="268"/>
      <c r="W505" s="268"/>
      <c r="X505" s="268"/>
      <c r="Y505" s="268"/>
      <c r="Z505" s="268"/>
    </row>
    <row r="506" spans="1:26" ht="12.75" customHeight="1">
      <c r="A506" s="268"/>
      <c r="B506" s="268"/>
      <c r="C506" s="268"/>
      <c r="D506" s="268"/>
      <c r="E506" s="268"/>
      <c r="F506" s="268"/>
      <c r="G506" s="268"/>
      <c r="H506" s="268"/>
      <c r="I506" s="268"/>
      <c r="J506" s="268"/>
      <c r="K506" s="268"/>
      <c r="L506" s="268"/>
      <c r="M506" s="268"/>
      <c r="N506" s="268"/>
      <c r="O506" s="268"/>
      <c r="P506" s="268"/>
      <c r="Q506" s="268"/>
      <c r="R506" s="268"/>
      <c r="S506" s="268"/>
      <c r="T506" s="268"/>
      <c r="U506" s="268"/>
      <c r="V506" s="268"/>
      <c r="W506" s="268"/>
      <c r="X506" s="268"/>
      <c r="Y506" s="268"/>
      <c r="Z506" s="268"/>
    </row>
    <row r="507" spans="1:26" ht="12.75" customHeight="1">
      <c r="A507" s="268"/>
      <c r="B507" s="268"/>
      <c r="C507" s="268"/>
      <c r="D507" s="268"/>
      <c r="E507" s="268"/>
      <c r="F507" s="268"/>
      <c r="G507" s="268"/>
      <c r="H507" s="268"/>
      <c r="I507" s="268"/>
      <c r="J507" s="268"/>
      <c r="K507" s="268"/>
      <c r="L507" s="268"/>
      <c r="M507" s="268"/>
      <c r="N507" s="268"/>
      <c r="O507" s="268"/>
      <c r="P507" s="268"/>
      <c r="Q507" s="268"/>
      <c r="R507" s="268"/>
      <c r="S507" s="268"/>
      <c r="T507" s="268"/>
      <c r="U507" s="268"/>
      <c r="V507" s="268"/>
      <c r="W507" s="268"/>
      <c r="X507" s="268"/>
      <c r="Y507" s="268"/>
      <c r="Z507" s="268"/>
    </row>
    <row r="508" spans="1:26" ht="12.75" customHeight="1">
      <c r="A508" s="268"/>
      <c r="B508" s="268"/>
      <c r="C508" s="268"/>
      <c r="D508" s="268"/>
      <c r="E508" s="268"/>
      <c r="F508" s="268"/>
      <c r="G508" s="268"/>
      <c r="H508" s="268"/>
      <c r="I508" s="268"/>
      <c r="J508" s="268"/>
      <c r="K508" s="268"/>
      <c r="L508" s="268"/>
      <c r="M508" s="268"/>
      <c r="N508" s="268"/>
      <c r="O508" s="268"/>
      <c r="P508" s="268"/>
      <c r="Q508" s="268"/>
      <c r="R508" s="268"/>
      <c r="S508" s="268"/>
      <c r="T508" s="268"/>
      <c r="U508" s="268"/>
      <c r="V508" s="268"/>
      <c r="W508" s="268"/>
      <c r="X508" s="268"/>
      <c r="Y508" s="268"/>
      <c r="Z508" s="268"/>
    </row>
    <row r="509" spans="1:26" ht="12.75" customHeight="1">
      <c r="A509" s="268"/>
      <c r="B509" s="268"/>
      <c r="C509" s="268"/>
      <c r="D509" s="268"/>
      <c r="E509" s="268"/>
      <c r="F509" s="268"/>
      <c r="G509" s="268"/>
      <c r="H509" s="268"/>
      <c r="I509" s="268"/>
      <c r="J509" s="268"/>
      <c r="K509" s="268"/>
      <c r="L509" s="268"/>
      <c r="M509" s="268"/>
      <c r="N509" s="268"/>
      <c r="O509" s="268"/>
      <c r="P509" s="268"/>
      <c r="Q509" s="268"/>
      <c r="R509" s="268"/>
      <c r="S509" s="268"/>
      <c r="T509" s="268"/>
      <c r="U509" s="268"/>
      <c r="V509" s="268"/>
      <c r="W509" s="268"/>
      <c r="X509" s="268"/>
      <c r="Y509" s="268"/>
      <c r="Z509" s="268"/>
    </row>
    <row r="510" spans="1:26" ht="12.75" customHeight="1">
      <c r="A510" s="268"/>
      <c r="B510" s="268"/>
      <c r="C510" s="268"/>
      <c r="D510" s="268"/>
      <c r="E510" s="268"/>
      <c r="F510" s="268"/>
      <c r="G510" s="268"/>
      <c r="H510" s="268"/>
      <c r="I510" s="268"/>
      <c r="J510" s="268"/>
      <c r="K510" s="268"/>
      <c r="L510" s="268"/>
      <c r="M510" s="268"/>
      <c r="N510" s="268"/>
      <c r="O510" s="268"/>
      <c r="P510" s="268"/>
      <c r="Q510" s="268"/>
      <c r="R510" s="268"/>
      <c r="S510" s="268"/>
      <c r="T510" s="268"/>
      <c r="U510" s="268"/>
      <c r="V510" s="268"/>
      <c r="W510" s="268"/>
      <c r="X510" s="268"/>
      <c r="Y510" s="268"/>
      <c r="Z510" s="268"/>
    </row>
    <row r="511" spans="1:26" ht="12.75" customHeight="1">
      <c r="A511" s="268"/>
      <c r="B511" s="268"/>
      <c r="C511" s="268"/>
      <c r="D511" s="268"/>
      <c r="E511" s="268"/>
      <c r="F511" s="268"/>
      <c r="G511" s="268"/>
      <c r="H511" s="268"/>
      <c r="I511" s="268"/>
      <c r="J511" s="268"/>
      <c r="K511" s="268"/>
      <c r="L511" s="268"/>
      <c r="M511" s="268"/>
      <c r="N511" s="268"/>
      <c r="O511" s="268"/>
      <c r="P511" s="268"/>
      <c r="Q511" s="268"/>
      <c r="R511" s="268"/>
      <c r="S511" s="268"/>
      <c r="T511" s="268"/>
      <c r="U511" s="268"/>
      <c r="V511" s="268"/>
      <c r="W511" s="268"/>
      <c r="X511" s="268"/>
      <c r="Y511" s="268"/>
      <c r="Z511" s="268"/>
    </row>
    <row r="512" spans="1:26" ht="12.75" customHeight="1">
      <c r="A512" s="268"/>
      <c r="B512" s="268"/>
      <c r="C512" s="268"/>
      <c r="D512" s="268"/>
      <c r="E512" s="268"/>
      <c r="F512" s="268"/>
      <c r="G512" s="268"/>
      <c r="H512" s="268"/>
      <c r="I512" s="268"/>
      <c r="J512" s="268"/>
      <c r="K512" s="268"/>
      <c r="L512" s="268"/>
      <c r="M512" s="268"/>
      <c r="N512" s="268"/>
      <c r="O512" s="268"/>
      <c r="P512" s="268"/>
      <c r="Q512" s="268"/>
      <c r="R512" s="268"/>
      <c r="S512" s="268"/>
      <c r="T512" s="268"/>
      <c r="U512" s="268"/>
      <c r="V512" s="268"/>
      <c r="W512" s="268"/>
      <c r="X512" s="268"/>
      <c r="Y512" s="268"/>
      <c r="Z512" s="268"/>
    </row>
    <row r="513" spans="1:26" ht="12.75" customHeight="1">
      <c r="A513" s="268"/>
      <c r="B513" s="268"/>
      <c r="C513" s="268"/>
      <c r="D513" s="268"/>
      <c r="E513" s="268"/>
      <c r="F513" s="268"/>
      <c r="G513" s="268"/>
      <c r="H513" s="268"/>
      <c r="I513" s="268"/>
      <c r="J513" s="268"/>
      <c r="K513" s="268"/>
      <c r="L513" s="268"/>
      <c r="M513" s="268"/>
      <c r="N513" s="268"/>
      <c r="O513" s="268"/>
      <c r="P513" s="268"/>
      <c r="Q513" s="268"/>
      <c r="R513" s="268"/>
      <c r="S513" s="268"/>
      <c r="T513" s="268"/>
      <c r="U513" s="268"/>
      <c r="V513" s="268"/>
      <c r="W513" s="268"/>
      <c r="X513" s="268"/>
      <c r="Y513" s="268"/>
      <c r="Z513" s="268"/>
    </row>
    <row r="514" spans="1:26" ht="12.75" customHeight="1">
      <c r="A514" s="268"/>
      <c r="B514" s="268"/>
      <c r="C514" s="268"/>
      <c r="D514" s="268"/>
      <c r="E514" s="268"/>
      <c r="F514" s="268"/>
      <c r="G514" s="268"/>
      <c r="H514" s="268"/>
      <c r="I514" s="268"/>
      <c r="J514" s="268"/>
      <c r="K514" s="268"/>
      <c r="L514" s="268"/>
      <c r="M514" s="268"/>
      <c r="N514" s="268"/>
      <c r="O514" s="268"/>
      <c r="P514" s="268"/>
      <c r="Q514" s="268"/>
      <c r="R514" s="268"/>
      <c r="S514" s="268"/>
      <c r="T514" s="268"/>
      <c r="U514" s="268"/>
      <c r="V514" s="268"/>
      <c r="W514" s="268"/>
      <c r="X514" s="268"/>
      <c r="Y514" s="268"/>
      <c r="Z514" s="268"/>
    </row>
    <row r="515" spans="1:26" ht="12.75" customHeight="1">
      <c r="A515" s="268"/>
      <c r="B515" s="268"/>
      <c r="C515" s="268"/>
      <c r="D515" s="268"/>
      <c r="E515" s="268"/>
      <c r="F515" s="268"/>
      <c r="G515" s="268"/>
      <c r="H515" s="268"/>
      <c r="I515" s="268"/>
      <c r="J515" s="268"/>
      <c r="K515" s="268"/>
      <c r="L515" s="268"/>
      <c r="M515" s="268"/>
      <c r="N515" s="268"/>
      <c r="O515" s="268"/>
      <c r="P515" s="268"/>
      <c r="Q515" s="268"/>
      <c r="R515" s="268"/>
      <c r="S515" s="268"/>
      <c r="T515" s="268"/>
      <c r="U515" s="268"/>
      <c r="V515" s="268"/>
      <c r="W515" s="268"/>
      <c r="X515" s="268"/>
      <c r="Y515" s="268"/>
      <c r="Z515" s="268"/>
    </row>
    <row r="516" spans="1:26" ht="12.75" customHeight="1">
      <c r="A516" s="268"/>
      <c r="B516" s="268"/>
      <c r="C516" s="268"/>
      <c r="D516" s="268"/>
      <c r="E516" s="268"/>
      <c r="F516" s="268"/>
      <c r="G516" s="268"/>
      <c r="H516" s="268"/>
      <c r="I516" s="268"/>
      <c r="J516" s="268"/>
      <c r="K516" s="268"/>
      <c r="L516" s="268"/>
      <c r="M516" s="268"/>
      <c r="N516" s="268"/>
      <c r="O516" s="268"/>
      <c r="P516" s="268"/>
      <c r="Q516" s="268"/>
      <c r="R516" s="268"/>
      <c r="S516" s="268"/>
      <c r="T516" s="268"/>
      <c r="U516" s="268"/>
      <c r="V516" s="268"/>
      <c r="W516" s="268"/>
      <c r="X516" s="268"/>
      <c r="Y516" s="268"/>
      <c r="Z516" s="268"/>
    </row>
    <row r="517" spans="1:26" ht="12.75" customHeight="1">
      <c r="A517" s="268"/>
      <c r="B517" s="268"/>
      <c r="C517" s="268"/>
      <c r="D517" s="268"/>
      <c r="E517" s="268"/>
      <c r="F517" s="268"/>
      <c r="G517" s="268"/>
      <c r="H517" s="268"/>
      <c r="I517" s="268"/>
      <c r="J517" s="268"/>
      <c r="K517" s="268"/>
      <c r="L517" s="268"/>
      <c r="M517" s="268"/>
      <c r="N517" s="268"/>
      <c r="O517" s="268"/>
      <c r="P517" s="268"/>
      <c r="Q517" s="268"/>
      <c r="R517" s="268"/>
      <c r="S517" s="268"/>
      <c r="T517" s="268"/>
      <c r="U517" s="268"/>
      <c r="V517" s="268"/>
      <c r="W517" s="268"/>
      <c r="X517" s="268"/>
      <c r="Y517" s="268"/>
      <c r="Z517" s="268"/>
    </row>
    <row r="518" spans="1:26" ht="12.75" customHeight="1">
      <c r="A518" s="268"/>
      <c r="B518" s="268"/>
      <c r="C518" s="268"/>
      <c r="D518" s="268"/>
      <c r="E518" s="268"/>
      <c r="F518" s="268"/>
      <c r="G518" s="268"/>
      <c r="H518" s="268"/>
      <c r="I518" s="268"/>
      <c r="J518" s="268"/>
      <c r="K518" s="268"/>
      <c r="L518" s="268"/>
      <c r="M518" s="268"/>
      <c r="N518" s="268"/>
      <c r="O518" s="268"/>
      <c r="P518" s="268"/>
      <c r="Q518" s="268"/>
      <c r="R518" s="268"/>
      <c r="S518" s="268"/>
      <c r="T518" s="268"/>
      <c r="U518" s="268"/>
      <c r="V518" s="268"/>
      <c r="W518" s="268"/>
      <c r="X518" s="268"/>
      <c r="Y518" s="268"/>
      <c r="Z518" s="268"/>
    </row>
    <row r="519" spans="1:26" ht="12.75" customHeight="1">
      <c r="A519" s="268"/>
      <c r="B519" s="268"/>
      <c r="C519" s="268"/>
      <c r="D519" s="268"/>
      <c r="E519" s="268"/>
      <c r="F519" s="268"/>
      <c r="G519" s="268"/>
      <c r="H519" s="268"/>
      <c r="I519" s="268"/>
      <c r="J519" s="268"/>
      <c r="K519" s="268"/>
      <c r="L519" s="268"/>
      <c r="M519" s="268"/>
      <c r="N519" s="268"/>
      <c r="O519" s="268"/>
      <c r="P519" s="268"/>
      <c r="Q519" s="268"/>
      <c r="R519" s="268"/>
      <c r="S519" s="268"/>
      <c r="T519" s="268"/>
      <c r="U519" s="268"/>
      <c r="V519" s="268"/>
      <c r="W519" s="268"/>
      <c r="X519" s="268"/>
      <c r="Y519" s="268"/>
      <c r="Z519" s="268"/>
    </row>
    <row r="520" spans="1:26" ht="12.75" customHeight="1">
      <c r="A520" s="268"/>
      <c r="B520" s="268"/>
      <c r="C520" s="268"/>
      <c r="D520" s="268"/>
      <c r="E520" s="268"/>
      <c r="F520" s="268"/>
      <c r="G520" s="268"/>
      <c r="H520" s="268"/>
      <c r="I520" s="268"/>
      <c r="J520" s="268"/>
      <c r="K520" s="268"/>
      <c r="L520" s="268"/>
      <c r="M520" s="268"/>
      <c r="N520" s="268"/>
      <c r="O520" s="268"/>
      <c r="P520" s="268"/>
      <c r="Q520" s="268"/>
      <c r="R520" s="268"/>
      <c r="S520" s="268"/>
      <c r="T520" s="268"/>
      <c r="U520" s="268"/>
      <c r="V520" s="268"/>
      <c r="W520" s="268"/>
      <c r="X520" s="268"/>
      <c r="Y520" s="268"/>
      <c r="Z520" s="268"/>
    </row>
    <row r="521" spans="1:26" ht="12.75" customHeight="1">
      <c r="A521" s="268"/>
      <c r="B521" s="268"/>
      <c r="C521" s="268"/>
      <c r="D521" s="268"/>
      <c r="E521" s="268"/>
      <c r="F521" s="268"/>
      <c r="G521" s="268"/>
      <c r="H521" s="268"/>
      <c r="I521" s="268"/>
      <c r="J521" s="268"/>
      <c r="K521" s="268"/>
      <c r="L521" s="268"/>
      <c r="M521" s="268"/>
      <c r="N521" s="268"/>
      <c r="O521" s="268"/>
      <c r="P521" s="268"/>
      <c r="Q521" s="268"/>
      <c r="R521" s="268"/>
      <c r="S521" s="268"/>
      <c r="T521" s="268"/>
      <c r="U521" s="268"/>
      <c r="V521" s="268"/>
      <c r="W521" s="268"/>
      <c r="X521" s="268"/>
      <c r="Y521" s="268"/>
      <c r="Z521" s="268"/>
    </row>
    <row r="522" spans="1:26" ht="12.75" customHeight="1">
      <c r="A522" s="268"/>
      <c r="B522" s="268"/>
      <c r="C522" s="268"/>
      <c r="D522" s="268"/>
      <c r="E522" s="268"/>
      <c r="F522" s="268"/>
      <c r="G522" s="268"/>
      <c r="H522" s="268"/>
      <c r="I522" s="268"/>
      <c r="J522" s="268"/>
      <c r="K522" s="268"/>
      <c r="L522" s="268"/>
      <c r="M522" s="268"/>
      <c r="N522" s="268"/>
      <c r="O522" s="268"/>
      <c r="P522" s="268"/>
      <c r="Q522" s="268"/>
      <c r="R522" s="268"/>
      <c r="S522" s="268"/>
      <c r="T522" s="268"/>
      <c r="U522" s="268"/>
      <c r="V522" s="268"/>
      <c r="W522" s="268"/>
      <c r="X522" s="268"/>
      <c r="Y522" s="268"/>
      <c r="Z522" s="268"/>
    </row>
    <row r="523" spans="1:26" ht="12.75" customHeight="1">
      <c r="A523" s="268"/>
      <c r="B523" s="268"/>
      <c r="C523" s="268"/>
      <c r="D523" s="268"/>
      <c r="E523" s="268"/>
      <c r="F523" s="268"/>
      <c r="G523" s="268"/>
      <c r="H523" s="268"/>
      <c r="I523" s="268"/>
      <c r="J523" s="268"/>
      <c r="K523" s="268"/>
      <c r="L523" s="268"/>
      <c r="M523" s="268"/>
      <c r="N523" s="268"/>
      <c r="O523" s="268"/>
      <c r="P523" s="268"/>
      <c r="Q523" s="268"/>
      <c r="R523" s="268"/>
      <c r="S523" s="268"/>
      <c r="T523" s="268"/>
      <c r="U523" s="268"/>
      <c r="V523" s="268"/>
      <c r="W523" s="268"/>
      <c r="X523" s="268"/>
      <c r="Y523" s="268"/>
      <c r="Z523" s="268"/>
    </row>
    <row r="524" spans="1:26" ht="12.75" customHeight="1">
      <c r="A524" s="268"/>
      <c r="B524" s="268"/>
      <c r="C524" s="268"/>
      <c r="D524" s="268"/>
      <c r="E524" s="268"/>
      <c r="F524" s="268"/>
      <c r="G524" s="268"/>
      <c r="H524" s="268"/>
      <c r="I524" s="268"/>
      <c r="J524" s="268"/>
      <c r="K524" s="268"/>
      <c r="L524" s="268"/>
      <c r="M524" s="268"/>
      <c r="N524" s="268"/>
      <c r="O524" s="268"/>
      <c r="P524" s="268"/>
      <c r="Q524" s="268"/>
      <c r="R524" s="268"/>
      <c r="S524" s="268"/>
      <c r="T524" s="268"/>
      <c r="U524" s="268"/>
      <c r="V524" s="268"/>
      <c r="W524" s="268"/>
      <c r="X524" s="268"/>
      <c r="Y524" s="268"/>
      <c r="Z524" s="268"/>
    </row>
    <row r="525" spans="1:26" ht="12.75" customHeight="1">
      <c r="A525" s="268"/>
      <c r="B525" s="268"/>
      <c r="C525" s="268"/>
      <c r="D525" s="268"/>
      <c r="E525" s="268"/>
      <c r="F525" s="268"/>
      <c r="G525" s="268"/>
      <c r="H525" s="268"/>
      <c r="I525" s="268"/>
      <c r="J525" s="268"/>
      <c r="K525" s="268"/>
      <c r="L525" s="268"/>
      <c r="M525" s="268"/>
      <c r="N525" s="268"/>
      <c r="O525" s="268"/>
      <c r="P525" s="268"/>
      <c r="Q525" s="268"/>
      <c r="R525" s="268"/>
      <c r="S525" s="268"/>
      <c r="T525" s="268"/>
      <c r="U525" s="268"/>
      <c r="V525" s="268"/>
      <c r="W525" s="268"/>
      <c r="X525" s="268"/>
      <c r="Y525" s="268"/>
      <c r="Z525" s="268"/>
    </row>
    <row r="526" spans="1:26" ht="12.75" customHeight="1">
      <c r="A526" s="268"/>
      <c r="B526" s="268"/>
      <c r="C526" s="268"/>
      <c r="D526" s="268"/>
      <c r="E526" s="268"/>
      <c r="F526" s="268"/>
      <c r="G526" s="268"/>
      <c r="H526" s="268"/>
      <c r="I526" s="268"/>
      <c r="J526" s="268"/>
      <c r="K526" s="268"/>
      <c r="L526" s="268"/>
      <c r="M526" s="268"/>
      <c r="N526" s="268"/>
      <c r="O526" s="268"/>
      <c r="P526" s="268"/>
      <c r="Q526" s="268"/>
      <c r="R526" s="268"/>
      <c r="S526" s="268"/>
      <c r="T526" s="268"/>
      <c r="U526" s="268"/>
      <c r="V526" s="268"/>
      <c r="W526" s="268"/>
      <c r="X526" s="268"/>
      <c r="Y526" s="268"/>
      <c r="Z526" s="268"/>
    </row>
    <row r="527" spans="1:26" ht="12.75" customHeight="1">
      <c r="A527" s="268"/>
      <c r="B527" s="268"/>
      <c r="C527" s="268"/>
      <c r="D527" s="268"/>
      <c r="E527" s="268"/>
      <c r="F527" s="268"/>
      <c r="G527" s="268"/>
      <c r="H527" s="268"/>
      <c r="I527" s="268"/>
      <c r="J527" s="268"/>
      <c r="K527" s="268"/>
      <c r="L527" s="268"/>
      <c r="M527" s="268"/>
      <c r="N527" s="268"/>
      <c r="O527" s="268"/>
      <c r="P527" s="268"/>
      <c r="Q527" s="268"/>
      <c r="R527" s="268"/>
      <c r="S527" s="268"/>
      <c r="T527" s="268"/>
      <c r="U527" s="268"/>
      <c r="V527" s="268"/>
      <c r="W527" s="268"/>
      <c r="X527" s="268"/>
      <c r="Y527" s="268"/>
      <c r="Z527" s="268"/>
    </row>
    <row r="528" spans="1:26" ht="12.75" customHeight="1">
      <c r="A528" s="268"/>
      <c r="B528" s="268"/>
      <c r="C528" s="268"/>
      <c r="D528" s="268"/>
      <c r="E528" s="268"/>
      <c r="F528" s="268"/>
      <c r="G528" s="268"/>
      <c r="H528" s="268"/>
      <c r="I528" s="268"/>
      <c r="J528" s="268"/>
      <c r="K528" s="268"/>
      <c r="L528" s="268"/>
      <c r="M528" s="268"/>
      <c r="N528" s="268"/>
      <c r="O528" s="268"/>
      <c r="P528" s="268"/>
      <c r="Q528" s="268"/>
      <c r="R528" s="268"/>
      <c r="S528" s="268"/>
      <c r="T528" s="268"/>
      <c r="U528" s="268"/>
      <c r="V528" s="268"/>
      <c r="W528" s="268"/>
      <c r="X528" s="268"/>
      <c r="Y528" s="268"/>
      <c r="Z528" s="268"/>
    </row>
    <row r="529" spans="1:26" ht="12.75" customHeight="1">
      <c r="A529" s="268"/>
      <c r="B529" s="268"/>
      <c r="C529" s="268"/>
      <c r="D529" s="268"/>
      <c r="E529" s="268"/>
      <c r="F529" s="268"/>
      <c r="G529" s="268"/>
      <c r="H529" s="268"/>
      <c r="I529" s="268"/>
      <c r="J529" s="268"/>
      <c r="K529" s="268"/>
      <c r="L529" s="268"/>
      <c r="M529" s="268"/>
      <c r="N529" s="268"/>
      <c r="O529" s="268"/>
      <c r="P529" s="268"/>
      <c r="Q529" s="268"/>
      <c r="R529" s="268"/>
      <c r="S529" s="268"/>
      <c r="T529" s="268"/>
      <c r="U529" s="268"/>
      <c r="V529" s="268"/>
      <c r="W529" s="268"/>
      <c r="X529" s="268"/>
      <c r="Y529" s="268"/>
      <c r="Z529" s="268"/>
    </row>
    <row r="530" spans="1:26" ht="12.75" customHeight="1">
      <c r="A530" s="268"/>
      <c r="B530" s="268"/>
      <c r="C530" s="268"/>
      <c r="D530" s="268"/>
      <c r="E530" s="268"/>
      <c r="F530" s="268"/>
      <c r="G530" s="268"/>
      <c r="H530" s="268"/>
      <c r="I530" s="268"/>
      <c r="J530" s="268"/>
      <c r="K530" s="268"/>
      <c r="L530" s="268"/>
      <c r="M530" s="268"/>
      <c r="N530" s="268"/>
      <c r="O530" s="268"/>
      <c r="P530" s="268"/>
      <c r="Q530" s="268"/>
      <c r="R530" s="268"/>
      <c r="S530" s="268"/>
      <c r="T530" s="268"/>
      <c r="U530" s="268"/>
      <c r="V530" s="268"/>
      <c r="W530" s="268"/>
      <c r="X530" s="268"/>
      <c r="Y530" s="268"/>
      <c r="Z530" s="268"/>
    </row>
    <row r="531" spans="1:26" ht="12.75" customHeight="1">
      <c r="A531" s="268"/>
      <c r="B531" s="268"/>
      <c r="C531" s="268"/>
      <c r="D531" s="268"/>
      <c r="E531" s="268"/>
      <c r="F531" s="268"/>
      <c r="G531" s="268"/>
      <c r="H531" s="268"/>
      <c r="I531" s="268"/>
      <c r="J531" s="268"/>
      <c r="K531" s="268"/>
      <c r="L531" s="268"/>
      <c r="M531" s="268"/>
      <c r="N531" s="268"/>
      <c r="O531" s="268"/>
      <c r="P531" s="268"/>
      <c r="Q531" s="268"/>
      <c r="R531" s="268"/>
      <c r="S531" s="268"/>
      <c r="T531" s="268"/>
      <c r="U531" s="268"/>
      <c r="V531" s="268"/>
      <c r="W531" s="268"/>
      <c r="X531" s="268"/>
      <c r="Y531" s="268"/>
      <c r="Z531" s="268"/>
    </row>
    <row r="532" spans="1:26" ht="12.75" customHeight="1">
      <c r="A532" s="268"/>
      <c r="B532" s="268"/>
      <c r="C532" s="268"/>
      <c r="D532" s="268"/>
      <c r="E532" s="268"/>
      <c r="F532" s="268"/>
      <c r="G532" s="268"/>
      <c r="H532" s="268"/>
      <c r="I532" s="268"/>
      <c r="J532" s="268"/>
      <c r="K532" s="268"/>
      <c r="L532" s="268"/>
      <c r="M532" s="268"/>
      <c r="N532" s="268"/>
      <c r="O532" s="268"/>
      <c r="P532" s="268"/>
      <c r="Q532" s="268"/>
      <c r="R532" s="268"/>
      <c r="S532" s="268"/>
      <c r="T532" s="268"/>
      <c r="U532" s="268"/>
      <c r="V532" s="268"/>
      <c r="W532" s="268"/>
      <c r="X532" s="268"/>
      <c r="Y532" s="268"/>
      <c r="Z532" s="268"/>
    </row>
    <row r="533" spans="1:26" ht="12.75" customHeight="1">
      <c r="A533" s="268"/>
      <c r="B533" s="268"/>
      <c r="C533" s="268"/>
      <c r="D533" s="268"/>
      <c r="E533" s="268"/>
      <c r="F533" s="268"/>
      <c r="G533" s="268"/>
      <c r="H533" s="268"/>
      <c r="I533" s="268"/>
      <c r="J533" s="268"/>
      <c r="K533" s="268"/>
      <c r="L533" s="268"/>
      <c r="M533" s="268"/>
      <c r="N533" s="268"/>
      <c r="O533" s="268"/>
      <c r="P533" s="268"/>
      <c r="Q533" s="268"/>
      <c r="R533" s="268"/>
      <c r="S533" s="268"/>
      <c r="T533" s="268"/>
      <c r="U533" s="268"/>
      <c r="V533" s="268"/>
      <c r="W533" s="268"/>
      <c r="X533" s="268"/>
      <c r="Y533" s="268"/>
      <c r="Z533" s="268"/>
    </row>
    <row r="534" spans="1:26" ht="12.75" customHeight="1">
      <c r="A534" s="268"/>
      <c r="B534" s="268"/>
      <c r="C534" s="268"/>
      <c r="D534" s="268"/>
      <c r="E534" s="268"/>
      <c r="F534" s="268"/>
      <c r="G534" s="268"/>
      <c r="H534" s="268"/>
      <c r="I534" s="268"/>
      <c r="J534" s="268"/>
      <c r="K534" s="268"/>
      <c r="L534" s="268"/>
      <c r="M534" s="268"/>
      <c r="N534" s="268"/>
      <c r="O534" s="268"/>
      <c r="P534" s="268"/>
      <c r="Q534" s="268"/>
      <c r="R534" s="268"/>
      <c r="S534" s="268"/>
      <c r="T534" s="268"/>
      <c r="U534" s="268"/>
      <c r="V534" s="268"/>
      <c r="W534" s="268"/>
      <c r="X534" s="268"/>
      <c r="Y534" s="268"/>
      <c r="Z534" s="268"/>
    </row>
    <row r="535" spans="1:26" ht="12.75" customHeight="1">
      <c r="A535" s="268"/>
      <c r="B535" s="268"/>
      <c r="C535" s="268"/>
      <c r="D535" s="268"/>
      <c r="E535" s="268"/>
      <c r="F535" s="268"/>
      <c r="G535" s="268"/>
      <c r="H535" s="268"/>
      <c r="I535" s="268"/>
      <c r="J535" s="268"/>
      <c r="K535" s="268"/>
      <c r="L535" s="268"/>
      <c r="M535" s="268"/>
      <c r="N535" s="268"/>
      <c r="O535" s="268"/>
      <c r="P535" s="268"/>
      <c r="Q535" s="268"/>
      <c r="R535" s="268"/>
      <c r="S535" s="268"/>
      <c r="T535" s="268"/>
      <c r="U535" s="268"/>
      <c r="V535" s="268"/>
      <c r="W535" s="268"/>
      <c r="X535" s="268"/>
      <c r="Y535" s="268"/>
      <c r="Z535" s="268"/>
    </row>
    <row r="536" spans="1:26" ht="12.75" customHeight="1">
      <c r="A536" s="268"/>
      <c r="B536" s="268"/>
      <c r="C536" s="268"/>
      <c r="D536" s="268"/>
      <c r="E536" s="268"/>
      <c r="F536" s="268"/>
      <c r="G536" s="268"/>
      <c r="H536" s="268"/>
      <c r="I536" s="268"/>
      <c r="J536" s="268"/>
      <c r="K536" s="268"/>
      <c r="L536" s="268"/>
      <c r="M536" s="268"/>
      <c r="N536" s="268"/>
      <c r="O536" s="268"/>
      <c r="P536" s="268"/>
      <c r="Q536" s="268"/>
      <c r="R536" s="268"/>
      <c r="S536" s="268"/>
      <c r="T536" s="268"/>
      <c r="U536" s="268"/>
      <c r="V536" s="268"/>
      <c r="W536" s="268"/>
      <c r="X536" s="268"/>
      <c r="Y536" s="268"/>
      <c r="Z536" s="268"/>
    </row>
    <row r="537" spans="1:26" ht="12.75" customHeight="1">
      <c r="A537" s="268"/>
      <c r="B537" s="268"/>
      <c r="C537" s="268"/>
      <c r="D537" s="268"/>
      <c r="E537" s="268"/>
      <c r="F537" s="268"/>
      <c r="G537" s="268"/>
      <c r="H537" s="268"/>
      <c r="I537" s="268"/>
      <c r="J537" s="268"/>
      <c r="K537" s="268"/>
      <c r="L537" s="268"/>
      <c r="M537" s="268"/>
      <c r="N537" s="268"/>
      <c r="O537" s="268"/>
      <c r="P537" s="268"/>
      <c r="Q537" s="268"/>
      <c r="R537" s="268"/>
      <c r="S537" s="268"/>
      <c r="T537" s="268"/>
      <c r="U537" s="268"/>
      <c r="V537" s="268"/>
      <c r="W537" s="268"/>
      <c r="X537" s="268"/>
      <c r="Y537" s="268"/>
      <c r="Z537" s="268"/>
    </row>
    <row r="538" spans="1:26" ht="12.75" customHeight="1">
      <c r="A538" s="268"/>
      <c r="B538" s="268"/>
      <c r="C538" s="268"/>
      <c r="D538" s="268"/>
      <c r="E538" s="268"/>
      <c r="F538" s="268"/>
      <c r="G538" s="268"/>
      <c r="H538" s="268"/>
      <c r="I538" s="268"/>
      <c r="J538" s="268"/>
      <c r="K538" s="268"/>
      <c r="L538" s="268"/>
      <c r="M538" s="268"/>
      <c r="N538" s="268"/>
      <c r="O538" s="268"/>
      <c r="P538" s="268"/>
      <c r="Q538" s="268"/>
      <c r="R538" s="268"/>
      <c r="S538" s="268"/>
      <c r="T538" s="268"/>
      <c r="U538" s="268"/>
      <c r="V538" s="268"/>
      <c r="W538" s="268"/>
      <c r="X538" s="268"/>
      <c r="Y538" s="268"/>
      <c r="Z538" s="268"/>
    </row>
    <row r="539" spans="1:26" ht="12.75" customHeight="1">
      <c r="A539" s="268"/>
      <c r="B539" s="268"/>
      <c r="C539" s="268"/>
      <c r="D539" s="268"/>
      <c r="E539" s="268"/>
      <c r="F539" s="268"/>
      <c r="G539" s="268"/>
      <c r="H539" s="268"/>
      <c r="I539" s="268"/>
      <c r="J539" s="268"/>
      <c r="K539" s="268"/>
      <c r="L539" s="268"/>
      <c r="M539" s="268"/>
      <c r="N539" s="268"/>
      <c r="O539" s="268"/>
      <c r="P539" s="268"/>
      <c r="Q539" s="268"/>
      <c r="R539" s="268"/>
      <c r="S539" s="268"/>
      <c r="T539" s="268"/>
      <c r="U539" s="268"/>
      <c r="V539" s="268"/>
      <c r="W539" s="268"/>
      <c r="X539" s="268"/>
      <c r="Y539" s="268"/>
      <c r="Z539" s="268"/>
    </row>
    <row r="540" spans="1:26" ht="12.75" customHeight="1">
      <c r="A540" s="268"/>
      <c r="B540" s="268"/>
      <c r="C540" s="268"/>
      <c r="D540" s="268"/>
      <c r="E540" s="268"/>
      <c r="F540" s="268"/>
      <c r="G540" s="268"/>
      <c r="H540" s="268"/>
      <c r="I540" s="268"/>
      <c r="J540" s="268"/>
      <c r="K540" s="268"/>
      <c r="L540" s="268"/>
      <c r="M540" s="268"/>
      <c r="N540" s="268"/>
      <c r="O540" s="268"/>
      <c r="P540" s="268"/>
      <c r="Q540" s="268"/>
      <c r="R540" s="268"/>
      <c r="S540" s="268"/>
      <c r="T540" s="268"/>
      <c r="U540" s="268"/>
      <c r="V540" s="268"/>
      <c r="W540" s="268"/>
      <c r="X540" s="268"/>
      <c r="Y540" s="268"/>
      <c r="Z540" s="268"/>
    </row>
    <row r="541" spans="1:26" ht="12.75" customHeight="1">
      <c r="A541" s="268"/>
      <c r="B541" s="268"/>
      <c r="C541" s="268"/>
      <c r="D541" s="268"/>
      <c r="E541" s="268"/>
      <c r="F541" s="268"/>
      <c r="G541" s="268"/>
      <c r="H541" s="268"/>
      <c r="I541" s="268"/>
      <c r="J541" s="268"/>
      <c r="K541" s="268"/>
      <c r="L541" s="268"/>
      <c r="M541" s="268"/>
      <c r="N541" s="268"/>
      <c r="O541" s="268"/>
      <c r="P541" s="268"/>
      <c r="Q541" s="268"/>
      <c r="R541" s="268"/>
      <c r="S541" s="268"/>
      <c r="T541" s="268"/>
      <c r="U541" s="268"/>
      <c r="V541" s="268"/>
      <c r="W541" s="268"/>
      <c r="X541" s="268"/>
      <c r="Y541" s="268"/>
      <c r="Z541" s="268"/>
    </row>
    <row r="542" spans="1:26" ht="12.75" customHeight="1">
      <c r="A542" s="268"/>
      <c r="B542" s="268"/>
      <c r="C542" s="268"/>
      <c r="D542" s="268"/>
      <c r="E542" s="268"/>
      <c r="F542" s="268"/>
      <c r="G542" s="268"/>
      <c r="H542" s="268"/>
      <c r="I542" s="268"/>
      <c r="J542" s="268"/>
      <c r="K542" s="268"/>
      <c r="L542" s="268"/>
      <c r="M542" s="268"/>
      <c r="N542" s="268"/>
      <c r="O542" s="268"/>
      <c r="P542" s="268"/>
      <c r="Q542" s="268"/>
      <c r="R542" s="268"/>
      <c r="S542" s="268"/>
      <c r="T542" s="268"/>
      <c r="U542" s="268"/>
      <c r="V542" s="268"/>
      <c r="W542" s="268"/>
      <c r="X542" s="268"/>
      <c r="Y542" s="268"/>
      <c r="Z542" s="268"/>
    </row>
    <row r="543" spans="1:26" ht="12.75" customHeight="1">
      <c r="A543" s="268"/>
      <c r="B543" s="268"/>
      <c r="C543" s="268"/>
      <c r="D543" s="268"/>
      <c r="E543" s="268"/>
      <c r="F543" s="268"/>
      <c r="G543" s="268"/>
      <c r="H543" s="268"/>
      <c r="I543" s="268"/>
      <c r="J543" s="268"/>
      <c r="K543" s="268"/>
      <c r="L543" s="268"/>
      <c r="M543" s="268"/>
      <c r="N543" s="268"/>
      <c r="O543" s="268"/>
      <c r="P543" s="268"/>
      <c r="Q543" s="268"/>
      <c r="R543" s="268"/>
      <c r="S543" s="268"/>
      <c r="T543" s="268"/>
      <c r="U543" s="268"/>
      <c r="V543" s="268"/>
      <c r="W543" s="268"/>
      <c r="X543" s="268"/>
      <c r="Y543" s="268"/>
      <c r="Z543" s="268"/>
    </row>
    <row r="544" spans="1:26" ht="12.75" customHeight="1">
      <c r="A544" s="268"/>
      <c r="B544" s="268"/>
      <c r="C544" s="268"/>
      <c r="D544" s="268"/>
      <c r="E544" s="268"/>
      <c r="F544" s="268"/>
      <c r="G544" s="268"/>
      <c r="H544" s="268"/>
      <c r="I544" s="268"/>
      <c r="J544" s="268"/>
      <c r="K544" s="268"/>
      <c r="L544" s="268"/>
      <c r="M544" s="268"/>
      <c r="N544" s="268"/>
      <c r="O544" s="268"/>
      <c r="P544" s="268"/>
      <c r="Q544" s="268"/>
      <c r="R544" s="268"/>
      <c r="S544" s="268"/>
      <c r="T544" s="268"/>
      <c r="U544" s="268"/>
      <c r="V544" s="268"/>
      <c r="W544" s="268"/>
      <c r="X544" s="268"/>
      <c r="Y544" s="268"/>
      <c r="Z544" s="268"/>
    </row>
    <row r="545" spans="1:26" ht="12.75" customHeight="1">
      <c r="A545" s="268"/>
      <c r="B545" s="268"/>
      <c r="C545" s="268"/>
      <c r="D545" s="268"/>
      <c r="E545" s="268"/>
      <c r="F545" s="268"/>
      <c r="G545" s="268"/>
      <c r="H545" s="268"/>
      <c r="I545" s="268"/>
      <c r="J545" s="268"/>
      <c r="K545" s="268"/>
      <c r="L545" s="268"/>
      <c r="M545" s="268"/>
      <c r="N545" s="268"/>
      <c r="O545" s="268"/>
      <c r="P545" s="268"/>
      <c r="Q545" s="268"/>
      <c r="R545" s="268"/>
      <c r="S545" s="268"/>
      <c r="T545" s="268"/>
      <c r="U545" s="268"/>
      <c r="V545" s="268"/>
      <c r="W545" s="268"/>
      <c r="X545" s="268"/>
      <c r="Y545" s="268"/>
      <c r="Z545" s="268"/>
    </row>
    <row r="546" spans="1:26" ht="12.75" customHeight="1">
      <c r="A546" s="268"/>
      <c r="B546" s="268"/>
      <c r="C546" s="268"/>
      <c r="D546" s="268"/>
      <c r="E546" s="268"/>
      <c r="F546" s="268"/>
      <c r="G546" s="268"/>
      <c r="H546" s="268"/>
      <c r="I546" s="268"/>
      <c r="J546" s="268"/>
      <c r="K546" s="268"/>
      <c r="L546" s="268"/>
      <c r="M546" s="268"/>
      <c r="N546" s="268"/>
      <c r="O546" s="268"/>
      <c r="P546" s="268"/>
      <c r="Q546" s="268"/>
      <c r="R546" s="268"/>
      <c r="S546" s="268"/>
      <c r="T546" s="268"/>
      <c r="U546" s="268"/>
      <c r="V546" s="268"/>
      <c r="W546" s="268"/>
      <c r="X546" s="268"/>
      <c r="Y546" s="268"/>
      <c r="Z546" s="268"/>
    </row>
    <row r="547" spans="1:26" ht="12.75" customHeight="1">
      <c r="A547" s="268"/>
      <c r="B547" s="268"/>
      <c r="C547" s="268"/>
      <c r="D547" s="268"/>
      <c r="E547" s="268"/>
      <c r="F547" s="268"/>
      <c r="G547" s="268"/>
      <c r="H547" s="268"/>
      <c r="I547" s="268"/>
      <c r="J547" s="268"/>
      <c r="K547" s="268"/>
      <c r="L547" s="268"/>
      <c r="M547" s="268"/>
      <c r="N547" s="268"/>
      <c r="O547" s="268"/>
      <c r="P547" s="268"/>
      <c r="Q547" s="268"/>
      <c r="R547" s="268"/>
      <c r="S547" s="268"/>
      <c r="T547" s="268"/>
      <c r="U547" s="268"/>
      <c r="V547" s="268"/>
      <c r="W547" s="268"/>
      <c r="X547" s="268"/>
      <c r="Y547" s="268"/>
      <c r="Z547" s="268"/>
    </row>
    <row r="548" spans="1:26" ht="12.75" customHeight="1">
      <c r="A548" s="268"/>
      <c r="B548" s="268"/>
      <c r="C548" s="268"/>
      <c r="D548" s="268"/>
      <c r="E548" s="268"/>
      <c r="F548" s="268"/>
      <c r="G548" s="268"/>
      <c r="H548" s="268"/>
      <c r="I548" s="268"/>
      <c r="J548" s="268"/>
      <c r="K548" s="268"/>
      <c r="L548" s="268"/>
      <c r="M548" s="268"/>
      <c r="N548" s="268"/>
      <c r="O548" s="268"/>
      <c r="P548" s="268"/>
      <c r="Q548" s="268"/>
      <c r="R548" s="268"/>
      <c r="S548" s="268"/>
      <c r="T548" s="268"/>
      <c r="U548" s="268"/>
      <c r="V548" s="268"/>
      <c r="W548" s="268"/>
      <c r="X548" s="268"/>
      <c r="Y548" s="268"/>
      <c r="Z548" s="268"/>
    </row>
    <row r="549" spans="1:26" ht="12.75" customHeight="1">
      <c r="A549" s="268"/>
      <c r="B549" s="268"/>
      <c r="C549" s="268"/>
      <c r="D549" s="268"/>
      <c r="E549" s="268"/>
      <c r="F549" s="268"/>
      <c r="G549" s="268"/>
      <c r="H549" s="268"/>
      <c r="I549" s="268"/>
      <c r="J549" s="268"/>
      <c r="K549" s="268"/>
      <c r="L549" s="268"/>
      <c r="M549" s="268"/>
      <c r="N549" s="268"/>
      <c r="O549" s="268"/>
      <c r="P549" s="268"/>
      <c r="Q549" s="268"/>
      <c r="R549" s="268"/>
      <c r="S549" s="268"/>
      <c r="T549" s="268"/>
      <c r="U549" s="268"/>
      <c r="V549" s="268"/>
      <c r="W549" s="268"/>
      <c r="X549" s="268"/>
      <c r="Y549" s="268"/>
      <c r="Z549" s="268"/>
    </row>
    <row r="550" spans="1:26" ht="12.75" customHeight="1">
      <c r="A550" s="268"/>
      <c r="B550" s="268"/>
      <c r="C550" s="268"/>
      <c r="D550" s="268"/>
      <c r="E550" s="268"/>
      <c r="F550" s="268"/>
      <c r="G550" s="268"/>
      <c r="H550" s="268"/>
      <c r="I550" s="268"/>
      <c r="J550" s="268"/>
      <c r="K550" s="268"/>
      <c r="L550" s="268"/>
      <c r="M550" s="268"/>
      <c r="N550" s="268"/>
      <c r="O550" s="268"/>
      <c r="P550" s="268"/>
      <c r="Q550" s="268"/>
      <c r="R550" s="268"/>
      <c r="S550" s="268"/>
      <c r="T550" s="268"/>
      <c r="U550" s="268"/>
      <c r="V550" s="268"/>
      <c r="W550" s="268"/>
      <c r="X550" s="268"/>
      <c r="Y550" s="268"/>
      <c r="Z550" s="268"/>
    </row>
    <row r="551" spans="1:26" ht="12.75" customHeight="1">
      <c r="A551" s="268"/>
      <c r="B551" s="268"/>
      <c r="C551" s="268"/>
      <c r="D551" s="268"/>
      <c r="E551" s="268"/>
      <c r="F551" s="268"/>
      <c r="G551" s="268"/>
      <c r="H551" s="268"/>
      <c r="I551" s="268"/>
      <c r="J551" s="268"/>
      <c r="K551" s="268"/>
      <c r="L551" s="268"/>
      <c r="M551" s="268"/>
      <c r="N551" s="268"/>
      <c r="O551" s="268"/>
      <c r="P551" s="268"/>
      <c r="Q551" s="268"/>
      <c r="R551" s="268"/>
      <c r="S551" s="268"/>
      <c r="T551" s="268"/>
      <c r="U551" s="268"/>
      <c r="V551" s="268"/>
      <c r="W551" s="268"/>
      <c r="X551" s="268"/>
      <c r="Y551" s="268"/>
      <c r="Z551" s="268"/>
    </row>
    <row r="552" spans="1:26" ht="12.75" customHeight="1">
      <c r="A552" s="268"/>
      <c r="B552" s="268"/>
      <c r="C552" s="268"/>
      <c r="D552" s="268"/>
      <c r="E552" s="268"/>
      <c r="F552" s="268"/>
      <c r="G552" s="268"/>
      <c r="H552" s="268"/>
      <c r="I552" s="268"/>
      <c r="J552" s="268"/>
      <c r="K552" s="268"/>
      <c r="L552" s="268"/>
      <c r="M552" s="268"/>
      <c r="N552" s="268"/>
      <c r="O552" s="268"/>
      <c r="P552" s="268"/>
      <c r="Q552" s="268"/>
      <c r="R552" s="268"/>
      <c r="S552" s="268"/>
      <c r="T552" s="268"/>
      <c r="U552" s="268"/>
      <c r="V552" s="268"/>
      <c r="W552" s="268"/>
      <c r="X552" s="268"/>
      <c r="Y552" s="268"/>
      <c r="Z552" s="268"/>
    </row>
    <row r="553" spans="1:26" ht="12.75" customHeight="1">
      <c r="A553" s="268"/>
      <c r="B553" s="268"/>
      <c r="C553" s="268"/>
      <c r="D553" s="268"/>
      <c r="E553" s="268"/>
      <c r="F553" s="268"/>
      <c r="G553" s="268"/>
      <c r="H553" s="268"/>
      <c r="I553" s="268"/>
      <c r="J553" s="268"/>
      <c r="K553" s="268"/>
      <c r="L553" s="268"/>
      <c r="M553" s="268"/>
      <c r="N553" s="268"/>
      <c r="O553" s="268"/>
      <c r="P553" s="268"/>
      <c r="Q553" s="268"/>
      <c r="R553" s="268"/>
      <c r="S553" s="268"/>
      <c r="T553" s="268"/>
      <c r="U553" s="268"/>
      <c r="V553" s="268"/>
      <c r="W553" s="268"/>
      <c r="X553" s="268"/>
      <c r="Y553" s="268"/>
      <c r="Z553" s="268"/>
    </row>
    <row r="554" spans="1:26" ht="12.75" customHeight="1">
      <c r="A554" s="268"/>
      <c r="B554" s="268"/>
      <c r="C554" s="268"/>
      <c r="D554" s="268"/>
      <c r="E554" s="268"/>
      <c r="F554" s="268"/>
      <c r="G554" s="268"/>
      <c r="H554" s="268"/>
      <c r="I554" s="268"/>
      <c r="J554" s="268"/>
      <c r="K554" s="268"/>
      <c r="L554" s="268"/>
      <c r="M554" s="268"/>
      <c r="N554" s="268"/>
      <c r="O554" s="268"/>
      <c r="P554" s="268"/>
      <c r="Q554" s="268"/>
      <c r="R554" s="268"/>
      <c r="S554" s="268"/>
      <c r="T554" s="268"/>
      <c r="U554" s="268"/>
      <c r="V554" s="268"/>
      <c r="W554" s="268"/>
      <c r="X554" s="268"/>
      <c r="Y554" s="268"/>
      <c r="Z554" s="268"/>
    </row>
    <row r="555" spans="1:26" ht="12.75" customHeight="1">
      <c r="A555" s="268"/>
      <c r="B555" s="268"/>
      <c r="C555" s="268"/>
      <c r="D555" s="268"/>
      <c r="E555" s="268"/>
      <c r="F555" s="268"/>
      <c r="G555" s="268"/>
      <c r="H555" s="268"/>
      <c r="I555" s="268"/>
      <c r="J555" s="268"/>
      <c r="K555" s="268"/>
      <c r="L555" s="268"/>
      <c r="M555" s="268"/>
      <c r="N555" s="268"/>
      <c r="O555" s="268"/>
      <c r="P555" s="268"/>
      <c r="Q555" s="268"/>
      <c r="R555" s="268"/>
      <c r="S555" s="268"/>
      <c r="T555" s="268"/>
      <c r="U555" s="268"/>
      <c r="V555" s="268"/>
      <c r="W555" s="268"/>
      <c r="X555" s="268"/>
      <c r="Y555" s="268"/>
      <c r="Z555" s="268"/>
    </row>
    <row r="556" spans="1:26" ht="12.75" customHeight="1">
      <c r="A556" s="268"/>
      <c r="B556" s="268"/>
      <c r="C556" s="268"/>
      <c r="D556" s="268"/>
      <c r="E556" s="268"/>
      <c r="F556" s="268"/>
      <c r="G556" s="268"/>
      <c r="H556" s="268"/>
      <c r="I556" s="268"/>
      <c r="J556" s="268"/>
      <c r="K556" s="268"/>
      <c r="L556" s="268"/>
      <c r="M556" s="268"/>
      <c r="N556" s="268"/>
      <c r="O556" s="268"/>
      <c r="P556" s="268"/>
      <c r="Q556" s="268"/>
      <c r="R556" s="268"/>
      <c r="S556" s="268"/>
      <c r="T556" s="268"/>
      <c r="U556" s="268"/>
      <c r="V556" s="268"/>
      <c r="W556" s="268"/>
      <c r="X556" s="268"/>
      <c r="Y556" s="268"/>
      <c r="Z556" s="268"/>
    </row>
    <row r="557" spans="1:26" ht="12.75" customHeight="1">
      <c r="A557" s="268"/>
      <c r="B557" s="268"/>
      <c r="C557" s="268"/>
      <c r="D557" s="268"/>
      <c r="E557" s="268"/>
      <c r="F557" s="268"/>
      <c r="G557" s="268"/>
      <c r="H557" s="268"/>
      <c r="I557" s="268"/>
      <c r="J557" s="268"/>
      <c r="K557" s="268"/>
      <c r="L557" s="268"/>
      <c r="M557" s="268"/>
      <c r="N557" s="268"/>
      <c r="O557" s="268"/>
      <c r="P557" s="268"/>
      <c r="Q557" s="268"/>
      <c r="R557" s="268"/>
      <c r="S557" s="268"/>
      <c r="T557" s="268"/>
      <c r="U557" s="268"/>
      <c r="V557" s="268"/>
      <c r="W557" s="268"/>
      <c r="X557" s="268"/>
      <c r="Y557" s="268"/>
      <c r="Z557" s="268"/>
    </row>
    <row r="558" spans="1:26" ht="12.75" customHeight="1">
      <c r="A558" s="268"/>
      <c r="B558" s="268"/>
      <c r="C558" s="268"/>
      <c r="D558" s="268"/>
      <c r="E558" s="268"/>
      <c r="F558" s="268"/>
      <c r="G558" s="268"/>
      <c r="H558" s="268"/>
      <c r="I558" s="268"/>
      <c r="J558" s="268"/>
      <c r="K558" s="268"/>
      <c r="L558" s="268"/>
      <c r="M558" s="268"/>
      <c r="N558" s="268"/>
      <c r="O558" s="268"/>
      <c r="P558" s="268"/>
      <c r="Q558" s="268"/>
      <c r="R558" s="268"/>
      <c r="S558" s="268"/>
      <c r="T558" s="268"/>
      <c r="U558" s="268"/>
      <c r="V558" s="268"/>
      <c r="W558" s="268"/>
      <c r="X558" s="268"/>
      <c r="Y558" s="268"/>
      <c r="Z558" s="268"/>
    </row>
    <row r="559" spans="1:26" ht="12.75" customHeight="1">
      <c r="A559" s="268"/>
      <c r="B559" s="268"/>
      <c r="C559" s="268"/>
      <c r="D559" s="268"/>
      <c r="E559" s="268"/>
      <c r="F559" s="268"/>
      <c r="G559" s="268"/>
      <c r="H559" s="268"/>
      <c r="I559" s="268"/>
      <c r="J559" s="268"/>
      <c r="K559" s="268"/>
      <c r="L559" s="268"/>
      <c r="M559" s="268"/>
      <c r="N559" s="268"/>
      <c r="O559" s="268"/>
      <c r="P559" s="268"/>
      <c r="Q559" s="268"/>
      <c r="R559" s="268"/>
      <c r="S559" s="268"/>
      <c r="T559" s="268"/>
      <c r="U559" s="268"/>
      <c r="V559" s="268"/>
      <c r="W559" s="268"/>
      <c r="X559" s="268"/>
      <c r="Y559" s="268"/>
      <c r="Z559" s="268"/>
    </row>
    <row r="560" spans="1:26" ht="12.75" customHeight="1">
      <c r="A560" s="268"/>
      <c r="B560" s="268"/>
      <c r="C560" s="268"/>
      <c r="D560" s="268"/>
      <c r="E560" s="268"/>
      <c r="F560" s="268"/>
      <c r="G560" s="268"/>
      <c r="H560" s="268"/>
      <c r="I560" s="268"/>
      <c r="J560" s="268"/>
      <c r="K560" s="268"/>
      <c r="L560" s="268"/>
      <c r="M560" s="268"/>
      <c r="N560" s="268"/>
      <c r="O560" s="268"/>
      <c r="P560" s="268"/>
      <c r="Q560" s="268"/>
      <c r="R560" s="268"/>
      <c r="S560" s="268"/>
      <c r="T560" s="268"/>
      <c r="U560" s="268"/>
      <c r="V560" s="268"/>
      <c r="W560" s="268"/>
      <c r="X560" s="268"/>
      <c r="Y560" s="268"/>
      <c r="Z560" s="268"/>
    </row>
    <row r="561" spans="1:26" ht="12.75" customHeight="1">
      <c r="A561" s="268"/>
      <c r="B561" s="268"/>
      <c r="C561" s="268"/>
      <c r="D561" s="268"/>
      <c r="E561" s="268"/>
      <c r="F561" s="268"/>
      <c r="G561" s="268"/>
      <c r="H561" s="268"/>
      <c r="I561" s="268"/>
      <c r="J561" s="268"/>
      <c r="K561" s="268"/>
      <c r="L561" s="268"/>
      <c r="M561" s="268"/>
      <c r="N561" s="268"/>
      <c r="O561" s="268"/>
      <c r="P561" s="268"/>
      <c r="Q561" s="268"/>
      <c r="R561" s="268"/>
      <c r="S561" s="268"/>
      <c r="T561" s="268"/>
      <c r="U561" s="268"/>
      <c r="V561" s="268"/>
      <c r="W561" s="268"/>
      <c r="X561" s="268"/>
      <c r="Y561" s="268"/>
      <c r="Z561" s="268"/>
    </row>
    <row r="562" spans="1:26" ht="12.75" customHeight="1">
      <c r="A562" s="268"/>
      <c r="B562" s="268"/>
      <c r="C562" s="268"/>
      <c r="D562" s="268"/>
      <c r="E562" s="268"/>
      <c r="F562" s="268"/>
      <c r="G562" s="268"/>
      <c r="H562" s="268"/>
      <c r="I562" s="268"/>
      <c r="J562" s="268"/>
      <c r="K562" s="268"/>
      <c r="L562" s="268"/>
      <c r="M562" s="268"/>
      <c r="N562" s="268"/>
      <c r="O562" s="268"/>
      <c r="P562" s="268"/>
      <c r="Q562" s="268"/>
      <c r="R562" s="268"/>
      <c r="S562" s="268"/>
      <c r="T562" s="268"/>
      <c r="U562" s="268"/>
      <c r="V562" s="268"/>
      <c r="W562" s="268"/>
      <c r="X562" s="268"/>
      <c r="Y562" s="268"/>
      <c r="Z562" s="268"/>
    </row>
    <row r="563" spans="1:26" ht="12.75" customHeight="1">
      <c r="A563" s="268"/>
      <c r="B563" s="268"/>
      <c r="C563" s="268"/>
      <c r="D563" s="268"/>
      <c r="E563" s="268"/>
      <c r="F563" s="268"/>
      <c r="G563" s="268"/>
      <c r="H563" s="268"/>
      <c r="I563" s="268"/>
      <c r="J563" s="268"/>
      <c r="K563" s="268"/>
      <c r="L563" s="268"/>
      <c r="M563" s="268"/>
      <c r="N563" s="268"/>
      <c r="O563" s="268"/>
      <c r="P563" s="268"/>
      <c r="Q563" s="268"/>
      <c r="R563" s="268"/>
      <c r="S563" s="268"/>
      <c r="T563" s="268"/>
      <c r="U563" s="268"/>
      <c r="V563" s="268"/>
      <c r="W563" s="268"/>
      <c r="X563" s="268"/>
      <c r="Y563" s="268"/>
      <c r="Z563" s="268"/>
    </row>
    <row r="564" spans="1:26" ht="12.75" customHeight="1">
      <c r="A564" s="268"/>
      <c r="B564" s="268"/>
      <c r="C564" s="268"/>
      <c r="D564" s="268"/>
      <c r="E564" s="268"/>
      <c r="F564" s="268"/>
      <c r="G564" s="268"/>
      <c r="H564" s="268"/>
      <c r="I564" s="268"/>
      <c r="J564" s="268"/>
      <c r="K564" s="268"/>
      <c r="L564" s="268"/>
      <c r="M564" s="268"/>
      <c r="N564" s="268"/>
      <c r="O564" s="268"/>
      <c r="P564" s="268"/>
      <c r="Q564" s="268"/>
      <c r="R564" s="268"/>
      <c r="S564" s="268"/>
      <c r="T564" s="268"/>
      <c r="U564" s="268"/>
      <c r="V564" s="268"/>
      <c r="W564" s="268"/>
      <c r="X564" s="268"/>
      <c r="Y564" s="268"/>
      <c r="Z564" s="268"/>
    </row>
    <row r="565" spans="1:26" ht="12.75" customHeight="1">
      <c r="A565" s="268"/>
      <c r="B565" s="268"/>
      <c r="C565" s="268"/>
      <c r="D565" s="268"/>
      <c r="E565" s="268"/>
      <c r="F565" s="268"/>
      <c r="G565" s="268"/>
      <c r="H565" s="268"/>
      <c r="I565" s="268"/>
      <c r="J565" s="268"/>
      <c r="K565" s="268"/>
      <c r="L565" s="268"/>
      <c r="M565" s="268"/>
      <c r="N565" s="268"/>
      <c r="O565" s="268"/>
      <c r="P565" s="268"/>
      <c r="Q565" s="268"/>
      <c r="R565" s="268"/>
      <c r="S565" s="268"/>
      <c r="T565" s="268"/>
      <c r="U565" s="268"/>
      <c r="V565" s="268"/>
      <c r="W565" s="268"/>
      <c r="X565" s="268"/>
      <c r="Y565" s="268"/>
      <c r="Z565" s="268"/>
    </row>
    <row r="566" spans="1:26" ht="12.75" customHeight="1">
      <c r="A566" s="268"/>
      <c r="B566" s="268"/>
      <c r="C566" s="268"/>
      <c r="D566" s="268"/>
      <c r="E566" s="268"/>
      <c r="F566" s="268"/>
      <c r="G566" s="268"/>
      <c r="H566" s="268"/>
      <c r="I566" s="268"/>
      <c r="J566" s="268"/>
      <c r="K566" s="268"/>
      <c r="L566" s="268"/>
      <c r="M566" s="268"/>
      <c r="N566" s="268"/>
      <c r="O566" s="268"/>
      <c r="P566" s="268"/>
      <c r="Q566" s="268"/>
      <c r="R566" s="268"/>
      <c r="S566" s="268"/>
      <c r="T566" s="268"/>
      <c r="U566" s="268"/>
      <c r="V566" s="268"/>
      <c r="W566" s="268"/>
      <c r="X566" s="268"/>
      <c r="Y566" s="268"/>
      <c r="Z566" s="268"/>
    </row>
    <row r="567" spans="1:26" ht="12.75" customHeight="1">
      <c r="A567" s="268"/>
      <c r="B567" s="268"/>
      <c r="C567" s="268"/>
      <c r="D567" s="268"/>
      <c r="E567" s="268"/>
      <c r="F567" s="268"/>
      <c r="G567" s="268"/>
      <c r="H567" s="268"/>
      <c r="I567" s="268"/>
      <c r="J567" s="268"/>
      <c r="K567" s="268"/>
      <c r="L567" s="268"/>
      <c r="M567" s="268"/>
      <c r="N567" s="268"/>
      <c r="O567" s="268"/>
      <c r="P567" s="268"/>
      <c r="Q567" s="268"/>
      <c r="R567" s="268"/>
      <c r="S567" s="268"/>
      <c r="T567" s="268"/>
      <c r="U567" s="268"/>
      <c r="V567" s="268"/>
      <c r="W567" s="268"/>
      <c r="X567" s="268"/>
      <c r="Y567" s="268"/>
      <c r="Z567" s="268"/>
    </row>
    <row r="568" spans="1:26" ht="12.75" customHeight="1">
      <c r="A568" s="268"/>
      <c r="B568" s="268"/>
      <c r="C568" s="268"/>
      <c r="D568" s="268"/>
      <c r="E568" s="268"/>
      <c r="F568" s="268"/>
      <c r="G568" s="268"/>
      <c r="H568" s="268"/>
      <c r="I568" s="268"/>
      <c r="J568" s="268"/>
      <c r="K568" s="268"/>
      <c r="L568" s="268"/>
      <c r="M568" s="268"/>
      <c r="N568" s="268"/>
      <c r="O568" s="268"/>
      <c r="P568" s="268"/>
      <c r="Q568" s="268"/>
      <c r="R568" s="268"/>
      <c r="S568" s="268"/>
      <c r="T568" s="268"/>
      <c r="U568" s="268"/>
      <c r="V568" s="268"/>
      <c r="W568" s="268"/>
      <c r="X568" s="268"/>
      <c r="Y568" s="268"/>
      <c r="Z568" s="268"/>
    </row>
    <row r="569" spans="1:26" ht="12.75" customHeight="1">
      <c r="A569" s="268"/>
      <c r="B569" s="268"/>
      <c r="C569" s="268"/>
      <c r="D569" s="268"/>
      <c r="E569" s="268"/>
      <c r="F569" s="268"/>
      <c r="G569" s="268"/>
      <c r="H569" s="268"/>
      <c r="I569" s="268"/>
      <c r="J569" s="268"/>
      <c r="K569" s="268"/>
      <c r="L569" s="268"/>
      <c r="M569" s="268"/>
      <c r="N569" s="268"/>
      <c r="O569" s="268"/>
      <c r="P569" s="268"/>
      <c r="Q569" s="268"/>
      <c r="R569" s="268"/>
      <c r="S569" s="268"/>
      <c r="T569" s="268"/>
      <c r="U569" s="268"/>
      <c r="V569" s="268"/>
      <c r="W569" s="268"/>
      <c r="X569" s="268"/>
      <c r="Y569" s="268"/>
      <c r="Z569" s="268"/>
    </row>
    <row r="570" spans="1:26" ht="12.75" customHeight="1">
      <c r="A570" s="268"/>
      <c r="B570" s="268"/>
      <c r="C570" s="268"/>
      <c r="D570" s="268"/>
      <c r="E570" s="268"/>
      <c r="F570" s="268"/>
      <c r="G570" s="268"/>
      <c r="H570" s="268"/>
      <c r="I570" s="268"/>
      <c r="J570" s="268"/>
      <c r="K570" s="268"/>
      <c r="L570" s="268"/>
      <c r="M570" s="268"/>
      <c r="N570" s="268"/>
      <c r="O570" s="268"/>
      <c r="P570" s="268"/>
      <c r="Q570" s="268"/>
      <c r="R570" s="268"/>
      <c r="S570" s="268"/>
      <c r="T570" s="268"/>
      <c r="U570" s="268"/>
      <c r="V570" s="268"/>
      <c r="W570" s="268"/>
      <c r="X570" s="268"/>
      <c r="Y570" s="268"/>
      <c r="Z570" s="268"/>
    </row>
    <row r="571" spans="1:26" ht="12.75" customHeight="1">
      <c r="A571" s="268"/>
      <c r="B571" s="268"/>
      <c r="C571" s="268"/>
      <c r="D571" s="268"/>
      <c r="E571" s="268"/>
      <c r="F571" s="268"/>
      <c r="G571" s="268"/>
      <c r="H571" s="268"/>
      <c r="I571" s="268"/>
      <c r="J571" s="268"/>
      <c r="K571" s="268"/>
      <c r="L571" s="268"/>
      <c r="M571" s="268"/>
      <c r="N571" s="268"/>
      <c r="O571" s="268"/>
      <c r="P571" s="268"/>
      <c r="Q571" s="268"/>
      <c r="R571" s="268"/>
      <c r="S571" s="268"/>
      <c r="T571" s="268"/>
      <c r="U571" s="268"/>
      <c r="V571" s="268"/>
      <c r="W571" s="268"/>
      <c r="X571" s="268"/>
      <c r="Y571" s="268"/>
      <c r="Z571" s="268"/>
    </row>
    <row r="572" spans="1:26" ht="12.75" customHeight="1">
      <c r="A572" s="268"/>
      <c r="B572" s="268"/>
      <c r="C572" s="268"/>
      <c r="D572" s="268"/>
      <c r="E572" s="268"/>
      <c r="F572" s="268"/>
      <c r="G572" s="268"/>
      <c r="H572" s="268"/>
      <c r="I572" s="268"/>
      <c r="J572" s="268"/>
      <c r="K572" s="268"/>
      <c r="L572" s="268"/>
      <c r="M572" s="268"/>
      <c r="N572" s="268"/>
      <c r="O572" s="268"/>
      <c r="P572" s="268"/>
      <c r="Q572" s="268"/>
      <c r="R572" s="268"/>
      <c r="S572" s="268"/>
      <c r="T572" s="268"/>
      <c r="U572" s="268"/>
      <c r="V572" s="268"/>
      <c r="W572" s="268"/>
      <c r="X572" s="268"/>
      <c r="Y572" s="268"/>
      <c r="Z572" s="268"/>
    </row>
    <row r="573" spans="1:26" ht="12.75" customHeight="1">
      <c r="A573" s="268"/>
      <c r="B573" s="268"/>
      <c r="C573" s="268"/>
      <c r="D573" s="268"/>
      <c r="E573" s="268"/>
      <c r="F573" s="268"/>
      <c r="G573" s="268"/>
      <c r="H573" s="268"/>
      <c r="I573" s="268"/>
      <c r="J573" s="268"/>
      <c r="K573" s="268"/>
      <c r="L573" s="268"/>
      <c r="M573" s="268"/>
      <c r="N573" s="268"/>
      <c r="O573" s="268"/>
      <c r="P573" s="268"/>
      <c r="Q573" s="268"/>
      <c r="R573" s="268"/>
      <c r="S573" s="268"/>
      <c r="T573" s="268"/>
      <c r="U573" s="268"/>
      <c r="V573" s="268"/>
      <c r="W573" s="268"/>
      <c r="X573" s="268"/>
      <c r="Y573" s="268"/>
      <c r="Z573" s="268"/>
    </row>
    <row r="574" spans="1:26" ht="12.75" customHeight="1">
      <c r="A574" s="268"/>
      <c r="B574" s="268"/>
      <c r="C574" s="268"/>
      <c r="D574" s="268"/>
      <c r="E574" s="268"/>
      <c r="F574" s="268"/>
      <c r="G574" s="268"/>
      <c r="H574" s="268"/>
      <c r="I574" s="268"/>
      <c r="J574" s="268"/>
      <c r="K574" s="268"/>
      <c r="L574" s="268"/>
      <c r="M574" s="268"/>
      <c r="N574" s="268"/>
      <c r="O574" s="268"/>
      <c r="P574" s="268"/>
      <c r="Q574" s="268"/>
      <c r="R574" s="268"/>
      <c r="S574" s="268"/>
      <c r="T574" s="268"/>
      <c r="U574" s="268"/>
      <c r="V574" s="268"/>
      <c r="W574" s="268"/>
      <c r="X574" s="268"/>
      <c r="Y574" s="268"/>
      <c r="Z574" s="268"/>
    </row>
    <row r="575" spans="1:26" ht="12.75" customHeight="1">
      <c r="A575" s="268"/>
      <c r="B575" s="268"/>
      <c r="C575" s="268"/>
      <c r="D575" s="268"/>
      <c r="E575" s="268"/>
      <c r="F575" s="268"/>
      <c r="G575" s="268"/>
      <c r="H575" s="268"/>
      <c r="I575" s="268"/>
      <c r="J575" s="268"/>
      <c r="K575" s="268"/>
      <c r="L575" s="268"/>
      <c r="M575" s="268"/>
      <c r="N575" s="268"/>
      <c r="O575" s="268"/>
      <c r="P575" s="268"/>
      <c r="Q575" s="268"/>
      <c r="R575" s="268"/>
      <c r="S575" s="268"/>
      <c r="T575" s="268"/>
      <c r="U575" s="268"/>
      <c r="V575" s="268"/>
      <c r="W575" s="268"/>
      <c r="X575" s="268"/>
      <c r="Y575" s="268"/>
      <c r="Z575" s="268"/>
    </row>
    <row r="576" spans="1:26" ht="12.75" customHeight="1">
      <c r="A576" s="268"/>
      <c r="B576" s="268"/>
      <c r="C576" s="268"/>
      <c r="D576" s="268"/>
      <c r="E576" s="268"/>
      <c r="F576" s="268"/>
      <c r="G576" s="268"/>
      <c r="H576" s="268"/>
      <c r="I576" s="268"/>
      <c r="J576" s="268"/>
      <c r="K576" s="268"/>
      <c r="L576" s="268"/>
      <c r="M576" s="268"/>
      <c r="N576" s="268"/>
      <c r="O576" s="268"/>
      <c r="P576" s="268"/>
      <c r="Q576" s="268"/>
      <c r="R576" s="268"/>
      <c r="S576" s="268"/>
      <c r="T576" s="268"/>
      <c r="U576" s="268"/>
      <c r="V576" s="268"/>
      <c r="W576" s="268"/>
      <c r="X576" s="268"/>
      <c r="Y576" s="268"/>
      <c r="Z576" s="268"/>
    </row>
    <row r="577" spans="1:26" ht="12.75" customHeight="1">
      <c r="A577" s="268"/>
      <c r="B577" s="268"/>
      <c r="C577" s="268"/>
      <c r="D577" s="268"/>
      <c r="E577" s="268"/>
      <c r="F577" s="268"/>
      <c r="G577" s="268"/>
      <c r="H577" s="268"/>
      <c r="I577" s="268"/>
      <c r="J577" s="268"/>
      <c r="K577" s="268"/>
      <c r="L577" s="268"/>
      <c r="M577" s="268"/>
      <c r="N577" s="268"/>
      <c r="O577" s="268"/>
      <c r="P577" s="268"/>
      <c r="Q577" s="268"/>
      <c r="R577" s="268"/>
      <c r="S577" s="268"/>
      <c r="T577" s="268"/>
      <c r="U577" s="268"/>
      <c r="V577" s="268"/>
      <c r="W577" s="268"/>
      <c r="X577" s="268"/>
      <c r="Y577" s="268"/>
      <c r="Z577" s="268"/>
    </row>
    <row r="578" spans="1:26" ht="12.75" customHeight="1">
      <c r="A578" s="268"/>
      <c r="B578" s="268"/>
      <c r="C578" s="268"/>
      <c r="D578" s="268"/>
      <c r="E578" s="268"/>
      <c r="F578" s="268"/>
      <c r="G578" s="268"/>
      <c r="H578" s="268"/>
      <c r="I578" s="268"/>
      <c r="J578" s="268"/>
      <c r="K578" s="268"/>
      <c r="L578" s="268"/>
      <c r="M578" s="268"/>
      <c r="N578" s="268"/>
      <c r="O578" s="268"/>
      <c r="P578" s="268"/>
      <c r="Q578" s="268"/>
      <c r="R578" s="268"/>
      <c r="S578" s="268"/>
      <c r="T578" s="268"/>
      <c r="U578" s="268"/>
      <c r="V578" s="268"/>
      <c r="W578" s="268"/>
      <c r="X578" s="268"/>
      <c r="Y578" s="268"/>
      <c r="Z578" s="268"/>
    </row>
    <row r="579" spans="1:26" ht="12.75" customHeight="1">
      <c r="A579" s="268"/>
      <c r="B579" s="268"/>
      <c r="C579" s="268"/>
      <c r="D579" s="268"/>
      <c r="E579" s="268"/>
      <c r="F579" s="268"/>
      <c r="G579" s="268"/>
      <c r="H579" s="268"/>
      <c r="I579" s="268"/>
      <c r="J579" s="268"/>
      <c r="K579" s="268"/>
      <c r="L579" s="268"/>
      <c r="M579" s="268"/>
      <c r="N579" s="268"/>
      <c r="O579" s="268"/>
      <c r="P579" s="268"/>
      <c r="Q579" s="268"/>
      <c r="R579" s="268"/>
      <c r="S579" s="268"/>
      <c r="T579" s="268"/>
      <c r="U579" s="268"/>
      <c r="V579" s="268"/>
      <c r="W579" s="268"/>
      <c r="X579" s="268"/>
      <c r="Y579" s="268"/>
      <c r="Z579" s="268"/>
    </row>
    <row r="580" spans="1:26" ht="12.75" customHeight="1">
      <c r="A580" s="268"/>
      <c r="B580" s="268"/>
      <c r="C580" s="268"/>
      <c r="D580" s="268"/>
      <c r="E580" s="268"/>
      <c r="F580" s="268"/>
      <c r="G580" s="268"/>
      <c r="H580" s="268"/>
      <c r="I580" s="268"/>
      <c r="J580" s="268"/>
      <c r="K580" s="268"/>
      <c r="L580" s="268"/>
      <c r="M580" s="268"/>
      <c r="N580" s="268"/>
      <c r="O580" s="268"/>
      <c r="P580" s="268"/>
      <c r="Q580" s="268"/>
      <c r="R580" s="268"/>
      <c r="S580" s="268"/>
      <c r="T580" s="268"/>
      <c r="U580" s="268"/>
      <c r="V580" s="268"/>
      <c r="W580" s="268"/>
      <c r="X580" s="268"/>
      <c r="Y580" s="268"/>
      <c r="Z580" s="268"/>
    </row>
    <row r="581" spans="1:26" ht="12.75" customHeight="1">
      <c r="A581" s="268"/>
      <c r="B581" s="268"/>
      <c r="C581" s="268"/>
      <c r="D581" s="268"/>
      <c r="E581" s="268"/>
      <c r="F581" s="268"/>
      <c r="G581" s="268"/>
      <c r="H581" s="268"/>
      <c r="I581" s="268"/>
      <c r="J581" s="268"/>
      <c r="K581" s="268"/>
      <c r="L581" s="268"/>
      <c r="M581" s="268"/>
      <c r="N581" s="268"/>
      <c r="O581" s="268"/>
      <c r="P581" s="268"/>
      <c r="Q581" s="268"/>
      <c r="R581" s="268"/>
      <c r="S581" s="268"/>
      <c r="T581" s="268"/>
      <c r="U581" s="268"/>
      <c r="V581" s="268"/>
      <c r="W581" s="268"/>
      <c r="X581" s="268"/>
      <c r="Y581" s="268"/>
      <c r="Z581" s="268"/>
    </row>
    <row r="582" spans="1:26" ht="12.75" customHeight="1">
      <c r="A582" s="268"/>
      <c r="B582" s="268"/>
      <c r="C582" s="268"/>
      <c r="D582" s="268"/>
      <c r="E582" s="268"/>
      <c r="F582" s="268"/>
      <c r="G582" s="268"/>
      <c r="H582" s="268"/>
      <c r="I582" s="268"/>
      <c r="J582" s="268"/>
      <c r="K582" s="268"/>
      <c r="L582" s="268"/>
      <c r="M582" s="268"/>
      <c r="N582" s="268"/>
      <c r="O582" s="268"/>
      <c r="P582" s="268"/>
      <c r="Q582" s="268"/>
      <c r="R582" s="268"/>
      <c r="S582" s="268"/>
      <c r="T582" s="268"/>
      <c r="U582" s="268"/>
      <c r="V582" s="268"/>
      <c r="W582" s="268"/>
      <c r="X582" s="268"/>
      <c r="Y582" s="268"/>
      <c r="Z582" s="268"/>
    </row>
    <row r="583" spans="1:26" ht="12.75" customHeight="1">
      <c r="A583" s="268"/>
      <c r="B583" s="268"/>
      <c r="C583" s="268"/>
      <c r="D583" s="268"/>
      <c r="E583" s="268"/>
      <c r="F583" s="268"/>
      <c r="G583" s="268"/>
      <c r="H583" s="268"/>
      <c r="I583" s="268"/>
      <c r="J583" s="268"/>
      <c r="K583" s="268"/>
      <c r="L583" s="268"/>
      <c r="M583" s="268"/>
      <c r="N583" s="268"/>
      <c r="O583" s="268"/>
      <c r="P583" s="268"/>
      <c r="Q583" s="268"/>
      <c r="R583" s="268"/>
      <c r="S583" s="268"/>
      <c r="T583" s="268"/>
      <c r="U583" s="268"/>
      <c r="V583" s="268"/>
      <c r="W583" s="268"/>
      <c r="X583" s="268"/>
      <c r="Y583" s="268"/>
      <c r="Z583" s="268"/>
    </row>
    <row r="584" spans="1:26" ht="12.75" customHeight="1">
      <c r="A584" s="268"/>
      <c r="B584" s="268"/>
      <c r="C584" s="268"/>
      <c r="D584" s="268"/>
      <c r="E584" s="268"/>
      <c r="F584" s="268"/>
      <c r="G584" s="268"/>
      <c r="H584" s="268"/>
      <c r="I584" s="268"/>
      <c r="J584" s="268"/>
      <c r="K584" s="268"/>
      <c r="L584" s="268"/>
      <c r="M584" s="268"/>
      <c r="N584" s="268"/>
      <c r="O584" s="268"/>
      <c r="P584" s="268"/>
      <c r="Q584" s="268"/>
      <c r="R584" s="268"/>
      <c r="S584" s="268"/>
      <c r="T584" s="268"/>
      <c r="U584" s="268"/>
      <c r="V584" s="268"/>
      <c r="W584" s="268"/>
      <c r="X584" s="268"/>
      <c r="Y584" s="268"/>
      <c r="Z584" s="268"/>
    </row>
    <row r="585" spans="1:26" ht="12.75" customHeight="1">
      <c r="A585" s="268"/>
      <c r="B585" s="268"/>
      <c r="C585" s="268"/>
      <c r="D585" s="268"/>
      <c r="E585" s="268"/>
      <c r="F585" s="268"/>
      <c r="G585" s="268"/>
      <c r="H585" s="268"/>
      <c r="I585" s="268"/>
      <c r="J585" s="268"/>
      <c r="K585" s="268"/>
      <c r="L585" s="268"/>
      <c r="M585" s="268"/>
      <c r="N585" s="268"/>
      <c r="O585" s="268"/>
      <c r="P585" s="268"/>
      <c r="Q585" s="268"/>
      <c r="R585" s="268"/>
      <c r="S585" s="268"/>
      <c r="T585" s="268"/>
      <c r="U585" s="268"/>
      <c r="V585" s="268"/>
      <c r="W585" s="268"/>
      <c r="X585" s="268"/>
      <c r="Y585" s="268"/>
      <c r="Z585" s="268"/>
    </row>
    <row r="586" spans="1:26" ht="12.75" customHeight="1">
      <c r="A586" s="268"/>
      <c r="B586" s="268"/>
      <c r="C586" s="268"/>
      <c r="D586" s="268"/>
      <c r="E586" s="268"/>
      <c r="F586" s="268"/>
      <c r="G586" s="268"/>
      <c r="H586" s="268"/>
      <c r="I586" s="268"/>
      <c r="J586" s="268"/>
      <c r="K586" s="268"/>
      <c r="L586" s="268"/>
      <c r="M586" s="268"/>
      <c r="N586" s="268"/>
      <c r="O586" s="268"/>
      <c r="P586" s="268"/>
      <c r="Q586" s="268"/>
      <c r="R586" s="268"/>
      <c r="S586" s="268"/>
      <c r="T586" s="268"/>
      <c r="U586" s="268"/>
      <c r="V586" s="268"/>
      <c r="W586" s="268"/>
      <c r="X586" s="268"/>
      <c r="Y586" s="268"/>
      <c r="Z586" s="268"/>
    </row>
    <row r="587" spans="1:26" ht="12.75" customHeight="1">
      <c r="A587" s="268"/>
      <c r="B587" s="268"/>
      <c r="C587" s="268"/>
      <c r="D587" s="268"/>
      <c r="E587" s="268"/>
      <c r="F587" s="268"/>
      <c r="G587" s="268"/>
      <c r="H587" s="268"/>
      <c r="I587" s="268"/>
      <c r="J587" s="268"/>
      <c r="K587" s="268"/>
      <c r="L587" s="268"/>
      <c r="M587" s="268"/>
      <c r="N587" s="268"/>
      <c r="O587" s="268"/>
      <c r="P587" s="268"/>
      <c r="Q587" s="268"/>
      <c r="R587" s="268"/>
      <c r="S587" s="268"/>
      <c r="T587" s="268"/>
      <c r="U587" s="268"/>
      <c r="V587" s="268"/>
      <c r="W587" s="268"/>
      <c r="X587" s="268"/>
      <c r="Y587" s="268"/>
      <c r="Z587" s="268"/>
    </row>
    <row r="588" spans="1:26" ht="12.75" customHeight="1">
      <c r="A588" s="268"/>
      <c r="B588" s="268"/>
      <c r="C588" s="268"/>
      <c r="D588" s="268"/>
      <c r="E588" s="268"/>
      <c r="F588" s="268"/>
      <c r="G588" s="268"/>
      <c r="H588" s="268"/>
      <c r="I588" s="268"/>
      <c r="J588" s="268"/>
      <c r="K588" s="268"/>
      <c r="L588" s="268"/>
      <c r="M588" s="268"/>
      <c r="N588" s="268"/>
      <c r="O588" s="268"/>
      <c r="P588" s="268"/>
      <c r="Q588" s="268"/>
      <c r="R588" s="268"/>
      <c r="S588" s="268"/>
      <c r="T588" s="268"/>
      <c r="U588" s="268"/>
      <c r="V588" s="268"/>
      <c r="W588" s="268"/>
      <c r="X588" s="268"/>
      <c r="Y588" s="268"/>
      <c r="Z588" s="268"/>
    </row>
    <row r="589" spans="1:26" ht="12.75" customHeight="1">
      <c r="A589" s="268"/>
      <c r="B589" s="268"/>
      <c r="C589" s="268"/>
      <c r="D589" s="268"/>
      <c r="E589" s="268"/>
      <c r="F589" s="268"/>
      <c r="G589" s="268"/>
      <c r="H589" s="268"/>
      <c r="I589" s="268"/>
      <c r="J589" s="268"/>
      <c r="K589" s="268"/>
      <c r="L589" s="268"/>
      <c r="M589" s="268"/>
      <c r="N589" s="268"/>
      <c r="O589" s="268"/>
      <c r="P589" s="268"/>
      <c r="Q589" s="268"/>
      <c r="R589" s="268"/>
      <c r="S589" s="268"/>
      <c r="T589" s="268"/>
      <c r="U589" s="268"/>
      <c r="V589" s="268"/>
      <c r="W589" s="268"/>
      <c r="X589" s="268"/>
      <c r="Y589" s="268"/>
      <c r="Z589" s="268"/>
    </row>
    <row r="590" spans="1:26" ht="12.75" customHeight="1">
      <c r="A590" s="268"/>
      <c r="B590" s="268"/>
      <c r="C590" s="268"/>
      <c r="D590" s="268"/>
      <c r="E590" s="268"/>
      <c r="F590" s="268"/>
      <c r="G590" s="268"/>
      <c r="H590" s="268"/>
      <c r="I590" s="268"/>
      <c r="J590" s="268"/>
      <c r="K590" s="268"/>
      <c r="L590" s="268"/>
      <c r="M590" s="268"/>
      <c r="N590" s="268"/>
      <c r="O590" s="268"/>
      <c r="P590" s="268"/>
      <c r="Q590" s="268"/>
      <c r="R590" s="268"/>
      <c r="S590" s="268"/>
      <c r="T590" s="268"/>
      <c r="U590" s="268"/>
      <c r="V590" s="268"/>
      <c r="W590" s="268"/>
      <c r="X590" s="268"/>
      <c r="Y590" s="268"/>
      <c r="Z590" s="268"/>
    </row>
    <row r="591" spans="1:26" ht="12.75" customHeight="1">
      <c r="A591" s="268"/>
      <c r="B591" s="268"/>
      <c r="C591" s="268"/>
      <c r="D591" s="268"/>
      <c r="E591" s="268"/>
      <c r="F591" s="268"/>
      <c r="G591" s="268"/>
      <c r="H591" s="268"/>
      <c r="I591" s="268"/>
      <c r="J591" s="268"/>
      <c r="K591" s="268"/>
      <c r="L591" s="268"/>
      <c r="M591" s="268"/>
      <c r="N591" s="268"/>
      <c r="O591" s="268"/>
      <c r="P591" s="268"/>
      <c r="Q591" s="268"/>
      <c r="R591" s="268"/>
      <c r="S591" s="268"/>
      <c r="T591" s="268"/>
      <c r="U591" s="268"/>
      <c r="V591" s="268"/>
      <c r="W591" s="268"/>
      <c r="X591" s="268"/>
      <c r="Y591" s="268"/>
      <c r="Z591" s="268"/>
    </row>
    <row r="592" spans="1:26" ht="12.75" customHeight="1">
      <c r="A592" s="268"/>
      <c r="B592" s="268"/>
      <c r="C592" s="268"/>
      <c r="D592" s="268"/>
      <c r="E592" s="268"/>
      <c r="F592" s="268"/>
      <c r="G592" s="268"/>
      <c r="H592" s="268"/>
      <c r="I592" s="268"/>
      <c r="J592" s="268"/>
      <c r="K592" s="268"/>
      <c r="L592" s="268"/>
      <c r="M592" s="268"/>
      <c r="N592" s="268"/>
      <c r="O592" s="268"/>
      <c r="P592" s="268"/>
      <c r="Q592" s="268"/>
      <c r="R592" s="268"/>
      <c r="S592" s="268"/>
      <c r="T592" s="268"/>
      <c r="U592" s="268"/>
      <c r="V592" s="268"/>
      <c r="W592" s="268"/>
      <c r="X592" s="268"/>
      <c r="Y592" s="268"/>
      <c r="Z592" s="268"/>
    </row>
    <row r="593" spans="1:26" ht="12.75" customHeight="1">
      <c r="A593" s="268"/>
      <c r="B593" s="268"/>
      <c r="C593" s="268"/>
      <c r="D593" s="268"/>
      <c r="E593" s="268"/>
      <c r="F593" s="268"/>
      <c r="G593" s="268"/>
      <c r="H593" s="268"/>
      <c r="I593" s="268"/>
      <c r="J593" s="268"/>
      <c r="K593" s="268"/>
      <c r="L593" s="268"/>
      <c r="M593" s="268"/>
      <c r="N593" s="268"/>
      <c r="O593" s="268"/>
      <c r="P593" s="268"/>
      <c r="Q593" s="268"/>
      <c r="R593" s="268"/>
      <c r="S593" s="268"/>
      <c r="T593" s="268"/>
      <c r="U593" s="268"/>
      <c r="V593" s="268"/>
      <c r="W593" s="268"/>
      <c r="X593" s="268"/>
      <c r="Y593" s="268"/>
      <c r="Z593" s="268"/>
    </row>
    <row r="594" spans="1:26" ht="12.75" customHeight="1">
      <c r="A594" s="268"/>
      <c r="B594" s="268"/>
      <c r="C594" s="268"/>
      <c r="D594" s="268"/>
      <c r="E594" s="268"/>
      <c r="F594" s="268"/>
      <c r="G594" s="268"/>
      <c r="H594" s="268"/>
      <c r="I594" s="268"/>
      <c r="J594" s="268"/>
      <c r="K594" s="268"/>
      <c r="L594" s="268"/>
      <c r="M594" s="268"/>
      <c r="N594" s="268"/>
      <c r="O594" s="268"/>
      <c r="P594" s="268"/>
      <c r="Q594" s="268"/>
      <c r="R594" s="268"/>
      <c r="S594" s="268"/>
      <c r="T594" s="268"/>
      <c r="U594" s="268"/>
      <c r="V594" s="268"/>
      <c r="W594" s="268"/>
      <c r="X594" s="268"/>
      <c r="Y594" s="268"/>
      <c r="Z594" s="268"/>
    </row>
    <row r="595" spans="1:26" ht="12.75" customHeight="1">
      <c r="A595" s="268"/>
      <c r="B595" s="268"/>
      <c r="C595" s="268"/>
      <c r="D595" s="268"/>
      <c r="E595" s="268"/>
      <c r="F595" s="268"/>
      <c r="G595" s="268"/>
      <c r="H595" s="268"/>
      <c r="I595" s="268"/>
      <c r="J595" s="268"/>
      <c r="K595" s="268"/>
      <c r="L595" s="268"/>
      <c r="M595" s="268"/>
      <c r="N595" s="268"/>
      <c r="O595" s="268"/>
      <c r="P595" s="268"/>
      <c r="Q595" s="268"/>
      <c r="R595" s="268"/>
      <c r="S595" s="268"/>
      <c r="T595" s="268"/>
      <c r="U595" s="268"/>
      <c r="V595" s="268"/>
      <c r="W595" s="268"/>
      <c r="X595" s="268"/>
      <c r="Y595" s="268"/>
      <c r="Z595" s="268"/>
    </row>
    <row r="596" spans="1:26" ht="12.75" customHeight="1">
      <c r="A596" s="268"/>
      <c r="B596" s="268"/>
      <c r="C596" s="268"/>
      <c r="D596" s="268"/>
      <c r="E596" s="268"/>
      <c r="F596" s="268"/>
      <c r="G596" s="268"/>
      <c r="H596" s="268"/>
      <c r="I596" s="268"/>
      <c r="J596" s="268"/>
      <c r="K596" s="268"/>
      <c r="L596" s="268"/>
      <c r="M596" s="268"/>
      <c r="N596" s="268"/>
      <c r="O596" s="268"/>
      <c r="P596" s="268"/>
      <c r="Q596" s="268"/>
      <c r="R596" s="268"/>
      <c r="S596" s="268"/>
      <c r="T596" s="268"/>
      <c r="U596" s="268"/>
      <c r="V596" s="268"/>
      <c r="W596" s="268"/>
      <c r="X596" s="268"/>
      <c r="Y596" s="268"/>
      <c r="Z596" s="268"/>
    </row>
    <row r="597" spans="1:26" ht="12.75" customHeight="1">
      <c r="A597" s="268"/>
      <c r="B597" s="268"/>
      <c r="C597" s="268"/>
      <c r="D597" s="268"/>
      <c r="E597" s="268"/>
      <c r="F597" s="268"/>
      <c r="G597" s="268"/>
      <c r="H597" s="268"/>
      <c r="I597" s="268"/>
      <c r="J597" s="268"/>
      <c r="K597" s="268"/>
      <c r="L597" s="268"/>
      <c r="M597" s="268"/>
      <c r="N597" s="268"/>
      <c r="O597" s="268"/>
      <c r="P597" s="268"/>
      <c r="Q597" s="268"/>
      <c r="R597" s="268"/>
      <c r="S597" s="268"/>
      <c r="T597" s="268"/>
      <c r="U597" s="268"/>
      <c r="V597" s="268"/>
      <c r="W597" s="268"/>
      <c r="X597" s="268"/>
      <c r="Y597" s="268"/>
      <c r="Z597" s="268"/>
    </row>
    <row r="598" spans="1:26" ht="12.75" customHeight="1">
      <c r="A598" s="268"/>
      <c r="B598" s="268"/>
      <c r="C598" s="268"/>
      <c r="D598" s="268"/>
      <c r="E598" s="268"/>
      <c r="F598" s="268"/>
      <c r="G598" s="268"/>
      <c r="H598" s="268"/>
      <c r="I598" s="268"/>
      <c r="J598" s="268"/>
      <c r="K598" s="268"/>
      <c r="L598" s="268"/>
      <c r="M598" s="268"/>
      <c r="N598" s="268"/>
      <c r="O598" s="268"/>
      <c r="P598" s="268"/>
      <c r="Q598" s="268"/>
      <c r="R598" s="268"/>
      <c r="S598" s="268"/>
      <c r="T598" s="268"/>
      <c r="U598" s="268"/>
      <c r="V598" s="268"/>
      <c r="W598" s="268"/>
      <c r="X598" s="268"/>
      <c r="Y598" s="268"/>
      <c r="Z598" s="268"/>
    </row>
    <row r="599" spans="1:26" ht="12.75" customHeight="1">
      <c r="A599" s="268"/>
      <c r="B599" s="268"/>
      <c r="C599" s="268"/>
      <c r="D599" s="268"/>
      <c r="E599" s="268"/>
      <c r="F599" s="268"/>
      <c r="G599" s="268"/>
      <c r="H599" s="268"/>
      <c r="I599" s="268"/>
      <c r="J599" s="268"/>
      <c r="K599" s="268"/>
      <c r="L599" s="268"/>
      <c r="M599" s="268"/>
      <c r="N599" s="268"/>
      <c r="O599" s="268"/>
      <c r="P599" s="268"/>
      <c r="Q599" s="268"/>
      <c r="R599" s="268"/>
      <c r="S599" s="268"/>
      <c r="T599" s="268"/>
      <c r="U599" s="268"/>
      <c r="V599" s="268"/>
      <c r="W599" s="268"/>
      <c r="X599" s="268"/>
      <c r="Y599" s="268"/>
      <c r="Z599" s="268"/>
    </row>
    <row r="600" spans="1:26" ht="12.75" customHeight="1">
      <c r="A600" s="268"/>
      <c r="B600" s="268"/>
      <c r="C600" s="268"/>
      <c r="D600" s="268"/>
      <c r="E600" s="268"/>
      <c r="F600" s="268"/>
      <c r="G600" s="268"/>
      <c r="H600" s="268"/>
      <c r="I600" s="268"/>
      <c r="J600" s="268"/>
      <c r="K600" s="268"/>
      <c r="L600" s="268"/>
      <c r="M600" s="268"/>
      <c r="N600" s="268"/>
      <c r="O600" s="268"/>
      <c r="P600" s="268"/>
      <c r="Q600" s="268"/>
      <c r="R600" s="268"/>
      <c r="S600" s="268"/>
      <c r="T600" s="268"/>
      <c r="U600" s="268"/>
      <c r="V600" s="268"/>
      <c r="W600" s="268"/>
      <c r="X600" s="268"/>
      <c r="Y600" s="268"/>
      <c r="Z600" s="268"/>
    </row>
    <row r="601" spans="1:26" ht="12.75" customHeight="1">
      <c r="A601" s="268"/>
      <c r="B601" s="268"/>
      <c r="C601" s="268"/>
      <c r="D601" s="268"/>
      <c r="E601" s="268"/>
      <c r="F601" s="268"/>
      <c r="G601" s="268"/>
      <c r="H601" s="268"/>
      <c r="I601" s="268"/>
      <c r="J601" s="268"/>
      <c r="K601" s="268"/>
      <c r="L601" s="268"/>
      <c r="M601" s="268"/>
      <c r="N601" s="268"/>
      <c r="O601" s="268"/>
      <c r="P601" s="268"/>
      <c r="Q601" s="268"/>
      <c r="R601" s="268"/>
      <c r="S601" s="268"/>
      <c r="T601" s="268"/>
      <c r="U601" s="268"/>
      <c r="V601" s="268"/>
      <c r="W601" s="268"/>
      <c r="X601" s="268"/>
      <c r="Y601" s="268"/>
      <c r="Z601" s="268"/>
    </row>
    <row r="602" spans="1:26" ht="12.75" customHeight="1">
      <c r="A602" s="268"/>
      <c r="B602" s="268"/>
      <c r="C602" s="268"/>
      <c r="D602" s="268"/>
      <c r="E602" s="268"/>
      <c r="F602" s="268"/>
      <c r="G602" s="268"/>
      <c r="H602" s="268"/>
      <c r="I602" s="268"/>
      <c r="J602" s="268"/>
      <c r="K602" s="268"/>
      <c r="L602" s="268"/>
      <c r="M602" s="268"/>
      <c r="N602" s="268"/>
      <c r="O602" s="268"/>
      <c r="P602" s="268"/>
      <c r="Q602" s="268"/>
      <c r="R602" s="268"/>
      <c r="S602" s="268"/>
      <c r="T602" s="268"/>
      <c r="U602" s="268"/>
      <c r="V602" s="268"/>
      <c r="W602" s="268"/>
      <c r="X602" s="268"/>
      <c r="Y602" s="268"/>
      <c r="Z602" s="268"/>
    </row>
    <row r="603" spans="1:26" ht="12.75" customHeight="1">
      <c r="A603" s="268"/>
      <c r="B603" s="268"/>
      <c r="C603" s="268"/>
      <c r="D603" s="268"/>
      <c r="E603" s="268"/>
      <c r="F603" s="268"/>
      <c r="G603" s="268"/>
      <c r="H603" s="268"/>
      <c r="I603" s="268"/>
      <c r="J603" s="268"/>
      <c r="K603" s="268"/>
      <c r="L603" s="268"/>
      <c r="M603" s="268"/>
      <c r="N603" s="268"/>
      <c r="O603" s="268"/>
      <c r="P603" s="268"/>
      <c r="Q603" s="268"/>
      <c r="R603" s="268"/>
      <c r="S603" s="268"/>
      <c r="T603" s="268"/>
      <c r="U603" s="268"/>
      <c r="V603" s="268"/>
      <c r="W603" s="268"/>
      <c r="X603" s="268"/>
      <c r="Y603" s="268"/>
      <c r="Z603" s="268"/>
    </row>
    <row r="604" spans="1:26" ht="12.75" customHeight="1">
      <c r="A604" s="268"/>
      <c r="B604" s="268"/>
      <c r="C604" s="268"/>
      <c r="D604" s="268"/>
      <c r="E604" s="268"/>
      <c r="F604" s="268"/>
      <c r="G604" s="268"/>
      <c r="H604" s="268"/>
      <c r="I604" s="268"/>
      <c r="J604" s="268"/>
      <c r="K604" s="268"/>
      <c r="L604" s="268"/>
      <c r="M604" s="268"/>
      <c r="N604" s="268"/>
      <c r="O604" s="268"/>
      <c r="P604" s="268"/>
      <c r="Q604" s="268"/>
      <c r="R604" s="268"/>
      <c r="S604" s="268"/>
      <c r="T604" s="268"/>
      <c r="U604" s="268"/>
      <c r="V604" s="268"/>
      <c r="W604" s="268"/>
      <c r="X604" s="268"/>
      <c r="Y604" s="268"/>
      <c r="Z604" s="268"/>
    </row>
    <row r="605" spans="1:26" ht="12.75" customHeight="1">
      <c r="A605" s="268"/>
      <c r="B605" s="268"/>
      <c r="C605" s="268"/>
      <c r="D605" s="268"/>
      <c r="E605" s="268"/>
      <c r="F605" s="268"/>
      <c r="G605" s="268"/>
      <c r="H605" s="268"/>
      <c r="I605" s="268"/>
      <c r="J605" s="268"/>
      <c r="K605" s="268"/>
      <c r="L605" s="268"/>
      <c r="M605" s="268"/>
      <c r="N605" s="268"/>
      <c r="O605" s="268"/>
      <c r="P605" s="268"/>
      <c r="Q605" s="268"/>
      <c r="R605" s="268"/>
      <c r="S605" s="268"/>
      <c r="T605" s="268"/>
      <c r="U605" s="268"/>
      <c r="V605" s="268"/>
      <c r="W605" s="268"/>
      <c r="X605" s="268"/>
      <c r="Y605" s="268"/>
      <c r="Z605" s="268"/>
    </row>
    <row r="606" spans="1:26" ht="12.75" customHeight="1">
      <c r="A606" s="268"/>
      <c r="B606" s="268"/>
      <c r="C606" s="268"/>
      <c r="D606" s="268"/>
      <c r="E606" s="268"/>
      <c r="F606" s="268"/>
      <c r="G606" s="268"/>
      <c r="H606" s="268"/>
      <c r="I606" s="268"/>
      <c r="J606" s="268"/>
      <c r="K606" s="268"/>
      <c r="L606" s="268"/>
      <c r="M606" s="268"/>
      <c r="N606" s="268"/>
      <c r="O606" s="268"/>
      <c r="P606" s="268"/>
      <c r="Q606" s="268"/>
      <c r="R606" s="268"/>
      <c r="S606" s="268"/>
      <c r="T606" s="268"/>
      <c r="U606" s="268"/>
      <c r="V606" s="268"/>
      <c r="W606" s="268"/>
      <c r="X606" s="268"/>
      <c r="Y606" s="268"/>
      <c r="Z606" s="268"/>
    </row>
    <row r="607" spans="1:26" ht="12.75" customHeight="1">
      <c r="A607" s="268"/>
      <c r="B607" s="268"/>
      <c r="C607" s="268"/>
      <c r="D607" s="268"/>
      <c r="E607" s="268"/>
      <c r="F607" s="268"/>
      <c r="G607" s="268"/>
      <c r="H607" s="268"/>
      <c r="I607" s="268"/>
      <c r="J607" s="268"/>
      <c r="K607" s="268"/>
      <c r="L607" s="268"/>
      <c r="M607" s="268"/>
      <c r="N607" s="268"/>
      <c r="O607" s="268"/>
      <c r="P607" s="268"/>
      <c r="Q607" s="268"/>
      <c r="R607" s="268"/>
      <c r="S607" s="268"/>
      <c r="T607" s="268"/>
      <c r="U607" s="268"/>
      <c r="V607" s="268"/>
      <c r="W607" s="268"/>
      <c r="X607" s="268"/>
      <c r="Y607" s="268"/>
      <c r="Z607" s="268"/>
    </row>
    <row r="608" spans="1:26" ht="12.75" customHeight="1">
      <c r="A608" s="268"/>
      <c r="B608" s="268"/>
      <c r="C608" s="268"/>
      <c r="D608" s="268"/>
      <c r="E608" s="268"/>
      <c r="F608" s="268"/>
      <c r="G608" s="268"/>
      <c r="H608" s="268"/>
      <c r="I608" s="268"/>
      <c r="J608" s="268"/>
      <c r="K608" s="268"/>
      <c r="L608" s="268"/>
      <c r="M608" s="268"/>
      <c r="N608" s="268"/>
      <c r="O608" s="268"/>
      <c r="P608" s="268"/>
      <c r="Q608" s="268"/>
      <c r="R608" s="268"/>
      <c r="S608" s="268"/>
      <c r="T608" s="268"/>
      <c r="U608" s="268"/>
      <c r="V608" s="268"/>
      <c r="W608" s="268"/>
      <c r="X608" s="268"/>
      <c r="Y608" s="268"/>
      <c r="Z608" s="268"/>
    </row>
    <row r="609" spans="1:26" ht="12.75" customHeight="1">
      <c r="A609" s="268"/>
      <c r="B609" s="268"/>
      <c r="C609" s="268"/>
      <c r="D609" s="268"/>
      <c r="E609" s="268"/>
      <c r="F609" s="268"/>
      <c r="G609" s="268"/>
      <c r="H609" s="268"/>
      <c r="I609" s="268"/>
      <c r="J609" s="268"/>
      <c r="K609" s="268"/>
      <c r="L609" s="268"/>
      <c r="M609" s="268"/>
      <c r="N609" s="268"/>
      <c r="O609" s="268"/>
      <c r="P609" s="268"/>
      <c r="Q609" s="268"/>
      <c r="R609" s="268"/>
      <c r="S609" s="268"/>
      <c r="T609" s="268"/>
      <c r="U609" s="268"/>
      <c r="V609" s="268"/>
      <c r="W609" s="268"/>
      <c r="X609" s="268"/>
      <c r="Y609" s="268"/>
      <c r="Z609" s="268"/>
    </row>
    <row r="610" spans="1:26" ht="12.75" customHeight="1">
      <c r="A610" s="268"/>
      <c r="B610" s="268"/>
      <c r="C610" s="268"/>
      <c r="D610" s="268"/>
      <c r="E610" s="268"/>
      <c r="F610" s="268"/>
      <c r="G610" s="268"/>
      <c r="H610" s="268"/>
      <c r="I610" s="268"/>
      <c r="J610" s="268"/>
      <c r="K610" s="268"/>
      <c r="L610" s="268"/>
      <c r="M610" s="268"/>
      <c r="N610" s="268"/>
      <c r="O610" s="268"/>
      <c r="P610" s="268"/>
      <c r="Q610" s="268"/>
      <c r="R610" s="268"/>
      <c r="S610" s="268"/>
      <c r="T610" s="268"/>
      <c r="U610" s="268"/>
      <c r="V610" s="268"/>
      <c r="W610" s="268"/>
      <c r="X610" s="268"/>
      <c r="Y610" s="268"/>
      <c r="Z610" s="268"/>
    </row>
    <row r="611" spans="1:26" ht="12.75" customHeight="1">
      <c r="A611" s="268"/>
      <c r="B611" s="268"/>
      <c r="C611" s="268"/>
      <c r="D611" s="268"/>
      <c r="E611" s="268"/>
      <c r="F611" s="268"/>
      <c r="G611" s="268"/>
      <c r="H611" s="268"/>
      <c r="I611" s="268"/>
      <c r="J611" s="268"/>
      <c r="K611" s="268"/>
      <c r="L611" s="268"/>
      <c r="M611" s="268"/>
      <c r="N611" s="268"/>
      <c r="O611" s="268"/>
      <c r="P611" s="268"/>
      <c r="Q611" s="268"/>
      <c r="R611" s="268"/>
      <c r="S611" s="268"/>
      <c r="T611" s="268"/>
      <c r="U611" s="268"/>
      <c r="V611" s="268"/>
      <c r="W611" s="268"/>
      <c r="X611" s="268"/>
      <c r="Y611" s="268"/>
      <c r="Z611" s="268"/>
    </row>
    <row r="612" spans="1:26" ht="12.75" customHeight="1">
      <c r="A612" s="268"/>
      <c r="B612" s="268"/>
      <c r="C612" s="268"/>
      <c r="D612" s="268"/>
      <c r="E612" s="268"/>
      <c r="F612" s="268"/>
      <c r="G612" s="268"/>
      <c r="H612" s="268"/>
      <c r="I612" s="268"/>
      <c r="J612" s="268"/>
      <c r="K612" s="268"/>
      <c r="L612" s="268"/>
      <c r="M612" s="268"/>
      <c r="N612" s="268"/>
      <c r="O612" s="268"/>
      <c r="P612" s="268"/>
      <c r="Q612" s="268"/>
      <c r="R612" s="268"/>
      <c r="S612" s="268"/>
      <c r="T612" s="268"/>
      <c r="U612" s="268"/>
      <c r="V612" s="268"/>
      <c r="W612" s="268"/>
      <c r="X612" s="268"/>
      <c r="Y612" s="268"/>
      <c r="Z612" s="268"/>
    </row>
    <row r="613" spans="1:26" ht="12.75" customHeight="1">
      <c r="A613" s="268"/>
      <c r="B613" s="268"/>
      <c r="C613" s="268"/>
      <c r="D613" s="268"/>
      <c r="E613" s="268"/>
      <c r="F613" s="268"/>
      <c r="G613" s="268"/>
      <c r="H613" s="268"/>
      <c r="I613" s="268"/>
      <c r="J613" s="268"/>
      <c r="K613" s="268"/>
      <c r="L613" s="268"/>
      <c r="M613" s="268"/>
      <c r="N613" s="268"/>
      <c r="O613" s="268"/>
      <c r="P613" s="268"/>
      <c r="Q613" s="268"/>
      <c r="R613" s="268"/>
      <c r="S613" s="268"/>
      <c r="T613" s="268"/>
      <c r="U613" s="268"/>
      <c r="V613" s="268"/>
      <c r="W613" s="268"/>
      <c r="X613" s="268"/>
      <c r="Y613" s="268"/>
      <c r="Z613" s="268"/>
    </row>
    <row r="614" spans="1:26" ht="12.75" customHeight="1">
      <c r="A614" s="268"/>
      <c r="B614" s="268"/>
      <c r="C614" s="268"/>
      <c r="D614" s="268"/>
      <c r="E614" s="268"/>
      <c r="F614" s="268"/>
      <c r="G614" s="268"/>
      <c r="H614" s="268"/>
      <c r="I614" s="268"/>
      <c r="J614" s="268"/>
      <c r="K614" s="268"/>
      <c r="L614" s="268"/>
      <c r="M614" s="268"/>
      <c r="N614" s="268"/>
      <c r="O614" s="268"/>
      <c r="P614" s="268"/>
      <c r="Q614" s="268"/>
      <c r="R614" s="268"/>
      <c r="S614" s="268"/>
      <c r="T614" s="268"/>
      <c r="U614" s="268"/>
      <c r="V614" s="268"/>
      <c r="W614" s="268"/>
      <c r="X614" s="268"/>
      <c r="Y614" s="268"/>
      <c r="Z614" s="268"/>
    </row>
    <row r="615" spans="1:26" ht="12.75" customHeight="1">
      <c r="A615" s="268"/>
      <c r="B615" s="268"/>
      <c r="C615" s="268"/>
      <c r="D615" s="268"/>
      <c r="E615" s="268"/>
      <c r="F615" s="268"/>
      <c r="G615" s="268"/>
      <c r="H615" s="268"/>
      <c r="I615" s="268"/>
      <c r="J615" s="268"/>
      <c r="K615" s="268"/>
      <c r="L615" s="268"/>
      <c r="M615" s="268"/>
      <c r="N615" s="268"/>
      <c r="O615" s="268"/>
      <c r="P615" s="268"/>
      <c r="Q615" s="268"/>
      <c r="R615" s="268"/>
      <c r="S615" s="268"/>
      <c r="T615" s="268"/>
      <c r="U615" s="268"/>
      <c r="V615" s="268"/>
      <c r="W615" s="268"/>
      <c r="X615" s="268"/>
      <c r="Y615" s="268"/>
      <c r="Z615" s="268"/>
    </row>
    <row r="616" spans="1:26" ht="12.75" customHeight="1">
      <c r="A616" s="268"/>
      <c r="B616" s="268"/>
      <c r="C616" s="268"/>
      <c r="D616" s="268"/>
      <c r="E616" s="268"/>
      <c r="F616" s="268"/>
      <c r="G616" s="268"/>
      <c r="H616" s="268"/>
      <c r="I616" s="268"/>
      <c r="J616" s="268"/>
      <c r="K616" s="268"/>
      <c r="L616" s="268"/>
      <c r="M616" s="268"/>
      <c r="N616" s="268"/>
      <c r="O616" s="268"/>
      <c r="P616" s="268"/>
      <c r="Q616" s="268"/>
      <c r="R616" s="268"/>
      <c r="S616" s="268"/>
      <c r="T616" s="268"/>
      <c r="U616" s="268"/>
      <c r="V616" s="268"/>
      <c r="W616" s="268"/>
      <c r="X616" s="268"/>
      <c r="Y616" s="268"/>
      <c r="Z616" s="268"/>
    </row>
    <row r="617" spans="1:26" ht="12.75" customHeight="1">
      <c r="A617" s="268"/>
      <c r="B617" s="268"/>
      <c r="C617" s="268"/>
      <c r="D617" s="268"/>
      <c r="E617" s="268"/>
      <c r="F617" s="268"/>
      <c r="G617" s="268"/>
      <c r="H617" s="268"/>
      <c r="I617" s="268"/>
      <c r="J617" s="268"/>
      <c r="K617" s="268"/>
      <c r="L617" s="268"/>
      <c r="M617" s="268"/>
      <c r="N617" s="268"/>
      <c r="O617" s="268"/>
      <c r="P617" s="268"/>
      <c r="Q617" s="268"/>
      <c r="R617" s="268"/>
      <c r="S617" s="268"/>
      <c r="T617" s="268"/>
      <c r="U617" s="268"/>
      <c r="V617" s="268"/>
      <c r="W617" s="268"/>
      <c r="X617" s="268"/>
      <c r="Y617" s="268"/>
      <c r="Z617" s="268"/>
    </row>
    <row r="618" spans="1:26" ht="12.75" customHeight="1">
      <c r="A618" s="268"/>
      <c r="B618" s="268"/>
      <c r="C618" s="268"/>
      <c r="D618" s="268"/>
      <c r="E618" s="268"/>
      <c r="F618" s="268"/>
      <c r="G618" s="268"/>
      <c r="H618" s="268"/>
      <c r="I618" s="268"/>
      <c r="J618" s="268"/>
      <c r="K618" s="268"/>
      <c r="L618" s="268"/>
      <c r="M618" s="268"/>
      <c r="N618" s="268"/>
      <c r="O618" s="268"/>
      <c r="P618" s="268"/>
      <c r="Q618" s="268"/>
      <c r="R618" s="268"/>
      <c r="S618" s="268"/>
      <c r="T618" s="268"/>
      <c r="U618" s="268"/>
      <c r="V618" s="268"/>
      <c r="W618" s="268"/>
      <c r="X618" s="268"/>
      <c r="Y618" s="268"/>
      <c r="Z618" s="268"/>
    </row>
    <row r="619" spans="1:26" ht="12.75" customHeight="1">
      <c r="A619" s="268"/>
      <c r="B619" s="268"/>
      <c r="C619" s="268"/>
      <c r="D619" s="268"/>
      <c r="E619" s="268"/>
      <c r="F619" s="268"/>
      <c r="G619" s="268"/>
      <c r="H619" s="268"/>
      <c r="I619" s="268"/>
      <c r="J619" s="268"/>
      <c r="K619" s="268"/>
      <c r="L619" s="268"/>
      <c r="M619" s="268"/>
      <c r="N619" s="268"/>
      <c r="O619" s="268"/>
      <c r="P619" s="268"/>
      <c r="Q619" s="268"/>
      <c r="R619" s="268"/>
      <c r="S619" s="268"/>
      <c r="T619" s="268"/>
      <c r="U619" s="268"/>
      <c r="V619" s="268"/>
      <c r="W619" s="268"/>
      <c r="X619" s="268"/>
      <c r="Y619" s="268"/>
      <c r="Z619" s="268"/>
    </row>
    <row r="620" spans="1:26" ht="12.75" customHeight="1">
      <c r="A620" s="268"/>
      <c r="B620" s="268"/>
      <c r="C620" s="268"/>
      <c r="D620" s="268"/>
      <c r="E620" s="268"/>
      <c r="F620" s="268"/>
      <c r="G620" s="268"/>
      <c r="H620" s="268"/>
      <c r="I620" s="268"/>
      <c r="J620" s="268"/>
      <c r="K620" s="268"/>
      <c r="L620" s="268"/>
      <c r="M620" s="268"/>
      <c r="N620" s="268"/>
      <c r="O620" s="268"/>
      <c r="P620" s="268"/>
      <c r="Q620" s="268"/>
      <c r="R620" s="268"/>
      <c r="S620" s="268"/>
      <c r="T620" s="268"/>
      <c r="U620" s="268"/>
      <c r="V620" s="268"/>
      <c r="W620" s="268"/>
      <c r="X620" s="268"/>
      <c r="Y620" s="268"/>
      <c r="Z620" s="268"/>
    </row>
    <row r="621" spans="1:26" ht="12.75" customHeight="1">
      <c r="A621" s="268"/>
      <c r="B621" s="268"/>
      <c r="C621" s="268"/>
      <c r="D621" s="268"/>
      <c r="E621" s="268"/>
      <c r="F621" s="268"/>
      <c r="G621" s="268"/>
      <c r="H621" s="268"/>
      <c r="I621" s="268"/>
      <c r="J621" s="268"/>
      <c r="K621" s="268"/>
      <c r="L621" s="268"/>
      <c r="M621" s="268"/>
      <c r="N621" s="268"/>
      <c r="O621" s="268"/>
      <c r="P621" s="268"/>
      <c r="Q621" s="268"/>
      <c r="R621" s="268"/>
      <c r="S621" s="268"/>
      <c r="T621" s="268"/>
      <c r="U621" s="268"/>
      <c r="V621" s="268"/>
      <c r="W621" s="268"/>
      <c r="X621" s="268"/>
      <c r="Y621" s="268"/>
      <c r="Z621" s="268"/>
    </row>
    <row r="622" spans="1:26" ht="12.75" customHeight="1">
      <c r="A622" s="268"/>
      <c r="B622" s="268"/>
      <c r="C622" s="268"/>
      <c r="D622" s="268"/>
      <c r="E622" s="268"/>
      <c r="F622" s="268"/>
      <c r="G622" s="268"/>
      <c r="H622" s="268"/>
      <c r="I622" s="268"/>
      <c r="J622" s="268"/>
      <c r="K622" s="268"/>
      <c r="L622" s="268"/>
      <c r="M622" s="268"/>
      <c r="N622" s="268"/>
      <c r="O622" s="268"/>
      <c r="P622" s="268"/>
      <c r="Q622" s="268"/>
      <c r="R622" s="268"/>
      <c r="S622" s="268"/>
      <c r="T622" s="268"/>
      <c r="U622" s="268"/>
      <c r="V622" s="268"/>
      <c r="W622" s="268"/>
      <c r="X622" s="268"/>
      <c r="Y622" s="268"/>
      <c r="Z622" s="268"/>
    </row>
    <row r="623" spans="1:26" ht="12.75" customHeight="1">
      <c r="A623" s="268"/>
      <c r="B623" s="268"/>
      <c r="C623" s="268"/>
      <c r="D623" s="268"/>
      <c r="E623" s="268"/>
      <c r="F623" s="268"/>
      <c r="G623" s="268"/>
      <c r="H623" s="268"/>
      <c r="I623" s="268"/>
      <c r="J623" s="268"/>
      <c r="K623" s="268"/>
      <c r="L623" s="268"/>
      <c r="M623" s="268"/>
      <c r="N623" s="268"/>
      <c r="O623" s="268"/>
      <c r="P623" s="268"/>
      <c r="Q623" s="268"/>
      <c r="R623" s="268"/>
      <c r="S623" s="268"/>
      <c r="T623" s="268"/>
      <c r="U623" s="268"/>
      <c r="V623" s="268"/>
      <c r="W623" s="268"/>
      <c r="X623" s="268"/>
      <c r="Y623" s="268"/>
      <c r="Z623" s="268"/>
    </row>
    <row r="624" spans="1:26" ht="12.75" customHeight="1">
      <c r="A624" s="268"/>
      <c r="B624" s="268"/>
      <c r="C624" s="268"/>
      <c r="D624" s="268"/>
      <c r="E624" s="268"/>
      <c r="F624" s="268"/>
      <c r="G624" s="268"/>
      <c r="H624" s="268"/>
      <c r="I624" s="268"/>
      <c r="J624" s="268"/>
      <c r="K624" s="268"/>
      <c r="L624" s="268"/>
      <c r="M624" s="268"/>
      <c r="N624" s="268"/>
      <c r="O624" s="268"/>
      <c r="P624" s="268"/>
      <c r="Q624" s="268"/>
      <c r="R624" s="268"/>
      <c r="S624" s="268"/>
      <c r="T624" s="268"/>
      <c r="U624" s="268"/>
      <c r="V624" s="268"/>
      <c r="W624" s="268"/>
      <c r="X624" s="268"/>
      <c r="Y624" s="268"/>
      <c r="Z624" s="268"/>
    </row>
    <row r="625" spans="1:26" ht="12.75" customHeight="1">
      <c r="A625" s="268"/>
      <c r="B625" s="268"/>
      <c r="C625" s="268"/>
      <c r="D625" s="268"/>
      <c r="E625" s="268"/>
      <c r="F625" s="268"/>
      <c r="G625" s="268"/>
      <c r="H625" s="268"/>
      <c r="I625" s="268"/>
      <c r="J625" s="268"/>
      <c r="K625" s="268"/>
      <c r="L625" s="268"/>
      <c r="M625" s="268"/>
      <c r="N625" s="268"/>
      <c r="O625" s="268"/>
      <c r="P625" s="268"/>
      <c r="Q625" s="268"/>
      <c r="R625" s="268"/>
      <c r="S625" s="268"/>
      <c r="T625" s="268"/>
      <c r="U625" s="268"/>
      <c r="V625" s="268"/>
      <c r="W625" s="268"/>
      <c r="X625" s="268"/>
      <c r="Y625" s="268"/>
      <c r="Z625" s="268"/>
    </row>
    <row r="626" spans="1:26" ht="12.75" customHeight="1">
      <c r="A626" s="268"/>
      <c r="B626" s="268"/>
      <c r="C626" s="268"/>
      <c r="D626" s="268"/>
      <c r="E626" s="268"/>
      <c r="F626" s="268"/>
      <c r="G626" s="268"/>
      <c r="H626" s="268"/>
      <c r="I626" s="268"/>
      <c r="J626" s="268"/>
      <c r="K626" s="268"/>
      <c r="L626" s="268"/>
      <c r="M626" s="268"/>
      <c r="N626" s="268"/>
      <c r="O626" s="268"/>
      <c r="P626" s="268"/>
      <c r="Q626" s="268"/>
      <c r="R626" s="268"/>
      <c r="S626" s="268"/>
      <c r="T626" s="268"/>
      <c r="U626" s="268"/>
      <c r="V626" s="268"/>
      <c r="W626" s="268"/>
      <c r="X626" s="268"/>
      <c r="Y626" s="268"/>
      <c r="Z626" s="268"/>
    </row>
    <row r="627" spans="1:26" ht="12.75" customHeight="1">
      <c r="A627" s="268"/>
      <c r="B627" s="268"/>
      <c r="C627" s="268"/>
      <c r="D627" s="268"/>
      <c r="E627" s="268"/>
      <c r="F627" s="268"/>
      <c r="G627" s="268"/>
      <c r="H627" s="268"/>
      <c r="I627" s="268"/>
      <c r="J627" s="268"/>
      <c r="K627" s="268"/>
      <c r="L627" s="268"/>
      <c r="M627" s="268"/>
      <c r="N627" s="268"/>
      <c r="O627" s="268"/>
      <c r="P627" s="268"/>
      <c r="Q627" s="268"/>
      <c r="R627" s="268"/>
      <c r="S627" s="268"/>
      <c r="T627" s="268"/>
      <c r="U627" s="268"/>
      <c r="V627" s="268"/>
      <c r="W627" s="268"/>
      <c r="X627" s="268"/>
      <c r="Y627" s="268"/>
      <c r="Z627" s="268"/>
    </row>
    <row r="628" spans="1:26" ht="12.75" customHeight="1">
      <c r="A628" s="268"/>
      <c r="B628" s="268"/>
      <c r="C628" s="268"/>
      <c r="D628" s="268"/>
      <c r="E628" s="268"/>
      <c r="F628" s="268"/>
      <c r="G628" s="268"/>
      <c r="H628" s="268"/>
      <c r="I628" s="268"/>
      <c r="J628" s="268"/>
      <c r="K628" s="268"/>
      <c r="L628" s="268"/>
      <c r="M628" s="268"/>
      <c r="N628" s="268"/>
      <c r="O628" s="268"/>
      <c r="P628" s="268"/>
      <c r="Q628" s="268"/>
      <c r="R628" s="268"/>
      <c r="S628" s="268"/>
      <c r="T628" s="268"/>
      <c r="U628" s="268"/>
      <c r="V628" s="268"/>
      <c r="W628" s="268"/>
      <c r="X628" s="268"/>
      <c r="Y628" s="268"/>
      <c r="Z628" s="268"/>
    </row>
    <row r="629" spans="1:26" ht="12.75" customHeight="1">
      <c r="A629" s="268"/>
      <c r="B629" s="268"/>
      <c r="C629" s="268"/>
      <c r="D629" s="268"/>
      <c r="E629" s="268"/>
      <c r="F629" s="268"/>
      <c r="G629" s="268"/>
      <c r="H629" s="268"/>
      <c r="I629" s="268"/>
      <c r="J629" s="268"/>
      <c r="K629" s="268"/>
      <c r="L629" s="268"/>
      <c r="M629" s="268"/>
      <c r="N629" s="268"/>
      <c r="O629" s="268"/>
      <c r="P629" s="268"/>
      <c r="Q629" s="268"/>
      <c r="R629" s="268"/>
      <c r="S629" s="268"/>
      <c r="T629" s="268"/>
      <c r="U629" s="268"/>
      <c r="V629" s="268"/>
      <c r="W629" s="268"/>
      <c r="X629" s="268"/>
      <c r="Y629" s="268"/>
      <c r="Z629" s="268"/>
    </row>
    <row r="630" spans="1:26" ht="12.75" customHeight="1">
      <c r="A630" s="268"/>
      <c r="B630" s="268"/>
      <c r="C630" s="268"/>
      <c r="D630" s="268"/>
      <c r="E630" s="268"/>
      <c r="F630" s="268"/>
      <c r="G630" s="268"/>
      <c r="H630" s="268"/>
      <c r="I630" s="268"/>
      <c r="J630" s="268"/>
      <c r="K630" s="268"/>
      <c r="L630" s="268"/>
      <c r="M630" s="268"/>
      <c r="N630" s="268"/>
      <c r="O630" s="268"/>
      <c r="P630" s="268"/>
      <c r="Q630" s="268"/>
      <c r="R630" s="268"/>
      <c r="S630" s="268"/>
      <c r="T630" s="268"/>
      <c r="U630" s="268"/>
      <c r="V630" s="268"/>
      <c r="W630" s="268"/>
      <c r="X630" s="268"/>
      <c r="Y630" s="268"/>
      <c r="Z630" s="268"/>
    </row>
    <row r="631" spans="1:26" ht="12.75" customHeight="1">
      <c r="A631" s="268"/>
      <c r="B631" s="268"/>
      <c r="C631" s="268"/>
      <c r="D631" s="268"/>
      <c r="E631" s="268"/>
      <c r="F631" s="268"/>
      <c r="G631" s="268"/>
      <c r="H631" s="268"/>
      <c r="I631" s="268"/>
      <c r="J631" s="268"/>
      <c r="K631" s="268"/>
      <c r="L631" s="268"/>
      <c r="M631" s="268"/>
      <c r="N631" s="268"/>
      <c r="O631" s="268"/>
      <c r="P631" s="268"/>
      <c r="Q631" s="268"/>
      <c r="R631" s="268"/>
      <c r="S631" s="268"/>
      <c r="T631" s="268"/>
      <c r="U631" s="268"/>
      <c r="V631" s="268"/>
      <c r="W631" s="268"/>
      <c r="X631" s="268"/>
      <c r="Y631" s="268"/>
      <c r="Z631" s="268"/>
    </row>
    <row r="632" spans="1:26" ht="12.75" customHeight="1">
      <c r="A632" s="268"/>
      <c r="B632" s="268"/>
      <c r="C632" s="268"/>
      <c r="D632" s="268"/>
      <c r="E632" s="268"/>
      <c r="F632" s="268"/>
      <c r="G632" s="268"/>
      <c r="H632" s="268"/>
      <c r="I632" s="268"/>
      <c r="J632" s="268"/>
      <c r="K632" s="268"/>
      <c r="L632" s="268"/>
      <c r="M632" s="268"/>
      <c r="N632" s="268"/>
      <c r="O632" s="268"/>
      <c r="P632" s="268"/>
      <c r="Q632" s="268"/>
      <c r="R632" s="268"/>
      <c r="S632" s="268"/>
      <c r="T632" s="268"/>
      <c r="U632" s="268"/>
      <c r="V632" s="268"/>
      <c r="W632" s="268"/>
      <c r="X632" s="268"/>
      <c r="Y632" s="268"/>
      <c r="Z632" s="268"/>
    </row>
    <row r="633" spans="1:26" ht="12.75" customHeight="1">
      <c r="A633" s="268"/>
      <c r="B633" s="268"/>
      <c r="C633" s="268"/>
      <c r="D633" s="268"/>
      <c r="E633" s="268"/>
      <c r="F633" s="268"/>
      <c r="G633" s="268"/>
      <c r="H633" s="268"/>
      <c r="I633" s="268"/>
      <c r="J633" s="268"/>
      <c r="K633" s="268"/>
      <c r="L633" s="268"/>
      <c r="M633" s="268"/>
      <c r="N633" s="268"/>
      <c r="O633" s="268"/>
      <c r="P633" s="268"/>
      <c r="Q633" s="268"/>
      <c r="R633" s="268"/>
      <c r="S633" s="268"/>
      <c r="T633" s="268"/>
      <c r="U633" s="268"/>
      <c r="V633" s="268"/>
      <c r="W633" s="268"/>
      <c r="X633" s="268"/>
      <c r="Y633" s="268"/>
      <c r="Z633" s="268"/>
    </row>
    <row r="634" spans="1:26" ht="12.75" customHeight="1">
      <c r="A634" s="268"/>
      <c r="B634" s="268"/>
      <c r="C634" s="268"/>
      <c r="D634" s="268"/>
      <c r="E634" s="268"/>
      <c r="F634" s="268"/>
      <c r="G634" s="268"/>
      <c r="H634" s="268"/>
      <c r="I634" s="268"/>
      <c r="J634" s="268"/>
      <c r="K634" s="268"/>
      <c r="L634" s="268"/>
      <c r="M634" s="268"/>
      <c r="N634" s="268"/>
      <c r="O634" s="268"/>
      <c r="P634" s="268"/>
      <c r="Q634" s="268"/>
      <c r="R634" s="268"/>
      <c r="S634" s="268"/>
      <c r="T634" s="268"/>
      <c r="U634" s="268"/>
      <c r="V634" s="268"/>
      <c r="W634" s="268"/>
      <c r="X634" s="268"/>
      <c r="Y634" s="268"/>
      <c r="Z634" s="268"/>
    </row>
    <row r="635" spans="1:26" ht="12.75" customHeight="1">
      <c r="A635" s="268"/>
      <c r="B635" s="268"/>
      <c r="C635" s="268"/>
      <c r="D635" s="268"/>
      <c r="E635" s="268"/>
      <c r="F635" s="268"/>
      <c r="G635" s="268"/>
      <c r="H635" s="268"/>
      <c r="I635" s="268"/>
      <c r="J635" s="268"/>
      <c r="K635" s="268"/>
      <c r="L635" s="268"/>
      <c r="M635" s="268"/>
      <c r="N635" s="268"/>
      <c r="O635" s="268"/>
      <c r="P635" s="268"/>
      <c r="Q635" s="268"/>
      <c r="R635" s="268"/>
      <c r="S635" s="268"/>
      <c r="T635" s="268"/>
      <c r="U635" s="268"/>
      <c r="V635" s="268"/>
      <c r="W635" s="268"/>
      <c r="X635" s="268"/>
      <c r="Y635" s="268"/>
      <c r="Z635" s="268"/>
    </row>
    <row r="636" spans="1:26" ht="12.75" customHeight="1">
      <c r="A636" s="268"/>
      <c r="B636" s="268"/>
      <c r="C636" s="268"/>
      <c r="D636" s="268"/>
      <c r="E636" s="268"/>
      <c r="F636" s="268"/>
      <c r="G636" s="268"/>
      <c r="H636" s="268"/>
      <c r="I636" s="268"/>
      <c r="J636" s="268"/>
      <c r="K636" s="268"/>
      <c r="L636" s="268"/>
      <c r="M636" s="268"/>
      <c r="N636" s="268"/>
      <c r="O636" s="268"/>
      <c r="P636" s="268"/>
      <c r="Q636" s="268"/>
      <c r="R636" s="268"/>
      <c r="S636" s="268"/>
      <c r="T636" s="268"/>
      <c r="U636" s="268"/>
      <c r="V636" s="268"/>
      <c r="W636" s="268"/>
      <c r="X636" s="268"/>
      <c r="Y636" s="268"/>
      <c r="Z636" s="268"/>
    </row>
    <row r="637" spans="1:26" ht="12.75" customHeight="1">
      <c r="A637" s="268"/>
      <c r="B637" s="268"/>
      <c r="C637" s="268"/>
      <c r="D637" s="268"/>
      <c r="E637" s="268"/>
      <c r="F637" s="268"/>
      <c r="G637" s="268"/>
      <c r="H637" s="268"/>
      <c r="I637" s="268"/>
      <c r="J637" s="268"/>
      <c r="K637" s="268"/>
      <c r="L637" s="268"/>
      <c r="M637" s="268"/>
      <c r="N637" s="268"/>
      <c r="O637" s="268"/>
      <c r="P637" s="268"/>
      <c r="Q637" s="268"/>
      <c r="R637" s="268"/>
      <c r="S637" s="268"/>
      <c r="T637" s="268"/>
      <c r="U637" s="268"/>
      <c r="V637" s="268"/>
      <c r="W637" s="268"/>
      <c r="X637" s="268"/>
      <c r="Y637" s="268"/>
      <c r="Z637" s="268"/>
    </row>
    <row r="638" spans="1:26" ht="12.75" customHeight="1">
      <c r="A638" s="268"/>
      <c r="B638" s="268"/>
      <c r="C638" s="268"/>
      <c r="D638" s="268"/>
      <c r="E638" s="268"/>
      <c r="F638" s="268"/>
      <c r="G638" s="268"/>
      <c r="H638" s="268"/>
      <c r="I638" s="268"/>
      <c r="J638" s="268"/>
      <c r="K638" s="268"/>
      <c r="L638" s="268"/>
      <c r="M638" s="268"/>
      <c r="N638" s="268"/>
      <c r="O638" s="268"/>
      <c r="P638" s="268"/>
      <c r="Q638" s="268"/>
      <c r="R638" s="268"/>
      <c r="S638" s="268"/>
      <c r="T638" s="268"/>
      <c r="U638" s="268"/>
      <c r="V638" s="268"/>
      <c r="W638" s="268"/>
      <c r="X638" s="268"/>
      <c r="Y638" s="268"/>
      <c r="Z638" s="268"/>
    </row>
    <row r="639" spans="1:26" ht="12.75" customHeight="1">
      <c r="A639" s="268"/>
      <c r="B639" s="268"/>
      <c r="C639" s="268"/>
      <c r="D639" s="268"/>
      <c r="E639" s="268"/>
      <c r="F639" s="268"/>
      <c r="G639" s="268"/>
      <c r="H639" s="268"/>
      <c r="I639" s="268"/>
      <c r="J639" s="268"/>
      <c r="K639" s="268"/>
      <c r="L639" s="268"/>
      <c r="M639" s="268"/>
      <c r="N639" s="268"/>
      <c r="O639" s="268"/>
      <c r="P639" s="268"/>
      <c r="Q639" s="268"/>
      <c r="R639" s="268"/>
      <c r="S639" s="268"/>
      <c r="T639" s="268"/>
      <c r="U639" s="268"/>
      <c r="V639" s="268"/>
      <c r="W639" s="268"/>
      <c r="X639" s="268"/>
      <c r="Y639" s="268"/>
      <c r="Z639" s="268"/>
    </row>
    <row r="640" spans="1:26" ht="12.75" customHeight="1">
      <c r="A640" s="268"/>
      <c r="B640" s="268"/>
      <c r="C640" s="268"/>
      <c r="D640" s="268"/>
      <c r="E640" s="268"/>
      <c r="F640" s="268"/>
      <c r="G640" s="268"/>
      <c r="H640" s="268"/>
      <c r="I640" s="268"/>
      <c r="J640" s="268"/>
      <c r="K640" s="268"/>
      <c r="L640" s="268"/>
      <c r="M640" s="268"/>
      <c r="N640" s="268"/>
      <c r="O640" s="268"/>
      <c r="P640" s="268"/>
      <c r="Q640" s="268"/>
      <c r="R640" s="268"/>
      <c r="S640" s="268"/>
      <c r="T640" s="268"/>
      <c r="U640" s="268"/>
      <c r="V640" s="268"/>
      <c r="W640" s="268"/>
      <c r="X640" s="268"/>
      <c r="Y640" s="268"/>
      <c r="Z640" s="268"/>
    </row>
    <row r="641" spans="1:26" ht="12.75" customHeight="1">
      <c r="A641" s="268"/>
      <c r="B641" s="268"/>
      <c r="C641" s="268"/>
      <c r="D641" s="268"/>
      <c r="E641" s="268"/>
      <c r="F641" s="268"/>
      <c r="G641" s="268"/>
      <c r="H641" s="268"/>
      <c r="I641" s="268"/>
      <c r="J641" s="268"/>
      <c r="K641" s="268"/>
      <c r="L641" s="268"/>
      <c r="M641" s="268"/>
      <c r="N641" s="268"/>
      <c r="O641" s="268"/>
      <c r="P641" s="268"/>
      <c r="Q641" s="268"/>
      <c r="R641" s="268"/>
      <c r="S641" s="268"/>
      <c r="T641" s="268"/>
      <c r="U641" s="268"/>
      <c r="V641" s="268"/>
      <c r="W641" s="268"/>
      <c r="X641" s="268"/>
      <c r="Y641" s="268"/>
      <c r="Z641" s="268"/>
    </row>
    <row r="642" spans="1:26" ht="12.75" customHeight="1">
      <c r="A642" s="268"/>
      <c r="B642" s="268"/>
      <c r="C642" s="268"/>
      <c r="D642" s="268"/>
      <c r="E642" s="268"/>
      <c r="F642" s="268"/>
      <c r="G642" s="268"/>
      <c r="H642" s="268"/>
      <c r="I642" s="268"/>
      <c r="J642" s="268"/>
      <c r="K642" s="268"/>
      <c r="L642" s="268"/>
      <c r="M642" s="268"/>
      <c r="N642" s="268"/>
      <c r="O642" s="268"/>
      <c r="P642" s="268"/>
      <c r="Q642" s="268"/>
      <c r="R642" s="268"/>
      <c r="S642" s="268"/>
      <c r="T642" s="268"/>
      <c r="U642" s="268"/>
      <c r="V642" s="268"/>
      <c r="W642" s="268"/>
      <c r="X642" s="268"/>
      <c r="Y642" s="268"/>
      <c r="Z642" s="268"/>
    </row>
    <row r="643" spans="1:26" ht="12.75" customHeight="1">
      <c r="A643" s="268"/>
      <c r="B643" s="268"/>
      <c r="C643" s="268"/>
      <c r="D643" s="268"/>
      <c r="E643" s="268"/>
      <c r="F643" s="268"/>
      <c r="G643" s="268"/>
      <c r="H643" s="268"/>
      <c r="I643" s="268"/>
      <c r="J643" s="268"/>
      <c r="K643" s="268"/>
      <c r="L643" s="268"/>
      <c r="M643" s="268"/>
      <c r="N643" s="268"/>
      <c r="O643" s="268"/>
      <c r="P643" s="268"/>
      <c r="Q643" s="268"/>
      <c r="R643" s="268"/>
      <c r="S643" s="268"/>
      <c r="T643" s="268"/>
      <c r="U643" s="268"/>
      <c r="V643" s="268"/>
      <c r="W643" s="268"/>
      <c r="X643" s="268"/>
      <c r="Y643" s="268"/>
      <c r="Z643" s="268"/>
    </row>
    <row r="644" spans="1:26" ht="12.75" customHeight="1">
      <c r="A644" s="268"/>
      <c r="B644" s="26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268"/>
      <c r="R644" s="268"/>
      <c r="S644" s="268"/>
      <c r="T644" s="268"/>
      <c r="U644" s="268"/>
      <c r="V644" s="268"/>
      <c r="W644" s="268"/>
      <c r="X644" s="268"/>
      <c r="Y644" s="268"/>
      <c r="Z644" s="268"/>
    </row>
    <row r="645" spans="1:26" ht="12.75" customHeight="1">
      <c r="A645" s="268"/>
      <c r="B645" s="268"/>
      <c r="C645" s="268"/>
      <c r="D645" s="268"/>
      <c r="E645" s="268"/>
      <c r="F645" s="268"/>
      <c r="G645" s="268"/>
      <c r="H645" s="268"/>
      <c r="I645" s="268"/>
      <c r="J645" s="268"/>
      <c r="K645" s="268"/>
      <c r="L645" s="268"/>
      <c r="M645" s="268"/>
      <c r="N645" s="268"/>
      <c r="O645" s="268"/>
      <c r="P645" s="268"/>
      <c r="Q645" s="268"/>
      <c r="R645" s="268"/>
      <c r="S645" s="268"/>
      <c r="T645" s="268"/>
      <c r="U645" s="268"/>
      <c r="V645" s="268"/>
      <c r="W645" s="268"/>
      <c r="X645" s="268"/>
      <c r="Y645" s="268"/>
      <c r="Z645" s="268"/>
    </row>
    <row r="646" spans="1:26" ht="12.75" customHeight="1">
      <c r="A646" s="268"/>
      <c r="B646" s="268"/>
      <c r="C646" s="268"/>
      <c r="D646" s="268"/>
      <c r="E646" s="268"/>
      <c r="F646" s="268"/>
      <c r="G646" s="268"/>
      <c r="H646" s="268"/>
      <c r="I646" s="268"/>
      <c r="J646" s="268"/>
      <c r="K646" s="268"/>
      <c r="L646" s="268"/>
      <c r="M646" s="268"/>
      <c r="N646" s="268"/>
      <c r="O646" s="268"/>
      <c r="P646" s="268"/>
      <c r="Q646" s="268"/>
      <c r="R646" s="268"/>
      <c r="S646" s="268"/>
      <c r="T646" s="268"/>
      <c r="U646" s="268"/>
      <c r="V646" s="268"/>
      <c r="W646" s="268"/>
      <c r="X646" s="268"/>
      <c r="Y646" s="268"/>
      <c r="Z646" s="268"/>
    </row>
    <row r="647" spans="1:26" ht="12.75" customHeight="1">
      <c r="A647" s="268"/>
      <c r="B647" s="268"/>
      <c r="C647" s="268"/>
      <c r="D647" s="268"/>
      <c r="E647" s="268"/>
      <c r="F647" s="268"/>
      <c r="G647" s="268"/>
      <c r="H647" s="268"/>
      <c r="I647" s="268"/>
      <c r="J647" s="268"/>
      <c r="K647" s="268"/>
      <c r="L647" s="268"/>
      <c r="M647" s="268"/>
      <c r="N647" s="268"/>
      <c r="O647" s="268"/>
      <c r="P647" s="268"/>
      <c r="Q647" s="268"/>
      <c r="R647" s="268"/>
      <c r="S647" s="268"/>
      <c r="T647" s="268"/>
      <c r="U647" s="268"/>
      <c r="V647" s="268"/>
      <c r="W647" s="268"/>
      <c r="X647" s="268"/>
      <c r="Y647" s="268"/>
      <c r="Z647" s="268"/>
    </row>
    <row r="648" spans="1:26" ht="12.75" customHeight="1">
      <c r="A648" s="268"/>
      <c r="B648" s="268"/>
      <c r="C648" s="268"/>
      <c r="D648" s="268"/>
      <c r="E648" s="268"/>
      <c r="F648" s="268"/>
      <c r="G648" s="268"/>
      <c r="H648" s="268"/>
      <c r="I648" s="268"/>
      <c r="J648" s="268"/>
      <c r="K648" s="268"/>
      <c r="L648" s="268"/>
      <c r="M648" s="268"/>
      <c r="N648" s="268"/>
      <c r="O648" s="268"/>
      <c r="P648" s="268"/>
      <c r="Q648" s="268"/>
      <c r="R648" s="268"/>
      <c r="S648" s="268"/>
      <c r="T648" s="268"/>
      <c r="U648" s="268"/>
      <c r="V648" s="268"/>
      <c r="W648" s="268"/>
      <c r="X648" s="268"/>
      <c r="Y648" s="268"/>
      <c r="Z648" s="268"/>
    </row>
    <row r="649" spans="1:26" ht="12.75" customHeight="1">
      <c r="A649" s="268"/>
      <c r="B649" s="268"/>
      <c r="C649" s="268"/>
      <c r="D649" s="268"/>
      <c r="E649" s="268"/>
      <c r="F649" s="268"/>
      <c r="G649" s="268"/>
      <c r="H649" s="268"/>
      <c r="I649" s="268"/>
      <c r="J649" s="268"/>
      <c r="K649" s="268"/>
      <c r="L649" s="268"/>
      <c r="M649" s="268"/>
      <c r="N649" s="268"/>
      <c r="O649" s="268"/>
      <c r="P649" s="268"/>
      <c r="Q649" s="268"/>
      <c r="R649" s="268"/>
      <c r="S649" s="268"/>
      <c r="T649" s="268"/>
      <c r="U649" s="268"/>
      <c r="V649" s="268"/>
      <c r="W649" s="268"/>
      <c r="X649" s="268"/>
      <c r="Y649" s="268"/>
      <c r="Z649" s="268"/>
    </row>
    <row r="650" spans="1:26" ht="12.75" customHeight="1">
      <c r="A650" s="268"/>
      <c r="B650" s="268"/>
      <c r="C650" s="268"/>
      <c r="D650" s="268"/>
      <c r="E650" s="268"/>
      <c r="F650" s="268"/>
      <c r="G650" s="268"/>
      <c r="H650" s="268"/>
      <c r="I650" s="268"/>
      <c r="J650" s="268"/>
      <c r="K650" s="268"/>
      <c r="L650" s="268"/>
      <c r="M650" s="268"/>
      <c r="N650" s="268"/>
      <c r="O650" s="268"/>
      <c r="P650" s="268"/>
      <c r="Q650" s="268"/>
      <c r="R650" s="268"/>
      <c r="S650" s="268"/>
      <c r="T650" s="268"/>
      <c r="U650" s="268"/>
      <c r="V650" s="268"/>
      <c r="W650" s="268"/>
      <c r="X650" s="268"/>
      <c r="Y650" s="268"/>
      <c r="Z650" s="268"/>
    </row>
    <row r="651" spans="1:26" ht="12.75" customHeight="1">
      <c r="A651" s="268"/>
      <c r="B651" s="268"/>
      <c r="C651" s="268"/>
      <c r="D651" s="268"/>
      <c r="E651" s="268"/>
      <c r="F651" s="268"/>
      <c r="G651" s="268"/>
      <c r="H651" s="268"/>
      <c r="I651" s="268"/>
      <c r="J651" s="268"/>
      <c r="K651" s="268"/>
      <c r="L651" s="268"/>
      <c r="M651" s="268"/>
      <c r="N651" s="268"/>
      <c r="O651" s="268"/>
      <c r="P651" s="268"/>
      <c r="Q651" s="268"/>
      <c r="R651" s="268"/>
      <c r="S651" s="268"/>
      <c r="T651" s="268"/>
      <c r="U651" s="268"/>
      <c r="V651" s="268"/>
      <c r="W651" s="268"/>
      <c r="X651" s="268"/>
      <c r="Y651" s="268"/>
      <c r="Z651" s="268"/>
    </row>
    <row r="652" spans="1:26" ht="12.75" customHeight="1">
      <c r="A652" s="268"/>
      <c r="B652" s="268"/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268"/>
      <c r="P652" s="268"/>
      <c r="Q652" s="268"/>
      <c r="R652" s="268"/>
      <c r="S652" s="268"/>
      <c r="T652" s="268"/>
      <c r="U652" s="268"/>
      <c r="V652" s="268"/>
      <c r="W652" s="268"/>
      <c r="X652" s="268"/>
      <c r="Y652" s="268"/>
      <c r="Z652" s="268"/>
    </row>
    <row r="653" spans="1:26" ht="12.75" customHeight="1">
      <c r="A653" s="268"/>
      <c r="B653" s="268"/>
      <c r="C653" s="268"/>
      <c r="D653" s="268"/>
      <c r="E653" s="268"/>
      <c r="F653" s="268"/>
      <c r="G653" s="268"/>
      <c r="H653" s="268"/>
      <c r="I653" s="268"/>
      <c r="J653" s="268"/>
      <c r="K653" s="268"/>
      <c r="L653" s="268"/>
      <c r="M653" s="268"/>
      <c r="N653" s="268"/>
      <c r="O653" s="268"/>
      <c r="P653" s="268"/>
      <c r="Q653" s="268"/>
      <c r="R653" s="268"/>
      <c r="S653" s="268"/>
      <c r="T653" s="268"/>
      <c r="U653" s="268"/>
      <c r="V653" s="268"/>
      <c r="W653" s="268"/>
      <c r="X653" s="268"/>
      <c r="Y653" s="268"/>
      <c r="Z653" s="268"/>
    </row>
    <row r="654" spans="1:26" ht="12.75" customHeight="1">
      <c r="A654" s="268"/>
      <c r="B654" s="268"/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268"/>
      <c r="P654" s="268"/>
      <c r="Q654" s="268"/>
      <c r="R654" s="268"/>
      <c r="S654" s="268"/>
      <c r="T654" s="268"/>
      <c r="U654" s="268"/>
      <c r="V654" s="268"/>
      <c r="W654" s="268"/>
      <c r="X654" s="268"/>
      <c r="Y654" s="268"/>
      <c r="Z654" s="268"/>
    </row>
    <row r="655" spans="1:26" ht="12.75" customHeight="1">
      <c r="A655" s="268"/>
      <c r="B655" s="268"/>
      <c r="C655" s="268"/>
      <c r="D655" s="268"/>
      <c r="E655" s="268"/>
      <c r="F655" s="268"/>
      <c r="G655" s="268"/>
      <c r="H655" s="268"/>
      <c r="I655" s="268"/>
      <c r="J655" s="268"/>
      <c r="K655" s="268"/>
      <c r="L655" s="268"/>
      <c r="M655" s="268"/>
      <c r="N655" s="268"/>
      <c r="O655" s="268"/>
      <c r="P655" s="268"/>
      <c r="Q655" s="268"/>
      <c r="R655" s="268"/>
      <c r="S655" s="268"/>
      <c r="T655" s="268"/>
      <c r="U655" s="268"/>
      <c r="V655" s="268"/>
      <c r="W655" s="268"/>
      <c r="X655" s="268"/>
      <c r="Y655" s="268"/>
      <c r="Z655" s="268"/>
    </row>
    <row r="656" spans="1:26" ht="12.75" customHeight="1">
      <c r="A656" s="268"/>
      <c r="B656" s="268"/>
      <c r="C656" s="268"/>
      <c r="D656" s="268"/>
      <c r="E656" s="268"/>
      <c r="F656" s="268"/>
      <c r="G656" s="268"/>
      <c r="H656" s="268"/>
      <c r="I656" s="268"/>
      <c r="J656" s="268"/>
      <c r="K656" s="268"/>
      <c r="L656" s="268"/>
      <c r="M656" s="268"/>
      <c r="N656" s="268"/>
      <c r="O656" s="268"/>
      <c r="P656" s="268"/>
      <c r="Q656" s="268"/>
      <c r="R656" s="268"/>
      <c r="S656" s="268"/>
      <c r="T656" s="268"/>
      <c r="U656" s="268"/>
      <c r="V656" s="268"/>
      <c r="W656" s="268"/>
      <c r="X656" s="268"/>
      <c r="Y656" s="268"/>
      <c r="Z656" s="268"/>
    </row>
    <row r="657" spans="1:26" ht="12.75" customHeight="1">
      <c r="A657" s="268"/>
      <c r="B657" s="268"/>
      <c r="C657" s="268"/>
      <c r="D657" s="268"/>
      <c r="E657" s="268"/>
      <c r="F657" s="268"/>
      <c r="G657" s="268"/>
      <c r="H657" s="268"/>
      <c r="I657" s="268"/>
      <c r="J657" s="268"/>
      <c r="K657" s="268"/>
      <c r="L657" s="268"/>
      <c r="M657" s="268"/>
      <c r="N657" s="268"/>
      <c r="O657" s="268"/>
      <c r="P657" s="268"/>
      <c r="Q657" s="268"/>
      <c r="R657" s="268"/>
      <c r="S657" s="268"/>
      <c r="T657" s="268"/>
      <c r="U657" s="268"/>
      <c r="V657" s="268"/>
      <c r="W657" s="268"/>
      <c r="X657" s="268"/>
      <c r="Y657" s="268"/>
      <c r="Z657" s="268"/>
    </row>
    <row r="658" spans="1:26" ht="12.75" customHeight="1">
      <c r="A658" s="268"/>
      <c r="B658" s="268"/>
      <c r="C658" s="268"/>
      <c r="D658" s="268"/>
      <c r="E658" s="268"/>
      <c r="F658" s="268"/>
      <c r="G658" s="268"/>
      <c r="H658" s="268"/>
      <c r="I658" s="268"/>
      <c r="J658" s="268"/>
      <c r="K658" s="268"/>
      <c r="L658" s="268"/>
      <c r="M658" s="268"/>
      <c r="N658" s="268"/>
      <c r="O658" s="268"/>
      <c r="P658" s="268"/>
      <c r="Q658" s="268"/>
      <c r="R658" s="268"/>
      <c r="S658" s="268"/>
      <c r="T658" s="268"/>
      <c r="U658" s="268"/>
      <c r="V658" s="268"/>
      <c r="W658" s="268"/>
      <c r="X658" s="268"/>
      <c r="Y658" s="268"/>
      <c r="Z658" s="268"/>
    </row>
    <row r="659" spans="1:26" ht="12.75" customHeight="1">
      <c r="A659" s="268"/>
      <c r="B659" s="268"/>
      <c r="C659" s="268"/>
      <c r="D659" s="268"/>
      <c r="E659" s="268"/>
      <c r="F659" s="268"/>
      <c r="G659" s="268"/>
      <c r="H659" s="268"/>
      <c r="I659" s="268"/>
      <c r="J659" s="268"/>
      <c r="K659" s="268"/>
      <c r="L659" s="268"/>
      <c r="M659" s="268"/>
      <c r="N659" s="268"/>
      <c r="O659" s="268"/>
      <c r="P659" s="268"/>
      <c r="Q659" s="268"/>
      <c r="R659" s="268"/>
      <c r="S659" s="268"/>
      <c r="T659" s="268"/>
      <c r="U659" s="268"/>
      <c r="V659" s="268"/>
      <c r="W659" s="268"/>
      <c r="X659" s="268"/>
      <c r="Y659" s="268"/>
      <c r="Z659" s="268"/>
    </row>
    <row r="660" spans="1:26" ht="12.75" customHeight="1">
      <c r="A660" s="268"/>
      <c r="B660" s="268"/>
      <c r="C660" s="268"/>
      <c r="D660" s="268"/>
      <c r="E660" s="268"/>
      <c r="F660" s="268"/>
      <c r="G660" s="268"/>
      <c r="H660" s="268"/>
      <c r="I660" s="268"/>
      <c r="J660" s="268"/>
      <c r="K660" s="268"/>
      <c r="L660" s="268"/>
      <c r="M660" s="268"/>
      <c r="N660" s="268"/>
      <c r="O660" s="268"/>
      <c r="P660" s="268"/>
      <c r="Q660" s="268"/>
      <c r="R660" s="268"/>
      <c r="S660" s="268"/>
      <c r="T660" s="268"/>
      <c r="U660" s="268"/>
      <c r="V660" s="268"/>
      <c r="W660" s="268"/>
      <c r="X660" s="268"/>
      <c r="Y660" s="268"/>
      <c r="Z660" s="268"/>
    </row>
    <row r="661" spans="1:26" ht="12.75" customHeight="1">
      <c r="A661" s="268"/>
      <c r="B661" s="268"/>
      <c r="C661" s="268"/>
      <c r="D661" s="268"/>
      <c r="E661" s="268"/>
      <c r="F661" s="268"/>
      <c r="G661" s="268"/>
      <c r="H661" s="268"/>
      <c r="I661" s="268"/>
      <c r="J661" s="268"/>
      <c r="K661" s="268"/>
      <c r="L661" s="268"/>
      <c r="M661" s="268"/>
      <c r="N661" s="268"/>
      <c r="O661" s="268"/>
      <c r="P661" s="268"/>
      <c r="Q661" s="268"/>
      <c r="R661" s="268"/>
      <c r="S661" s="268"/>
      <c r="T661" s="268"/>
      <c r="U661" s="268"/>
      <c r="V661" s="268"/>
      <c r="W661" s="268"/>
      <c r="X661" s="268"/>
      <c r="Y661" s="268"/>
      <c r="Z661" s="268"/>
    </row>
    <row r="662" spans="1:26" ht="12.75" customHeight="1">
      <c r="A662" s="268"/>
      <c r="B662" s="268"/>
      <c r="C662" s="268"/>
      <c r="D662" s="268"/>
      <c r="E662" s="268"/>
      <c r="F662" s="268"/>
      <c r="G662" s="268"/>
      <c r="H662" s="268"/>
      <c r="I662" s="268"/>
      <c r="J662" s="268"/>
      <c r="K662" s="268"/>
      <c r="L662" s="268"/>
      <c r="M662" s="268"/>
      <c r="N662" s="268"/>
      <c r="O662" s="268"/>
      <c r="P662" s="268"/>
      <c r="Q662" s="268"/>
      <c r="R662" s="268"/>
      <c r="S662" s="268"/>
      <c r="T662" s="268"/>
      <c r="U662" s="268"/>
      <c r="V662" s="268"/>
      <c r="W662" s="268"/>
      <c r="X662" s="268"/>
      <c r="Y662" s="268"/>
      <c r="Z662" s="268"/>
    </row>
    <row r="663" spans="1:26" ht="12.75" customHeight="1">
      <c r="A663" s="268"/>
      <c r="B663" s="268"/>
      <c r="C663" s="268"/>
      <c r="D663" s="268"/>
      <c r="E663" s="268"/>
      <c r="F663" s="268"/>
      <c r="G663" s="268"/>
      <c r="H663" s="268"/>
      <c r="I663" s="268"/>
      <c r="J663" s="268"/>
      <c r="K663" s="268"/>
      <c r="L663" s="268"/>
      <c r="M663" s="268"/>
      <c r="N663" s="268"/>
      <c r="O663" s="268"/>
      <c r="P663" s="268"/>
      <c r="Q663" s="268"/>
      <c r="R663" s="268"/>
      <c r="S663" s="268"/>
      <c r="T663" s="268"/>
      <c r="U663" s="268"/>
      <c r="V663" s="268"/>
      <c r="W663" s="268"/>
      <c r="X663" s="268"/>
      <c r="Y663" s="268"/>
      <c r="Z663" s="268"/>
    </row>
    <row r="664" spans="1:26" ht="12.75" customHeight="1">
      <c r="A664" s="268"/>
      <c r="B664" s="268"/>
      <c r="C664" s="268"/>
      <c r="D664" s="268"/>
      <c r="E664" s="268"/>
      <c r="F664" s="268"/>
      <c r="G664" s="268"/>
      <c r="H664" s="268"/>
      <c r="I664" s="268"/>
      <c r="J664" s="268"/>
      <c r="K664" s="268"/>
      <c r="L664" s="268"/>
      <c r="M664" s="268"/>
      <c r="N664" s="268"/>
      <c r="O664" s="268"/>
      <c r="P664" s="268"/>
      <c r="Q664" s="268"/>
      <c r="R664" s="268"/>
      <c r="S664" s="268"/>
      <c r="T664" s="268"/>
      <c r="U664" s="268"/>
      <c r="V664" s="268"/>
      <c r="W664" s="268"/>
      <c r="X664" s="268"/>
      <c r="Y664" s="268"/>
      <c r="Z664" s="268"/>
    </row>
    <row r="665" spans="1:26" ht="12.75" customHeight="1">
      <c r="A665" s="268"/>
      <c r="B665" s="268"/>
      <c r="C665" s="268"/>
      <c r="D665" s="268"/>
      <c r="E665" s="268"/>
      <c r="F665" s="268"/>
      <c r="G665" s="268"/>
      <c r="H665" s="268"/>
      <c r="I665" s="268"/>
      <c r="J665" s="268"/>
      <c r="K665" s="268"/>
      <c r="L665" s="268"/>
      <c r="M665" s="268"/>
      <c r="N665" s="268"/>
      <c r="O665" s="268"/>
      <c r="P665" s="268"/>
      <c r="Q665" s="268"/>
      <c r="R665" s="268"/>
      <c r="S665" s="268"/>
      <c r="T665" s="268"/>
      <c r="U665" s="268"/>
      <c r="V665" s="268"/>
      <c r="W665" s="268"/>
      <c r="X665" s="268"/>
      <c r="Y665" s="268"/>
      <c r="Z665" s="268"/>
    </row>
    <row r="666" spans="1:26" ht="12.75" customHeight="1">
      <c r="A666" s="268"/>
      <c r="B666" s="268"/>
      <c r="C666" s="268"/>
      <c r="D666" s="268"/>
      <c r="E666" s="268"/>
      <c r="F666" s="268"/>
      <c r="G666" s="268"/>
      <c r="H666" s="268"/>
      <c r="I666" s="268"/>
      <c r="J666" s="268"/>
      <c r="K666" s="268"/>
      <c r="L666" s="268"/>
      <c r="M666" s="268"/>
      <c r="N666" s="268"/>
      <c r="O666" s="268"/>
      <c r="P666" s="268"/>
      <c r="Q666" s="268"/>
      <c r="R666" s="268"/>
      <c r="S666" s="268"/>
      <c r="T666" s="268"/>
      <c r="U666" s="268"/>
      <c r="V666" s="268"/>
      <c r="W666" s="268"/>
      <c r="X666" s="268"/>
      <c r="Y666" s="268"/>
      <c r="Z666" s="268"/>
    </row>
    <row r="667" spans="1:26" ht="12.75" customHeight="1">
      <c r="A667" s="268"/>
      <c r="B667" s="268"/>
      <c r="C667" s="268"/>
      <c r="D667" s="268"/>
      <c r="E667" s="268"/>
      <c r="F667" s="268"/>
      <c r="G667" s="268"/>
      <c r="H667" s="268"/>
      <c r="I667" s="268"/>
      <c r="J667" s="268"/>
      <c r="K667" s="268"/>
      <c r="L667" s="268"/>
      <c r="M667" s="268"/>
      <c r="N667" s="268"/>
      <c r="O667" s="268"/>
      <c r="P667" s="268"/>
      <c r="Q667" s="268"/>
      <c r="R667" s="268"/>
      <c r="S667" s="268"/>
      <c r="T667" s="268"/>
      <c r="U667" s="268"/>
      <c r="V667" s="268"/>
      <c r="W667" s="268"/>
      <c r="X667" s="268"/>
      <c r="Y667" s="268"/>
      <c r="Z667" s="268"/>
    </row>
    <row r="668" spans="1:26" ht="12.75" customHeight="1">
      <c r="A668" s="268"/>
      <c r="B668" s="268"/>
      <c r="C668" s="268"/>
      <c r="D668" s="268"/>
      <c r="E668" s="268"/>
      <c r="F668" s="268"/>
      <c r="G668" s="268"/>
      <c r="H668" s="268"/>
      <c r="I668" s="268"/>
      <c r="J668" s="268"/>
      <c r="K668" s="268"/>
      <c r="L668" s="268"/>
      <c r="M668" s="268"/>
      <c r="N668" s="268"/>
      <c r="O668" s="268"/>
      <c r="P668" s="268"/>
      <c r="Q668" s="268"/>
      <c r="R668" s="268"/>
      <c r="S668" s="268"/>
      <c r="T668" s="268"/>
      <c r="U668" s="268"/>
      <c r="V668" s="268"/>
      <c r="W668" s="268"/>
      <c r="X668" s="268"/>
      <c r="Y668" s="268"/>
      <c r="Z668" s="268"/>
    </row>
    <row r="669" spans="1:26" ht="12.75" customHeight="1">
      <c r="A669" s="268"/>
      <c r="B669" s="268"/>
      <c r="C669" s="268"/>
      <c r="D669" s="268"/>
      <c r="E669" s="268"/>
      <c r="F669" s="268"/>
      <c r="G669" s="268"/>
      <c r="H669" s="268"/>
      <c r="I669" s="268"/>
      <c r="J669" s="268"/>
      <c r="K669" s="268"/>
      <c r="L669" s="268"/>
      <c r="M669" s="268"/>
      <c r="N669" s="268"/>
      <c r="O669" s="268"/>
      <c r="P669" s="268"/>
      <c r="Q669" s="268"/>
      <c r="R669" s="268"/>
      <c r="S669" s="268"/>
      <c r="T669" s="268"/>
      <c r="U669" s="268"/>
      <c r="V669" s="268"/>
      <c r="W669" s="268"/>
      <c r="X669" s="268"/>
      <c r="Y669" s="268"/>
      <c r="Z669" s="268"/>
    </row>
    <row r="670" spans="1:26" ht="12.75" customHeight="1">
      <c r="A670" s="268"/>
      <c r="B670" s="268"/>
      <c r="C670" s="268"/>
      <c r="D670" s="268"/>
      <c r="E670" s="268"/>
      <c r="F670" s="268"/>
      <c r="G670" s="268"/>
      <c r="H670" s="268"/>
      <c r="I670" s="268"/>
      <c r="J670" s="268"/>
      <c r="K670" s="268"/>
      <c r="L670" s="268"/>
      <c r="M670" s="268"/>
      <c r="N670" s="268"/>
      <c r="O670" s="268"/>
      <c r="P670" s="268"/>
      <c r="Q670" s="268"/>
      <c r="R670" s="268"/>
      <c r="S670" s="268"/>
      <c r="T670" s="268"/>
      <c r="U670" s="268"/>
      <c r="V670" s="268"/>
      <c r="W670" s="268"/>
      <c r="X670" s="268"/>
      <c r="Y670" s="268"/>
      <c r="Z670" s="268"/>
    </row>
    <row r="671" spans="1:26" ht="12.75" customHeight="1">
      <c r="A671" s="268"/>
      <c r="B671" s="268"/>
      <c r="C671" s="268"/>
      <c r="D671" s="268"/>
      <c r="E671" s="268"/>
      <c r="F671" s="268"/>
      <c r="G671" s="268"/>
      <c r="H671" s="268"/>
      <c r="I671" s="268"/>
      <c r="J671" s="268"/>
      <c r="K671" s="268"/>
      <c r="L671" s="268"/>
      <c r="M671" s="268"/>
      <c r="N671" s="268"/>
      <c r="O671" s="268"/>
      <c r="P671" s="268"/>
      <c r="Q671" s="268"/>
      <c r="R671" s="268"/>
      <c r="S671" s="268"/>
      <c r="T671" s="268"/>
      <c r="U671" s="268"/>
      <c r="V671" s="268"/>
      <c r="W671" s="268"/>
      <c r="X671" s="268"/>
      <c r="Y671" s="268"/>
      <c r="Z671" s="268"/>
    </row>
    <row r="672" spans="1:26" ht="12.75" customHeight="1">
      <c r="A672" s="268"/>
      <c r="B672" s="268"/>
      <c r="C672" s="268"/>
      <c r="D672" s="268"/>
      <c r="E672" s="268"/>
      <c r="F672" s="268"/>
      <c r="G672" s="268"/>
      <c r="H672" s="268"/>
      <c r="I672" s="268"/>
      <c r="J672" s="268"/>
      <c r="K672" s="268"/>
      <c r="L672" s="268"/>
      <c r="M672" s="268"/>
      <c r="N672" s="268"/>
      <c r="O672" s="268"/>
      <c r="P672" s="268"/>
      <c r="Q672" s="268"/>
      <c r="R672" s="268"/>
      <c r="S672" s="268"/>
      <c r="T672" s="268"/>
      <c r="U672" s="268"/>
      <c r="V672" s="268"/>
      <c r="W672" s="268"/>
      <c r="X672" s="268"/>
      <c r="Y672" s="268"/>
      <c r="Z672" s="268"/>
    </row>
    <row r="673" spans="1:26" ht="12.75" customHeight="1">
      <c r="A673" s="268"/>
      <c r="B673" s="268"/>
      <c r="C673" s="268"/>
      <c r="D673" s="268"/>
      <c r="E673" s="268"/>
      <c r="F673" s="268"/>
      <c r="G673" s="268"/>
      <c r="H673" s="268"/>
      <c r="I673" s="268"/>
      <c r="J673" s="268"/>
      <c r="K673" s="268"/>
      <c r="L673" s="268"/>
      <c r="M673" s="268"/>
      <c r="N673" s="268"/>
      <c r="O673" s="268"/>
      <c r="P673" s="268"/>
      <c r="Q673" s="268"/>
      <c r="R673" s="268"/>
      <c r="S673" s="268"/>
      <c r="T673" s="268"/>
      <c r="U673" s="268"/>
      <c r="V673" s="268"/>
      <c r="W673" s="268"/>
      <c r="X673" s="268"/>
      <c r="Y673" s="268"/>
      <c r="Z673" s="268"/>
    </row>
    <row r="674" spans="1:26" ht="12.75" customHeight="1">
      <c r="A674" s="268"/>
      <c r="B674" s="268"/>
      <c r="C674" s="268"/>
      <c r="D674" s="268"/>
      <c r="E674" s="268"/>
      <c r="F674" s="268"/>
      <c r="G674" s="268"/>
      <c r="H674" s="268"/>
      <c r="I674" s="268"/>
      <c r="J674" s="268"/>
      <c r="K674" s="268"/>
      <c r="L674" s="268"/>
      <c r="M674" s="268"/>
      <c r="N674" s="268"/>
      <c r="O674" s="268"/>
      <c r="P674" s="268"/>
      <c r="Q674" s="268"/>
      <c r="R674" s="268"/>
      <c r="S674" s="268"/>
      <c r="T674" s="268"/>
      <c r="U674" s="268"/>
      <c r="V674" s="268"/>
      <c r="W674" s="268"/>
      <c r="X674" s="268"/>
      <c r="Y674" s="268"/>
      <c r="Z674" s="268"/>
    </row>
    <row r="675" spans="1:26" ht="12.75" customHeight="1">
      <c r="A675" s="268"/>
      <c r="B675" s="268"/>
      <c r="C675" s="268"/>
      <c r="D675" s="268"/>
      <c r="E675" s="268"/>
      <c r="F675" s="268"/>
      <c r="G675" s="268"/>
      <c r="H675" s="268"/>
      <c r="I675" s="268"/>
      <c r="J675" s="268"/>
      <c r="K675" s="268"/>
      <c r="L675" s="268"/>
      <c r="M675" s="268"/>
      <c r="N675" s="268"/>
      <c r="O675" s="268"/>
      <c r="P675" s="268"/>
      <c r="Q675" s="268"/>
      <c r="R675" s="268"/>
      <c r="S675" s="268"/>
      <c r="T675" s="268"/>
      <c r="U675" s="268"/>
      <c r="V675" s="268"/>
      <c r="W675" s="268"/>
      <c r="X675" s="268"/>
      <c r="Y675" s="268"/>
      <c r="Z675" s="268"/>
    </row>
    <row r="676" spans="1:26" ht="12.75" customHeight="1">
      <c r="A676" s="268"/>
      <c r="B676" s="268"/>
      <c r="C676" s="268"/>
      <c r="D676" s="268"/>
      <c r="E676" s="268"/>
      <c r="F676" s="268"/>
      <c r="G676" s="268"/>
      <c r="H676" s="268"/>
      <c r="I676" s="268"/>
      <c r="J676" s="268"/>
      <c r="K676" s="268"/>
      <c r="L676" s="268"/>
      <c r="M676" s="268"/>
      <c r="N676" s="268"/>
      <c r="O676" s="268"/>
      <c r="P676" s="268"/>
      <c r="Q676" s="268"/>
      <c r="R676" s="268"/>
      <c r="S676" s="268"/>
      <c r="T676" s="268"/>
      <c r="U676" s="268"/>
      <c r="V676" s="268"/>
      <c r="W676" s="268"/>
      <c r="X676" s="268"/>
      <c r="Y676" s="268"/>
      <c r="Z676" s="268"/>
    </row>
    <row r="677" spans="1:26" ht="12.75" customHeight="1">
      <c r="A677" s="268"/>
      <c r="B677" s="268"/>
      <c r="C677" s="268"/>
      <c r="D677" s="268"/>
      <c r="E677" s="268"/>
      <c r="F677" s="268"/>
      <c r="G677" s="268"/>
      <c r="H677" s="268"/>
      <c r="I677" s="268"/>
      <c r="J677" s="268"/>
      <c r="K677" s="268"/>
      <c r="L677" s="268"/>
      <c r="M677" s="268"/>
      <c r="N677" s="268"/>
      <c r="O677" s="268"/>
      <c r="P677" s="268"/>
      <c r="Q677" s="268"/>
      <c r="R677" s="268"/>
      <c r="S677" s="268"/>
      <c r="T677" s="268"/>
      <c r="U677" s="268"/>
      <c r="V677" s="268"/>
      <c r="W677" s="268"/>
      <c r="X677" s="268"/>
      <c r="Y677" s="268"/>
      <c r="Z677" s="268"/>
    </row>
    <row r="678" spans="1:26" ht="12.75" customHeight="1">
      <c r="A678" s="268"/>
      <c r="B678" s="268"/>
      <c r="C678" s="268"/>
      <c r="D678" s="268"/>
      <c r="E678" s="268"/>
      <c r="F678" s="268"/>
      <c r="G678" s="268"/>
      <c r="H678" s="268"/>
      <c r="I678" s="268"/>
      <c r="J678" s="268"/>
      <c r="K678" s="268"/>
      <c r="L678" s="268"/>
      <c r="M678" s="268"/>
      <c r="N678" s="268"/>
      <c r="O678" s="268"/>
      <c r="P678" s="268"/>
      <c r="Q678" s="268"/>
      <c r="R678" s="268"/>
      <c r="S678" s="268"/>
      <c r="T678" s="268"/>
      <c r="U678" s="268"/>
      <c r="V678" s="268"/>
      <c r="W678" s="268"/>
      <c r="X678" s="268"/>
      <c r="Y678" s="268"/>
      <c r="Z678" s="268"/>
    </row>
    <row r="679" spans="1:26" ht="12.75" customHeight="1">
      <c r="A679" s="268"/>
      <c r="B679" s="268"/>
      <c r="C679" s="268"/>
      <c r="D679" s="268"/>
      <c r="E679" s="268"/>
      <c r="F679" s="268"/>
      <c r="G679" s="268"/>
      <c r="H679" s="268"/>
      <c r="I679" s="268"/>
      <c r="J679" s="268"/>
      <c r="K679" s="268"/>
      <c r="L679" s="268"/>
      <c r="M679" s="268"/>
      <c r="N679" s="268"/>
      <c r="O679" s="268"/>
      <c r="P679" s="268"/>
      <c r="Q679" s="268"/>
      <c r="R679" s="268"/>
      <c r="S679" s="268"/>
      <c r="T679" s="268"/>
      <c r="U679" s="268"/>
      <c r="V679" s="268"/>
      <c r="W679" s="268"/>
      <c r="X679" s="268"/>
      <c r="Y679" s="268"/>
      <c r="Z679" s="268"/>
    </row>
    <row r="680" spans="1:26" ht="12.75" customHeight="1">
      <c r="A680" s="268"/>
      <c r="B680" s="268"/>
      <c r="C680" s="268"/>
      <c r="D680" s="268"/>
      <c r="E680" s="268"/>
      <c r="F680" s="268"/>
      <c r="G680" s="268"/>
      <c r="H680" s="268"/>
      <c r="I680" s="268"/>
      <c r="J680" s="268"/>
      <c r="K680" s="268"/>
      <c r="L680" s="268"/>
      <c r="M680" s="268"/>
      <c r="N680" s="268"/>
      <c r="O680" s="268"/>
      <c r="P680" s="268"/>
      <c r="Q680" s="268"/>
      <c r="R680" s="268"/>
      <c r="S680" s="268"/>
      <c r="T680" s="268"/>
      <c r="U680" s="268"/>
      <c r="V680" s="268"/>
      <c r="W680" s="268"/>
      <c r="X680" s="268"/>
      <c r="Y680" s="268"/>
      <c r="Z680" s="268"/>
    </row>
    <row r="681" spans="1:26" ht="12.75" customHeight="1">
      <c r="A681" s="268"/>
      <c r="B681" s="268"/>
      <c r="C681" s="268"/>
      <c r="D681" s="268"/>
      <c r="E681" s="268"/>
      <c r="F681" s="268"/>
      <c r="G681" s="268"/>
      <c r="H681" s="268"/>
      <c r="I681" s="268"/>
      <c r="J681" s="268"/>
      <c r="K681" s="268"/>
      <c r="L681" s="268"/>
      <c r="M681" s="268"/>
      <c r="N681" s="268"/>
      <c r="O681" s="268"/>
      <c r="P681" s="268"/>
      <c r="Q681" s="268"/>
      <c r="R681" s="268"/>
      <c r="S681" s="268"/>
      <c r="T681" s="268"/>
      <c r="U681" s="268"/>
      <c r="V681" s="268"/>
      <c r="W681" s="268"/>
      <c r="X681" s="268"/>
      <c r="Y681" s="268"/>
      <c r="Z681" s="268"/>
    </row>
    <row r="682" spans="1:26" ht="12.75" customHeight="1">
      <c r="A682" s="268"/>
      <c r="B682" s="268"/>
      <c r="C682" s="268"/>
      <c r="D682" s="268"/>
      <c r="E682" s="268"/>
      <c r="F682" s="268"/>
      <c r="G682" s="268"/>
      <c r="H682" s="268"/>
      <c r="I682" s="268"/>
      <c r="J682" s="268"/>
      <c r="K682" s="268"/>
      <c r="L682" s="268"/>
      <c r="M682" s="268"/>
      <c r="N682" s="268"/>
      <c r="O682" s="268"/>
      <c r="P682" s="268"/>
      <c r="Q682" s="268"/>
      <c r="R682" s="268"/>
      <c r="S682" s="268"/>
      <c r="T682" s="268"/>
      <c r="U682" s="268"/>
      <c r="V682" s="268"/>
      <c r="W682" s="268"/>
      <c r="X682" s="268"/>
      <c r="Y682" s="268"/>
      <c r="Z682" s="268"/>
    </row>
    <row r="683" spans="1:26" ht="12.75" customHeight="1">
      <c r="A683" s="268"/>
      <c r="B683" s="268"/>
      <c r="C683" s="268"/>
      <c r="D683" s="268"/>
      <c r="E683" s="268"/>
      <c r="F683" s="268"/>
      <c r="G683" s="268"/>
      <c r="H683" s="268"/>
      <c r="I683" s="268"/>
      <c r="J683" s="268"/>
      <c r="K683" s="268"/>
      <c r="L683" s="268"/>
      <c r="M683" s="268"/>
      <c r="N683" s="268"/>
      <c r="O683" s="268"/>
      <c r="P683" s="268"/>
      <c r="Q683" s="268"/>
      <c r="R683" s="268"/>
      <c r="S683" s="268"/>
      <c r="T683" s="268"/>
      <c r="U683" s="268"/>
      <c r="V683" s="268"/>
      <c r="W683" s="268"/>
      <c r="X683" s="268"/>
      <c r="Y683" s="268"/>
      <c r="Z683" s="268"/>
    </row>
    <row r="684" spans="1:26" ht="12.75" customHeight="1">
      <c r="A684" s="268"/>
      <c r="B684" s="268"/>
      <c r="C684" s="268"/>
      <c r="D684" s="268"/>
      <c r="E684" s="268"/>
      <c r="F684" s="268"/>
      <c r="G684" s="268"/>
      <c r="H684" s="268"/>
      <c r="I684" s="268"/>
      <c r="J684" s="268"/>
      <c r="K684" s="268"/>
      <c r="L684" s="268"/>
      <c r="M684" s="268"/>
      <c r="N684" s="268"/>
      <c r="O684" s="268"/>
      <c r="P684" s="268"/>
      <c r="Q684" s="268"/>
      <c r="R684" s="268"/>
      <c r="S684" s="268"/>
      <c r="T684" s="268"/>
      <c r="U684" s="268"/>
      <c r="V684" s="268"/>
      <c r="W684" s="268"/>
      <c r="X684" s="268"/>
      <c r="Y684" s="268"/>
      <c r="Z684" s="268"/>
    </row>
    <row r="685" spans="1:26" ht="12.75" customHeight="1">
      <c r="A685" s="268"/>
      <c r="B685" s="268"/>
      <c r="C685" s="268"/>
      <c r="D685" s="268"/>
      <c r="E685" s="268"/>
      <c r="F685" s="268"/>
      <c r="G685" s="268"/>
      <c r="H685" s="268"/>
      <c r="I685" s="268"/>
      <c r="J685" s="268"/>
      <c r="K685" s="268"/>
      <c r="L685" s="268"/>
      <c r="M685" s="268"/>
      <c r="N685" s="268"/>
      <c r="O685" s="268"/>
      <c r="P685" s="268"/>
      <c r="Q685" s="268"/>
      <c r="R685" s="268"/>
      <c r="S685" s="268"/>
      <c r="T685" s="268"/>
      <c r="U685" s="268"/>
      <c r="V685" s="268"/>
      <c r="W685" s="268"/>
      <c r="X685" s="268"/>
      <c r="Y685" s="268"/>
      <c r="Z685" s="268"/>
    </row>
    <row r="686" spans="1:26" ht="12.75" customHeight="1">
      <c r="A686" s="268"/>
      <c r="B686" s="268"/>
      <c r="C686" s="268"/>
      <c r="D686" s="268"/>
      <c r="E686" s="268"/>
      <c r="F686" s="268"/>
      <c r="G686" s="268"/>
      <c r="H686" s="268"/>
      <c r="I686" s="268"/>
      <c r="J686" s="268"/>
      <c r="K686" s="268"/>
      <c r="L686" s="268"/>
      <c r="M686" s="268"/>
      <c r="N686" s="268"/>
      <c r="O686" s="268"/>
      <c r="P686" s="268"/>
      <c r="Q686" s="268"/>
      <c r="R686" s="268"/>
      <c r="S686" s="268"/>
      <c r="T686" s="268"/>
      <c r="U686" s="268"/>
      <c r="V686" s="268"/>
      <c r="W686" s="268"/>
      <c r="X686" s="268"/>
      <c r="Y686" s="268"/>
      <c r="Z686" s="268"/>
    </row>
    <row r="687" spans="1:26" ht="12.75" customHeight="1">
      <c r="A687" s="268"/>
      <c r="B687" s="268"/>
      <c r="C687" s="268"/>
      <c r="D687" s="268"/>
      <c r="E687" s="268"/>
      <c r="F687" s="268"/>
      <c r="G687" s="268"/>
      <c r="H687" s="268"/>
      <c r="I687" s="268"/>
      <c r="J687" s="268"/>
      <c r="K687" s="268"/>
      <c r="L687" s="268"/>
      <c r="M687" s="268"/>
      <c r="N687" s="268"/>
      <c r="O687" s="268"/>
      <c r="P687" s="268"/>
      <c r="Q687" s="268"/>
      <c r="R687" s="268"/>
      <c r="S687" s="268"/>
      <c r="T687" s="268"/>
      <c r="U687" s="268"/>
      <c r="V687" s="268"/>
      <c r="W687" s="268"/>
      <c r="X687" s="268"/>
      <c r="Y687" s="268"/>
      <c r="Z687" s="268"/>
    </row>
    <row r="688" spans="1:26" ht="12.75" customHeight="1">
      <c r="A688" s="268"/>
      <c r="B688" s="268"/>
      <c r="C688" s="268"/>
      <c r="D688" s="268"/>
      <c r="E688" s="268"/>
      <c r="F688" s="268"/>
      <c r="G688" s="268"/>
      <c r="H688" s="268"/>
      <c r="I688" s="268"/>
      <c r="J688" s="268"/>
      <c r="K688" s="268"/>
      <c r="L688" s="268"/>
      <c r="M688" s="268"/>
      <c r="N688" s="268"/>
      <c r="O688" s="268"/>
      <c r="P688" s="268"/>
      <c r="Q688" s="268"/>
      <c r="R688" s="268"/>
      <c r="S688" s="268"/>
      <c r="T688" s="268"/>
      <c r="U688" s="268"/>
      <c r="V688" s="268"/>
      <c r="W688" s="268"/>
      <c r="X688" s="268"/>
      <c r="Y688" s="268"/>
      <c r="Z688" s="268"/>
    </row>
    <row r="689" spans="1:26" ht="12.75" customHeight="1">
      <c r="A689" s="268"/>
      <c r="B689" s="268"/>
      <c r="C689" s="268"/>
      <c r="D689" s="268"/>
      <c r="E689" s="268"/>
      <c r="F689" s="268"/>
      <c r="G689" s="268"/>
      <c r="H689" s="268"/>
      <c r="I689" s="268"/>
      <c r="J689" s="268"/>
      <c r="K689" s="268"/>
      <c r="L689" s="268"/>
      <c r="M689" s="268"/>
      <c r="N689" s="268"/>
      <c r="O689" s="268"/>
      <c r="P689" s="268"/>
      <c r="Q689" s="268"/>
      <c r="R689" s="268"/>
      <c r="S689" s="268"/>
      <c r="T689" s="268"/>
      <c r="U689" s="268"/>
      <c r="V689" s="268"/>
      <c r="W689" s="268"/>
      <c r="X689" s="268"/>
      <c r="Y689" s="268"/>
      <c r="Z689" s="268"/>
    </row>
    <row r="690" spans="1:26" ht="12.75" customHeight="1">
      <c r="A690" s="268"/>
      <c r="B690" s="268"/>
      <c r="C690" s="268"/>
      <c r="D690" s="268"/>
      <c r="E690" s="268"/>
      <c r="F690" s="268"/>
      <c r="G690" s="268"/>
      <c r="H690" s="268"/>
      <c r="I690" s="268"/>
      <c r="J690" s="268"/>
      <c r="K690" s="268"/>
      <c r="L690" s="268"/>
      <c r="M690" s="268"/>
      <c r="N690" s="268"/>
      <c r="O690" s="268"/>
      <c r="P690" s="268"/>
      <c r="Q690" s="268"/>
      <c r="R690" s="268"/>
      <c r="S690" s="268"/>
      <c r="T690" s="268"/>
      <c r="U690" s="268"/>
      <c r="V690" s="268"/>
      <c r="W690" s="268"/>
      <c r="X690" s="268"/>
      <c r="Y690" s="268"/>
      <c r="Z690" s="268"/>
    </row>
    <row r="691" spans="1:26" ht="12.75" customHeight="1">
      <c r="A691" s="268"/>
      <c r="B691" s="268"/>
      <c r="C691" s="268"/>
      <c r="D691" s="268"/>
      <c r="E691" s="268"/>
      <c r="F691" s="268"/>
      <c r="G691" s="268"/>
      <c r="H691" s="268"/>
      <c r="I691" s="268"/>
      <c r="J691" s="268"/>
      <c r="K691" s="268"/>
      <c r="L691" s="268"/>
      <c r="M691" s="268"/>
      <c r="N691" s="268"/>
      <c r="O691" s="268"/>
      <c r="P691" s="268"/>
      <c r="Q691" s="268"/>
      <c r="R691" s="268"/>
      <c r="S691" s="268"/>
      <c r="T691" s="268"/>
      <c r="U691" s="268"/>
      <c r="V691" s="268"/>
      <c r="W691" s="268"/>
      <c r="X691" s="268"/>
      <c r="Y691" s="268"/>
      <c r="Z691" s="268"/>
    </row>
    <row r="692" spans="1:26" ht="12.75" customHeight="1">
      <c r="A692" s="268"/>
      <c r="B692" s="268"/>
      <c r="C692" s="268"/>
      <c r="D692" s="268"/>
      <c r="E692" s="268"/>
      <c r="F692" s="268"/>
      <c r="G692" s="268"/>
      <c r="H692" s="268"/>
      <c r="I692" s="268"/>
      <c r="J692" s="268"/>
      <c r="K692" s="268"/>
      <c r="L692" s="268"/>
      <c r="M692" s="268"/>
      <c r="N692" s="268"/>
      <c r="O692" s="268"/>
      <c r="P692" s="268"/>
      <c r="Q692" s="268"/>
      <c r="R692" s="268"/>
      <c r="S692" s="268"/>
      <c r="T692" s="268"/>
      <c r="U692" s="268"/>
      <c r="V692" s="268"/>
      <c r="W692" s="268"/>
      <c r="X692" s="268"/>
      <c r="Y692" s="268"/>
      <c r="Z692" s="268"/>
    </row>
    <row r="693" spans="1:26" ht="12.75" customHeight="1">
      <c r="A693" s="268"/>
      <c r="B693" s="268"/>
      <c r="C693" s="268"/>
      <c r="D693" s="268"/>
      <c r="E693" s="268"/>
      <c r="F693" s="268"/>
      <c r="G693" s="268"/>
      <c r="H693" s="268"/>
      <c r="I693" s="268"/>
      <c r="J693" s="268"/>
      <c r="K693" s="268"/>
      <c r="L693" s="268"/>
      <c r="M693" s="268"/>
      <c r="N693" s="268"/>
      <c r="O693" s="268"/>
      <c r="P693" s="268"/>
      <c r="Q693" s="268"/>
      <c r="R693" s="268"/>
      <c r="S693" s="268"/>
      <c r="T693" s="268"/>
      <c r="U693" s="268"/>
      <c r="V693" s="268"/>
      <c r="W693" s="268"/>
      <c r="X693" s="268"/>
      <c r="Y693" s="268"/>
      <c r="Z693" s="268"/>
    </row>
    <row r="694" spans="1:26" ht="12.75" customHeight="1">
      <c r="A694" s="268"/>
      <c r="B694" s="268"/>
      <c r="C694" s="268"/>
      <c r="D694" s="268"/>
      <c r="E694" s="268"/>
      <c r="F694" s="268"/>
      <c r="G694" s="268"/>
      <c r="H694" s="268"/>
      <c r="I694" s="268"/>
      <c r="J694" s="268"/>
      <c r="K694" s="268"/>
      <c r="L694" s="268"/>
      <c r="M694" s="268"/>
      <c r="N694" s="268"/>
      <c r="O694" s="268"/>
      <c r="P694" s="268"/>
      <c r="Q694" s="268"/>
      <c r="R694" s="268"/>
      <c r="S694" s="268"/>
      <c r="T694" s="268"/>
      <c r="U694" s="268"/>
      <c r="V694" s="268"/>
      <c r="W694" s="268"/>
      <c r="X694" s="268"/>
      <c r="Y694" s="268"/>
      <c r="Z694" s="268"/>
    </row>
    <row r="695" spans="1:26" ht="12.75" customHeight="1">
      <c r="A695" s="268"/>
      <c r="B695" s="268"/>
      <c r="C695" s="268"/>
      <c r="D695" s="268"/>
      <c r="E695" s="268"/>
      <c r="F695" s="268"/>
      <c r="G695" s="268"/>
      <c r="H695" s="268"/>
      <c r="I695" s="268"/>
      <c r="J695" s="268"/>
      <c r="K695" s="268"/>
      <c r="L695" s="268"/>
      <c r="M695" s="268"/>
      <c r="N695" s="268"/>
      <c r="O695" s="268"/>
      <c r="P695" s="268"/>
      <c r="Q695" s="268"/>
      <c r="R695" s="268"/>
      <c r="S695" s="268"/>
      <c r="T695" s="268"/>
      <c r="U695" s="268"/>
      <c r="V695" s="268"/>
      <c r="W695" s="268"/>
      <c r="X695" s="268"/>
      <c r="Y695" s="268"/>
      <c r="Z695" s="268"/>
    </row>
    <row r="696" spans="1:26" ht="12.75" customHeight="1">
      <c r="A696" s="268"/>
      <c r="B696" s="268"/>
      <c r="C696" s="268"/>
      <c r="D696" s="268"/>
      <c r="E696" s="268"/>
      <c r="F696" s="268"/>
      <c r="G696" s="268"/>
      <c r="H696" s="268"/>
      <c r="I696" s="268"/>
      <c r="J696" s="268"/>
      <c r="K696" s="268"/>
      <c r="L696" s="268"/>
      <c r="M696" s="268"/>
      <c r="N696" s="268"/>
      <c r="O696" s="268"/>
      <c r="P696" s="268"/>
      <c r="Q696" s="268"/>
      <c r="R696" s="268"/>
      <c r="S696" s="268"/>
      <c r="T696" s="268"/>
      <c r="U696" s="268"/>
      <c r="V696" s="268"/>
      <c r="W696" s="268"/>
      <c r="X696" s="268"/>
      <c r="Y696" s="268"/>
      <c r="Z696" s="268"/>
    </row>
    <row r="697" spans="1:26" ht="12.75" customHeight="1">
      <c r="A697" s="268"/>
      <c r="B697" s="268"/>
      <c r="C697" s="268"/>
      <c r="D697" s="268"/>
      <c r="E697" s="268"/>
      <c r="F697" s="268"/>
      <c r="G697" s="268"/>
      <c r="H697" s="268"/>
      <c r="I697" s="268"/>
      <c r="J697" s="268"/>
      <c r="K697" s="268"/>
      <c r="L697" s="268"/>
      <c r="M697" s="268"/>
      <c r="N697" s="268"/>
      <c r="O697" s="268"/>
      <c r="P697" s="268"/>
      <c r="Q697" s="268"/>
      <c r="R697" s="268"/>
      <c r="S697" s="268"/>
      <c r="T697" s="268"/>
      <c r="U697" s="268"/>
      <c r="V697" s="268"/>
      <c r="W697" s="268"/>
      <c r="X697" s="268"/>
      <c r="Y697" s="268"/>
      <c r="Z697" s="268"/>
    </row>
    <row r="698" spans="1:26" ht="12.75" customHeight="1">
      <c r="A698" s="268"/>
      <c r="B698" s="268"/>
      <c r="C698" s="268"/>
      <c r="D698" s="268"/>
      <c r="E698" s="268"/>
      <c r="F698" s="268"/>
      <c r="G698" s="268"/>
      <c r="H698" s="268"/>
      <c r="I698" s="268"/>
      <c r="J698" s="268"/>
      <c r="K698" s="268"/>
      <c r="L698" s="268"/>
      <c r="M698" s="268"/>
      <c r="N698" s="268"/>
      <c r="O698" s="268"/>
      <c r="P698" s="268"/>
      <c r="Q698" s="268"/>
      <c r="R698" s="268"/>
      <c r="S698" s="268"/>
      <c r="T698" s="268"/>
      <c r="U698" s="268"/>
      <c r="V698" s="268"/>
      <c r="W698" s="268"/>
      <c r="X698" s="268"/>
      <c r="Y698" s="268"/>
      <c r="Z698" s="268"/>
    </row>
    <row r="699" spans="1:26" ht="12.75" customHeight="1">
      <c r="A699" s="268"/>
      <c r="B699" s="268"/>
      <c r="C699" s="268"/>
      <c r="D699" s="268"/>
      <c r="E699" s="268"/>
      <c r="F699" s="268"/>
      <c r="G699" s="268"/>
      <c r="H699" s="268"/>
      <c r="I699" s="268"/>
      <c r="J699" s="268"/>
      <c r="K699" s="268"/>
      <c r="L699" s="268"/>
      <c r="M699" s="268"/>
      <c r="N699" s="268"/>
      <c r="O699" s="268"/>
      <c r="P699" s="268"/>
      <c r="Q699" s="268"/>
      <c r="R699" s="268"/>
      <c r="S699" s="268"/>
      <c r="T699" s="268"/>
      <c r="U699" s="268"/>
      <c r="V699" s="268"/>
      <c r="W699" s="268"/>
      <c r="X699" s="268"/>
      <c r="Y699" s="268"/>
      <c r="Z699" s="268"/>
    </row>
    <row r="700" spans="1:26" ht="12.75" customHeight="1">
      <c r="A700" s="268"/>
      <c r="B700" s="268"/>
      <c r="C700" s="268"/>
      <c r="D700" s="268"/>
      <c r="E700" s="268"/>
      <c r="F700" s="268"/>
      <c r="G700" s="268"/>
      <c r="H700" s="268"/>
      <c r="I700" s="268"/>
      <c r="J700" s="268"/>
      <c r="K700" s="268"/>
      <c r="L700" s="268"/>
      <c r="M700" s="268"/>
      <c r="N700" s="268"/>
      <c r="O700" s="268"/>
      <c r="P700" s="268"/>
      <c r="Q700" s="268"/>
      <c r="R700" s="268"/>
      <c r="S700" s="268"/>
      <c r="T700" s="268"/>
      <c r="U700" s="268"/>
      <c r="V700" s="268"/>
      <c r="W700" s="268"/>
      <c r="X700" s="268"/>
      <c r="Y700" s="268"/>
      <c r="Z700" s="268"/>
    </row>
    <row r="701" spans="1:26" ht="12.75" customHeight="1">
      <c r="A701" s="268"/>
      <c r="B701" s="268"/>
      <c r="C701" s="268"/>
      <c r="D701" s="268"/>
      <c r="E701" s="268"/>
      <c r="F701" s="268"/>
      <c r="G701" s="268"/>
      <c r="H701" s="268"/>
      <c r="I701" s="268"/>
      <c r="J701" s="268"/>
      <c r="K701" s="268"/>
      <c r="L701" s="268"/>
      <c r="M701" s="268"/>
      <c r="N701" s="268"/>
      <c r="O701" s="268"/>
      <c r="P701" s="268"/>
      <c r="Q701" s="268"/>
      <c r="R701" s="268"/>
      <c r="S701" s="268"/>
      <c r="T701" s="268"/>
      <c r="U701" s="268"/>
      <c r="V701" s="268"/>
      <c r="W701" s="268"/>
      <c r="X701" s="268"/>
      <c r="Y701" s="268"/>
      <c r="Z701" s="268"/>
    </row>
    <row r="702" spans="1:26" ht="12.75" customHeight="1">
      <c r="A702" s="268"/>
      <c r="B702" s="268"/>
      <c r="C702" s="268"/>
      <c r="D702" s="268"/>
      <c r="E702" s="268"/>
      <c r="F702" s="268"/>
      <c r="G702" s="268"/>
      <c r="H702" s="268"/>
      <c r="I702" s="268"/>
      <c r="J702" s="268"/>
      <c r="K702" s="268"/>
      <c r="L702" s="268"/>
      <c r="M702" s="268"/>
      <c r="N702" s="268"/>
      <c r="O702" s="268"/>
      <c r="P702" s="268"/>
      <c r="Q702" s="268"/>
      <c r="R702" s="268"/>
      <c r="S702" s="268"/>
      <c r="T702" s="268"/>
      <c r="U702" s="268"/>
      <c r="V702" s="268"/>
      <c r="W702" s="268"/>
      <c r="X702" s="268"/>
      <c r="Y702" s="268"/>
      <c r="Z702" s="268"/>
    </row>
    <row r="703" spans="1:26" ht="12.75" customHeight="1">
      <c r="A703" s="268"/>
      <c r="B703" s="268"/>
      <c r="C703" s="268"/>
      <c r="D703" s="268"/>
      <c r="E703" s="268"/>
      <c r="F703" s="268"/>
      <c r="G703" s="268"/>
      <c r="H703" s="268"/>
      <c r="I703" s="268"/>
      <c r="J703" s="268"/>
      <c r="K703" s="268"/>
      <c r="L703" s="268"/>
      <c r="M703" s="268"/>
      <c r="N703" s="268"/>
      <c r="O703" s="268"/>
      <c r="P703" s="268"/>
      <c r="Q703" s="268"/>
      <c r="R703" s="268"/>
      <c r="S703" s="268"/>
      <c r="T703" s="268"/>
      <c r="U703" s="268"/>
      <c r="V703" s="268"/>
      <c r="W703" s="268"/>
      <c r="X703" s="268"/>
      <c r="Y703" s="268"/>
      <c r="Z703" s="268"/>
    </row>
    <row r="704" spans="1:26" ht="12.75" customHeight="1">
      <c r="A704" s="268"/>
      <c r="B704" s="268"/>
      <c r="C704" s="268"/>
      <c r="D704" s="268"/>
      <c r="E704" s="268"/>
      <c r="F704" s="268"/>
      <c r="G704" s="268"/>
      <c r="H704" s="268"/>
      <c r="I704" s="268"/>
      <c r="J704" s="268"/>
      <c r="K704" s="268"/>
      <c r="L704" s="268"/>
      <c r="M704" s="268"/>
      <c r="N704" s="268"/>
      <c r="O704" s="268"/>
      <c r="P704" s="268"/>
      <c r="Q704" s="268"/>
      <c r="R704" s="268"/>
      <c r="S704" s="268"/>
      <c r="T704" s="268"/>
      <c r="U704" s="268"/>
      <c r="V704" s="268"/>
      <c r="W704" s="268"/>
      <c r="X704" s="268"/>
      <c r="Y704" s="268"/>
      <c r="Z704" s="268"/>
    </row>
    <row r="705" spans="1:26" ht="12.75" customHeight="1">
      <c r="A705" s="268"/>
      <c r="B705" s="268"/>
      <c r="C705" s="268"/>
      <c r="D705" s="268"/>
      <c r="E705" s="268"/>
      <c r="F705" s="268"/>
      <c r="G705" s="268"/>
      <c r="H705" s="268"/>
      <c r="I705" s="268"/>
      <c r="J705" s="268"/>
      <c r="K705" s="268"/>
      <c r="L705" s="268"/>
      <c r="M705" s="268"/>
      <c r="N705" s="268"/>
      <c r="O705" s="268"/>
      <c r="P705" s="268"/>
      <c r="Q705" s="268"/>
      <c r="R705" s="268"/>
      <c r="S705" s="268"/>
      <c r="T705" s="268"/>
      <c r="U705" s="268"/>
      <c r="V705" s="268"/>
      <c r="W705" s="268"/>
      <c r="X705" s="268"/>
      <c r="Y705" s="268"/>
      <c r="Z705" s="268"/>
    </row>
    <row r="706" spans="1:26" ht="12.75" customHeight="1">
      <c r="A706" s="268"/>
      <c r="B706" s="268"/>
      <c r="C706" s="268"/>
      <c r="D706" s="268"/>
      <c r="E706" s="268"/>
      <c r="F706" s="268"/>
      <c r="G706" s="268"/>
      <c r="H706" s="268"/>
      <c r="I706" s="268"/>
      <c r="J706" s="268"/>
      <c r="K706" s="268"/>
      <c r="L706" s="268"/>
      <c r="M706" s="268"/>
      <c r="N706" s="268"/>
      <c r="O706" s="268"/>
      <c r="P706" s="268"/>
      <c r="Q706" s="268"/>
      <c r="R706" s="268"/>
      <c r="S706" s="268"/>
      <c r="T706" s="268"/>
      <c r="U706" s="268"/>
      <c r="V706" s="268"/>
      <c r="W706" s="268"/>
      <c r="X706" s="268"/>
      <c r="Y706" s="268"/>
      <c r="Z706" s="268"/>
    </row>
    <row r="707" spans="1:26" ht="12.75" customHeight="1">
      <c r="A707" s="268"/>
      <c r="B707" s="268"/>
      <c r="C707" s="268"/>
      <c r="D707" s="268"/>
      <c r="E707" s="268"/>
      <c r="F707" s="268"/>
      <c r="G707" s="268"/>
      <c r="H707" s="268"/>
      <c r="I707" s="268"/>
      <c r="J707" s="268"/>
      <c r="K707" s="268"/>
      <c r="L707" s="268"/>
      <c r="M707" s="268"/>
      <c r="N707" s="268"/>
      <c r="O707" s="268"/>
      <c r="P707" s="268"/>
      <c r="Q707" s="268"/>
      <c r="R707" s="268"/>
      <c r="S707" s="268"/>
      <c r="T707" s="268"/>
      <c r="U707" s="268"/>
      <c r="V707" s="268"/>
      <c r="W707" s="268"/>
      <c r="X707" s="268"/>
      <c r="Y707" s="268"/>
      <c r="Z707" s="268"/>
    </row>
    <row r="708" spans="1:26" ht="12.75" customHeight="1">
      <c r="A708" s="268"/>
      <c r="B708" s="268"/>
      <c r="C708" s="268"/>
      <c r="D708" s="268"/>
      <c r="E708" s="268"/>
      <c r="F708" s="268"/>
      <c r="G708" s="268"/>
      <c r="H708" s="268"/>
      <c r="I708" s="268"/>
      <c r="J708" s="268"/>
      <c r="K708" s="268"/>
      <c r="L708" s="268"/>
      <c r="M708" s="268"/>
      <c r="N708" s="268"/>
      <c r="O708" s="268"/>
      <c r="P708" s="268"/>
      <c r="Q708" s="268"/>
      <c r="R708" s="268"/>
      <c r="S708" s="268"/>
      <c r="T708" s="268"/>
      <c r="U708" s="268"/>
      <c r="V708" s="268"/>
      <c r="W708" s="268"/>
      <c r="X708" s="268"/>
      <c r="Y708" s="268"/>
      <c r="Z708" s="268"/>
    </row>
    <row r="709" spans="1:26" ht="12.75" customHeight="1">
      <c r="A709" s="268"/>
      <c r="B709" s="268"/>
      <c r="C709" s="268"/>
      <c r="D709" s="268"/>
      <c r="E709" s="268"/>
      <c r="F709" s="268"/>
      <c r="G709" s="268"/>
      <c r="H709" s="268"/>
      <c r="I709" s="268"/>
      <c r="J709" s="268"/>
      <c r="K709" s="268"/>
      <c r="L709" s="268"/>
      <c r="M709" s="268"/>
      <c r="N709" s="268"/>
      <c r="O709" s="268"/>
      <c r="P709" s="268"/>
      <c r="Q709" s="268"/>
      <c r="R709" s="268"/>
      <c r="S709" s="268"/>
      <c r="T709" s="268"/>
      <c r="U709" s="268"/>
      <c r="V709" s="268"/>
      <c r="W709" s="268"/>
      <c r="X709" s="268"/>
      <c r="Y709" s="268"/>
      <c r="Z709" s="268"/>
    </row>
    <row r="710" spans="1:26" ht="12.75" customHeight="1">
      <c r="A710" s="268"/>
      <c r="B710" s="268"/>
      <c r="C710" s="268"/>
      <c r="D710" s="268"/>
      <c r="E710" s="268"/>
      <c r="F710" s="268"/>
      <c r="G710" s="268"/>
      <c r="H710" s="268"/>
      <c r="I710" s="268"/>
      <c r="J710" s="268"/>
      <c r="K710" s="268"/>
      <c r="L710" s="268"/>
      <c r="M710" s="268"/>
      <c r="N710" s="268"/>
      <c r="O710" s="268"/>
      <c r="P710" s="268"/>
      <c r="Q710" s="268"/>
      <c r="R710" s="268"/>
      <c r="S710" s="268"/>
      <c r="T710" s="268"/>
      <c r="U710" s="268"/>
      <c r="V710" s="268"/>
      <c r="W710" s="268"/>
      <c r="X710" s="268"/>
      <c r="Y710" s="268"/>
      <c r="Z710" s="268"/>
    </row>
    <row r="711" spans="1:26" ht="12.75" customHeight="1">
      <c r="A711" s="268"/>
      <c r="B711" s="268"/>
      <c r="C711" s="268"/>
      <c r="D711" s="268"/>
      <c r="E711" s="268"/>
      <c r="F711" s="268"/>
      <c r="G711" s="268"/>
      <c r="H711" s="268"/>
      <c r="I711" s="268"/>
      <c r="J711" s="268"/>
      <c r="K711" s="268"/>
      <c r="L711" s="268"/>
      <c r="M711" s="268"/>
      <c r="N711" s="268"/>
      <c r="O711" s="268"/>
      <c r="P711" s="268"/>
      <c r="Q711" s="268"/>
      <c r="R711" s="268"/>
      <c r="S711" s="268"/>
      <c r="T711" s="268"/>
      <c r="U711" s="268"/>
      <c r="V711" s="268"/>
      <c r="W711" s="268"/>
      <c r="X711" s="268"/>
      <c r="Y711" s="268"/>
      <c r="Z711" s="268"/>
    </row>
    <row r="712" spans="1:26" ht="12.75" customHeight="1">
      <c r="A712" s="268"/>
      <c r="B712" s="268"/>
      <c r="C712" s="268"/>
      <c r="D712" s="268"/>
      <c r="E712" s="268"/>
      <c r="F712" s="268"/>
      <c r="G712" s="268"/>
      <c r="H712" s="268"/>
      <c r="I712" s="268"/>
      <c r="J712" s="268"/>
      <c r="K712" s="268"/>
      <c r="L712" s="268"/>
      <c r="M712" s="268"/>
      <c r="N712" s="268"/>
      <c r="O712" s="268"/>
      <c r="P712" s="268"/>
      <c r="Q712" s="268"/>
      <c r="R712" s="268"/>
      <c r="S712" s="268"/>
      <c r="T712" s="268"/>
      <c r="U712" s="268"/>
      <c r="V712" s="268"/>
      <c r="W712" s="268"/>
      <c r="X712" s="268"/>
      <c r="Y712" s="268"/>
      <c r="Z712" s="268"/>
    </row>
    <row r="713" spans="1:26" ht="12.75" customHeight="1">
      <c r="A713" s="268"/>
      <c r="B713" s="268"/>
      <c r="C713" s="268"/>
      <c r="D713" s="268"/>
      <c r="E713" s="268"/>
      <c r="F713" s="268"/>
      <c r="G713" s="268"/>
      <c r="H713" s="268"/>
      <c r="I713" s="268"/>
      <c r="J713" s="268"/>
      <c r="K713" s="268"/>
      <c r="L713" s="268"/>
      <c r="M713" s="268"/>
      <c r="N713" s="268"/>
      <c r="O713" s="268"/>
      <c r="P713" s="268"/>
      <c r="Q713" s="268"/>
      <c r="R713" s="268"/>
      <c r="S713" s="268"/>
      <c r="T713" s="268"/>
      <c r="U713" s="268"/>
      <c r="V713" s="268"/>
      <c r="W713" s="268"/>
      <c r="X713" s="268"/>
      <c r="Y713" s="268"/>
      <c r="Z713" s="268"/>
    </row>
    <row r="714" spans="1:26" ht="12.75" customHeight="1">
      <c r="A714" s="268"/>
      <c r="B714" s="268"/>
      <c r="C714" s="268"/>
      <c r="D714" s="268"/>
      <c r="E714" s="268"/>
      <c r="F714" s="268"/>
      <c r="G714" s="268"/>
      <c r="H714" s="268"/>
      <c r="I714" s="268"/>
      <c r="J714" s="268"/>
      <c r="K714" s="268"/>
      <c r="L714" s="268"/>
      <c r="M714" s="268"/>
      <c r="N714" s="268"/>
      <c r="O714" s="268"/>
      <c r="P714" s="268"/>
      <c r="Q714" s="268"/>
      <c r="R714" s="268"/>
      <c r="S714" s="268"/>
      <c r="T714" s="268"/>
      <c r="U714" s="268"/>
      <c r="V714" s="268"/>
      <c r="W714" s="268"/>
      <c r="X714" s="268"/>
      <c r="Y714" s="268"/>
      <c r="Z714" s="268"/>
    </row>
    <row r="715" spans="1:26" ht="12.75" customHeight="1">
      <c r="A715" s="268"/>
      <c r="B715" s="268"/>
      <c r="C715" s="268"/>
      <c r="D715" s="268"/>
      <c r="E715" s="268"/>
      <c r="F715" s="268"/>
      <c r="G715" s="268"/>
      <c r="H715" s="268"/>
      <c r="I715" s="268"/>
      <c r="J715" s="268"/>
      <c r="K715" s="268"/>
      <c r="L715" s="268"/>
      <c r="M715" s="268"/>
      <c r="N715" s="268"/>
      <c r="O715" s="268"/>
      <c r="P715" s="268"/>
      <c r="Q715" s="268"/>
      <c r="R715" s="268"/>
      <c r="S715" s="268"/>
      <c r="T715" s="268"/>
      <c r="U715" s="268"/>
      <c r="V715" s="268"/>
      <c r="W715" s="268"/>
      <c r="X715" s="268"/>
      <c r="Y715" s="268"/>
      <c r="Z715" s="268"/>
    </row>
    <row r="716" spans="1:26" ht="12.75" customHeight="1">
      <c r="A716" s="268"/>
      <c r="B716" s="268"/>
      <c r="C716" s="268"/>
      <c r="D716" s="268"/>
      <c r="E716" s="268"/>
      <c r="F716" s="268"/>
      <c r="G716" s="268"/>
      <c r="H716" s="268"/>
      <c r="I716" s="268"/>
      <c r="J716" s="268"/>
      <c r="K716" s="268"/>
      <c r="L716" s="268"/>
      <c r="M716" s="268"/>
      <c r="N716" s="268"/>
      <c r="O716" s="268"/>
      <c r="P716" s="268"/>
      <c r="Q716" s="268"/>
      <c r="R716" s="268"/>
      <c r="S716" s="268"/>
      <c r="T716" s="268"/>
      <c r="U716" s="268"/>
      <c r="V716" s="268"/>
      <c r="W716" s="268"/>
      <c r="X716" s="268"/>
      <c r="Y716" s="268"/>
      <c r="Z716" s="268"/>
    </row>
    <row r="717" spans="1:26" ht="12.75" customHeight="1">
      <c r="A717" s="268"/>
      <c r="B717" s="268"/>
      <c r="C717" s="268"/>
      <c r="D717" s="268"/>
      <c r="E717" s="268"/>
      <c r="F717" s="268"/>
      <c r="G717" s="268"/>
      <c r="H717" s="268"/>
      <c r="I717" s="268"/>
      <c r="J717" s="268"/>
      <c r="K717" s="268"/>
      <c r="L717" s="268"/>
      <c r="M717" s="268"/>
      <c r="N717" s="268"/>
      <c r="O717" s="268"/>
      <c r="P717" s="268"/>
      <c r="Q717" s="268"/>
      <c r="R717" s="268"/>
      <c r="S717" s="268"/>
      <c r="T717" s="268"/>
      <c r="U717" s="268"/>
      <c r="V717" s="268"/>
      <c r="W717" s="268"/>
      <c r="X717" s="268"/>
      <c r="Y717" s="268"/>
      <c r="Z717" s="268"/>
    </row>
    <row r="718" spans="1:26" ht="12.75" customHeight="1">
      <c r="A718" s="268"/>
      <c r="B718" s="268"/>
      <c r="C718" s="268"/>
      <c r="D718" s="268"/>
      <c r="E718" s="268"/>
      <c r="F718" s="268"/>
      <c r="G718" s="268"/>
      <c r="H718" s="268"/>
      <c r="I718" s="268"/>
      <c r="J718" s="268"/>
      <c r="K718" s="268"/>
      <c r="L718" s="268"/>
      <c r="M718" s="268"/>
      <c r="N718" s="268"/>
      <c r="O718" s="268"/>
      <c r="P718" s="268"/>
      <c r="Q718" s="268"/>
      <c r="R718" s="268"/>
      <c r="S718" s="268"/>
      <c r="T718" s="268"/>
      <c r="U718" s="268"/>
      <c r="V718" s="268"/>
      <c r="W718" s="268"/>
      <c r="X718" s="268"/>
      <c r="Y718" s="268"/>
      <c r="Z718" s="268"/>
    </row>
    <row r="719" spans="1:26" ht="12.75" customHeight="1">
      <c r="A719" s="268"/>
      <c r="B719" s="268"/>
      <c r="C719" s="268"/>
      <c r="D719" s="268"/>
      <c r="E719" s="268"/>
      <c r="F719" s="268"/>
      <c r="G719" s="268"/>
      <c r="H719" s="268"/>
      <c r="I719" s="268"/>
      <c r="J719" s="268"/>
      <c r="K719" s="268"/>
      <c r="L719" s="268"/>
      <c r="M719" s="268"/>
      <c r="N719" s="268"/>
      <c r="O719" s="268"/>
      <c r="P719" s="268"/>
      <c r="Q719" s="268"/>
      <c r="R719" s="268"/>
      <c r="S719" s="268"/>
      <c r="T719" s="268"/>
      <c r="U719" s="268"/>
      <c r="V719" s="268"/>
      <c r="W719" s="268"/>
      <c r="X719" s="268"/>
      <c r="Y719" s="268"/>
      <c r="Z719" s="268"/>
    </row>
    <row r="720" spans="1:26" ht="12.75" customHeight="1">
      <c r="A720" s="268"/>
      <c r="B720" s="268"/>
      <c r="C720" s="268"/>
      <c r="D720" s="268"/>
      <c r="E720" s="268"/>
      <c r="F720" s="268"/>
      <c r="G720" s="268"/>
      <c r="H720" s="268"/>
      <c r="I720" s="268"/>
      <c r="J720" s="268"/>
      <c r="K720" s="268"/>
      <c r="L720" s="268"/>
      <c r="M720" s="268"/>
      <c r="N720" s="268"/>
      <c r="O720" s="268"/>
      <c r="P720" s="268"/>
      <c r="Q720" s="268"/>
      <c r="R720" s="268"/>
      <c r="S720" s="268"/>
      <c r="T720" s="268"/>
      <c r="U720" s="268"/>
      <c r="V720" s="268"/>
      <c r="W720" s="268"/>
      <c r="X720" s="268"/>
      <c r="Y720" s="268"/>
      <c r="Z720" s="268"/>
    </row>
    <row r="721" spans="1:26" ht="12.75" customHeight="1">
      <c r="A721" s="268"/>
      <c r="B721" s="268"/>
      <c r="C721" s="268"/>
      <c r="D721" s="268"/>
      <c r="E721" s="268"/>
      <c r="F721" s="268"/>
      <c r="G721" s="268"/>
      <c r="H721" s="268"/>
      <c r="I721" s="268"/>
      <c r="J721" s="268"/>
      <c r="K721" s="268"/>
      <c r="L721" s="268"/>
      <c r="M721" s="268"/>
      <c r="N721" s="268"/>
      <c r="O721" s="268"/>
      <c r="P721" s="268"/>
      <c r="Q721" s="268"/>
      <c r="R721" s="268"/>
      <c r="S721" s="268"/>
      <c r="T721" s="268"/>
      <c r="U721" s="268"/>
      <c r="V721" s="268"/>
      <c r="W721" s="268"/>
      <c r="X721" s="268"/>
      <c r="Y721" s="268"/>
      <c r="Z721" s="268"/>
    </row>
    <row r="722" spans="1:26" ht="12.75" customHeight="1">
      <c r="A722" s="268"/>
      <c r="B722" s="268"/>
      <c r="C722" s="268"/>
      <c r="D722" s="268"/>
      <c r="E722" s="268"/>
      <c r="F722" s="268"/>
      <c r="G722" s="268"/>
      <c r="H722" s="268"/>
      <c r="I722" s="268"/>
      <c r="J722" s="268"/>
      <c r="K722" s="268"/>
      <c r="L722" s="268"/>
      <c r="M722" s="268"/>
      <c r="N722" s="268"/>
      <c r="O722" s="268"/>
      <c r="P722" s="268"/>
      <c r="Q722" s="268"/>
      <c r="R722" s="268"/>
      <c r="S722" s="268"/>
      <c r="T722" s="268"/>
      <c r="U722" s="268"/>
      <c r="V722" s="268"/>
      <c r="W722" s="268"/>
      <c r="X722" s="268"/>
      <c r="Y722" s="268"/>
      <c r="Z722" s="268"/>
    </row>
    <row r="723" spans="1:26" ht="12.75" customHeight="1">
      <c r="A723" s="268"/>
      <c r="B723" s="268"/>
      <c r="C723" s="268"/>
      <c r="D723" s="268"/>
      <c r="E723" s="268"/>
      <c r="F723" s="268"/>
      <c r="G723" s="268"/>
      <c r="H723" s="268"/>
      <c r="I723" s="268"/>
      <c r="J723" s="268"/>
      <c r="K723" s="268"/>
      <c r="L723" s="268"/>
      <c r="M723" s="268"/>
      <c r="N723" s="268"/>
      <c r="O723" s="268"/>
      <c r="P723" s="268"/>
      <c r="Q723" s="268"/>
      <c r="R723" s="268"/>
      <c r="S723" s="268"/>
      <c r="T723" s="268"/>
      <c r="U723" s="268"/>
      <c r="V723" s="268"/>
      <c r="W723" s="268"/>
      <c r="X723" s="268"/>
      <c r="Y723" s="268"/>
      <c r="Z723" s="268"/>
    </row>
    <row r="724" spans="1:26" ht="12.75" customHeight="1">
      <c r="A724" s="268"/>
      <c r="B724" s="268"/>
      <c r="C724" s="268"/>
      <c r="D724" s="268"/>
      <c r="E724" s="268"/>
      <c r="F724" s="268"/>
      <c r="G724" s="268"/>
      <c r="H724" s="268"/>
      <c r="I724" s="268"/>
      <c r="J724" s="268"/>
      <c r="K724" s="268"/>
      <c r="L724" s="268"/>
      <c r="M724" s="268"/>
      <c r="N724" s="268"/>
      <c r="O724" s="268"/>
      <c r="P724" s="268"/>
      <c r="Q724" s="268"/>
      <c r="R724" s="268"/>
      <c r="S724" s="268"/>
      <c r="T724" s="268"/>
      <c r="U724" s="268"/>
      <c r="V724" s="268"/>
      <c r="W724" s="268"/>
      <c r="X724" s="268"/>
      <c r="Y724" s="268"/>
      <c r="Z724" s="268"/>
    </row>
    <row r="725" spans="1:26" ht="12.75" customHeight="1">
      <c r="A725" s="268"/>
      <c r="B725" s="268"/>
      <c r="C725" s="268"/>
      <c r="D725" s="268"/>
      <c r="E725" s="268"/>
      <c r="F725" s="268"/>
      <c r="G725" s="268"/>
      <c r="H725" s="268"/>
      <c r="I725" s="268"/>
      <c r="J725" s="268"/>
      <c r="K725" s="268"/>
      <c r="L725" s="268"/>
      <c r="M725" s="268"/>
      <c r="N725" s="268"/>
      <c r="O725" s="268"/>
      <c r="P725" s="268"/>
      <c r="Q725" s="268"/>
      <c r="R725" s="268"/>
      <c r="S725" s="268"/>
      <c r="T725" s="268"/>
      <c r="U725" s="268"/>
      <c r="V725" s="268"/>
      <c r="W725" s="268"/>
      <c r="X725" s="268"/>
      <c r="Y725" s="268"/>
      <c r="Z725" s="268"/>
    </row>
    <row r="726" spans="1:26" ht="12.75" customHeight="1">
      <c r="A726" s="268"/>
      <c r="B726" s="268"/>
      <c r="C726" s="268"/>
      <c r="D726" s="268"/>
      <c r="E726" s="268"/>
      <c r="F726" s="268"/>
      <c r="G726" s="268"/>
      <c r="H726" s="268"/>
      <c r="I726" s="268"/>
      <c r="J726" s="268"/>
      <c r="K726" s="268"/>
      <c r="L726" s="268"/>
      <c r="M726" s="268"/>
      <c r="N726" s="268"/>
      <c r="O726" s="268"/>
      <c r="P726" s="268"/>
      <c r="Q726" s="268"/>
      <c r="R726" s="268"/>
      <c r="S726" s="268"/>
      <c r="T726" s="268"/>
      <c r="U726" s="268"/>
      <c r="V726" s="268"/>
      <c r="W726" s="268"/>
      <c r="X726" s="268"/>
      <c r="Y726" s="268"/>
      <c r="Z726" s="268"/>
    </row>
    <row r="727" spans="1:26" ht="12.75" customHeight="1">
      <c r="A727" s="268"/>
      <c r="B727" s="268"/>
      <c r="C727" s="268"/>
      <c r="D727" s="268"/>
      <c r="E727" s="268"/>
      <c r="F727" s="268"/>
      <c r="G727" s="268"/>
      <c r="H727" s="268"/>
      <c r="I727" s="268"/>
      <c r="J727" s="268"/>
      <c r="K727" s="268"/>
      <c r="L727" s="268"/>
      <c r="M727" s="268"/>
      <c r="N727" s="268"/>
      <c r="O727" s="268"/>
      <c r="P727" s="268"/>
      <c r="Q727" s="268"/>
      <c r="R727" s="268"/>
      <c r="S727" s="268"/>
      <c r="T727" s="268"/>
      <c r="U727" s="268"/>
      <c r="V727" s="268"/>
      <c r="W727" s="268"/>
      <c r="X727" s="268"/>
      <c r="Y727" s="268"/>
      <c r="Z727" s="268"/>
    </row>
    <row r="728" spans="1:26" ht="12.75" customHeight="1">
      <c r="A728" s="268"/>
      <c r="B728" s="268"/>
      <c r="C728" s="268"/>
      <c r="D728" s="268"/>
      <c r="E728" s="268"/>
      <c r="F728" s="268"/>
      <c r="G728" s="268"/>
      <c r="H728" s="268"/>
      <c r="I728" s="268"/>
      <c r="J728" s="268"/>
      <c r="K728" s="268"/>
      <c r="L728" s="268"/>
      <c r="M728" s="268"/>
      <c r="N728" s="268"/>
      <c r="O728" s="268"/>
      <c r="P728" s="268"/>
      <c r="Q728" s="268"/>
      <c r="R728" s="268"/>
      <c r="S728" s="268"/>
      <c r="T728" s="268"/>
      <c r="U728" s="268"/>
      <c r="V728" s="268"/>
      <c r="W728" s="268"/>
      <c r="X728" s="268"/>
      <c r="Y728" s="268"/>
      <c r="Z728" s="268"/>
    </row>
    <row r="729" spans="1:26" ht="12.75" customHeight="1">
      <c r="A729" s="268"/>
      <c r="B729" s="268"/>
      <c r="C729" s="268"/>
      <c r="D729" s="268"/>
      <c r="E729" s="268"/>
      <c r="F729" s="268"/>
      <c r="G729" s="268"/>
      <c r="H729" s="268"/>
      <c r="I729" s="268"/>
      <c r="J729" s="268"/>
      <c r="K729" s="268"/>
      <c r="L729" s="268"/>
      <c r="M729" s="268"/>
      <c r="N729" s="268"/>
      <c r="O729" s="268"/>
      <c r="P729" s="268"/>
      <c r="Q729" s="268"/>
      <c r="R729" s="268"/>
      <c r="S729" s="268"/>
      <c r="T729" s="268"/>
      <c r="U729" s="268"/>
      <c r="V729" s="268"/>
      <c r="W729" s="268"/>
      <c r="X729" s="268"/>
      <c r="Y729" s="268"/>
      <c r="Z729" s="268"/>
    </row>
    <row r="730" spans="1:26" ht="12.75" customHeight="1">
      <c r="A730" s="268"/>
      <c r="B730" s="268"/>
      <c r="C730" s="268"/>
      <c r="D730" s="268"/>
      <c r="E730" s="268"/>
      <c r="F730" s="268"/>
      <c r="G730" s="268"/>
      <c r="H730" s="268"/>
      <c r="I730" s="268"/>
      <c r="J730" s="268"/>
      <c r="K730" s="268"/>
      <c r="L730" s="268"/>
      <c r="M730" s="268"/>
      <c r="N730" s="268"/>
      <c r="O730" s="268"/>
      <c r="P730" s="268"/>
      <c r="Q730" s="268"/>
      <c r="R730" s="268"/>
      <c r="S730" s="268"/>
      <c r="T730" s="268"/>
      <c r="U730" s="268"/>
      <c r="V730" s="268"/>
      <c r="W730" s="268"/>
      <c r="X730" s="268"/>
      <c r="Y730" s="268"/>
      <c r="Z730" s="268"/>
    </row>
    <row r="731" spans="1:26" ht="12.75" customHeight="1">
      <c r="A731" s="268"/>
      <c r="B731" s="268"/>
      <c r="C731" s="268"/>
      <c r="D731" s="268"/>
      <c r="E731" s="268"/>
      <c r="F731" s="268"/>
      <c r="G731" s="268"/>
      <c r="H731" s="268"/>
      <c r="I731" s="268"/>
      <c r="J731" s="268"/>
      <c r="K731" s="268"/>
      <c r="L731" s="268"/>
      <c r="M731" s="268"/>
      <c r="N731" s="268"/>
      <c r="O731" s="268"/>
      <c r="P731" s="268"/>
      <c r="Q731" s="268"/>
      <c r="R731" s="268"/>
      <c r="S731" s="268"/>
      <c r="T731" s="268"/>
      <c r="U731" s="268"/>
      <c r="V731" s="268"/>
      <c r="W731" s="268"/>
      <c r="X731" s="268"/>
      <c r="Y731" s="268"/>
      <c r="Z731" s="268"/>
    </row>
    <row r="732" spans="1:26" ht="12.75" customHeight="1">
      <c r="A732" s="268"/>
      <c r="B732" s="268"/>
      <c r="C732" s="268"/>
      <c r="D732" s="268"/>
      <c r="E732" s="268"/>
      <c r="F732" s="268"/>
      <c r="G732" s="268"/>
      <c r="H732" s="268"/>
      <c r="I732" s="268"/>
      <c r="J732" s="268"/>
      <c r="K732" s="268"/>
      <c r="L732" s="268"/>
      <c r="M732" s="268"/>
      <c r="N732" s="268"/>
      <c r="O732" s="268"/>
      <c r="P732" s="268"/>
      <c r="Q732" s="268"/>
      <c r="R732" s="268"/>
      <c r="S732" s="268"/>
      <c r="T732" s="268"/>
      <c r="U732" s="268"/>
      <c r="V732" s="268"/>
      <c r="W732" s="268"/>
      <c r="X732" s="268"/>
      <c r="Y732" s="268"/>
      <c r="Z732" s="268"/>
    </row>
    <row r="733" spans="1:26" ht="12.75" customHeight="1">
      <c r="A733" s="268"/>
      <c r="B733" s="268"/>
      <c r="C733" s="268"/>
      <c r="D733" s="268"/>
      <c r="E733" s="268"/>
      <c r="F733" s="268"/>
      <c r="G733" s="268"/>
      <c r="H733" s="268"/>
      <c r="I733" s="268"/>
      <c r="J733" s="268"/>
      <c r="K733" s="268"/>
      <c r="L733" s="268"/>
      <c r="M733" s="268"/>
      <c r="N733" s="268"/>
      <c r="O733" s="268"/>
      <c r="P733" s="268"/>
      <c r="Q733" s="268"/>
      <c r="R733" s="268"/>
      <c r="S733" s="268"/>
      <c r="T733" s="268"/>
      <c r="U733" s="268"/>
      <c r="V733" s="268"/>
      <c r="W733" s="268"/>
      <c r="X733" s="268"/>
      <c r="Y733" s="268"/>
      <c r="Z733" s="268"/>
    </row>
    <row r="734" spans="1:26" ht="12.75" customHeight="1">
      <c r="A734" s="268"/>
      <c r="B734" s="268"/>
      <c r="C734" s="268"/>
      <c r="D734" s="268"/>
      <c r="E734" s="268"/>
      <c r="F734" s="268"/>
      <c r="G734" s="268"/>
      <c r="H734" s="268"/>
      <c r="I734" s="268"/>
      <c r="J734" s="268"/>
      <c r="K734" s="268"/>
      <c r="L734" s="268"/>
      <c r="M734" s="268"/>
      <c r="N734" s="268"/>
      <c r="O734" s="268"/>
      <c r="P734" s="268"/>
      <c r="Q734" s="268"/>
      <c r="R734" s="268"/>
      <c r="S734" s="268"/>
      <c r="T734" s="268"/>
      <c r="U734" s="268"/>
      <c r="V734" s="268"/>
      <c r="W734" s="268"/>
      <c r="X734" s="268"/>
      <c r="Y734" s="268"/>
      <c r="Z734" s="268"/>
    </row>
    <row r="735" spans="1:26" ht="12.75" customHeight="1">
      <c r="A735" s="268"/>
      <c r="B735" s="268"/>
      <c r="C735" s="268"/>
      <c r="D735" s="268"/>
      <c r="E735" s="268"/>
      <c r="F735" s="268"/>
      <c r="G735" s="268"/>
      <c r="H735" s="268"/>
      <c r="I735" s="268"/>
      <c r="J735" s="268"/>
      <c r="K735" s="268"/>
      <c r="L735" s="268"/>
      <c r="M735" s="268"/>
      <c r="N735" s="268"/>
      <c r="O735" s="268"/>
      <c r="P735" s="268"/>
      <c r="Q735" s="268"/>
      <c r="R735" s="268"/>
      <c r="S735" s="268"/>
      <c r="T735" s="268"/>
      <c r="U735" s="268"/>
      <c r="V735" s="268"/>
      <c r="W735" s="268"/>
      <c r="X735" s="268"/>
      <c r="Y735" s="268"/>
      <c r="Z735" s="268"/>
    </row>
    <row r="736" spans="1:26" ht="12.75" customHeight="1">
      <c r="A736" s="268"/>
      <c r="B736" s="268"/>
      <c r="C736" s="268"/>
      <c r="D736" s="268"/>
      <c r="E736" s="268"/>
      <c r="F736" s="268"/>
      <c r="G736" s="268"/>
      <c r="H736" s="268"/>
      <c r="I736" s="268"/>
      <c r="J736" s="268"/>
      <c r="K736" s="268"/>
      <c r="L736" s="268"/>
      <c r="M736" s="268"/>
      <c r="N736" s="268"/>
      <c r="O736" s="268"/>
      <c r="P736" s="268"/>
      <c r="Q736" s="268"/>
      <c r="R736" s="268"/>
      <c r="S736" s="268"/>
      <c r="T736" s="268"/>
      <c r="U736" s="268"/>
      <c r="V736" s="268"/>
      <c r="W736" s="268"/>
      <c r="X736" s="268"/>
      <c r="Y736" s="268"/>
      <c r="Z736" s="268"/>
    </row>
    <row r="737" spans="1:26" ht="12.75" customHeight="1">
      <c r="A737" s="268"/>
      <c r="B737" s="268"/>
      <c r="C737" s="268"/>
      <c r="D737" s="268"/>
      <c r="E737" s="268"/>
      <c r="F737" s="268"/>
      <c r="G737" s="268"/>
      <c r="H737" s="268"/>
      <c r="I737" s="268"/>
      <c r="J737" s="268"/>
      <c r="K737" s="268"/>
      <c r="L737" s="268"/>
      <c r="M737" s="268"/>
      <c r="N737" s="268"/>
      <c r="O737" s="268"/>
      <c r="P737" s="268"/>
      <c r="Q737" s="268"/>
      <c r="R737" s="268"/>
      <c r="S737" s="268"/>
      <c r="T737" s="268"/>
      <c r="U737" s="268"/>
      <c r="V737" s="268"/>
      <c r="W737" s="268"/>
      <c r="X737" s="268"/>
      <c r="Y737" s="268"/>
      <c r="Z737" s="268"/>
    </row>
    <row r="738" spans="1:26" ht="12.75" customHeight="1">
      <c r="A738" s="268"/>
      <c r="B738" s="268"/>
      <c r="C738" s="268"/>
      <c r="D738" s="268"/>
      <c r="E738" s="268"/>
      <c r="F738" s="268"/>
      <c r="G738" s="268"/>
      <c r="H738" s="268"/>
      <c r="I738" s="268"/>
      <c r="J738" s="268"/>
      <c r="K738" s="268"/>
      <c r="L738" s="268"/>
      <c r="M738" s="268"/>
      <c r="N738" s="268"/>
      <c r="O738" s="268"/>
      <c r="P738" s="268"/>
      <c r="Q738" s="268"/>
      <c r="R738" s="268"/>
      <c r="S738" s="268"/>
      <c r="T738" s="268"/>
      <c r="U738" s="268"/>
      <c r="V738" s="268"/>
      <c r="W738" s="268"/>
      <c r="X738" s="268"/>
      <c r="Y738" s="268"/>
      <c r="Z738" s="268"/>
    </row>
    <row r="739" spans="1:26" ht="12.75" customHeight="1">
      <c r="A739" s="268"/>
      <c r="B739" s="268"/>
      <c r="C739" s="268"/>
      <c r="D739" s="268"/>
      <c r="E739" s="268"/>
      <c r="F739" s="268"/>
      <c r="G739" s="268"/>
      <c r="H739" s="268"/>
      <c r="I739" s="268"/>
      <c r="J739" s="268"/>
      <c r="K739" s="268"/>
      <c r="L739" s="268"/>
      <c r="M739" s="268"/>
      <c r="N739" s="268"/>
      <c r="O739" s="268"/>
      <c r="P739" s="268"/>
      <c r="Q739" s="268"/>
      <c r="R739" s="268"/>
      <c r="S739" s="268"/>
      <c r="T739" s="268"/>
      <c r="U739" s="268"/>
      <c r="V739" s="268"/>
      <c r="W739" s="268"/>
      <c r="X739" s="268"/>
      <c r="Y739" s="268"/>
      <c r="Z739" s="268"/>
    </row>
    <row r="740" spans="1:26" ht="12.75" customHeight="1">
      <c r="A740" s="268"/>
      <c r="B740" s="268"/>
      <c r="C740" s="268"/>
      <c r="D740" s="268"/>
      <c r="E740" s="268"/>
      <c r="F740" s="268"/>
      <c r="G740" s="268"/>
      <c r="H740" s="268"/>
      <c r="I740" s="268"/>
      <c r="J740" s="268"/>
      <c r="K740" s="268"/>
      <c r="L740" s="268"/>
      <c r="M740" s="268"/>
      <c r="N740" s="268"/>
      <c r="O740" s="268"/>
      <c r="P740" s="268"/>
      <c r="Q740" s="268"/>
      <c r="R740" s="268"/>
      <c r="S740" s="268"/>
      <c r="T740" s="268"/>
      <c r="U740" s="268"/>
      <c r="V740" s="268"/>
      <c r="W740" s="268"/>
      <c r="X740" s="268"/>
      <c r="Y740" s="268"/>
      <c r="Z740" s="268"/>
    </row>
    <row r="741" spans="1:26" ht="12.75" customHeight="1">
      <c r="A741" s="268"/>
      <c r="B741" s="268"/>
      <c r="C741" s="268"/>
      <c r="D741" s="268"/>
      <c r="E741" s="268"/>
      <c r="F741" s="268"/>
      <c r="G741" s="268"/>
      <c r="H741" s="268"/>
      <c r="I741" s="268"/>
      <c r="J741" s="268"/>
      <c r="K741" s="268"/>
      <c r="L741" s="268"/>
      <c r="M741" s="268"/>
      <c r="N741" s="268"/>
      <c r="O741" s="268"/>
      <c r="P741" s="268"/>
      <c r="Q741" s="268"/>
      <c r="R741" s="268"/>
      <c r="S741" s="268"/>
      <c r="T741" s="268"/>
      <c r="U741" s="268"/>
      <c r="V741" s="268"/>
      <c r="W741" s="268"/>
      <c r="X741" s="268"/>
      <c r="Y741" s="268"/>
      <c r="Z741" s="268"/>
    </row>
    <row r="742" spans="1:26" ht="12.75" customHeight="1">
      <c r="A742" s="268"/>
      <c r="B742" s="268"/>
      <c r="C742" s="268"/>
      <c r="D742" s="268"/>
      <c r="E742" s="268"/>
      <c r="F742" s="268"/>
      <c r="G742" s="268"/>
      <c r="H742" s="268"/>
      <c r="I742" s="268"/>
      <c r="J742" s="268"/>
      <c r="K742" s="268"/>
      <c r="L742" s="268"/>
      <c r="M742" s="268"/>
      <c r="N742" s="268"/>
      <c r="O742" s="268"/>
      <c r="P742" s="268"/>
      <c r="Q742" s="268"/>
      <c r="R742" s="268"/>
      <c r="S742" s="268"/>
      <c r="T742" s="268"/>
      <c r="U742" s="268"/>
      <c r="V742" s="268"/>
      <c r="W742" s="268"/>
      <c r="X742" s="268"/>
      <c r="Y742" s="268"/>
      <c r="Z742" s="268"/>
    </row>
    <row r="743" spans="1:26" ht="12.75" customHeight="1">
      <c r="A743" s="268"/>
      <c r="B743" s="268"/>
      <c r="C743" s="268"/>
      <c r="D743" s="268"/>
      <c r="E743" s="268"/>
      <c r="F743" s="268"/>
      <c r="G743" s="268"/>
      <c r="H743" s="268"/>
      <c r="I743" s="268"/>
      <c r="J743" s="268"/>
      <c r="K743" s="268"/>
      <c r="L743" s="268"/>
      <c r="M743" s="268"/>
      <c r="N743" s="268"/>
      <c r="O743" s="268"/>
      <c r="P743" s="268"/>
      <c r="Q743" s="268"/>
      <c r="R743" s="268"/>
      <c r="S743" s="268"/>
      <c r="T743" s="268"/>
      <c r="U743" s="268"/>
      <c r="V743" s="268"/>
      <c r="W743" s="268"/>
      <c r="X743" s="268"/>
      <c r="Y743" s="268"/>
      <c r="Z743" s="268"/>
    </row>
    <row r="744" spans="1:26" ht="12.75" customHeight="1">
      <c r="A744" s="268"/>
      <c r="B744" s="268"/>
      <c r="C744" s="268"/>
      <c r="D744" s="268"/>
      <c r="E744" s="268"/>
      <c r="F744" s="268"/>
      <c r="G744" s="268"/>
      <c r="H744" s="268"/>
      <c r="I744" s="268"/>
      <c r="J744" s="268"/>
      <c r="K744" s="268"/>
      <c r="L744" s="268"/>
      <c r="M744" s="268"/>
      <c r="N744" s="268"/>
      <c r="O744" s="268"/>
      <c r="P744" s="268"/>
      <c r="Q744" s="268"/>
      <c r="R744" s="268"/>
      <c r="S744" s="268"/>
      <c r="T744" s="268"/>
      <c r="U744" s="268"/>
      <c r="V744" s="268"/>
      <c r="W744" s="268"/>
      <c r="X744" s="268"/>
      <c r="Y744" s="268"/>
      <c r="Z744" s="268"/>
    </row>
    <row r="745" spans="1:26" ht="12.75" customHeight="1">
      <c r="A745" s="268"/>
      <c r="B745" s="268"/>
      <c r="C745" s="268"/>
      <c r="D745" s="268"/>
      <c r="E745" s="268"/>
      <c r="F745" s="268"/>
      <c r="G745" s="268"/>
      <c r="H745" s="268"/>
      <c r="I745" s="268"/>
      <c r="J745" s="268"/>
      <c r="K745" s="268"/>
      <c r="L745" s="268"/>
      <c r="M745" s="268"/>
      <c r="N745" s="268"/>
      <c r="O745" s="268"/>
      <c r="P745" s="268"/>
      <c r="Q745" s="268"/>
      <c r="R745" s="268"/>
      <c r="S745" s="268"/>
      <c r="T745" s="268"/>
      <c r="U745" s="268"/>
      <c r="V745" s="268"/>
      <c r="W745" s="268"/>
      <c r="X745" s="268"/>
      <c r="Y745" s="268"/>
      <c r="Z745" s="268"/>
    </row>
    <row r="746" spans="1:26" ht="12.75" customHeight="1">
      <c r="A746" s="268"/>
      <c r="B746" s="268"/>
      <c r="C746" s="268"/>
      <c r="D746" s="268"/>
      <c r="E746" s="268"/>
      <c r="F746" s="268"/>
      <c r="G746" s="268"/>
      <c r="H746" s="268"/>
      <c r="I746" s="268"/>
      <c r="J746" s="268"/>
      <c r="K746" s="268"/>
      <c r="L746" s="268"/>
      <c r="M746" s="268"/>
      <c r="N746" s="268"/>
      <c r="O746" s="268"/>
      <c r="P746" s="268"/>
      <c r="Q746" s="268"/>
      <c r="R746" s="268"/>
      <c r="S746" s="268"/>
      <c r="T746" s="268"/>
      <c r="U746" s="268"/>
      <c r="V746" s="268"/>
      <c r="W746" s="268"/>
      <c r="X746" s="268"/>
      <c r="Y746" s="268"/>
      <c r="Z746" s="268"/>
    </row>
    <row r="747" spans="1:26" ht="12.75" customHeight="1">
      <c r="A747" s="268"/>
      <c r="B747" s="268"/>
      <c r="C747" s="268"/>
      <c r="D747" s="268"/>
      <c r="E747" s="268"/>
      <c r="F747" s="268"/>
      <c r="G747" s="268"/>
      <c r="H747" s="268"/>
      <c r="I747" s="268"/>
      <c r="J747" s="268"/>
      <c r="K747" s="268"/>
      <c r="L747" s="268"/>
      <c r="M747" s="268"/>
      <c r="N747" s="268"/>
      <c r="O747" s="268"/>
      <c r="P747" s="268"/>
      <c r="Q747" s="268"/>
      <c r="R747" s="268"/>
      <c r="S747" s="268"/>
      <c r="T747" s="268"/>
      <c r="U747" s="268"/>
      <c r="V747" s="268"/>
      <c r="W747" s="268"/>
      <c r="X747" s="268"/>
      <c r="Y747" s="268"/>
      <c r="Z747" s="268"/>
    </row>
    <row r="748" spans="1:26" ht="12.75" customHeight="1">
      <c r="A748" s="268"/>
      <c r="B748" s="268"/>
      <c r="C748" s="268"/>
      <c r="D748" s="268"/>
      <c r="E748" s="268"/>
      <c r="F748" s="268"/>
      <c r="G748" s="268"/>
      <c r="H748" s="268"/>
      <c r="I748" s="268"/>
      <c r="J748" s="268"/>
      <c r="K748" s="268"/>
      <c r="L748" s="268"/>
      <c r="M748" s="268"/>
      <c r="N748" s="268"/>
      <c r="O748" s="268"/>
      <c r="P748" s="268"/>
      <c r="Q748" s="268"/>
      <c r="R748" s="268"/>
      <c r="S748" s="268"/>
      <c r="T748" s="268"/>
      <c r="U748" s="268"/>
      <c r="V748" s="268"/>
      <c r="W748" s="268"/>
      <c r="X748" s="268"/>
      <c r="Y748" s="268"/>
      <c r="Z748" s="268"/>
    </row>
    <row r="749" spans="1:26" ht="12.75" customHeight="1">
      <c r="A749" s="268"/>
      <c r="B749" s="268"/>
      <c r="C749" s="268"/>
      <c r="D749" s="268"/>
      <c r="E749" s="268"/>
      <c r="F749" s="268"/>
      <c r="G749" s="268"/>
      <c r="H749" s="268"/>
      <c r="I749" s="268"/>
      <c r="J749" s="268"/>
      <c r="K749" s="268"/>
      <c r="L749" s="268"/>
      <c r="M749" s="268"/>
      <c r="N749" s="268"/>
      <c r="O749" s="268"/>
      <c r="P749" s="268"/>
      <c r="Q749" s="268"/>
      <c r="R749" s="268"/>
      <c r="S749" s="268"/>
      <c r="T749" s="268"/>
      <c r="U749" s="268"/>
      <c r="V749" s="268"/>
      <c r="W749" s="268"/>
      <c r="X749" s="268"/>
      <c r="Y749" s="268"/>
      <c r="Z749" s="268"/>
    </row>
    <row r="750" spans="1:26" ht="12.75" customHeight="1">
      <c r="A750" s="268"/>
      <c r="B750" s="268"/>
      <c r="C750" s="268"/>
      <c r="D750" s="268"/>
      <c r="E750" s="268"/>
      <c r="F750" s="268"/>
      <c r="G750" s="268"/>
      <c r="H750" s="268"/>
      <c r="I750" s="268"/>
      <c r="J750" s="268"/>
      <c r="K750" s="268"/>
      <c r="L750" s="268"/>
      <c r="M750" s="268"/>
      <c r="N750" s="268"/>
      <c r="O750" s="268"/>
      <c r="P750" s="268"/>
      <c r="Q750" s="268"/>
      <c r="R750" s="268"/>
      <c r="S750" s="268"/>
      <c r="T750" s="268"/>
      <c r="U750" s="268"/>
      <c r="V750" s="268"/>
      <c r="W750" s="268"/>
      <c r="X750" s="268"/>
      <c r="Y750" s="268"/>
      <c r="Z750" s="268"/>
    </row>
    <row r="751" spans="1:26" ht="12.75" customHeight="1">
      <c r="A751" s="268"/>
      <c r="B751" s="268"/>
      <c r="C751" s="268"/>
      <c r="D751" s="268"/>
      <c r="E751" s="268"/>
      <c r="F751" s="268"/>
      <c r="G751" s="268"/>
      <c r="H751" s="268"/>
      <c r="I751" s="268"/>
      <c r="J751" s="268"/>
      <c r="K751" s="268"/>
      <c r="L751" s="268"/>
      <c r="M751" s="268"/>
      <c r="N751" s="268"/>
      <c r="O751" s="268"/>
      <c r="P751" s="268"/>
      <c r="Q751" s="268"/>
      <c r="R751" s="268"/>
      <c r="S751" s="268"/>
      <c r="T751" s="268"/>
      <c r="U751" s="268"/>
      <c r="V751" s="268"/>
      <c r="W751" s="268"/>
      <c r="X751" s="268"/>
      <c r="Y751" s="268"/>
      <c r="Z751" s="268"/>
    </row>
    <row r="752" spans="1:26" ht="12.75" customHeight="1">
      <c r="A752" s="268"/>
      <c r="B752" s="268"/>
      <c r="C752" s="268"/>
      <c r="D752" s="268"/>
      <c r="E752" s="268"/>
      <c r="F752" s="268"/>
      <c r="G752" s="268"/>
      <c r="H752" s="268"/>
      <c r="I752" s="268"/>
      <c r="J752" s="268"/>
      <c r="K752" s="268"/>
      <c r="L752" s="268"/>
      <c r="M752" s="268"/>
      <c r="N752" s="268"/>
      <c r="O752" s="268"/>
      <c r="P752" s="268"/>
      <c r="Q752" s="268"/>
      <c r="R752" s="268"/>
      <c r="S752" s="268"/>
      <c r="T752" s="268"/>
      <c r="U752" s="268"/>
      <c r="V752" s="268"/>
      <c r="W752" s="268"/>
      <c r="X752" s="268"/>
      <c r="Y752" s="268"/>
      <c r="Z752" s="268"/>
    </row>
    <row r="753" spans="1:26" ht="12.75" customHeight="1">
      <c r="A753" s="268"/>
      <c r="B753" s="268"/>
      <c r="C753" s="268"/>
      <c r="D753" s="268"/>
      <c r="E753" s="268"/>
      <c r="F753" s="268"/>
      <c r="G753" s="268"/>
      <c r="H753" s="268"/>
      <c r="I753" s="268"/>
      <c r="J753" s="268"/>
      <c r="K753" s="268"/>
      <c r="L753" s="268"/>
      <c r="M753" s="268"/>
      <c r="N753" s="268"/>
      <c r="O753" s="268"/>
      <c r="P753" s="268"/>
      <c r="Q753" s="268"/>
      <c r="R753" s="268"/>
      <c r="S753" s="268"/>
      <c r="T753" s="268"/>
      <c r="U753" s="268"/>
      <c r="V753" s="268"/>
      <c r="W753" s="268"/>
      <c r="X753" s="268"/>
      <c r="Y753" s="268"/>
      <c r="Z753" s="268"/>
    </row>
    <row r="754" spans="1:26" ht="12.75" customHeight="1">
      <c r="A754" s="268"/>
      <c r="B754" s="268"/>
      <c r="C754" s="268"/>
      <c r="D754" s="268"/>
      <c r="E754" s="268"/>
      <c r="F754" s="268"/>
      <c r="G754" s="268"/>
      <c r="H754" s="268"/>
      <c r="I754" s="268"/>
      <c r="J754" s="268"/>
      <c r="K754" s="268"/>
      <c r="L754" s="268"/>
      <c r="M754" s="268"/>
      <c r="N754" s="268"/>
      <c r="O754" s="268"/>
      <c r="P754" s="268"/>
      <c r="Q754" s="268"/>
      <c r="R754" s="268"/>
      <c r="S754" s="268"/>
      <c r="T754" s="268"/>
      <c r="U754" s="268"/>
      <c r="V754" s="268"/>
      <c r="W754" s="268"/>
      <c r="X754" s="268"/>
      <c r="Y754" s="268"/>
      <c r="Z754" s="268"/>
    </row>
    <row r="755" spans="1:26" ht="12.75" customHeight="1">
      <c r="A755" s="268"/>
      <c r="B755" s="268"/>
      <c r="C755" s="268"/>
      <c r="D755" s="268"/>
      <c r="E755" s="268"/>
      <c r="F755" s="268"/>
      <c r="G755" s="268"/>
      <c r="H755" s="268"/>
      <c r="I755" s="268"/>
      <c r="J755" s="268"/>
      <c r="K755" s="268"/>
      <c r="L755" s="268"/>
      <c r="M755" s="268"/>
      <c r="N755" s="268"/>
      <c r="O755" s="268"/>
      <c r="P755" s="268"/>
      <c r="Q755" s="268"/>
      <c r="R755" s="268"/>
      <c r="S755" s="268"/>
      <c r="T755" s="268"/>
      <c r="U755" s="268"/>
      <c r="V755" s="268"/>
      <c r="W755" s="268"/>
      <c r="X755" s="268"/>
      <c r="Y755" s="268"/>
      <c r="Z755" s="268"/>
    </row>
    <row r="756" spans="1:26" ht="12.75" customHeight="1">
      <c r="A756" s="268"/>
      <c r="B756" s="268"/>
      <c r="C756" s="268"/>
      <c r="D756" s="268"/>
      <c r="E756" s="268"/>
      <c r="F756" s="268"/>
      <c r="G756" s="268"/>
      <c r="H756" s="268"/>
      <c r="I756" s="268"/>
      <c r="J756" s="268"/>
      <c r="K756" s="268"/>
      <c r="L756" s="268"/>
      <c r="M756" s="268"/>
      <c r="N756" s="268"/>
      <c r="O756" s="268"/>
      <c r="P756" s="268"/>
      <c r="Q756" s="268"/>
      <c r="R756" s="268"/>
      <c r="S756" s="268"/>
      <c r="T756" s="268"/>
      <c r="U756" s="268"/>
      <c r="V756" s="268"/>
      <c r="W756" s="268"/>
      <c r="X756" s="268"/>
      <c r="Y756" s="268"/>
      <c r="Z756" s="268"/>
    </row>
    <row r="757" spans="1:26" ht="12.75" customHeight="1">
      <c r="A757" s="268"/>
      <c r="B757" s="268"/>
      <c r="C757" s="268"/>
      <c r="D757" s="268"/>
      <c r="E757" s="268"/>
      <c r="F757" s="268"/>
      <c r="G757" s="268"/>
      <c r="H757" s="268"/>
      <c r="I757" s="268"/>
      <c r="J757" s="268"/>
      <c r="K757" s="268"/>
      <c r="L757" s="268"/>
      <c r="M757" s="268"/>
      <c r="N757" s="268"/>
      <c r="O757" s="268"/>
      <c r="P757" s="268"/>
      <c r="Q757" s="268"/>
      <c r="R757" s="268"/>
      <c r="S757" s="268"/>
      <c r="T757" s="268"/>
      <c r="U757" s="268"/>
      <c r="V757" s="268"/>
      <c r="W757" s="268"/>
      <c r="X757" s="268"/>
      <c r="Y757" s="268"/>
      <c r="Z757" s="268"/>
    </row>
    <row r="758" spans="1:26" ht="12.75" customHeight="1">
      <c r="A758" s="268"/>
      <c r="B758" s="268"/>
      <c r="C758" s="268"/>
      <c r="D758" s="268"/>
      <c r="E758" s="268"/>
      <c r="F758" s="268"/>
      <c r="G758" s="268"/>
      <c r="H758" s="268"/>
      <c r="I758" s="268"/>
      <c r="J758" s="268"/>
      <c r="K758" s="268"/>
      <c r="L758" s="268"/>
      <c r="M758" s="268"/>
      <c r="N758" s="268"/>
      <c r="O758" s="268"/>
      <c r="P758" s="268"/>
      <c r="Q758" s="268"/>
      <c r="R758" s="268"/>
      <c r="S758" s="268"/>
      <c r="T758" s="268"/>
      <c r="U758" s="268"/>
      <c r="V758" s="268"/>
      <c r="W758" s="268"/>
      <c r="X758" s="268"/>
      <c r="Y758" s="268"/>
      <c r="Z758" s="268"/>
    </row>
    <row r="759" spans="1:26" ht="12.75" customHeight="1">
      <c r="A759" s="268"/>
      <c r="B759" s="268"/>
      <c r="C759" s="268"/>
      <c r="D759" s="268"/>
      <c r="E759" s="268"/>
      <c r="F759" s="268"/>
      <c r="G759" s="268"/>
      <c r="H759" s="268"/>
      <c r="I759" s="268"/>
      <c r="J759" s="268"/>
      <c r="K759" s="268"/>
      <c r="L759" s="268"/>
      <c r="M759" s="268"/>
      <c r="N759" s="268"/>
      <c r="O759" s="268"/>
      <c r="P759" s="268"/>
      <c r="Q759" s="268"/>
      <c r="R759" s="268"/>
      <c r="S759" s="268"/>
      <c r="T759" s="268"/>
      <c r="U759" s="268"/>
      <c r="V759" s="268"/>
      <c r="W759" s="268"/>
      <c r="X759" s="268"/>
      <c r="Y759" s="268"/>
      <c r="Z759" s="268"/>
    </row>
    <row r="760" spans="1:26" ht="12.75" customHeight="1">
      <c r="A760" s="268"/>
      <c r="B760" s="268"/>
      <c r="C760" s="268"/>
      <c r="D760" s="268"/>
      <c r="E760" s="268"/>
      <c r="F760" s="268"/>
      <c r="G760" s="268"/>
      <c r="H760" s="268"/>
      <c r="I760" s="268"/>
      <c r="J760" s="268"/>
      <c r="K760" s="268"/>
      <c r="L760" s="268"/>
      <c r="M760" s="268"/>
      <c r="N760" s="268"/>
      <c r="O760" s="268"/>
      <c r="P760" s="268"/>
      <c r="Q760" s="268"/>
      <c r="R760" s="268"/>
      <c r="S760" s="268"/>
      <c r="T760" s="268"/>
      <c r="U760" s="268"/>
      <c r="V760" s="268"/>
      <c r="W760" s="268"/>
      <c r="X760" s="268"/>
      <c r="Y760" s="268"/>
      <c r="Z760" s="268"/>
    </row>
    <row r="761" spans="1:26" ht="12.75" customHeight="1">
      <c r="A761" s="268"/>
      <c r="B761" s="268"/>
      <c r="C761" s="268"/>
      <c r="D761" s="268"/>
      <c r="E761" s="268"/>
      <c r="F761" s="268"/>
      <c r="G761" s="268"/>
      <c r="H761" s="268"/>
      <c r="I761" s="268"/>
      <c r="J761" s="268"/>
      <c r="K761" s="268"/>
      <c r="L761" s="268"/>
      <c r="M761" s="268"/>
      <c r="N761" s="268"/>
      <c r="O761" s="268"/>
      <c r="P761" s="268"/>
      <c r="Q761" s="268"/>
      <c r="R761" s="268"/>
      <c r="S761" s="268"/>
      <c r="T761" s="268"/>
      <c r="U761" s="268"/>
      <c r="V761" s="268"/>
      <c r="W761" s="268"/>
      <c r="X761" s="268"/>
      <c r="Y761" s="268"/>
      <c r="Z761" s="268"/>
    </row>
    <row r="762" spans="1:26" ht="12.75" customHeight="1">
      <c r="A762" s="268"/>
      <c r="B762" s="268"/>
      <c r="C762" s="268"/>
      <c r="D762" s="268"/>
      <c r="E762" s="268"/>
      <c r="F762" s="268"/>
      <c r="G762" s="268"/>
      <c r="H762" s="268"/>
      <c r="I762" s="268"/>
      <c r="J762" s="268"/>
      <c r="K762" s="268"/>
      <c r="L762" s="268"/>
      <c r="M762" s="268"/>
      <c r="N762" s="268"/>
      <c r="O762" s="268"/>
      <c r="P762" s="268"/>
      <c r="Q762" s="268"/>
      <c r="R762" s="268"/>
      <c r="S762" s="268"/>
      <c r="T762" s="268"/>
      <c r="U762" s="268"/>
      <c r="V762" s="268"/>
      <c r="W762" s="268"/>
      <c r="X762" s="268"/>
      <c r="Y762" s="268"/>
      <c r="Z762" s="268"/>
    </row>
    <row r="763" spans="1:26" ht="12.75" customHeight="1">
      <c r="A763" s="268"/>
      <c r="B763" s="268"/>
      <c r="C763" s="268"/>
      <c r="D763" s="268"/>
      <c r="E763" s="268"/>
      <c r="F763" s="268"/>
      <c r="G763" s="268"/>
      <c r="H763" s="268"/>
      <c r="I763" s="268"/>
      <c r="J763" s="268"/>
      <c r="K763" s="268"/>
      <c r="L763" s="268"/>
      <c r="M763" s="268"/>
      <c r="N763" s="268"/>
      <c r="O763" s="268"/>
      <c r="P763" s="268"/>
      <c r="Q763" s="268"/>
      <c r="R763" s="268"/>
      <c r="S763" s="268"/>
      <c r="T763" s="268"/>
      <c r="U763" s="268"/>
      <c r="V763" s="268"/>
      <c r="W763" s="268"/>
      <c r="X763" s="268"/>
      <c r="Y763" s="268"/>
      <c r="Z763" s="268"/>
    </row>
    <row r="764" spans="1:26" ht="12.75" customHeight="1">
      <c r="A764" s="268"/>
      <c r="B764" s="268"/>
      <c r="C764" s="268"/>
      <c r="D764" s="268"/>
      <c r="E764" s="268"/>
      <c r="F764" s="268"/>
      <c r="G764" s="268"/>
      <c r="H764" s="268"/>
      <c r="I764" s="268"/>
      <c r="J764" s="268"/>
      <c r="K764" s="268"/>
      <c r="L764" s="268"/>
      <c r="M764" s="268"/>
      <c r="N764" s="268"/>
      <c r="O764" s="268"/>
      <c r="P764" s="268"/>
      <c r="Q764" s="268"/>
      <c r="R764" s="268"/>
      <c r="S764" s="268"/>
      <c r="T764" s="268"/>
      <c r="U764" s="268"/>
      <c r="V764" s="268"/>
      <c r="W764" s="268"/>
      <c r="X764" s="268"/>
      <c r="Y764" s="268"/>
      <c r="Z764" s="268"/>
    </row>
    <row r="765" spans="1:26" ht="12.75" customHeight="1">
      <c r="A765" s="268"/>
      <c r="B765" s="268"/>
      <c r="C765" s="268"/>
      <c r="D765" s="268"/>
      <c r="E765" s="268"/>
      <c r="F765" s="268"/>
      <c r="G765" s="268"/>
      <c r="H765" s="268"/>
      <c r="I765" s="268"/>
      <c r="J765" s="268"/>
      <c r="K765" s="268"/>
      <c r="L765" s="268"/>
      <c r="M765" s="268"/>
      <c r="N765" s="268"/>
      <c r="O765" s="268"/>
      <c r="P765" s="268"/>
      <c r="Q765" s="268"/>
      <c r="R765" s="268"/>
      <c r="S765" s="268"/>
      <c r="T765" s="268"/>
      <c r="U765" s="268"/>
      <c r="V765" s="268"/>
      <c r="W765" s="268"/>
      <c r="X765" s="268"/>
      <c r="Y765" s="268"/>
      <c r="Z765" s="268"/>
    </row>
    <row r="766" spans="1:26" ht="12.75" customHeight="1">
      <c r="A766" s="268"/>
      <c r="B766" s="268"/>
      <c r="C766" s="268"/>
      <c r="D766" s="268"/>
      <c r="E766" s="268"/>
      <c r="F766" s="268"/>
      <c r="G766" s="268"/>
      <c r="H766" s="268"/>
      <c r="I766" s="268"/>
      <c r="J766" s="268"/>
      <c r="K766" s="268"/>
      <c r="L766" s="268"/>
      <c r="M766" s="268"/>
      <c r="N766" s="268"/>
      <c r="O766" s="268"/>
      <c r="P766" s="268"/>
      <c r="Q766" s="268"/>
      <c r="R766" s="268"/>
      <c r="S766" s="268"/>
      <c r="T766" s="268"/>
      <c r="U766" s="268"/>
      <c r="V766" s="268"/>
      <c r="W766" s="268"/>
      <c r="X766" s="268"/>
      <c r="Y766" s="268"/>
      <c r="Z766" s="268"/>
    </row>
    <row r="767" spans="1:26" ht="12.75" customHeight="1">
      <c r="A767" s="268"/>
      <c r="B767" s="268"/>
      <c r="C767" s="268"/>
      <c r="D767" s="268"/>
      <c r="E767" s="268"/>
      <c r="F767" s="268"/>
      <c r="G767" s="268"/>
      <c r="H767" s="268"/>
      <c r="I767" s="268"/>
      <c r="J767" s="268"/>
      <c r="K767" s="268"/>
      <c r="L767" s="268"/>
      <c r="M767" s="268"/>
      <c r="N767" s="268"/>
      <c r="O767" s="268"/>
      <c r="P767" s="268"/>
      <c r="Q767" s="268"/>
      <c r="R767" s="268"/>
      <c r="S767" s="268"/>
      <c r="T767" s="268"/>
      <c r="U767" s="268"/>
      <c r="V767" s="268"/>
      <c r="W767" s="268"/>
      <c r="X767" s="268"/>
      <c r="Y767" s="268"/>
      <c r="Z767" s="268"/>
    </row>
    <row r="768" spans="1:26" ht="12.75" customHeight="1">
      <c r="A768" s="268"/>
      <c r="B768" s="268"/>
      <c r="C768" s="268"/>
      <c r="D768" s="268"/>
      <c r="E768" s="268"/>
      <c r="F768" s="268"/>
      <c r="G768" s="268"/>
      <c r="H768" s="268"/>
      <c r="I768" s="268"/>
      <c r="J768" s="268"/>
      <c r="K768" s="268"/>
      <c r="L768" s="268"/>
      <c r="M768" s="268"/>
      <c r="N768" s="268"/>
      <c r="O768" s="268"/>
      <c r="P768" s="268"/>
      <c r="Q768" s="268"/>
      <c r="R768" s="268"/>
      <c r="S768" s="268"/>
      <c r="T768" s="268"/>
      <c r="U768" s="268"/>
      <c r="V768" s="268"/>
      <c r="W768" s="268"/>
      <c r="X768" s="268"/>
      <c r="Y768" s="268"/>
      <c r="Z768" s="268"/>
    </row>
    <row r="769" spans="1:26" ht="12.75" customHeight="1">
      <c r="A769" s="268"/>
      <c r="B769" s="268"/>
      <c r="C769" s="268"/>
      <c r="D769" s="268"/>
      <c r="E769" s="268"/>
      <c r="F769" s="268"/>
      <c r="G769" s="268"/>
      <c r="H769" s="268"/>
      <c r="I769" s="268"/>
      <c r="J769" s="268"/>
      <c r="K769" s="268"/>
      <c r="L769" s="268"/>
      <c r="M769" s="268"/>
      <c r="N769" s="268"/>
      <c r="O769" s="268"/>
      <c r="P769" s="268"/>
      <c r="Q769" s="268"/>
      <c r="R769" s="268"/>
      <c r="S769" s="268"/>
      <c r="T769" s="268"/>
      <c r="U769" s="268"/>
      <c r="V769" s="268"/>
      <c r="W769" s="268"/>
      <c r="X769" s="268"/>
      <c r="Y769" s="268"/>
      <c r="Z769" s="268"/>
    </row>
    <row r="770" spans="1:26" ht="12.75" customHeight="1">
      <c r="A770" s="268"/>
      <c r="B770" s="268"/>
      <c r="C770" s="268"/>
      <c r="D770" s="268"/>
      <c r="E770" s="268"/>
      <c r="F770" s="268"/>
      <c r="G770" s="268"/>
      <c r="H770" s="268"/>
      <c r="I770" s="268"/>
      <c r="J770" s="268"/>
      <c r="K770" s="268"/>
      <c r="L770" s="268"/>
      <c r="M770" s="268"/>
      <c r="N770" s="268"/>
      <c r="O770" s="268"/>
      <c r="P770" s="268"/>
      <c r="Q770" s="268"/>
      <c r="R770" s="268"/>
      <c r="S770" s="268"/>
      <c r="T770" s="268"/>
      <c r="U770" s="268"/>
      <c r="V770" s="268"/>
      <c r="W770" s="268"/>
      <c r="X770" s="268"/>
      <c r="Y770" s="268"/>
      <c r="Z770" s="268"/>
    </row>
    <row r="771" spans="1:26" ht="12.75" customHeight="1">
      <c r="A771" s="268"/>
      <c r="B771" s="268"/>
      <c r="C771" s="268"/>
      <c r="D771" s="268"/>
      <c r="E771" s="268"/>
      <c r="F771" s="268"/>
      <c r="G771" s="268"/>
      <c r="H771" s="268"/>
      <c r="I771" s="268"/>
      <c r="J771" s="268"/>
      <c r="K771" s="268"/>
      <c r="L771" s="268"/>
      <c r="M771" s="268"/>
      <c r="N771" s="268"/>
      <c r="O771" s="268"/>
      <c r="P771" s="268"/>
      <c r="Q771" s="268"/>
      <c r="R771" s="268"/>
      <c r="S771" s="268"/>
      <c r="T771" s="268"/>
      <c r="U771" s="268"/>
      <c r="V771" s="268"/>
      <c r="W771" s="268"/>
      <c r="X771" s="268"/>
      <c r="Y771" s="268"/>
      <c r="Z771" s="268"/>
    </row>
    <row r="772" spans="1:26" ht="12.75" customHeight="1">
      <c r="A772" s="268"/>
      <c r="B772" s="268"/>
      <c r="C772" s="268"/>
      <c r="D772" s="268"/>
      <c r="E772" s="268"/>
      <c r="F772" s="268"/>
      <c r="G772" s="268"/>
      <c r="H772" s="268"/>
      <c r="I772" s="268"/>
      <c r="J772" s="268"/>
      <c r="K772" s="268"/>
      <c r="L772" s="268"/>
      <c r="M772" s="268"/>
      <c r="N772" s="268"/>
      <c r="O772" s="268"/>
      <c r="P772" s="268"/>
      <c r="Q772" s="268"/>
      <c r="R772" s="268"/>
      <c r="S772" s="268"/>
      <c r="T772" s="268"/>
      <c r="U772" s="268"/>
      <c r="V772" s="268"/>
      <c r="W772" s="268"/>
      <c r="X772" s="268"/>
      <c r="Y772" s="268"/>
      <c r="Z772" s="268"/>
    </row>
    <row r="773" spans="1:26" ht="12.75" customHeight="1">
      <c r="A773" s="268"/>
      <c r="B773" s="268"/>
      <c r="C773" s="268"/>
      <c r="D773" s="268"/>
      <c r="E773" s="268"/>
      <c r="F773" s="268"/>
      <c r="G773" s="268"/>
      <c r="H773" s="268"/>
      <c r="I773" s="268"/>
      <c r="J773" s="268"/>
      <c r="K773" s="268"/>
      <c r="L773" s="268"/>
      <c r="M773" s="268"/>
      <c r="N773" s="268"/>
      <c r="O773" s="268"/>
      <c r="P773" s="268"/>
      <c r="Q773" s="268"/>
      <c r="R773" s="268"/>
      <c r="S773" s="268"/>
      <c r="T773" s="268"/>
      <c r="U773" s="268"/>
      <c r="V773" s="268"/>
      <c r="W773" s="268"/>
      <c r="X773" s="268"/>
      <c r="Y773" s="268"/>
      <c r="Z773" s="268"/>
    </row>
    <row r="774" spans="1:26" ht="12.75" customHeight="1">
      <c r="A774" s="268"/>
      <c r="B774" s="268"/>
      <c r="C774" s="268"/>
      <c r="D774" s="268"/>
      <c r="E774" s="268"/>
      <c r="F774" s="268"/>
      <c r="G774" s="268"/>
      <c r="H774" s="268"/>
      <c r="I774" s="268"/>
      <c r="J774" s="268"/>
      <c r="K774" s="268"/>
      <c r="L774" s="268"/>
      <c r="M774" s="268"/>
      <c r="N774" s="268"/>
      <c r="O774" s="268"/>
      <c r="P774" s="268"/>
      <c r="Q774" s="268"/>
      <c r="R774" s="268"/>
      <c r="S774" s="268"/>
      <c r="T774" s="268"/>
      <c r="U774" s="268"/>
      <c r="V774" s="268"/>
      <c r="W774" s="268"/>
      <c r="X774" s="268"/>
      <c r="Y774" s="268"/>
      <c r="Z774" s="268"/>
    </row>
    <row r="775" spans="1:26" ht="12.75" customHeight="1">
      <c r="A775" s="268"/>
      <c r="B775" s="268"/>
      <c r="C775" s="268"/>
      <c r="D775" s="268"/>
      <c r="E775" s="268"/>
      <c r="F775" s="268"/>
      <c r="G775" s="268"/>
      <c r="H775" s="268"/>
      <c r="I775" s="268"/>
      <c r="J775" s="268"/>
      <c r="K775" s="268"/>
      <c r="L775" s="268"/>
      <c r="M775" s="268"/>
      <c r="N775" s="268"/>
      <c r="O775" s="268"/>
      <c r="P775" s="268"/>
      <c r="Q775" s="268"/>
      <c r="R775" s="268"/>
      <c r="S775" s="268"/>
      <c r="T775" s="268"/>
      <c r="U775" s="268"/>
      <c r="V775" s="268"/>
      <c r="W775" s="268"/>
      <c r="X775" s="268"/>
      <c r="Y775" s="268"/>
      <c r="Z775" s="268"/>
    </row>
    <row r="776" spans="1:26" ht="12.75" customHeight="1">
      <c r="A776" s="268"/>
      <c r="B776" s="268"/>
      <c r="C776" s="268"/>
      <c r="D776" s="268"/>
      <c r="E776" s="268"/>
      <c r="F776" s="268"/>
      <c r="G776" s="268"/>
      <c r="H776" s="268"/>
      <c r="I776" s="268"/>
      <c r="J776" s="268"/>
      <c r="K776" s="268"/>
      <c r="L776" s="268"/>
      <c r="M776" s="268"/>
      <c r="N776" s="268"/>
      <c r="O776" s="268"/>
      <c r="P776" s="268"/>
      <c r="Q776" s="268"/>
      <c r="R776" s="268"/>
      <c r="S776" s="268"/>
      <c r="T776" s="268"/>
      <c r="U776" s="268"/>
      <c r="V776" s="268"/>
      <c r="W776" s="268"/>
      <c r="X776" s="268"/>
      <c r="Y776" s="268"/>
      <c r="Z776" s="268"/>
    </row>
    <row r="777" spans="1:26" ht="12.75" customHeight="1">
      <c r="A777" s="268"/>
      <c r="B777" s="268"/>
      <c r="C777" s="268"/>
      <c r="D777" s="268"/>
      <c r="E777" s="268"/>
      <c r="F777" s="268"/>
      <c r="G777" s="268"/>
      <c r="H777" s="268"/>
      <c r="I777" s="268"/>
      <c r="J777" s="268"/>
      <c r="K777" s="268"/>
      <c r="L777" s="268"/>
      <c r="M777" s="268"/>
      <c r="N777" s="268"/>
      <c r="O777" s="268"/>
      <c r="P777" s="268"/>
      <c r="Q777" s="268"/>
      <c r="R777" s="268"/>
      <c r="S777" s="268"/>
      <c r="T777" s="268"/>
      <c r="U777" s="268"/>
      <c r="V777" s="268"/>
      <c r="W777" s="268"/>
      <c r="X777" s="268"/>
      <c r="Y777" s="268"/>
      <c r="Z777" s="268"/>
    </row>
    <row r="778" spans="1:26" ht="12.75" customHeight="1">
      <c r="A778" s="268"/>
      <c r="B778" s="268"/>
      <c r="C778" s="268"/>
      <c r="D778" s="268"/>
      <c r="E778" s="268"/>
      <c r="F778" s="268"/>
      <c r="G778" s="268"/>
      <c r="H778" s="268"/>
      <c r="I778" s="268"/>
      <c r="J778" s="268"/>
      <c r="K778" s="268"/>
      <c r="L778" s="268"/>
      <c r="M778" s="268"/>
      <c r="N778" s="268"/>
      <c r="O778" s="268"/>
      <c r="P778" s="268"/>
      <c r="Q778" s="268"/>
      <c r="R778" s="268"/>
      <c r="S778" s="268"/>
      <c r="T778" s="268"/>
      <c r="U778" s="268"/>
      <c r="V778" s="268"/>
      <c r="W778" s="268"/>
      <c r="X778" s="268"/>
      <c r="Y778" s="268"/>
      <c r="Z778" s="268"/>
    </row>
    <row r="779" spans="1:26" ht="12.75" customHeight="1">
      <c r="A779" s="268"/>
      <c r="B779" s="268"/>
      <c r="C779" s="268"/>
      <c r="D779" s="268"/>
      <c r="E779" s="268"/>
      <c r="F779" s="268"/>
      <c r="G779" s="268"/>
      <c r="H779" s="268"/>
      <c r="I779" s="268"/>
      <c r="J779" s="268"/>
      <c r="K779" s="268"/>
      <c r="L779" s="268"/>
      <c r="M779" s="268"/>
      <c r="N779" s="268"/>
      <c r="O779" s="268"/>
      <c r="P779" s="268"/>
      <c r="Q779" s="268"/>
      <c r="R779" s="268"/>
      <c r="S779" s="268"/>
      <c r="T779" s="268"/>
      <c r="U779" s="268"/>
      <c r="V779" s="268"/>
      <c r="W779" s="268"/>
      <c r="X779" s="268"/>
      <c r="Y779" s="268"/>
      <c r="Z779" s="268"/>
    </row>
    <row r="780" spans="1:26" ht="12.75" customHeight="1">
      <c r="A780" s="268"/>
      <c r="B780" s="268"/>
      <c r="C780" s="268"/>
      <c r="D780" s="268"/>
      <c r="E780" s="268"/>
      <c r="F780" s="268"/>
      <c r="G780" s="268"/>
      <c r="H780" s="268"/>
      <c r="I780" s="268"/>
      <c r="J780" s="268"/>
      <c r="K780" s="268"/>
      <c r="L780" s="268"/>
      <c r="M780" s="268"/>
      <c r="N780" s="268"/>
      <c r="O780" s="268"/>
      <c r="P780" s="268"/>
      <c r="Q780" s="268"/>
      <c r="R780" s="268"/>
      <c r="S780" s="268"/>
      <c r="T780" s="268"/>
      <c r="U780" s="268"/>
      <c r="V780" s="268"/>
      <c r="W780" s="268"/>
      <c r="X780" s="268"/>
      <c r="Y780" s="268"/>
      <c r="Z780" s="268"/>
    </row>
    <row r="781" spans="1:26" ht="12.75" customHeight="1">
      <c r="A781" s="268"/>
      <c r="B781" s="268"/>
      <c r="C781" s="268"/>
      <c r="D781" s="268"/>
      <c r="E781" s="268"/>
      <c r="F781" s="268"/>
      <c r="G781" s="268"/>
      <c r="H781" s="268"/>
      <c r="I781" s="268"/>
      <c r="J781" s="268"/>
      <c r="K781" s="268"/>
      <c r="L781" s="268"/>
      <c r="M781" s="268"/>
      <c r="N781" s="268"/>
      <c r="O781" s="268"/>
      <c r="P781" s="268"/>
      <c r="Q781" s="268"/>
      <c r="R781" s="268"/>
      <c r="S781" s="268"/>
      <c r="T781" s="268"/>
      <c r="U781" s="268"/>
      <c r="V781" s="268"/>
      <c r="W781" s="268"/>
      <c r="X781" s="268"/>
      <c r="Y781" s="268"/>
      <c r="Z781" s="268"/>
    </row>
    <row r="782" spans="1:26" ht="12.75" customHeight="1">
      <c r="A782" s="268"/>
      <c r="B782" s="268"/>
      <c r="C782" s="268"/>
      <c r="D782" s="268"/>
      <c r="E782" s="268"/>
      <c r="F782" s="268"/>
      <c r="G782" s="268"/>
      <c r="H782" s="268"/>
      <c r="I782" s="268"/>
      <c r="J782" s="268"/>
      <c r="K782" s="268"/>
      <c r="L782" s="268"/>
      <c r="M782" s="268"/>
      <c r="N782" s="268"/>
      <c r="O782" s="268"/>
      <c r="P782" s="268"/>
      <c r="Q782" s="268"/>
      <c r="R782" s="268"/>
      <c r="S782" s="268"/>
      <c r="T782" s="268"/>
      <c r="U782" s="268"/>
      <c r="V782" s="268"/>
      <c r="W782" s="268"/>
      <c r="X782" s="268"/>
      <c r="Y782" s="268"/>
      <c r="Z782" s="268"/>
    </row>
    <row r="783" spans="1:26" ht="12.75" customHeight="1">
      <c r="A783" s="268"/>
      <c r="B783" s="268"/>
      <c r="C783" s="268"/>
      <c r="D783" s="268"/>
      <c r="E783" s="268"/>
      <c r="F783" s="268"/>
      <c r="G783" s="268"/>
      <c r="H783" s="268"/>
      <c r="I783" s="268"/>
      <c r="J783" s="268"/>
      <c r="K783" s="268"/>
      <c r="L783" s="268"/>
      <c r="M783" s="268"/>
      <c r="N783" s="268"/>
      <c r="O783" s="268"/>
      <c r="P783" s="268"/>
      <c r="Q783" s="268"/>
      <c r="R783" s="268"/>
      <c r="S783" s="268"/>
      <c r="T783" s="268"/>
      <c r="U783" s="268"/>
      <c r="V783" s="268"/>
      <c r="W783" s="268"/>
      <c r="X783" s="268"/>
      <c r="Y783" s="268"/>
      <c r="Z783" s="268"/>
    </row>
    <row r="784" spans="1:26" ht="12.75" customHeight="1">
      <c r="A784" s="268"/>
      <c r="B784" s="268"/>
      <c r="C784" s="268"/>
      <c r="D784" s="268"/>
      <c r="E784" s="268"/>
      <c r="F784" s="268"/>
      <c r="G784" s="268"/>
      <c r="H784" s="268"/>
      <c r="I784" s="268"/>
      <c r="J784" s="268"/>
      <c r="K784" s="268"/>
      <c r="L784" s="268"/>
      <c r="M784" s="268"/>
      <c r="N784" s="268"/>
      <c r="O784" s="268"/>
      <c r="P784" s="268"/>
      <c r="Q784" s="268"/>
      <c r="R784" s="268"/>
      <c r="S784" s="268"/>
      <c r="T784" s="268"/>
      <c r="U784" s="268"/>
      <c r="V784" s="268"/>
      <c r="W784" s="268"/>
      <c r="X784" s="268"/>
      <c r="Y784" s="268"/>
      <c r="Z784" s="268"/>
    </row>
    <row r="785" spans="1:26" ht="12.75" customHeight="1">
      <c r="A785" s="268"/>
      <c r="B785" s="268"/>
      <c r="C785" s="268"/>
      <c r="D785" s="268"/>
      <c r="E785" s="268"/>
      <c r="F785" s="268"/>
      <c r="G785" s="268"/>
      <c r="H785" s="268"/>
      <c r="I785" s="268"/>
      <c r="J785" s="268"/>
      <c r="K785" s="268"/>
      <c r="L785" s="268"/>
      <c r="M785" s="268"/>
      <c r="N785" s="268"/>
      <c r="O785" s="268"/>
      <c r="P785" s="268"/>
      <c r="Q785" s="268"/>
      <c r="R785" s="268"/>
      <c r="S785" s="268"/>
      <c r="T785" s="268"/>
      <c r="U785" s="268"/>
      <c r="V785" s="268"/>
      <c r="W785" s="268"/>
      <c r="X785" s="268"/>
      <c r="Y785" s="268"/>
      <c r="Z785" s="268"/>
    </row>
    <row r="786" spans="1:26" ht="12.75" customHeight="1">
      <c r="A786" s="268"/>
      <c r="B786" s="268"/>
      <c r="C786" s="268"/>
      <c r="D786" s="268"/>
      <c r="E786" s="268"/>
      <c r="F786" s="268"/>
      <c r="G786" s="268"/>
      <c r="H786" s="268"/>
      <c r="I786" s="268"/>
      <c r="J786" s="268"/>
      <c r="K786" s="268"/>
      <c r="L786" s="268"/>
      <c r="M786" s="268"/>
      <c r="N786" s="268"/>
      <c r="O786" s="268"/>
      <c r="P786" s="268"/>
      <c r="Q786" s="268"/>
      <c r="R786" s="268"/>
      <c r="S786" s="268"/>
      <c r="T786" s="268"/>
      <c r="U786" s="268"/>
      <c r="V786" s="268"/>
      <c r="W786" s="268"/>
      <c r="X786" s="268"/>
      <c r="Y786" s="268"/>
      <c r="Z786" s="268"/>
    </row>
    <row r="787" spans="1:26" ht="12.75" customHeight="1">
      <c r="A787" s="268"/>
      <c r="B787" s="268"/>
      <c r="C787" s="268"/>
      <c r="D787" s="268"/>
      <c r="E787" s="268"/>
      <c r="F787" s="268"/>
      <c r="G787" s="268"/>
      <c r="H787" s="268"/>
      <c r="I787" s="268"/>
      <c r="J787" s="268"/>
      <c r="K787" s="268"/>
      <c r="L787" s="268"/>
      <c r="M787" s="268"/>
      <c r="N787" s="268"/>
      <c r="O787" s="268"/>
      <c r="P787" s="268"/>
      <c r="Q787" s="268"/>
      <c r="R787" s="268"/>
      <c r="S787" s="268"/>
      <c r="T787" s="268"/>
      <c r="U787" s="268"/>
      <c r="V787" s="268"/>
      <c r="W787" s="268"/>
      <c r="X787" s="268"/>
      <c r="Y787" s="268"/>
      <c r="Z787" s="268"/>
    </row>
    <row r="788" spans="1:26" ht="12.75" customHeight="1">
      <c r="A788" s="268"/>
      <c r="B788" s="268"/>
      <c r="C788" s="268"/>
      <c r="D788" s="268"/>
      <c r="E788" s="268"/>
      <c r="F788" s="268"/>
      <c r="G788" s="268"/>
      <c r="H788" s="268"/>
      <c r="I788" s="268"/>
      <c r="J788" s="268"/>
      <c r="K788" s="268"/>
      <c r="L788" s="268"/>
      <c r="M788" s="268"/>
      <c r="N788" s="268"/>
      <c r="O788" s="268"/>
      <c r="P788" s="268"/>
      <c r="Q788" s="268"/>
      <c r="R788" s="268"/>
      <c r="S788" s="268"/>
      <c r="T788" s="268"/>
      <c r="U788" s="268"/>
      <c r="V788" s="268"/>
      <c r="W788" s="268"/>
      <c r="X788" s="268"/>
      <c r="Y788" s="268"/>
      <c r="Z788" s="268"/>
    </row>
    <row r="789" spans="1:26" ht="12.75" customHeight="1">
      <c r="A789" s="268"/>
      <c r="B789" s="268"/>
      <c r="C789" s="268"/>
      <c r="D789" s="268"/>
      <c r="E789" s="268"/>
      <c r="F789" s="268"/>
      <c r="G789" s="268"/>
      <c r="H789" s="268"/>
      <c r="I789" s="268"/>
      <c r="J789" s="268"/>
      <c r="K789" s="268"/>
      <c r="L789" s="268"/>
      <c r="M789" s="268"/>
      <c r="N789" s="268"/>
      <c r="O789" s="268"/>
      <c r="P789" s="268"/>
      <c r="Q789" s="268"/>
      <c r="R789" s="268"/>
      <c r="S789" s="268"/>
      <c r="T789" s="268"/>
      <c r="U789" s="268"/>
      <c r="V789" s="268"/>
      <c r="W789" s="268"/>
      <c r="X789" s="268"/>
      <c r="Y789" s="268"/>
      <c r="Z789" s="268"/>
    </row>
    <row r="790" spans="1:26" ht="12.75" customHeight="1">
      <c r="A790" s="268"/>
      <c r="B790" s="268"/>
      <c r="C790" s="268"/>
      <c r="D790" s="268"/>
      <c r="E790" s="268"/>
      <c r="F790" s="268"/>
      <c r="G790" s="268"/>
      <c r="H790" s="268"/>
      <c r="I790" s="268"/>
      <c r="J790" s="268"/>
      <c r="K790" s="268"/>
      <c r="L790" s="268"/>
      <c r="M790" s="268"/>
      <c r="N790" s="268"/>
      <c r="O790" s="268"/>
      <c r="P790" s="268"/>
      <c r="Q790" s="268"/>
      <c r="R790" s="268"/>
      <c r="S790" s="268"/>
      <c r="T790" s="268"/>
      <c r="U790" s="268"/>
      <c r="V790" s="268"/>
      <c r="W790" s="268"/>
      <c r="X790" s="268"/>
      <c r="Y790" s="268"/>
      <c r="Z790" s="268"/>
    </row>
    <row r="791" spans="1:26" ht="12.75" customHeight="1">
      <c r="A791" s="268"/>
      <c r="B791" s="268"/>
      <c r="C791" s="268"/>
      <c r="D791" s="268"/>
      <c r="E791" s="268"/>
      <c r="F791" s="268"/>
      <c r="G791" s="268"/>
      <c r="H791" s="268"/>
      <c r="I791" s="268"/>
      <c r="J791" s="268"/>
      <c r="K791" s="268"/>
      <c r="L791" s="268"/>
      <c r="M791" s="268"/>
      <c r="N791" s="268"/>
      <c r="O791" s="268"/>
      <c r="P791" s="268"/>
      <c r="Q791" s="268"/>
      <c r="R791" s="268"/>
      <c r="S791" s="268"/>
      <c r="T791" s="268"/>
      <c r="U791" s="268"/>
      <c r="V791" s="268"/>
      <c r="W791" s="268"/>
      <c r="X791" s="268"/>
      <c r="Y791" s="268"/>
      <c r="Z791" s="268"/>
    </row>
    <row r="792" spans="1:26" ht="12.75" customHeight="1">
      <c r="A792" s="268"/>
      <c r="B792" s="268"/>
      <c r="C792" s="268"/>
      <c r="D792" s="268"/>
      <c r="E792" s="268"/>
      <c r="F792" s="268"/>
      <c r="G792" s="268"/>
      <c r="H792" s="268"/>
      <c r="I792" s="268"/>
      <c r="J792" s="268"/>
      <c r="K792" s="268"/>
      <c r="L792" s="268"/>
      <c r="M792" s="268"/>
      <c r="N792" s="268"/>
      <c r="O792" s="268"/>
      <c r="P792" s="268"/>
      <c r="Q792" s="268"/>
      <c r="R792" s="268"/>
      <c r="S792" s="268"/>
      <c r="T792" s="268"/>
      <c r="U792" s="268"/>
      <c r="V792" s="268"/>
      <c r="W792" s="268"/>
      <c r="X792" s="268"/>
      <c r="Y792" s="268"/>
      <c r="Z792" s="268"/>
    </row>
    <row r="793" spans="1:26" ht="12.75" customHeight="1">
      <c r="A793" s="268"/>
      <c r="B793" s="268"/>
      <c r="C793" s="268"/>
      <c r="D793" s="268"/>
      <c r="E793" s="268"/>
      <c r="F793" s="268"/>
      <c r="G793" s="268"/>
      <c r="H793" s="268"/>
      <c r="I793" s="268"/>
      <c r="J793" s="268"/>
      <c r="K793" s="268"/>
      <c r="L793" s="268"/>
      <c r="M793" s="268"/>
      <c r="N793" s="268"/>
      <c r="O793" s="268"/>
      <c r="P793" s="268"/>
      <c r="Q793" s="268"/>
      <c r="R793" s="268"/>
      <c r="S793" s="268"/>
      <c r="T793" s="268"/>
      <c r="U793" s="268"/>
      <c r="V793" s="268"/>
      <c r="W793" s="268"/>
      <c r="X793" s="268"/>
      <c r="Y793" s="268"/>
      <c r="Z793" s="268"/>
    </row>
    <row r="794" spans="1:26" ht="12.75" customHeight="1">
      <c r="A794" s="268"/>
      <c r="B794" s="268"/>
      <c r="C794" s="268"/>
      <c r="D794" s="268"/>
      <c r="E794" s="268"/>
      <c r="F794" s="268"/>
      <c r="G794" s="268"/>
      <c r="H794" s="268"/>
      <c r="I794" s="268"/>
      <c r="J794" s="268"/>
      <c r="K794" s="268"/>
      <c r="L794" s="268"/>
      <c r="M794" s="268"/>
      <c r="N794" s="268"/>
      <c r="O794" s="268"/>
      <c r="P794" s="268"/>
      <c r="Q794" s="268"/>
      <c r="R794" s="268"/>
      <c r="S794" s="268"/>
      <c r="T794" s="268"/>
      <c r="U794" s="268"/>
      <c r="V794" s="268"/>
      <c r="W794" s="268"/>
      <c r="X794" s="268"/>
      <c r="Y794" s="268"/>
      <c r="Z794" s="268"/>
    </row>
    <row r="795" spans="1:26" ht="12.75" customHeight="1">
      <c r="A795" s="268"/>
      <c r="B795" s="268"/>
      <c r="C795" s="268"/>
      <c r="D795" s="268"/>
      <c r="E795" s="268"/>
      <c r="F795" s="268"/>
      <c r="G795" s="268"/>
      <c r="H795" s="268"/>
      <c r="I795" s="268"/>
      <c r="J795" s="268"/>
      <c r="K795" s="268"/>
      <c r="L795" s="268"/>
      <c r="M795" s="268"/>
      <c r="N795" s="268"/>
      <c r="O795" s="268"/>
      <c r="P795" s="268"/>
      <c r="Q795" s="268"/>
      <c r="R795" s="268"/>
      <c r="S795" s="268"/>
      <c r="T795" s="268"/>
      <c r="U795" s="268"/>
      <c r="V795" s="268"/>
      <c r="W795" s="268"/>
      <c r="X795" s="268"/>
      <c r="Y795" s="268"/>
      <c r="Z795" s="268"/>
    </row>
    <row r="796" spans="1:26" ht="12.75" customHeight="1">
      <c r="A796" s="268"/>
      <c r="B796" s="268"/>
      <c r="C796" s="268"/>
      <c r="D796" s="268"/>
      <c r="E796" s="268"/>
      <c r="F796" s="268"/>
      <c r="G796" s="268"/>
      <c r="H796" s="268"/>
      <c r="I796" s="268"/>
      <c r="J796" s="268"/>
      <c r="K796" s="268"/>
      <c r="L796" s="268"/>
      <c r="M796" s="268"/>
      <c r="N796" s="268"/>
      <c r="O796" s="268"/>
      <c r="P796" s="268"/>
      <c r="Q796" s="268"/>
      <c r="R796" s="268"/>
      <c r="S796" s="268"/>
      <c r="T796" s="268"/>
      <c r="U796" s="268"/>
      <c r="V796" s="268"/>
      <c r="W796" s="268"/>
      <c r="X796" s="268"/>
      <c r="Y796" s="268"/>
      <c r="Z796" s="268"/>
    </row>
    <row r="797" spans="1:26" ht="12.75" customHeight="1">
      <c r="A797" s="268"/>
      <c r="B797" s="268"/>
      <c r="C797" s="268"/>
      <c r="D797" s="268"/>
      <c r="E797" s="268"/>
      <c r="F797" s="268"/>
      <c r="G797" s="268"/>
      <c r="H797" s="268"/>
      <c r="I797" s="268"/>
      <c r="J797" s="268"/>
      <c r="K797" s="268"/>
      <c r="L797" s="268"/>
      <c r="M797" s="268"/>
      <c r="N797" s="268"/>
      <c r="O797" s="268"/>
      <c r="P797" s="268"/>
      <c r="Q797" s="268"/>
      <c r="R797" s="268"/>
      <c r="S797" s="268"/>
      <c r="T797" s="268"/>
      <c r="U797" s="268"/>
      <c r="V797" s="268"/>
      <c r="W797" s="268"/>
      <c r="X797" s="268"/>
      <c r="Y797" s="268"/>
      <c r="Z797" s="268"/>
    </row>
    <row r="798" spans="1:26" ht="12.75" customHeight="1">
      <c r="A798" s="268"/>
      <c r="B798" s="268"/>
      <c r="C798" s="268"/>
      <c r="D798" s="268"/>
      <c r="E798" s="268"/>
      <c r="F798" s="268"/>
      <c r="G798" s="268"/>
      <c r="H798" s="268"/>
      <c r="I798" s="268"/>
      <c r="J798" s="268"/>
      <c r="K798" s="268"/>
      <c r="L798" s="268"/>
      <c r="M798" s="268"/>
      <c r="N798" s="268"/>
      <c r="O798" s="268"/>
      <c r="P798" s="268"/>
      <c r="Q798" s="268"/>
      <c r="R798" s="268"/>
      <c r="S798" s="268"/>
      <c r="T798" s="268"/>
      <c r="U798" s="268"/>
      <c r="V798" s="268"/>
      <c r="W798" s="268"/>
      <c r="X798" s="268"/>
      <c r="Y798" s="268"/>
      <c r="Z798" s="268"/>
    </row>
    <row r="799" spans="1:26" ht="12.75" customHeight="1">
      <c r="A799" s="268"/>
      <c r="B799" s="268"/>
      <c r="C799" s="268"/>
      <c r="D799" s="268"/>
      <c r="E799" s="268"/>
      <c r="F799" s="268"/>
      <c r="G799" s="268"/>
      <c r="H799" s="268"/>
      <c r="I799" s="268"/>
      <c r="J799" s="268"/>
      <c r="K799" s="268"/>
      <c r="L799" s="268"/>
      <c r="M799" s="268"/>
      <c r="N799" s="268"/>
      <c r="O799" s="268"/>
      <c r="P799" s="268"/>
      <c r="Q799" s="268"/>
      <c r="R799" s="268"/>
      <c r="S799" s="268"/>
      <c r="T799" s="268"/>
      <c r="U799" s="268"/>
      <c r="V799" s="268"/>
      <c r="W799" s="268"/>
      <c r="X799" s="268"/>
      <c r="Y799" s="268"/>
      <c r="Z799" s="268"/>
    </row>
    <row r="800" spans="1:26" ht="12.75" customHeight="1">
      <c r="A800" s="268"/>
      <c r="B800" s="268"/>
      <c r="C800" s="268"/>
      <c r="D800" s="268"/>
      <c r="E800" s="268"/>
      <c r="F800" s="268"/>
      <c r="G800" s="268"/>
      <c r="H800" s="268"/>
      <c r="I800" s="268"/>
      <c r="J800" s="268"/>
      <c r="K800" s="268"/>
      <c r="L800" s="268"/>
      <c r="M800" s="268"/>
      <c r="N800" s="268"/>
      <c r="O800" s="268"/>
      <c r="P800" s="268"/>
      <c r="Q800" s="268"/>
      <c r="R800" s="268"/>
      <c r="S800" s="268"/>
      <c r="T800" s="268"/>
      <c r="U800" s="268"/>
      <c r="V800" s="268"/>
      <c r="W800" s="268"/>
      <c r="X800" s="268"/>
      <c r="Y800" s="268"/>
      <c r="Z800" s="268"/>
    </row>
    <row r="801" spans="1:26" ht="12.75" customHeight="1">
      <c r="A801" s="268"/>
      <c r="B801" s="268"/>
      <c r="C801" s="268"/>
      <c r="D801" s="268"/>
      <c r="E801" s="268"/>
      <c r="F801" s="268"/>
      <c r="G801" s="268"/>
      <c r="H801" s="268"/>
      <c r="I801" s="268"/>
      <c r="J801" s="268"/>
      <c r="K801" s="268"/>
      <c r="L801" s="268"/>
      <c r="M801" s="268"/>
      <c r="N801" s="268"/>
      <c r="O801" s="268"/>
      <c r="P801" s="268"/>
      <c r="Q801" s="268"/>
      <c r="R801" s="268"/>
      <c r="S801" s="268"/>
      <c r="T801" s="268"/>
      <c r="U801" s="268"/>
      <c r="V801" s="268"/>
      <c r="W801" s="268"/>
      <c r="X801" s="268"/>
      <c r="Y801" s="268"/>
      <c r="Z801" s="268"/>
    </row>
    <row r="802" spans="1:26" ht="12.75" customHeight="1">
      <c r="A802" s="268"/>
      <c r="B802" s="268"/>
      <c r="C802" s="268"/>
      <c r="D802" s="268"/>
      <c r="E802" s="268"/>
      <c r="F802" s="268"/>
      <c r="G802" s="268"/>
      <c r="H802" s="268"/>
      <c r="I802" s="268"/>
      <c r="J802" s="268"/>
      <c r="K802" s="268"/>
      <c r="L802" s="268"/>
      <c r="M802" s="268"/>
      <c r="N802" s="268"/>
      <c r="O802" s="268"/>
      <c r="P802" s="268"/>
      <c r="Q802" s="268"/>
      <c r="R802" s="268"/>
      <c r="S802" s="268"/>
      <c r="T802" s="268"/>
      <c r="U802" s="268"/>
      <c r="V802" s="268"/>
      <c r="W802" s="268"/>
      <c r="X802" s="268"/>
      <c r="Y802" s="268"/>
      <c r="Z802" s="268"/>
    </row>
    <row r="803" spans="1:26" ht="12.75" customHeight="1">
      <c r="A803" s="268"/>
      <c r="B803" s="268"/>
      <c r="C803" s="268"/>
      <c r="D803" s="268"/>
      <c r="E803" s="268"/>
      <c r="F803" s="268"/>
      <c r="G803" s="268"/>
      <c r="H803" s="268"/>
      <c r="I803" s="268"/>
      <c r="J803" s="268"/>
      <c r="K803" s="268"/>
      <c r="L803" s="268"/>
      <c r="M803" s="268"/>
      <c r="N803" s="268"/>
      <c r="O803" s="268"/>
      <c r="P803" s="268"/>
      <c r="Q803" s="268"/>
      <c r="R803" s="268"/>
      <c r="S803" s="268"/>
      <c r="T803" s="268"/>
      <c r="U803" s="268"/>
      <c r="V803" s="268"/>
      <c r="W803" s="268"/>
      <c r="X803" s="268"/>
      <c r="Y803" s="268"/>
      <c r="Z803" s="268"/>
    </row>
    <row r="804" spans="1:26" ht="12.75" customHeight="1">
      <c r="A804" s="268"/>
      <c r="B804" s="268"/>
      <c r="C804" s="268"/>
      <c r="D804" s="268"/>
      <c r="E804" s="268"/>
      <c r="F804" s="268"/>
      <c r="G804" s="268"/>
      <c r="H804" s="268"/>
      <c r="I804" s="268"/>
      <c r="J804" s="268"/>
      <c r="K804" s="268"/>
      <c r="L804" s="268"/>
      <c r="M804" s="268"/>
      <c r="N804" s="268"/>
      <c r="O804" s="268"/>
      <c r="P804" s="268"/>
      <c r="Q804" s="268"/>
      <c r="R804" s="268"/>
      <c r="S804" s="268"/>
      <c r="T804" s="268"/>
      <c r="U804" s="268"/>
      <c r="V804" s="268"/>
      <c r="W804" s="268"/>
      <c r="X804" s="268"/>
      <c r="Y804" s="268"/>
      <c r="Z804" s="268"/>
    </row>
    <row r="805" spans="1:26" ht="12.75" customHeight="1">
      <c r="A805" s="268"/>
      <c r="B805" s="268"/>
      <c r="C805" s="268"/>
      <c r="D805" s="268"/>
      <c r="E805" s="268"/>
      <c r="F805" s="268"/>
      <c r="G805" s="268"/>
      <c r="H805" s="268"/>
      <c r="I805" s="268"/>
      <c r="J805" s="268"/>
      <c r="K805" s="268"/>
      <c r="L805" s="268"/>
      <c r="M805" s="268"/>
      <c r="N805" s="268"/>
      <c r="O805" s="268"/>
      <c r="P805" s="268"/>
      <c r="Q805" s="268"/>
      <c r="R805" s="268"/>
      <c r="S805" s="268"/>
      <c r="T805" s="268"/>
      <c r="U805" s="268"/>
      <c r="V805" s="268"/>
      <c r="W805" s="268"/>
      <c r="X805" s="268"/>
      <c r="Y805" s="268"/>
      <c r="Z805" s="268"/>
    </row>
    <row r="806" spans="1:26" ht="12.75" customHeight="1">
      <c r="A806" s="268"/>
      <c r="B806" s="268"/>
      <c r="C806" s="268"/>
      <c r="D806" s="268"/>
      <c r="E806" s="268"/>
      <c r="F806" s="268"/>
      <c r="G806" s="268"/>
      <c r="H806" s="268"/>
      <c r="I806" s="268"/>
      <c r="J806" s="268"/>
      <c r="K806" s="268"/>
      <c r="L806" s="268"/>
      <c r="M806" s="268"/>
      <c r="N806" s="268"/>
      <c r="O806" s="268"/>
      <c r="P806" s="268"/>
      <c r="Q806" s="268"/>
      <c r="R806" s="268"/>
      <c r="S806" s="268"/>
      <c r="T806" s="268"/>
      <c r="U806" s="268"/>
      <c r="V806" s="268"/>
      <c r="W806" s="268"/>
      <c r="X806" s="268"/>
      <c r="Y806" s="268"/>
      <c r="Z806" s="268"/>
    </row>
    <row r="807" spans="1:26" ht="12.75" customHeight="1">
      <c r="A807" s="268"/>
      <c r="B807" s="268"/>
      <c r="C807" s="268"/>
      <c r="D807" s="268"/>
      <c r="E807" s="268"/>
      <c r="F807" s="268"/>
      <c r="G807" s="268"/>
      <c r="H807" s="268"/>
      <c r="I807" s="268"/>
      <c r="J807" s="268"/>
      <c r="K807" s="268"/>
      <c r="L807" s="268"/>
      <c r="M807" s="268"/>
      <c r="N807" s="268"/>
      <c r="O807" s="268"/>
      <c r="P807" s="268"/>
      <c r="Q807" s="268"/>
      <c r="R807" s="268"/>
      <c r="S807" s="268"/>
      <c r="T807" s="268"/>
      <c r="U807" s="268"/>
      <c r="V807" s="268"/>
      <c r="W807" s="268"/>
      <c r="X807" s="268"/>
      <c r="Y807" s="268"/>
      <c r="Z807" s="268"/>
    </row>
    <row r="808" spans="1:26" ht="12.75" customHeight="1">
      <c r="A808" s="268"/>
      <c r="B808" s="268"/>
      <c r="C808" s="268"/>
      <c r="D808" s="268"/>
      <c r="E808" s="268"/>
      <c r="F808" s="268"/>
      <c r="G808" s="268"/>
      <c r="H808" s="268"/>
      <c r="I808" s="268"/>
      <c r="J808" s="268"/>
      <c r="K808" s="268"/>
      <c r="L808" s="268"/>
      <c r="M808" s="268"/>
      <c r="N808" s="268"/>
      <c r="O808" s="268"/>
      <c r="P808" s="268"/>
      <c r="Q808" s="268"/>
      <c r="R808" s="268"/>
      <c r="S808" s="268"/>
      <c r="T808" s="268"/>
      <c r="U808" s="268"/>
      <c r="V808" s="268"/>
      <c r="W808" s="268"/>
      <c r="X808" s="268"/>
      <c r="Y808" s="268"/>
      <c r="Z808" s="268"/>
    </row>
    <row r="809" spans="1:26" ht="12.75" customHeight="1">
      <c r="A809" s="268"/>
      <c r="B809" s="268"/>
      <c r="C809" s="268"/>
      <c r="D809" s="268"/>
      <c r="E809" s="268"/>
      <c r="F809" s="268"/>
      <c r="G809" s="268"/>
      <c r="H809" s="268"/>
      <c r="I809" s="268"/>
      <c r="J809" s="268"/>
      <c r="K809" s="268"/>
      <c r="L809" s="268"/>
      <c r="M809" s="268"/>
      <c r="N809" s="268"/>
      <c r="O809" s="268"/>
      <c r="P809" s="268"/>
      <c r="Q809" s="268"/>
      <c r="R809" s="268"/>
      <c r="S809" s="268"/>
      <c r="T809" s="268"/>
      <c r="U809" s="268"/>
      <c r="V809" s="268"/>
      <c r="W809" s="268"/>
      <c r="X809" s="268"/>
      <c r="Y809" s="268"/>
      <c r="Z809" s="268"/>
    </row>
    <row r="810" spans="1:26" ht="12.75" customHeight="1">
      <c r="A810" s="268"/>
      <c r="B810" s="268"/>
      <c r="C810" s="268"/>
      <c r="D810" s="268"/>
      <c r="E810" s="268"/>
      <c r="F810" s="268"/>
      <c r="G810" s="268"/>
      <c r="H810" s="268"/>
      <c r="I810" s="268"/>
      <c r="J810" s="268"/>
      <c r="K810" s="268"/>
      <c r="L810" s="268"/>
      <c r="M810" s="268"/>
      <c r="N810" s="268"/>
      <c r="O810" s="268"/>
      <c r="P810" s="268"/>
      <c r="Q810" s="268"/>
      <c r="R810" s="268"/>
      <c r="S810" s="268"/>
      <c r="T810" s="268"/>
      <c r="U810" s="268"/>
      <c r="V810" s="268"/>
      <c r="W810" s="268"/>
      <c r="X810" s="268"/>
      <c r="Y810" s="268"/>
      <c r="Z810" s="268"/>
    </row>
    <row r="811" spans="1:26" ht="12.75" customHeight="1">
      <c r="A811" s="268"/>
      <c r="B811" s="268"/>
      <c r="C811" s="268"/>
      <c r="D811" s="268"/>
      <c r="E811" s="268"/>
      <c r="F811" s="268"/>
      <c r="G811" s="268"/>
      <c r="H811" s="268"/>
      <c r="I811" s="268"/>
      <c r="J811" s="268"/>
      <c r="K811" s="268"/>
      <c r="L811" s="268"/>
      <c r="M811" s="268"/>
      <c r="N811" s="268"/>
      <c r="O811" s="268"/>
      <c r="P811" s="268"/>
      <c r="Q811" s="268"/>
      <c r="R811" s="268"/>
      <c r="S811" s="268"/>
      <c r="T811" s="268"/>
      <c r="U811" s="268"/>
      <c r="V811" s="268"/>
      <c r="W811" s="268"/>
      <c r="X811" s="268"/>
      <c r="Y811" s="268"/>
      <c r="Z811" s="268"/>
    </row>
    <row r="812" spans="1:26" ht="12.75" customHeight="1">
      <c r="A812" s="268"/>
      <c r="B812" s="268"/>
      <c r="C812" s="268"/>
      <c r="D812" s="268"/>
      <c r="E812" s="268"/>
      <c r="F812" s="268"/>
      <c r="G812" s="268"/>
      <c r="H812" s="268"/>
      <c r="I812" s="268"/>
      <c r="J812" s="268"/>
      <c r="K812" s="268"/>
      <c r="L812" s="268"/>
      <c r="M812" s="268"/>
      <c r="N812" s="268"/>
      <c r="O812" s="268"/>
      <c r="P812" s="268"/>
      <c r="Q812" s="268"/>
      <c r="R812" s="268"/>
      <c r="S812" s="268"/>
      <c r="T812" s="268"/>
      <c r="U812" s="268"/>
      <c r="V812" s="268"/>
      <c r="W812" s="268"/>
      <c r="X812" s="268"/>
      <c r="Y812" s="268"/>
      <c r="Z812" s="268"/>
    </row>
    <row r="813" spans="1:26" ht="12.75" customHeight="1">
      <c r="A813" s="268"/>
      <c r="B813" s="268"/>
      <c r="C813" s="268"/>
      <c r="D813" s="268"/>
      <c r="E813" s="268"/>
      <c r="F813" s="268"/>
      <c r="G813" s="268"/>
      <c r="H813" s="268"/>
      <c r="I813" s="268"/>
      <c r="J813" s="268"/>
      <c r="K813" s="268"/>
      <c r="L813" s="268"/>
      <c r="M813" s="268"/>
      <c r="N813" s="268"/>
      <c r="O813" s="268"/>
      <c r="P813" s="268"/>
      <c r="Q813" s="268"/>
      <c r="R813" s="268"/>
      <c r="S813" s="268"/>
      <c r="T813" s="268"/>
      <c r="U813" s="268"/>
      <c r="V813" s="268"/>
      <c r="W813" s="268"/>
      <c r="X813" s="268"/>
      <c r="Y813" s="268"/>
      <c r="Z813" s="268"/>
    </row>
    <row r="814" spans="1:26" ht="12.75" customHeight="1">
      <c r="A814" s="268"/>
      <c r="B814" s="268"/>
      <c r="C814" s="268"/>
      <c r="D814" s="268"/>
      <c r="E814" s="268"/>
      <c r="F814" s="268"/>
      <c r="G814" s="268"/>
      <c r="H814" s="268"/>
      <c r="I814" s="268"/>
      <c r="J814" s="268"/>
      <c r="K814" s="268"/>
      <c r="L814" s="268"/>
      <c r="M814" s="268"/>
      <c r="N814" s="268"/>
      <c r="O814" s="268"/>
      <c r="P814" s="268"/>
      <c r="Q814" s="268"/>
      <c r="R814" s="268"/>
      <c r="S814" s="268"/>
      <c r="T814" s="268"/>
      <c r="U814" s="268"/>
      <c r="V814" s="268"/>
      <c r="W814" s="268"/>
      <c r="X814" s="268"/>
      <c r="Y814" s="268"/>
      <c r="Z814" s="268"/>
    </row>
    <row r="815" spans="1:26" ht="12.75" customHeight="1">
      <c r="A815" s="268"/>
      <c r="B815" s="268"/>
      <c r="C815" s="268"/>
      <c r="D815" s="268"/>
      <c r="E815" s="268"/>
      <c r="F815" s="268"/>
      <c r="G815" s="268"/>
      <c r="H815" s="268"/>
      <c r="I815" s="268"/>
      <c r="J815" s="268"/>
      <c r="K815" s="268"/>
      <c r="L815" s="268"/>
      <c r="M815" s="268"/>
      <c r="N815" s="268"/>
      <c r="O815" s="268"/>
      <c r="P815" s="268"/>
      <c r="Q815" s="268"/>
      <c r="R815" s="268"/>
      <c r="S815" s="268"/>
      <c r="T815" s="268"/>
      <c r="U815" s="268"/>
      <c r="V815" s="268"/>
      <c r="W815" s="268"/>
      <c r="X815" s="268"/>
      <c r="Y815" s="268"/>
      <c r="Z815" s="268"/>
    </row>
    <row r="816" spans="1:26" ht="12.75" customHeight="1">
      <c r="A816" s="268"/>
      <c r="B816" s="268"/>
      <c r="C816" s="268"/>
      <c r="D816" s="268"/>
      <c r="E816" s="268"/>
      <c r="F816" s="268"/>
      <c r="G816" s="268"/>
      <c r="H816" s="268"/>
      <c r="I816" s="268"/>
      <c r="J816" s="268"/>
      <c r="K816" s="268"/>
      <c r="L816" s="268"/>
      <c r="M816" s="268"/>
      <c r="N816" s="268"/>
      <c r="O816" s="268"/>
      <c r="P816" s="268"/>
      <c r="Q816" s="268"/>
      <c r="R816" s="268"/>
      <c r="S816" s="268"/>
      <c r="T816" s="268"/>
      <c r="U816" s="268"/>
      <c r="V816" s="268"/>
      <c r="W816" s="268"/>
      <c r="X816" s="268"/>
      <c r="Y816" s="268"/>
      <c r="Z816" s="268"/>
    </row>
    <row r="817" spans="1:26" ht="12.75" customHeight="1">
      <c r="A817" s="268"/>
      <c r="B817" s="268"/>
      <c r="C817" s="268"/>
      <c r="D817" s="268"/>
      <c r="E817" s="268"/>
      <c r="F817" s="268"/>
      <c r="G817" s="268"/>
      <c r="H817" s="268"/>
      <c r="I817" s="268"/>
      <c r="J817" s="268"/>
      <c r="K817" s="268"/>
      <c r="L817" s="268"/>
      <c r="M817" s="268"/>
      <c r="N817" s="268"/>
      <c r="O817" s="268"/>
      <c r="P817" s="268"/>
      <c r="Q817" s="268"/>
      <c r="R817" s="268"/>
      <c r="S817" s="268"/>
      <c r="T817" s="268"/>
      <c r="U817" s="268"/>
      <c r="V817" s="268"/>
      <c r="W817" s="268"/>
      <c r="X817" s="268"/>
      <c r="Y817" s="268"/>
      <c r="Z817" s="268"/>
    </row>
    <row r="818" spans="1:26" ht="12.75" customHeight="1">
      <c r="A818" s="268"/>
      <c r="B818" s="268"/>
      <c r="C818" s="268"/>
      <c r="D818" s="268"/>
      <c r="E818" s="268"/>
      <c r="F818" s="268"/>
      <c r="G818" s="268"/>
      <c r="H818" s="268"/>
      <c r="I818" s="268"/>
      <c r="J818" s="268"/>
      <c r="K818" s="268"/>
      <c r="L818" s="268"/>
      <c r="M818" s="268"/>
      <c r="N818" s="268"/>
      <c r="O818" s="268"/>
      <c r="P818" s="268"/>
      <c r="Q818" s="268"/>
      <c r="R818" s="268"/>
      <c r="S818" s="268"/>
      <c r="T818" s="268"/>
      <c r="U818" s="268"/>
      <c r="V818" s="268"/>
      <c r="W818" s="268"/>
      <c r="X818" s="268"/>
      <c r="Y818" s="268"/>
      <c r="Z818" s="268"/>
    </row>
    <row r="819" spans="1:26" ht="12.75" customHeight="1">
      <c r="A819" s="268"/>
      <c r="B819" s="268"/>
      <c r="C819" s="268"/>
      <c r="D819" s="268"/>
      <c r="E819" s="268"/>
      <c r="F819" s="268"/>
      <c r="G819" s="268"/>
      <c r="H819" s="268"/>
      <c r="I819" s="268"/>
      <c r="J819" s="268"/>
      <c r="K819" s="268"/>
      <c r="L819" s="268"/>
      <c r="M819" s="268"/>
      <c r="N819" s="268"/>
      <c r="O819" s="268"/>
      <c r="P819" s="268"/>
      <c r="Q819" s="268"/>
      <c r="R819" s="268"/>
      <c r="S819" s="268"/>
      <c r="T819" s="268"/>
      <c r="U819" s="268"/>
      <c r="V819" s="268"/>
      <c r="W819" s="268"/>
      <c r="X819" s="268"/>
      <c r="Y819" s="268"/>
      <c r="Z819" s="268"/>
    </row>
    <row r="820" spans="1:26" ht="12.75" customHeight="1">
      <c r="A820" s="268"/>
      <c r="B820" s="268"/>
      <c r="C820" s="268"/>
      <c r="D820" s="268"/>
      <c r="E820" s="268"/>
      <c r="F820" s="268"/>
      <c r="G820" s="268"/>
      <c r="H820" s="268"/>
      <c r="I820" s="268"/>
      <c r="J820" s="268"/>
      <c r="K820" s="268"/>
      <c r="L820" s="268"/>
      <c r="M820" s="268"/>
      <c r="N820" s="268"/>
      <c r="O820" s="268"/>
      <c r="P820" s="268"/>
      <c r="Q820" s="268"/>
      <c r="R820" s="268"/>
      <c r="S820" s="268"/>
      <c r="T820" s="268"/>
      <c r="U820" s="268"/>
      <c r="V820" s="268"/>
      <c r="W820" s="268"/>
      <c r="X820" s="268"/>
      <c r="Y820" s="268"/>
      <c r="Z820" s="268"/>
    </row>
    <row r="821" spans="1:26" ht="12.75" customHeight="1">
      <c r="A821" s="268"/>
      <c r="B821" s="268"/>
      <c r="C821" s="268"/>
      <c r="D821" s="268"/>
      <c r="E821" s="268"/>
      <c r="F821" s="268"/>
      <c r="G821" s="268"/>
      <c r="H821" s="268"/>
      <c r="I821" s="268"/>
      <c r="J821" s="268"/>
      <c r="K821" s="268"/>
      <c r="L821" s="268"/>
      <c r="M821" s="268"/>
      <c r="N821" s="268"/>
      <c r="O821" s="268"/>
      <c r="P821" s="268"/>
      <c r="Q821" s="268"/>
      <c r="R821" s="268"/>
      <c r="S821" s="268"/>
      <c r="T821" s="268"/>
      <c r="U821" s="268"/>
      <c r="V821" s="268"/>
      <c r="W821" s="268"/>
      <c r="X821" s="268"/>
      <c r="Y821" s="268"/>
      <c r="Z821" s="268"/>
    </row>
    <row r="822" spans="1:26" ht="12.75" customHeight="1">
      <c r="A822" s="268"/>
      <c r="B822" s="268"/>
      <c r="C822" s="268"/>
      <c r="D822" s="268"/>
      <c r="E822" s="268"/>
      <c r="F822" s="268"/>
      <c r="G822" s="268"/>
      <c r="H822" s="268"/>
      <c r="I822" s="268"/>
      <c r="J822" s="268"/>
      <c r="K822" s="268"/>
      <c r="L822" s="268"/>
      <c r="M822" s="268"/>
      <c r="N822" s="268"/>
      <c r="O822" s="268"/>
      <c r="P822" s="268"/>
      <c r="Q822" s="268"/>
      <c r="R822" s="268"/>
      <c r="S822" s="268"/>
      <c r="T822" s="268"/>
      <c r="U822" s="268"/>
      <c r="V822" s="268"/>
      <c r="W822" s="268"/>
      <c r="X822" s="268"/>
      <c r="Y822" s="268"/>
      <c r="Z822" s="268"/>
    </row>
    <row r="823" spans="1:26" ht="12.75" customHeight="1">
      <c r="A823" s="268"/>
      <c r="B823" s="268"/>
      <c r="C823" s="268"/>
      <c r="D823" s="268"/>
      <c r="E823" s="268"/>
      <c r="F823" s="268"/>
      <c r="G823" s="268"/>
      <c r="H823" s="268"/>
      <c r="I823" s="268"/>
      <c r="J823" s="268"/>
      <c r="K823" s="268"/>
      <c r="L823" s="268"/>
      <c r="M823" s="268"/>
      <c r="N823" s="268"/>
      <c r="O823" s="268"/>
      <c r="P823" s="268"/>
      <c r="Q823" s="268"/>
      <c r="R823" s="268"/>
      <c r="S823" s="268"/>
      <c r="T823" s="268"/>
      <c r="U823" s="268"/>
      <c r="V823" s="268"/>
      <c r="W823" s="268"/>
      <c r="X823" s="268"/>
      <c r="Y823" s="268"/>
      <c r="Z823" s="268"/>
    </row>
    <row r="824" spans="1:26" ht="12.75" customHeight="1">
      <c r="A824" s="268"/>
      <c r="B824" s="268"/>
      <c r="C824" s="268"/>
      <c r="D824" s="268"/>
      <c r="E824" s="268"/>
      <c r="F824" s="268"/>
      <c r="G824" s="268"/>
      <c r="H824" s="268"/>
      <c r="I824" s="268"/>
      <c r="J824" s="268"/>
      <c r="K824" s="268"/>
      <c r="L824" s="268"/>
      <c r="M824" s="268"/>
      <c r="N824" s="268"/>
      <c r="O824" s="268"/>
      <c r="P824" s="268"/>
      <c r="Q824" s="268"/>
      <c r="R824" s="268"/>
      <c r="S824" s="268"/>
      <c r="T824" s="268"/>
      <c r="U824" s="268"/>
      <c r="V824" s="268"/>
      <c r="W824" s="268"/>
      <c r="X824" s="268"/>
      <c r="Y824" s="268"/>
      <c r="Z824" s="268"/>
    </row>
    <row r="825" spans="1:26" ht="12.75" customHeight="1">
      <c r="A825" s="268"/>
      <c r="B825" s="268"/>
      <c r="C825" s="268"/>
      <c r="D825" s="268"/>
      <c r="E825" s="268"/>
      <c r="F825" s="268"/>
      <c r="G825" s="268"/>
      <c r="H825" s="268"/>
      <c r="I825" s="268"/>
      <c r="J825" s="268"/>
      <c r="K825" s="268"/>
      <c r="L825" s="268"/>
      <c r="M825" s="268"/>
      <c r="N825" s="268"/>
      <c r="O825" s="268"/>
      <c r="P825" s="268"/>
      <c r="Q825" s="268"/>
      <c r="R825" s="268"/>
      <c r="S825" s="268"/>
      <c r="T825" s="268"/>
      <c r="U825" s="268"/>
      <c r="V825" s="268"/>
      <c r="W825" s="268"/>
      <c r="X825" s="268"/>
      <c r="Y825" s="268"/>
      <c r="Z825" s="268"/>
    </row>
    <row r="826" spans="1:26" ht="12.75" customHeight="1">
      <c r="A826" s="268"/>
      <c r="B826" s="268"/>
      <c r="C826" s="268"/>
      <c r="D826" s="268"/>
      <c r="E826" s="268"/>
      <c r="F826" s="268"/>
      <c r="G826" s="268"/>
      <c r="H826" s="268"/>
      <c r="I826" s="268"/>
      <c r="J826" s="268"/>
      <c r="K826" s="268"/>
      <c r="L826" s="268"/>
      <c r="M826" s="268"/>
      <c r="N826" s="268"/>
      <c r="O826" s="268"/>
      <c r="P826" s="268"/>
      <c r="Q826" s="268"/>
      <c r="R826" s="268"/>
      <c r="S826" s="268"/>
      <c r="T826" s="268"/>
      <c r="U826" s="268"/>
      <c r="V826" s="268"/>
      <c r="W826" s="268"/>
      <c r="X826" s="268"/>
      <c r="Y826" s="268"/>
      <c r="Z826" s="268"/>
    </row>
    <row r="827" spans="1:26" ht="12.75" customHeight="1">
      <c r="A827" s="268"/>
      <c r="B827" s="268"/>
      <c r="C827" s="268"/>
      <c r="D827" s="268"/>
      <c r="E827" s="268"/>
      <c r="F827" s="268"/>
      <c r="G827" s="268"/>
      <c r="H827" s="268"/>
      <c r="I827" s="268"/>
      <c r="J827" s="268"/>
      <c r="K827" s="268"/>
      <c r="L827" s="268"/>
      <c r="M827" s="268"/>
      <c r="N827" s="268"/>
      <c r="O827" s="268"/>
      <c r="P827" s="268"/>
      <c r="Q827" s="268"/>
      <c r="R827" s="268"/>
      <c r="S827" s="268"/>
      <c r="T827" s="268"/>
      <c r="U827" s="268"/>
      <c r="V827" s="268"/>
      <c r="W827" s="268"/>
      <c r="X827" s="268"/>
      <c r="Y827" s="268"/>
      <c r="Z827" s="268"/>
    </row>
    <row r="828" spans="1:26" ht="12.75" customHeight="1">
      <c r="A828" s="268"/>
      <c r="B828" s="268"/>
      <c r="C828" s="268"/>
      <c r="D828" s="268"/>
      <c r="E828" s="268"/>
      <c r="F828" s="268"/>
      <c r="G828" s="268"/>
      <c r="H828" s="268"/>
      <c r="I828" s="268"/>
      <c r="J828" s="268"/>
      <c r="K828" s="268"/>
      <c r="L828" s="268"/>
      <c r="M828" s="268"/>
      <c r="N828" s="268"/>
      <c r="O828" s="268"/>
      <c r="P828" s="268"/>
      <c r="Q828" s="268"/>
      <c r="R828" s="268"/>
      <c r="S828" s="268"/>
      <c r="T828" s="268"/>
      <c r="U828" s="268"/>
      <c r="V828" s="268"/>
      <c r="W828" s="268"/>
      <c r="X828" s="268"/>
      <c r="Y828" s="268"/>
      <c r="Z828" s="268"/>
    </row>
    <row r="829" spans="1:26" ht="12.75" customHeight="1">
      <c r="A829" s="268"/>
      <c r="B829" s="268"/>
      <c r="C829" s="268"/>
      <c r="D829" s="268"/>
      <c r="E829" s="268"/>
      <c r="F829" s="268"/>
      <c r="G829" s="268"/>
      <c r="H829" s="268"/>
      <c r="I829" s="268"/>
      <c r="J829" s="268"/>
      <c r="K829" s="268"/>
      <c r="L829" s="268"/>
      <c r="M829" s="268"/>
      <c r="N829" s="268"/>
      <c r="O829" s="268"/>
      <c r="P829" s="268"/>
      <c r="Q829" s="268"/>
      <c r="R829" s="268"/>
      <c r="S829" s="268"/>
      <c r="T829" s="268"/>
      <c r="U829" s="268"/>
      <c r="V829" s="268"/>
      <c r="W829" s="268"/>
      <c r="X829" s="268"/>
      <c r="Y829" s="268"/>
      <c r="Z829" s="268"/>
    </row>
    <row r="830" spans="1:26" ht="12.75" customHeight="1">
      <c r="A830" s="268"/>
      <c r="B830" s="268"/>
      <c r="C830" s="268"/>
      <c r="D830" s="268"/>
      <c r="E830" s="268"/>
      <c r="F830" s="268"/>
      <c r="G830" s="268"/>
      <c r="H830" s="268"/>
      <c r="I830" s="268"/>
      <c r="J830" s="268"/>
      <c r="K830" s="268"/>
      <c r="L830" s="268"/>
      <c r="M830" s="268"/>
      <c r="N830" s="268"/>
      <c r="O830" s="268"/>
      <c r="P830" s="268"/>
      <c r="Q830" s="268"/>
      <c r="R830" s="268"/>
      <c r="S830" s="268"/>
      <c r="T830" s="268"/>
      <c r="U830" s="268"/>
      <c r="V830" s="268"/>
      <c r="W830" s="268"/>
      <c r="X830" s="268"/>
      <c r="Y830" s="268"/>
      <c r="Z830" s="268"/>
    </row>
    <row r="831" spans="1:26" ht="12.75" customHeight="1">
      <c r="A831" s="268"/>
      <c r="B831" s="268"/>
      <c r="C831" s="268"/>
      <c r="D831" s="268"/>
      <c r="E831" s="268"/>
      <c r="F831" s="268"/>
      <c r="G831" s="268"/>
      <c r="H831" s="268"/>
      <c r="I831" s="268"/>
      <c r="J831" s="268"/>
      <c r="K831" s="268"/>
      <c r="L831" s="268"/>
      <c r="M831" s="268"/>
      <c r="N831" s="268"/>
      <c r="O831" s="268"/>
      <c r="P831" s="268"/>
      <c r="Q831" s="268"/>
      <c r="R831" s="268"/>
      <c r="S831" s="268"/>
      <c r="T831" s="268"/>
      <c r="U831" s="268"/>
      <c r="V831" s="268"/>
      <c r="W831" s="268"/>
      <c r="X831" s="268"/>
      <c r="Y831" s="268"/>
      <c r="Z831" s="268"/>
    </row>
    <row r="832" spans="1:26" ht="12.75" customHeight="1">
      <c r="A832" s="268"/>
      <c r="B832" s="268"/>
      <c r="C832" s="268"/>
      <c r="D832" s="268"/>
      <c r="E832" s="268"/>
      <c r="F832" s="268"/>
      <c r="G832" s="268"/>
      <c r="H832" s="268"/>
      <c r="I832" s="268"/>
      <c r="J832" s="268"/>
      <c r="K832" s="268"/>
      <c r="L832" s="268"/>
      <c r="M832" s="268"/>
      <c r="N832" s="268"/>
      <c r="O832" s="268"/>
      <c r="P832" s="268"/>
      <c r="Q832" s="268"/>
      <c r="R832" s="268"/>
      <c r="S832" s="268"/>
      <c r="T832" s="268"/>
      <c r="U832" s="268"/>
      <c r="V832" s="268"/>
      <c r="W832" s="268"/>
      <c r="X832" s="268"/>
      <c r="Y832" s="268"/>
      <c r="Z832" s="268"/>
    </row>
    <row r="833" spans="1:26" ht="12.75" customHeight="1">
      <c r="A833" s="268"/>
      <c r="B833" s="268"/>
      <c r="C833" s="268"/>
      <c r="D833" s="268"/>
      <c r="E833" s="268"/>
      <c r="F833" s="268"/>
      <c r="G833" s="268"/>
      <c r="H833" s="268"/>
      <c r="I833" s="268"/>
      <c r="J833" s="268"/>
      <c r="K833" s="268"/>
      <c r="L833" s="268"/>
      <c r="M833" s="268"/>
      <c r="N833" s="268"/>
      <c r="O833" s="268"/>
      <c r="P833" s="268"/>
      <c r="Q833" s="268"/>
      <c r="R833" s="268"/>
      <c r="S833" s="268"/>
      <c r="T833" s="268"/>
      <c r="U833" s="268"/>
      <c r="V833" s="268"/>
      <c r="W833" s="268"/>
      <c r="X833" s="268"/>
      <c r="Y833" s="268"/>
      <c r="Z833" s="268"/>
    </row>
    <row r="834" spans="1:26" ht="12.75" customHeight="1">
      <c r="A834" s="268"/>
      <c r="B834" s="268"/>
      <c r="C834" s="268"/>
      <c r="D834" s="268"/>
      <c r="E834" s="268"/>
      <c r="F834" s="268"/>
      <c r="G834" s="268"/>
      <c r="H834" s="268"/>
      <c r="I834" s="268"/>
      <c r="J834" s="268"/>
      <c r="K834" s="268"/>
      <c r="L834" s="268"/>
      <c r="M834" s="268"/>
      <c r="N834" s="268"/>
      <c r="O834" s="268"/>
      <c r="P834" s="268"/>
      <c r="Q834" s="268"/>
      <c r="R834" s="268"/>
      <c r="S834" s="268"/>
      <c r="T834" s="268"/>
      <c r="U834" s="268"/>
      <c r="V834" s="268"/>
      <c r="W834" s="268"/>
      <c r="X834" s="268"/>
      <c r="Y834" s="268"/>
      <c r="Z834" s="268"/>
    </row>
    <row r="835" spans="1:26" ht="12.75" customHeight="1">
      <c r="A835" s="268"/>
      <c r="B835" s="268"/>
      <c r="C835" s="268"/>
      <c r="D835" s="268"/>
      <c r="E835" s="268"/>
      <c r="F835" s="268"/>
      <c r="G835" s="268"/>
      <c r="H835" s="268"/>
      <c r="I835" s="268"/>
      <c r="J835" s="268"/>
      <c r="K835" s="268"/>
      <c r="L835" s="268"/>
      <c r="M835" s="268"/>
      <c r="N835" s="268"/>
      <c r="O835" s="268"/>
      <c r="P835" s="268"/>
      <c r="Q835" s="268"/>
      <c r="R835" s="268"/>
      <c r="S835" s="268"/>
      <c r="T835" s="268"/>
      <c r="U835" s="268"/>
      <c r="V835" s="268"/>
      <c r="W835" s="268"/>
      <c r="X835" s="268"/>
      <c r="Y835" s="268"/>
      <c r="Z835" s="268"/>
    </row>
    <row r="836" spans="1:26" ht="12.75" customHeight="1">
      <c r="A836" s="268"/>
      <c r="B836" s="268"/>
      <c r="C836" s="268"/>
      <c r="D836" s="268"/>
      <c r="E836" s="268"/>
      <c r="F836" s="268"/>
      <c r="G836" s="268"/>
      <c r="H836" s="268"/>
      <c r="I836" s="268"/>
      <c r="J836" s="268"/>
      <c r="K836" s="268"/>
      <c r="L836" s="268"/>
      <c r="M836" s="268"/>
      <c r="N836" s="268"/>
      <c r="O836" s="268"/>
      <c r="P836" s="268"/>
      <c r="Q836" s="268"/>
      <c r="R836" s="268"/>
      <c r="S836" s="268"/>
      <c r="T836" s="268"/>
      <c r="U836" s="268"/>
      <c r="V836" s="268"/>
      <c r="W836" s="268"/>
      <c r="X836" s="268"/>
      <c r="Y836" s="268"/>
      <c r="Z836" s="268"/>
    </row>
    <row r="837" spans="1:26" ht="12.75" customHeight="1">
      <c r="A837" s="268"/>
      <c r="B837" s="268"/>
      <c r="C837" s="268"/>
      <c r="D837" s="268"/>
      <c r="E837" s="268"/>
      <c r="F837" s="268"/>
      <c r="G837" s="268"/>
      <c r="H837" s="268"/>
      <c r="I837" s="268"/>
      <c r="J837" s="268"/>
      <c r="K837" s="268"/>
      <c r="L837" s="268"/>
      <c r="M837" s="268"/>
      <c r="N837" s="268"/>
      <c r="O837" s="268"/>
      <c r="P837" s="268"/>
      <c r="Q837" s="268"/>
      <c r="R837" s="268"/>
      <c r="S837" s="268"/>
      <c r="T837" s="268"/>
      <c r="U837" s="268"/>
      <c r="V837" s="268"/>
      <c r="W837" s="268"/>
      <c r="X837" s="268"/>
      <c r="Y837" s="268"/>
      <c r="Z837" s="268"/>
    </row>
    <row r="838" spans="1:26" ht="12.75" customHeight="1">
      <c r="A838" s="268"/>
      <c r="B838" s="268"/>
      <c r="C838" s="268"/>
      <c r="D838" s="268"/>
      <c r="E838" s="268"/>
      <c r="F838" s="268"/>
      <c r="G838" s="268"/>
      <c r="H838" s="268"/>
      <c r="I838" s="268"/>
      <c r="J838" s="268"/>
      <c r="K838" s="268"/>
      <c r="L838" s="268"/>
      <c r="M838" s="268"/>
      <c r="N838" s="268"/>
      <c r="O838" s="268"/>
      <c r="P838" s="268"/>
      <c r="Q838" s="268"/>
      <c r="R838" s="268"/>
      <c r="S838" s="268"/>
      <c r="T838" s="268"/>
      <c r="U838" s="268"/>
      <c r="V838" s="268"/>
      <c r="W838" s="268"/>
      <c r="X838" s="268"/>
      <c r="Y838" s="268"/>
      <c r="Z838" s="268"/>
    </row>
    <row r="839" spans="1:26" ht="12.75" customHeight="1">
      <c r="A839" s="268"/>
      <c r="B839" s="268"/>
      <c r="C839" s="268"/>
      <c r="D839" s="268"/>
      <c r="E839" s="268"/>
      <c r="F839" s="268"/>
      <c r="G839" s="268"/>
      <c r="H839" s="268"/>
      <c r="I839" s="268"/>
      <c r="J839" s="268"/>
      <c r="K839" s="268"/>
      <c r="L839" s="268"/>
      <c r="M839" s="268"/>
      <c r="N839" s="268"/>
      <c r="O839" s="268"/>
      <c r="P839" s="268"/>
      <c r="Q839" s="268"/>
      <c r="R839" s="268"/>
      <c r="S839" s="268"/>
      <c r="T839" s="268"/>
      <c r="U839" s="268"/>
      <c r="V839" s="268"/>
      <c r="W839" s="268"/>
      <c r="X839" s="268"/>
      <c r="Y839" s="268"/>
      <c r="Z839" s="268"/>
    </row>
    <row r="840" spans="1:26" ht="12.75" customHeight="1">
      <c r="A840" s="268"/>
      <c r="B840" s="268"/>
      <c r="C840" s="268"/>
      <c r="D840" s="268"/>
      <c r="E840" s="268"/>
      <c r="F840" s="268"/>
      <c r="G840" s="268"/>
      <c r="H840" s="268"/>
      <c r="I840" s="268"/>
      <c r="J840" s="268"/>
      <c r="K840" s="268"/>
      <c r="L840" s="268"/>
      <c r="M840" s="268"/>
      <c r="N840" s="268"/>
      <c r="O840" s="268"/>
      <c r="P840" s="268"/>
      <c r="Q840" s="268"/>
      <c r="R840" s="268"/>
      <c r="S840" s="268"/>
      <c r="T840" s="268"/>
      <c r="U840" s="268"/>
      <c r="V840" s="268"/>
      <c r="W840" s="268"/>
      <c r="X840" s="268"/>
      <c r="Y840" s="268"/>
      <c r="Z840" s="268"/>
    </row>
    <row r="841" spans="1:26" ht="12.75" customHeight="1">
      <c r="A841" s="268"/>
      <c r="B841" s="268"/>
      <c r="C841" s="268"/>
      <c r="D841" s="268"/>
      <c r="E841" s="268"/>
      <c r="F841" s="268"/>
      <c r="G841" s="268"/>
      <c r="H841" s="268"/>
      <c r="I841" s="268"/>
      <c r="J841" s="268"/>
      <c r="K841" s="268"/>
      <c r="L841" s="268"/>
      <c r="M841" s="268"/>
      <c r="N841" s="268"/>
      <c r="O841" s="268"/>
      <c r="P841" s="268"/>
      <c r="Q841" s="268"/>
      <c r="R841" s="268"/>
      <c r="S841" s="268"/>
      <c r="T841" s="268"/>
      <c r="U841" s="268"/>
      <c r="V841" s="268"/>
      <c r="W841" s="268"/>
      <c r="X841" s="268"/>
      <c r="Y841" s="268"/>
      <c r="Z841" s="268"/>
    </row>
    <row r="842" spans="1:26" ht="12.75" customHeight="1">
      <c r="A842" s="268"/>
      <c r="B842" s="268"/>
      <c r="C842" s="268"/>
      <c r="D842" s="268"/>
      <c r="E842" s="268"/>
      <c r="F842" s="268"/>
      <c r="G842" s="268"/>
      <c r="H842" s="268"/>
      <c r="I842" s="268"/>
      <c r="J842" s="268"/>
      <c r="K842" s="268"/>
      <c r="L842" s="268"/>
      <c r="M842" s="268"/>
      <c r="N842" s="268"/>
      <c r="O842" s="268"/>
      <c r="P842" s="268"/>
      <c r="Q842" s="268"/>
      <c r="R842" s="268"/>
      <c r="S842" s="268"/>
      <c r="T842" s="268"/>
      <c r="U842" s="268"/>
      <c r="V842" s="268"/>
      <c r="W842" s="268"/>
      <c r="X842" s="268"/>
      <c r="Y842" s="268"/>
      <c r="Z842" s="268"/>
    </row>
    <row r="843" spans="1:26" ht="12.75" customHeight="1">
      <c r="A843" s="268"/>
      <c r="B843" s="268"/>
      <c r="C843" s="268"/>
      <c r="D843" s="268"/>
      <c r="E843" s="268"/>
      <c r="F843" s="268"/>
      <c r="G843" s="268"/>
      <c r="H843" s="268"/>
      <c r="I843" s="268"/>
      <c r="J843" s="268"/>
      <c r="K843" s="268"/>
      <c r="L843" s="268"/>
      <c r="M843" s="268"/>
      <c r="N843" s="268"/>
      <c r="O843" s="268"/>
      <c r="P843" s="268"/>
      <c r="Q843" s="268"/>
      <c r="R843" s="268"/>
      <c r="S843" s="268"/>
      <c r="T843" s="268"/>
      <c r="U843" s="268"/>
      <c r="V843" s="268"/>
      <c r="W843" s="268"/>
      <c r="X843" s="268"/>
      <c r="Y843" s="268"/>
      <c r="Z843" s="268"/>
    </row>
    <row r="844" spans="1:26" ht="12.75" customHeight="1">
      <c r="A844" s="268"/>
      <c r="B844" s="268"/>
      <c r="C844" s="268"/>
      <c r="D844" s="268"/>
      <c r="E844" s="268"/>
      <c r="F844" s="268"/>
      <c r="G844" s="268"/>
      <c r="H844" s="268"/>
      <c r="I844" s="268"/>
      <c r="J844" s="268"/>
      <c r="K844" s="268"/>
      <c r="L844" s="268"/>
      <c r="M844" s="268"/>
      <c r="N844" s="268"/>
      <c r="O844" s="268"/>
      <c r="P844" s="268"/>
      <c r="Q844" s="268"/>
      <c r="R844" s="268"/>
      <c r="S844" s="268"/>
      <c r="T844" s="268"/>
      <c r="U844" s="268"/>
      <c r="V844" s="268"/>
      <c r="W844" s="268"/>
      <c r="X844" s="268"/>
      <c r="Y844" s="268"/>
      <c r="Z844" s="268"/>
    </row>
    <row r="845" spans="1:26" ht="12.75" customHeight="1">
      <c r="A845" s="268"/>
      <c r="B845" s="268"/>
      <c r="C845" s="268"/>
      <c r="D845" s="268"/>
      <c r="E845" s="268"/>
      <c r="F845" s="268"/>
      <c r="G845" s="268"/>
      <c r="H845" s="268"/>
      <c r="I845" s="268"/>
      <c r="J845" s="268"/>
      <c r="K845" s="268"/>
      <c r="L845" s="268"/>
      <c r="M845" s="268"/>
      <c r="N845" s="268"/>
      <c r="O845" s="268"/>
      <c r="P845" s="268"/>
      <c r="Q845" s="268"/>
      <c r="R845" s="268"/>
      <c r="S845" s="268"/>
      <c r="T845" s="268"/>
      <c r="U845" s="268"/>
      <c r="V845" s="268"/>
      <c r="W845" s="268"/>
      <c r="X845" s="268"/>
      <c r="Y845" s="268"/>
      <c r="Z845" s="268"/>
    </row>
    <row r="846" spans="1:26" ht="12.75" customHeight="1">
      <c r="A846" s="268"/>
      <c r="B846" s="268"/>
      <c r="C846" s="268"/>
      <c r="D846" s="268"/>
      <c r="E846" s="268"/>
      <c r="F846" s="268"/>
      <c r="G846" s="268"/>
      <c r="H846" s="268"/>
      <c r="I846" s="268"/>
      <c r="J846" s="268"/>
      <c r="K846" s="268"/>
      <c r="L846" s="268"/>
      <c r="M846" s="268"/>
      <c r="N846" s="268"/>
      <c r="O846" s="268"/>
      <c r="P846" s="268"/>
      <c r="Q846" s="268"/>
      <c r="R846" s="268"/>
      <c r="S846" s="268"/>
      <c r="T846" s="268"/>
      <c r="U846" s="268"/>
      <c r="V846" s="268"/>
      <c r="W846" s="268"/>
      <c r="X846" s="268"/>
      <c r="Y846" s="268"/>
      <c r="Z846" s="268"/>
    </row>
    <row r="847" spans="1:26" ht="12.75" customHeight="1">
      <c r="A847" s="268"/>
      <c r="B847" s="268"/>
      <c r="C847" s="268"/>
      <c r="D847" s="268"/>
      <c r="E847" s="268"/>
      <c r="F847" s="268"/>
      <c r="G847" s="268"/>
      <c r="H847" s="268"/>
      <c r="I847" s="268"/>
      <c r="J847" s="268"/>
      <c r="K847" s="268"/>
      <c r="L847" s="268"/>
      <c r="M847" s="268"/>
      <c r="N847" s="268"/>
      <c r="O847" s="268"/>
      <c r="P847" s="268"/>
      <c r="Q847" s="268"/>
      <c r="R847" s="268"/>
      <c r="S847" s="268"/>
      <c r="T847" s="268"/>
      <c r="U847" s="268"/>
      <c r="V847" s="268"/>
      <c r="W847" s="268"/>
      <c r="X847" s="268"/>
      <c r="Y847" s="268"/>
      <c r="Z847" s="268"/>
    </row>
    <row r="848" spans="1:26" ht="12.75" customHeight="1">
      <c r="A848" s="268"/>
      <c r="B848" s="268"/>
      <c r="C848" s="268"/>
      <c r="D848" s="268"/>
      <c r="E848" s="268"/>
      <c r="F848" s="268"/>
      <c r="G848" s="268"/>
      <c r="H848" s="268"/>
      <c r="I848" s="268"/>
      <c r="J848" s="268"/>
      <c r="K848" s="268"/>
      <c r="L848" s="268"/>
      <c r="M848" s="268"/>
      <c r="N848" s="268"/>
      <c r="O848" s="268"/>
      <c r="P848" s="268"/>
      <c r="Q848" s="268"/>
      <c r="R848" s="268"/>
      <c r="S848" s="268"/>
      <c r="T848" s="268"/>
      <c r="U848" s="268"/>
      <c r="V848" s="268"/>
      <c r="W848" s="268"/>
      <c r="X848" s="268"/>
      <c r="Y848" s="268"/>
      <c r="Z848" s="268"/>
    </row>
    <row r="849" spans="1:26" ht="12.75" customHeight="1">
      <c r="A849" s="268"/>
      <c r="B849" s="268"/>
      <c r="C849" s="268"/>
      <c r="D849" s="268"/>
      <c r="E849" s="268"/>
      <c r="F849" s="268"/>
      <c r="G849" s="268"/>
      <c r="H849" s="268"/>
      <c r="I849" s="268"/>
      <c r="J849" s="268"/>
      <c r="K849" s="268"/>
      <c r="L849" s="268"/>
      <c r="M849" s="268"/>
      <c r="N849" s="268"/>
      <c r="O849" s="268"/>
      <c r="P849" s="268"/>
      <c r="Q849" s="268"/>
      <c r="R849" s="268"/>
      <c r="S849" s="268"/>
      <c r="T849" s="268"/>
      <c r="U849" s="268"/>
      <c r="V849" s="268"/>
      <c r="W849" s="268"/>
      <c r="X849" s="268"/>
      <c r="Y849" s="268"/>
      <c r="Z849" s="268"/>
    </row>
    <row r="850" spans="1:26" ht="12.75" customHeight="1">
      <c r="A850" s="268"/>
      <c r="B850" s="268"/>
      <c r="C850" s="268"/>
      <c r="D850" s="268"/>
      <c r="E850" s="268"/>
      <c r="F850" s="268"/>
      <c r="G850" s="268"/>
      <c r="H850" s="268"/>
      <c r="I850" s="268"/>
      <c r="J850" s="268"/>
      <c r="K850" s="268"/>
      <c r="L850" s="268"/>
      <c r="M850" s="268"/>
      <c r="N850" s="268"/>
      <c r="O850" s="268"/>
      <c r="P850" s="268"/>
      <c r="Q850" s="268"/>
      <c r="R850" s="268"/>
      <c r="S850" s="268"/>
      <c r="T850" s="268"/>
      <c r="U850" s="268"/>
      <c r="V850" s="268"/>
      <c r="W850" s="268"/>
      <c r="X850" s="268"/>
      <c r="Y850" s="268"/>
      <c r="Z850" s="268"/>
    </row>
    <row r="851" spans="1:26" ht="12.75" customHeight="1">
      <c r="A851" s="268"/>
      <c r="B851" s="268"/>
      <c r="C851" s="268"/>
      <c r="D851" s="268"/>
      <c r="E851" s="268"/>
      <c r="F851" s="268"/>
      <c r="G851" s="268"/>
      <c r="H851" s="268"/>
      <c r="I851" s="268"/>
      <c r="J851" s="268"/>
      <c r="K851" s="268"/>
      <c r="L851" s="268"/>
      <c r="M851" s="268"/>
      <c r="N851" s="268"/>
      <c r="O851" s="268"/>
      <c r="P851" s="268"/>
      <c r="Q851" s="268"/>
      <c r="R851" s="268"/>
      <c r="S851" s="268"/>
      <c r="T851" s="268"/>
      <c r="U851" s="268"/>
      <c r="V851" s="268"/>
      <c r="W851" s="268"/>
      <c r="X851" s="268"/>
      <c r="Y851" s="268"/>
      <c r="Z851" s="268"/>
    </row>
    <row r="852" spans="1:26" ht="12.75" customHeight="1">
      <c r="A852" s="268"/>
      <c r="B852" s="268"/>
      <c r="C852" s="268"/>
      <c r="D852" s="268"/>
      <c r="E852" s="268"/>
      <c r="F852" s="268"/>
      <c r="G852" s="268"/>
      <c r="H852" s="268"/>
      <c r="I852" s="268"/>
      <c r="J852" s="268"/>
      <c r="K852" s="268"/>
      <c r="L852" s="268"/>
      <c r="M852" s="268"/>
      <c r="N852" s="268"/>
      <c r="O852" s="268"/>
      <c r="P852" s="268"/>
      <c r="Q852" s="268"/>
      <c r="R852" s="268"/>
      <c r="S852" s="268"/>
      <c r="T852" s="268"/>
      <c r="U852" s="268"/>
      <c r="V852" s="268"/>
      <c r="W852" s="268"/>
      <c r="X852" s="268"/>
      <c r="Y852" s="268"/>
      <c r="Z852" s="268"/>
    </row>
    <row r="853" spans="1:26" ht="12.75" customHeight="1">
      <c r="A853" s="268"/>
      <c r="B853" s="268"/>
      <c r="C853" s="268"/>
      <c r="D853" s="268"/>
      <c r="E853" s="268"/>
      <c r="F853" s="268"/>
      <c r="G853" s="268"/>
      <c r="H853" s="268"/>
      <c r="I853" s="268"/>
      <c r="J853" s="268"/>
      <c r="K853" s="268"/>
      <c r="L853" s="268"/>
      <c r="M853" s="268"/>
      <c r="N853" s="268"/>
      <c r="O853" s="268"/>
      <c r="P853" s="268"/>
      <c r="Q853" s="268"/>
      <c r="R853" s="268"/>
      <c r="S853" s="268"/>
      <c r="T853" s="268"/>
      <c r="U853" s="268"/>
      <c r="V853" s="268"/>
      <c r="W853" s="268"/>
      <c r="X853" s="268"/>
      <c r="Y853" s="268"/>
      <c r="Z853" s="268"/>
    </row>
    <row r="854" spans="1:26" ht="12.75" customHeight="1">
      <c r="A854" s="268"/>
      <c r="B854" s="268"/>
      <c r="C854" s="268"/>
      <c r="D854" s="268"/>
      <c r="E854" s="268"/>
      <c r="F854" s="268"/>
      <c r="G854" s="268"/>
      <c r="H854" s="268"/>
      <c r="I854" s="268"/>
      <c r="J854" s="268"/>
      <c r="K854" s="268"/>
      <c r="L854" s="268"/>
      <c r="M854" s="268"/>
      <c r="N854" s="268"/>
      <c r="O854" s="268"/>
      <c r="P854" s="268"/>
      <c r="Q854" s="268"/>
      <c r="R854" s="268"/>
      <c r="S854" s="268"/>
      <c r="T854" s="268"/>
      <c r="U854" s="268"/>
      <c r="V854" s="268"/>
      <c r="W854" s="268"/>
      <c r="X854" s="268"/>
      <c r="Y854" s="268"/>
      <c r="Z854" s="268"/>
    </row>
    <row r="855" spans="1:26" ht="12.75" customHeight="1">
      <c r="A855" s="268"/>
      <c r="B855" s="268"/>
      <c r="C855" s="268"/>
      <c r="D855" s="268"/>
      <c r="E855" s="268"/>
      <c r="F855" s="268"/>
      <c r="G855" s="268"/>
      <c r="H855" s="268"/>
      <c r="I855" s="268"/>
      <c r="J855" s="268"/>
      <c r="K855" s="268"/>
      <c r="L855" s="268"/>
      <c r="M855" s="268"/>
      <c r="N855" s="268"/>
      <c r="O855" s="268"/>
      <c r="P855" s="268"/>
      <c r="Q855" s="268"/>
      <c r="R855" s="268"/>
      <c r="S855" s="268"/>
      <c r="T855" s="268"/>
      <c r="U855" s="268"/>
      <c r="V855" s="268"/>
      <c r="W855" s="268"/>
      <c r="X855" s="268"/>
      <c r="Y855" s="268"/>
      <c r="Z855" s="268"/>
    </row>
    <row r="856" spans="1:26" ht="12.75" customHeight="1">
      <c r="A856" s="268"/>
      <c r="B856" s="268"/>
      <c r="C856" s="268"/>
      <c r="D856" s="268"/>
      <c r="E856" s="268"/>
      <c r="F856" s="268"/>
      <c r="G856" s="268"/>
      <c r="H856" s="268"/>
      <c r="I856" s="268"/>
      <c r="J856" s="268"/>
      <c r="K856" s="268"/>
      <c r="L856" s="268"/>
      <c r="M856" s="268"/>
      <c r="N856" s="268"/>
      <c r="O856" s="268"/>
      <c r="P856" s="268"/>
      <c r="Q856" s="268"/>
      <c r="R856" s="268"/>
      <c r="S856" s="268"/>
      <c r="T856" s="268"/>
      <c r="U856" s="268"/>
      <c r="V856" s="268"/>
      <c r="W856" s="268"/>
      <c r="X856" s="268"/>
      <c r="Y856" s="268"/>
      <c r="Z856" s="268"/>
    </row>
    <row r="857" spans="1:26" ht="12.75" customHeight="1">
      <c r="A857" s="268"/>
      <c r="B857" s="268"/>
      <c r="C857" s="268"/>
      <c r="D857" s="268"/>
      <c r="E857" s="268"/>
      <c r="F857" s="268"/>
      <c r="G857" s="268"/>
      <c r="H857" s="268"/>
      <c r="I857" s="268"/>
      <c r="J857" s="268"/>
      <c r="K857" s="268"/>
      <c r="L857" s="268"/>
      <c r="M857" s="268"/>
      <c r="N857" s="268"/>
      <c r="O857" s="268"/>
      <c r="P857" s="268"/>
      <c r="Q857" s="268"/>
      <c r="R857" s="268"/>
      <c r="S857" s="268"/>
      <c r="T857" s="268"/>
      <c r="U857" s="268"/>
      <c r="V857" s="268"/>
      <c r="W857" s="268"/>
      <c r="X857" s="268"/>
      <c r="Y857" s="268"/>
      <c r="Z857" s="268"/>
    </row>
    <row r="858" spans="1:26" ht="12.75" customHeight="1">
      <c r="A858" s="268"/>
      <c r="B858" s="268"/>
      <c r="C858" s="268"/>
      <c r="D858" s="268"/>
      <c r="E858" s="268"/>
      <c r="F858" s="268"/>
      <c r="G858" s="268"/>
      <c r="H858" s="268"/>
      <c r="I858" s="268"/>
      <c r="J858" s="268"/>
      <c r="K858" s="268"/>
      <c r="L858" s="268"/>
      <c r="M858" s="268"/>
      <c r="N858" s="268"/>
      <c r="O858" s="268"/>
      <c r="P858" s="268"/>
      <c r="Q858" s="268"/>
      <c r="R858" s="268"/>
      <c r="S858" s="268"/>
      <c r="T858" s="268"/>
      <c r="U858" s="268"/>
      <c r="V858" s="268"/>
      <c r="W858" s="268"/>
      <c r="X858" s="268"/>
      <c r="Y858" s="268"/>
      <c r="Z858" s="268"/>
    </row>
    <row r="859" spans="1:26" ht="12.75" customHeight="1">
      <c r="A859" s="268"/>
      <c r="B859" s="268"/>
      <c r="C859" s="268"/>
      <c r="D859" s="268"/>
      <c r="E859" s="268"/>
      <c r="F859" s="268"/>
      <c r="G859" s="268"/>
      <c r="H859" s="268"/>
      <c r="I859" s="268"/>
      <c r="J859" s="268"/>
      <c r="K859" s="268"/>
      <c r="L859" s="268"/>
      <c r="M859" s="268"/>
      <c r="N859" s="268"/>
      <c r="O859" s="268"/>
      <c r="P859" s="268"/>
      <c r="Q859" s="268"/>
      <c r="R859" s="268"/>
      <c r="S859" s="268"/>
      <c r="T859" s="268"/>
      <c r="U859" s="268"/>
      <c r="V859" s="268"/>
      <c r="W859" s="268"/>
      <c r="X859" s="268"/>
      <c r="Y859" s="268"/>
      <c r="Z859" s="268"/>
    </row>
    <row r="860" spans="1:26" ht="12.75" customHeight="1">
      <c r="A860" s="268"/>
      <c r="B860" s="268"/>
      <c r="C860" s="268"/>
      <c r="D860" s="268"/>
      <c r="E860" s="268"/>
      <c r="F860" s="268"/>
      <c r="G860" s="268"/>
      <c r="H860" s="268"/>
      <c r="I860" s="268"/>
      <c r="J860" s="268"/>
      <c r="K860" s="268"/>
      <c r="L860" s="268"/>
      <c r="M860" s="268"/>
      <c r="N860" s="268"/>
      <c r="O860" s="268"/>
      <c r="P860" s="268"/>
      <c r="Q860" s="268"/>
      <c r="R860" s="268"/>
      <c r="S860" s="268"/>
      <c r="T860" s="268"/>
      <c r="U860" s="268"/>
      <c r="V860" s="268"/>
      <c r="W860" s="268"/>
      <c r="X860" s="268"/>
      <c r="Y860" s="268"/>
      <c r="Z860" s="268"/>
    </row>
    <row r="861" spans="1:26" ht="12.75" customHeight="1">
      <c r="A861" s="268"/>
      <c r="B861" s="268"/>
      <c r="C861" s="268"/>
      <c r="D861" s="268"/>
      <c r="E861" s="268"/>
      <c r="F861" s="268"/>
      <c r="G861" s="268"/>
      <c r="H861" s="268"/>
      <c r="I861" s="268"/>
      <c r="J861" s="268"/>
      <c r="K861" s="268"/>
      <c r="L861" s="268"/>
      <c r="M861" s="268"/>
      <c r="N861" s="268"/>
      <c r="O861" s="268"/>
      <c r="P861" s="268"/>
      <c r="Q861" s="268"/>
      <c r="R861" s="268"/>
      <c r="S861" s="268"/>
      <c r="T861" s="268"/>
      <c r="U861" s="268"/>
      <c r="V861" s="268"/>
      <c r="W861" s="268"/>
      <c r="X861" s="268"/>
      <c r="Y861" s="268"/>
      <c r="Z861" s="268"/>
    </row>
    <row r="862" spans="1:26" ht="12.75" customHeight="1">
      <c r="A862" s="268"/>
      <c r="B862" s="268"/>
      <c r="C862" s="268"/>
      <c r="D862" s="268"/>
      <c r="E862" s="268"/>
      <c r="F862" s="268"/>
      <c r="G862" s="268"/>
      <c r="H862" s="268"/>
      <c r="I862" s="268"/>
      <c r="J862" s="268"/>
      <c r="K862" s="268"/>
      <c r="L862" s="268"/>
      <c r="M862" s="268"/>
      <c r="N862" s="268"/>
      <c r="O862" s="268"/>
      <c r="P862" s="268"/>
      <c r="Q862" s="268"/>
      <c r="R862" s="268"/>
      <c r="S862" s="268"/>
      <c r="T862" s="268"/>
      <c r="U862" s="268"/>
      <c r="V862" s="268"/>
      <c r="W862" s="268"/>
      <c r="X862" s="268"/>
      <c r="Y862" s="268"/>
      <c r="Z862" s="268"/>
    </row>
    <row r="863" spans="1:26" ht="12.75" customHeight="1">
      <c r="A863" s="268"/>
      <c r="B863" s="268"/>
      <c r="C863" s="268"/>
      <c r="D863" s="268"/>
      <c r="E863" s="268"/>
      <c r="F863" s="268"/>
      <c r="G863" s="268"/>
      <c r="H863" s="268"/>
      <c r="I863" s="268"/>
      <c r="J863" s="268"/>
      <c r="K863" s="268"/>
      <c r="L863" s="268"/>
      <c r="M863" s="268"/>
      <c r="N863" s="268"/>
      <c r="O863" s="268"/>
      <c r="P863" s="268"/>
      <c r="Q863" s="268"/>
      <c r="R863" s="268"/>
      <c r="S863" s="268"/>
      <c r="T863" s="268"/>
      <c r="U863" s="268"/>
      <c r="V863" s="268"/>
      <c r="W863" s="268"/>
      <c r="X863" s="268"/>
      <c r="Y863" s="268"/>
      <c r="Z863" s="268"/>
    </row>
    <row r="864" spans="1:26" ht="12.75" customHeight="1">
      <c r="A864" s="268"/>
      <c r="B864" s="268"/>
      <c r="C864" s="268"/>
      <c r="D864" s="268"/>
      <c r="E864" s="268"/>
      <c r="F864" s="268"/>
      <c r="G864" s="268"/>
      <c r="H864" s="268"/>
      <c r="I864" s="268"/>
      <c r="J864" s="268"/>
      <c r="K864" s="268"/>
      <c r="L864" s="268"/>
      <c r="M864" s="268"/>
      <c r="N864" s="268"/>
      <c r="O864" s="268"/>
      <c r="P864" s="268"/>
      <c r="Q864" s="268"/>
      <c r="R864" s="268"/>
      <c r="S864" s="268"/>
      <c r="T864" s="268"/>
      <c r="U864" s="268"/>
      <c r="V864" s="268"/>
      <c r="W864" s="268"/>
      <c r="X864" s="268"/>
      <c r="Y864" s="268"/>
      <c r="Z864" s="268"/>
    </row>
    <row r="865" spans="1:26" ht="12.75" customHeight="1">
      <c r="A865" s="268"/>
      <c r="B865" s="268"/>
      <c r="C865" s="268"/>
      <c r="D865" s="268"/>
      <c r="E865" s="268"/>
      <c r="F865" s="268"/>
      <c r="G865" s="268"/>
      <c r="H865" s="268"/>
      <c r="I865" s="268"/>
      <c r="J865" s="268"/>
      <c r="K865" s="268"/>
      <c r="L865" s="268"/>
      <c r="M865" s="268"/>
      <c r="N865" s="268"/>
      <c r="O865" s="268"/>
      <c r="P865" s="268"/>
      <c r="Q865" s="268"/>
      <c r="R865" s="268"/>
      <c r="S865" s="268"/>
      <c r="T865" s="268"/>
      <c r="U865" s="268"/>
      <c r="V865" s="268"/>
      <c r="W865" s="268"/>
      <c r="X865" s="268"/>
      <c r="Y865" s="268"/>
      <c r="Z865" s="268"/>
    </row>
    <row r="866" spans="1:26" ht="12.75" customHeight="1">
      <c r="A866" s="268"/>
      <c r="B866" s="268"/>
      <c r="C866" s="268"/>
      <c r="D866" s="268"/>
      <c r="E866" s="268"/>
      <c r="F866" s="268"/>
      <c r="G866" s="268"/>
      <c r="H866" s="268"/>
      <c r="I866" s="268"/>
      <c r="J866" s="268"/>
      <c r="K866" s="268"/>
      <c r="L866" s="268"/>
      <c r="M866" s="268"/>
      <c r="N866" s="268"/>
      <c r="O866" s="268"/>
      <c r="P866" s="268"/>
      <c r="Q866" s="268"/>
      <c r="R866" s="268"/>
      <c r="S866" s="268"/>
      <c r="T866" s="268"/>
      <c r="U866" s="268"/>
      <c r="V866" s="268"/>
      <c r="W866" s="268"/>
      <c r="X866" s="268"/>
      <c r="Y866" s="268"/>
      <c r="Z866" s="268"/>
    </row>
    <row r="867" spans="1:26" ht="12.75" customHeight="1">
      <c r="A867" s="268"/>
      <c r="B867" s="268"/>
      <c r="C867" s="268"/>
      <c r="D867" s="268"/>
      <c r="E867" s="268"/>
      <c r="F867" s="268"/>
      <c r="G867" s="268"/>
      <c r="H867" s="268"/>
      <c r="I867" s="268"/>
      <c r="J867" s="268"/>
      <c r="K867" s="268"/>
      <c r="L867" s="268"/>
      <c r="M867" s="268"/>
      <c r="N867" s="268"/>
      <c r="O867" s="268"/>
      <c r="P867" s="268"/>
      <c r="Q867" s="268"/>
      <c r="R867" s="268"/>
      <c r="S867" s="268"/>
      <c r="T867" s="268"/>
      <c r="U867" s="268"/>
      <c r="V867" s="268"/>
      <c r="W867" s="268"/>
      <c r="X867" s="268"/>
      <c r="Y867" s="268"/>
      <c r="Z867" s="268"/>
    </row>
    <row r="868" spans="1:26" ht="12.75" customHeight="1">
      <c r="A868" s="268"/>
      <c r="B868" s="268"/>
      <c r="C868" s="268"/>
      <c r="D868" s="268"/>
      <c r="E868" s="268"/>
      <c r="F868" s="268"/>
      <c r="G868" s="268"/>
      <c r="H868" s="268"/>
      <c r="I868" s="268"/>
      <c r="J868" s="268"/>
      <c r="K868" s="268"/>
      <c r="L868" s="268"/>
      <c r="M868" s="268"/>
      <c r="N868" s="268"/>
      <c r="O868" s="268"/>
      <c r="P868" s="268"/>
      <c r="Q868" s="268"/>
      <c r="R868" s="268"/>
      <c r="S868" s="268"/>
      <c r="T868" s="268"/>
      <c r="U868" s="268"/>
      <c r="V868" s="268"/>
      <c r="W868" s="268"/>
      <c r="X868" s="268"/>
      <c r="Y868" s="268"/>
      <c r="Z868" s="268"/>
    </row>
    <row r="869" spans="1:26" ht="12.75" customHeight="1">
      <c r="A869" s="268"/>
      <c r="B869" s="268"/>
      <c r="C869" s="268"/>
      <c r="D869" s="268"/>
      <c r="E869" s="268"/>
      <c r="F869" s="268"/>
      <c r="G869" s="268"/>
      <c r="H869" s="268"/>
      <c r="I869" s="268"/>
      <c r="J869" s="268"/>
      <c r="K869" s="268"/>
      <c r="L869" s="268"/>
      <c r="M869" s="268"/>
      <c r="N869" s="268"/>
      <c r="O869" s="268"/>
      <c r="P869" s="268"/>
      <c r="Q869" s="268"/>
      <c r="R869" s="268"/>
      <c r="S869" s="268"/>
      <c r="T869" s="268"/>
      <c r="U869" s="268"/>
      <c r="V869" s="268"/>
      <c r="W869" s="268"/>
      <c r="X869" s="268"/>
      <c r="Y869" s="268"/>
      <c r="Z869" s="268"/>
    </row>
    <row r="870" spans="1:26" ht="12.75" customHeight="1">
      <c r="A870" s="268"/>
      <c r="B870" s="268"/>
      <c r="C870" s="268"/>
      <c r="D870" s="268"/>
      <c r="E870" s="268"/>
      <c r="F870" s="268"/>
      <c r="G870" s="268"/>
      <c r="H870" s="268"/>
      <c r="I870" s="268"/>
      <c r="J870" s="268"/>
      <c r="K870" s="268"/>
      <c r="L870" s="268"/>
      <c r="M870" s="268"/>
      <c r="N870" s="268"/>
      <c r="O870" s="268"/>
      <c r="P870" s="268"/>
      <c r="Q870" s="268"/>
      <c r="R870" s="268"/>
      <c r="S870" s="268"/>
      <c r="T870" s="268"/>
      <c r="U870" s="268"/>
      <c r="V870" s="268"/>
      <c r="W870" s="268"/>
      <c r="X870" s="268"/>
      <c r="Y870" s="268"/>
      <c r="Z870" s="268"/>
    </row>
    <row r="871" spans="1:26" ht="12.75" customHeight="1">
      <c r="A871" s="268"/>
      <c r="B871" s="268"/>
      <c r="C871" s="268"/>
      <c r="D871" s="268"/>
      <c r="E871" s="268"/>
      <c r="F871" s="268"/>
      <c r="G871" s="268"/>
      <c r="H871" s="268"/>
      <c r="I871" s="268"/>
      <c r="J871" s="268"/>
      <c r="K871" s="268"/>
      <c r="L871" s="268"/>
      <c r="M871" s="268"/>
      <c r="N871" s="268"/>
      <c r="O871" s="268"/>
      <c r="P871" s="268"/>
      <c r="Q871" s="268"/>
      <c r="R871" s="268"/>
      <c r="S871" s="268"/>
      <c r="T871" s="268"/>
      <c r="U871" s="268"/>
      <c r="V871" s="268"/>
      <c r="W871" s="268"/>
      <c r="X871" s="268"/>
      <c r="Y871" s="268"/>
      <c r="Z871" s="268"/>
    </row>
    <row r="872" spans="1:26" ht="12.75" customHeight="1">
      <c r="A872" s="268"/>
      <c r="B872" s="268"/>
      <c r="C872" s="268"/>
      <c r="D872" s="268"/>
      <c r="E872" s="268"/>
      <c r="F872" s="268"/>
      <c r="G872" s="268"/>
      <c r="H872" s="268"/>
      <c r="I872" s="268"/>
      <c r="J872" s="268"/>
      <c r="K872" s="268"/>
      <c r="L872" s="268"/>
      <c r="M872" s="268"/>
      <c r="N872" s="268"/>
      <c r="O872" s="268"/>
      <c r="P872" s="268"/>
      <c r="Q872" s="268"/>
      <c r="R872" s="268"/>
      <c r="S872" s="268"/>
      <c r="T872" s="268"/>
      <c r="U872" s="268"/>
      <c r="V872" s="268"/>
      <c r="W872" s="268"/>
      <c r="X872" s="268"/>
      <c r="Y872" s="268"/>
      <c r="Z872" s="268"/>
    </row>
    <row r="873" spans="1:26" ht="12.75" customHeight="1">
      <c r="A873" s="268"/>
      <c r="B873" s="268"/>
      <c r="C873" s="268"/>
      <c r="D873" s="268"/>
      <c r="E873" s="268"/>
      <c r="F873" s="268"/>
      <c r="G873" s="268"/>
      <c r="H873" s="268"/>
      <c r="I873" s="268"/>
      <c r="J873" s="268"/>
      <c r="K873" s="268"/>
      <c r="L873" s="268"/>
      <c r="M873" s="268"/>
      <c r="N873" s="268"/>
      <c r="O873" s="268"/>
      <c r="P873" s="268"/>
      <c r="Q873" s="268"/>
      <c r="R873" s="268"/>
      <c r="S873" s="268"/>
      <c r="T873" s="268"/>
      <c r="U873" s="268"/>
      <c r="V873" s="268"/>
      <c r="W873" s="268"/>
      <c r="X873" s="268"/>
      <c r="Y873" s="268"/>
      <c r="Z873" s="268"/>
    </row>
    <row r="874" spans="1:26" ht="12.75" customHeight="1">
      <c r="A874" s="268"/>
      <c r="B874" s="268"/>
      <c r="C874" s="268"/>
      <c r="D874" s="268"/>
      <c r="E874" s="268"/>
      <c r="F874" s="268"/>
      <c r="G874" s="268"/>
      <c r="H874" s="268"/>
      <c r="I874" s="268"/>
      <c r="J874" s="268"/>
      <c r="K874" s="268"/>
      <c r="L874" s="268"/>
      <c r="M874" s="268"/>
      <c r="N874" s="268"/>
      <c r="O874" s="268"/>
      <c r="P874" s="268"/>
      <c r="Q874" s="268"/>
      <c r="R874" s="268"/>
      <c r="S874" s="268"/>
      <c r="T874" s="268"/>
      <c r="U874" s="268"/>
      <c r="V874" s="268"/>
      <c r="W874" s="268"/>
      <c r="X874" s="268"/>
      <c r="Y874" s="268"/>
      <c r="Z874" s="268"/>
    </row>
    <row r="875" spans="1:26" ht="12.75" customHeight="1">
      <c r="A875" s="268"/>
      <c r="B875" s="268"/>
      <c r="C875" s="268"/>
      <c r="D875" s="268"/>
      <c r="E875" s="268"/>
      <c r="F875" s="268"/>
      <c r="G875" s="268"/>
      <c r="H875" s="268"/>
      <c r="I875" s="268"/>
      <c r="J875" s="268"/>
      <c r="K875" s="268"/>
      <c r="L875" s="268"/>
      <c r="M875" s="268"/>
      <c r="N875" s="268"/>
      <c r="O875" s="268"/>
      <c r="P875" s="268"/>
      <c r="Q875" s="268"/>
      <c r="R875" s="268"/>
      <c r="S875" s="268"/>
      <c r="T875" s="268"/>
      <c r="U875" s="268"/>
      <c r="V875" s="268"/>
      <c r="W875" s="268"/>
      <c r="X875" s="268"/>
      <c r="Y875" s="268"/>
      <c r="Z875" s="268"/>
    </row>
    <row r="876" spans="1:26" ht="12.75" customHeight="1">
      <c r="A876" s="268"/>
      <c r="B876" s="268"/>
      <c r="C876" s="268"/>
      <c r="D876" s="268"/>
      <c r="E876" s="268"/>
      <c r="F876" s="268"/>
      <c r="G876" s="268"/>
      <c r="H876" s="268"/>
      <c r="I876" s="268"/>
      <c r="J876" s="268"/>
      <c r="K876" s="268"/>
      <c r="L876" s="268"/>
      <c r="M876" s="268"/>
      <c r="N876" s="268"/>
      <c r="O876" s="268"/>
      <c r="P876" s="268"/>
      <c r="Q876" s="268"/>
      <c r="R876" s="268"/>
      <c r="S876" s="268"/>
      <c r="T876" s="268"/>
      <c r="U876" s="268"/>
      <c r="V876" s="268"/>
      <c r="W876" s="268"/>
      <c r="X876" s="268"/>
      <c r="Y876" s="268"/>
      <c r="Z876" s="268"/>
    </row>
    <row r="877" spans="1:26" ht="12.75" customHeight="1">
      <c r="A877" s="268"/>
      <c r="B877" s="268"/>
      <c r="C877" s="268"/>
      <c r="D877" s="268"/>
      <c r="E877" s="268"/>
      <c r="F877" s="268"/>
      <c r="G877" s="268"/>
      <c r="H877" s="268"/>
      <c r="I877" s="268"/>
      <c r="J877" s="268"/>
      <c r="K877" s="268"/>
      <c r="L877" s="268"/>
      <c r="M877" s="268"/>
      <c r="N877" s="268"/>
      <c r="O877" s="268"/>
      <c r="P877" s="268"/>
      <c r="Q877" s="268"/>
      <c r="R877" s="268"/>
      <c r="S877" s="268"/>
      <c r="T877" s="268"/>
      <c r="U877" s="268"/>
      <c r="V877" s="268"/>
      <c r="W877" s="268"/>
      <c r="X877" s="268"/>
      <c r="Y877" s="268"/>
      <c r="Z877" s="268"/>
    </row>
    <row r="878" spans="1:26" ht="12.75" customHeight="1">
      <c r="A878" s="268"/>
      <c r="B878" s="268"/>
      <c r="C878" s="268"/>
      <c r="D878" s="268"/>
      <c r="E878" s="268"/>
      <c r="F878" s="268"/>
      <c r="G878" s="268"/>
      <c r="H878" s="268"/>
      <c r="I878" s="268"/>
      <c r="J878" s="268"/>
      <c r="K878" s="268"/>
      <c r="L878" s="268"/>
      <c r="M878" s="268"/>
      <c r="N878" s="268"/>
      <c r="O878" s="268"/>
      <c r="P878" s="268"/>
      <c r="Q878" s="268"/>
      <c r="R878" s="268"/>
      <c r="S878" s="268"/>
      <c r="T878" s="268"/>
      <c r="U878" s="268"/>
      <c r="V878" s="268"/>
      <c r="W878" s="268"/>
      <c r="X878" s="268"/>
      <c r="Y878" s="268"/>
      <c r="Z878" s="268"/>
    </row>
    <row r="879" spans="1:26" ht="12.75" customHeight="1">
      <c r="A879" s="268"/>
      <c r="B879" s="268"/>
      <c r="C879" s="268"/>
      <c r="D879" s="268"/>
      <c r="E879" s="268"/>
      <c r="F879" s="268"/>
      <c r="G879" s="268"/>
      <c r="H879" s="268"/>
      <c r="I879" s="268"/>
      <c r="J879" s="268"/>
      <c r="K879" s="268"/>
      <c r="L879" s="268"/>
      <c r="M879" s="268"/>
      <c r="N879" s="268"/>
      <c r="O879" s="268"/>
      <c r="P879" s="268"/>
      <c r="Q879" s="268"/>
      <c r="R879" s="268"/>
      <c r="S879" s="268"/>
      <c r="T879" s="268"/>
      <c r="U879" s="268"/>
      <c r="V879" s="268"/>
      <c r="W879" s="268"/>
      <c r="X879" s="268"/>
      <c r="Y879" s="268"/>
      <c r="Z879" s="268"/>
    </row>
    <row r="880" spans="1:26" ht="12.75" customHeight="1">
      <c r="A880" s="268"/>
      <c r="B880" s="268"/>
      <c r="C880" s="268"/>
      <c r="D880" s="268"/>
      <c r="E880" s="268"/>
      <c r="F880" s="268"/>
      <c r="G880" s="268"/>
      <c r="H880" s="268"/>
      <c r="I880" s="268"/>
      <c r="J880" s="268"/>
      <c r="K880" s="268"/>
      <c r="L880" s="268"/>
      <c r="M880" s="268"/>
      <c r="N880" s="268"/>
      <c r="O880" s="268"/>
      <c r="P880" s="268"/>
      <c r="Q880" s="268"/>
      <c r="R880" s="268"/>
      <c r="S880" s="268"/>
      <c r="T880" s="268"/>
      <c r="U880" s="268"/>
      <c r="V880" s="268"/>
      <c r="W880" s="268"/>
      <c r="X880" s="268"/>
      <c r="Y880" s="268"/>
      <c r="Z880" s="268"/>
    </row>
    <row r="881" spans="1:26" ht="12.75" customHeight="1">
      <c r="A881" s="268"/>
      <c r="B881" s="268"/>
      <c r="C881" s="268"/>
      <c r="D881" s="268"/>
      <c r="E881" s="268"/>
      <c r="F881" s="268"/>
      <c r="G881" s="268"/>
      <c r="H881" s="268"/>
      <c r="I881" s="268"/>
      <c r="J881" s="268"/>
      <c r="K881" s="268"/>
      <c r="L881" s="268"/>
      <c r="M881" s="268"/>
      <c r="N881" s="268"/>
      <c r="O881" s="268"/>
      <c r="P881" s="268"/>
      <c r="Q881" s="268"/>
      <c r="R881" s="268"/>
      <c r="S881" s="268"/>
      <c r="T881" s="268"/>
      <c r="U881" s="268"/>
      <c r="V881" s="268"/>
      <c r="W881" s="268"/>
      <c r="X881" s="268"/>
      <c r="Y881" s="268"/>
      <c r="Z881" s="268"/>
    </row>
    <row r="882" spans="1:26" ht="12.75" customHeight="1">
      <c r="A882" s="268"/>
      <c r="B882" s="268"/>
      <c r="C882" s="268"/>
      <c r="D882" s="268"/>
      <c r="E882" s="268"/>
      <c r="F882" s="268"/>
      <c r="G882" s="268"/>
      <c r="H882" s="268"/>
      <c r="I882" s="268"/>
      <c r="J882" s="268"/>
      <c r="K882" s="268"/>
      <c r="L882" s="268"/>
      <c r="M882" s="268"/>
      <c r="N882" s="268"/>
      <c r="O882" s="268"/>
      <c r="P882" s="268"/>
      <c r="Q882" s="268"/>
      <c r="R882" s="268"/>
      <c r="S882" s="268"/>
      <c r="T882" s="268"/>
      <c r="U882" s="268"/>
      <c r="V882" s="268"/>
      <c r="W882" s="268"/>
      <c r="X882" s="268"/>
      <c r="Y882" s="268"/>
      <c r="Z882" s="268"/>
    </row>
    <row r="883" spans="1:26" ht="12.75" customHeight="1">
      <c r="A883" s="268"/>
      <c r="B883" s="268"/>
      <c r="C883" s="268"/>
      <c r="D883" s="268"/>
      <c r="E883" s="268"/>
      <c r="F883" s="268"/>
      <c r="G883" s="268"/>
      <c r="H883" s="268"/>
      <c r="I883" s="268"/>
      <c r="J883" s="268"/>
      <c r="K883" s="268"/>
      <c r="L883" s="268"/>
      <c r="M883" s="268"/>
      <c r="N883" s="268"/>
      <c r="O883" s="268"/>
      <c r="P883" s="268"/>
      <c r="Q883" s="268"/>
      <c r="R883" s="268"/>
      <c r="S883" s="268"/>
      <c r="T883" s="268"/>
      <c r="U883" s="268"/>
      <c r="V883" s="268"/>
      <c r="W883" s="268"/>
      <c r="X883" s="268"/>
      <c r="Y883" s="268"/>
      <c r="Z883" s="268"/>
    </row>
    <row r="884" spans="1:26" ht="12.75" customHeight="1">
      <c r="A884" s="268"/>
      <c r="B884" s="268"/>
      <c r="C884" s="268"/>
      <c r="D884" s="268"/>
      <c r="E884" s="268"/>
      <c r="F884" s="268"/>
      <c r="G884" s="268"/>
      <c r="H884" s="268"/>
      <c r="I884" s="268"/>
      <c r="J884" s="268"/>
      <c r="K884" s="268"/>
      <c r="L884" s="268"/>
      <c r="M884" s="268"/>
      <c r="N884" s="268"/>
      <c r="O884" s="268"/>
      <c r="P884" s="268"/>
      <c r="Q884" s="268"/>
      <c r="R884" s="268"/>
      <c r="S884" s="268"/>
      <c r="T884" s="268"/>
      <c r="U884" s="268"/>
      <c r="V884" s="268"/>
      <c r="W884" s="268"/>
      <c r="X884" s="268"/>
      <c r="Y884" s="268"/>
      <c r="Z884" s="268"/>
    </row>
    <row r="885" spans="1:26" ht="12.75" customHeight="1">
      <c r="A885" s="268"/>
      <c r="B885" s="268"/>
      <c r="C885" s="268"/>
      <c r="D885" s="268"/>
      <c r="E885" s="268"/>
      <c r="F885" s="268"/>
      <c r="G885" s="268"/>
      <c r="H885" s="268"/>
      <c r="I885" s="268"/>
      <c r="J885" s="268"/>
      <c r="K885" s="268"/>
      <c r="L885" s="268"/>
      <c r="M885" s="268"/>
      <c r="N885" s="268"/>
      <c r="O885" s="268"/>
      <c r="P885" s="268"/>
      <c r="Q885" s="268"/>
      <c r="R885" s="268"/>
      <c r="S885" s="268"/>
      <c r="T885" s="268"/>
      <c r="U885" s="268"/>
      <c r="V885" s="268"/>
      <c r="W885" s="268"/>
      <c r="X885" s="268"/>
      <c r="Y885" s="268"/>
      <c r="Z885" s="268"/>
    </row>
    <row r="886" spans="1:26" ht="12.75" customHeight="1">
      <c r="A886" s="268"/>
      <c r="B886" s="268"/>
      <c r="C886" s="268"/>
      <c r="D886" s="268"/>
      <c r="E886" s="268"/>
      <c r="F886" s="268"/>
      <c r="G886" s="268"/>
      <c r="H886" s="268"/>
      <c r="I886" s="268"/>
      <c r="J886" s="268"/>
      <c r="K886" s="268"/>
      <c r="L886" s="268"/>
      <c r="M886" s="268"/>
      <c r="N886" s="268"/>
      <c r="O886" s="268"/>
      <c r="P886" s="268"/>
      <c r="Q886" s="268"/>
      <c r="R886" s="268"/>
      <c r="S886" s="268"/>
      <c r="T886" s="268"/>
      <c r="U886" s="268"/>
      <c r="V886" s="268"/>
      <c r="W886" s="268"/>
      <c r="X886" s="268"/>
      <c r="Y886" s="268"/>
      <c r="Z886" s="268"/>
    </row>
    <row r="887" spans="1:26" ht="12.75" customHeight="1">
      <c r="A887" s="268"/>
      <c r="B887" s="268"/>
      <c r="C887" s="268"/>
      <c r="D887" s="268"/>
      <c r="E887" s="268"/>
      <c r="F887" s="268"/>
      <c r="G887" s="268"/>
      <c r="H887" s="268"/>
      <c r="I887" s="268"/>
      <c r="J887" s="268"/>
      <c r="K887" s="268"/>
      <c r="L887" s="268"/>
      <c r="M887" s="268"/>
      <c r="N887" s="268"/>
      <c r="O887" s="268"/>
      <c r="P887" s="268"/>
      <c r="Q887" s="268"/>
      <c r="R887" s="268"/>
      <c r="S887" s="268"/>
      <c r="T887" s="268"/>
      <c r="U887" s="268"/>
      <c r="V887" s="268"/>
      <c r="W887" s="268"/>
      <c r="X887" s="268"/>
      <c r="Y887" s="268"/>
      <c r="Z887" s="268"/>
    </row>
    <row r="888" spans="1:26" ht="12.75" customHeight="1">
      <c r="A888" s="268"/>
      <c r="B888" s="268"/>
      <c r="C888" s="268"/>
      <c r="D888" s="268"/>
      <c r="E888" s="268"/>
      <c r="F888" s="268"/>
      <c r="G888" s="268"/>
      <c r="H888" s="268"/>
      <c r="I888" s="268"/>
      <c r="J888" s="268"/>
      <c r="K888" s="268"/>
      <c r="L888" s="268"/>
      <c r="M888" s="268"/>
      <c r="N888" s="268"/>
      <c r="O888" s="268"/>
      <c r="P888" s="268"/>
      <c r="Q888" s="268"/>
      <c r="R888" s="268"/>
      <c r="S888" s="268"/>
      <c r="T888" s="268"/>
      <c r="U888" s="268"/>
      <c r="V888" s="268"/>
      <c r="W888" s="268"/>
      <c r="X888" s="268"/>
      <c r="Y888" s="268"/>
      <c r="Z888" s="268"/>
    </row>
    <row r="889" spans="1:26" ht="12.75" customHeight="1">
      <c r="A889" s="268"/>
      <c r="B889" s="268"/>
      <c r="C889" s="268"/>
      <c r="D889" s="268"/>
      <c r="E889" s="268"/>
      <c r="F889" s="268"/>
      <c r="G889" s="268"/>
      <c r="H889" s="268"/>
      <c r="I889" s="268"/>
      <c r="J889" s="268"/>
      <c r="K889" s="268"/>
      <c r="L889" s="268"/>
      <c r="M889" s="268"/>
      <c r="N889" s="268"/>
      <c r="O889" s="268"/>
      <c r="P889" s="268"/>
      <c r="Q889" s="268"/>
      <c r="R889" s="268"/>
      <c r="S889" s="268"/>
      <c r="T889" s="268"/>
      <c r="U889" s="268"/>
      <c r="V889" s="268"/>
      <c r="W889" s="268"/>
      <c r="X889" s="268"/>
      <c r="Y889" s="268"/>
      <c r="Z889" s="268"/>
    </row>
    <row r="890" spans="1:26" ht="12.75" customHeight="1">
      <c r="A890" s="268"/>
      <c r="B890" s="268"/>
      <c r="C890" s="268"/>
      <c r="D890" s="268"/>
      <c r="E890" s="268"/>
      <c r="F890" s="268"/>
      <c r="G890" s="268"/>
      <c r="H890" s="268"/>
      <c r="I890" s="268"/>
      <c r="J890" s="268"/>
      <c r="K890" s="268"/>
      <c r="L890" s="268"/>
      <c r="M890" s="268"/>
      <c r="N890" s="268"/>
      <c r="O890" s="268"/>
      <c r="P890" s="268"/>
      <c r="Q890" s="268"/>
      <c r="R890" s="268"/>
      <c r="S890" s="268"/>
      <c r="T890" s="268"/>
      <c r="U890" s="268"/>
      <c r="V890" s="268"/>
      <c r="W890" s="268"/>
      <c r="X890" s="268"/>
      <c r="Y890" s="268"/>
      <c r="Z890" s="268"/>
    </row>
    <row r="891" spans="1:26" ht="12.75" customHeight="1">
      <c r="A891" s="268"/>
      <c r="B891" s="268"/>
      <c r="C891" s="268"/>
      <c r="D891" s="268"/>
      <c r="E891" s="268"/>
      <c r="F891" s="268"/>
      <c r="G891" s="268"/>
      <c r="H891" s="268"/>
      <c r="I891" s="268"/>
      <c r="J891" s="268"/>
      <c r="K891" s="268"/>
      <c r="L891" s="268"/>
      <c r="M891" s="268"/>
      <c r="N891" s="268"/>
      <c r="O891" s="268"/>
      <c r="P891" s="268"/>
      <c r="Q891" s="268"/>
      <c r="R891" s="268"/>
      <c r="S891" s="268"/>
      <c r="T891" s="268"/>
      <c r="U891" s="268"/>
      <c r="V891" s="268"/>
      <c r="W891" s="268"/>
      <c r="X891" s="268"/>
      <c r="Y891" s="268"/>
      <c r="Z891" s="268"/>
    </row>
    <row r="892" spans="1:26" ht="12.75" customHeight="1">
      <c r="A892" s="268"/>
      <c r="B892" s="268"/>
      <c r="C892" s="268"/>
      <c r="D892" s="268"/>
      <c r="E892" s="268"/>
      <c r="F892" s="268"/>
      <c r="G892" s="268"/>
      <c r="H892" s="268"/>
      <c r="I892" s="268"/>
      <c r="J892" s="268"/>
      <c r="K892" s="268"/>
      <c r="L892" s="268"/>
      <c r="M892" s="268"/>
      <c r="N892" s="268"/>
      <c r="O892" s="268"/>
      <c r="P892" s="268"/>
      <c r="Q892" s="268"/>
      <c r="R892" s="268"/>
      <c r="S892" s="268"/>
      <c r="T892" s="268"/>
      <c r="U892" s="268"/>
      <c r="V892" s="268"/>
      <c r="W892" s="268"/>
      <c r="X892" s="268"/>
      <c r="Y892" s="268"/>
      <c r="Z892" s="268"/>
    </row>
    <row r="893" spans="1:26" ht="12.75" customHeight="1">
      <c r="A893" s="268"/>
      <c r="B893" s="268"/>
      <c r="C893" s="268"/>
      <c r="D893" s="268"/>
      <c r="E893" s="268"/>
      <c r="F893" s="268"/>
      <c r="G893" s="268"/>
      <c r="H893" s="268"/>
      <c r="I893" s="268"/>
      <c r="J893" s="268"/>
      <c r="K893" s="268"/>
      <c r="L893" s="268"/>
      <c r="M893" s="268"/>
      <c r="N893" s="268"/>
      <c r="O893" s="268"/>
      <c r="P893" s="268"/>
      <c r="Q893" s="268"/>
      <c r="R893" s="268"/>
      <c r="S893" s="268"/>
      <c r="T893" s="268"/>
      <c r="U893" s="268"/>
      <c r="V893" s="268"/>
      <c r="W893" s="268"/>
      <c r="X893" s="268"/>
      <c r="Y893" s="268"/>
      <c r="Z893" s="268"/>
    </row>
    <row r="894" spans="1:26" ht="12.75" customHeight="1">
      <c r="A894" s="268"/>
      <c r="B894" s="268"/>
      <c r="C894" s="268"/>
      <c r="D894" s="268"/>
      <c r="E894" s="268"/>
      <c r="F894" s="268"/>
      <c r="G894" s="268"/>
      <c r="H894" s="268"/>
      <c r="I894" s="268"/>
      <c r="J894" s="268"/>
      <c r="K894" s="268"/>
      <c r="L894" s="268"/>
      <c r="M894" s="268"/>
      <c r="N894" s="268"/>
      <c r="O894" s="268"/>
      <c r="P894" s="268"/>
      <c r="Q894" s="268"/>
      <c r="R894" s="268"/>
      <c r="S894" s="268"/>
      <c r="T894" s="268"/>
      <c r="U894" s="268"/>
      <c r="V894" s="268"/>
      <c r="W894" s="268"/>
      <c r="X894" s="268"/>
      <c r="Y894" s="268"/>
      <c r="Z894" s="268"/>
    </row>
    <row r="895" spans="1:26" ht="12.75" customHeight="1">
      <c r="A895" s="268"/>
      <c r="B895" s="268"/>
      <c r="C895" s="268"/>
      <c r="D895" s="268"/>
      <c r="E895" s="268"/>
      <c r="F895" s="268"/>
      <c r="G895" s="268"/>
      <c r="H895" s="268"/>
      <c r="I895" s="268"/>
      <c r="J895" s="268"/>
      <c r="K895" s="268"/>
      <c r="L895" s="268"/>
      <c r="M895" s="268"/>
      <c r="N895" s="268"/>
      <c r="O895" s="268"/>
      <c r="P895" s="268"/>
      <c r="Q895" s="268"/>
      <c r="R895" s="268"/>
      <c r="S895" s="268"/>
      <c r="T895" s="268"/>
      <c r="U895" s="268"/>
      <c r="V895" s="268"/>
      <c r="W895" s="268"/>
      <c r="X895" s="268"/>
      <c r="Y895" s="268"/>
      <c r="Z895" s="268"/>
    </row>
    <row r="896" spans="1:26" ht="12.75" customHeight="1">
      <c r="A896" s="268"/>
      <c r="B896" s="268"/>
      <c r="C896" s="268"/>
      <c r="D896" s="268"/>
      <c r="E896" s="268"/>
      <c r="F896" s="268"/>
      <c r="G896" s="268"/>
      <c r="H896" s="268"/>
      <c r="I896" s="268"/>
      <c r="J896" s="268"/>
      <c r="K896" s="268"/>
      <c r="L896" s="268"/>
      <c r="M896" s="268"/>
      <c r="N896" s="268"/>
      <c r="O896" s="268"/>
      <c r="P896" s="268"/>
      <c r="Q896" s="268"/>
      <c r="R896" s="268"/>
      <c r="S896" s="268"/>
      <c r="T896" s="268"/>
      <c r="U896" s="268"/>
      <c r="V896" s="268"/>
      <c r="W896" s="268"/>
      <c r="X896" s="268"/>
      <c r="Y896" s="268"/>
      <c r="Z896" s="268"/>
    </row>
    <row r="897" spans="1:26" ht="12.75" customHeight="1">
      <c r="A897" s="268"/>
      <c r="B897" s="268"/>
      <c r="C897" s="268"/>
      <c r="D897" s="268"/>
      <c r="E897" s="268"/>
      <c r="F897" s="268"/>
      <c r="G897" s="268"/>
      <c r="H897" s="268"/>
      <c r="I897" s="268"/>
      <c r="J897" s="268"/>
      <c r="K897" s="268"/>
      <c r="L897" s="268"/>
      <c r="M897" s="268"/>
      <c r="N897" s="268"/>
      <c r="O897" s="268"/>
      <c r="P897" s="268"/>
      <c r="Q897" s="268"/>
      <c r="R897" s="268"/>
      <c r="S897" s="268"/>
      <c r="T897" s="268"/>
      <c r="U897" s="268"/>
      <c r="V897" s="268"/>
      <c r="W897" s="268"/>
      <c r="X897" s="268"/>
      <c r="Y897" s="268"/>
      <c r="Z897" s="268"/>
    </row>
    <row r="898" spans="1:26" ht="12.75" customHeight="1">
      <c r="A898" s="268"/>
      <c r="B898" s="268"/>
      <c r="C898" s="268"/>
      <c r="D898" s="268"/>
      <c r="E898" s="268"/>
      <c r="F898" s="268"/>
      <c r="G898" s="268"/>
      <c r="H898" s="268"/>
      <c r="I898" s="268"/>
      <c r="J898" s="268"/>
      <c r="K898" s="268"/>
      <c r="L898" s="268"/>
      <c r="M898" s="268"/>
      <c r="N898" s="268"/>
      <c r="O898" s="268"/>
      <c r="P898" s="268"/>
      <c r="Q898" s="268"/>
      <c r="R898" s="268"/>
      <c r="S898" s="268"/>
      <c r="T898" s="268"/>
      <c r="U898" s="268"/>
      <c r="V898" s="268"/>
      <c r="W898" s="268"/>
      <c r="X898" s="268"/>
      <c r="Y898" s="268"/>
      <c r="Z898" s="268"/>
    </row>
    <row r="899" spans="1:26" ht="12.75" customHeight="1">
      <c r="A899" s="268"/>
      <c r="B899" s="268"/>
      <c r="C899" s="268"/>
      <c r="D899" s="268"/>
      <c r="E899" s="268"/>
      <c r="F899" s="268"/>
      <c r="G899" s="268"/>
      <c r="H899" s="268"/>
      <c r="I899" s="268"/>
      <c r="J899" s="268"/>
      <c r="K899" s="268"/>
      <c r="L899" s="268"/>
      <c r="M899" s="268"/>
      <c r="N899" s="268"/>
      <c r="O899" s="268"/>
      <c r="P899" s="268"/>
      <c r="Q899" s="268"/>
      <c r="R899" s="268"/>
      <c r="S899" s="268"/>
      <c r="T899" s="268"/>
      <c r="U899" s="268"/>
      <c r="V899" s="268"/>
      <c r="W899" s="268"/>
      <c r="X899" s="268"/>
      <c r="Y899" s="268"/>
      <c r="Z899" s="268"/>
    </row>
    <row r="900" spans="1:26" ht="12.75" customHeight="1">
      <c r="A900" s="268"/>
      <c r="B900" s="268"/>
      <c r="C900" s="268"/>
      <c r="D900" s="268"/>
      <c r="E900" s="268"/>
      <c r="F900" s="268"/>
      <c r="G900" s="268"/>
      <c r="H900" s="268"/>
      <c r="I900" s="268"/>
      <c r="J900" s="268"/>
      <c r="K900" s="268"/>
      <c r="L900" s="268"/>
      <c r="M900" s="268"/>
      <c r="N900" s="268"/>
      <c r="O900" s="268"/>
      <c r="P900" s="268"/>
      <c r="Q900" s="268"/>
      <c r="R900" s="268"/>
      <c r="S900" s="268"/>
      <c r="T900" s="268"/>
      <c r="U900" s="268"/>
      <c r="V900" s="268"/>
      <c r="W900" s="268"/>
      <c r="X900" s="268"/>
      <c r="Y900" s="268"/>
      <c r="Z900" s="268"/>
    </row>
    <row r="901" spans="1:26" ht="12.75" customHeight="1">
      <c r="A901" s="268"/>
      <c r="B901" s="268"/>
      <c r="C901" s="268"/>
      <c r="D901" s="268"/>
      <c r="E901" s="268"/>
      <c r="F901" s="268"/>
      <c r="G901" s="268"/>
      <c r="H901" s="268"/>
      <c r="I901" s="268"/>
      <c r="J901" s="268"/>
      <c r="K901" s="268"/>
      <c r="L901" s="268"/>
      <c r="M901" s="268"/>
      <c r="N901" s="268"/>
      <c r="O901" s="268"/>
      <c r="P901" s="268"/>
      <c r="Q901" s="268"/>
      <c r="R901" s="268"/>
      <c r="S901" s="268"/>
      <c r="T901" s="268"/>
      <c r="U901" s="268"/>
      <c r="V901" s="268"/>
      <c r="W901" s="268"/>
      <c r="X901" s="268"/>
      <c r="Y901" s="268"/>
      <c r="Z901" s="268"/>
    </row>
    <row r="902" spans="1:26" ht="12.75" customHeight="1">
      <c r="A902" s="268"/>
      <c r="B902" s="268"/>
      <c r="C902" s="268"/>
      <c r="D902" s="268"/>
      <c r="E902" s="268"/>
      <c r="F902" s="268"/>
      <c r="G902" s="268"/>
      <c r="H902" s="268"/>
      <c r="I902" s="268"/>
      <c r="J902" s="268"/>
      <c r="K902" s="268"/>
      <c r="L902" s="268"/>
      <c r="M902" s="268"/>
      <c r="N902" s="268"/>
      <c r="O902" s="268"/>
      <c r="P902" s="268"/>
      <c r="Q902" s="268"/>
      <c r="R902" s="268"/>
      <c r="S902" s="268"/>
      <c r="T902" s="268"/>
      <c r="U902" s="268"/>
      <c r="V902" s="268"/>
      <c r="W902" s="268"/>
      <c r="X902" s="268"/>
      <c r="Y902" s="268"/>
      <c r="Z902" s="268"/>
    </row>
    <row r="903" spans="1:26" ht="12.75" customHeight="1">
      <c r="A903" s="268"/>
      <c r="B903" s="268"/>
      <c r="C903" s="268"/>
      <c r="D903" s="268"/>
      <c r="E903" s="268"/>
      <c r="F903" s="268"/>
      <c r="G903" s="268"/>
      <c r="H903" s="268"/>
      <c r="I903" s="268"/>
      <c r="J903" s="268"/>
      <c r="K903" s="268"/>
      <c r="L903" s="268"/>
      <c r="M903" s="268"/>
      <c r="N903" s="268"/>
      <c r="O903" s="268"/>
      <c r="P903" s="268"/>
      <c r="Q903" s="268"/>
      <c r="R903" s="268"/>
      <c r="S903" s="268"/>
      <c r="T903" s="268"/>
      <c r="U903" s="268"/>
      <c r="V903" s="268"/>
      <c r="W903" s="268"/>
      <c r="X903" s="268"/>
      <c r="Y903" s="268"/>
      <c r="Z903" s="268"/>
    </row>
    <row r="904" spans="1:26" ht="12.75" customHeight="1">
      <c r="A904" s="268"/>
      <c r="B904" s="268"/>
      <c r="C904" s="268"/>
      <c r="D904" s="268"/>
      <c r="E904" s="268"/>
      <c r="F904" s="268"/>
      <c r="G904" s="268"/>
      <c r="H904" s="268"/>
      <c r="I904" s="268"/>
      <c r="J904" s="268"/>
      <c r="K904" s="268"/>
      <c r="L904" s="268"/>
      <c r="M904" s="268"/>
      <c r="N904" s="268"/>
      <c r="O904" s="268"/>
      <c r="P904" s="268"/>
      <c r="Q904" s="268"/>
      <c r="R904" s="268"/>
      <c r="S904" s="268"/>
      <c r="T904" s="268"/>
      <c r="U904" s="268"/>
      <c r="V904" s="268"/>
      <c r="W904" s="268"/>
      <c r="X904" s="268"/>
      <c r="Y904" s="268"/>
      <c r="Z904" s="268"/>
    </row>
    <row r="905" spans="1:26" ht="12.75" customHeight="1">
      <c r="A905" s="268"/>
      <c r="B905" s="268"/>
      <c r="C905" s="268"/>
      <c r="D905" s="268"/>
      <c r="E905" s="268"/>
      <c r="F905" s="268"/>
      <c r="G905" s="268"/>
      <c r="H905" s="268"/>
      <c r="I905" s="268"/>
      <c r="J905" s="268"/>
      <c r="K905" s="268"/>
      <c r="L905" s="268"/>
      <c r="M905" s="268"/>
      <c r="N905" s="268"/>
      <c r="O905" s="268"/>
      <c r="P905" s="268"/>
      <c r="Q905" s="268"/>
      <c r="R905" s="268"/>
      <c r="S905" s="268"/>
      <c r="T905" s="268"/>
      <c r="U905" s="268"/>
      <c r="V905" s="268"/>
      <c r="W905" s="268"/>
      <c r="X905" s="268"/>
      <c r="Y905" s="268"/>
      <c r="Z905" s="268"/>
    </row>
    <row r="906" spans="1:26" ht="12.75" customHeight="1">
      <c r="A906" s="268"/>
      <c r="B906" s="268"/>
      <c r="C906" s="268"/>
      <c r="D906" s="268"/>
      <c r="E906" s="268"/>
      <c r="F906" s="268"/>
      <c r="G906" s="268"/>
      <c r="H906" s="268"/>
      <c r="I906" s="268"/>
      <c r="J906" s="268"/>
      <c r="K906" s="268"/>
      <c r="L906" s="268"/>
      <c r="M906" s="268"/>
      <c r="N906" s="268"/>
      <c r="O906" s="268"/>
      <c r="P906" s="268"/>
      <c r="Q906" s="268"/>
      <c r="R906" s="268"/>
      <c r="S906" s="268"/>
      <c r="T906" s="268"/>
      <c r="U906" s="268"/>
      <c r="V906" s="268"/>
      <c r="W906" s="268"/>
      <c r="X906" s="268"/>
      <c r="Y906" s="268"/>
      <c r="Z906" s="268"/>
    </row>
    <row r="907" spans="1:26" ht="12.75" customHeight="1">
      <c r="A907" s="268"/>
      <c r="B907" s="268"/>
      <c r="C907" s="268"/>
      <c r="D907" s="268"/>
      <c r="E907" s="268"/>
      <c r="F907" s="268"/>
      <c r="G907" s="268"/>
      <c r="H907" s="268"/>
      <c r="I907" s="268"/>
      <c r="J907" s="268"/>
      <c r="K907" s="268"/>
      <c r="L907" s="268"/>
      <c r="M907" s="268"/>
      <c r="N907" s="268"/>
      <c r="O907" s="268"/>
      <c r="P907" s="268"/>
      <c r="Q907" s="268"/>
      <c r="R907" s="268"/>
      <c r="S907" s="268"/>
      <c r="T907" s="268"/>
      <c r="U907" s="268"/>
      <c r="V907" s="268"/>
      <c r="W907" s="268"/>
      <c r="X907" s="268"/>
      <c r="Y907" s="268"/>
      <c r="Z907" s="268"/>
    </row>
    <row r="908" spans="1:26" ht="12.75" customHeight="1">
      <c r="A908" s="268"/>
      <c r="B908" s="268"/>
      <c r="C908" s="268"/>
      <c r="D908" s="268"/>
      <c r="E908" s="268"/>
      <c r="F908" s="268"/>
      <c r="G908" s="268"/>
      <c r="H908" s="268"/>
      <c r="I908" s="268"/>
      <c r="J908" s="268"/>
      <c r="K908" s="268"/>
      <c r="L908" s="268"/>
      <c r="M908" s="268"/>
      <c r="N908" s="268"/>
      <c r="O908" s="268"/>
      <c r="P908" s="268"/>
      <c r="Q908" s="268"/>
      <c r="R908" s="268"/>
      <c r="S908" s="268"/>
      <c r="T908" s="268"/>
      <c r="U908" s="268"/>
      <c r="V908" s="268"/>
      <c r="W908" s="268"/>
      <c r="X908" s="268"/>
      <c r="Y908" s="268"/>
      <c r="Z908" s="268"/>
    </row>
    <row r="909" spans="1:26" ht="12.75" customHeight="1">
      <c r="A909" s="268"/>
      <c r="B909" s="268"/>
      <c r="C909" s="268"/>
      <c r="D909" s="268"/>
      <c r="E909" s="268"/>
      <c r="F909" s="268"/>
      <c r="G909" s="268"/>
      <c r="H909" s="268"/>
      <c r="I909" s="268"/>
      <c r="J909" s="268"/>
      <c r="K909" s="268"/>
      <c r="L909" s="268"/>
      <c r="M909" s="268"/>
      <c r="N909" s="268"/>
      <c r="O909" s="268"/>
      <c r="P909" s="268"/>
      <c r="Q909" s="268"/>
      <c r="R909" s="268"/>
      <c r="S909" s="268"/>
      <c r="T909" s="268"/>
      <c r="U909" s="268"/>
      <c r="V909" s="268"/>
      <c r="W909" s="268"/>
      <c r="X909" s="268"/>
      <c r="Y909" s="268"/>
      <c r="Z909" s="268"/>
    </row>
    <row r="910" spans="1:26" ht="12.75" customHeight="1">
      <c r="A910" s="268"/>
      <c r="B910" s="268"/>
      <c r="C910" s="268"/>
      <c r="D910" s="268"/>
      <c r="E910" s="268"/>
      <c r="F910" s="268"/>
      <c r="G910" s="268"/>
      <c r="H910" s="268"/>
      <c r="I910" s="268"/>
      <c r="J910" s="268"/>
      <c r="K910" s="268"/>
      <c r="L910" s="268"/>
      <c r="M910" s="268"/>
      <c r="N910" s="268"/>
      <c r="O910" s="268"/>
      <c r="P910" s="268"/>
      <c r="Q910" s="268"/>
      <c r="R910" s="268"/>
      <c r="S910" s="268"/>
      <c r="T910" s="268"/>
      <c r="U910" s="268"/>
      <c r="V910" s="268"/>
      <c r="W910" s="268"/>
      <c r="X910" s="268"/>
      <c r="Y910" s="268"/>
      <c r="Z910" s="268"/>
    </row>
    <row r="911" spans="1:26" ht="12.75" customHeight="1">
      <c r="A911" s="268"/>
      <c r="B911" s="268"/>
      <c r="C911" s="268"/>
      <c r="D911" s="268"/>
      <c r="E911" s="268"/>
      <c r="F911" s="268"/>
      <c r="G911" s="268"/>
      <c r="H911" s="268"/>
      <c r="I911" s="268"/>
      <c r="J911" s="268"/>
      <c r="K911" s="268"/>
      <c r="L911" s="268"/>
      <c r="M911" s="268"/>
      <c r="N911" s="268"/>
      <c r="O911" s="268"/>
      <c r="P911" s="268"/>
      <c r="Q911" s="268"/>
      <c r="R911" s="268"/>
      <c r="S911" s="268"/>
      <c r="T911" s="268"/>
      <c r="U911" s="268"/>
      <c r="V911" s="268"/>
      <c r="W911" s="268"/>
      <c r="X911" s="268"/>
      <c r="Y911" s="268"/>
      <c r="Z911" s="268"/>
    </row>
    <row r="912" spans="1:26" ht="12.75" customHeight="1">
      <c r="A912" s="268"/>
      <c r="B912" s="268"/>
      <c r="C912" s="268"/>
      <c r="D912" s="268"/>
      <c r="E912" s="268"/>
      <c r="F912" s="268"/>
      <c r="G912" s="268"/>
      <c r="H912" s="268"/>
      <c r="I912" s="268"/>
      <c r="J912" s="268"/>
      <c r="K912" s="268"/>
      <c r="L912" s="268"/>
      <c r="M912" s="268"/>
      <c r="N912" s="268"/>
      <c r="O912" s="268"/>
      <c r="P912" s="268"/>
      <c r="Q912" s="268"/>
      <c r="R912" s="268"/>
      <c r="S912" s="268"/>
      <c r="T912" s="268"/>
      <c r="U912" s="268"/>
      <c r="V912" s="268"/>
      <c r="W912" s="268"/>
      <c r="X912" s="268"/>
      <c r="Y912" s="268"/>
      <c r="Z912" s="268"/>
    </row>
    <row r="913" spans="1:26" ht="12.75" customHeight="1">
      <c r="A913" s="268"/>
      <c r="B913" s="268"/>
      <c r="C913" s="268"/>
      <c r="D913" s="268"/>
      <c r="E913" s="268"/>
      <c r="F913" s="268"/>
      <c r="G913" s="268"/>
      <c r="H913" s="268"/>
      <c r="I913" s="268"/>
      <c r="J913" s="268"/>
      <c r="K913" s="268"/>
      <c r="L913" s="268"/>
      <c r="M913" s="268"/>
      <c r="N913" s="268"/>
      <c r="O913" s="268"/>
      <c r="P913" s="268"/>
      <c r="Q913" s="268"/>
      <c r="R913" s="268"/>
      <c r="S913" s="268"/>
      <c r="T913" s="268"/>
      <c r="U913" s="268"/>
      <c r="V913" s="268"/>
      <c r="W913" s="268"/>
      <c r="X913" s="268"/>
      <c r="Y913" s="268"/>
      <c r="Z913" s="268"/>
    </row>
    <row r="914" spans="1:26" ht="12.75" customHeight="1">
      <c r="A914" s="268"/>
      <c r="B914" s="268"/>
      <c r="C914" s="268"/>
      <c r="D914" s="268"/>
      <c r="E914" s="268"/>
      <c r="F914" s="268"/>
      <c r="G914" s="268"/>
      <c r="H914" s="268"/>
      <c r="I914" s="268"/>
      <c r="J914" s="268"/>
      <c r="K914" s="268"/>
      <c r="L914" s="268"/>
      <c r="M914" s="268"/>
      <c r="N914" s="268"/>
      <c r="O914" s="268"/>
      <c r="P914" s="268"/>
      <c r="Q914" s="268"/>
      <c r="R914" s="268"/>
      <c r="S914" s="268"/>
      <c r="T914" s="268"/>
      <c r="U914" s="268"/>
      <c r="V914" s="268"/>
      <c r="W914" s="268"/>
      <c r="X914" s="268"/>
      <c r="Y914" s="268"/>
      <c r="Z914" s="268"/>
    </row>
    <row r="915" spans="1:26" ht="12.75" customHeight="1">
      <c r="A915" s="268"/>
      <c r="B915" s="268"/>
      <c r="C915" s="268"/>
      <c r="D915" s="268"/>
      <c r="E915" s="268"/>
      <c r="F915" s="268"/>
      <c r="G915" s="268"/>
      <c r="H915" s="268"/>
      <c r="I915" s="268"/>
      <c r="J915" s="268"/>
      <c r="K915" s="268"/>
      <c r="L915" s="268"/>
      <c r="M915" s="268"/>
      <c r="N915" s="268"/>
      <c r="O915" s="268"/>
      <c r="P915" s="268"/>
      <c r="Q915" s="268"/>
      <c r="R915" s="268"/>
      <c r="S915" s="268"/>
      <c r="T915" s="268"/>
      <c r="U915" s="268"/>
      <c r="V915" s="268"/>
      <c r="W915" s="268"/>
      <c r="X915" s="268"/>
      <c r="Y915" s="268"/>
      <c r="Z915" s="268"/>
    </row>
    <row r="916" spans="1:26" ht="12.75" customHeight="1">
      <c r="A916" s="268"/>
      <c r="B916" s="268"/>
      <c r="C916" s="268"/>
      <c r="D916" s="268"/>
      <c r="E916" s="268"/>
      <c r="F916" s="268"/>
      <c r="G916" s="268"/>
      <c r="H916" s="268"/>
      <c r="I916" s="268"/>
      <c r="J916" s="268"/>
      <c r="K916" s="268"/>
      <c r="L916" s="268"/>
      <c r="M916" s="268"/>
      <c r="N916" s="268"/>
      <c r="O916" s="268"/>
      <c r="P916" s="268"/>
      <c r="Q916" s="268"/>
      <c r="R916" s="268"/>
      <c r="S916" s="268"/>
      <c r="T916" s="268"/>
      <c r="U916" s="268"/>
      <c r="V916" s="268"/>
      <c r="W916" s="268"/>
      <c r="X916" s="268"/>
      <c r="Y916" s="268"/>
      <c r="Z916" s="268"/>
    </row>
    <row r="917" spans="1:26" ht="12.75" customHeight="1">
      <c r="A917" s="268"/>
      <c r="B917" s="268"/>
      <c r="C917" s="268"/>
      <c r="D917" s="268"/>
      <c r="E917" s="268"/>
      <c r="F917" s="268"/>
      <c r="G917" s="268"/>
      <c r="H917" s="268"/>
      <c r="I917" s="268"/>
      <c r="J917" s="268"/>
      <c r="K917" s="268"/>
      <c r="L917" s="268"/>
      <c r="M917" s="268"/>
      <c r="N917" s="268"/>
      <c r="O917" s="268"/>
      <c r="P917" s="268"/>
      <c r="Q917" s="268"/>
      <c r="R917" s="268"/>
      <c r="S917" s="268"/>
      <c r="T917" s="268"/>
      <c r="U917" s="268"/>
      <c r="V917" s="268"/>
      <c r="W917" s="268"/>
      <c r="X917" s="268"/>
      <c r="Y917" s="268"/>
      <c r="Z917" s="268"/>
    </row>
    <row r="918" spans="1:26" ht="12.75" customHeight="1">
      <c r="A918" s="268"/>
      <c r="B918" s="268"/>
      <c r="C918" s="268"/>
      <c r="D918" s="268"/>
      <c r="E918" s="268"/>
      <c r="F918" s="268"/>
      <c r="G918" s="268"/>
      <c r="H918" s="268"/>
      <c r="I918" s="268"/>
      <c r="J918" s="268"/>
      <c r="K918" s="268"/>
      <c r="L918" s="268"/>
      <c r="M918" s="268"/>
      <c r="N918" s="268"/>
      <c r="O918" s="268"/>
      <c r="P918" s="268"/>
      <c r="Q918" s="268"/>
      <c r="R918" s="268"/>
      <c r="S918" s="268"/>
      <c r="T918" s="268"/>
      <c r="U918" s="268"/>
      <c r="V918" s="268"/>
      <c r="W918" s="268"/>
      <c r="X918" s="268"/>
      <c r="Y918" s="268"/>
      <c r="Z918" s="268"/>
    </row>
    <row r="919" spans="1:26" ht="12.75" customHeight="1">
      <c r="A919" s="268"/>
      <c r="B919" s="268"/>
      <c r="C919" s="268"/>
      <c r="D919" s="268"/>
      <c r="E919" s="268"/>
      <c r="F919" s="268"/>
      <c r="G919" s="268"/>
      <c r="H919" s="268"/>
      <c r="I919" s="268"/>
      <c r="J919" s="268"/>
      <c r="K919" s="268"/>
      <c r="L919" s="268"/>
      <c r="M919" s="268"/>
      <c r="N919" s="268"/>
      <c r="O919" s="268"/>
      <c r="P919" s="268"/>
      <c r="Q919" s="268"/>
      <c r="R919" s="268"/>
      <c r="S919" s="268"/>
      <c r="T919" s="268"/>
      <c r="U919" s="268"/>
      <c r="V919" s="268"/>
      <c r="W919" s="268"/>
      <c r="X919" s="268"/>
      <c r="Y919" s="268"/>
      <c r="Z919" s="268"/>
    </row>
    <row r="920" spans="1:26" ht="12.75" customHeight="1">
      <c r="A920" s="268"/>
      <c r="B920" s="268"/>
      <c r="C920" s="268"/>
      <c r="D920" s="268"/>
      <c r="E920" s="268"/>
      <c r="F920" s="268"/>
      <c r="G920" s="268"/>
      <c r="H920" s="268"/>
      <c r="I920" s="268"/>
      <c r="J920" s="268"/>
      <c r="K920" s="268"/>
      <c r="L920" s="268"/>
      <c r="M920" s="268"/>
      <c r="N920" s="268"/>
      <c r="O920" s="268"/>
      <c r="P920" s="268"/>
      <c r="Q920" s="268"/>
      <c r="R920" s="268"/>
      <c r="S920" s="268"/>
      <c r="T920" s="268"/>
      <c r="U920" s="268"/>
      <c r="V920" s="268"/>
      <c r="W920" s="268"/>
      <c r="X920" s="268"/>
      <c r="Y920" s="268"/>
      <c r="Z920" s="268"/>
    </row>
    <row r="921" spans="1:26" ht="12.75" customHeight="1">
      <c r="A921" s="268"/>
      <c r="B921" s="268"/>
      <c r="C921" s="268"/>
      <c r="D921" s="268"/>
      <c r="E921" s="268"/>
      <c r="F921" s="268"/>
      <c r="G921" s="268"/>
      <c r="H921" s="268"/>
      <c r="I921" s="268"/>
      <c r="J921" s="268"/>
      <c r="K921" s="268"/>
      <c r="L921" s="268"/>
      <c r="M921" s="268"/>
      <c r="N921" s="268"/>
      <c r="O921" s="268"/>
      <c r="P921" s="268"/>
      <c r="Q921" s="268"/>
      <c r="R921" s="268"/>
      <c r="S921" s="268"/>
      <c r="T921" s="268"/>
      <c r="U921" s="268"/>
      <c r="V921" s="268"/>
      <c r="W921" s="268"/>
      <c r="X921" s="268"/>
      <c r="Y921" s="268"/>
      <c r="Z921" s="268"/>
    </row>
    <row r="922" spans="1:26" ht="12.75" customHeight="1">
      <c r="A922" s="268"/>
      <c r="B922" s="268"/>
      <c r="C922" s="268"/>
      <c r="D922" s="268"/>
      <c r="E922" s="268"/>
      <c r="F922" s="268"/>
      <c r="G922" s="268"/>
      <c r="H922" s="268"/>
      <c r="I922" s="268"/>
      <c r="J922" s="268"/>
      <c r="K922" s="268"/>
      <c r="L922" s="268"/>
      <c r="M922" s="268"/>
      <c r="N922" s="268"/>
      <c r="O922" s="268"/>
      <c r="P922" s="268"/>
      <c r="Q922" s="268"/>
      <c r="R922" s="268"/>
      <c r="S922" s="268"/>
      <c r="T922" s="268"/>
      <c r="U922" s="268"/>
      <c r="V922" s="268"/>
      <c r="W922" s="268"/>
      <c r="X922" s="268"/>
      <c r="Y922" s="268"/>
      <c r="Z922" s="268"/>
    </row>
    <row r="923" spans="1:26" ht="12.75" customHeight="1">
      <c r="A923" s="268"/>
      <c r="B923" s="268"/>
      <c r="C923" s="268"/>
      <c r="D923" s="268"/>
      <c r="E923" s="268"/>
      <c r="F923" s="268"/>
      <c r="G923" s="268"/>
      <c r="H923" s="268"/>
      <c r="I923" s="268"/>
      <c r="J923" s="268"/>
      <c r="K923" s="268"/>
      <c r="L923" s="268"/>
      <c r="M923" s="268"/>
      <c r="N923" s="268"/>
      <c r="O923" s="268"/>
      <c r="P923" s="268"/>
      <c r="Q923" s="268"/>
      <c r="R923" s="268"/>
      <c r="S923" s="268"/>
      <c r="T923" s="268"/>
      <c r="U923" s="268"/>
      <c r="V923" s="268"/>
      <c r="W923" s="268"/>
      <c r="X923" s="268"/>
      <c r="Y923" s="268"/>
      <c r="Z923" s="268"/>
    </row>
    <row r="924" spans="1:26" ht="12.75" customHeight="1">
      <c r="A924" s="268"/>
      <c r="B924" s="268"/>
      <c r="C924" s="268"/>
      <c r="D924" s="268"/>
      <c r="E924" s="268"/>
      <c r="F924" s="268"/>
      <c r="G924" s="268"/>
      <c r="H924" s="268"/>
      <c r="I924" s="268"/>
      <c r="J924" s="268"/>
      <c r="K924" s="268"/>
      <c r="L924" s="268"/>
      <c r="M924" s="268"/>
      <c r="N924" s="268"/>
      <c r="O924" s="268"/>
      <c r="P924" s="268"/>
      <c r="Q924" s="268"/>
      <c r="R924" s="268"/>
      <c r="S924" s="268"/>
      <c r="T924" s="268"/>
      <c r="U924" s="268"/>
      <c r="V924" s="268"/>
      <c r="W924" s="268"/>
      <c r="X924" s="268"/>
      <c r="Y924" s="268"/>
      <c r="Z924" s="268"/>
    </row>
    <row r="925" spans="1:26" ht="12.75" customHeight="1">
      <c r="A925" s="268"/>
      <c r="B925" s="268"/>
      <c r="C925" s="268"/>
      <c r="D925" s="268"/>
      <c r="E925" s="268"/>
      <c r="F925" s="268"/>
      <c r="G925" s="268"/>
      <c r="H925" s="268"/>
      <c r="I925" s="268"/>
      <c r="J925" s="268"/>
      <c r="K925" s="268"/>
      <c r="L925" s="268"/>
      <c r="M925" s="268"/>
      <c r="N925" s="268"/>
      <c r="O925" s="268"/>
      <c r="P925" s="268"/>
      <c r="Q925" s="268"/>
      <c r="R925" s="268"/>
      <c r="S925" s="268"/>
      <c r="T925" s="268"/>
      <c r="U925" s="268"/>
      <c r="V925" s="268"/>
      <c r="W925" s="268"/>
      <c r="X925" s="268"/>
      <c r="Y925" s="268"/>
      <c r="Z925" s="268"/>
    </row>
    <row r="926" spans="1:26" ht="12.75" customHeight="1">
      <c r="A926" s="268"/>
      <c r="B926" s="268"/>
      <c r="C926" s="268"/>
      <c r="D926" s="268"/>
      <c r="E926" s="268"/>
      <c r="F926" s="268"/>
      <c r="G926" s="268"/>
      <c r="H926" s="268"/>
      <c r="I926" s="268"/>
      <c r="J926" s="268"/>
      <c r="K926" s="268"/>
      <c r="L926" s="268"/>
      <c r="M926" s="268"/>
      <c r="N926" s="268"/>
      <c r="O926" s="268"/>
      <c r="P926" s="268"/>
      <c r="Q926" s="268"/>
      <c r="R926" s="268"/>
      <c r="S926" s="268"/>
      <c r="T926" s="268"/>
      <c r="U926" s="268"/>
      <c r="V926" s="268"/>
      <c r="W926" s="268"/>
      <c r="X926" s="268"/>
      <c r="Y926" s="268"/>
      <c r="Z926" s="268"/>
    </row>
    <row r="927" spans="1:26" ht="12.75" customHeight="1">
      <c r="A927" s="268"/>
      <c r="B927" s="268"/>
      <c r="C927" s="268"/>
      <c r="D927" s="268"/>
      <c r="E927" s="268"/>
      <c r="F927" s="268"/>
      <c r="G927" s="268"/>
      <c r="H927" s="268"/>
      <c r="I927" s="268"/>
      <c r="J927" s="268"/>
      <c r="K927" s="268"/>
      <c r="L927" s="268"/>
      <c r="M927" s="268"/>
      <c r="N927" s="268"/>
      <c r="O927" s="268"/>
      <c r="P927" s="268"/>
      <c r="Q927" s="268"/>
      <c r="R927" s="268"/>
      <c r="S927" s="268"/>
      <c r="T927" s="268"/>
      <c r="U927" s="268"/>
      <c r="V927" s="268"/>
      <c r="W927" s="268"/>
      <c r="X927" s="268"/>
      <c r="Y927" s="268"/>
      <c r="Z927" s="268"/>
    </row>
    <row r="928" spans="1:26" ht="12.75" customHeight="1">
      <c r="A928" s="268"/>
      <c r="B928" s="268"/>
      <c r="C928" s="268"/>
      <c r="D928" s="268"/>
      <c r="E928" s="268"/>
      <c r="F928" s="268"/>
      <c r="G928" s="268"/>
      <c r="H928" s="268"/>
      <c r="I928" s="268"/>
      <c r="J928" s="268"/>
      <c r="K928" s="268"/>
      <c r="L928" s="268"/>
      <c r="M928" s="268"/>
      <c r="N928" s="268"/>
      <c r="O928" s="268"/>
      <c r="P928" s="268"/>
      <c r="Q928" s="268"/>
      <c r="R928" s="268"/>
      <c r="S928" s="268"/>
      <c r="T928" s="268"/>
      <c r="U928" s="268"/>
      <c r="V928" s="268"/>
      <c r="W928" s="268"/>
      <c r="X928" s="268"/>
      <c r="Y928" s="268"/>
      <c r="Z928" s="268"/>
    </row>
    <row r="929" spans="1:26" ht="12.75" customHeight="1">
      <c r="A929" s="268"/>
      <c r="B929" s="268"/>
      <c r="C929" s="268"/>
      <c r="D929" s="268"/>
      <c r="E929" s="268"/>
      <c r="F929" s="268"/>
      <c r="G929" s="268"/>
      <c r="H929" s="268"/>
      <c r="I929" s="268"/>
      <c r="J929" s="268"/>
      <c r="K929" s="268"/>
      <c r="L929" s="268"/>
      <c r="M929" s="268"/>
      <c r="N929" s="268"/>
      <c r="O929" s="268"/>
      <c r="P929" s="268"/>
      <c r="Q929" s="268"/>
      <c r="R929" s="268"/>
      <c r="S929" s="268"/>
      <c r="T929" s="268"/>
      <c r="U929" s="268"/>
      <c r="V929" s="268"/>
      <c r="W929" s="268"/>
      <c r="X929" s="268"/>
      <c r="Y929" s="268"/>
      <c r="Z929" s="268"/>
    </row>
    <row r="930" spans="1:26" ht="12.75" customHeight="1">
      <c r="A930" s="268"/>
      <c r="B930" s="268"/>
      <c r="C930" s="268"/>
      <c r="D930" s="268"/>
      <c r="E930" s="268"/>
      <c r="F930" s="268"/>
      <c r="G930" s="268"/>
      <c r="H930" s="268"/>
      <c r="I930" s="268"/>
      <c r="J930" s="268"/>
      <c r="K930" s="268"/>
      <c r="L930" s="268"/>
      <c r="M930" s="268"/>
      <c r="N930" s="268"/>
      <c r="O930" s="268"/>
      <c r="P930" s="268"/>
      <c r="Q930" s="268"/>
      <c r="R930" s="268"/>
      <c r="S930" s="268"/>
      <c r="T930" s="268"/>
      <c r="U930" s="268"/>
      <c r="V930" s="268"/>
      <c r="W930" s="268"/>
      <c r="X930" s="268"/>
      <c r="Y930" s="268"/>
      <c r="Z930" s="268"/>
    </row>
    <row r="931" spans="1:26" ht="12.75" customHeight="1">
      <c r="A931" s="268"/>
      <c r="B931" s="268"/>
      <c r="C931" s="268"/>
      <c r="D931" s="268"/>
      <c r="E931" s="268"/>
      <c r="F931" s="268"/>
      <c r="G931" s="268"/>
      <c r="H931" s="268"/>
      <c r="I931" s="268"/>
      <c r="J931" s="268"/>
      <c r="K931" s="268"/>
      <c r="L931" s="268"/>
      <c r="M931" s="268"/>
      <c r="N931" s="268"/>
      <c r="O931" s="268"/>
      <c r="P931" s="268"/>
      <c r="Q931" s="268"/>
      <c r="R931" s="268"/>
      <c r="S931" s="268"/>
      <c r="T931" s="268"/>
      <c r="U931" s="268"/>
      <c r="V931" s="268"/>
      <c r="W931" s="268"/>
      <c r="X931" s="268"/>
      <c r="Y931" s="268"/>
      <c r="Z931" s="268"/>
    </row>
    <row r="932" spans="1:26" ht="12.75" customHeight="1">
      <c r="A932" s="268"/>
      <c r="B932" s="268"/>
      <c r="C932" s="268"/>
      <c r="D932" s="268"/>
      <c r="E932" s="268"/>
      <c r="F932" s="268"/>
      <c r="G932" s="268"/>
      <c r="H932" s="268"/>
      <c r="I932" s="268"/>
      <c r="J932" s="268"/>
      <c r="K932" s="268"/>
      <c r="L932" s="268"/>
      <c r="M932" s="268"/>
      <c r="N932" s="268"/>
      <c r="O932" s="268"/>
      <c r="P932" s="268"/>
      <c r="Q932" s="268"/>
      <c r="R932" s="268"/>
      <c r="S932" s="268"/>
      <c r="T932" s="268"/>
      <c r="U932" s="268"/>
      <c r="V932" s="268"/>
      <c r="W932" s="268"/>
      <c r="X932" s="268"/>
      <c r="Y932" s="268"/>
      <c r="Z932" s="268"/>
    </row>
    <row r="933" spans="1:26" ht="12.75" customHeight="1">
      <c r="A933" s="268"/>
      <c r="B933" s="268"/>
      <c r="C933" s="268"/>
      <c r="D933" s="268"/>
      <c r="E933" s="268"/>
      <c r="F933" s="268"/>
      <c r="G933" s="268"/>
      <c r="H933" s="268"/>
      <c r="I933" s="268"/>
      <c r="J933" s="268"/>
      <c r="K933" s="268"/>
      <c r="L933" s="268"/>
      <c r="M933" s="268"/>
      <c r="N933" s="268"/>
      <c r="O933" s="268"/>
      <c r="P933" s="268"/>
      <c r="Q933" s="268"/>
      <c r="R933" s="268"/>
      <c r="S933" s="268"/>
      <c r="T933" s="268"/>
      <c r="U933" s="268"/>
      <c r="V933" s="268"/>
      <c r="W933" s="268"/>
      <c r="X933" s="268"/>
      <c r="Y933" s="268"/>
      <c r="Z933" s="268"/>
    </row>
    <row r="934" spans="1:26" ht="12.75" customHeight="1">
      <c r="A934" s="268"/>
      <c r="B934" s="268"/>
      <c r="C934" s="268"/>
      <c r="D934" s="268"/>
      <c r="E934" s="268"/>
      <c r="F934" s="268"/>
      <c r="G934" s="268"/>
      <c r="H934" s="268"/>
      <c r="I934" s="268"/>
      <c r="J934" s="268"/>
      <c r="K934" s="268"/>
      <c r="L934" s="268"/>
      <c r="M934" s="268"/>
      <c r="N934" s="268"/>
      <c r="O934" s="268"/>
      <c r="P934" s="268"/>
      <c r="Q934" s="268"/>
      <c r="R934" s="268"/>
      <c r="S934" s="268"/>
      <c r="T934" s="268"/>
      <c r="U934" s="268"/>
      <c r="V934" s="268"/>
      <c r="W934" s="268"/>
      <c r="X934" s="268"/>
      <c r="Y934" s="268"/>
      <c r="Z934" s="268"/>
    </row>
    <row r="935" spans="1:26" ht="12.75" customHeight="1">
      <c r="A935" s="268"/>
      <c r="B935" s="268"/>
      <c r="C935" s="268"/>
      <c r="D935" s="268"/>
      <c r="E935" s="268"/>
      <c r="F935" s="268"/>
      <c r="G935" s="268"/>
      <c r="H935" s="268"/>
      <c r="I935" s="268"/>
      <c r="J935" s="268"/>
      <c r="K935" s="268"/>
      <c r="L935" s="268"/>
      <c r="M935" s="268"/>
      <c r="N935" s="268"/>
      <c r="O935" s="268"/>
      <c r="P935" s="268"/>
      <c r="Q935" s="268"/>
      <c r="R935" s="268"/>
      <c r="S935" s="268"/>
      <c r="T935" s="268"/>
      <c r="U935" s="268"/>
      <c r="V935" s="268"/>
      <c r="W935" s="268"/>
      <c r="X935" s="268"/>
      <c r="Y935" s="268"/>
      <c r="Z935" s="268"/>
    </row>
    <row r="936" spans="1:26" ht="12.75" customHeight="1">
      <c r="A936" s="268"/>
      <c r="B936" s="268"/>
      <c r="C936" s="268"/>
      <c r="D936" s="268"/>
      <c r="E936" s="268"/>
      <c r="F936" s="268"/>
      <c r="G936" s="268"/>
      <c r="H936" s="268"/>
      <c r="I936" s="268"/>
      <c r="J936" s="268"/>
      <c r="K936" s="268"/>
      <c r="L936" s="268"/>
      <c r="M936" s="268"/>
      <c r="N936" s="268"/>
      <c r="O936" s="268"/>
      <c r="P936" s="268"/>
      <c r="Q936" s="268"/>
      <c r="R936" s="268"/>
      <c r="S936" s="268"/>
      <c r="T936" s="268"/>
      <c r="U936" s="268"/>
      <c r="V936" s="268"/>
      <c r="W936" s="268"/>
      <c r="X936" s="268"/>
      <c r="Y936" s="268"/>
      <c r="Z936" s="268"/>
    </row>
    <row r="937" spans="1:26" ht="12.75" customHeight="1">
      <c r="A937" s="268"/>
      <c r="B937" s="268"/>
      <c r="C937" s="268"/>
      <c r="D937" s="268"/>
      <c r="E937" s="268"/>
      <c r="F937" s="268"/>
      <c r="G937" s="268"/>
      <c r="H937" s="268"/>
      <c r="I937" s="268"/>
      <c r="J937" s="268"/>
      <c r="K937" s="268"/>
      <c r="L937" s="268"/>
      <c r="M937" s="268"/>
      <c r="N937" s="268"/>
      <c r="O937" s="268"/>
      <c r="P937" s="268"/>
      <c r="Q937" s="268"/>
      <c r="R937" s="268"/>
      <c r="S937" s="268"/>
      <c r="T937" s="268"/>
      <c r="U937" s="268"/>
      <c r="V937" s="268"/>
      <c r="W937" s="268"/>
      <c r="X937" s="268"/>
      <c r="Y937" s="268"/>
      <c r="Z937" s="268"/>
    </row>
    <row r="938" spans="1:26" ht="12.75" customHeight="1">
      <c r="A938" s="268"/>
      <c r="B938" s="268"/>
      <c r="C938" s="268"/>
      <c r="D938" s="268"/>
      <c r="E938" s="268"/>
      <c r="F938" s="268"/>
      <c r="G938" s="268"/>
      <c r="H938" s="268"/>
      <c r="I938" s="268"/>
      <c r="J938" s="268"/>
      <c r="K938" s="268"/>
      <c r="L938" s="268"/>
      <c r="M938" s="268"/>
      <c r="N938" s="268"/>
      <c r="O938" s="268"/>
      <c r="P938" s="268"/>
      <c r="Q938" s="268"/>
      <c r="R938" s="268"/>
      <c r="S938" s="268"/>
      <c r="T938" s="268"/>
      <c r="U938" s="268"/>
      <c r="V938" s="268"/>
      <c r="W938" s="268"/>
      <c r="X938" s="268"/>
      <c r="Y938" s="268"/>
      <c r="Z938" s="268"/>
    </row>
    <row r="939" spans="1:26" ht="12.75" customHeight="1">
      <c r="A939" s="268"/>
      <c r="B939" s="268"/>
      <c r="C939" s="268"/>
      <c r="D939" s="268"/>
      <c r="E939" s="268"/>
      <c r="F939" s="268"/>
      <c r="G939" s="268"/>
      <c r="H939" s="268"/>
      <c r="I939" s="268"/>
      <c r="J939" s="268"/>
      <c r="K939" s="268"/>
      <c r="L939" s="268"/>
      <c r="M939" s="268"/>
      <c r="N939" s="268"/>
      <c r="O939" s="268"/>
      <c r="P939" s="268"/>
      <c r="Q939" s="268"/>
      <c r="R939" s="268"/>
      <c r="S939" s="268"/>
      <c r="T939" s="268"/>
      <c r="U939" s="268"/>
      <c r="V939" s="268"/>
      <c r="W939" s="268"/>
      <c r="X939" s="268"/>
      <c r="Y939" s="268"/>
      <c r="Z939" s="268"/>
    </row>
    <row r="940" spans="1:26" ht="12.75" customHeight="1">
      <c r="A940" s="268"/>
      <c r="B940" s="268"/>
      <c r="C940" s="268"/>
      <c r="D940" s="268"/>
      <c r="E940" s="268"/>
      <c r="F940" s="268"/>
      <c r="G940" s="268"/>
      <c r="H940" s="268"/>
      <c r="I940" s="268"/>
      <c r="J940" s="268"/>
      <c r="K940" s="268"/>
      <c r="L940" s="268"/>
      <c r="M940" s="268"/>
      <c r="N940" s="268"/>
      <c r="O940" s="268"/>
      <c r="P940" s="268"/>
      <c r="Q940" s="268"/>
      <c r="R940" s="268"/>
      <c r="S940" s="268"/>
      <c r="T940" s="268"/>
      <c r="U940" s="268"/>
      <c r="V940" s="268"/>
      <c r="W940" s="268"/>
      <c r="X940" s="268"/>
      <c r="Y940" s="268"/>
      <c r="Z940" s="268"/>
    </row>
    <row r="941" spans="1:26" ht="12.75" customHeight="1">
      <c r="A941" s="268"/>
      <c r="B941" s="268"/>
      <c r="C941" s="268"/>
      <c r="D941" s="268"/>
      <c r="E941" s="268"/>
      <c r="F941" s="268"/>
      <c r="G941" s="268"/>
      <c r="H941" s="268"/>
      <c r="I941" s="268"/>
      <c r="J941" s="268"/>
      <c r="K941" s="268"/>
      <c r="L941" s="268"/>
      <c r="M941" s="268"/>
      <c r="N941" s="268"/>
      <c r="O941" s="268"/>
      <c r="P941" s="268"/>
      <c r="Q941" s="268"/>
      <c r="R941" s="268"/>
      <c r="S941" s="268"/>
      <c r="T941" s="268"/>
      <c r="U941" s="268"/>
      <c r="V941" s="268"/>
      <c r="W941" s="268"/>
      <c r="X941" s="268"/>
      <c r="Y941" s="268"/>
      <c r="Z941" s="268"/>
    </row>
    <row r="942" spans="1:26" ht="12.75" customHeight="1">
      <c r="A942" s="268"/>
      <c r="B942" s="268"/>
      <c r="C942" s="268"/>
      <c r="D942" s="268"/>
      <c r="E942" s="268"/>
      <c r="F942" s="268"/>
      <c r="G942" s="268"/>
      <c r="H942" s="268"/>
      <c r="I942" s="268"/>
      <c r="J942" s="268"/>
      <c r="K942" s="268"/>
      <c r="L942" s="268"/>
      <c r="M942" s="268"/>
      <c r="N942" s="268"/>
      <c r="O942" s="268"/>
      <c r="P942" s="268"/>
      <c r="Q942" s="268"/>
      <c r="R942" s="268"/>
      <c r="S942" s="268"/>
      <c r="T942" s="268"/>
      <c r="U942" s="268"/>
      <c r="V942" s="268"/>
      <c r="W942" s="268"/>
      <c r="X942" s="268"/>
      <c r="Y942" s="268"/>
      <c r="Z942" s="268"/>
    </row>
    <row r="943" spans="1:26" ht="12.75" customHeight="1">
      <c r="A943" s="268"/>
      <c r="B943" s="268"/>
      <c r="C943" s="268"/>
      <c r="D943" s="268"/>
      <c r="E943" s="268"/>
      <c r="F943" s="268"/>
      <c r="G943" s="268"/>
      <c r="H943" s="268"/>
      <c r="I943" s="268"/>
      <c r="J943" s="268"/>
      <c r="K943" s="268"/>
      <c r="L943" s="268"/>
      <c r="M943" s="268"/>
      <c r="N943" s="268"/>
      <c r="O943" s="268"/>
      <c r="P943" s="268"/>
      <c r="Q943" s="268"/>
      <c r="R943" s="268"/>
      <c r="S943" s="268"/>
      <c r="T943" s="268"/>
      <c r="U943" s="268"/>
      <c r="V943" s="268"/>
      <c r="W943" s="268"/>
      <c r="X943" s="268"/>
      <c r="Y943" s="268"/>
      <c r="Z943" s="268"/>
    </row>
    <row r="944" spans="1:26" ht="12.75" customHeight="1">
      <c r="A944" s="268"/>
      <c r="B944" s="268"/>
      <c r="C944" s="268"/>
      <c r="D944" s="268"/>
      <c r="E944" s="268"/>
      <c r="F944" s="268"/>
      <c r="G944" s="268"/>
      <c r="H944" s="268"/>
      <c r="I944" s="268"/>
      <c r="J944" s="268"/>
      <c r="K944" s="268"/>
      <c r="L944" s="268"/>
      <c r="M944" s="268"/>
      <c r="N944" s="268"/>
      <c r="O944" s="268"/>
      <c r="P944" s="268"/>
      <c r="Q944" s="268"/>
      <c r="R944" s="268"/>
      <c r="S944" s="268"/>
      <c r="T944" s="268"/>
      <c r="U944" s="268"/>
      <c r="V944" s="268"/>
      <c r="W944" s="268"/>
      <c r="X944" s="268"/>
      <c r="Y944" s="268"/>
      <c r="Z944" s="268"/>
    </row>
    <row r="945" spans="1:26" ht="12.75" customHeight="1">
      <c r="A945" s="268"/>
      <c r="B945" s="268"/>
      <c r="C945" s="268"/>
      <c r="D945" s="268"/>
      <c r="E945" s="268"/>
      <c r="F945" s="268"/>
      <c r="G945" s="268"/>
      <c r="H945" s="268"/>
      <c r="I945" s="268"/>
      <c r="J945" s="268"/>
      <c r="K945" s="268"/>
      <c r="L945" s="268"/>
      <c r="M945" s="268"/>
      <c r="N945" s="268"/>
      <c r="O945" s="268"/>
      <c r="P945" s="268"/>
      <c r="Q945" s="268"/>
      <c r="R945" s="268"/>
      <c r="S945" s="268"/>
      <c r="T945" s="268"/>
      <c r="U945" s="268"/>
      <c r="V945" s="268"/>
      <c r="W945" s="268"/>
      <c r="X945" s="268"/>
      <c r="Y945" s="268"/>
      <c r="Z945" s="268"/>
    </row>
    <row r="946" spans="1:26" ht="12.75" customHeight="1">
      <c r="A946" s="268"/>
      <c r="B946" s="268"/>
      <c r="C946" s="268"/>
      <c r="D946" s="268"/>
      <c r="E946" s="268"/>
      <c r="F946" s="268"/>
      <c r="G946" s="268"/>
      <c r="H946" s="268"/>
      <c r="I946" s="268"/>
      <c r="J946" s="268"/>
      <c r="K946" s="268"/>
      <c r="L946" s="268"/>
      <c r="M946" s="268"/>
      <c r="N946" s="268"/>
      <c r="O946" s="268"/>
      <c r="P946" s="268"/>
      <c r="Q946" s="268"/>
      <c r="R946" s="268"/>
      <c r="S946" s="268"/>
      <c r="T946" s="268"/>
      <c r="U946" s="268"/>
      <c r="V946" s="268"/>
      <c r="W946" s="268"/>
      <c r="X946" s="268"/>
      <c r="Y946" s="268"/>
      <c r="Z946" s="268"/>
    </row>
    <row r="947" spans="1:26" ht="12.75" customHeight="1">
      <c r="A947" s="268"/>
      <c r="B947" s="268"/>
      <c r="C947" s="268"/>
      <c r="D947" s="268"/>
      <c r="E947" s="268"/>
      <c r="F947" s="268"/>
      <c r="G947" s="268"/>
      <c r="H947" s="268"/>
      <c r="I947" s="268"/>
      <c r="J947" s="268"/>
      <c r="K947" s="268"/>
      <c r="L947" s="268"/>
      <c r="M947" s="268"/>
      <c r="N947" s="268"/>
      <c r="O947" s="268"/>
      <c r="P947" s="268"/>
      <c r="Q947" s="268"/>
      <c r="R947" s="268"/>
      <c r="S947" s="268"/>
      <c r="T947" s="268"/>
      <c r="U947" s="268"/>
      <c r="V947" s="268"/>
      <c r="W947" s="268"/>
      <c r="X947" s="268"/>
      <c r="Y947" s="268"/>
      <c r="Z947" s="268"/>
    </row>
    <row r="948" spans="1:26" ht="12.75" customHeight="1">
      <c r="A948" s="268"/>
      <c r="B948" s="268"/>
      <c r="C948" s="268"/>
      <c r="D948" s="268"/>
      <c r="E948" s="268"/>
      <c r="F948" s="268"/>
      <c r="G948" s="268"/>
      <c r="H948" s="268"/>
      <c r="I948" s="268"/>
      <c r="J948" s="268"/>
      <c r="K948" s="268"/>
      <c r="L948" s="268"/>
      <c r="M948" s="268"/>
      <c r="N948" s="268"/>
      <c r="O948" s="268"/>
      <c r="P948" s="268"/>
      <c r="Q948" s="268"/>
      <c r="R948" s="268"/>
      <c r="S948" s="268"/>
      <c r="T948" s="268"/>
      <c r="U948" s="268"/>
      <c r="V948" s="268"/>
      <c r="W948" s="268"/>
      <c r="X948" s="268"/>
      <c r="Y948" s="268"/>
      <c r="Z948" s="268"/>
    </row>
    <row r="949" spans="1:26" ht="12.75" customHeight="1">
      <c r="A949" s="268"/>
      <c r="B949" s="268"/>
      <c r="C949" s="268"/>
      <c r="D949" s="268"/>
      <c r="E949" s="268"/>
      <c r="F949" s="268"/>
      <c r="G949" s="268"/>
      <c r="H949" s="268"/>
      <c r="I949" s="268"/>
      <c r="J949" s="268"/>
      <c r="K949" s="268"/>
      <c r="L949" s="268"/>
      <c r="M949" s="268"/>
      <c r="N949" s="268"/>
      <c r="O949" s="268"/>
      <c r="P949" s="268"/>
      <c r="Q949" s="268"/>
      <c r="R949" s="268"/>
      <c r="S949" s="268"/>
      <c r="T949" s="268"/>
      <c r="U949" s="268"/>
      <c r="V949" s="268"/>
      <c r="W949" s="268"/>
      <c r="X949" s="268"/>
      <c r="Y949" s="268"/>
      <c r="Z949" s="268"/>
    </row>
    <row r="950" spans="1:26" ht="12.75" customHeight="1">
      <c r="A950" s="268"/>
      <c r="B950" s="268"/>
      <c r="C950" s="268"/>
      <c r="D950" s="268"/>
      <c r="E950" s="268"/>
      <c r="F950" s="268"/>
      <c r="G950" s="268"/>
      <c r="H950" s="268"/>
      <c r="I950" s="268"/>
      <c r="J950" s="268"/>
      <c r="K950" s="268"/>
      <c r="L950" s="268"/>
      <c r="M950" s="268"/>
      <c r="N950" s="268"/>
      <c r="O950" s="268"/>
      <c r="P950" s="268"/>
      <c r="Q950" s="268"/>
      <c r="R950" s="268"/>
      <c r="S950" s="268"/>
      <c r="T950" s="268"/>
      <c r="U950" s="268"/>
      <c r="V950" s="268"/>
      <c r="W950" s="268"/>
      <c r="X950" s="268"/>
      <c r="Y950" s="268"/>
      <c r="Z950" s="268"/>
    </row>
    <row r="951" spans="1:26" ht="12.75" customHeight="1">
      <c r="A951" s="268"/>
      <c r="B951" s="268"/>
      <c r="C951" s="268"/>
      <c r="D951" s="268"/>
      <c r="E951" s="268"/>
      <c r="F951" s="268"/>
      <c r="G951" s="268"/>
      <c r="H951" s="268"/>
      <c r="I951" s="268"/>
      <c r="J951" s="268"/>
      <c r="K951" s="268"/>
      <c r="L951" s="268"/>
      <c r="M951" s="268"/>
      <c r="N951" s="268"/>
      <c r="O951" s="268"/>
      <c r="P951" s="268"/>
      <c r="Q951" s="268"/>
      <c r="R951" s="268"/>
      <c r="S951" s="268"/>
      <c r="T951" s="268"/>
      <c r="U951" s="268"/>
      <c r="V951" s="268"/>
      <c r="W951" s="268"/>
      <c r="X951" s="268"/>
      <c r="Y951" s="268"/>
      <c r="Z951" s="268"/>
    </row>
    <row r="952" spans="1:26" ht="12.75" customHeight="1">
      <c r="A952" s="268"/>
      <c r="B952" s="268"/>
      <c r="C952" s="268"/>
      <c r="D952" s="268"/>
      <c r="E952" s="268"/>
      <c r="F952" s="268"/>
      <c r="G952" s="268"/>
      <c r="H952" s="268"/>
      <c r="I952" s="268"/>
      <c r="J952" s="268"/>
      <c r="K952" s="268"/>
      <c r="L952" s="268"/>
      <c r="M952" s="268"/>
      <c r="N952" s="268"/>
      <c r="O952" s="268"/>
      <c r="P952" s="268"/>
      <c r="Q952" s="268"/>
      <c r="R952" s="268"/>
      <c r="S952" s="268"/>
      <c r="T952" s="268"/>
      <c r="U952" s="268"/>
      <c r="V952" s="268"/>
      <c r="W952" s="268"/>
      <c r="X952" s="268"/>
      <c r="Y952" s="268"/>
      <c r="Z952" s="268"/>
    </row>
    <row r="953" spans="1:26" ht="12.75" customHeight="1">
      <c r="A953" s="268"/>
      <c r="B953" s="268"/>
      <c r="C953" s="268"/>
      <c r="D953" s="268"/>
      <c r="E953" s="268"/>
      <c r="F953" s="268"/>
      <c r="G953" s="268"/>
      <c r="H953" s="268"/>
      <c r="I953" s="268"/>
      <c r="J953" s="268"/>
      <c r="K953" s="268"/>
      <c r="L953" s="268"/>
      <c r="M953" s="268"/>
      <c r="N953" s="268"/>
      <c r="O953" s="268"/>
      <c r="P953" s="268"/>
      <c r="Q953" s="268"/>
      <c r="R953" s="268"/>
      <c r="S953" s="268"/>
      <c r="T953" s="268"/>
      <c r="U953" s="268"/>
      <c r="V953" s="268"/>
      <c r="W953" s="268"/>
      <c r="X953" s="268"/>
      <c r="Y953" s="268"/>
      <c r="Z953" s="268"/>
    </row>
    <row r="954" spans="1:26" ht="12.75" customHeight="1">
      <c r="A954" s="268"/>
      <c r="B954" s="268"/>
      <c r="C954" s="268"/>
      <c r="D954" s="268"/>
      <c r="E954" s="268"/>
      <c r="F954" s="268"/>
      <c r="G954" s="268"/>
      <c r="H954" s="268"/>
      <c r="I954" s="268"/>
      <c r="J954" s="268"/>
      <c r="K954" s="268"/>
      <c r="L954" s="268"/>
      <c r="M954" s="268"/>
      <c r="N954" s="268"/>
      <c r="O954" s="268"/>
      <c r="P954" s="268"/>
      <c r="Q954" s="268"/>
      <c r="R954" s="268"/>
      <c r="S954" s="268"/>
      <c r="T954" s="268"/>
      <c r="U954" s="268"/>
      <c r="V954" s="268"/>
      <c r="W954" s="268"/>
      <c r="X954" s="268"/>
      <c r="Y954" s="268"/>
      <c r="Z954" s="268"/>
    </row>
    <row r="955" spans="1:26" ht="12.75" customHeight="1">
      <c r="A955" s="268"/>
      <c r="B955" s="268"/>
      <c r="C955" s="268"/>
      <c r="D955" s="268"/>
      <c r="E955" s="268"/>
      <c r="F955" s="268"/>
      <c r="G955" s="268"/>
      <c r="H955" s="268"/>
      <c r="I955" s="268"/>
      <c r="J955" s="268"/>
      <c r="K955" s="268"/>
      <c r="L955" s="268"/>
      <c r="M955" s="268"/>
      <c r="N955" s="268"/>
      <c r="O955" s="268"/>
      <c r="P955" s="268"/>
      <c r="Q955" s="268"/>
      <c r="R955" s="268"/>
      <c r="S955" s="268"/>
      <c r="T955" s="268"/>
      <c r="U955" s="268"/>
      <c r="V955" s="268"/>
      <c r="W955" s="268"/>
      <c r="X955" s="268"/>
      <c r="Y955" s="268"/>
      <c r="Z955" s="268"/>
    </row>
    <row r="956" spans="1:26" ht="12.75" customHeight="1">
      <c r="A956" s="268"/>
      <c r="B956" s="268"/>
      <c r="C956" s="268"/>
      <c r="D956" s="268"/>
      <c r="E956" s="268"/>
      <c r="F956" s="268"/>
      <c r="G956" s="268"/>
      <c r="H956" s="268"/>
      <c r="I956" s="268"/>
      <c r="J956" s="268"/>
      <c r="K956" s="268"/>
      <c r="L956" s="268"/>
      <c r="M956" s="268"/>
      <c r="N956" s="268"/>
      <c r="O956" s="268"/>
      <c r="P956" s="268"/>
      <c r="Q956" s="268"/>
      <c r="R956" s="268"/>
      <c r="S956" s="268"/>
      <c r="T956" s="268"/>
      <c r="U956" s="268"/>
      <c r="V956" s="268"/>
      <c r="W956" s="268"/>
      <c r="X956" s="268"/>
      <c r="Y956" s="268"/>
      <c r="Z956" s="268"/>
    </row>
    <row r="957" spans="1:26" ht="12.75" customHeight="1">
      <c r="A957" s="268"/>
      <c r="B957" s="268"/>
      <c r="C957" s="268"/>
      <c r="D957" s="268"/>
      <c r="E957" s="268"/>
      <c r="F957" s="268"/>
      <c r="G957" s="268"/>
      <c r="H957" s="268"/>
      <c r="I957" s="268"/>
      <c r="J957" s="268"/>
      <c r="K957" s="268"/>
      <c r="L957" s="268"/>
      <c r="M957" s="268"/>
      <c r="N957" s="268"/>
      <c r="O957" s="268"/>
      <c r="P957" s="268"/>
      <c r="Q957" s="268"/>
      <c r="R957" s="268"/>
      <c r="S957" s="268"/>
      <c r="T957" s="268"/>
      <c r="U957" s="268"/>
      <c r="V957" s="268"/>
      <c r="W957" s="268"/>
      <c r="X957" s="268"/>
      <c r="Y957" s="268"/>
      <c r="Z957" s="268"/>
    </row>
    <row r="958" spans="1:26" ht="12.75" customHeight="1">
      <c r="A958" s="268"/>
      <c r="B958" s="268"/>
      <c r="C958" s="268"/>
      <c r="D958" s="268"/>
      <c r="E958" s="268"/>
      <c r="F958" s="268"/>
      <c r="G958" s="268"/>
      <c r="H958" s="268"/>
      <c r="I958" s="268"/>
      <c r="J958" s="268"/>
      <c r="K958" s="268"/>
      <c r="L958" s="268"/>
      <c r="M958" s="268"/>
      <c r="N958" s="268"/>
      <c r="O958" s="268"/>
      <c r="P958" s="268"/>
      <c r="Q958" s="268"/>
      <c r="R958" s="268"/>
      <c r="S958" s="268"/>
      <c r="T958" s="268"/>
      <c r="U958" s="268"/>
      <c r="V958" s="268"/>
      <c r="W958" s="268"/>
      <c r="X958" s="268"/>
      <c r="Y958" s="268"/>
      <c r="Z958" s="268"/>
    </row>
    <row r="959" spans="1:26" ht="12.75" customHeight="1">
      <c r="A959" s="268"/>
      <c r="B959" s="268"/>
      <c r="C959" s="268"/>
      <c r="D959" s="268"/>
      <c r="E959" s="268"/>
      <c r="F959" s="268"/>
      <c r="G959" s="268"/>
      <c r="H959" s="268"/>
      <c r="I959" s="268"/>
      <c r="J959" s="268"/>
      <c r="K959" s="268"/>
      <c r="L959" s="268"/>
      <c r="M959" s="268"/>
      <c r="N959" s="268"/>
      <c r="O959" s="268"/>
      <c r="P959" s="268"/>
      <c r="Q959" s="268"/>
      <c r="R959" s="268"/>
      <c r="S959" s="268"/>
      <c r="T959" s="268"/>
      <c r="U959" s="268"/>
      <c r="V959" s="268"/>
      <c r="W959" s="268"/>
      <c r="X959" s="268"/>
      <c r="Y959" s="268"/>
      <c r="Z959" s="268"/>
    </row>
    <row r="960" spans="1:26" ht="12.75" customHeight="1">
      <c r="A960" s="268"/>
      <c r="B960" s="268"/>
      <c r="C960" s="268"/>
      <c r="D960" s="268"/>
      <c r="E960" s="268"/>
      <c r="F960" s="268"/>
      <c r="G960" s="268"/>
      <c r="H960" s="268"/>
      <c r="I960" s="268"/>
      <c r="J960" s="268"/>
      <c r="K960" s="268"/>
      <c r="L960" s="268"/>
      <c r="M960" s="268"/>
      <c r="N960" s="268"/>
      <c r="O960" s="268"/>
      <c r="P960" s="268"/>
      <c r="Q960" s="268"/>
      <c r="R960" s="268"/>
      <c r="S960" s="268"/>
      <c r="T960" s="268"/>
      <c r="U960" s="268"/>
      <c r="V960" s="268"/>
      <c r="W960" s="268"/>
      <c r="X960" s="268"/>
      <c r="Y960" s="268"/>
      <c r="Z960" s="268"/>
    </row>
    <row r="961" spans="1:26" ht="12.75" customHeight="1">
      <c r="A961" s="268"/>
      <c r="B961" s="268"/>
      <c r="C961" s="268"/>
      <c r="D961" s="268"/>
      <c r="E961" s="268"/>
      <c r="F961" s="268"/>
      <c r="G961" s="268"/>
      <c r="H961" s="268"/>
      <c r="I961" s="268"/>
      <c r="J961" s="268"/>
      <c r="K961" s="268"/>
      <c r="L961" s="268"/>
      <c r="M961" s="268"/>
      <c r="N961" s="268"/>
      <c r="O961" s="268"/>
      <c r="P961" s="268"/>
      <c r="Q961" s="268"/>
      <c r="R961" s="268"/>
      <c r="S961" s="268"/>
      <c r="T961" s="268"/>
      <c r="U961" s="268"/>
      <c r="V961" s="268"/>
      <c r="W961" s="268"/>
      <c r="X961" s="268"/>
      <c r="Y961" s="268"/>
      <c r="Z961" s="268"/>
    </row>
    <row r="962" spans="1:26" ht="12.75" customHeight="1">
      <c r="A962" s="268"/>
      <c r="B962" s="268"/>
      <c r="C962" s="268"/>
      <c r="D962" s="268"/>
      <c r="E962" s="268"/>
      <c r="F962" s="268"/>
      <c r="G962" s="268"/>
      <c r="H962" s="268"/>
      <c r="I962" s="268"/>
      <c r="J962" s="268"/>
      <c r="K962" s="268"/>
      <c r="L962" s="268"/>
      <c r="M962" s="268"/>
      <c r="N962" s="268"/>
      <c r="O962" s="268"/>
      <c r="P962" s="268"/>
      <c r="Q962" s="268"/>
      <c r="R962" s="268"/>
      <c r="S962" s="268"/>
      <c r="T962" s="268"/>
      <c r="U962" s="268"/>
      <c r="V962" s="268"/>
      <c r="W962" s="268"/>
      <c r="X962" s="268"/>
      <c r="Y962" s="268"/>
      <c r="Z962" s="268"/>
    </row>
    <row r="963" spans="1:26" ht="12.75" customHeight="1">
      <c r="A963" s="268"/>
      <c r="B963" s="268"/>
      <c r="C963" s="268"/>
      <c r="D963" s="268"/>
      <c r="E963" s="268"/>
      <c r="F963" s="268"/>
      <c r="G963" s="268"/>
      <c r="H963" s="268"/>
      <c r="I963" s="268"/>
      <c r="J963" s="268"/>
      <c r="K963" s="268"/>
      <c r="L963" s="268"/>
      <c r="M963" s="268"/>
      <c r="N963" s="268"/>
      <c r="O963" s="268"/>
      <c r="P963" s="268"/>
      <c r="Q963" s="268"/>
      <c r="R963" s="268"/>
      <c r="S963" s="268"/>
      <c r="T963" s="268"/>
      <c r="U963" s="268"/>
      <c r="V963" s="268"/>
      <c r="W963" s="268"/>
      <c r="X963" s="268"/>
      <c r="Y963" s="268"/>
      <c r="Z963" s="268"/>
    </row>
    <row r="964" spans="1:26" ht="12.75" customHeight="1">
      <c r="A964" s="268"/>
      <c r="B964" s="268"/>
      <c r="C964" s="268"/>
      <c r="D964" s="268"/>
      <c r="E964" s="268"/>
      <c r="F964" s="268"/>
      <c r="G964" s="268"/>
      <c r="H964" s="268"/>
      <c r="I964" s="268"/>
      <c r="J964" s="268"/>
      <c r="K964" s="268"/>
      <c r="L964" s="268"/>
      <c r="M964" s="268"/>
      <c r="N964" s="268"/>
      <c r="O964" s="268"/>
      <c r="P964" s="268"/>
      <c r="Q964" s="268"/>
      <c r="R964" s="268"/>
      <c r="S964" s="268"/>
      <c r="T964" s="268"/>
      <c r="U964" s="268"/>
      <c r="V964" s="268"/>
      <c r="W964" s="268"/>
      <c r="X964" s="268"/>
      <c r="Y964" s="268"/>
      <c r="Z964" s="268"/>
    </row>
    <row r="965" spans="1:26" ht="12.75" customHeight="1">
      <c r="A965" s="268"/>
      <c r="B965" s="268"/>
      <c r="C965" s="268"/>
      <c r="D965" s="268"/>
      <c r="E965" s="268"/>
      <c r="F965" s="268"/>
      <c r="G965" s="268"/>
      <c r="H965" s="268"/>
      <c r="I965" s="268"/>
      <c r="J965" s="268"/>
      <c r="K965" s="268"/>
      <c r="L965" s="268"/>
      <c r="M965" s="268"/>
      <c r="N965" s="268"/>
      <c r="O965" s="268"/>
      <c r="P965" s="268"/>
      <c r="Q965" s="268"/>
      <c r="R965" s="268"/>
      <c r="S965" s="268"/>
      <c r="T965" s="268"/>
      <c r="U965" s="268"/>
      <c r="V965" s="268"/>
      <c r="W965" s="268"/>
      <c r="X965" s="268"/>
      <c r="Y965" s="268"/>
      <c r="Z965" s="268"/>
    </row>
    <row r="966" spans="1:26" ht="12.75" customHeight="1">
      <c r="A966" s="268"/>
      <c r="B966" s="268"/>
      <c r="C966" s="268"/>
      <c r="D966" s="268"/>
      <c r="E966" s="268"/>
      <c r="F966" s="268"/>
      <c r="G966" s="268"/>
      <c r="H966" s="268"/>
      <c r="I966" s="268"/>
      <c r="J966" s="268"/>
      <c r="K966" s="268"/>
      <c r="L966" s="268"/>
      <c r="M966" s="268"/>
      <c r="N966" s="268"/>
      <c r="O966" s="268"/>
      <c r="P966" s="268"/>
      <c r="Q966" s="268"/>
      <c r="R966" s="268"/>
      <c r="S966" s="268"/>
      <c r="T966" s="268"/>
      <c r="U966" s="268"/>
      <c r="V966" s="268"/>
      <c r="W966" s="268"/>
      <c r="X966" s="268"/>
      <c r="Y966" s="268"/>
      <c r="Z966" s="268"/>
    </row>
    <row r="967" spans="1:26" ht="12.75" customHeight="1">
      <c r="A967" s="268"/>
      <c r="B967" s="268"/>
      <c r="C967" s="268"/>
      <c r="D967" s="268"/>
      <c r="E967" s="268"/>
      <c r="F967" s="268"/>
      <c r="G967" s="268"/>
      <c r="H967" s="268"/>
      <c r="I967" s="268"/>
      <c r="J967" s="268"/>
      <c r="K967" s="268"/>
      <c r="L967" s="268"/>
      <c r="M967" s="268"/>
      <c r="N967" s="268"/>
      <c r="O967" s="268"/>
      <c r="P967" s="268"/>
      <c r="Q967" s="268"/>
      <c r="R967" s="268"/>
      <c r="S967" s="268"/>
      <c r="T967" s="268"/>
      <c r="U967" s="268"/>
      <c r="V967" s="268"/>
      <c r="W967" s="268"/>
      <c r="X967" s="268"/>
      <c r="Y967" s="268"/>
      <c r="Z967" s="268"/>
    </row>
    <row r="968" spans="1:26" ht="12.75" customHeight="1">
      <c r="A968" s="268"/>
      <c r="B968" s="268"/>
      <c r="C968" s="268"/>
      <c r="D968" s="268"/>
      <c r="E968" s="268"/>
      <c r="F968" s="268"/>
      <c r="G968" s="268"/>
      <c r="H968" s="268"/>
      <c r="I968" s="268"/>
      <c r="J968" s="268"/>
      <c r="K968" s="268"/>
      <c r="L968" s="268"/>
      <c r="M968" s="268"/>
      <c r="N968" s="268"/>
      <c r="O968" s="268"/>
      <c r="P968" s="268"/>
      <c r="Q968" s="268"/>
      <c r="R968" s="268"/>
      <c r="S968" s="268"/>
      <c r="T968" s="268"/>
      <c r="U968" s="268"/>
      <c r="V968" s="268"/>
      <c r="W968" s="268"/>
      <c r="X968" s="268"/>
      <c r="Y968" s="268"/>
      <c r="Z968" s="268"/>
    </row>
    <row r="969" spans="1:26" ht="12.75" customHeight="1">
      <c r="A969" s="268"/>
      <c r="B969" s="268"/>
      <c r="C969" s="268"/>
      <c r="D969" s="268"/>
      <c r="E969" s="268"/>
      <c r="F969" s="268"/>
      <c r="G969" s="268"/>
      <c r="H969" s="268"/>
      <c r="I969" s="268"/>
      <c r="J969" s="268"/>
      <c r="K969" s="268"/>
      <c r="L969" s="268"/>
      <c r="M969" s="268"/>
      <c r="N969" s="268"/>
      <c r="O969" s="268"/>
      <c r="P969" s="268"/>
      <c r="Q969" s="268"/>
      <c r="R969" s="268"/>
      <c r="S969" s="268"/>
      <c r="T969" s="268"/>
      <c r="U969" s="268"/>
      <c r="V969" s="268"/>
      <c r="W969" s="268"/>
      <c r="X969" s="268"/>
      <c r="Y969" s="268"/>
      <c r="Z969" s="268"/>
    </row>
    <row r="970" spans="1:26" ht="12.75" customHeight="1">
      <c r="A970" s="268"/>
      <c r="B970" s="268"/>
      <c r="C970" s="268"/>
      <c r="D970" s="268"/>
      <c r="E970" s="268"/>
      <c r="F970" s="268"/>
      <c r="G970" s="268"/>
      <c r="H970" s="268"/>
      <c r="I970" s="268"/>
      <c r="J970" s="268"/>
      <c r="K970" s="268"/>
      <c r="L970" s="268"/>
      <c r="M970" s="268"/>
      <c r="N970" s="268"/>
      <c r="O970" s="268"/>
      <c r="P970" s="268"/>
      <c r="Q970" s="268"/>
      <c r="R970" s="268"/>
      <c r="S970" s="268"/>
      <c r="T970" s="268"/>
      <c r="U970" s="268"/>
      <c r="V970" s="268"/>
      <c r="W970" s="268"/>
      <c r="X970" s="268"/>
      <c r="Y970" s="268"/>
      <c r="Z970" s="268"/>
    </row>
    <row r="971" spans="1:26" ht="12.75" customHeight="1">
      <c r="A971" s="268"/>
      <c r="B971" s="268"/>
      <c r="C971" s="268"/>
      <c r="D971" s="268"/>
      <c r="E971" s="268"/>
      <c r="F971" s="268"/>
      <c r="G971" s="268"/>
      <c r="H971" s="268"/>
      <c r="I971" s="268"/>
      <c r="J971" s="268"/>
      <c r="K971" s="268"/>
      <c r="L971" s="268"/>
      <c r="M971" s="268"/>
      <c r="N971" s="268"/>
      <c r="O971" s="268"/>
      <c r="P971" s="268"/>
      <c r="Q971" s="268"/>
      <c r="R971" s="268"/>
      <c r="S971" s="268"/>
      <c r="T971" s="268"/>
      <c r="U971" s="268"/>
      <c r="V971" s="268"/>
      <c r="W971" s="268"/>
      <c r="X971" s="268"/>
      <c r="Y971" s="268"/>
      <c r="Z971" s="268"/>
    </row>
    <row r="972" spans="1:26" ht="12.75" customHeight="1">
      <c r="A972" s="268"/>
      <c r="B972" s="268"/>
      <c r="C972" s="268"/>
      <c r="D972" s="268"/>
      <c r="E972" s="268"/>
      <c r="F972" s="268"/>
      <c r="G972" s="268"/>
      <c r="H972" s="268"/>
      <c r="I972" s="268"/>
      <c r="J972" s="268"/>
      <c r="K972" s="268"/>
      <c r="L972" s="268"/>
      <c r="M972" s="268"/>
      <c r="N972" s="268"/>
      <c r="O972" s="268"/>
      <c r="P972" s="268"/>
      <c r="Q972" s="268"/>
      <c r="R972" s="268"/>
      <c r="S972" s="268"/>
      <c r="T972" s="268"/>
      <c r="U972" s="268"/>
      <c r="V972" s="268"/>
      <c r="W972" s="268"/>
      <c r="X972" s="268"/>
      <c r="Y972" s="268"/>
      <c r="Z972" s="268"/>
    </row>
    <row r="973" spans="1:26" ht="12.75" customHeight="1">
      <c r="A973" s="268"/>
      <c r="B973" s="268"/>
      <c r="C973" s="268"/>
      <c r="D973" s="268"/>
      <c r="E973" s="268"/>
      <c r="F973" s="268"/>
      <c r="G973" s="268"/>
      <c r="H973" s="268"/>
      <c r="I973" s="268"/>
      <c r="J973" s="268"/>
      <c r="K973" s="268"/>
      <c r="L973" s="268"/>
      <c r="M973" s="268"/>
      <c r="N973" s="268"/>
      <c r="O973" s="268"/>
      <c r="P973" s="268"/>
      <c r="Q973" s="268"/>
      <c r="R973" s="268"/>
      <c r="S973" s="268"/>
      <c r="T973" s="268"/>
      <c r="U973" s="268"/>
      <c r="V973" s="268"/>
      <c r="W973" s="268"/>
      <c r="X973" s="268"/>
      <c r="Y973" s="268"/>
      <c r="Z973" s="268"/>
    </row>
    <row r="974" spans="1:26" ht="12.75" customHeight="1">
      <c r="A974" s="268"/>
      <c r="B974" s="268"/>
      <c r="C974" s="268"/>
      <c r="D974" s="268"/>
      <c r="E974" s="268"/>
      <c r="F974" s="268"/>
      <c r="G974" s="268"/>
      <c r="H974" s="268"/>
      <c r="I974" s="268"/>
      <c r="J974" s="268"/>
      <c r="K974" s="268"/>
      <c r="L974" s="268"/>
      <c r="M974" s="268"/>
      <c r="N974" s="268"/>
      <c r="O974" s="268"/>
      <c r="P974" s="268"/>
      <c r="Q974" s="268"/>
      <c r="R974" s="268"/>
      <c r="S974" s="268"/>
      <c r="T974" s="268"/>
      <c r="U974" s="268"/>
      <c r="V974" s="268"/>
      <c r="W974" s="268"/>
      <c r="X974" s="268"/>
      <c r="Y974" s="268"/>
      <c r="Z974" s="268"/>
    </row>
    <row r="975" spans="1:26" ht="12.75" customHeight="1">
      <c r="A975" s="268"/>
      <c r="B975" s="268"/>
      <c r="C975" s="268"/>
      <c r="D975" s="268"/>
      <c r="E975" s="268"/>
      <c r="F975" s="268"/>
      <c r="G975" s="268"/>
      <c r="H975" s="268"/>
      <c r="I975" s="268"/>
      <c r="J975" s="268"/>
      <c r="K975" s="268"/>
      <c r="L975" s="268"/>
      <c r="M975" s="268"/>
      <c r="N975" s="268"/>
      <c r="O975" s="268"/>
      <c r="P975" s="268"/>
      <c r="Q975" s="268"/>
      <c r="R975" s="268"/>
      <c r="S975" s="268"/>
      <c r="T975" s="268"/>
      <c r="U975" s="268"/>
      <c r="V975" s="268"/>
      <c r="W975" s="268"/>
      <c r="X975" s="268"/>
      <c r="Y975" s="268"/>
      <c r="Z975" s="268"/>
    </row>
    <row r="976" spans="1:26" ht="12.75" customHeight="1">
      <c r="A976" s="268"/>
      <c r="B976" s="268"/>
      <c r="C976" s="268"/>
      <c r="D976" s="268"/>
      <c r="E976" s="268"/>
      <c r="F976" s="268"/>
      <c r="G976" s="268"/>
      <c r="H976" s="268"/>
      <c r="I976" s="268"/>
      <c r="J976" s="268"/>
      <c r="K976" s="268"/>
      <c r="L976" s="268"/>
      <c r="M976" s="268"/>
      <c r="N976" s="268"/>
      <c r="O976" s="268"/>
      <c r="P976" s="268"/>
      <c r="Q976" s="268"/>
      <c r="R976" s="268"/>
      <c r="S976" s="268"/>
      <c r="T976" s="268"/>
      <c r="U976" s="268"/>
      <c r="V976" s="268"/>
      <c r="W976" s="268"/>
      <c r="X976" s="268"/>
      <c r="Y976" s="268"/>
      <c r="Z976" s="268"/>
    </row>
    <row r="977" spans="1:26" ht="12.75" customHeight="1">
      <c r="A977" s="268"/>
      <c r="B977" s="268"/>
      <c r="C977" s="268"/>
      <c r="D977" s="268"/>
      <c r="E977" s="268"/>
      <c r="F977" s="268"/>
      <c r="G977" s="268"/>
      <c r="H977" s="268"/>
      <c r="I977" s="268"/>
      <c r="J977" s="268"/>
      <c r="K977" s="268"/>
      <c r="L977" s="268"/>
      <c r="M977" s="268"/>
      <c r="N977" s="268"/>
      <c r="O977" s="268"/>
      <c r="P977" s="268"/>
      <c r="Q977" s="268"/>
      <c r="R977" s="268"/>
      <c r="S977" s="268"/>
      <c r="T977" s="268"/>
      <c r="U977" s="268"/>
      <c r="V977" s="268"/>
      <c r="W977" s="268"/>
      <c r="X977" s="268"/>
      <c r="Y977" s="268"/>
      <c r="Z977" s="268"/>
    </row>
    <row r="978" spans="1:26" ht="12.75" customHeight="1">
      <c r="A978" s="268"/>
      <c r="B978" s="268"/>
      <c r="C978" s="268"/>
      <c r="D978" s="268"/>
      <c r="E978" s="268"/>
      <c r="F978" s="268"/>
      <c r="G978" s="268"/>
      <c r="H978" s="268"/>
      <c r="I978" s="268"/>
      <c r="J978" s="268"/>
      <c r="K978" s="268"/>
      <c r="L978" s="268"/>
      <c r="M978" s="268"/>
      <c r="N978" s="268"/>
      <c r="O978" s="268"/>
      <c r="P978" s="268"/>
      <c r="Q978" s="268"/>
      <c r="R978" s="268"/>
      <c r="S978" s="268"/>
      <c r="T978" s="268"/>
      <c r="U978" s="268"/>
      <c r="V978" s="268"/>
      <c r="W978" s="268"/>
      <c r="X978" s="268"/>
      <c r="Y978" s="268"/>
      <c r="Z978" s="268"/>
    </row>
    <row r="979" spans="1:26" ht="12.75" customHeight="1">
      <c r="A979" s="268"/>
      <c r="B979" s="268"/>
      <c r="C979" s="268"/>
      <c r="D979" s="268"/>
      <c r="E979" s="268"/>
      <c r="F979" s="268"/>
      <c r="G979" s="268"/>
      <c r="H979" s="268"/>
      <c r="I979" s="268"/>
      <c r="J979" s="268"/>
      <c r="K979" s="268"/>
      <c r="L979" s="268"/>
      <c r="M979" s="268"/>
      <c r="N979" s="268"/>
      <c r="O979" s="268"/>
      <c r="P979" s="268"/>
      <c r="Q979" s="268"/>
      <c r="R979" s="268"/>
      <c r="S979" s="268"/>
      <c r="T979" s="268"/>
      <c r="U979" s="268"/>
      <c r="V979" s="268"/>
      <c r="W979" s="268"/>
      <c r="X979" s="268"/>
      <c r="Y979" s="268"/>
      <c r="Z979" s="268"/>
    </row>
    <row r="980" spans="1:26" ht="12.75" customHeight="1">
      <c r="A980" s="268"/>
      <c r="B980" s="268"/>
      <c r="C980" s="268"/>
      <c r="D980" s="268"/>
      <c r="E980" s="268"/>
      <c r="F980" s="268"/>
      <c r="G980" s="268"/>
      <c r="H980" s="268"/>
      <c r="I980" s="268"/>
      <c r="J980" s="268"/>
      <c r="K980" s="268"/>
      <c r="L980" s="268"/>
      <c r="M980" s="268"/>
      <c r="N980" s="268"/>
      <c r="O980" s="268"/>
      <c r="P980" s="268"/>
      <c r="Q980" s="268"/>
      <c r="R980" s="268"/>
      <c r="S980" s="268"/>
      <c r="T980" s="268"/>
      <c r="U980" s="268"/>
      <c r="V980" s="268"/>
      <c r="W980" s="268"/>
      <c r="X980" s="268"/>
      <c r="Y980" s="268"/>
      <c r="Z980" s="268"/>
    </row>
    <row r="981" spans="1:26" ht="12.75" customHeight="1">
      <c r="A981" s="268"/>
      <c r="B981" s="268"/>
      <c r="C981" s="268"/>
      <c r="D981" s="268"/>
      <c r="E981" s="268"/>
      <c r="F981" s="268"/>
      <c r="G981" s="268"/>
      <c r="H981" s="268"/>
      <c r="I981" s="268"/>
      <c r="J981" s="268"/>
      <c r="K981" s="268"/>
      <c r="L981" s="268"/>
      <c r="M981" s="268"/>
      <c r="N981" s="268"/>
      <c r="O981" s="268"/>
      <c r="P981" s="268"/>
      <c r="Q981" s="268"/>
      <c r="R981" s="268"/>
      <c r="S981" s="268"/>
      <c r="T981" s="268"/>
      <c r="U981" s="268"/>
      <c r="V981" s="268"/>
      <c r="W981" s="268"/>
      <c r="X981" s="268"/>
      <c r="Y981" s="268"/>
      <c r="Z981" s="268"/>
    </row>
    <row r="982" spans="1:26" ht="12.75" customHeight="1">
      <c r="A982" s="268"/>
      <c r="B982" s="268"/>
      <c r="C982" s="268"/>
      <c r="D982" s="268"/>
      <c r="E982" s="268"/>
      <c r="F982" s="268"/>
      <c r="G982" s="268"/>
      <c r="H982" s="268"/>
      <c r="I982" s="268"/>
      <c r="J982" s="268"/>
      <c r="K982" s="268"/>
      <c r="L982" s="268"/>
      <c r="M982" s="268"/>
      <c r="N982" s="268"/>
      <c r="O982" s="268"/>
      <c r="P982" s="268"/>
      <c r="Q982" s="268"/>
      <c r="R982" s="268"/>
      <c r="S982" s="268"/>
      <c r="T982" s="268"/>
      <c r="U982" s="268"/>
      <c r="V982" s="268"/>
      <c r="W982" s="268"/>
      <c r="X982" s="268"/>
      <c r="Y982" s="268"/>
      <c r="Z982" s="268"/>
    </row>
    <row r="983" spans="1:26" ht="12.75" customHeight="1">
      <c r="A983" s="268"/>
      <c r="B983" s="268"/>
      <c r="C983" s="268"/>
      <c r="D983" s="268"/>
      <c r="E983" s="268"/>
      <c r="F983" s="268"/>
      <c r="G983" s="268"/>
      <c r="H983" s="268"/>
      <c r="I983" s="268"/>
      <c r="J983" s="268"/>
      <c r="K983" s="268"/>
      <c r="L983" s="268"/>
      <c r="M983" s="268"/>
      <c r="N983" s="268"/>
      <c r="O983" s="268"/>
      <c r="P983" s="268"/>
      <c r="Q983" s="268"/>
      <c r="R983" s="268"/>
      <c r="S983" s="268"/>
      <c r="T983" s="268"/>
      <c r="U983" s="268"/>
      <c r="V983" s="268"/>
      <c r="W983" s="268"/>
      <c r="X983" s="268"/>
      <c r="Y983" s="268"/>
      <c r="Z983" s="268"/>
    </row>
    <row r="984" spans="1:26" ht="12.75" customHeight="1">
      <c r="A984" s="268"/>
      <c r="B984" s="268"/>
      <c r="C984" s="268"/>
      <c r="D984" s="268"/>
      <c r="E984" s="268"/>
      <c r="F984" s="268"/>
      <c r="G984" s="268"/>
      <c r="H984" s="268"/>
      <c r="I984" s="268"/>
      <c r="J984" s="268"/>
      <c r="K984" s="268"/>
      <c r="L984" s="268"/>
      <c r="M984" s="268"/>
      <c r="N984" s="268"/>
      <c r="O984" s="268"/>
      <c r="P984" s="268"/>
      <c r="Q984" s="268"/>
      <c r="R984" s="268"/>
      <c r="S984" s="268"/>
      <c r="T984" s="268"/>
      <c r="U984" s="268"/>
      <c r="V984" s="268"/>
      <c r="W984" s="268"/>
      <c r="X984" s="268"/>
      <c r="Y984" s="268"/>
      <c r="Z984" s="268"/>
    </row>
    <row r="985" spans="1:26" ht="12.75" customHeight="1">
      <c r="A985" s="268"/>
      <c r="B985" s="268"/>
      <c r="C985" s="268"/>
      <c r="D985" s="268"/>
      <c r="E985" s="268"/>
      <c r="F985" s="268"/>
      <c r="G985" s="268"/>
      <c r="H985" s="268"/>
      <c r="I985" s="268"/>
      <c r="J985" s="268"/>
      <c r="K985" s="268"/>
      <c r="L985" s="268"/>
      <c r="M985" s="268"/>
      <c r="N985" s="268"/>
      <c r="O985" s="268"/>
      <c r="P985" s="268"/>
      <c r="Q985" s="268"/>
      <c r="R985" s="268"/>
      <c r="S985" s="268"/>
      <c r="T985" s="268"/>
      <c r="U985" s="268"/>
      <c r="V985" s="268"/>
      <c r="W985" s="268"/>
      <c r="X985" s="268"/>
      <c r="Y985" s="268"/>
      <c r="Z985" s="268"/>
    </row>
    <row r="986" spans="1:26" ht="12.75" customHeight="1">
      <c r="A986" s="268"/>
      <c r="B986" s="268"/>
      <c r="C986" s="268"/>
      <c r="D986" s="268"/>
      <c r="E986" s="268"/>
      <c r="F986" s="268"/>
      <c r="G986" s="268"/>
      <c r="H986" s="268"/>
      <c r="I986" s="268"/>
      <c r="J986" s="268"/>
      <c r="K986" s="268"/>
      <c r="L986" s="268"/>
      <c r="M986" s="268"/>
      <c r="N986" s="268"/>
      <c r="O986" s="268"/>
      <c r="P986" s="268"/>
      <c r="Q986" s="268"/>
      <c r="R986" s="268"/>
      <c r="S986" s="268"/>
      <c r="T986" s="268"/>
      <c r="U986" s="268"/>
      <c r="V986" s="268"/>
      <c r="W986" s="268"/>
      <c r="X986" s="268"/>
      <c r="Y986" s="268"/>
      <c r="Z986" s="268"/>
    </row>
    <row r="987" spans="1:26" ht="12.75" customHeight="1">
      <c r="A987" s="268"/>
      <c r="B987" s="268"/>
      <c r="C987" s="268"/>
      <c r="D987" s="268"/>
      <c r="E987" s="268"/>
      <c r="F987" s="268"/>
      <c r="G987" s="268"/>
      <c r="H987" s="268"/>
      <c r="I987" s="268"/>
      <c r="J987" s="268"/>
      <c r="K987" s="268"/>
      <c r="L987" s="268"/>
      <c r="M987" s="268"/>
      <c r="N987" s="268"/>
      <c r="O987" s="268"/>
      <c r="P987" s="268"/>
      <c r="Q987" s="268"/>
      <c r="R987" s="268"/>
      <c r="S987" s="268"/>
      <c r="T987" s="268"/>
      <c r="U987" s="268"/>
      <c r="V987" s="268"/>
      <c r="W987" s="268"/>
      <c r="X987" s="268"/>
      <c r="Y987" s="268"/>
      <c r="Z987" s="268"/>
    </row>
    <row r="988" spans="1:26" ht="12.75" customHeight="1">
      <c r="A988" s="268"/>
      <c r="B988" s="268"/>
      <c r="C988" s="268"/>
      <c r="D988" s="268"/>
      <c r="E988" s="268"/>
      <c r="F988" s="268"/>
      <c r="G988" s="268"/>
      <c r="H988" s="268"/>
      <c r="I988" s="268"/>
      <c r="J988" s="268"/>
      <c r="K988" s="268"/>
      <c r="L988" s="268"/>
      <c r="M988" s="268"/>
      <c r="N988" s="268"/>
      <c r="O988" s="268"/>
      <c r="P988" s="268"/>
      <c r="Q988" s="268"/>
      <c r="R988" s="268"/>
      <c r="S988" s="268"/>
      <c r="T988" s="268"/>
      <c r="U988" s="268"/>
      <c r="V988" s="268"/>
      <c r="W988" s="268"/>
      <c r="X988" s="268"/>
      <c r="Y988" s="268"/>
      <c r="Z988" s="268"/>
    </row>
    <row r="989" spans="1:26" ht="12.75" customHeight="1">
      <c r="A989" s="268"/>
      <c r="B989" s="268"/>
      <c r="C989" s="268"/>
      <c r="D989" s="268"/>
      <c r="E989" s="268"/>
      <c r="F989" s="268"/>
      <c r="G989" s="268"/>
      <c r="H989" s="268"/>
      <c r="I989" s="268"/>
      <c r="J989" s="268"/>
      <c r="K989" s="268"/>
      <c r="L989" s="268"/>
      <c r="M989" s="268"/>
      <c r="N989" s="268"/>
      <c r="O989" s="268"/>
      <c r="P989" s="268"/>
      <c r="Q989" s="268"/>
      <c r="R989" s="268"/>
      <c r="S989" s="268"/>
      <c r="T989" s="268"/>
      <c r="U989" s="268"/>
      <c r="V989" s="268"/>
      <c r="W989" s="268"/>
      <c r="X989" s="268"/>
      <c r="Y989" s="268"/>
      <c r="Z989" s="268"/>
    </row>
    <row r="990" spans="1:26" ht="12.75" customHeight="1">
      <c r="A990" s="268"/>
      <c r="B990" s="268"/>
      <c r="C990" s="268"/>
      <c r="D990" s="268"/>
      <c r="E990" s="268"/>
      <c r="F990" s="268"/>
      <c r="G990" s="268"/>
      <c r="H990" s="268"/>
      <c r="I990" s="268"/>
      <c r="J990" s="268"/>
      <c r="K990" s="268"/>
      <c r="L990" s="268"/>
      <c r="M990" s="268"/>
      <c r="N990" s="268"/>
      <c r="O990" s="268"/>
      <c r="P990" s="268"/>
      <c r="Q990" s="268"/>
      <c r="R990" s="268"/>
      <c r="S990" s="268"/>
      <c r="T990" s="268"/>
      <c r="U990" s="268"/>
      <c r="V990" s="268"/>
      <c r="W990" s="268"/>
      <c r="X990" s="268"/>
      <c r="Y990" s="268"/>
      <c r="Z990" s="268"/>
    </row>
    <row r="991" spans="1:26" ht="12.75" customHeight="1">
      <c r="A991" s="268"/>
      <c r="B991" s="268"/>
      <c r="C991" s="268"/>
      <c r="D991" s="268"/>
      <c r="E991" s="268"/>
      <c r="F991" s="268"/>
      <c r="G991" s="268"/>
      <c r="H991" s="268"/>
      <c r="I991" s="268"/>
      <c r="J991" s="268"/>
      <c r="K991" s="268"/>
      <c r="L991" s="268"/>
      <c r="M991" s="268"/>
      <c r="N991" s="268"/>
      <c r="O991" s="268"/>
      <c r="P991" s="268"/>
      <c r="Q991" s="268"/>
      <c r="R991" s="268"/>
      <c r="S991" s="268"/>
      <c r="T991" s="268"/>
      <c r="U991" s="268"/>
      <c r="V991" s="268"/>
      <c r="W991" s="268"/>
      <c r="X991" s="268"/>
      <c r="Y991" s="268"/>
      <c r="Z991" s="268"/>
    </row>
    <row r="992" spans="1:26" ht="12.75" customHeight="1">
      <c r="A992" s="268"/>
      <c r="B992" s="268"/>
      <c r="C992" s="268"/>
      <c r="D992" s="268"/>
      <c r="E992" s="268"/>
      <c r="F992" s="268"/>
      <c r="G992" s="268"/>
      <c r="H992" s="268"/>
      <c r="I992" s="268"/>
      <c r="J992" s="268"/>
      <c r="K992" s="268"/>
      <c r="L992" s="268"/>
      <c r="M992" s="268"/>
      <c r="N992" s="268"/>
      <c r="O992" s="268"/>
      <c r="P992" s="268"/>
      <c r="Q992" s="268"/>
      <c r="R992" s="268"/>
      <c r="S992" s="268"/>
      <c r="T992" s="268"/>
      <c r="U992" s="268"/>
      <c r="V992" s="268"/>
      <c r="W992" s="268"/>
      <c r="X992" s="268"/>
      <c r="Y992" s="268"/>
      <c r="Z992" s="268"/>
    </row>
    <row r="993" spans="1:26" ht="12.75" customHeight="1">
      <c r="A993" s="268"/>
      <c r="B993" s="268"/>
      <c r="C993" s="268"/>
      <c r="D993" s="268"/>
      <c r="E993" s="268"/>
      <c r="F993" s="268"/>
      <c r="G993" s="268"/>
      <c r="H993" s="268"/>
      <c r="I993" s="268"/>
      <c r="J993" s="268"/>
      <c r="K993" s="268"/>
      <c r="L993" s="268"/>
      <c r="M993" s="268"/>
      <c r="N993" s="268"/>
      <c r="O993" s="268"/>
      <c r="P993" s="268"/>
      <c r="Q993" s="268"/>
      <c r="R993" s="268"/>
      <c r="S993" s="268"/>
      <c r="T993" s="268"/>
      <c r="U993" s="268"/>
      <c r="V993" s="268"/>
      <c r="W993" s="268"/>
      <c r="X993" s="268"/>
      <c r="Y993" s="268"/>
      <c r="Z993" s="268"/>
    </row>
    <row r="994" spans="1:26" ht="12.75" customHeight="1">
      <c r="A994" s="268"/>
      <c r="B994" s="268"/>
      <c r="C994" s="268"/>
      <c r="D994" s="268"/>
      <c r="E994" s="268"/>
      <c r="F994" s="268"/>
      <c r="G994" s="268"/>
      <c r="H994" s="268"/>
      <c r="I994" s="268"/>
      <c r="J994" s="268"/>
      <c r="K994" s="268"/>
      <c r="L994" s="268"/>
      <c r="M994" s="268"/>
      <c r="N994" s="268"/>
      <c r="O994" s="268"/>
      <c r="P994" s="268"/>
      <c r="Q994" s="268"/>
      <c r="R994" s="268"/>
      <c r="S994" s="268"/>
      <c r="T994" s="268"/>
      <c r="U994" s="268"/>
      <c r="V994" s="268"/>
      <c r="W994" s="268"/>
      <c r="X994" s="268"/>
      <c r="Y994" s="268"/>
      <c r="Z994" s="268"/>
    </row>
    <row r="995" spans="1:26" ht="12.75" customHeight="1">
      <c r="A995" s="268"/>
      <c r="B995" s="268"/>
      <c r="C995" s="268"/>
      <c r="D995" s="268"/>
      <c r="E995" s="268"/>
      <c r="F995" s="268"/>
      <c r="G995" s="268"/>
      <c r="H995" s="268"/>
      <c r="I995" s="268"/>
      <c r="J995" s="268"/>
      <c r="K995" s="268"/>
      <c r="L995" s="268"/>
      <c r="M995" s="268"/>
      <c r="N995" s="268"/>
      <c r="O995" s="268"/>
      <c r="P995" s="268"/>
      <c r="Q995" s="268"/>
      <c r="R995" s="268"/>
      <c r="S995" s="268"/>
      <c r="T995" s="268"/>
      <c r="U995" s="268"/>
      <c r="V995" s="268"/>
      <c r="W995" s="268"/>
      <c r="X995" s="268"/>
      <c r="Y995" s="268"/>
      <c r="Z995" s="268"/>
    </row>
    <row r="996" spans="1:26" ht="12.75" customHeight="1">
      <c r="A996" s="268"/>
      <c r="B996" s="268"/>
      <c r="C996" s="268"/>
      <c r="D996" s="268"/>
      <c r="E996" s="268"/>
      <c r="F996" s="268"/>
      <c r="G996" s="268"/>
      <c r="H996" s="268"/>
      <c r="I996" s="268"/>
      <c r="J996" s="268"/>
      <c r="K996" s="268"/>
      <c r="L996" s="268"/>
      <c r="M996" s="268"/>
      <c r="N996" s="268"/>
      <c r="O996" s="268"/>
      <c r="P996" s="268"/>
      <c r="Q996" s="268"/>
      <c r="R996" s="268"/>
      <c r="S996" s="268"/>
      <c r="T996" s="268"/>
      <c r="U996" s="268"/>
      <c r="V996" s="268"/>
      <c r="W996" s="268"/>
      <c r="X996" s="268"/>
      <c r="Y996" s="268"/>
      <c r="Z996" s="268"/>
    </row>
    <row r="997" spans="1:26" ht="12.75" customHeight="1">
      <c r="A997" s="268"/>
      <c r="B997" s="268"/>
      <c r="C997" s="268"/>
      <c r="D997" s="268"/>
      <c r="E997" s="268"/>
      <c r="F997" s="268"/>
      <c r="G997" s="268"/>
      <c r="H997" s="268"/>
      <c r="I997" s="268"/>
      <c r="J997" s="268"/>
      <c r="K997" s="268"/>
      <c r="L997" s="268"/>
      <c r="M997" s="268"/>
      <c r="N997" s="268"/>
      <c r="O997" s="268"/>
      <c r="P997" s="268"/>
      <c r="Q997" s="268"/>
      <c r="R997" s="268"/>
      <c r="S997" s="268"/>
      <c r="T997" s="268"/>
      <c r="U997" s="268"/>
      <c r="V997" s="268"/>
      <c r="W997" s="268"/>
      <c r="X997" s="268"/>
      <c r="Y997" s="268"/>
      <c r="Z997" s="268"/>
    </row>
    <row r="998" spans="1:26" ht="12.75" customHeight="1">
      <c r="A998" s="268"/>
      <c r="B998" s="268"/>
      <c r="C998" s="268"/>
      <c r="D998" s="268"/>
      <c r="E998" s="268"/>
      <c r="F998" s="268"/>
      <c r="G998" s="268"/>
      <c r="H998" s="268"/>
      <c r="I998" s="268"/>
      <c r="J998" s="268"/>
      <c r="K998" s="268"/>
      <c r="L998" s="268"/>
      <c r="M998" s="268"/>
      <c r="N998" s="268"/>
      <c r="O998" s="268"/>
      <c r="P998" s="268"/>
      <c r="Q998" s="268"/>
      <c r="R998" s="268"/>
      <c r="S998" s="268"/>
      <c r="T998" s="268"/>
      <c r="U998" s="268"/>
      <c r="V998" s="268"/>
      <c r="W998" s="268"/>
      <c r="X998" s="268"/>
      <c r="Y998" s="268"/>
      <c r="Z998" s="268"/>
    </row>
    <row r="999" spans="1:26" ht="12.75" customHeight="1">
      <c r="A999" s="268"/>
      <c r="B999" s="268"/>
      <c r="C999" s="268"/>
      <c r="D999" s="268"/>
      <c r="E999" s="268"/>
      <c r="F999" s="268"/>
      <c r="G999" s="268"/>
      <c r="H999" s="268"/>
      <c r="I999" s="268"/>
      <c r="J999" s="268"/>
      <c r="K999" s="268"/>
      <c r="L999" s="268"/>
      <c r="M999" s="268"/>
      <c r="N999" s="268"/>
      <c r="O999" s="268"/>
      <c r="P999" s="268"/>
      <c r="Q999" s="268"/>
      <c r="R999" s="268"/>
      <c r="S999" s="268"/>
      <c r="T999" s="268"/>
      <c r="U999" s="268"/>
      <c r="V999" s="268"/>
      <c r="W999" s="268"/>
      <c r="X999" s="268"/>
      <c r="Y999" s="268"/>
      <c r="Z999" s="268"/>
    </row>
    <row r="1000" spans="1:26" ht="12.75" customHeight="1">
      <c r="A1000" s="268"/>
      <c r="B1000" s="268"/>
      <c r="C1000" s="268"/>
      <c r="D1000" s="268"/>
      <c r="E1000" s="268"/>
      <c r="F1000" s="268"/>
      <c r="G1000" s="268"/>
      <c r="H1000" s="268"/>
      <c r="I1000" s="268"/>
      <c r="J1000" s="268"/>
      <c r="K1000" s="268"/>
      <c r="L1000" s="268"/>
      <c r="M1000" s="268"/>
      <c r="N1000" s="268"/>
      <c r="O1000" s="268"/>
      <c r="P1000" s="268"/>
      <c r="Q1000" s="268"/>
      <c r="R1000" s="268"/>
      <c r="S1000" s="268"/>
      <c r="T1000" s="268"/>
      <c r="U1000" s="268"/>
      <c r="V1000" s="268"/>
      <c r="W1000" s="268"/>
      <c r="X1000" s="268"/>
      <c r="Y1000" s="268"/>
      <c r="Z1000" s="268"/>
    </row>
  </sheetData>
  <mergeCells count="7">
    <mergeCell ref="A8:A9"/>
    <mergeCell ref="B8:D8"/>
    <mergeCell ref="A1:D1"/>
    <mergeCell ref="A2:D2"/>
    <mergeCell ref="A3:D3"/>
    <mergeCell ref="A5:D5"/>
    <mergeCell ref="A6:D6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P43"/>
  <sheetViews>
    <sheetView topLeftCell="L1" workbookViewId="0">
      <selection activeCell="C1" sqref="C1"/>
    </sheetView>
  </sheetViews>
  <sheetFormatPr baseColWidth="10" defaultColWidth="14.453125" defaultRowHeight="15" customHeight="1"/>
  <cols>
    <col min="3" max="3" width="14.90625" bestFit="1" customWidth="1"/>
  </cols>
  <sheetData>
    <row r="1" spans="1:16">
      <c r="A1" s="44" t="s">
        <v>1580</v>
      </c>
      <c r="K1" s="44" t="s">
        <v>1581</v>
      </c>
    </row>
    <row r="2" spans="1:16">
      <c r="A2" s="9" t="s">
        <v>1582</v>
      </c>
      <c r="B2" s="93" t="s">
        <v>1</v>
      </c>
      <c r="C2" s="296" t="s">
        <v>170</v>
      </c>
      <c r="D2" s="296" t="s">
        <v>171</v>
      </c>
      <c r="E2" s="296" t="s">
        <v>195</v>
      </c>
      <c r="F2" s="296" t="s">
        <v>196</v>
      </c>
      <c r="G2" s="296" t="s">
        <v>197</v>
      </c>
      <c r="H2" s="297" t="s">
        <v>198</v>
      </c>
      <c r="I2" s="297" t="s">
        <v>199</v>
      </c>
      <c r="J2" s="297" t="s">
        <v>200</v>
      </c>
      <c r="K2" s="297" t="s">
        <v>201</v>
      </c>
      <c r="L2" s="297" t="s">
        <v>202</v>
      </c>
      <c r="M2" s="297" t="s">
        <v>203</v>
      </c>
      <c r="N2" s="297" t="s">
        <v>204</v>
      </c>
      <c r="O2" s="297" t="s">
        <v>205</v>
      </c>
      <c r="P2" s="9" t="s">
        <v>1583</v>
      </c>
    </row>
    <row r="3" spans="1:16">
      <c r="A3" s="44" t="s">
        <v>1584</v>
      </c>
      <c r="B3" s="44" t="s">
        <v>1442</v>
      </c>
      <c r="C3" s="298">
        <f>'AyC Panama'!U5</f>
        <v>1818705524.0084832</v>
      </c>
      <c r="D3" s="299">
        <f>'AyC Panama'!U6</f>
        <v>180476393.38787311</v>
      </c>
      <c r="E3" s="299">
        <f>'AyC Panama'!U86</f>
        <v>45386548.973117717</v>
      </c>
      <c r="F3" s="299">
        <f>'AyC Panama'!U87</f>
        <v>50337171.812481485</v>
      </c>
      <c r="G3" s="299">
        <f>'AyC Panama'!U88</f>
        <v>53243427.403116778</v>
      </c>
      <c r="H3" s="44">
        <v>583</v>
      </c>
      <c r="I3" s="72">
        <v>510000</v>
      </c>
      <c r="J3" s="94">
        <v>481156.7</v>
      </c>
      <c r="K3" s="72">
        <v>2942138</v>
      </c>
      <c r="L3" s="94">
        <f t="shared" ref="L3:L5" si="0">J3+K3</f>
        <v>3423294.7</v>
      </c>
      <c r="M3" s="94">
        <f>B33</f>
        <v>281962339.79999995</v>
      </c>
      <c r="N3" s="72">
        <f>B42</f>
        <v>4485781.26</v>
      </c>
      <c r="O3" s="72">
        <v>1356</v>
      </c>
      <c r="P3" s="17">
        <f t="shared" ref="P3:P5" si="1">J3/L3</f>
        <v>0.14055368940336921</v>
      </c>
    </row>
    <row r="4" spans="1:16">
      <c r="A4" s="44" t="s">
        <v>1585</v>
      </c>
      <c r="B4" s="44" t="s">
        <v>1445</v>
      </c>
      <c r="C4" s="298">
        <f>'AyC Panama'!U7</f>
        <v>3099266284.0465555</v>
      </c>
      <c r="D4" s="299">
        <f>'AyC Panama'!U8</f>
        <v>185624205.27093011</v>
      </c>
      <c r="E4" s="299">
        <f>'AyC Panama'!U89</f>
        <v>51342325.364001855</v>
      </c>
      <c r="F4" s="299">
        <f>'AyC Panama'!U90</f>
        <v>17790831.29853731</v>
      </c>
      <c r="G4" s="299">
        <f>'AyC Panama'!U91</f>
        <v>19732487.480334092</v>
      </c>
      <c r="H4" s="44">
        <v>741.5</v>
      </c>
      <c r="I4" s="72">
        <v>585501</v>
      </c>
      <c r="J4" s="94">
        <v>735262</v>
      </c>
      <c r="K4" s="94">
        <v>3351609.8</v>
      </c>
      <c r="L4" s="94">
        <f t="shared" si="0"/>
        <v>4086871.8</v>
      </c>
      <c r="M4" s="94">
        <f>3984.48*I4</f>
        <v>2332917024.48</v>
      </c>
      <c r="N4" s="44">
        <f>18.76*I4</f>
        <v>10983998.760000002</v>
      </c>
      <c r="O4" s="44">
        <v>2315</v>
      </c>
      <c r="P4" s="17">
        <f t="shared" si="1"/>
        <v>0.17990826137487356</v>
      </c>
    </row>
    <row r="5" spans="1:16">
      <c r="A5" s="44" t="s">
        <v>1586</v>
      </c>
      <c r="B5" s="44" t="s">
        <v>1446</v>
      </c>
      <c r="C5" s="298">
        <f>'AyC Panama'!U9</f>
        <v>805026159.69249833</v>
      </c>
      <c r="D5" s="299">
        <f>'AyC Panama'!U10</f>
        <v>24812145.37816181</v>
      </c>
      <c r="E5" s="299">
        <f>'AyC Panama'!U92</f>
        <v>10810115.832090972</v>
      </c>
      <c r="F5" s="299">
        <f>'AyC Panama'!U93</f>
        <v>2789847.0566973952</v>
      </c>
      <c r="G5" s="299">
        <f>'AyC Panama'!U94</f>
        <v>1682334.8890328924</v>
      </c>
      <c r="H5" s="44">
        <v>139.30000000000001</v>
      </c>
      <c r="I5" s="72">
        <v>177442</v>
      </c>
      <c r="J5" s="94">
        <v>148975</v>
      </c>
      <c r="K5" s="94">
        <v>810961.7</v>
      </c>
      <c r="L5" s="94">
        <f t="shared" si="0"/>
        <v>959936.7</v>
      </c>
      <c r="M5" s="94">
        <f>3587.21*I5</f>
        <v>636521716.82000005</v>
      </c>
      <c r="N5" s="44">
        <f>22.05*I5</f>
        <v>3912596.1</v>
      </c>
      <c r="O5" s="44">
        <v>431</v>
      </c>
      <c r="P5" s="17">
        <f t="shared" si="1"/>
        <v>0.15519252467376235</v>
      </c>
    </row>
    <row r="6" spans="1:16">
      <c r="H6" s="53"/>
      <c r="M6" s="53"/>
    </row>
    <row r="7" spans="1:16">
      <c r="A7" s="44" t="s">
        <v>1587</v>
      </c>
    </row>
    <row r="8" spans="1:16">
      <c r="A8" s="9" t="s">
        <v>1582</v>
      </c>
      <c r="B8" s="93" t="s">
        <v>1</v>
      </c>
      <c r="C8" s="296" t="s">
        <v>170</v>
      </c>
      <c r="D8" s="296" t="s">
        <v>171</v>
      </c>
      <c r="E8" s="296" t="s">
        <v>195</v>
      </c>
      <c r="F8" s="296" t="s">
        <v>196</v>
      </c>
      <c r="G8" s="296" t="s">
        <v>197</v>
      </c>
      <c r="H8" s="297" t="s">
        <v>198</v>
      </c>
      <c r="I8" s="297" t="s">
        <v>199</v>
      </c>
      <c r="J8" s="297" t="s">
        <v>200</v>
      </c>
      <c r="K8" s="297" t="s">
        <v>201</v>
      </c>
      <c r="L8" s="297" t="s">
        <v>202</v>
      </c>
      <c r="M8" s="297" t="s">
        <v>203</v>
      </c>
      <c r="N8" s="297" t="s">
        <v>204</v>
      </c>
      <c r="O8" s="297" t="s">
        <v>205</v>
      </c>
      <c r="P8" s="9" t="s">
        <v>1583</v>
      </c>
    </row>
    <row r="9" spans="1:16">
      <c r="A9" s="44" t="s">
        <v>1584</v>
      </c>
      <c r="B9" s="44" t="s">
        <v>1442</v>
      </c>
      <c r="C9" s="299">
        <f>'AyC Panama'!V5</f>
        <v>1829898246.9259701</v>
      </c>
      <c r="D9" s="299">
        <f>'AyC Panama'!V6</f>
        <v>180525505.25015211</v>
      </c>
      <c r="E9" s="299">
        <f>'AyC Panama'!V86</f>
        <v>38501530.244034462</v>
      </c>
      <c r="F9" s="299">
        <f>'AyC Panama'!V87</f>
        <v>49316666.924006522</v>
      </c>
      <c r="G9" s="299">
        <f>'AyC Panama'!V88</f>
        <v>60203884.017914794</v>
      </c>
      <c r="H9" s="44">
        <v>556.5</v>
      </c>
      <c r="I9" s="72">
        <v>531617</v>
      </c>
      <c r="J9" s="94">
        <v>449599.7</v>
      </c>
      <c r="K9" s="94">
        <v>3027192</v>
      </c>
      <c r="L9" s="94">
        <f t="shared" ref="L9:L11" si="2">J9+K9</f>
        <v>3476791.7</v>
      </c>
      <c r="M9" s="72">
        <f>C33</f>
        <v>251521332.33999997</v>
      </c>
      <c r="N9" s="72">
        <f>C42</f>
        <v>4920792.1899999995</v>
      </c>
      <c r="O9" s="72">
        <v>4342</v>
      </c>
      <c r="P9" s="17">
        <f t="shared" ref="P9:P11" si="3">J9/L9</f>
        <v>0.12931453443126892</v>
      </c>
    </row>
    <row r="10" spans="1:16">
      <c r="A10" s="44" t="s">
        <v>1585</v>
      </c>
      <c r="B10" s="44" t="s">
        <v>1445</v>
      </c>
      <c r="C10" s="299">
        <f>'AyC Panama'!V7</f>
        <v>3654350176.7094378</v>
      </c>
      <c r="D10" s="299">
        <f>'AyC Panama'!V8</f>
        <v>145386203.34164745</v>
      </c>
      <c r="E10" s="299">
        <f>'AyC Panama'!V89</f>
        <v>51366688.438057378</v>
      </c>
      <c r="F10" s="299">
        <f>'AyC Panama'!V90</f>
        <v>23228170.250672419</v>
      </c>
      <c r="G10" s="299">
        <f>'AyC Panama'!V91</f>
        <v>29110380.928058289</v>
      </c>
      <c r="H10" s="44">
        <v>781.3</v>
      </c>
      <c r="I10" s="72">
        <v>601655</v>
      </c>
      <c r="J10" s="94">
        <v>749959.7</v>
      </c>
      <c r="K10" s="94">
        <v>3477150.3</v>
      </c>
      <c r="L10" s="94">
        <f t="shared" si="2"/>
        <v>4227110</v>
      </c>
      <c r="M10" s="94">
        <f>3341.63*I10</f>
        <v>2010508397.6500001</v>
      </c>
      <c r="N10" s="44">
        <f>16.89*I10</f>
        <v>10161952.950000001</v>
      </c>
      <c r="O10" s="44">
        <v>2348</v>
      </c>
      <c r="P10" s="17">
        <f t="shared" si="3"/>
        <v>0.17741665109259044</v>
      </c>
    </row>
    <row r="11" spans="1:16">
      <c r="A11" s="44" t="s">
        <v>1586</v>
      </c>
      <c r="B11" s="44" t="s">
        <v>1446</v>
      </c>
      <c r="C11" s="299">
        <f>'AyC Panama'!V9</f>
        <v>850328483.51745737</v>
      </c>
      <c r="D11" s="299">
        <f>'AyC Panama'!V10</f>
        <v>23635409.62510144</v>
      </c>
      <c r="E11" s="299">
        <f>'AyC Panama'!V92</f>
        <v>14885199.597463084</v>
      </c>
      <c r="F11" s="299">
        <f>'AyC Panama'!V93</f>
        <v>2866493.4418517728</v>
      </c>
      <c r="G11" s="299">
        <f>'AyC Panama'!V94</f>
        <v>2504187.560564979</v>
      </c>
      <c r="H11" s="44">
        <v>147.6</v>
      </c>
      <c r="I11" s="72">
        <v>182741</v>
      </c>
      <c r="J11" s="94">
        <v>152247.1</v>
      </c>
      <c r="K11" s="94">
        <v>851734.4</v>
      </c>
      <c r="L11" s="94">
        <f t="shared" si="2"/>
        <v>1003981.5</v>
      </c>
      <c r="M11" s="94">
        <f>2967.29*I11</f>
        <v>542245541.88999999</v>
      </c>
      <c r="N11" s="44">
        <f>17.93*I11</f>
        <v>3276546.13</v>
      </c>
      <c r="O11" s="44">
        <v>424</v>
      </c>
      <c r="P11" s="17">
        <f t="shared" si="3"/>
        <v>0.15164333207334996</v>
      </c>
    </row>
    <row r="13" spans="1:16">
      <c r="A13" s="44" t="s">
        <v>1588</v>
      </c>
    </row>
    <row r="14" spans="1:16">
      <c r="A14" s="9" t="s">
        <v>1582</v>
      </c>
      <c r="B14" s="93" t="s">
        <v>1</v>
      </c>
      <c r="C14" s="296" t="s">
        <v>170</v>
      </c>
      <c r="D14" s="296" t="s">
        <v>171</v>
      </c>
      <c r="E14" s="296" t="s">
        <v>195</v>
      </c>
      <c r="F14" s="296" t="s">
        <v>196</v>
      </c>
      <c r="G14" s="296" t="s">
        <v>197</v>
      </c>
      <c r="H14" s="297" t="s">
        <v>198</v>
      </c>
      <c r="I14" s="297" t="s">
        <v>199</v>
      </c>
      <c r="J14" s="297" t="s">
        <v>200</v>
      </c>
      <c r="K14" s="297" t="s">
        <v>201</v>
      </c>
      <c r="L14" s="297" t="s">
        <v>202</v>
      </c>
      <c r="M14" s="297" t="s">
        <v>203</v>
      </c>
      <c r="N14" s="297" t="s">
        <v>204</v>
      </c>
      <c r="O14" s="297" t="s">
        <v>205</v>
      </c>
      <c r="P14" s="9" t="s">
        <v>1583</v>
      </c>
    </row>
    <row r="15" spans="1:16">
      <c r="A15" s="44" t="s">
        <v>1584</v>
      </c>
      <c r="B15" s="44" t="s">
        <v>1442</v>
      </c>
      <c r="C15" s="299">
        <f>'AyC Panama'!W5</f>
        <v>1902524677.8979867</v>
      </c>
      <c r="D15" s="299">
        <f>'AyC Panama'!W6</f>
        <v>194638271.92233762</v>
      </c>
      <c r="E15" s="299">
        <f>'AyC Panama'!W86</f>
        <v>43961840.175151683</v>
      </c>
      <c r="F15" s="299">
        <f>'AyC Panama'!W87</f>
        <v>56853713.365331769</v>
      </c>
      <c r="G15" s="299">
        <f>'AyC Panama'!W88</f>
        <v>60280759.426066361</v>
      </c>
      <c r="H15" s="44">
        <v>576.1</v>
      </c>
      <c r="I15" s="72">
        <v>550835</v>
      </c>
      <c r="J15" s="94">
        <v>470096.3</v>
      </c>
      <c r="K15" s="94">
        <v>3223420</v>
      </c>
      <c r="L15" s="94">
        <f t="shared" ref="L15:L17" si="4">J15+K15</f>
        <v>3693516.3</v>
      </c>
      <c r="M15" s="72">
        <f>D33</f>
        <v>373308988.95999998</v>
      </c>
      <c r="N15" s="72">
        <f>D42</f>
        <v>6609845.8099999996</v>
      </c>
      <c r="O15" s="72">
        <v>4330</v>
      </c>
      <c r="P15" s="17">
        <f t="shared" ref="P15:P17" si="5">J15/L15</f>
        <v>0.12727608647618532</v>
      </c>
    </row>
    <row r="16" spans="1:16">
      <c r="A16" s="44" t="s">
        <v>1585</v>
      </c>
      <c r="B16" s="44" t="s">
        <v>1445</v>
      </c>
      <c r="C16" s="299">
        <f>'AyC Panama'!W7</f>
        <v>3804266846.7280259</v>
      </c>
      <c r="D16" s="299">
        <f>'AyC Panama'!W8</f>
        <v>157113504.36753076</v>
      </c>
      <c r="E16" s="299">
        <f>'AyC Panama'!W89</f>
        <v>52851439.013438985</v>
      </c>
      <c r="F16" s="299">
        <f>'AyC Panama'!W90</f>
        <v>24208932.605837811</v>
      </c>
      <c r="G16" s="299">
        <f>'AyC Panama'!W91</f>
        <v>24086658.598333009</v>
      </c>
      <c r="H16" s="44">
        <v>881.1</v>
      </c>
      <c r="I16" s="72">
        <v>614714</v>
      </c>
      <c r="J16" s="94">
        <v>827923.3</v>
      </c>
      <c r="K16" s="94">
        <v>3739226</v>
      </c>
      <c r="L16" s="94">
        <f t="shared" si="4"/>
        <v>4567149.3</v>
      </c>
      <c r="M16" s="94">
        <f>4594.46*I16</f>
        <v>2824278884.4400001</v>
      </c>
      <c r="N16" s="44">
        <f>23.29*I16</f>
        <v>14316689.059999999</v>
      </c>
      <c r="O16" s="44">
        <v>2407</v>
      </c>
      <c r="P16" s="17">
        <f t="shared" si="5"/>
        <v>0.18127791443121863</v>
      </c>
    </row>
    <row r="17" spans="1:16">
      <c r="A17" s="44" t="s">
        <v>1586</v>
      </c>
      <c r="B17" s="44" t="s">
        <v>1446</v>
      </c>
      <c r="C17" s="299">
        <f>'AyC Panama'!W9</f>
        <v>796882914.96175754</v>
      </c>
      <c r="D17" s="299">
        <f>'AyC Panama'!W10</f>
        <v>22294814.703765307</v>
      </c>
      <c r="E17" s="299">
        <f>'AyC Panama'!W92</f>
        <v>10289840.199259054</v>
      </c>
      <c r="F17" s="299">
        <f>'AyC Panama'!W93</f>
        <v>2525260.1016052961</v>
      </c>
      <c r="G17" s="299">
        <f>'AyC Panama'!W94</f>
        <v>3175989.895677404</v>
      </c>
      <c r="H17" s="44">
        <v>180.9</v>
      </c>
      <c r="I17" s="72">
        <v>187806</v>
      </c>
      <c r="J17" s="94">
        <v>169956.7</v>
      </c>
      <c r="K17" s="94">
        <v>912099.8</v>
      </c>
      <c r="L17" s="94">
        <f t="shared" si="4"/>
        <v>1082056.5</v>
      </c>
      <c r="M17" s="94">
        <f>3628.22*I17</f>
        <v>681401485.31999993</v>
      </c>
      <c r="N17" s="44">
        <f>22.95*I17</f>
        <v>4310147.7</v>
      </c>
      <c r="O17" s="44">
        <v>426</v>
      </c>
      <c r="P17" s="17">
        <f t="shared" si="5"/>
        <v>0.15706823072547507</v>
      </c>
    </row>
    <row r="20" spans="1:16">
      <c r="A20" s="44" t="s">
        <v>1442</v>
      </c>
    </row>
    <row r="21" spans="1:16">
      <c r="A21" s="44" t="s">
        <v>203</v>
      </c>
    </row>
    <row r="22" spans="1:16">
      <c r="A22" s="44"/>
      <c r="B22" s="44"/>
      <c r="C22" s="44"/>
      <c r="D22" s="44"/>
      <c r="E22" s="44"/>
    </row>
    <row r="23" spans="1:16">
      <c r="A23" s="44" t="s">
        <v>1589</v>
      </c>
      <c r="B23" s="91">
        <v>2021</v>
      </c>
      <c r="C23" s="91">
        <v>2022</v>
      </c>
      <c r="D23" s="91">
        <v>2023</v>
      </c>
      <c r="E23" s="91">
        <v>2024</v>
      </c>
    </row>
    <row r="24" spans="1:16">
      <c r="A24" s="44" t="s">
        <v>1590</v>
      </c>
      <c r="B24" s="72">
        <v>442907</v>
      </c>
      <c r="C24" s="72">
        <v>459403</v>
      </c>
      <c r="D24" s="72">
        <v>473986</v>
      </c>
      <c r="E24" s="72">
        <v>490783</v>
      </c>
    </row>
    <row r="25" spans="1:16">
      <c r="A25" s="44" t="s">
        <v>1591</v>
      </c>
      <c r="B25" s="72">
        <v>67093</v>
      </c>
      <c r="C25" s="72">
        <v>72214</v>
      </c>
      <c r="D25" s="72">
        <v>76849</v>
      </c>
      <c r="E25" s="72">
        <v>71067</v>
      </c>
    </row>
    <row r="26" spans="1:16">
      <c r="A26" s="44" t="s">
        <v>1329</v>
      </c>
    </row>
    <row r="27" spans="1:16">
      <c r="A27" s="44" t="s">
        <v>1592</v>
      </c>
      <c r="B27" s="44">
        <v>9.14</v>
      </c>
      <c r="C27" s="44">
        <v>7.55</v>
      </c>
      <c r="D27" s="44">
        <v>11.86</v>
      </c>
      <c r="E27" s="44">
        <v>9.06</v>
      </c>
    </row>
    <row r="28" spans="1:16">
      <c r="A28" s="44" t="s">
        <v>1593</v>
      </c>
      <c r="B28" s="44">
        <v>11.97</v>
      </c>
      <c r="C28" s="44">
        <v>10.6</v>
      </c>
      <c r="D28" s="44">
        <v>14.26</v>
      </c>
      <c r="E28" s="44">
        <v>10.83</v>
      </c>
    </row>
    <row r="29" spans="1:16">
      <c r="A29" s="44" t="s">
        <v>1591</v>
      </c>
      <c r="B29" s="44">
        <v>21.9</v>
      </c>
      <c r="C29" s="44">
        <v>19.059999999999999</v>
      </c>
      <c r="D29" s="44">
        <v>24.64</v>
      </c>
      <c r="E29" s="44">
        <v>31.7</v>
      </c>
    </row>
    <row r="30" spans="1:16">
      <c r="A30" s="44" t="s">
        <v>1594</v>
      </c>
      <c r="B30" s="44">
        <v>47.41</v>
      </c>
      <c r="C30" s="44">
        <v>51.2</v>
      </c>
      <c r="D30" s="44">
        <v>63.82</v>
      </c>
      <c r="E30" s="44">
        <v>65.98</v>
      </c>
    </row>
    <row r="31" spans="1:16">
      <c r="A31" s="44" t="s">
        <v>1595</v>
      </c>
      <c r="B31" s="44">
        <v>93.79</v>
      </c>
      <c r="C31" s="44">
        <v>90.61</v>
      </c>
      <c r="D31" s="44">
        <v>109.73</v>
      </c>
      <c r="E31" s="44">
        <v>125.86</v>
      </c>
    </row>
    <row r="33" spans="1:5">
      <c r="A33" s="44" t="s">
        <v>203</v>
      </c>
      <c r="B33" s="72">
        <f t="shared" ref="B33:E33" si="6">B24*AVERAGE(B27:B28)*60+B25*B29</f>
        <v>281962339.79999995</v>
      </c>
      <c r="C33" s="72">
        <f t="shared" si="6"/>
        <v>251521332.33999997</v>
      </c>
      <c r="D33" s="72">
        <f t="shared" si="6"/>
        <v>373308988.95999998</v>
      </c>
      <c r="E33" s="72">
        <f t="shared" si="6"/>
        <v>295103040</v>
      </c>
    </row>
    <row r="34" spans="1:5">
      <c r="A34" s="44" t="s">
        <v>1596</v>
      </c>
      <c r="B34" s="94">
        <f t="shared" ref="B34:E34" si="7">B33/(B24+B25)</f>
        <v>552.86733294117641</v>
      </c>
      <c r="C34" s="94">
        <f t="shared" si="7"/>
        <v>473.12507376551162</v>
      </c>
      <c r="D34" s="94">
        <f t="shared" si="7"/>
        <v>677.7147221218695</v>
      </c>
      <c r="E34" s="94">
        <f t="shared" si="7"/>
        <v>525.23456438551216</v>
      </c>
    </row>
    <row r="36" spans="1:5">
      <c r="A36" s="44" t="s">
        <v>1592</v>
      </c>
      <c r="B36" s="44">
        <v>6.78</v>
      </c>
      <c r="C36" s="44">
        <v>6.75</v>
      </c>
      <c r="D36" s="44">
        <v>9.49</v>
      </c>
      <c r="E36" s="44">
        <v>7.32</v>
      </c>
    </row>
    <row r="37" spans="1:5">
      <c r="A37" s="44" t="s">
        <v>1593</v>
      </c>
      <c r="B37" s="44">
        <v>9.2799999999999994</v>
      </c>
      <c r="C37" s="44">
        <v>10.07</v>
      </c>
      <c r="D37" s="44">
        <v>13.41</v>
      </c>
      <c r="E37" s="44">
        <v>10.32</v>
      </c>
    </row>
    <row r="38" spans="1:5">
      <c r="A38" s="44" t="s">
        <v>1591</v>
      </c>
      <c r="B38" s="44">
        <v>13.85</v>
      </c>
      <c r="C38" s="44">
        <v>14.64</v>
      </c>
      <c r="D38" s="44">
        <v>15.39</v>
      </c>
      <c r="E38" s="44">
        <v>18.43</v>
      </c>
    </row>
    <row r="39" spans="1:5">
      <c r="A39" s="44" t="s">
        <v>1594</v>
      </c>
      <c r="B39" s="44">
        <v>17.72</v>
      </c>
      <c r="C39" s="44">
        <v>22.35</v>
      </c>
      <c r="D39" s="44">
        <v>23.3</v>
      </c>
      <c r="E39" s="44">
        <v>25.83</v>
      </c>
    </row>
    <row r="40" spans="1:5">
      <c r="A40" s="44" t="s">
        <v>1595</v>
      </c>
      <c r="B40" s="44">
        <v>26.45</v>
      </c>
      <c r="C40" s="44">
        <v>29.3</v>
      </c>
      <c r="D40" s="44">
        <v>34.89</v>
      </c>
      <c r="E40" s="44">
        <v>42.06</v>
      </c>
    </row>
    <row r="42" spans="1:5">
      <c r="A42" s="44" t="s">
        <v>204</v>
      </c>
      <c r="B42" s="72">
        <f t="shared" ref="B42:E42" si="8">B24*AVERAGE(B36:B37)+B25*B38</f>
        <v>4485781.26</v>
      </c>
      <c r="C42" s="72">
        <f t="shared" si="8"/>
        <v>4920792.1899999995</v>
      </c>
      <c r="D42" s="72">
        <f t="shared" si="8"/>
        <v>6609845.8099999996</v>
      </c>
      <c r="E42" s="72">
        <f t="shared" si="8"/>
        <v>5638470.870000001</v>
      </c>
    </row>
    <row r="43" spans="1:5">
      <c r="A43" s="44" t="s">
        <v>1597</v>
      </c>
      <c r="B43" s="94">
        <f t="shared" ref="B43:E43" si="9">B42/(B24+B25)</f>
        <v>8.7956495294117651</v>
      </c>
      <c r="C43" s="94">
        <f t="shared" si="9"/>
        <v>9.2562732004431751</v>
      </c>
      <c r="D43" s="94">
        <f t="shared" si="9"/>
        <v>11.999683771002205</v>
      </c>
      <c r="E43" s="94">
        <f t="shared" si="9"/>
        <v>10.035544842929609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ET42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4.453125" defaultRowHeight="15" customHeight="1"/>
  <cols>
    <col min="2" max="2" width="33.453125" customWidth="1"/>
    <col min="3" max="3" width="9.26953125" customWidth="1"/>
    <col min="72" max="72" width="9.08984375" customWidth="1"/>
    <col min="73" max="73" width="15.453125" customWidth="1"/>
    <col min="84" max="84" width="7" customWidth="1"/>
    <col min="85" max="89" width="10.08984375" customWidth="1"/>
    <col min="90" max="98" width="7.26953125" customWidth="1"/>
    <col min="102" max="103" width="7.26953125" customWidth="1"/>
    <col min="111" max="130" width="7.26953125" customWidth="1"/>
    <col min="131" max="132" width="14.81640625" customWidth="1"/>
    <col min="133" max="134" width="13.453125" customWidth="1"/>
    <col min="135" max="135" width="13.08984375" customWidth="1"/>
    <col min="136" max="136" width="13.81640625" customWidth="1"/>
    <col min="137" max="137" width="9.08984375" customWidth="1"/>
    <col min="138" max="138" width="10.453125" customWidth="1"/>
    <col min="139" max="139" width="11.7265625" customWidth="1"/>
    <col min="140" max="150" width="10.81640625" customWidth="1"/>
  </cols>
  <sheetData>
    <row r="1" spans="1:150" ht="57" customHeight="1">
      <c r="A1" s="61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62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868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62" t="s">
        <v>869</v>
      </c>
      <c r="BT1" s="63"/>
      <c r="BW1" s="7"/>
      <c r="CF1" s="27"/>
      <c r="CK1" s="9" t="s">
        <v>70</v>
      </c>
      <c r="CL1" s="10">
        <f>'Indices y Outliers'!I6</f>
        <v>3668.8997402490181</v>
      </c>
      <c r="CM1" s="10">
        <f>'Indices y Outliers'!I34</f>
        <v>21.958792364033982</v>
      </c>
      <c r="CN1" s="10">
        <f>'Indices y Outliers'!I62</f>
        <v>616.94510029575417</v>
      </c>
      <c r="CO1" s="10">
        <f>'Indices y Outliers'!I90</f>
        <v>631.12094581888914</v>
      </c>
      <c r="CP1" s="11">
        <f>'Indices y Outliers'!I118</f>
        <v>0.26165922889278753</v>
      </c>
      <c r="CQ1" s="12"/>
      <c r="CR1" s="13"/>
      <c r="CT1" s="14"/>
      <c r="CU1" s="15" t="s">
        <v>71</v>
      </c>
      <c r="CW1" s="15" t="s">
        <v>72</v>
      </c>
      <c r="CX1" s="16">
        <v>0.4</v>
      </c>
      <c r="CY1" s="17"/>
      <c r="CZ1" s="15" t="s">
        <v>73</v>
      </c>
      <c r="DA1" s="15"/>
      <c r="DB1" s="18"/>
      <c r="DC1" s="18"/>
      <c r="DD1" s="15"/>
      <c r="DE1" s="15"/>
      <c r="DF1" s="18"/>
      <c r="DG1" s="14"/>
      <c r="DH1" s="19" t="s">
        <v>74</v>
      </c>
      <c r="DI1" s="15"/>
      <c r="DJ1" s="20" t="s">
        <v>75</v>
      </c>
      <c r="DK1" s="21">
        <v>44926</v>
      </c>
      <c r="DL1" s="20" t="s">
        <v>76</v>
      </c>
      <c r="DM1" s="21">
        <v>45473</v>
      </c>
      <c r="DN1" s="20" t="s">
        <v>77</v>
      </c>
      <c r="DO1" s="22">
        <f>VLOOKUP(MONTH(DM1)&amp;"_"&amp;YEAR(DM1),'CPI USA'!$T:$U,2,FALSE)</f>
        <v>314.17500000000001</v>
      </c>
      <c r="DP1" s="20" t="s">
        <v>78</v>
      </c>
      <c r="DQ1" s="22">
        <f>VLOOKUP(MONTH(DM1)&amp;"_"&amp;YEAR(DM1),'PPI USA'!$S:$T,2,FALSE)</f>
        <v>265.63200000000001</v>
      </c>
      <c r="DR1" s="19" t="s">
        <v>79</v>
      </c>
      <c r="DS1" s="16">
        <v>0.8</v>
      </c>
      <c r="DT1" s="19" t="s">
        <v>80</v>
      </c>
      <c r="DU1" s="16"/>
      <c r="DV1" s="16">
        <v>0.9</v>
      </c>
      <c r="DW1" s="7"/>
      <c r="DX1" s="7" t="s">
        <v>81</v>
      </c>
      <c r="DY1" s="12">
        <v>0.2</v>
      </c>
      <c r="DZ1" s="14"/>
      <c r="EA1" s="7" t="s">
        <v>82</v>
      </c>
      <c r="EC1" s="12"/>
      <c r="ED1" s="12"/>
      <c r="EE1" s="12"/>
      <c r="EF1" s="12"/>
      <c r="EG1" s="6" t="s">
        <v>45</v>
      </c>
      <c r="EH1" s="12"/>
      <c r="EI1" s="12"/>
      <c r="EJ1" s="6" t="s">
        <v>154</v>
      </c>
      <c r="EK1" s="7" t="s">
        <v>870</v>
      </c>
      <c r="EL1" s="7"/>
      <c r="EM1" s="7"/>
      <c r="EN1" s="7"/>
      <c r="EO1" s="28"/>
      <c r="EP1" s="23"/>
      <c r="EQ1" s="23"/>
      <c r="ER1" s="23"/>
      <c r="ES1" s="23"/>
      <c r="ET1" s="32"/>
    </row>
    <row r="2" spans="1:150" ht="37.5" customHeight="1">
      <c r="A2" s="64" t="s">
        <v>0</v>
      </c>
      <c r="B2" s="26" t="s">
        <v>871</v>
      </c>
      <c r="C2" s="26" t="s">
        <v>2</v>
      </c>
      <c r="D2" s="26" t="s">
        <v>83</v>
      </c>
      <c r="E2" s="26" t="s">
        <v>84</v>
      </c>
      <c r="F2" s="26" t="s">
        <v>85</v>
      </c>
      <c r="G2" s="26" t="s">
        <v>86</v>
      </c>
      <c r="H2" s="26" t="s">
        <v>87</v>
      </c>
      <c r="I2" s="26" t="s">
        <v>88</v>
      </c>
      <c r="J2" s="26" t="s">
        <v>89</v>
      </c>
      <c r="K2" s="26" t="s">
        <v>90</v>
      </c>
      <c r="L2" s="26" t="s">
        <v>91</v>
      </c>
      <c r="M2" s="26" t="s">
        <v>92</v>
      </c>
      <c r="N2" s="26" t="s">
        <v>93</v>
      </c>
      <c r="O2" s="26" t="s">
        <v>94</v>
      </c>
      <c r="P2" s="26" t="s">
        <v>95</v>
      </c>
      <c r="Q2" s="26" t="s">
        <v>96</v>
      </c>
      <c r="R2" s="26" t="s">
        <v>97</v>
      </c>
      <c r="S2" s="26" t="s">
        <v>98</v>
      </c>
      <c r="T2" s="26" t="s">
        <v>99</v>
      </c>
      <c r="U2" s="26" t="s">
        <v>100</v>
      </c>
      <c r="V2" s="26" t="s">
        <v>101</v>
      </c>
      <c r="W2" s="26" t="s">
        <v>102</v>
      </c>
      <c r="X2" s="26" t="s">
        <v>23</v>
      </c>
      <c r="Y2" s="26" t="s">
        <v>103</v>
      </c>
      <c r="Z2" s="26" t="s">
        <v>104</v>
      </c>
      <c r="AA2" s="26" t="s">
        <v>105</v>
      </c>
      <c r="AB2" s="26" t="s">
        <v>106</v>
      </c>
      <c r="AC2" s="26" t="s">
        <v>107</v>
      </c>
      <c r="AD2" s="26" t="s">
        <v>108</v>
      </c>
      <c r="AE2" s="26" t="s">
        <v>30</v>
      </c>
      <c r="AF2" s="26" t="s">
        <v>109</v>
      </c>
      <c r="AG2" s="26" t="s">
        <v>110</v>
      </c>
      <c r="AH2" s="26" t="s">
        <v>111</v>
      </c>
      <c r="AI2" s="26" t="s">
        <v>112</v>
      </c>
      <c r="AJ2" s="26" t="s">
        <v>113</v>
      </c>
      <c r="AK2" s="26" t="s">
        <v>114</v>
      </c>
      <c r="AL2" s="26" t="s">
        <v>115</v>
      </c>
      <c r="AM2" s="26" t="s">
        <v>116</v>
      </c>
      <c r="AN2" s="26" t="s">
        <v>117</v>
      </c>
      <c r="AO2" s="26" t="s">
        <v>118</v>
      </c>
      <c r="AP2" s="26" t="s">
        <v>119</v>
      </c>
      <c r="AQ2" s="26" t="s">
        <v>120</v>
      </c>
      <c r="AR2" s="26" t="s">
        <v>121</v>
      </c>
      <c r="AS2" s="26" t="s">
        <v>122</v>
      </c>
      <c r="AT2" s="26" t="s">
        <v>123</v>
      </c>
      <c r="AU2" s="26" t="s">
        <v>124</v>
      </c>
      <c r="AV2" s="26" t="s">
        <v>46</v>
      </c>
      <c r="AW2" s="26" t="s">
        <v>125</v>
      </c>
      <c r="AX2" s="26" t="s">
        <v>126</v>
      </c>
      <c r="AY2" s="26" t="s">
        <v>127</v>
      </c>
      <c r="AZ2" s="26" t="s">
        <v>128</v>
      </c>
      <c r="BA2" s="26" t="s">
        <v>129</v>
      </c>
      <c r="BB2" s="26" t="s">
        <v>130</v>
      </c>
      <c r="BC2" s="26" t="s">
        <v>131</v>
      </c>
      <c r="BD2" s="26" t="s">
        <v>132</v>
      </c>
      <c r="BE2" s="26" t="s">
        <v>133</v>
      </c>
      <c r="BF2" s="26" t="s">
        <v>134</v>
      </c>
      <c r="BG2" s="26" t="s">
        <v>135</v>
      </c>
      <c r="BH2" s="26" t="s">
        <v>136</v>
      </c>
      <c r="BI2" s="26" t="s">
        <v>137</v>
      </c>
      <c r="BJ2" s="26" t="s">
        <v>138</v>
      </c>
      <c r="BK2" s="26" t="s">
        <v>139</v>
      </c>
      <c r="BL2" s="26" t="s">
        <v>62</v>
      </c>
      <c r="BM2" s="26" t="s">
        <v>140</v>
      </c>
      <c r="BN2" s="26" t="s">
        <v>141</v>
      </c>
      <c r="BO2" s="26" t="s">
        <v>142</v>
      </c>
      <c r="BP2" s="26" t="s">
        <v>143</v>
      </c>
      <c r="BQ2" s="26" t="s">
        <v>144</v>
      </c>
      <c r="BR2" s="26" t="s">
        <v>145</v>
      </c>
      <c r="BS2" s="26" t="s">
        <v>146</v>
      </c>
      <c r="BT2" s="63"/>
      <c r="BU2" s="7" t="s">
        <v>147</v>
      </c>
      <c r="BV2" s="7" t="s">
        <v>45</v>
      </c>
      <c r="BW2" s="7" t="s">
        <v>148</v>
      </c>
      <c r="BX2" s="7" t="s">
        <v>149</v>
      </c>
      <c r="BY2" s="7" t="s">
        <v>150</v>
      </c>
      <c r="BZ2" s="7" t="s">
        <v>151</v>
      </c>
      <c r="CA2" s="7" t="s">
        <v>152</v>
      </c>
      <c r="CB2" s="7" t="s">
        <v>153</v>
      </c>
      <c r="CC2" s="7" t="s">
        <v>154</v>
      </c>
      <c r="CD2" s="7" t="s">
        <v>155</v>
      </c>
      <c r="CE2" s="7" t="s">
        <v>156</v>
      </c>
      <c r="CF2" s="27"/>
      <c r="CG2" s="28" t="s">
        <v>157</v>
      </c>
      <c r="CH2" s="28" t="s">
        <v>158</v>
      </c>
      <c r="CI2" s="28" t="s">
        <v>159</v>
      </c>
      <c r="CJ2" s="28" t="s">
        <v>160</v>
      </c>
      <c r="CK2" s="7" t="s">
        <v>161</v>
      </c>
      <c r="CL2" s="29" t="s">
        <v>162</v>
      </c>
      <c r="CM2" s="29" t="s">
        <v>162</v>
      </c>
      <c r="CN2" s="29" t="s">
        <v>162</v>
      </c>
      <c r="CO2" s="29" t="s">
        <v>162</v>
      </c>
      <c r="CP2" s="29" t="s">
        <v>162</v>
      </c>
      <c r="CQ2" s="29" t="s">
        <v>163</v>
      </c>
      <c r="CR2" s="13"/>
      <c r="CS2" s="7" t="s">
        <v>164</v>
      </c>
      <c r="CT2" s="30"/>
      <c r="CU2" s="6" t="s">
        <v>165</v>
      </c>
      <c r="CV2" s="6" t="s">
        <v>166</v>
      </c>
      <c r="CW2" s="6" t="s">
        <v>167</v>
      </c>
      <c r="CX2" s="23" t="s">
        <v>168</v>
      </c>
      <c r="CY2" s="23" t="s">
        <v>169</v>
      </c>
      <c r="CZ2" s="6" t="s">
        <v>170</v>
      </c>
      <c r="DA2" s="6" t="s">
        <v>171</v>
      </c>
      <c r="DB2" s="6" t="s">
        <v>172</v>
      </c>
      <c r="DC2" s="6" t="s">
        <v>173</v>
      </c>
      <c r="DD2" s="6" t="s">
        <v>174</v>
      </c>
      <c r="DE2" s="6" t="s">
        <v>175</v>
      </c>
      <c r="DF2" s="6" t="s">
        <v>176</v>
      </c>
      <c r="DG2" s="31"/>
      <c r="DH2" s="32" t="s">
        <v>177</v>
      </c>
      <c r="DI2" s="6" t="s">
        <v>178</v>
      </c>
      <c r="DJ2" s="32" t="s">
        <v>179</v>
      </c>
      <c r="DK2" s="32" t="s">
        <v>180</v>
      </c>
      <c r="DL2" s="32" t="s">
        <v>181</v>
      </c>
      <c r="DM2" s="32" t="s">
        <v>182</v>
      </c>
      <c r="DN2" s="33" t="s">
        <v>183</v>
      </c>
      <c r="DO2" s="34" t="s">
        <v>184</v>
      </c>
      <c r="DP2" s="32" t="s">
        <v>185</v>
      </c>
      <c r="DQ2" s="33" t="s">
        <v>186</v>
      </c>
      <c r="DR2" s="32" t="s">
        <v>187</v>
      </c>
      <c r="DS2" s="32" t="s">
        <v>188</v>
      </c>
      <c r="DT2" s="35" t="s">
        <v>189</v>
      </c>
      <c r="DU2" s="32" t="s">
        <v>190</v>
      </c>
      <c r="DV2" s="32" t="s">
        <v>191</v>
      </c>
      <c r="DW2" s="32" t="s">
        <v>192</v>
      </c>
      <c r="DX2" s="32" t="s">
        <v>193</v>
      </c>
      <c r="DY2" s="36" t="s">
        <v>194</v>
      </c>
      <c r="DZ2" s="31"/>
      <c r="EA2" s="37" t="s">
        <v>0</v>
      </c>
      <c r="EB2" s="37" t="s">
        <v>170</v>
      </c>
      <c r="EC2" s="37" t="s">
        <v>171</v>
      </c>
      <c r="ED2" s="37" t="s">
        <v>195</v>
      </c>
      <c r="EE2" s="37" t="s">
        <v>196</v>
      </c>
      <c r="EF2" s="37" t="s">
        <v>197</v>
      </c>
      <c r="EG2" s="38" t="s">
        <v>198</v>
      </c>
      <c r="EH2" s="38" t="s">
        <v>199</v>
      </c>
      <c r="EI2" s="38" t="s">
        <v>200</v>
      </c>
      <c r="EJ2" s="38" t="s">
        <v>201</v>
      </c>
      <c r="EK2" s="38" t="s">
        <v>202</v>
      </c>
      <c r="EL2" s="38" t="s">
        <v>203</v>
      </c>
      <c r="EM2" s="38" t="s">
        <v>204</v>
      </c>
      <c r="EN2" s="38" t="s">
        <v>205</v>
      </c>
      <c r="EO2" s="65" t="s">
        <v>206</v>
      </c>
      <c r="EP2" s="39" t="s">
        <v>207</v>
      </c>
      <c r="EQ2" s="39" t="s">
        <v>208</v>
      </c>
      <c r="ER2" s="39" t="s">
        <v>209</v>
      </c>
      <c r="ES2" s="39"/>
      <c r="ET2" s="39"/>
    </row>
    <row r="3" spans="1:150" ht="14.5">
      <c r="A3" s="7" t="s">
        <v>210</v>
      </c>
      <c r="B3" s="7" t="s">
        <v>211</v>
      </c>
      <c r="C3" s="32" t="s">
        <v>872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f>IFERROR(VLOOKUP(A3,'Trans 21-23'!$A$2:$J$229,8,0),0)</f>
        <v>0</v>
      </c>
      <c r="Y3" s="42">
        <v>0</v>
      </c>
      <c r="Z3" s="42">
        <v>0</v>
      </c>
      <c r="AA3" s="42">
        <v>4398553</v>
      </c>
      <c r="AB3" s="42">
        <v>2918532</v>
      </c>
      <c r="AC3" s="42">
        <v>0</v>
      </c>
      <c r="AD3" s="42">
        <v>61217232</v>
      </c>
      <c r="AE3" s="42">
        <v>0</v>
      </c>
      <c r="AF3" s="42">
        <v>183499169</v>
      </c>
      <c r="AG3" s="42">
        <v>0</v>
      </c>
      <c r="AH3" s="42">
        <v>0</v>
      </c>
      <c r="AI3" s="42">
        <v>0</v>
      </c>
      <c r="AJ3" s="42">
        <v>0</v>
      </c>
      <c r="AK3" s="42">
        <v>0</v>
      </c>
      <c r="AL3" s="42">
        <v>0</v>
      </c>
      <c r="AM3" s="42">
        <v>0</v>
      </c>
      <c r="AN3" s="42">
        <v>0</v>
      </c>
      <c r="AO3" s="42">
        <v>0</v>
      </c>
      <c r="AP3" s="42">
        <v>0</v>
      </c>
      <c r="AQ3" s="42">
        <v>0</v>
      </c>
      <c r="AR3" s="42">
        <v>0</v>
      </c>
      <c r="AS3" s="42">
        <v>0</v>
      </c>
      <c r="AT3" s="42">
        <v>0</v>
      </c>
      <c r="AU3" s="42">
        <v>0</v>
      </c>
      <c r="AV3" s="42">
        <v>0</v>
      </c>
      <c r="AW3" s="42">
        <v>0</v>
      </c>
      <c r="AX3" s="42">
        <v>0</v>
      </c>
      <c r="AY3" s="42">
        <v>0</v>
      </c>
      <c r="AZ3" s="42">
        <v>0</v>
      </c>
      <c r="BA3" s="42">
        <v>0</v>
      </c>
      <c r="BB3" s="42">
        <v>0</v>
      </c>
      <c r="BC3" s="42">
        <v>445600781</v>
      </c>
      <c r="BD3" s="42">
        <v>14150885</v>
      </c>
      <c r="BE3" s="42">
        <v>0</v>
      </c>
      <c r="BF3" s="42">
        <v>0</v>
      </c>
      <c r="BG3" s="42">
        <v>0</v>
      </c>
      <c r="BH3" s="42">
        <v>0</v>
      </c>
      <c r="BI3" s="42">
        <v>6210604</v>
      </c>
      <c r="BJ3" s="42">
        <v>2684500</v>
      </c>
      <c r="BK3" s="42">
        <v>0</v>
      </c>
      <c r="BL3" s="42">
        <v>0</v>
      </c>
      <c r="BM3" s="42">
        <v>23799772</v>
      </c>
      <c r="BN3" s="42">
        <v>94438122</v>
      </c>
      <c r="BO3" s="42">
        <v>0</v>
      </c>
      <c r="BP3" s="42">
        <v>686052</v>
      </c>
      <c r="BQ3" s="42">
        <v>100017884</v>
      </c>
      <c r="BR3" s="42">
        <v>0</v>
      </c>
      <c r="BS3" s="42">
        <f>IFERROR(VLOOKUP(A3,'Trans 21-23'!$A$2:$J$229,7,0),0)</f>
        <v>0</v>
      </c>
      <c r="BT3" s="63"/>
      <c r="BU3" s="32">
        <f t="shared" ref="BU3:BU212" si="0">BB3</f>
        <v>0</v>
      </c>
      <c r="BV3" s="32">
        <f t="shared" ref="BV3:BV212" si="1">AU3</f>
        <v>0</v>
      </c>
      <c r="BW3" s="32">
        <f t="shared" ref="BW3:BW212" si="2">AG3</f>
        <v>0</v>
      </c>
      <c r="BX3" s="32">
        <f t="shared" ref="BX3:BX212" si="3">SUM(I3:W3)</f>
        <v>0</v>
      </c>
      <c r="BY3" s="32">
        <f t="shared" ref="BY3:BY212" si="4">SUM(Y3:AC3)</f>
        <v>7317085</v>
      </c>
      <c r="BZ3" s="32">
        <f t="shared" ref="BZ3:BZ212" si="5">AZ3</f>
        <v>0</v>
      </c>
      <c r="CA3" s="32">
        <f t="shared" ref="CA3:CA212" si="6">AD3</f>
        <v>61217232</v>
      </c>
      <c r="CB3" s="32">
        <f t="shared" ref="CB3:CB212" si="7">AH3</f>
        <v>0</v>
      </c>
      <c r="CC3" s="32">
        <f t="shared" ref="CC3:CC212" si="8">AQ3</f>
        <v>0</v>
      </c>
      <c r="CD3" s="42">
        <f t="shared" ref="CD3:CD60" si="9">IF(OR(BU3&lt;=0,BV3&lt;=0,BW3&lt;=0,BX3&lt;=0,BY3&lt;=0,BZ3&lt;=0,CA3&lt;=0,CB3&lt;=0,CC3&lt;=0,DH3="-"),0,1)</f>
        <v>0</v>
      </c>
      <c r="CE3" s="44">
        <f t="shared" ref="CE3:CE212" si="10">COUNTIF(D3:BS3,0)</f>
        <v>56</v>
      </c>
      <c r="CF3" s="27"/>
      <c r="CG3" s="28" t="str">
        <f t="shared" ref="CG3:CG212" si="11">IF(CD3=1,BU3/BV3/1000,"")</f>
        <v/>
      </c>
      <c r="CH3" s="28" t="str">
        <f t="shared" ref="CH3:CH212" si="12">IF(CD3=1,BV3*1000/BW3,"")</f>
        <v/>
      </c>
      <c r="CI3" s="28" t="str">
        <f t="shared" ref="CI3:CI212" si="13">IF(CD3=1,BX3/BW3,"")</f>
        <v/>
      </c>
      <c r="CJ3" s="28" t="str">
        <f t="shared" ref="CJ3:CJ212" si="14">IF(CD3=1,BZ3/BW3,"")</f>
        <v/>
      </c>
      <c r="CK3" s="23" t="str">
        <f t="shared" ref="CK3:CK212" si="15">IF(CD3=1,CB3/CC3,"")</f>
        <v/>
      </c>
      <c r="CL3" s="29" t="str">
        <f t="shared" ref="CL3:CL220" si="16">IF(AND(CG3&gt;$CL$1,CG3&lt;&gt;""),1,"")</f>
        <v/>
      </c>
      <c r="CM3" s="29" t="str">
        <f t="shared" ref="CM3:CM220" si="17">IF(AND(CH3&gt;$CM$1,CH3&lt;&gt;""),1,"")</f>
        <v/>
      </c>
      <c r="CN3" s="29" t="str">
        <f t="shared" ref="CN3:CN220" si="18">IF(AND(CI3&gt;$CN$1,CI3&lt;&gt;""),1,"")</f>
        <v/>
      </c>
      <c r="CO3" s="29" t="str">
        <f t="shared" ref="CO3:CO220" si="19">IF(AND(CJ3&gt;$CO$1,CJ3&lt;&gt;""),1,"")</f>
        <v/>
      </c>
      <c r="CP3" s="29" t="str">
        <f t="shared" ref="CP3:CP220" si="20">IF(AND(CK3&gt;$CP$1,CK3&lt;&gt;""),1,"")</f>
        <v/>
      </c>
      <c r="CQ3" s="29" t="str">
        <f t="shared" ref="CQ3:CQ220" si="21">IF(CD3=1,SUM(CL3:CP3),"")</f>
        <v/>
      </c>
      <c r="CR3" s="13"/>
      <c r="CS3" s="7" t="str">
        <f>VLOOKUP(A3,'Empresas 21-23'!$A$2:$M$228,13,0)</f>
        <v/>
      </c>
      <c r="CT3" s="30"/>
      <c r="CU3" s="6">
        <f t="shared" ref="CU3:CU212" si="22">BB3-AZ3-BA3+BS3-(1-$CX$1)*(AX3+AY3)</f>
        <v>0</v>
      </c>
      <c r="CV3" s="6">
        <f t="shared" ref="CV3:CV212" si="23">AZ3</f>
        <v>0</v>
      </c>
      <c r="CW3" s="6">
        <f t="shared" ref="CW3:CW212" si="24">BD3</f>
        <v>14150885</v>
      </c>
      <c r="CX3" s="23">
        <f t="shared" ref="CX3:CX46" si="25">CU3/(BC3-BD3)</f>
        <v>0</v>
      </c>
      <c r="CY3" s="23">
        <f t="shared" ref="CY3:CY46" si="26">CV3/(BC3-BD3)</f>
        <v>0</v>
      </c>
      <c r="CZ3" s="6">
        <f t="shared" ref="CZ3:CZ212" si="27">CU3+CW3*CX3</f>
        <v>0</v>
      </c>
      <c r="DA3" s="6">
        <f t="shared" ref="DA3:DA212" si="28">CV3+CW3*CY3</f>
        <v>0</v>
      </c>
      <c r="DB3" s="6">
        <f t="shared" ref="DB3:DB212" si="29">BX3</f>
        <v>0</v>
      </c>
      <c r="DC3" s="6">
        <f t="shared" ref="DC3:DC212" si="30">DB3+X3</f>
        <v>0</v>
      </c>
      <c r="DD3" s="6">
        <f t="shared" ref="DD3:DD212" si="31">BY3</f>
        <v>7317085</v>
      </c>
      <c r="DE3" s="6">
        <f t="shared" ref="DE3:DE212" si="32">AD3</f>
        <v>61217232</v>
      </c>
      <c r="DF3" s="6">
        <f t="shared" ref="DF3:DF124" si="33">DE3*(DC3+DD3)/(AF3-AD3-F3-H3-E3-D3)</f>
        <v>3663105.9418752911</v>
      </c>
      <c r="DG3" s="30"/>
      <c r="DH3" s="32" t="str">
        <f>VLOOKUP(A3,'T_med_comp-USA'!$A$7:$Q$233,17,0)</f>
        <v>-</v>
      </c>
      <c r="DI3" s="6" t="str">
        <f t="shared" ref="DI3:DI212" si="34">IFERROR(MONTH($DK$1-365*DH3)&amp;"_"&amp;YEAR($DK$1-365*DH3),"")</f>
        <v/>
      </c>
      <c r="DJ3" s="32" t="str">
        <f>IF(DI3="","",VLOOKUP(DI3,'CPI USA'!$T:$U,2,FALSE))</f>
        <v/>
      </c>
      <c r="DK3" s="32" t="str">
        <f>IF(DI3="","",VLOOKUP(DI3,'PPI USA'!$S:$T,2,FALSE))</f>
        <v/>
      </c>
      <c r="DL3" s="32" t="str">
        <f>IF(DI3="","",VLOOKUP(DI3,'CPI USA'!$T:$V,3,FALSE))</f>
        <v/>
      </c>
      <c r="DM3" s="32" t="str">
        <f>IF(DI3="","",VLOOKUP(DI3,'CPI USA'!$T:$X,5,FALSE))</f>
        <v/>
      </c>
      <c r="DN3" s="32" t="str">
        <f t="shared" ref="DN3:DN212" si="35">IF(DJ3="","",(DL3*$DO$1/DJ3+(1-DL3)*AVERAGE($DO$1,$DQ$1)/AVERAGE(DJ3,DK3)))</f>
        <v/>
      </c>
      <c r="DO3" s="32" t="str">
        <f t="shared" ref="DO3:DO212" si="36">IF(DJ3="","",(DM3*$DO$1/DJ3+(1-DM3)*AVERAGE($DO$1,$DQ$1)/AVERAGE(DJ3,DK3)))</f>
        <v/>
      </c>
      <c r="DP3" s="32" t="str">
        <f t="shared" ref="DP3:DP212" si="37">IF(BX3=0,"",MAX($DY$1,MIN($DS$1,(BH3+IF(BN3=0,0,(BO3/BN3*BH3)))/BX3)))</f>
        <v/>
      </c>
      <c r="DQ3" s="32" t="str">
        <f>IF(DP3="","",DP3*$DO$1/'CPI USA'!$U$520+(1-DP3)*AVERAGE($DO$1,$DQ$1)/AVERAGE('CPI USA'!$U$520,'PPI USA'!$T$526))</f>
        <v/>
      </c>
      <c r="DR3" s="6">
        <f t="shared" ref="DR3:DR212" si="38">SUM(BI3:BK3)</f>
        <v>8895104</v>
      </c>
      <c r="DS3" s="32">
        <f t="shared" ref="DS3:DS212" si="39">IF(BY3=0,"",MAX($DY$1,MIN($DS$1,(DR3+IF(BN3=0,0,(BO3/BN3*DR3)))/BY3)))</f>
        <v>0.8</v>
      </c>
      <c r="DT3" s="28">
        <f>IF(DS3="","",DS3*$DO$1/'CPI USA'!$U$520+(1-DS3)*AVERAGE($DO$1,$DQ$1)/AVERAGE('CPI USA'!$U$520,'PPI USA'!$T$526))</f>
        <v>1.0652796184204005</v>
      </c>
      <c r="DU3" s="6" t="str">
        <f t="shared" ref="DU3:DU212" si="40">IF(BX3=0,"",(BM3+IF(BN3=0,0,(BO3/BN3*BM3))))</f>
        <v/>
      </c>
      <c r="DV3" s="6">
        <f>IFERROR(IF(BQ3=0,"",BP3/(BQ3-BP3)*BM3),"")</f>
        <v>164377.12716447233</v>
      </c>
      <c r="DW3" s="6">
        <f t="shared" ref="DW3:DW212" si="41">IF(OR(DU3="",DV3=""),0,(DV3+DU3)/BN3*(BH3+DR3))</f>
        <v>0</v>
      </c>
      <c r="DX3" s="16" t="str">
        <f t="shared" ref="DX3:DX212" si="42">IF(OR(DA3=0,DF3="",DF3=0),"",MAX($DY$1,MIN($DV$1,DW3/DF3)))</f>
        <v/>
      </c>
      <c r="DY3" s="28" t="str">
        <f>IF(DX3="","",DX3*$DO$1/'CPI USA'!$U$520+(1-DX3)*AVERAGE($DO$1,$DQ$1)/AVERAGE('CPI USA'!$U$520,'PPI USA'!$T$526))</f>
        <v/>
      </c>
      <c r="DZ3" s="30"/>
      <c r="EA3" s="29" t="str">
        <f t="shared" ref="EA3:EA212" si="43">A3</f>
        <v>C000029</v>
      </c>
      <c r="EB3" s="29" t="str">
        <f t="shared" ref="EB3:EB212" si="44">IF(CD3=1,CZ3*DN3,"")</f>
        <v/>
      </c>
      <c r="EC3" s="29" t="str">
        <f t="shared" ref="EC3:EC212" si="45">IF(CD3=1,DA3*DO3,"")</f>
        <v/>
      </c>
      <c r="ED3" s="29" t="str">
        <f t="shared" ref="ED3:ED212" si="46">IF(CD3=1,DC3*DQ3,"")</f>
        <v/>
      </c>
      <c r="EE3" s="29" t="str">
        <f t="shared" ref="EE3:EE212" si="47">IF(CD3=1,DD3*DT3,"")</f>
        <v/>
      </c>
      <c r="EF3" s="29" t="str">
        <f t="shared" ref="EF3:EF212" si="48">IF(CD3=1,DF3*DY3,"")</f>
        <v/>
      </c>
      <c r="EG3" s="29" t="str">
        <f t="shared" ref="EG3:EG212" si="49">IF(CD3=1,BV3,"")</f>
        <v/>
      </c>
      <c r="EH3" s="29" t="str">
        <f t="shared" ref="EH3:EH212" si="50">IF(CD3=1,BW3,"")</f>
        <v/>
      </c>
      <c r="EI3" s="29" t="str">
        <f t="shared" ref="EI3:EI212" si="51">IF(CD3=1,CB3,"")</f>
        <v/>
      </c>
      <c r="EJ3" s="29" t="str">
        <f t="shared" ref="EJ3:EJ212" si="52">IF(CD3=1,CC3,"")</f>
        <v/>
      </c>
      <c r="EK3" s="29" t="str">
        <f t="shared" ref="EK3:EK212" si="53">IF(CD3=1,AS3+AH3-(AR3+EQ3),"")</f>
        <v/>
      </c>
      <c r="EL3" s="29" t="str">
        <f>IF(CD3=1,VLOOKUP(EA3,'EIA 2022'!$A$2:$J$213,4,0)*EH3,"")</f>
        <v/>
      </c>
      <c r="EM3" s="29" t="str">
        <f>IF(CD3=1,VLOOKUP(EA3,'EIA 2022'!$A$2:$J$213,7,0)*EH3,"")</f>
        <v/>
      </c>
      <c r="EN3" s="29" t="str">
        <f>IF(CD3=1,VLOOKUP(EA3,'EIA 2022'!$A$2:$J$213,10,0),"")</f>
        <v/>
      </c>
      <c r="EO3" s="28" t="str">
        <f>IF(CD3=1,VLOOKUP(EA3,'EIA 2022'!$A$2:$Z$213,26,0),"")</f>
        <v/>
      </c>
      <c r="EP3" s="23" t="str">
        <f t="shared" ref="EP3:EP212" si="54">IF(CD3=1,ER3/EK3,"")</f>
        <v/>
      </c>
      <c r="EQ3" s="32" t="str">
        <f t="shared" ref="EQ3:EQ212" si="55">IF(CD3=1,AR3/(1-1.5%)-AR3,"")</f>
        <v/>
      </c>
      <c r="ER3" s="32" t="str">
        <f t="shared" ref="ER3:ER212" si="56">IF(CD3=1,EI3-EQ3,"")</f>
        <v/>
      </c>
      <c r="ES3" s="32"/>
      <c r="ET3" s="32"/>
    </row>
    <row r="4" spans="1:150" ht="14.5">
      <c r="A4" s="7" t="s">
        <v>213</v>
      </c>
      <c r="B4" s="7" t="s">
        <v>214</v>
      </c>
      <c r="C4" s="32" t="s">
        <v>873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f>IFERROR(VLOOKUP(A4,'Trans 21-23'!$A$2:$J$229,8,0),0)</f>
        <v>0</v>
      </c>
      <c r="Y4" s="42">
        <v>0</v>
      </c>
      <c r="Z4" s="42">
        <v>0</v>
      </c>
      <c r="AA4" s="42">
        <v>0</v>
      </c>
      <c r="AB4" s="42">
        <v>8956478</v>
      </c>
      <c r="AC4" s="42">
        <v>0</v>
      </c>
      <c r="AD4" s="42">
        <v>259766554</v>
      </c>
      <c r="AE4" s="42">
        <v>0</v>
      </c>
      <c r="AF4" s="42">
        <v>341120237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2">
        <v>0</v>
      </c>
      <c r="AR4" s="42">
        <v>0</v>
      </c>
      <c r="AS4" s="42">
        <v>0</v>
      </c>
      <c r="AT4" s="42">
        <v>0</v>
      </c>
      <c r="AU4" s="42">
        <v>0</v>
      </c>
      <c r="AV4" s="42">
        <v>0</v>
      </c>
      <c r="AW4" s="42">
        <v>0</v>
      </c>
      <c r="AX4" s="42">
        <v>0</v>
      </c>
      <c r="AY4" s="42">
        <v>0</v>
      </c>
      <c r="AZ4" s="42">
        <v>0</v>
      </c>
      <c r="BA4" s="42">
        <v>0</v>
      </c>
      <c r="BB4" s="42">
        <v>0</v>
      </c>
      <c r="BC4" s="42">
        <v>904746899</v>
      </c>
      <c r="BD4" s="42">
        <v>239951323</v>
      </c>
      <c r="BE4" s="42">
        <v>0</v>
      </c>
      <c r="BF4" s="42">
        <v>0</v>
      </c>
      <c r="BG4" s="42">
        <v>0</v>
      </c>
      <c r="BH4" s="42">
        <v>0</v>
      </c>
      <c r="BI4" s="42">
        <v>0</v>
      </c>
      <c r="BJ4" s="42">
        <v>6115869</v>
      </c>
      <c r="BK4" s="42">
        <v>0</v>
      </c>
      <c r="BL4" s="42">
        <v>0</v>
      </c>
      <c r="BM4" s="42">
        <v>77828806</v>
      </c>
      <c r="BN4" s="42">
        <v>135838198</v>
      </c>
      <c r="BO4" s="42">
        <v>0</v>
      </c>
      <c r="BP4" s="42">
        <v>0</v>
      </c>
      <c r="BQ4" s="42">
        <v>135838198</v>
      </c>
      <c r="BR4" s="42">
        <v>0</v>
      </c>
      <c r="BS4" s="42">
        <f>IFERROR(VLOOKUP(A4,'Trans 21-23'!$A$2:$J$229,7,0),0)</f>
        <v>0</v>
      </c>
      <c r="BT4" s="63"/>
      <c r="BU4" s="32">
        <f t="shared" si="0"/>
        <v>0</v>
      </c>
      <c r="BV4" s="32">
        <f t="shared" si="1"/>
        <v>0</v>
      </c>
      <c r="BW4" s="32">
        <f t="shared" si="2"/>
        <v>0</v>
      </c>
      <c r="BX4" s="32">
        <f t="shared" si="3"/>
        <v>0</v>
      </c>
      <c r="BY4" s="32">
        <f t="shared" si="4"/>
        <v>8956478</v>
      </c>
      <c r="BZ4" s="32">
        <f t="shared" si="5"/>
        <v>0</v>
      </c>
      <c r="CA4" s="32">
        <f t="shared" si="6"/>
        <v>259766554</v>
      </c>
      <c r="CB4" s="32">
        <f t="shared" si="7"/>
        <v>0</v>
      </c>
      <c r="CC4" s="32">
        <f t="shared" si="8"/>
        <v>0</v>
      </c>
      <c r="CD4" s="41">
        <f t="shared" si="9"/>
        <v>0</v>
      </c>
      <c r="CE4" s="44">
        <f t="shared" si="10"/>
        <v>59</v>
      </c>
      <c r="CF4" s="27"/>
      <c r="CG4" s="28" t="str">
        <f t="shared" si="11"/>
        <v/>
      </c>
      <c r="CH4" s="28" t="str">
        <f t="shared" si="12"/>
        <v/>
      </c>
      <c r="CI4" s="28" t="str">
        <f t="shared" si="13"/>
        <v/>
      </c>
      <c r="CJ4" s="28" t="str">
        <f t="shared" si="14"/>
        <v/>
      </c>
      <c r="CK4" s="23" t="str">
        <f t="shared" si="15"/>
        <v/>
      </c>
      <c r="CL4" s="29" t="str">
        <f t="shared" si="16"/>
        <v/>
      </c>
      <c r="CM4" s="29" t="str">
        <f t="shared" si="17"/>
        <v/>
      </c>
      <c r="CN4" s="29" t="str">
        <f t="shared" si="18"/>
        <v/>
      </c>
      <c r="CO4" s="29" t="str">
        <f t="shared" si="19"/>
        <v/>
      </c>
      <c r="CP4" s="29" t="str">
        <f t="shared" si="20"/>
        <v/>
      </c>
      <c r="CQ4" s="29" t="str">
        <f t="shared" si="21"/>
        <v/>
      </c>
      <c r="CR4" s="30"/>
      <c r="CS4" s="7" t="str">
        <f>VLOOKUP(A4,'Empresas 21-23'!$A$2:$M$228,13,0)</f>
        <v/>
      </c>
      <c r="CT4" s="30"/>
      <c r="CU4" s="6">
        <f t="shared" si="22"/>
        <v>0</v>
      </c>
      <c r="CV4" s="6">
        <f t="shared" si="23"/>
        <v>0</v>
      </c>
      <c r="CW4" s="6">
        <f t="shared" si="24"/>
        <v>239951323</v>
      </c>
      <c r="CX4" s="23">
        <f t="shared" si="25"/>
        <v>0</v>
      </c>
      <c r="CY4" s="23">
        <f t="shared" si="26"/>
        <v>0</v>
      </c>
      <c r="CZ4" s="6">
        <f t="shared" si="27"/>
        <v>0</v>
      </c>
      <c r="DA4" s="6">
        <f t="shared" si="28"/>
        <v>0</v>
      </c>
      <c r="DB4" s="6">
        <f t="shared" si="29"/>
        <v>0</v>
      </c>
      <c r="DC4" s="6">
        <f t="shared" si="30"/>
        <v>0</v>
      </c>
      <c r="DD4" s="6">
        <f t="shared" si="31"/>
        <v>8956478</v>
      </c>
      <c r="DE4" s="6">
        <f t="shared" si="32"/>
        <v>259766554</v>
      </c>
      <c r="DF4" s="6">
        <f t="shared" si="33"/>
        <v>28598501.508982845</v>
      </c>
      <c r="DG4" s="30"/>
      <c r="DH4" s="32" t="str">
        <f>VLOOKUP(A4,'T_med_comp-USA'!$A$7:$Q$233,17,0)</f>
        <v>-</v>
      </c>
      <c r="DI4" s="6" t="str">
        <f t="shared" si="34"/>
        <v/>
      </c>
      <c r="DJ4" s="32" t="str">
        <f>IF(DI4="","",VLOOKUP(DI4,'CPI USA'!$T:$U,2,FALSE))</f>
        <v/>
      </c>
      <c r="DK4" s="32" t="str">
        <f>IF(DI4="","",VLOOKUP(DI4,'PPI USA'!$S:$T,2,FALSE))</f>
        <v/>
      </c>
      <c r="DL4" s="32" t="str">
        <f>IF(DI4="","",VLOOKUP(DI4,'CPI USA'!$T:$V,3,FALSE))</f>
        <v/>
      </c>
      <c r="DM4" s="32" t="str">
        <f>IF(DI4="","",VLOOKUP(DI4,'CPI USA'!$T:$X,5,FALSE))</f>
        <v/>
      </c>
      <c r="DN4" s="32" t="str">
        <f t="shared" si="35"/>
        <v/>
      </c>
      <c r="DO4" s="32" t="str">
        <f t="shared" si="36"/>
        <v/>
      </c>
      <c r="DP4" s="32" t="str">
        <f t="shared" si="37"/>
        <v/>
      </c>
      <c r="DQ4" s="32" t="str">
        <f>IF(DP4="","",DP4*$DO$1/'CPI USA'!$U$520+(1-DP4)*AVERAGE($DO$1,$DQ$1)/AVERAGE('CPI USA'!$U$520,'PPI USA'!$T$526))</f>
        <v/>
      </c>
      <c r="DR4" s="6">
        <f t="shared" si="38"/>
        <v>6115869</v>
      </c>
      <c r="DS4" s="32">
        <f t="shared" si="39"/>
        <v>0.68284307737930017</v>
      </c>
      <c r="DT4" s="28">
        <f>IF(DS4="","",DS4*$DO$1/'CPI USA'!$U$520+(1-DS4)*AVERAGE($DO$1,$DQ$1)/AVERAGE('CPI USA'!$U$520,'PPI USA'!$T$526))</f>
        <v>1.0692206681372678</v>
      </c>
      <c r="DU4" s="6" t="str">
        <f t="shared" si="40"/>
        <v/>
      </c>
      <c r="DV4" s="6">
        <f t="shared" ref="DV4:DV156" si="57">IF(BQ4=0,"",BP4/(BQ4-BP4)*BM4)</f>
        <v>0</v>
      </c>
      <c r="DW4" s="6">
        <f t="shared" si="41"/>
        <v>0</v>
      </c>
      <c r="DX4" s="16" t="str">
        <f t="shared" si="42"/>
        <v/>
      </c>
      <c r="DY4" s="28" t="str">
        <f>IF(DX4="","",DX4*$DO$1/'CPI USA'!$U$520+(1-DX4)*AVERAGE($DO$1,$DQ$1)/AVERAGE('CPI USA'!$U$520,'PPI USA'!$T$526))</f>
        <v/>
      </c>
      <c r="DZ4" s="30"/>
      <c r="EA4" s="29" t="str">
        <f t="shared" si="43"/>
        <v>C000030</v>
      </c>
      <c r="EB4" s="29" t="str">
        <f t="shared" si="44"/>
        <v/>
      </c>
      <c r="EC4" s="29" t="str">
        <f t="shared" si="45"/>
        <v/>
      </c>
      <c r="ED4" s="29" t="str">
        <f t="shared" si="46"/>
        <v/>
      </c>
      <c r="EE4" s="29" t="str">
        <f t="shared" si="47"/>
        <v/>
      </c>
      <c r="EF4" s="29" t="str">
        <f t="shared" si="48"/>
        <v/>
      </c>
      <c r="EG4" s="29" t="str">
        <f t="shared" si="49"/>
        <v/>
      </c>
      <c r="EH4" s="29" t="str">
        <f t="shared" si="50"/>
        <v/>
      </c>
      <c r="EI4" s="29" t="str">
        <f t="shared" si="51"/>
        <v/>
      </c>
      <c r="EJ4" s="29" t="str">
        <f t="shared" si="52"/>
        <v/>
      </c>
      <c r="EK4" s="29" t="str">
        <f t="shared" si="53"/>
        <v/>
      </c>
      <c r="EL4" s="29" t="str">
        <f>IF(CD4=1,VLOOKUP(EA4,'EIA 2022'!$A$2:$J$213,4,0)*EH4,"")</f>
        <v/>
      </c>
      <c r="EM4" s="29" t="str">
        <f>IF(CD4=1,VLOOKUP(EA4,'EIA 2022'!$A$2:$J$213,7,0)*EH4,"")</f>
        <v/>
      </c>
      <c r="EN4" s="29" t="str">
        <f>IF(CD4=1,VLOOKUP(EA4,'EIA 2022'!$A$2:$J$213,10,0),"")</f>
        <v/>
      </c>
      <c r="EO4" s="28" t="str">
        <f>IF(CD4=1,VLOOKUP(EA4,'EIA 2022'!$A$2:$Z$213,26,0),"")</f>
        <v/>
      </c>
      <c r="EP4" s="23" t="str">
        <f t="shared" si="54"/>
        <v/>
      </c>
      <c r="EQ4" s="32" t="str">
        <f t="shared" si="55"/>
        <v/>
      </c>
      <c r="ER4" s="32" t="str">
        <f t="shared" si="56"/>
        <v/>
      </c>
      <c r="ES4" s="32"/>
      <c r="ET4" s="32"/>
    </row>
    <row r="5" spans="1:150" ht="14.5">
      <c r="A5" s="7" t="s">
        <v>216</v>
      </c>
      <c r="B5" s="7" t="s">
        <v>217</v>
      </c>
      <c r="C5" s="32" t="s">
        <v>874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f>IFERROR(VLOOKUP(A5,'Trans 21-23'!$A$2:$J$229,8,0),0)</f>
        <v>0</v>
      </c>
      <c r="Y5" s="42">
        <v>0</v>
      </c>
      <c r="Z5" s="42">
        <v>0</v>
      </c>
      <c r="AA5" s="42">
        <v>4434848</v>
      </c>
      <c r="AB5" s="42">
        <v>4239060</v>
      </c>
      <c r="AC5" s="42">
        <v>0</v>
      </c>
      <c r="AD5" s="42">
        <v>76031804</v>
      </c>
      <c r="AE5" s="42">
        <v>0</v>
      </c>
      <c r="AF5" s="42">
        <v>162587705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415678164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0</v>
      </c>
      <c r="BN5" s="42">
        <v>78846972</v>
      </c>
      <c r="BO5" s="42">
        <v>0</v>
      </c>
      <c r="BP5" s="42">
        <v>0</v>
      </c>
      <c r="BQ5" s="42">
        <v>78846972</v>
      </c>
      <c r="BR5" s="42">
        <v>0</v>
      </c>
      <c r="BS5" s="42">
        <f>IFERROR(VLOOKUP(A5,'Trans 21-23'!$A$2:$J$229,7,0),0)</f>
        <v>0</v>
      </c>
      <c r="BT5" s="63"/>
      <c r="BU5" s="32">
        <f t="shared" si="0"/>
        <v>0</v>
      </c>
      <c r="BV5" s="32">
        <f t="shared" si="1"/>
        <v>0</v>
      </c>
      <c r="BW5" s="32">
        <f t="shared" si="2"/>
        <v>0</v>
      </c>
      <c r="BX5" s="32">
        <f t="shared" si="3"/>
        <v>0</v>
      </c>
      <c r="BY5" s="32">
        <f t="shared" si="4"/>
        <v>8673908</v>
      </c>
      <c r="BZ5" s="32">
        <f t="shared" si="5"/>
        <v>0</v>
      </c>
      <c r="CA5" s="32">
        <f t="shared" si="6"/>
        <v>76031804</v>
      </c>
      <c r="CB5" s="32">
        <f t="shared" si="7"/>
        <v>0</v>
      </c>
      <c r="CC5" s="32">
        <f t="shared" si="8"/>
        <v>0</v>
      </c>
      <c r="CD5" s="41">
        <f t="shared" si="9"/>
        <v>0</v>
      </c>
      <c r="CE5" s="44">
        <f t="shared" si="10"/>
        <v>61</v>
      </c>
      <c r="CF5" s="27"/>
      <c r="CG5" s="28" t="str">
        <f t="shared" si="11"/>
        <v/>
      </c>
      <c r="CH5" s="28" t="str">
        <f t="shared" si="12"/>
        <v/>
      </c>
      <c r="CI5" s="28" t="str">
        <f t="shared" si="13"/>
        <v/>
      </c>
      <c r="CJ5" s="28" t="str">
        <f t="shared" si="14"/>
        <v/>
      </c>
      <c r="CK5" s="23" t="str">
        <f t="shared" si="15"/>
        <v/>
      </c>
      <c r="CL5" s="29" t="str">
        <f t="shared" si="16"/>
        <v/>
      </c>
      <c r="CM5" s="29" t="str">
        <f t="shared" si="17"/>
        <v/>
      </c>
      <c r="CN5" s="29" t="str">
        <f t="shared" si="18"/>
        <v/>
      </c>
      <c r="CO5" s="29" t="str">
        <f t="shared" si="19"/>
        <v/>
      </c>
      <c r="CP5" s="29" t="str">
        <f t="shared" si="20"/>
        <v/>
      </c>
      <c r="CQ5" s="29" t="str">
        <f t="shared" si="21"/>
        <v/>
      </c>
      <c r="CR5" s="30"/>
      <c r="CS5" s="7" t="str">
        <f>VLOOKUP(A5,'Empresas 21-23'!$A$2:$M$228,13,0)</f>
        <v/>
      </c>
      <c r="CT5" s="30"/>
      <c r="CU5" s="6">
        <f t="shared" si="22"/>
        <v>0</v>
      </c>
      <c r="CV5" s="6">
        <f t="shared" si="23"/>
        <v>0</v>
      </c>
      <c r="CW5" s="6">
        <f t="shared" si="24"/>
        <v>0</v>
      </c>
      <c r="CX5" s="23">
        <f t="shared" si="25"/>
        <v>0</v>
      </c>
      <c r="CY5" s="23">
        <f t="shared" si="26"/>
        <v>0</v>
      </c>
      <c r="CZ5" s="6">
        <f t="shared" si="27"/>
        <v>0</v>
      </c>
      <c r="DA5" s="6">
        <f t="shared" si="28"/>
        <v>0</v>
      </c>
      <c r="DB5" s="6">
        <f t="shared" si="29"/>
        <v>0</v>
      </c>
      <c r="DC5" s="6">
        <f t="shared" si="30"/>
        <v>0</v>
      </c>
      <c r="DD5" s="6">
        <f t="shared" si="31"/>
        <v>8673908</v>
      </c>
      <c r="DE5" s="6">
        <f t="shared" si="32"/>
        <v>76031804</v>
      </c>
      <c r="DF5" s="6">
        <f t="shared" si="33"/>
        <v>7619271.0762728006</v>
      </c>
      <c r="DG5" s="30"/>
      <c r="DH5" s="32" t="str">
        <f>VLOOKUP(A5,'T_med_comp-USA'!$A$7:$Q$233,17,0)</f>
        <v>-</v>
      </c>
      <c r="DI5" s="6" t="str">
        <f t="shared" si="34"/>
        <v/>
      </c>
      <c r="DJ5" s="32" t="str">
        <f>IF(DI5="","",VLOOKUP(DI5,'CPI USA'!$T:$U,2,FALSE))</f>
        <v/>
      </c>
      <c r="DK5" s="32" t="str">
        <f>IF(DI5="","",VLOOKUP(DI5,'PPI USA'!$S:$T,2,FALSE))</f>
        <v/>
      </c>
      <c r="DL5" s="32" t="str">
        <f>IF(DI5="","",VLOOKUP(DI5,'CPI USA'!$T:$V,3,FALSE))</f>
        <v/>
      </c>
      <c r="DM5" s="32" t="str">
        <f>IF(DI5="","",VLOOKUP(DI5,'CPI USA'!$T:$X,5,FALSE))</f>
        <v/>
      </c>
      <c r="DN5" s="32" t="str">
        <f t="shared" si="35"/>
        <v/>
      </c>
      <c r="DO5" s="32" t="str">
        <f t="shared" si="36"/>
        <v/>
      </c>
      <c r="DP5" s="32" t="str">
        <f t="shared" si="37"/>
        <v/>
      </c>
      <c r="DQ5" s="32" t="str">
        <f>IF(DP5="","",DP5*$DO$1/'CPI USA'!$U$520+(1-DP5)*AVERAGE($DO$1,$DQ$1)/AVERAGE('CPI USA'!$U$520,'PPI USA'!$T$526))</f>
        <v/>
      </c>
      <c r="DR5" s="6">
        <f t="shared" si="38"/>
        <v>0</v>
      </c>
      <c r="DS5" s="32">
        <f t="shared" si="39"/>
        <v>0.2</v>
      </c>
      <c r="DT5" s="28">
        <f>IF(DS5="","",DS5*$DO$1/'CPI USA'!$U$520+(1-DS5)*AVERAGE($DO$1,$DQ$1)/AVERAGE('CPI USA'!$U$520,'PPI USA'!$T$526))</f>
        <v>1.0854630593748538</v>
      </c>
      <c r="DU5" s="6" t="str">
        <f t="shared" si="40"/>
        <v/>
      </c>
      <c r="DV5" s="6">
        <f t="shared" si="57"/>
        <v>0</v>
      </c>
      <c r="DW5" s="6">
        <f t="shared" si="41"/>
        <v>0</v>
      </c>
      <c r="DX5" s="16" t="str">
        <f t="shared" si="42"/>
        <v/>
      </c>
      <c r="DY5" s="28" t="str">
        <f>IF(DX5="","",DX5*$DO$1/'CPI USA'!$U$520+(1-DX5)*AVERAGE($DO$1,$DQ$1)/AVERAGE('CPI USA'!$U$520,'PPI USA'!$T$526))</f>
        <v/>
      </c>
      <c r="DZ5" s="30"/>
      <c r="EA5" s="29" t="str">
        <f t="shared" si="43"/>
        <v>C000038</v>
      </c>
      <c r="EB5" s="29" t="str">
        <f t="shared" si="44"/>
        <v/>
      </c>
      <c r="EC5" s="29" t="str">
        <f t="shared" si="45"/>
        <v/>
      </c>
      <c r="ED5" s="29" t="str">
        <f t="shared" si="46"/>
        <v/>
      </c>
      <c r="EE5" s="29" t="str">
        <f t="shared" si="47"/>
        <v/>
      </c>
      <c r="EF5" s="29" t="str">
        <f t="shared" si="48"/>
        <v/>
      </c>
      <c r="EG5" s="29" t="str">
        <f t="shared" si="49"/>
        <v/>
      </c>
      <c r="EH5" s="29" t="str">
        <f t="shared" si="50"/>
        <v/>
      </c>
      <c r="EI5" s="29" t="str">
        <f t="shared" si="51"/>
        <v/>
      </c>
      <c r="EJ5" s="29" t="str">
        <f t="shared" si="52"/>
        <v/>
      </c>
      <c r="EK5" s="29" t="str">
        <f t="shared" si="53"/>
        <v/>
      </c>
      <c r="EL5" s="29" t="str">
        <f>IF(CD5=1,VLOOKUP(EA5,'EIA 2022'!$A$2:$J$213,4,0)*EH5,"")</f>
        <v/>
      </c>
      <c r="EM5" s="29" t="str">
        <f>IF(CD5=1,VLOOKUP(EA5,'EIA 2022'!$A$2:$J$213,7,0)*EH5,"")</f>
        <v/>
      </c>
      <c r="EN5" s="29" t="str">
        <f>IF(CD5=1,VLOOKUP(EA5,'EIA 2022'!$A$2:$J$213,10,0),"")</f>
        <v/>
      </c>
      <c r="EO5" s="28" t="str">
        <f>IF(CD5=1,VLOOKUP(EA5,'EIA 2022'!$A$2:$Z$213,26,0),"")</f>
        <v/>
      </c>
      <c r="EP5" s="23" t="str">
        <f t="shared" si="54"/>
        <v/>
      </c>
      <c r="EQ5" s="32" t="str">
        <f t="shared" si="55"/>
        <v/>
      </c>
      <c r="ER5" s="32" t="str">
        <f t="shared" si="56"/>
        <v/>
      </c>
      <c r="ES5" s="32"/>
      <c r="ET5" s="32"/>
    </row>
    <row r="6" spans="1:150" ht="14.5">
      <c r="A6" s="7" t="s">
        <v>219</v>
      </c>
      <c r="B6" s="7" t="s">
        <v>220</v>
      </c>
      <c r="C6" s="32" t="s">
        <v>875</v>
      </c>
      <c r="D6" s="42">
        <v>0</v>
      </c>
      <c r="E6" s="42">
        <v>34285993</v>
      </c>
      <c r="F6" s="42">
        <v>318549713</v>
      </c>
      <c r="G6" s="42">
        <v>6022254342</v>
      </c>
      <c r="H6" s="42">
        <v>6110925721</v>
      </c>
      <c r="I6" s="42">
        <v>14663618</v>
      </c>
      <c r="J6" s="42">
        <v>39325812</v>
      </c>
      <c r="K6" s="42">
        <v>0</v>
      </c>
      <c r="L6" s="42">
        <v>108787150</v>
      </c>
      <c r="M6" s="42">
        <v>9424796</v>
      </c>
      <c r="N6" s="42">
        <v>25938091</v>
      </c>
      <c r="O6" s="42">
        <v>93028756</v>
      </c>
      <c r="P6" s="42">
        <v>3196694</v>
      </c>
      <c r="Q6" s="42">
        <v>1734987</v>
      </c>
      <c r="R6" s="42">
        <v>82085</v>
      </c>
      <c r="S6" s="42">
        <v>9649375</v>
      </c>
      <c r="T6" s="42">
        <v>593477284</v>
      </c>
      <c r="U6" s="42">
        <v>49983562</v>
      </c>
      <c r="V6" s="42">
        <v>4989358</v>
      </c>
      <c r="W6" s="42">
        <v>42129673</v>
      </c>
      <c r="X6" s="42">
        <f>IFERROR(VLOOKUP(A6,'Trans 21-23'!$A$2:$J$229,8,0),0)</f>
        <v>38105253</v>
      </c>
      <c r="Y6" s="42">
        <v>22613012</v>
      </c>
      <c r="Z6" s="42">
        <v>5854156</v>
      </c>
      <c r="AA6" s="42">
        <v>234786945</v>
      </c>
      <c r="AB6" s="42">
        <v>467535533</v>
      </c>
      <c r="AC6" s="42">
        <v>3012382</v>
      </c>
      <c r="AD6" s="42">
        <v>3147117854</v>
      </c>
      <c r="AE6" s="42">
        <v>0</v>
      </c>
      <c r="AF6" s="42">
        <v>12079317431</v>
      </c>
      <c r="AG6" s="42">
        <v>5226537</v>
      </c>
      <c r="AH6" s="42">
        <v>3786113</v>
      </c>
      <c r="AI6" s="42">
        <v>68702338</v>
      </c>
      <c r="AJ6" s="42">
        <v>123660</v>
      </c>
      <c r="AK6" s="42">
        <v>28369705</v>
      </c>
      <c r="AL6" s="42">
        <v>29197873</v>
      </c>
      <c r="AM6" s="42">
        <v>47286920</v>
      </c>
      <c r="AN6" s="42">
        <v>6014456</v>
      </c>
      <c r="AO6" s="42">
        <v>635391</v>
      </c>
      <c r="AP6" s="42">
        <v>0</v>
      </c>
      <c r="AQ6" s="42">
        <v>83200168</v>
      </c>
      <c r="AR6" s="42">
        <v>9962102</v>
      </c>
      <c r="AS6" s="42">
        <v>93162270</v>
      </c>
      <c r="AT6" s="42">
        <v>63006</v>
      </c>
      <c r="AU6" s="42">
        <v>24027</v>
      </c>
      <c r="AV6" s="42">
        <v>0</v>
      </c>
      <c r="AW6" s="42">
        <v>3283454749</v>
      </c>
      <c r="AX6" s="42">
        <v>3187618405</v>
      </c>
      <c r="AY6" s="42">
        <v>7338856196</v>
      </c>
      <c r="AZ6" s="42">
        <v>1122956027</v>
      </c>
      <c r="BA6" s="42">
        <v>888199251</v>
      </c>
      <c r="BB6" s="42">
        <v>32753886835</v>
      </c>
      <c r="BC6" s="42">
        <v>61903742199</v>
      </c>
      <c r="BD6" s="42">
        <v>3718298393</v>
      </c>
      <c r="BE6" s="42">
        <v>7457802426</v>
      </c>
      <c r="BF6" s="42">
        <v>1207873179</v>
      </c>
      <c r="BG6" s="42">
        <v>0</v>
      </c>
      <c r="BH6" s="42">
        <v>301080820</v>
      </c>
      <c r="BI6" s="42">
        <v>75322212</v>
      </c>
      <c r="BJ6" s="42">
        <v>73576459</v>
      </c>
      <c r="BK6" s="42">
        <v>2378757</v>
      </c>
      <c r="BL6" s="42">
        <v>0</v>
      </c>
      <c r="BM6" s="42">
        <v>227832710</v>
      </c>
      <c r="BN6" s="42">
        <v>837047586</v>
      </c>
      <c r="BO6" s="42">
        <v>0</v>
      </c>
      <c r="BP6" s="42">
        <v>29848305</v>
      </c>
      <c r="BQ6" s="42">
        <v>1844847476</v>
      </c>
      <c r="BR6" s="42">
        <v>2522</v>
      </c>
      <c r="BS6" s="42">
        <f>IFERROR(VLOOKUP(A6,'Trans 21-23'!$A$2:$J$229,7,0),0)</f>
        <v>3450949395</v>
      </c>
      <c r="BT6" s="63"/>
      <c r="BU6" s="32">
        <f t="shared" si="0"/>
        <v>32753886835</v>
      </c>
      <c r="BV6" s="32">
        <f t="shared" si="1"/>
        <v>24027</v>
      </c>
      <c r="BW6" s="32">
        <f t="shared" si="2"/>
        <v>5226537</v>
      </c>
      <c r="BX6" s="32">
        <f t="shared" si="3"/>
        <v>996411241</v>
      </c>
      <c r="BY6" s="32">
        <f t="shared" si="4"/>
        <v>733802028</v>
      </c>
      <c r="BZ6" s="32">
        <f t="shared" si="5"/>
        <v>1122956027</v>
      </c>
      <c r="CA6" s="32">
        <f t="shared" si="6"/>
        <v>3147117854</v>
      </c>
      <c r="CB6" s="32">
        <f t="shared" si="7"/>
        <v>3786113</v>
      </c>
      <c r="CC6" s="32">
        <f t="shared" si="8"/>
        <v>83200168</v>
      </c>
      <c r="CD6" s="41">
        <f t="shared" si="9"/>
        <v>1</v>
      </c>
      <c r="CE6" s="44">
        <f t="shared" si="10"/>
        <v>8</v>
      </c>
      <c r="CF6" s="27"/>
      <c r="CG6" s="28">
        <f t="shared" si="11"/>
        <v>1363.2116716610481</v>
      </c>
      <c r="CH6" s="28">
        <f t="shared" si="12"/>
        <v>4.5971165993850232</v>
      </c>
      <c r="CI6" s="28">
        <f t="shared" si="13"/>
        <v>190.64463544408085</v>
      </c>
      <c r="CJ6" s="28">
        <f t="shared" si="14"/>
        <v>214.85661098352503</v>
      </c>
      <c r="CK6" s="23">
        <f t="shared" si="15"/>
        <v>4.550607397811985E-2</v>
      </c>
      <c r="CL6" s="29" t="str">
        <f t="shared" si="16"/>
        <v/>
      </c>
      <c r="CM6" s="29" t="str">
        <f t="shared" si="17"/>
        <v/>
      </c>
      <c r="CN6" s="29" t="str">
        <f t="shared" si="18"/>
        <v/>
      </c>
      <c r="CO6" s="29" t="str">
        <f t="shared" si="19"/>
        <v/>
      </c>
      <c r="CP6" s="29" t="str">
        <f t="shared" si="20"/>
        <v/>
      </c>
      <c r="CQ6" s="29">
        <f t="shared" si="21"/>
        <v>0</v>
      </c>
      <c r="CR6" s="30"/>
      <c r="CS6" s="7">
        <f>VLOOKUP(A6,'Empresas 21-23'!$A$2:$M$228,13,0)</f>
        <v>1</v>
      </c>
      <c r="CT6" s="30"/>
      <c r="CU6" s="6">
        <f t="shared" si="22"/>
        <v>27877796191.400002</v>
      </c>
      <c r="CV6" s="6">
        <f t="shared" si="23"/>
        <v>1122956027</v>
      </c>
      <c r="CW6" s="6">
        <f t="shared" si="24"/>
        <v>3718298393</v>
      </c>
      <c r="CX6" s="23">
        <f t="shared" si="25"/>
        <v>0.47911976549236673</v>
      </c>
      <c r="CY6" s="23">
        <f t="shared" si="26"/>
        <v>1.9299604051214652E-2</v>
      </c>
      <c r="CZ6" s="6">
        <f t="shared" si="27"/>
        <v>29659306445.484806</v>
      </c>
      <c r="DA6" s="6">
        <f t="shared" si="28"/>
        <v>1194717713.7291677</v>
      </c>
      <c r="DB6" s="6">
        <f t="shared" si="29"/>
        <v>996411241</v>
      </c>
      <c r="DC6" s="6">
        <f t="shared" si="30"/>
        <v>1034516494</v>
      </c>
      <c r="DD6" s="6">
        <f t="shared" si="31"/>
        <v>733802028</v>
      </c>
      <c r="DE6" s="6">
        <f t="shared" si="32"/>
        <v>3147117854</v>
      </c>
      <c r="DF6" s="6">
        <f t="shared" si="33"/>
        <v>2254505259.5889802</v>
      </c>
      <c r="DG6" s="30"/>
      <c r="DH6" s="32">
        <f>VLOOKUP(A6,'T_med_comp-USA'!$A$7:$Q$233,17,0)</f>
        <v>6.2390402742465128</v>
      </c>
      <c r="DI6" s="6" t="str">
        <f t="shared" si="34"/>
        <v>10_2016</v>
      </c>
      <c r="DJ6" s="32">
        <f>IF(DI6="","",VLOOKUP(DI6,'CPI USA'!$T:$U,2,FALSE))</f>
        <v>241.72900000000001</v>
      </c>
      <c r="DK6" s="32">
        <f>IF(DI6="","",VLOOKUP(DI6,'PPI USA'!$S:$T,2,FALSE))</f>
        <v>179.2</v>
      </c>
      <c r="DL6" s="32">
        <f>IF(DI6="","",VLOOKUP(DI6,'CPI USA'!$T:$V,3,FALSE))</f>
        <v>0.67131212484522451</v>
      </c>
      <c r="DM6" s="32">
        <f>IF(DI6="","",VLOOKUP(DI6,'CPI USA'!$T:$X,5,FALSE))</f>
        <v>0.49965731919331663</v>
      </c>
      <c r="DN6" s="32">
        <f t="shared" si="35"/>
        <v>1.3252536895563343</v>
      </c>
      <c r="DO6" s="32">
        <f t="shared" si="36"/>
        <v>1.338599306141151</v>
      </c>
      <c r="DP6" s="32">
        <f t="shared" si="37"/>
        <v>0.3021652181461088</v>
      </c>
      <c r="DQ6" s="32">
        <f>IF(DP6="","",DP6*$DO$1/'CPI USA'!$U$520+(1-DP6)*AVERAGE($DO$1,$DQ$1)/AVERAGE('CPI USA'!$U$520,'PPI USA'!$T$526))</f>
        <v>1.0820263166281023</v>
      </c>
      <c r="DR6" s="6">
        <f t="shared" si="38"/>
        <v>151277428</v>
      </c>
      <c r="DS6" s="32">
        <f t="shared" si="39"/>
        <v>0.20615564175028417</v>
      </c>
      <c r="DT6" s="28">
        <f>IF(DS6="","",DS6*$DO$1/'CPI USA'!$U$520+(1-DS6)*AVERAGE($DO$1,$DQ$1)/AVERAGE('CPI USA'!$U$520,'PPI USA'!$T$526))</f>
        <v>1.0852559893218479</v>
      </c>
      <c r="DU6" s="6">
        <f t="shared" si="40"/>
        <v>227832710</v>
      </c>
      <c r="DV6" s="6">
        <f t="shared" si="57"/>
        <v>3746789.7097218842</v>
      </c>
      <c r="DW6" s="6">
        <f t="shared" si="41"/>
        <v>125150467.56422555</v>
      </c>
      <c r="DX6" s="16">
        <f t="shared" si="42"/>
        <v>0.2</v>
      </c>
      <c r="DY6" s="28">
        <f>IF(DX6="","",DX6*$DO$1/'CPI USA'!$U$520+(1-DX6)*AVERAGE($DO$1,$DQ$1)/AVERAGE('CPI USA'!$U$520,'PPI USA'!$T$526))</f>
        <v>1.0854630593748538</v>
      </c>
      <c r="DZ6" s="30"/>
      <c r="EA6" s="29" t="str">
        <f t="shared" si="43"/>
        <v>C000041</v>
      </c>
      <c r="EB6" s="29">
        <f t="shared" si="44"/>
        <v>39306105296.560707</v>
      </c>
      <c r="EC6" s="29">
        <f t="shared" si="45"/>
        <v>1599248302.6324062</v>
      </c>
      <c r="ED6" s="29">
        <f t="shared" si="46"/>
        <v>1119374071.4938383</v>
      </c>
      <c r="EE6" s="29">
        <f t="shared" si="47"/>
        <v>796363045.86351836</v>
      </c>
      <c r="EF6" s="29">
        <f t="shared" si="48"/>
        <v>2447182176.4501534</v>
      </c>
      <c r="EG6" s="29">
        <f t="shared" si="49"/>
        <v>24027</v>
      </c>
      <c r="EH6" s="29">
        <f t="shared" si="50"/>
        <v>5226537</v>
      </c>
      <c r="EI6" s="29">
        <f t="shared" si="51"/>
        <v>3786113</v>
      </c>
      <c r="EJ6" s="29">
        <f t="shared" si="52"/>
        <v>83200168</v>
      </c>
      <c r="EK6" s="29">
        <f t="shared" si="53"/>
        <v>86834573.862944156</v>
      </c>
      <c r="EL6" s="29">
        <f>IF(CD6=1,VLOOKUP(EA6,'EIA 2022'!$A$2:$J$213,4,0)*EH6,"")</f>
        <v>528016126.96199995</v>
      </c>
      <c r="EM6" s="29">
        <f>IF(CD6=1,VLOOKUP(EA6,'EIA 2022'!$A$2:$J$213,7,0)*EH6,"")</f>
        <v>5644659.96</v>
      </c>
      <c r="EN6" s="29">
        <f>IF(CD6=1,VLOOKUP(EA6,'EIA 2022'!$A$2:$J$213,10,0),"")</f>
        <v>5335103</v>
      </c>
      <c r="EO6" s="28">
        <f>IF(CD6=1,VLOOKUP(EA6,'EIA 2022'!$A$2:$Z$213,26,0),"")</f>
        <v>0</v>
      </c>
      <c r="EP6" s="23">
        <f t="shared" si="54"/>
        <v>4.1854364008056824E-2</v>
      </c>
      <c r="EQ6" s="32">
        <f t="shared" si="55"/>
        <v>151707.13705583848</v>
      </c>
      <c r="ER6" s="32">
        <f t="shared" si="56"/>
        <v>3634405.8629441615</v>
      </c>
      <c r="ES6" s="32"/>
      <c r="ET6" s="32"/>
    </row>
    <row r="7" spans="1:150" ht="14.5">
      <c r="A7" s="7" t="s">
        <v>222</v>
      </c>
      <c r="B7" s="7" t="s">
        <v>223</v>
      </c>
      <c r="C7" s="32" t="s">
        <v>876</v>
      </c>
      <c r="D7" s="42">
        <v>22458782</v>
      </c>
      <c r="E7" s="42">
        <v>0</v>
      </c>
      <c r="F7" s="42">
        <v>79542114</v>
      </c>
      <c r="G7" s="42">
        <v>549821327</v>
      </c>
      <c r="H7" s="42">
        <v>550945965</v>
      </c>
      <c r="I7" s="42">
        <v>2015955</v>
      </c>
      <c r="J7" s="42">
        <v>1599952</v>
      </c>
      <c r="K7" s="42">
        <v>577024</v>
      </c>
      <c r="L7" s="42">
        <v>0</v>
      </c>
      <c r="M7" s="42">
        <v>0</v>
      </c>
      <c r="N7" s="42">
        <v>0</v>
      </c>
      <c r="O7" s="42">
        <v>975136</v>
      </c>
      <c r="P7" s="42">
        <v>0</v>
      </c>
      <c r="Q7" s="42">
        <v>0</v>
      </c>
      <c r="R7" s="42">
        <v>0</v>
      </c>
      <c r="S7" s="42">
        <v>306067</v>
      </c>
      <c r="T7" s="42">
        <v>0</v>
      </c>
      <c r="U7" s="42">
        <v>0</v>
      </c>
      <c r="V7" s="42">
        <v>0</v>
      </c>
      <c r="W7" s="42">
        <v>0</v>
      </c>
      <c r="X7" s="42">
        <f>IFERROR(VLOOKUP(A7,'Trans 21-23'!$A$2:$J$229,8,0),0)</f>
        <v>0</v>
      </c>
      <c r="Y7" s="42">
        <v>281444</v>
      </c>
      <c r="Z7" s="42">
        <v>98012</v>
      </c>
      <c r="AA7" s="42">
        <v>0</v>
      </c>
      <c r="AB7" s="42">
        <v>0</v>
      </c>
      <c r="AC7" s="42">
        <v>604449</v>
      </c>
      <c r="AD7" s="42">
        <v>21465087</v>
      </c>
      <c r="AE7" s="42">
        <v>0</v>
      </c>
      <c r="AF7" s="42">
        <v>822593476</v>
      </c>
      <c r="AG7" s="42">
        <v>30</v>
      </c>
      <c r="AH7" s="42">
        <v>0</v>
      </c>
      <c r="AI7" s="42">
        <v>11593290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11593290</v>
      </c>
      <c r="AS7" s="42">
        <v>11593290</v>
      </c>
      <c r="AT7" s="42">
        <v>0</v>
      </c>
      <c r="AU7" s="42">
        <v>1708</v>
      </c>
      <c r="AV7" s="42">
        <v>0</v>
      </c>
      <c r="AW7" s="42">
        <v>3346194</v>
      </c>
      <c r="AX7" s="42">
        <v>0</v>
      </c>
      <c r="AY7" s="42">
        <v>0</v>
      </c>
      <c r="AZ7" s="42">
        <v>811515</v>
      </c>
      <c r="BA7" s="42">
        <v>0</v>
      </c>
      <c r="BB7" s="42">
        <v>125394907</v>
      </c>
      <c r="BC7" s="42">
        <v>1460646040</v>
      </c>
      <c r="BD7" s="42">
        <v>43376266</v>
      </c>
      <c r="BE7" s="42">
        <v>33503590</v>
      </c>
      <c r="BF7" s="42">
        <v>3722679</v>
      </c>
      <c r="BG7" s="42">
        <v>0</v>
      </c>
      <c r="BH7" s="42">
        <v>1513074</v>
      </c>
      <c r="BI7" s="42">
        <v>0</v>
      </c>
      <c r="BJ7" s="42">
        <v>0</v>
      </c>
      <c r="BK7" s="42">
        <v>0</v>
      </c>
      <c r="BL7" s="42">
        <v>0</v>
      </c>
      <c r="BM7" s="42">
        <v>8155391</v>
      </c>
      <c r="BN7" s="42">
        <v>13404773</v>
      </c>
      <c r="BO7" s="42">
        <v>0</v>
      </c>
      <c r="BP7" s="42">
        <v>0</v>
      </c>
      <c r="BQ7" s="42">
        <v>13404773</v>
      </c>
      <c r="BR7" s="42">
        <v>0</v>
      </c>
      <c r="BS7" s="42">
        <f>IFERROR(VLOOKUP(A7,'Trans 21-23'!$A$2:$J$229,7,0),0)</f>
        <v>0</v>
      </c>
      <c r="BT7" s="63"/>
      <c r="BU7" s="32">
        <f t="shared" si="0"/>
        <v>125394907</v>
      </c>
      <c r="BV7" s="32">
        <f t="shared" si="1"/>
        <v>1708</v>
      </c>
      <c r="BW7" s="32">
        <f t="shared" si="2"/>
        <v>30</v>
      </c>
      <c r="BX7" s="32">
        <f t="shared" si="3"/>
        <v>5474134</v>
      </c>
      <c r="BY7" s="32">
        <f t="shared" si="4"/>
        <v>983905</v>
      </c>
      <c r="BZ7" s="32">
        <f t="shared" si="5"/>
        <v>811515</v>
      </c>
      <c r="CA7" s="32">
        <f t="shared" si="6"/>
        <v>21465087</v>
      </c>
      <c r="CB7" s="32">
        <f t="shared" si="7"/>
        <v>0</v>
      </c>
      <c r="CC7" s="32">
        <f t="shared" si="8"/>
        <v>0</v>
      </c>
      <c r="CD7" s="41">
        <f t="shared" si="9"/>
        <v>0</v>
      </c>
      <c r="CE7" s="44">
        <f t="shared" si="10"/>
        <v>38</v>
      </c>
      <c r="CF7" s="27"/>
      <c r="CG7" s="28" t="str">
        <f t="shared" si="11"/>
        <v/>
      </c>
      <c r="CH7" s="28" t="str">
        <f t="shared" si="12"/>
        <v/>
      </c>
      <c r="CI7" s="28" t="str">
        <f t="shared" si="13"/>
        <v/>
      </c>
      <c r="CJ7" s="28" t="str">
        <f t="shared" si="14"/>
        <v/>
      </c>
      <c r="CK7" s="23" t="str">
        <f t="shared" si="15"/>
        <v/>
      </c>
      <c r="CL7" s="29" t="str">
        <f t="shared" si="16"/>
        <v/>
      </c>
      <c r="CM7" s="29" t="str">
        <f t="shared" si="17"/>
        <v/>
      </c>
      <c r="CN7" s="29" t="str">
        <f t="shared" si="18"/>
        <v/>
      </c>
      <c r="CO7" s="29" t="str">
        <f t="shared" si="19"/>
        <v/>
      </c>
      <c r="CP7" s="29" t="str">
        <f t="shared" si="20"/>
        <v/>
      </c>
      <c r="CQ7" s="29" t="str">
        <f t="shared" si="21"/>
        <v/>
      </c>
      <c r="CR7" s="30"/>
      <c r="CS7" s="7" t="str">
        <f>VLOOKUP(A7,'Empresas 21-23'!$A$2:$M$228,13,0)</f>
        <v/>
      </c>
      <c r="CT7" s="30"/>
      <c r="CU7" s="6">
        <f t="shared" si="22"/>
        <v>124583392</v>
      </c>
      <c r="CV7" s="6">
        <f t="shared" si="23"/>
        <v>811515</v>
      </c>
      <c r="CW7" s="6">
        <f t="shared" si="24"/>
        <v>43376266</v>
      </c>
      <c r="CX7" s="23">
        <f t="shared" si="25"/>
        <v>8.7903795230448487E-2</v>
      </c>
      <c r="CY7" s="23">
        <f t="shared" si="26"/>
        <v>5.7259035286531129E-4</v>
      </c>
      <c r="CZ7" s="6">
        <f t="shared" si="27"/>
        <v>128396330.40432547</v>
      </c>
      <c r="DA7" s="6">
        <f t="shared" si="28"/>
        <v>836351.83145491965</v>
      </c>
      <c r="DB7" s="6">
        <f t="shared" si="29"/>
        <v>5474134</v>
      </c>
      <c r="DC7" s="6">
        <f t="shared" si="30"/>
        <v>5474134</v>
      </c>
      <c r="DD7" s="6">
        <f t="shared" si="31"/>
        <v>983905</v>
      </c>
      <c r="DE7" s="6">
        <f t="shared" si="32"/>
        <v>21465087</v>
      </c>
      <c r="DF7" s="6">
        <f t="shared" si="33"/>
        <v>935490.21160311566</v>
      </c>
      <c r="DG7" s="30"/>
      <c r="DH7" s="32">
        <f>VLOOKUP(A7,'T_med_comp-USA'!$A$7:$Q$233,17,0)</f>
        <v>8.277356899209158</v>
      </c>
      <c r="DI7" s="6" t="str">
        <f t="shared" si="34"/>
        <v>9_2014</v>
      </c>
      <c r="DJ7" s="32">
        <f>IF(DI7="","",VLOOKUP(DI7,'CPI USA'!$T:$U,2,FALSE))</f>
        <v>238.03100000000001</v>
      </c>
      <c r="DK7" s="32">
        <f>IF(DI7="","",VLOOKUP(DI7,'PPI USA'!$S:$T,2,FALSE))</f>
        <v>187.8</v>
      </c>
      <c r="DL7" s="32">
        <f>IF(DI7="","",VLOOKUP(DI7,'CPI USA'!$T:$V,3,FALSE))</f>
        <v>0.66756601812039096</v>
      </c>
      <c r="DM7" s="32">
        <f>IF(DI7="","",VLOOKUP(DI7,'CPI USA'!$T:$X,5,FALSE))</f>
        <v>0.49542529667095003</v>
      </c>
      <c r="DN7" s="32">
        <f t="shared" si="35"/>
        <v>1.3337530552252315</v>
      </c>
      <c r="DO7" s="32">
        <f t="shared" si="36"/>
        <v>1.3409310393170211</v>
      </c>
      <c r="DP7" s="32">
        <f t="shared" si="37"/>
        <v>0.2764042677800726</v>
      </c>
      <c r="DQ7" s="32">
        <f>IF(DP7="","",DP7*$DO$1/'CPI USA'!$U$520+(1-DP7)*AVERAGE($DO$1,$DQ$1)/AVERAGE('CPI USA'!$U$520,'PPI USA'!$T$526))</f>
        <v>1.0828928909958415</v>
      </c>
      <c r="DR7" s="6">
        <f t="shared" si="38"/>
        <v>0</v>
      </c>
      <c r="DS7" s="32">
        <f t="shared" si="39"/>
        <v>0.2</v>
      </c>
      <c r="DT7" s="28">
        <f>IF(DS7="","",DS7*$DO$1/'CPI USA'!$U$520+(1-DS7)*AVERAGE($DO$1,$DQ$1)/AVERAGE('CPI USA'!$U$520,'PPI USA'!$T$526))</f>
        <v>1.0854630593748538</v>
      </c>
      <c r="DU7" s="6">
        <f t="shared" si="40"/>
        <v>8155391</v>
      </c>
      <c r="DV7" s="6">
        <f t="shared" si="57"/>
        <v>0</v>
      </c>
      <c r="DW7" s="6">
        <f t="shared" si="41"/>
        <v>920545.99372432486</v>
      </c>
      <c r="DX7" s="16">
        <f t="shared" si="42"/>
        <v>0.9</v>
      </c>
      <c r="DY7" s="28">
        <f>IF(DX7="","",DX7*$DO$1/'CPI USA'!$U$520+(1-DX7)*AVERAGE($DO$1,$DQ$1)/AVERAGE('CPI USA'!$U$520,'PPI USA'!$T$526))</f>
        <v>1.0619157115946583</v>
      </c>
      <c r="DZ7" s="30"/>
      <c r="EA7" s="29" t="str">
        <f t="shared" si="43"/>
        <v>C000045</v>
      </c>
      <c r="EB7" s="29" t="str">
        <f t="shared" si="44"/>
        <v/>
      </c>
      <c r="EC7" s="29" t="str">
        <f t="shared" si="45"/>
        <v/>
      </c>
      <c r="ED7" s="29" t="str">
        <f t="shared" si="46"/>
        <v/>
      </c>
      <c r="EE7" s="29" t="str">
        <f t="shared" si="47"/>
        <v/>
      </c>
      <c r="EF7" s="29" t="str">
        <f t="shared" si="48"/>
        <v/>
      </c>
      <c r="EG7" s="29" t="str">
        <f t="shared" si="49"/>
        <v/>
      </c>
      <c r="EH7" s="29" t="str">
        <f t="shared" si="50"/>
        <v/>
      </c>
      <c r="EI7" s="29" t="str">
        <f t="shared" si="51"/>
        <v/>
      </c>
      <c r="EJ7" s="29" t="str">
        <f t="shared" si="52"/>
        <v/>
      </c>
      <c r="EK7" s="29" t="str">
        <f t="shared" si="53"/>
        <v/>
      </c>
      <c r="EL7" s="29" t="str">
        <f>IF(CD7=1,VLOOKUP(EA7,'EIA 2022'!$A$2:$J$213,4,0)*EH7,"")</f>
        <v/>
      </c>
      <c r="EM7" s="29" t="str">
        <f>IF(CD7=1,VLOOKUP(EA7,'EIA 2022'!$A$2:$J$213,7,0)*EH7,"")</f>
        <v/>
      </c>
      <c r="EN7" s="29" t="str">
        <f>IF(CD7=1,VLOOKUP(EA7,'EIA 2022'!$A$2:$J$213,10,0),"")</f>
        <v/>
      </c>
      <c r="EO7" s="28" t="str">
        <f>IF(CD7=1,VLOOKUP(EA7,'EIA 2022'!$A$2:$Z$213,26,0),"")</f>
        <v/>
      </c>
      <c r="EP7" s="23" t="str">
        <f t="shared" si="54"/>
        <v/>
      </c>
      <c r="EQ7" s="32" t="str">
        <f t="shared" si="55"/>
        <v/>
      </c>
      <c r="ER7" s="32" t="str">
        <f t="shared" si="56"/>
        <v/>
      </c>
      <c r="ES7" s="32"/>
      <c r="ET7" s="32"/>
    </row>
    <row r="8" spans="1:150" ht="14.5">
      <c r="A8" s="7" t="s">
        <v>225</v>
      </c>
      <c r="B8" s="7" t="s">
        <v>226</v>
      </c>
      <c r="C8" s="32" t="s">
        <v>877</v>
      </c>
      <c r="D8" s="42">
        <v>120472054</v>
      </c>
      <c r="E8" s="42">
        <v>0</v>
      </c>
      <c r="F8" s="42">
        <v>1002186219</v>
      </c>
      <c r="G8" s="42">
        <v>150899398</v>
      </c>
      <c r="H8" s="42">
        <v>151533690</v>
      </c>
      <c r="I8" s="42">
        <v>1799831</v>
      </c>
      <c r="J8" s="42">
        <v>1620951</v>
      </c>
      <c r="K8" s="42">
        <v>968479</v>
      </c>
      <c r="L8" s="42">
        <v>10538328</v>
      </c>
      <c r="M8" s="42">
        <v>760874</v>
      </c>
      <c r="N8" s="42">
        <v>709281</v>
      </c>
      <c r="O8" s="42">
        <v>1728467</v>
      </c>
      <c r="P8" s="42">
        <v>353537</v>
      </c>
      <c r="Q8" s="42">
        <v>0</v>
      </c>
      <c r="R8" s="42">
        <v>726056</v>
      </c>
      <c r="S8" s="42">
        <v>2820085</v>
      </c>
      <c r="T8" s="42">
        <v>33461857</v>
      </c>
      <c r="U8" s="42">
        <v>3944595</v>
      </c>
      <c r="V8" s="42">
        <v>503074</v>
      </c>
      <c r="W8" s="42">
        <v>563</v>
      </c>
      <c r="X8" s="42">
        <f>IFERROR(VLOOKUP(A8,'Trans 21-23'!$A$2:$J$229,8,0),0)</f>
        <v>0</v>
      </c>
      <c r="Y8" s="42">
        <v>5359044</v>
      </c>
      <c r="Z8" s="42">
        <v>514002</v>
      </c>
      <c r="AA8" s="42">
        <v>34957211</v>
      </c>
      <c r="AB8" s="42">
        <v>45136700</v>
      </c>
      <c r="AC8" s="42">
        <v>496767</v>
      </c>
      <c r="AD8" s="42">
        <v>159623031</v>
      </c>
      <c r="AE8" s="42">
        <v>0</v>
      </c>
      <c r="AF8" s="42">
        <v>1698313537</v>
      </c>
      <c r="AG8" s="42">
        <v>819766</v>
      </c>
      <c r="AH8" s="42">
        <v>1099349</v>
      </c>
      <c r="AI8" s="42">
        <v>22008326</v>
      </c>
      <c r="AJ8" s="42">
        <v>37739</v>
      </c>
      <c r="AK8" s="42">
        <v>0</v>
      </c>
      <c r="AL8" s="42">
        <v>10109074</v>
      </c>
      <c r="AM8" s="42">
        <v>6299648</v>
      </c>
      <c r="AN8" s="42">
        <v>2110885</v>
      </c>
      <c r="AO8" s="42">
        <v>0</v>
      </c>
      <c r="AP8" s="42">
        <v>1947122</v>
      </c>
      <c r="AQ8" s="42">
        <v>20466729</v>
      </c>
      <c r="AR8" s="42">
        <v>404509</v>
      </c>
      <c r="AS8" s="42">
        <v>20871238</v>
      </c>
      <c r="AT8" s="42">
        <v>0</v>
      </c>
      <c r="AU8" s="42">
        <v>4131</v>
      </c>
      <c r="AV8" s="42">
        <v>0</v>
      </c>
      <c r="AW8" s="42">
        <v>275367373</v>
      </c>
      <c r="AX8" s="42">
        <v>364663782</v>
      </c>
      <c r="AY8" s="42">
        <v>376942020</v>
      </c>
      <c r="AZ8" s="42">
        <v>128025095</v>
      </c>
      <c r="BA8" s="42">
        <v>363395292</v>
      </c>
      <c r="BB8" s="42">
        <v>3295901110</v>
      </c>
      <c r="BC8" s="42">
        <v>11576041585</v>
      </c>
      <c r="BD8" s="42">
        <v>409542564</v>
      </c>
      <c r="BE8" s="42">
        <v>1179924934</v>
      </c>
      <c r="BF8" s="42">
        <v>106381078</v>
      </c>
      <c r="BG8" s="42">
        <v>0</v>
      </c>
      <c r="BH8" s="42">
        <v>35948229</v>
      </c>
      <c r="BI8" s="42">
        <v>16531573</v>
      </c>
      <c r="BJ8" s="42">
        <v>4796900</v>
      </c>
      <c r="BK8" s="42">
        <v>0</v>
      </c>
      <c r="BL8" s="42">
        <v>0</v>
      </c>
      <c r="BM8" s="42">
        <v>48748667</v>
      </c>
      <c r="BN8" s="42">
        <v>151110565</v>
      </c>
      <c r="BO8" s="42">
        <v>19923708</v>
      </c>
      <c r="BP8" s="42">
        <v>21919935</v>
      </c>
      <c r="BQ8" s="42">
        <v>242194482</v>
      </c>
      <c r="BR8" s="42">
        <v>0</v>
      </c>
      <c r="BS8" s="42">
        <f>IFERROR(VLOOKUP(A8,'Trans 21-23'!$A$2:$J$229,7,0),0)</f>
        <v>0</v>
      </c>
      <c r="BT8" s="63"/>
      <c r="BU8" s="32">
        <f t="shared" si="0"/>
        <v>3295901110</v>
      </c>
      <c r="BV8" s="32">
        <f t="shared" si="1"/>
        <v>4131</v>
      </c>
      <c r="BW8" s="32">
        <f t="shared" si="2"/>
        <v>819766</v>
      </c>
      <c r="BX8" s="32">
        <f t="shared" si="3"/>
        <v>59935978</v>
      </c>
      <c r="BY8" s="32">
        <f t="shared" si="4"/>
        <v>86463724</v>
      </c>
      <c r="BZ8" s="32">
        <f t="shared" si="5"/>
        <v>128025095</v>
      </c>
      <c r="CA8" s="32">
        <f t="shared" si="6"/>
        <v>159623031</v>
      </c>
      <c r="CB8" s="32">
        <f t="shared" si="7"/>
        <v>1099349</v>
      </c>
      <c r="CC8" s="32">
        <f t="shared" si="8"/>
        <v>20466729</v>
      </c>
      <c r="CD8" s="41">
        <f t="shared" si="9"/>
        <v>1</v>
      </c>
      <c r="CE8" s="44">
        <f t="shared" si="10"/>
        <v>13</v>
      </c>
      <c r="CF8" s="27"/>
      <c r="CG8" s="28">
        <f t="shared" si="11"/>
        <v>797.84582667634947</v>
      </c>
      <c r="CH8" s="28">
        <f t="shared" si="12"/>
        <v>5.039242905902416</v>
      </c>
      <c r="CI8" s="28">
        <f t="shared" si="13"/>
        <v>73.113520199666738</v>
      </c>
      <c r="CJ8" s="28">
        <f t="shared" si="14"/>
        <v>156.17273099884602</v>
      </c>
      <c r="CK8" s="23">
        <f t="shared" si="15"/>
        <v>5.3713956929805441E-2</v>
      </c>
      <c r="CL8" s="29" t="str">
        <f t="shared" si="16"/>
        <v/>
      </c>
      <c r="CM8" s="29" t="str">
        <f t="shared" si="17"/>
        <v/>
      </c>
      <c r="CN8" s="29" t="str">
        <f t="shared" si="18"/>
        <v/>
      </c>
      <c r="CO8" s="29" t="str">
        <f t="shared" si="19"/>
        <v/>
      </c>
      <c r="CP8" s="29" t="str">
        <f t="shared" si="20"/>
        <v/>
      </c>
      <c r="CQ8" s="29">
        <f t="shared" si="21"/>
        <v>0</v>
      </c>
      <c r="CR8" s="30"/>
      <c r="CS8" s="7">
        <f>VLOOKUP(A8,'Empresas 21-23'!$A$2:$M$228,13,0)</f>
        <v>1</v>
      </c>
      <c r="CT8" s="30"/>
      <c r="CU8" s="6">
        <f t="shared" si="22"/>
        <v>2359517241.8000002</v>
      </c>
      <c r="CV8" s="6">
        <f t="shared" si="23"/>
        <v>128025095</v>
      </c>
      <c r="CW8" s="6">
        <f t="shared" si="24"/>
        <v>409542564</v>
      </c>
      <c r="CX8" s="23">
        <f t="shared" si="25"/>
        <v>0.21130322380923802</v>
      </c>
      <c r="CY8" s="23">
        <f t="shared" si="26"/>
        <v>1.1465106006746857E-2</v>
      </c>
      <c r="CZ8" s="6">
        <f t="shared" si="27"/>
        <v>2446054905.8603015</v>
      </c>
      <c r="DA8" s="6">
        <f t="shared" si="28"/>
        <v>132720543.9105349</v>
      </c>
      <c r="DB8" s="6">
        <f t="shared" si="29"/>
        <v>59935978</v>
      </c>
      <c r="DC8" s="6">
        <f t="shared" si="30"/>
        <v>59935978</v>
      </c>
      <c r="DD8" s="6">
        <f t="shared" si="31"/>
        <v>86463724</v>
      </c>
      <c r="DE8" s="6">
        <f t="shared" si="32"/>
        <v>159623031</v>
      </c>
      <c r="DF8" s="6">
        <f t="shared" si="33"/>
        <v>88351201.884453326</v>
      </c>
      <c r="DG8" s="30"/>
      <c r="DH8" s="32">
        <f>VLOOKUP(A8,'T_med_comp-USA'!$A$7:$Q$233,17,0)</f>
        <v>10.612209671894632</v>
      </c>
      <c r="DI8" s="6" t="str">
        <f t="shared" si="34"/>
        <v>5_2012</v>
      </c>
      <c r="DJ8" s="32">
        <f>IF(DI8="","",VLOOKUP(DI8,'CPI USA'!$T:$U,2,FALSE))</f>
        <v>229.59399999999999</v>
      </c>
      <c r="DK8" s="32">
        <f>IF(DI8="","",VLOOKUP(DI8,'PPI USA'!$S:$T,2,FALSE))</f>
        <v>175.1</v>
      </c>
      <c r="DL8" s="32">
        <f>IF(DI8="","",VLOOKUP(DI8,'CPI USA'!$T:$V,3,FALSE))</f>
        <v>0.66730871354337351</v>
      </c>
      <c r="DM8" s="32">
        <f>IF(DI8="","",VLOOKUP(DI8,'CPI USA'!$T:$X,5,FALSE))</f>
        <v>0.49513551903851311</v>
      </c>
      <c r="DN8" s="32">
        <f t="shared" si="35"/>
        <v>1.3897894616766442</v>
      </c>
      <c r="DO8" s="32">
        <f t="shared" si="36"/>
        <v>1.4008620811189902</v>
      </c>
      <c r="DP8" s="32">
        <f t="shared" si="37"/>
        <v>0.67885687388297278</v>
      </c>
      <c r="DQ8" s="32">
        <f>IF(DP8="","",DP8*$DO$1/'CPI USA'!$U$520+(1-DP8)*AVERAGE($DO$1,$DQ$1)/AVERAGE('CPI USA'!$U$520,'PPI USA'!$T$526))</f>
        <v>1.0693547603087685</v>
      </c>
      <c r="DR8" s="6">
        <f t="shared" si="38"/>
        <v>21328473</v>
      </c>
      <c r="DS8" s="32">
        <f t="shared" si="39"/>
        <v>0.27919918316103021</v>
      </c>
      <c r="DT8" s="28">
        <f>IF(DS8="","",DS8*$DO$1/'CPI USA'!$U$520+(1-DS8)*AVERAGE($DO$1,$DQ$1)/AVERAGE('CPI USA'!$U$520,'PPI USA'!$T$526))</f>
        <v>1.0827988726465678</v>
      </c>
      <c r="DU8" s="6">
        <f t="shared" si="40"/>
        <v>55176107.772901855</v>
      </c>
      <c r="DV8" s="6">
        <f t="shared" si="57"/>
        <v>4851071.658209539</v>
      </c>
      <c r="DW8" s="6">
        <f t="shared" si="41"/>
        <v>22752604.148997106</v>
      </c>
      <c r="DX8" s="16">
        <f t="shared" si="42"/>
        <v>0.25752455726355833</v>
      </c>
      <c r="DY8" s="28">
        <f>IF(DX8="","",DX8*$DO$1/'CPI USA'!$U$520+(1-DX8)*AVERAGE($DO$1,$DQ$1)/AVERAGE('CPI USA'!$U$520,'PPI USA'!$T$526))</f>
        <v>1.083527986866587</v>
      </c>
      <c r="DZ8" s="30"/>
      <c r="EA8" s="29" t="str">
        <f t="shared" si="43"/>
        <v>C000116</v>
      </c>
      <c r="EB8" s="29">
        <f t="shared" si="44"/>
        <v>3399501330.8471031</v>
      </c>
      <c r="EC8" s="29">
        <f t="shared" si="45"/>
        <v>185923177.34975624</v>
      </c>
      <c r="ED8" s="29">
        <f t="shared" si="46"/>
        <v>64092823.38806162</v>
      </c>
      <c r="EE8" s="29">
        <f t="shared" si="47"/>
        <v>93622822.872023985</v>
      </c>
      <c r="EF8" s="29">
        <f t="shared" si="48"/>
        <v>95730999.915105119</v>
      </c>
      <c r="EG8" s="29">
        <f t="shared" si="49"/>
        <v>4131</v>
      </c>
      <c r="EH8" s="29">
        <f t="shared" si="50"/>
        <v>819766</v>
      </c>
      <c r="EI8" s="29">
        <f t="shared" si="51"/>
        <v>1099349</v>
      </c>
      <c r="EJ8" s="29">
        <f t="shared" si="52"/>
        <v>20466729</v>
      </c>
      <c r="EK8" s="29">
        <f t="shared" si="53"/>
        <v>21559917.964467004</v>
      </c>
      <c r="EL8" s="29">
        <f>IF(CD8=1,VLOOKUP(EA8,'EIA 2022'!$A$2:$J$213,4,0)*EH8,"")</f>
        <v>54760368.799999997</v>
      </c>
      <c r="EM8" s="29">
        <f>IF(CD8=1,VLOOKUP(EA8,'EIA 2022'!$A$2:$J$213,7,0)*EH8,"")</f>
        <v>1844473.5</v>
      </c>
      <c r="EN8" s="29">
        <f>IF(CD8=1,VLOOKUP(EA8,'EIA 2022'!$A$2:$J$213,10,0),"")</f>
        <v>824923</v>
      </c>
      <c r="EO8" s="28">
        <f>IF(CD8=1,VLOOKUP(EA8,'EIA 2022'!$A$2:$Z$213,26,0),"")</f>
        <v>0</v>
      </c>
      <c r="EP8" s="23">
        <f t="shared" si="54"/>
        <v>5.0704690354976982E-2</v>
      </c>
      <c r="EQ8" s="32">
        <f t="shared" si="55"/>
        <v>6160.0355329949525</v>
      </c>
      <c r="ER8" s="32">
        <f t="shared" si="56"/>
        <v>1093188.9644670051</v>
      </c>
      <c r="ES8" s="32"/>
      <c r="ET8" s="32"/>
    </row>
    <row r="9" spans="1:150" ht="14.5">
      <c r="A9" s="7" t="s">
        <v>228</v>
      </c>
      <c r="B9" s="7" t="s">
        <v>229</v>
      </c>
      <c r="C9" s="32" t="s">
        <v>878</v>
      </c>
      <c r="D9" s="42">
        <v>0</v>
      </c>
      <c r="E9" s="42">
        <v>0</v>
      </c>
      <c r="F9" s="42">
        <v>0</v>
      </c>
      <c r="G9" s="42">
        <v>31951627</v>
      </c>
      <c r="H9" s="42">
        <v>31967990</v>
      </c>
      <c r="I9" s="42">
        <v>419436</v>
      </c>
      <c r="J9" s="42">
        <v>222054</v>
      </c>
      <c r="K9" s="42">
        <v>784445</v>
      </c>
      <c r="L9" s="42">
        <v>761329</v>
      </c>
      <c r="M9" s="42">
        <v>15861</v>
      </c>
      <c r="N9" s="42">
        <v>193857</v>
      </c>
      <c r="O9" s="42">
        <v>4293052</v>
      </c>
      <c r="P9" s="42">
        <v>0</v>
      </c>
      <c r="Q9" s="42">
        <v>881168</v>
      </c>
      <c r="R9" s="42">
        <v>151561</v>
      </c>
      <c r="S9" s="42">
        <v>1556143</v>
      </c>
      <c r="T9" s="42">
        <v>14887210</v>
      </c>
      <c r="U9" s="42">
        <v>537513</v>
      </c>
      <c r="V9" s="42">
        <v>676737</v>
      </c>
      <c r="W9" s="42">
        <v>31722</v>
      </c>
      <c r="X9" s="42">
        <f>IFERROR(VLOOKUP(A9,'Trans 21-23'!$A$2:$J$229,8,0),0)</f>
        <v>0</v>
      </c>
      <c r="Y9" s="42">
        <v>2199396</v>
      </c>
      <c r="Z9" s="42">
        <v>70493</v>
      </c>
      <c r="AA9" s="42">
        <v>11836788</v>
      </c>
      <c r="AB9" s="42">
        <v>161261</v>
      </c>
      <c r="AC9" s="42">
        <v>0</v>
      </c>
      <c r="AD9" s="42">
        <v>21211950</v>
      </c>
      <c r="AE9" s="42">
        <v>0</v>
      </c>
      <c r="AF9" s="42">
        <v>99001032</v>
      </c>
      <c r="AG9" s="42">
        <v>0</v>
      </c>
      <c r="AH9" s="42">
        <v>32275</v>
      </c>
      <c r="AI9" s="42">
        <v>495037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2">
        <v>0</v>
      </c>
      <c r="AR9" s="42">
        <v>462762</v>
      </c>
      <c r="AS9" s="42">
        <v>462762</v>
      </c>
      <c r="AT9" s="42">
        <v>0</v>
      </c>
      <c r="AU9" s="42">
        <v>292</v>
      </c>
      <c r="AV9" s="42">
        <v>0</v>
      </c>
      <c r="AW9" s="42">
        <v>175159830</v>
      </c>
      <c r="AX9" s="42">
        <v>3184903</v>
      </c>
      <c r="AY9" s="42">
        <v>23814989</v>
      </c>
      <c r="AZ9" s="42">
        <v>34355520</v>
      </c>
      <c r="BA9" s="42">
        <v>9353587</v>
      </c>
      <c r="BB9" s="42">
        <v>623934274</v>
      </c>
      <c r="BC9" s="42">
        <v>1530863013</v>
      </c>
      <c r="BD9" s="42">
        <v>142101625</v>
      </c>
      <c r="BE9" s="42">
        <v>214424948</v>
      </c>
      <c r="BF9" s="42">
        <v>14492501</v>
      </c>
      <c r="BG9" s="42">
        <v>0</v>
      </c>
      <c r="BH9" s="42">
        <v>16773112</v>
      </c>
      <c r="BI9" s="42">
        <v>6196133</v>
      </c>
      <c r="BJ9" s="42">
        <v>0</v>
      </c>
      <c r="BK9" s="42">
        <v>0</v>
      </c>
      <c r="BL9" s="42">
        <v>0</v>
      </c>
      <c r="BM9" s="42">
        <v>6797478</v>
      </c>
      <c r="BN9" s="42">
        <v>32912450</v>
      </c>
      <c r="BO9" s="42">
        <v>1282061</v>
      </c>
      <c r="BP9" s="42">
        <v>5468038</v>
      </c>
      <c r="BQ9" s="42">
        <v>49431907</v>
      </c>
      <c r="BR9" s="42">
        <v>0</v>
      </c>
      <c r="BS9" s="42">
        <f>IFERROR(VLOOKUP(A9,'Trans 21-23'!$A$2:$J$229,7,0),0)</f>
        <v>0</v>
      </c>
      <c r="BT9" s="63"/>
      <c r="BU9" s="32">
        <f t="shared" si="0"/>
        <v>623934274</v>
      </c>
      <c r="BV9" s="32">
        <f t="shared" si="1"/>
        <v>292</v>
      </c>
      <c r="BW9" s="32">
        <f t="shared" si="2"/>
        <v>0</v>
      </c>
      <c r="BX9" s="32">
        <f t="shared" si="3"/>
        <v>25412088</v>
      </c>
      <c r="BY9" s="32">
        <f t="shared" si="4"/>
        <v>14267938</v>
      </c>
      <c r="BZ9" s="32">
        <f t="shared" si="5"/>
        <v>34355520</v>
      </c>
      <c r="CA9" s="32">
        <f t="shared" si="6"/>
        <v>21211950</v>
      </c>
      <c r="CB9" s="32">
        <f t="shared" si="7"/>
        <v>32275</v>
      </c>
      <c r="CC9" s="32">
        <f t="shared" si="8"/>
        <v>0</v>
      </c>
      <c r="CD9" s="41">
        <f t="shared" si="9"/>
        <v>0</v>
      </c>
      <c r="CE9" s="44">
        <f t="shared" si="10"/>
        <v>24</v>
      </c>
      <c r="CF9" s="27"/>
      <c r="CG9" s="28" t="str">
        <f t="shared" si="11"/>
        <v/>
      </c>
      <c r="CH9" s="28" t="str">
        <f t="shared" si="12"/>
        <v/>
      </c>
      <c r="CI9" s="28" t="str">
        <f t="shared" si="13"/>
        <v/>
      </c>
      <c r="CJ9" s="28" t="str">
        <f t="shared" si="14"/>
        <v/>
      </c>
      <c r="CK9" s="23" t="str">
        <f t="shared" si="15"/>
        <v/>
      </c>
      <c r="CL9" s="29" t="str">
        <f t="shared" si="16"/>
        <v/>
      </c>
      <c r="CM9" s="29" t="str">
        <f t="shared" si="17"/>
        <v/>
      </c>
      <c r="CN9" s="29" t="str">
        <f t="shared" si="18"/>
        <v/>
      </c>
      <c r="CO9" s="29" t="str">
        <f t="shared" si="19"/>
        <v/>
      </c>
      <c r="CP9" s="29" t="str">
        <f t="shared" si="20"/>
        <v/>
      </c>
      <c r="CQ9" s="29" t="str">
        <f t="shared" si="21"/>
        <v/>
      </c>
      <c r="CR9" s="30"/>
      <c r="CS9" s="7" t="str">
        <f>VLOOKUP(A9,'Empresas 21-23'!$A$2:$M$228,13,0)</f>
        <v/>
      </c>
      <c r="CT9" s="30"/>
      <c r="CU9" s="6">
        <f t="shared" si="22"/>
        <v>564025231.79999995</v>
      </c>
      <c r="CV9" s="6">
        <f t="shared" si="23"/>
        <v>34355520</v>
      </c>
      <c r="CW9" s="6">
        <f t="shared" si="24"/>
        <v>142101625</v>
      </c>
      <c r="CX9" s="23">
        <f t="shared" si="25"/>
        <v>0.40613545039027249</v>
      </c>
      <c r="CY9" s="23">
        <f t="shared" si="26"/>
        <v>2.4738245386758981E-2</v>
      </c>
      <c r="CZ9" s="6">
        <f t="shared" si="27"/>
        <v>621737739.27056456</v>
      </c>
      <c r="DA9" s="6">
        <f t="shared" si="28"/>
        <v>37870864.869107202</v>
      </c>
      <c r="DB9" s="6">
        <f t="shared" si="29"/>
        <v>25412088</v>
      </c>
      <c r="DC9" s="6">
        <f t="shared" si="30"/>
        <v>25412088</v>
      </c>
      <c r="DD9" s="6">
        <f t="shared" si="31"/>
        <v>14267938</v>
      </c>
      <c r="DE9" s="6">
        <f t="shared" si="32"/>
        <v>21211950</v>
      </c>
      <c r="DF9" s="6">
        <f t="shared" si="33"/>
        <v>18369067.40482527</v>
      </c>
      <c r="DG9" s="30"/>
      <c r="DH9" s="32">
        <f>VLOOKUP(A9,'T_med_comp-USA'!$A$7:$Q$233,17,0)</f>
        <v>14.613871473392203</v>
      </c>
      <c r="DI9" s="6" t="str">
        <f t="shared" si="34"/>
        <v>5_2008</v>
      </c>
      <c r="DJ9" s="32">
        <f>IF(DI9="","",VLOOKUP(DI9,'CPI USA'!$T:$U,2,FALSE))</f>
        <v>215.303</v>
      </c>
      <c r="DK9" s="32">
        <f>IF(DI9="","",VLOOKUP(DI9,'PPI USA'!$S:$T,2,FALSE))</f>
        <v>159.30000000000001</v>
      </c>
      <c r="DL9" s="32">
        <f>IF(DI9="","",VLOOKUP(DI9,'CPI USA'!$T:$V,3,FALSE))</f>
        <v>0.67018812038291731</v>
      </c>
      <c r="DM9" s="32">
        <f>IF(DI9="","",VLOOKUP(DI9,'CPI USA'!$T:$X,5,FALSE))</f>
        <v>0.49838492968660258</v>
      </c>
      <c r="DN9" s="32">
        <f t="shared" si="35"/>
        <v>1.4884333659448254</v>
      </c>
      <c r="DO9" s="32">
        <f t="shared" si="36"/>
        <v>1.5036496327119213</v>
      </c>
      <c r="DP9" s="32">
        <f t="shared" si="37"/>
        <v>0.68575578733860232</v>
      </c>
      <c r="DQ9" s="32">
        <f>IF(DP9="","",DP9*$DO$1/'CPI USA'!$U$520+(1-DP9)*AVERAGE($DO$1,$DQ$1)/AVERAGE('CPI USA'!$U$520,'PPI USA'!$T$526))</f>
        <v>1.0691226872881328</v>
      </c>
      <c r="DR9" s="6">
        <f t="shared" si="38"/>
        <v>6196133</v>
      </c>
      <c r="DS9" s="32">
        <f t="shared" si="39"/>
        <v>0.45118609105171337</v>
      </c>
      <c r="DT9" s="28">
        <f>IF(DS9="","",DS9*$DO$1/'CPI USA'!$U$520+(1-DS9)*AVERAGE($DO$1,$DQ$1)/AVERAGE('CPI USA'!$U$520,'PPI USA'!$T$526))</f>
        <v>1.07701339331265</v>
      </c>
      <c r="DU9" s="6">
        <f t="shared" si="40"/>
        <v>7062264.7734598303</v>
      </c>
      <c r="DV9" s="6">
        <f t="shared" si="57"/>
        <v>845441.24194719992</v>
      </c>
      <c r="DW9" s="6">
        <f t="shared" si="41"/>
        <v>5518703.009221673</v>
      </c>
      <c r="DX9" s="16">
        <f t="shared" si="42"/>
        <v>0.30043457773866056</v>
      </c>
      <c r="DY9" s="28">
        <f>IF(DX9="","",DX9*$DO$1/'CPI USA'!$U$520+(1-DX9)*AVERAGE($DO$1,$DQ$1)/AVERAGE('CPI USA'!$U$520,'PPI USA'!$T$526))</f>
        <v>1.0820845337588976</v>
      </c>
      <c r="DZ9" s="30"/>
      <c r="EA9" s="29" t="str">
        <f t="shared" si="43"/>
        <v>C000120</v>
      </c>
      <c r="EB9" s="29" t="str">
        <f t="shared" si="44"/>
        <v/>
      </c>
      <c r="EC9" s="29" t="str">
        <f t="shared" si="45"/>
        <v/>
      </c>
      <c r="ED9" s="29" t="str">
        <f t="shared" si="46"/>
        <v/>
      </c>
      <c r="EE9" s="29" t="str">
        <f t="shared" si="47"/>
        <v/>
      </c>
      <c r="EF9" s="29" t="str">
        <f t="shared" si="48"/>
        <v/>
      </c>
      <c r="EG9" s="29" t="str">
        <f t="shared" si="49"/>
        <v/>
      </c>
      <c r="EH9" s="29" t="str">
        <f t="shared" si="50"/>
        <v/>
      </c>
      <c r="EI9" s="29" t="str">
        <f t="shared" si="51"/>
        <v/>
      </c>
      <c r="EJ9" s="29" t="str">
        <f t="shared" si="52"/>
        <v/>
      </c>
      <c r="EK9" s="29" t="str">
        <f t="shared" si="53"/>
        <v/>
      </c>
      <c r="EL9" s="29" t="str">
        <f>IF(CD9=1,VLOOKUP(EA9,'EIA 2022'!$A$2:$J$213,4,0)*EH9,"")</f>
        <v/>
      </c>
      <c r="EM9" s="29" t="str">
        <f>IF(CD9=1,VLOOKUP(EA9,'EIA 2022'!$A$2:$J$213,7,0)*EH9,"")</f>
        <v/>
      </c>
      <c r="EN9" s="29" t="str">
        <f>IF(CD9=1,VLOOKUP(EA9,'EIA 2022'!$A$2:$J$213,10,0),"")</f>
        <v/>
      </c>
      <c r="EO9" s="28" t="str">
        <f>IF(CD9=1,VLOOKUP(EA9,'EIA 2022'!$A$2:$Z$213,26,0),"")</f>
        <v/>
      </c>
      <c r="EP9" s="23" t="str">
        <f t="shared" si="54"/>
        <v/>
      </c>
      <c r="EQ9" s="32" t="str">
        <f t="shared" si="55"/>
        <v/>
      </c>
      <c r="ER9" s="32" t="str">
        <f t="shared" si="56"/>
        <v/>
      </c>
      <c r="ES9" s="32"/>
      <c r="ET9" s="32"/>
    </row>
    <row r="10" spans="1:150" ht="14.5">
      <c r="A10" s="7" t="s">
        <v>231</v>
      </c>
      <c r="B10" s="7" t="s">
        <v>232</v>
      </c>
      <c r="C10" s="32" t="s">
        <v>879</v>
      </c>
      <c r="D10" s="42">
        <v>246036552</v>
      </c>
      <c r="E10" s="42">
        <v>0</v>
      </c>
      <c r="F10" s="42">
        <v>234500</v>
      </c>
      <c r="G10" s="42">
        <v>2165847032</v>
      </c>
      <c r="H10" s="42">
        <v>2167161216</v>
      </c>
      <c r="I10" s="42">
        <v>51031280</v>
      </c>
      <c r="J10" s="42">
        <v>33958607</v>
      </c>
      <c r="K10" s="42">
        <v>0</v>
      </c>
      <c r="L10" s="42">
        <v>6554720</v>
      </c>
      <c r="M10" s="42">
        <v>37630058</v>
      </c>
      <c r="N10" s="42">
        <v>13262240</v>
      </c>
      <c r="O10" s="42">
        <v>48256847</v>
      </c>
      <c r="P10" s="42">
        <v>48529620</v>
      </c>
      <c r="Q10" s="42">
        <v>20222811</v>
      </c>
      <c r="R10" s="42">
        <v>11374339</v>
      </c>
      <c r="S10" s="42">
        <v>13952441</v>
      </c>
      <c r="T10" s="42">
        <v>86818195</v>
      </c>
      <c r="U10" s="42">
        <v>213838589</v>
      </c>
      <c r="V10" s="42">
        <v>4633663</v>
      </c>
      <c r="W10" s="42">
        <v>2202407</v>
      </c>
      <c r="X10" s="42">
        <f>IFERROR(VLOOKUP(A10,'Trans 21-23'!$A$2:$J$229,8,0),0)</f>
        <v>0</v>
      </c>
      <c r="Y10" s="42">
        <v>3078006</v>
      </c>
      <c r="Z10" s="42">
        <v>221402</v>
      </c>
      <c r="AA10" s="42">
        <v>256663735</v>
      </c>
      <c r="AB10" s="42">
        <v>381798739</v>
      </c>
      <c r="AC10" s="42">
        <v>0</v>
      </c>
      <c r="AD10" s="42">
        <v>599272993</v>
      </c>
      <c r="AE10" s="42">
        <v>0</v>
      </c>
      <c r="AF10" s="42">
        <v>4595456350</v>
      </c>
      <c r="AG10" s="42">
        <v>3593840</v>
      </c>
      <c r="AH10" s="42">
        <v>3354159</v>
      </c>
      <c r="AI10" s="42">
        <v>56735187</v>
      </c>
      <c r="AJ10" s="42">
        <v>90151</v>
      </c>
      <c r="AK10" s="42">
        <v>0</v>
      </c>
      <c r="AL10" s="42">
        <v>13991062</v>
      </c>
      <c r="AM10" s="42">
        <v>28366985</v>
      </c>
      <c r="AN10" s="42">
        <v>391185</v>
      </c>
      <c r="AO10" s="42">
        <v>7700</v>
      </c>
      <c r="AP10" s="42">
        <v>687415</v>
      </c>
      <c r="AQ10" s="42">
        <v>43547140</v>
      </c>
      <c r="AR10" s="42">
        <v>386583</v>
      </c>
      <c r="AS10" s="42">
        <v>43933723</v>
      </c>
      <c r="AT10" s="42">
        <v>102793</v>
      </c>
      <c r="AU10" s="42">
        <v>6227</v>
      </c>
      <c r="AV10" s="42">
        <v>0</v>
      </c>
      <c r="AW10" s="42">
        <v>1335085224</v>
      </c>
      <c r="AX10" s="42">
        <v>5186449577</v>
      </c>
      <c r="AY10" s="42">
        <v>7957638356</v>
      </c>
      <c r="AZ10" s="42">
        <v>800501199</v>
      </c>
      <c r="BA10" s="42">
        <v>570313033</v>
      </c>
      <c r="BB10" s="42">
        <v>27514057289</v>
      </c>
      <c r="BC10" s="42">
        <v>34150184069</v>
      </c>
      <c r="BD10" s="42">
        <v>137891749</v>
      </c>
      <c r="BE10" s="42">
        <v>6408342610</v>
      </c>
      <c r="BF10" s="42">
        <v>888040514</v>
      </c>
      <c r="BG10" s="42">
        <v>0</v>
      </c>
      <c r="BH10" s="42">
        <v>218325732</v>
      </c>
      <c r="BI10" s="42">
        <v>117385443</v>
      </c>
      <c r="BJ10" s="42">
        <v>19112200</v>
      </c>
      <c r="BK10" s="42">
        <v>0</v>
      </c>
      <c r="BL10" s="42">
        <v>0</v>
      </c>
      <c r="BM10" s="42">
        <v>117673209</v>
      </c>
      <c r="BN10" s="42">
        <v>585055254</v>
      </c>
      <c r="BO10" s="42">
        <v>0</v>
      </c>
      <c r="BP10" s="42">
        <v>0</v>
      </c>
      <c r="BQ10" s="42">
        <v>1754123545</v>
      </c>
      <c r="BR10" s="42">
        <v>0</v>
      </c>
      <c r="BS10" s="42">
        <f>IFERROR(VLOOKUP(A10,'Trans 21-23'!$A$2:$J$229,7,0),0)</f>
        <v>0</v>
      </c>
      <c r="BT10" s="63"/>
      <c r="BU10" s="32">
        <f t="shared" si="0"/>
        <v>27514057289</v>
      </c>
      <c r="BV10" s="32">
        <f t="shared" si="1"/>
        <v>6227</v>
      </c>
      <c r="BW10" s="32">
        <f t="shared" si="2"/>
        <v>3593840</v>
      </c>
      <c r="BX10" s="32">
        <f t="shared" si="3"/>
        <v>592265817</v>
      </c>
      <c r="BY10" s="32">
        <f t="shared" si="4"/>
        <v>641761882</v>
      </c>
      <c r="BZ10" s="32">
        <f t="shared" si="5"/>
        <v>800501199</v>
      </c>
      <c r="CA10" s="32">
        <f t="shared" si="6"/>
        <v>599272993</v>
      </c>
      <c r="CB10" s="32">
        <f t="shared" si="7"/>
        <v>3354159</v>
      </c>
      <c r="CC10" s="32">
        <f t="shared" si="8"/>
        <v>43547140</v>
      </c>
      <c r="CD10" s="41">
        <f t="shared" si="9"/>
        <v>1</v>
      </c>
      <c r="CE10" s="44">
        <f t="shared" si="10"/>
        <v>14</v>
      </c>
      <c r="CF10" s="27"/>
      <c r="CG10" s="28">
        <f t="shared" si="11"/>
        <v>4418.5092803918424</v>
      </c>
      <c r="CH10" s="28">
        <f t="shared" si="12"/>
        <v>1.7326870422723326</v>
      </c>
      <c r="CI10" s="28">
        <f t="shared" si="13"/>
        <v>164.80027408009261</v>
      </c>
      <c r="CJ10" s="28">
        <f t="shared" si="14"/>
        <v>222.74258147274224</v>
      </c>
      <c r="CK10" s="23">
        <f t="shared" si="15"/>
        <v>7.7023634617566158E-2</v>
      </c>
      <c r="CL10" s="29">
        <f t="shared" si="16"/>
        <v>1</v>
      </c>
      <c r="CM10" s="29" t="str">
        <f t="shared" si="17"/>
        <v/>
      </c>
      <c r="CN10" s="29" t="str">
        <f t="shared" si="18"/>
        <v/>
      </c>
      <c r="CO10" s="29" t="str">
        <f t="shared" si="19"/>
        <v/>
      </c>
      <c r="CP10" s="29" t="str">
        <f t="shared" si="20"/>
        <v/>
      </c>
      <c r="CQ10" s="29">
        <f t="shared" si="21"/>
        <v>1</v>
      </c>
      <c r="CR10" s="30"/>
      <c r="CS10" s="7" t="str">
        <f>VLOOKUP(A10,'Empresas 21-23'!$A$2:$M$228,13,0)</f>
        <v/>
      </c>
      <c r="CT10" s="30"/>
      <c r="CU10" s="6">
        <f t="shared" si="22"/>
        <v>18256790297.200001</v>
      </c>
      <c r="CV10" s="6">
        <f t="shared" si="23"/>
        <v>800501199</v>
      </c>
      <c r="CW10" s="6">
        <f t="shared" si="24"/>
        <v>137891749</v>
      </c>
      <c r="CX10" s="23">
        <f t="shared" si="25"/>
        <v>0.53677035718244115</v>
      </c>
      <c r="CY10" s="23">
        <f t="shared" si="26"/>
        <v>2.3535643862771551E-2</v>
      </c>
      <c r="CZ10" s="6">
        <f t="shared" si="27"/>
        <v>18330806500.563244</v>
      </c>
      <c r="DA10" s="6">
        <f t="shared" si="28"/>
        <v>803746570.09607863</v>
      </c>
      <c r="DB10" s="6">
        <f t="shared" si="29"/>
        <v>592265817</v>
      </c>
      <c r="DC10" s="6">
        <f t="shared" si="30"/>
        <v>592265817</v>
      </c>
      <c r="DD10" s="6">
        <f t="shared" si="31"/>
        <v>641761882</v>
      </c>
      <c r="DE10" s="6">
        <f t="shared" si="32"/>
        <v>599272993</v>
      </c>
      <c r="DF10" s="6">
        <f t="shared" si="33"/>
        <v>467236748.57293564</v>
      </c>
      <c r="DG10" s="30"/>
      <c r="DH10" s="32">
        <f>VLOOKUP(A10,'T_med_comp-USA'!$A$7:$Q$233,17,0)</f>
        <v>7.2176854877143723</v>
      </c>
      <c r="DI10" s="6" t="str">
        <f t="shared" si="34"/>
        <v>10_2015</v>
      </c>
      <c r="DJ10" s="32">
        <f>IF(DI10="","",VLOOKUP(DI10,'CPI USA'!$T:$U,2,FALSE))</f>
        <v>237.83799999999999</v>
      </c>
      <c r="DK10" s="32">
        <f>IF(DI10="","",VLOOKUP(DI10,'PPI USA'!$S:$T,2,FALSE))</f>
        <v>182.1</v>
      </c>
      <c r="DL10" s="32">
        <f>IF(DI10="","",VLOOKUP(DI10,'CPI USA'!$T:$V,3,FALSE))</f>
        <v>0.6679408278919865</v>
      </c>
      <c r="DM10" s="32">
        <f>IF(DI10="","",VLOOKUP(DI10,'CPI USA'!$T:$X,5,FALSE))</f>
        <v>0.49584761624008583</v>
      </c>
      <c r="DN10" s="32">
        <f t="shared" si="35"/>
        <v>1.3407975583818763</v>
      </c>
      <c r="DO10" s="32">
        <f t="shared" si="36"/>
        <v>1.3510774614940946</v>
      </c>
      <c r="DP10" s="32">
        <f t="shared" si="37"/>
        <v>0.36862794666402299</v>
      </c>
      <c r="DQ10" s="32">
        <f>IF(DP10="","",DP10*$DO$1/'CPI USA'!$U$520+(1-DP10)*AVERAGE($DO$1,$DQ$1)/AVERAGE('CPI USA'!$U$520,'PPI USA'!$T$526))</f>
        <v>1.0797905723669137</v>
      </c>
      <c r="DR10" s="6">
        <f t="shared" si="38"/>
        <v>136497643</v>
      </c>
      <c r="DS10" s="32">
        <f t="shared" si="39"/>
        <v>0.21269203863373112</v>
      </c>
      <c r="DT10" s="28">
        <f>IF(DS10="","",DS10*$DO$1/'CPI USA'!$U$520+(1-DS10)*AVERAGE($DO$1,$DQ$1)/AVERAGE('CPI USA'!$U$520,'PPI USA'!$T$526))</f>
        <v>1.0850361110209279</v>
      </c>
      <c r="DU10" s="6">
        <f t="shared" si="40"/>
        <v>117673209</v>
      </c>
      <c r="DV10" s="6">
        <f t="shared" si="57"/>
        <v>0</v>
      </c>
      <c r="DW10" s="6">
        <f t="shared" si="41"/>
        <v>71366259.646410048</v>
      </c>
      <c r="DX10" s="16">
        <f t="shared" si="42"/>
        <v>0.2</v>
      </c>
      <c r="DY10" s="28">
        <f>IF(DX10="","",DX10*$DO$1/'CPI USA'!$U$520+(1-DX10)*AVERAGE($DO$1,$DQ$1)/AVERAGE('CPI USA'!$U$520,'PPI USA'!$T$526))</f>
        <v>1.0854630593748538</v>
      </c>
      <c r="DZ10" s="30"/>
      <c r="EA10" s="29" t="str">
        <f t="shared" si="43"/>
        <v>C000134</v>
      </c>
      <c r="EB10" s="29">
        <f t="shared" si="44"/>
        <v>24577900599.125824</v>
      </c>
      <c r="EC10" s="29">
        <f t="shared" si="45"/>
        <v>1085923875.6099954</v>
      </c>
      <c r="ED10" s="29">
        <f t="shared" si="46"/>
        <v>639523045.53178775</v>
      </c>
      <c r="EE10" s="29">
        <f t="shared" si="47"/>
        <v>696334816.64675164</v>
      </c>
      <c r="EF10" s="29">
        <f t="shared" si="48"/>
        <v>507168230.55833805</v>
      </c>
      <c r="EG10" s="29">
        <f t="shared" si="49"/>
        <v>6227</v>
      </c>
      <c r="EH10" s="29">
        <f t="shared" si="50"/>
        <v>3593840</v>
      </c>
      <c r="EI10" s="29">
        <f t="shared" si="51"/>
        <v>3354159</v>
      </c>
      <c r="EJ10" s="29">
        <f t="shared" si="52"/>
        <v>43547140</v>
      </c>
      <c r="EK10" s="29">
        <f t="shared" si="53"/>
        <v>46895411.949238576</v>
      </c>
      <c r="EL10" s="29">
        <f>IF(CD10=1,VLOOKUP(EA10,'EIA 2022'!$A$2:$J$213,4,0)*EH10,"")</f>
        <v>65336011.199999996</v>
      </c>
      <c r="EM10" s="29">
        <f>IF(CD10=1,VLOOKUP(EA10,'EIA 2022'!$A$2:$J$213,7,0)*EH10,"")</f>
        <v>517512.95999999996</v>
      </c>
      <c r="EN10" s="29">
        <f>IF(CD10=1,VLOOKUP(EA10,'EIA 2022'!$A$2:$J$213,10,0),"")</f>
        <v>0</v>
      </c>
      <c r="EO10" s="28">
        <f>IF(CD10=1,VLOOKUP(EA10,'EIA 2022'!$A$2:$Z$213,26,0),"")</f>
        <v>0</v>
      </c>
      <c r="EP10" s="23">
        <f t="shared" si="54"/>
        <v>7.1398710664123802E-2</v>
      </c>
      <c r="EQ10" s="32">
        <f t="shared" si="55"/>
        <v>5887.0507614213275</v>
      </c>
      <c r="ER10" s="32">
        <f t="shared" si="56"/>
        <v>3348271.9492385788</v>
      </c>
      <c r="ES10" s="32"/>
      <c r="ET10" s="32"/>
    </row>
    <row r="11" spans="1:150" ht="14.5">
      <c r="A11" s="7" t="s">
        <v>234</v>
      </c>
      <c r="B11" s="7" t="s">
        <v>235</v>
      </c>
      <c r="C11" s="32" t="s">
        <v>880</v>
      </c>
      <c r="D11" s="42">
        <v>258205111</v>
      </c>
      <c r="E11" s="42">
        <v>176589012</v>
      </c>
      <c r="F11" s="42">
        <v>1494147201</v>
      </c>
      <c r="G11" s="42">
        <v>926940696</v>
      </c>
      <c r="H11" s="42">
        <v>603269002</v>
      </c>
      <c r="I11" s="42">
        <v>591994</v>
      </c>
      <c r="J11" s="42">
        <v>737871</v>
      </c>
      <c r="K11" s="42">
        <v>3335535</v>
      </c>
      <c r="L11" s="42">
        <v>581761</v>
      </c>
      <c r="M11" s="42">
        <v>7332901</v>
      </c>
      <c r="N11" s="42">
        <v>5334334</v>
      </c>
      <c r="O11" s="42">
        <v>24779632</v>
      </c>
      <c r="P11" s="42">
        <v>4115395</v>
      </c>
      <c r="Q11" s="42">
        <v>1364697</v>
      </c>
      <c r="R11" s="42">
        <v>0</v>
      </c>
      <c r="S11" s="42">
        <v>3902824</v>
      </c>
      <c r="T11" s="42">
        <v>119401831</v>
      </c>
      <c r="U11" s="42">
        <v>5477957</v>
      </c>
      <c r="V11" s="42">
        <v>739127</v>
      </c>
      <c r="W11" s="42">
        <v>77389</v>
      </c>
      <c r="X11" s="42">
        <f>IFERROR(VLOOKUP(A11,'Trans 21-23'!$A$2:$J$229,8,0),0)</f>
        <v>8679183</v>
      </c>
      <c r="Y11" s="42">
        <v>4789683</v>
      </c>
      <c r="Z11" s="42">
        <v>1382160</v>
      </c>
      <c r="AA11" s="42">
        <v>73091235</v>
      </c>
      <c r="AB11" s="42">
        <v>4325152</v>
      </c>
      <c r="AC11" s="42">
        <v>9544563</v>
      </c>
      <c r="AD11" s="42">
        <v>346449054</v>
      </c>
      <c r="AE11" s="42">
        <v>0</v>
      </c>
      <c r="AF11" s="42">
        <v>3824193004</v>
      </c>
      <c r="AG11" s="42">
        <v>1688598</v>
      </c>
      <c r="AH11" s="42">
        <v>1483234</v>
      </c>
      <c r="AI11" s="42">
        <v>72006623</v>
      </c>
      <c r="AJ11" s="42">
        <v>85218</v>
      </c>
      <c r="AK11" s="42">
        <v>0</v>
      </c>
      <c r="AL11" s="42">
        <v>19016880</v>
      </c>
      <c r="AM11" s="42">
        <v>13733325</v>
      </c>
      <c r="AN11" s="42">
        <v>10564012</v>
      </c>
      <c r="AO11" s="42">
        <v>25383</v>
      </c>
      <c r="AP11" s="42">
        <v>1512135</v>
      </c>
      <c r="AQ11" s="42">
        <v>44851735</v>
      </c>
      <c r="AR11" s="42">
        <v>25586436</v>
      </c>
      <c r="AS11" s="42">
        <v>70438171</v>
      </c>
      <c r="AT11" s="42">
        <v>0</v>
      </c>
      <c r="AU11" s="42">
        <v>13814</v>
      </c>
      <c r="AV11" s="42">
        <v>0</v>
      </c>
      <c r="AW11" s="42">
        <v>1691818956</v>
      </c>
      <c r="AX11" s="42">
        <v>252978455</v>
      </c>
      <c r="AY11" s="42">
        <v>1644878540</v>
      </c>
      <c r="AZ11" s="42">
        <v>337756067</v>
      </c>
      <c r="BA11" s="42">
        <v>326590182</v>
      </c>
      <c r="BB11" s="42">
        <v>9236057074</v>
      </c>
      <c r="BC11" s="42">
        <v>35761364600</v>
      </c>
      <c r="BD11" s="42">
        <v>970652606</v>
      </c>
      <c r="BE11" s="42">
        <v>3425264543</v>
      </c>
      <c r="BF11" s="42">
        <v>205797631</v>
      </c>
      <c r="BG11" s="42">
        <v>0</v>
      </c>
      <c r="BH11" s="42">
        <v>47482616</v>
      </c>
      <c r="BI11" s="42">
        <v>21610194</v>
      </c>
      <c r="BJ11" s="42">
        <v>2737172</v>
      </c>
      <c r="BK11" s="42">
        <v>5443237</v>
      </c>
      <c r="BL11" s="42">
        <v>0</v>
      </c>
      <c r="BM11" s="42">
        <v>104888582</v>
      </c>
      <c r="BN11" s="42">
        <v>534505013</v>
      </c>
      <c r="BO11" s="42">
        <v>270703</v>
      </c>
      <c r="BP11" s="42">
        <v>12522904</v>
      </c>
      <c r="BQ11" s="42">
        <v>778182622</v>
      </c>
      <c r="BR11" s="42">
        <v>0</v>
      </c>
      <c r="BS11" s="42">
        <f>IFERROR(VLOOKUP(A11,'Trans 21-23'!$A$2:$J$229,7,0),0)</f>
        <v>786018134</v>
      </c>
      <c r="BT11" s="63"/>
      <c r="BU11" s="32">
        <f t="shared" si="0"/>
        <v>9236057074</v>
      </c>
      <c r="BV11" s="32">
        <f t="shared" si="1"/>
        <v>13814</v>
      </c>
      <c r="BW11" s="32">
        <f t="shared" si="2"/>
        <v>1688598</v>
      </c>
      <c r="BX11" s="32">
        <f t="shared" si="3"/>
        <v>177773248</v>
      </c>
      <c r="BY11" s="32">
        <f t="shared" si="4"/>
        <v>93132793</v>
      </c>
      <c r="BZ11" s="32">
        <f t="shared" si="5"/>
        <v>337756067</v>
      </c>
      <c r="CA11" s="32">
        <f t="shared" si="6"/>
        <v>346449054</v>
      </c>
      <c r="CB11" s="32">
        <f t="shared" si="7"/>
        <v>1483234</v>
      </c>
      <c r="CC11" s="32">
        <f t="shared" si="8"/>
        <v>44851735</v>
      </c>
      <c r="CD11" s="41">
        <f t="shared" si="9"/>
        <v>1</v>
      </c>
      <c r="CE11" s="44">
        <f t="shared" si="10"/>
        <v>8</v>
      </c>
      <c r="CF11" s="27"/>
      <c r="CG11" s="28">
        <f t="shared" si="11"/>
        <v>668.60120703633993</v>
      </c>
      <c r="CH11" s="28">
        <f t="shared" si="12"/>
        <v>8.1807511320041826</v>
      </c>
      <c r="CI11" s="28">
        <f t="shared" si="13"/>
        <v>105.27860864456785</v>
      </c>
      <c r="CJ11" s="28">
        <f t="shared" si="14"/>
        <v>200.02159602226226</v>
      </c>
      <c r="CK11" s="23">
        <f t="shared" si="15"/>
        <v>3.3069712910771459E-2</v>
      </c>
      <c r="CL11" s="29" t="str">
        <f t="shared" si="16"/>
        <v/>
      </c>
      <c r="CM11" s="29" t="str">
        <f t="shared" si="17"/>
        <v/>
      </c>
      <c r="CN11" s="29" t="str">
        <f t="shared" si="18"/>
        <v/>
      </c>
      <c r="CO11" s="29" t="str">
        <f t="shared" si="19"/>
        <v/>
      </c>
      <c r="CP11" s="29" t="str">
        <f t="shared" si="20"/>
        <v/>
      </c>
      <c r="CQ11" s="29">
        <f t="shared" si="21"/>
        <v>0</v>
      </c>
      <c r="CR11" s="30"/>
      <c r="CS11" s="7">
        <f>VLOOKUP(A11,'Empresas 21-23'!$A$2:$M$228,13,0)</f>
        <v>1</v>
      </c>
      <c r="CT11" s="30"/>
      <c r="CU11" s="6">
        <f t="shared" si="22"/>
        <v>8219014762</v>
      </c>
      <c r="CV11" s="6">
        <f t="shared" si="23"/>
        <v>337756067</v>
      </c>
      <c r="CW11" s="6">
        <f t="shared" si="24"/>
        <v>970652606</v>
      </c>
      <c r="CX11" s="23">
        <f t="shared" si="25"/>
        <v>0.23624163723402528</v>
      </c>
      <c r="CY11" s="23">
        <f t="shared" si="26"/>
        <v>9.7082252026991969E-3</v>
      </c>
      <c r="CZ11" s="6">
        <f t="shared" si="27"/>
        <v>8448323322.8269129</v>
      </c>
      <c r="DA11" s="6">
        <f t="shared" si="28"/>
        <v>347179381.09263486</v>
      </c>
      <c r="DB11" s="6">
        <f t="shared" si="29"/>
        <v>177773248</v>
      </c>
      <c r="DC11" s="6">
        <f t="shared" si="30"/>
        <v>186452431</v>
      </c>
      <c r="DD11" s="6">
        <f t="shared" si="31"/>
        <v>93132793</v>
      </c>
      <c r="DE11" s="6">
        <f t="shared" si="32"/>
        <v>346449054</v>
      </c>
      <c r="DF11" s="6">
        <f t="shared" si="33"/>
        <v>102441662.47352627</v>
      </c>
      <c r="DG11" s="30"/>
      <c r="DH11" s="32">
        <f>VLOOKUP(A11,'T_med_comp-USA'!$A$7:$Q$233,17,0)</f>
        <v>10.425215746535534</v>
      </c>
      <c r="DI11" s="6" t="str">
        <f t="shared" si="34"/>
        <v>7_2012</v>
      </c>
      <c r="DJ11" s="32">
        <f>IF(DI11="","",VLOOKUP(DI11,'CPI USA'!$T:$U,2,FALSE))</f>
        <v>229.59399999999999</v>
      </c>
      <c r="DK11" s="32">
        <f>IF(DI11="","",VLOOKUP(DI11,'PPI USA'!$S:$T,2,FALSE))</f>
        <v>175.1</v>
      </c>
      <c r="DL11" s="32">
        <f>IF(DI11="","",VLOOKUP(DI11,'CPI USA'!$T:$V,3,FALSE))</f>
        <v>0.66730871354337351</v>
      </c>
      <c r="DM11" s="32">
        <f>IF(DI11="","",VLOOKUP(DI11,'CPI USA'!$T:$X,5,FALSE))</f>
        <v>0.49513551903851311</v>
      </c>
      <c r="DN11" s="32">
        <f t="shared" si="35"/>
        <v>1.3897894616766442</v>
      </c>
      <c r="DO11" s="32">
        <f t="shared" si="36"/>
        <v>1.4008620811189902</v>
      </c>
      <c r="DP11" s="32">
        <f t="shared" si="37"/>
        <v>0.26723179311943929</v>
      </c>
      <c r="DQ11" s="32">
        <f>IF(DP11="","",DP11*$DO$1/'CPI USA'!$U$520+(1-DP11)*AVERAGE($DO$1,$DQ$1)/AVERAGE('CPI USA'!$U$520,'PPI USA'!$T$526))</f>
        <v>1.0832014444970401</v>
      </c>
      <c r="DR11" s="6">
        <f t="shared" si="38"/>
        <v>29790603</v>
      </c>
      <c r="DS11" s="32">
        <f t="shared" si="39"/>
        <v>0.32003432576682617</v>
      </c>
      <c r="DT11" s="28">
        <f>IF(DS11="","",DS11*$DO$1/'CPI USA'!$U$520+(1-DS11)*AVERAGE($DO$1,$DQ$1)/AVERAGE('CPI USA'!$U$520,'PPI USA'!$T$526))</f>
        <v>1.0814252164971498</v>
      </c>
      <c r="DU11" s="6">
        <f t="shared" si="40"/>
        <v>104941703.39853242</v>
      </c>
      <c r="DV11" s="6">
        <f t="shared" si="57"/>
        <v>1715526.6395797618</v>
      </c>
      <c r="DW11" s="6">
        <f t="shared" si="41"/>
        <v>15419401.678592715</v>
      </c>
      <c r="DX11" s="16">
        <f t="shared" si="42"/>
        <v>0.2</v>
      </c>
      <c r="DY11" s="28">
        <f>IF(DX11="","",DX11*$DO$1/'CPI USA'!$U$520+(1-DX11)*AVERAGE($DO$1,$DQ$1)/AVERAGE('CPI USA'!$U$520,'PPI USA'!$T$526))</f>
        <v>1.0854630593748538</v>
      </c>
      <c r="DZ11" s="30"/>
      <c r="EA11" s="29" t="str">
        <f t="shared" si="43"/>
        <v>C000135</v>
      </c>
      <c r="EB11" s="29">
        <f t="shared" si="44"/>
        <v>11741390722.901854</v>
      </c>
      <c r="EC11" s="29">
        <f t="shared" si="45"/>
        <v>486350430.31903148</v>
      </c>
      <c r="ED11" s="29">
        <f t="shared" si="46"/>
        <v>201965542.5891847</v>
      </c>
      <c r="EE11" s="29">
        <f t="shared" si="47"/>
        <v>100716150.83300924</v>
      </c>
      <c r="EF11" s="29">
        <f t="shared" si="48"/>
        <v>111196640.35595997</v>
      </c>
      <c r="EG11" s="29">
        <f t="shared" si="49"/>
        <v>13814</v>
      </c>
      <c r="EH11" s="29">
        <f t="shared" si="50"/>
        <v>1688598</v>
      </c>
      <c r="EI11" s="29">
        <f t="shared" si="51"/>
        <v>1483234</v>
      </c>
      <c r="EJ11" s="29">
        <f t="shared" si="52"/>
        <v>44851735</v>
      </c>
      <c r="EK11" s="29">
        <f t="shared" si="53"/>
        <v>45945327.842639595</v>
      </c>
      <c r="EL11" s="29">
        <f>IF(CD11=1,VLOOKUP(EA11,'EIA 2022'!$A$2:$J$213,4,0)*EH11,"")</f>
        <v>240034205.70000002</v>
      </c>
      <c r="EM11" s="29">
        <f>IF(CD11=1,VLOOKUP(EA11,'EIA 2022'!$A$2:$J$213,7,0)*EH11,"")</f>
        <v>3873643.8119999999</v>
      </c>
      <c r="EN11" s="29">
        <f>IF(CD11=1,VLOOKUP(EA11,'EIA 2022'!$A$2:$J$213,10,0),"")</f>
        <v>1524297</v>
      </c>
      <c r="EO11" s="28">
        <f>IF(CD11=1,VLOOKUP(EA11,'EIA 2022'!$A$2:$Z$213,26,0),"")</f>
        <v>0</v>
      </c>
      <c r="EP11" s="23">
        <f t="shared" si="54"/>
        <v>2.3802046780144762E-2</v>
      </c>
      <c r="EQ11" s="32">
        <f t="shared" si="55"/>
        <v>389641.15736040473</v>
      </c>
      <c r="ER11" s="32">
        <f t="shared" si="56"/>
        <v>1093592.8426395953</v>
      </c>
      <c r="ES11" s="32"/>
      <c r="ET11" s="32"/>
    </row>
    <row r="12" spans="1:150" ht="14.5">
      <c r="A12" s="7" t="s">
        <v>237</v>
      </c>
      <c r="B12" s="7" t="s">
        <v>238</v>
      </c>
      <c r="C12" s="32" t="s">
        <v>881</v>
      </c>
      <c r="D12" s="42">
        <v>461329005</v>
      </c>
      <c r="E12" s="42">
        <v>0</v>
      </c>
      <c r="F12" s="42">
        <v>2147445713</v>
      </c>
      <c r="G12" s="42">
        <v>896932207</v>
      </c>
      <c r="H12" s="42">
        <v>899404386</v>
      </c>
      <c r="I12" s="42">
        <v>1326227</v>
      </c>
      <c r="J12" s="42">
        <v>246354</v>
      </c>
      <c r="K12" s="42">
        <v>3404407</v>
      </c>
      <c r="L12" s="42">
        <v>4878974</v>
      </c>
      <c r="M12" s="42">
        <v>3988227</v>
      </c>
      <c r="N12" s="42">
        <v>4286673</v>
      </c>
      <c r="O12" s="42">
        <v>23590409</v>
      </c>
      <c r="P12" s="42">
        <v>2250587</v>
      </c>
      <c r="Q12" s="42">
        <v>1013064</v>
      </c>
      <c r="R12" s="42">
        <v>0</v>
      </c>
      <c r="S12" s="42">
        <v>3227349</v>
      </c>
      <c r="T12" s="42">
        <v>75401264</v>
      </c>
      <c r="U12" s="42">
        <v>7208645</v>
      </c>
      <c r="V12" s="42">
        <v>165325</v>
      </c>
      <c r="W12" s="42">
        <v>262269</v>
      </c>
      <c r="X12" s="42">
        <f>IFERROR(VLOOKUP(A12,'Trans 21-23'!$A$2:$J$229,8,0),0)</f>
        <v>21103063</v>
      </c>
      <c r="Y12" s="42">
        <v>6145631</v>
      </c>
      <c r="Z12" s="42">
        <v>2434970</v>
      </c>
      <c r="AA12" s="42">
        <v>111131023</v>
      </c>
      <c r="AB12" s="42">
        <v>100179423</v>
      </c>
      <c r="AC12" s="42">
        <v>14159814</v>
      </c>
      <c r="AD12" s="42">
        <v>302151195</v>
      </c>
      <c r="AE12" s="42">
        <v>0</v>
      </c>
      <c r="AF12" s="42">
        <v>4415332133</v>
      </c>
      <c r="AG12" s="42">
        <v>1933066</v>
      </c>
      <c r="AH12" s="42">
        <v>2209873</v>
      </c>
      <c r="AI12" s="42">
        <v>47983596</v>
      </c>
      <c r="AJ12" s="42">
        <v>126751</v>
      </c>
      <c r="AK12" s="42">
        <v>0</v>
      </c>
      <c r="AL12" s="42">
        <v>21507947</v>
      </c>
      <c r="AM12" s="42">
        <v>12219665</v>
      </c>
      <c r="AN12" s="42">
        <v>3507790</v>
      </c>
      <c r="AO12" s="42">
        <v>33022</v>
      </c>
      <c r="AP12" s="42">
        <v>3243549</v>
      </c>
      <c r="AQ12" s="42">
        <v>40511973</v>
      </c>
      <c r="AR12" s="42">
        <v>5134999</v>
      </c>
      <c r="AS12" s="42">
        <v>45646972</v>
      </c>
      <c r="AT12" s="42">
        <v>0</v>
      </c>
      <c r="AU12" s="42">
        <v>9974</v>
      </c>
      <c r="AV12" s="42">
        <v>0</v>
      </c>
      <c r="AW12" s="42">
        <v>1269065143</v>
      </c>
      <c r="AX12" s="42">
        <v>504665099</v>
      </c>
      <c r="AY12" s="42">
        <v>1347538823</v>
      </c>
      <c r="AZ12" s="42">
        <v>363472976</v>
      </c>
      <c r="BA12" s="42">
        <v>624940732</v>
      </c>
      <c r="BB12" s="42">
        <v>8281250050</v>
      </c>
      <c r="BC12" s="42">
        <v>23930311760</v>
      </c>
      <c r="BD12" s="42">
        <v>742931384</v>
      </c>
      <c r="BE12" s="42">
        <v>2048053607</v>
      </c>
      <c r="BF12" s="42">
        <v>233162469</v>
      </c>
      <c r="BG12" s="42">
        <v>0</v>
      </c>
      <c r="BH12" s="42">
        <v>43918115</v>
      </c>
      <c r="BI12" s="42">
        <v>25336743</v>
      </c>
      <c r="BJ12" s="42">
        <v>5631357</v>
      </c>
      <c r="BK12" s="42">
        <v>7451319</v>
      </c>
      <c r="BL12" s="42">
        <v>0</v>
      </c>
      <c r="BM12" s="42">
        <v>79996401</v>
      </c>
      <c r="BN12" s="42">
        <v>261061744</v>
      </c>
      <c r="BO12" s="42">
        <v>101486</v>
      </c>
      <c r="BP12" s="42">
        <v>43692394</v>
      </c>
      <c r="BQ12" s="42">
        <v>521676566</v>
      </c>
      <c r="BR12" s="42">
        <v>0</v>
      </c>
      <c r="BS12" s="42">
        <f>IFERROR(VLOOKUP(A12,'Trans 21-23'!$A$2:$J$229,7,0),0)</f>
        <v>1911169622</v>
      </c>
      <c r="BT12" s="63"/>
      <c r="BU12" s="32">
        <f t="shared" si="0"/>
        <v>8281250050</v>
      </c>
      <c r="BV12" s="32">
        <f t="shared" si="1"/>
        <v>9974</v>
      </c>
      <c r="BW12" s="32">
        <f t="shared" si="2"/>
        <v>1933066</v>
      </c>
      <c r="BX12" s="32">
        <f t="shared" si="3"/>
        <v>131249774</v>
      </c>
      <c r="BY12" s="32">
        <f t="shared" si="4"/>
        <v>234050861</v>
      </c>
      <c r="BZ12" s="32">
        <f t="shared" si="5"/>
        <v>363472976</v>
      </c>
      <c r="CA12" s="32">
        <f t="shared" si="6"/>
        <v>302151195</v>
      </c>
      <c r="CB12" s="32">
        <f t="shared" si="7"/>
        <v>2209873</v>
      </c>
      <c r="CC12" s="32">
        <f t="shared" si="8"/>
        <v>40511973</v>
      </c>
      <c r="CD12" s="41">
        <f t="shared" si="9"/>
        <v>1</v>
      </c>
      <c r="CE12" s="44">
        <f t="shared" si="10"/>
        <v>9</v>
      </c>
      <c r="CF12" s="27"/>
      <c r="CG12" s="28">
        <f t="shared" si="11"/>
        <v>830.28374273110092</v>
      </c>
      <c r="CH12" s="28">
        <f t="shared" si="12"/>
        <v>5.1596789762998263</v>
      </c>
      <c r="CI12" s="28">
        <f t="shared" si="13"/>
        <v>67.897202682163979</v>
      </c>
      <c r="CJ12" s="28">
        <f t="shared" si="14"/>
        <v>188.02926335676071</v>
      </c>
      <c r="CK12" s="23">
        <f t="shared" si="15"/>
        <v>5.4548639238084014E-2</v>
      </c>
      <c r="CL12" s="29" t="str">
        <f t="shared" si="16"/>
        <v/>
      </c>
      <c r="CM12" s="29" t="str">
        <f t="shared" si="17"/>
        <v/>
      </c>
      <c r="CN12" s="29" t="str">
        <f t="shared" si="18"/>
        <v/>
      </c>
      <c r="CO12" s="29" t="str">
        <f t="shared" si="19"/>
        <v/>
      </c>
      <c r="CP12" s="29" t="str">
        <f t="shared" si="20"/>
        <v/>
      </c>
      <c r="CQ12" s="29">
        <f t="shared" si="21"/>
        <v>0</v>
      </c>
      <c r="CR12" s="30"/>
      <c r="CS12" s="7">
        <f>VLOOKUP(A12,'Empresas 21-23'!$A$2:$M$228,13,0)</f>
        <v>1</v>
      </c>
      <c r="CT12" s="30"/>
      <c r="CU12" s="6">
        <f t="shared" si="22"/>
        <v>8092683610.8000002</v>
      </c>
      <c r="CV12" s="6">
        <f t="shared" si="23"/>
        <v>363472976</v>
      </c>
      <c r="CW12" s="6">
        <f t="shared" si="24"/>
        <v>742931384</v>
      </c>
      <c r="CX12" s="23">
        <f t="shared" si="25"/>
        <v>0.34901241449319986</v>
      </c>
      <c r="CY12" s="23">
        <f t="shared" si="26"/>
        <v>1.5675465279217621E-2</v>
      </c>
      <c r="CZ12" s="6">
        <f t="shared" si="27"/>
        <v>8351975886.9326153</v>
      </c>
      <c r="DA12" s="6">
        <f t="shared" si="28"/>
        <v>375118771.1147331</v>
      </c>
      <c r="DB12" s="6">
        <f t="shared" si="29"/>
        <v>131249774</v>
      </c>
      <c r="DC12" s="6">
        <f t="shared" si="30"/>
        <v>152352837</v>
      </c>
      <c r="DD12" s="6">
        <f t="shared" si="31"/>
        <v>234050861</v>
      </c>
      <c r="DE12" s="6">
        <f t="shared" si="32"/>
        <v>302151195</v>
      </c>
      <c r="DF12" s="6">
        <f t="shared" si="33"/>
        <v>192978487.90177238</v>
      </c>
      <c r="DG12" s="30"/>
      <c r="DH12" s="32">
        <f>VLOOKUP(A12,'T_med_comp-USA'!$A$7:$Q$233,17,0)</f>
        <v>8.8732499255707697</v>
      </c>
      <c r="DI12" s="6" t="str">
        <f t="shared" si="34"/>
        <v>2_2014</v>
      </c>
      <c r="DJ12" s="32">
        <f>IF(DI12="","",VLOOKUP(DI12,'CPI USA'!$T:$U,2,FALSE))</f>
        <v>234.78100000000001</v>
      </c>
      <c r="DK12" s="32">
        <f>IF(DI12="","",VLOOKUP(DI12,'PPI USA'!$S:$T,2,FALSE))</f>
        <v>178.9</v>
      </c>
      <c r="DL12" s="32">
        <f>IF(DI12="","",VLOOKUP(DI12,'CPI USA'!$T:$V,3,FALSE))</f>
        <v>0.66756601812039096</v>
      </c>
      <c r="DM12" s="32">
        <f>IF(DI12="","",VLOOKUP(DI12,'CPI USA'!$T:$X,5,FALSE))</f>
        <v>0.49542529667095003</v>
      </c>
      <c r="DN12" s="32">
        <f t="shared" si="35"/>
        <v>1.3592442498168091</v>
      </c>
      <c r="DO12" s="32">
        <f t="shared" si="36"/>
        <v>1.370161072621193</v>
      </c>
      <c r="DP12" s="32">
        <f t="shared" si="37"/>
        <v>0.33474486494966804</v>
      </c>
      <c r="DQ12" s="32">
        <f>IF(DP12="","",DP12*$DO$1/'CPI USA'!$U$520+(1-DP12)*AVERAGE($DO$1,$DQ$1)/AVERAGE('CPI USA'!$U$520,'PPI USA'!$T$526))</f>
        <v>1.0809303676654747</v>
      </c>
      <c r="DR12" s="6">
        <f t="shared" si="38"/>
        <v>38419419</v>
      </c>
      <c r="DS12" s="32">
        <f t="shared" si="39"/>
        <v>0.2</v>
      </c>
      <c r="DT12" s="28">
        <f>IF(DS12="","",DS12*$DO$1/'CPI USA'!$U$520+(1-DS12)*AVERAGE($DO$1,$DQ$1)/AVERAGE('CPI USA'!$U$520,'PPI USA'!$T$526))</f>
        <v>1.0854630593748538</v>
      </c>
      <c r="DU12" s="6">
        <f t="shared" si="40"/>
        <v>80027499.063728124</v>
      </c>
      <c r="DV12" s="6">
        <f t="shared" si="57"/>
        <v>7312447.7248882502</v>
      </c>
      <c r="DW12" s="6">
        <f t="shared" si="41"/>
        <v>27546570.89192621</v>
      </c>
      <c r="DX12" s="16">
        <f t="shared" si="42"/>
        <v>0.2</v>
      </c>
      <c r="DY12" s="28">
        <f>IF(DX12="","",DX12*$DO$1/'CPI USA'!$U$520+(1-DX12)*AVERAGE($DO$1,$DQ$1)/AVERAGE('CPI USA'!$U$520,'PPI USA'!$T$526))</f>
        <v>1.0854630593748538</v>
      </c>
      <c r="DZ12" s="30"/>
      <c r="EA12" s="29" t="str">
        <f t="shared" si="43"/>
        <v>C000136</v>
      </c>
      <c r="EB12" s="29">
        <f t="shared" si="44"/>
        <v>11352375198.921803</v>
      </c>
      <c r="EC12" s="29">
        <f t="shared" si="45"/>
        <v>513973137.79090649</v>
      </c>
      <c r="ED12" s="29">
        <f t="shared" si="46"/>
        <v>164682808.11328813</v>
      </c>
      <c r="EE12" s="29">
        <f t="shared" si="47"/>
        <v>254053563.63037863</v>
      </c>
      <c r="EF12" s="29">
        <f t="shared" si="48"/>
        <v>209471019.87139106</v>
      </c>
      <c r="EG12" s="29">
        <f t="shared" si="49"/>
        <v>9974</v>
      </c>
      <c r="EH12" s="29">
        <f t="shared" si="50"/>
        <v>1933066</v>
      </c>
      <c r="EI12" s="29">
        <f t="shared" si="51"/>
        <v>2209873</v>
      </c>
      <c r="EJ12" s="29">
        <f t="shared" si="52"/>
        <v>40511973</v>
      </c>
      <c r="EK12" s="29">
        <f t="shared" si="53"/>
        <v>42643648.045685276</v>
      </c>
      <c r="EL12" s="29">
        <f>IF(CD12=1,VLOOKUP(EA12,'EIA 2022'!$A$2:$J$213,4,0)*EH12,"")</f>
        <v>182810051.61999997</v>
      </c>
      <c r="EM12" s="29">
        <f>IF(CD12=1,VLOOKUP(EA12,'EIA 2022'!$A$2:$J$213,7,0)*EH12,"")</f>
        <v>3357735.642</v>
      </c>
      <c r="EN12" s="29">
        <f>IF(CD12=1,VLOOKUP(EA12,'EIA 2022'!$A$2:$J$213,10,0),"")</f>
        <v>1953972</v>
      </c>
      <c r="EO12" s="28">
        <f>IF(CD12=1,VLOOKUP(EA12,'EIA 2022'!$A$2:$Z$213,26,0),"")</f>
        <v>0</v>
      </c>
      <c r="EP12" s="23">
        <f t="shared" si="54"/>
        <v>4.9988102410974761E-2</v>
      </c>
      <c r="EQ12" s="32">
        <f t="shared" si="55"/>
        <v>78197.954314720817</v>
      </c>
      <c r="ER12" s="32">
        <f t="shared" si="56"/>
        <v>2131675.0456852792</v>
      </c>
      <c r="ES12" s="32"/>
      <c r="ET12" s="32"/>
    </row>
    <row r="13" spans="1:150" ht="14.5">
      <c r="A13" s="7" t="s">
        <v>240</v>
      </c>
      <c r="B13" s="7" t="s">
        <v>241</v>
      </c>
      <c r="C13" s="32" t="s">
        <v>882</v>
      </c>
      <c r="D13" s="42">
        <v>57889027</v>
      </c>
      <c r="E13" s="42">
        <v>0</v>
      </c>
      <c r="F13" s="42">
        <v>290270276</v>
      </c>
      <c r="G13" s="42">
        <v>1043007858</v>
      </c>
      <c r="H13" s="42">
        <v>1031186408</v>
      </c>
      <c r="I13" s="42">
        <v>3845379</v>
      </c>
      <c r="J13" s="42">
        <v>2046281</v>
      </c>
      <c r="K13" s="42">
        <v>1233905</v>
      </c>
      <c r="L13" s="42">
        <v>4788508</v>
      </c>
      <c r="M13" s="42">
        <v>5860854</v>
      </c>
      <c r="N13" s="42">
        <v>5698726</v>
      </c>
      <c r="O13" s="42">
        <v>10714945</v>
      </c>
      <c r="P13" s="42">
        <v>1450313</v>
      </c>
      <c r="Q13" s="42">
        <v>136537</v>
      </c>
      <c r="R13" s="42">
        <v>0</v>
      </c>
      <c r="S13" s="42">
        <v>2071574</v>
      </c>
      <c r="T13" s="42">
        <v>40470707</v>
      </c>
      <c r="U13" s="42">
        <v>13977521</v>
      </c>
      <c r="V13" s="42">
        <v>724550</v>
      </c>
      <c r="W13" s="42">
        <v>0</v>
      </c>
      <c r="X13" s="42">
        <f>IFERROR(VLOOKUP(A13,'Trans 21-23'!$A$2:$J$229,8,0),0)</f>
        <v>6247629</v>
      </c>
      <c r="Y13" s="42">
        <v>3538416</v>
      </c>
      <c r="Z13" s="42">
        <v>720967</v>
      </c>
      <c r="AA13" s="42">
        <v>55038943</v>
      </c>
      <c r="AB13" s="42">
        <v>134849005</v>
      </c>
      <c r="AC13" s="42">
        <v>969613</v>
      </c>
      <c r="AD13" s="42">
        <v>160147135</v>
      </c>
      <c r="AE13" s="42">
        <v>0</v>
      </c>
      <c r="AF13" s="42">
        <v>2118225786</v>
      </c>
      <c r="AG13" s="42">
        <v>1210402</v>
      </c>
      <c r="AH13" s="42">
        <v>1343941</v>
      </c>
      <c r="AI13" s="42">
        <v>29024510</v>
      </c>
      <c r="AJ13" s="42">
        <v>22721</v>
      </c>
      <c r="AK13" s="42">
        <v>0</v>
      </c>
      <c r="AL13" s="42">
        <v>11753057</v>
      </c>
      <c r="AM13" s="42">
        <v>8677178</v>
      </c>
      <c r="AN13" s="42">
        <v>1113909</v>
      </c>
      <c r="AO13" s="42">
        <v>69271</v>
      </c>
      <c r="AP13" s="42">
        <v>0</v>
      </c>
      <c r="AQ13" s="42">
        <v>21613415</v>
      </c>
      <c r="AR13" s="42">
        <v>6044433</v>
      </c>
      <c r="AS13" s="42">
        <v>27657848</v>
      </c>
      <c r="AT13" s="42">
        <v>0</v>
      </c>
      <c r="AU13" s="42">
        <v>4807</v>
      </c>
      <c r="AV13" s="42">
        <v>0</v>
      </c>
      <c r="AW13" s="42">
        <v>650144028</v>
      </c>
      <c r="AX13" s="42">
        <v>881223861</v>
      </c>
      <c r="AY13" s="42">
        <v>1220390532</v>
      </c>
      <c r="AZ13" s="42">
        <v>268159457</v>
      </c>
      <c r="BA13" s="42">
        <v>64924902</v>
      </c>
      <c r="BB13" s="42">
        <v>4987264756</v>
      </c>
      <c r="BC13" s="42">
        <v>11034327155</v>
      </c>
      <c r="BD13" s="42">
        <v>293428072</v>
      </c>
      <c r="BE13" s="42">
        <v>1852824152</v>
      </c>
      <c r="BF13" s="42">
        <v>160411443</v>
      </c>
      <c r="BG13" s="42">
        <v>0</v>
      </c>
      <c r="BH13" s="42">
        <v>35210436</v>
      </c>
      <c r="BI13" s="42">
        <v>8123062</v>
      </c>
      <c r="BJ13" s="42">
        <v>2392878</v>
      </c>
      <c r="BK13" s="42">
        <v>758325</v>
      </c>
      <c r="BL13" s="42">
        <v>0</v>
      </c>
      <c r="BM13" s="42">
        <v>40669607</v>
      </c>
      <c r="BN13" s="42">
        <v>128669883</v>
      </c>
      <c r="BO13" s="42">
        <v>1035104</v>
      </c>
      <c r="BP13" s="42">
        <v>28236359</v>
      </c>
      <c r="BQ13" s="42">
        <v>384667061</v>
      </c>
      <c r="BR13" s="42">
        <v>0</v>
      </c>
      <c r="BS13" s="42">
        <f>IFERROR(VLOOKUP(A13,'Trans 21-23'!$A$2:$J$229,7,0),0)</f>
        <v>565807833</v>
      </c>
      <c r="BT13" s="63"/>
      <c r="BU13" s="32">
        <f t="shared" si="0"/>
        <v>4987264756</v>
      </c>
      <c r="BV13" s="32">
        <f t="shared" si="1"/>
        <v>4807</v>
      </c>
      <c r="BW13" s="32">
        <f t="shared" si="2"/>
        <v>1210402</v>
      </c>
      <c r="BX13" s="32">
        <f t="shared" si="3"/>
        <v>93019800</v>
      </c>
      <c r="BY13" s="32">
        <f t="shared" si="4"/>
        <v>195116944</v>
      </c>
      <c r="BZ13" s="32">
        <f t="shared" si="5"/>
        <v>268159457</v>
      </c>
      <c r="CA13" s="32">
        <f t="shared" si="6"/>
        <v>160147135</v>
      </c>
      <c r="CB13" s="32">
        <f t="shared" si="7"/>
        <v>1343941</v>
      </c>
      <c r="CC13" s="32">
        <f t="shared" si="8"/>
        <v>21613415</v>
      </c>
      <c r="CD13" s="41">
        <f t="shared" si="9"/>
        <v>1</v>
      </c>
      <c r="CE13" s="44">
        <f t="shared" si="10"/>
        <v>11</v>
      </c>
      <c r="CF13" s="27"/>
      <c r="CG13" s="28">
        <f t="shared" si="11"/>
        <v>1037.5004693155815</v>
      </c>
      <c r="CH13" s="28">
        <f t="shared" si="12"/>
        <v>3.9714078463188263</v>
      </c>
      <c r="CI13" s="28">
        <f t="shared" si="13"/>
        <v>76.850335673602657</v>
      </c>
      <c r="CJ13" s="28">
        <f t="shared" si="14"/>
        <v>221.54578148416806</v>
      </c>
      <c r="CK13" s="23">
        <f t="shared" si="15"/>
        <v>6.2180872388745603E-2</v>
      </c>
      <c r="CL13" s="29" t="str">
        <f t="shared" si="16"/>
        <v/>
      </c>
      <c r="CM13" s="29" t="str">
        <f t="shared" si="17"/>
        <v/>
      </c>
      <c r="CN13" s="29" t="str">
        <f t="shared" si="18"/>
        <v/>
      </c>
      <c r="CO13" s="29" t="str">
        <f t="shared" si="19"/>
        <v/>
      </c>
      <c r="CP13" s="29" t="str">
        <f t="shared" si="20"/>
        <v/>
      </c>
      <c r="CQ13" s="29">
        <f t="shared" si="21"/>
        <v>0</v>
      </c>
      <c r="CR13" s="30"/>
      <c r="CS13" s="7">
        <f>VLOOKUP(A13,'Empresas 21-23'!$A$2:$M$228,13,0)</f>
        <v>1</v>
      </c>
      <c r="CT13" s="30"/>
      <c r="CU13" s="6">
        <f t="shared" si="22"/>
        <v>3959019594.1999998</v>
      </c>
      <c r="CV13" s="6">
        <f t="shared" si="23"/>
        <v>268159457</v>
      </c>
      <c r="CW13" s="6">
        <f t="shared" si="24"/>
        <v>293428072</v>
      </c>
      <c r="CX13" s="23">
        <f t="shared" si="25"/>
        <v>0.36859294213703953</v>
      </c>
      <c r="CY13" s="23">
        <f t="shared" si="26"/>
        <v>2.496620207748022E-2</v>
      </c>
      <c r="CZ13" s="6">
        <f t="shared" si="27"/>
        <v>4067175110.5640788</v>
      </c>
      <c r="DA13" s="6">
        <f t="shared" si="28"/>
        <v>275485241.54075742</v>
      </c>
      <c r="DB13" s="6">
        <f t="shared" si="29"/>
        <v>93019800</v>
      </c>
      <c r="DC13" s="6">
        <f t="shared" si="30"/>
        <v>99267429</v>
      </c>
      <c r="DD13" s="6">
        <f t="shared" si="31"/>
        <v>195116944</v>
      </c>
      <c r="DE13" s="6">
        <f t="shared" si="32"/>
        <v>160147135</v>
      </c>
      <c r="DF13" s="6">
        <f t="shared" si="33"/>
        <v>81462122.969398201</v>
      </c>
      <c r="DG13" s="30"/>
      <c r="DH13" s="32">
        <f>VLOOKUP(A13,'T_med_comp-USA'!$A$7:$Q$233,17,0)</f>
        <v>11.536986133645689</v>
      </c>
      <c r="DI13" s="6" t="str">
        <f t="shared" si="34"/>
        <v>6_2011</v>
      </c>
      <c r="DJ13" s="32">
        <f>IF(DI13="","",VLOOKUP(DI13,'CPI USA'!$T:$U,2,FALSE))</f>
        <v>224.93899999999999</v>
      </c>
      <c r="DK13" s="32">
        <f>IF(DI13="","",VLOOKUP(DI13,'PPI USA'!$S:$T,2,FALSE))</f>
        <v>169.6</v>
      </c>
      <c r="DL13" s="32">
        <f>IF(DI13="","",VLOOKUP(DI13,'CPI USA'!$T:$V,3,FALSE))</f>
        <v>0.6684022975047168</v>
      </c>
      <c r="DM13" s="32">
        <f>IF(DI13="","",VLOOKUP(DI13,'CPI USA'!$T:$X,5,FALSE))</f>
        <v>0.49636791791307899</v>
      </c>
      <c r="DN13" s="32">
        <f t="shared" si="35"/>
        <v>1.4208751760332547</v>
      </c>
      <c r="DO13" s="32">
        <f t="shared" si="36"/>
        <v>1.4334111417560953</v>
      </c>
      <c r="DP13" s="32">
        <f t="shared" si="37"/>
        <v>0.38157135992849789</v>
      </c>
      <c r="DQ13" s="32">
        <f>IF(DP13="","",DP13*$DO$1/'CPI USA'!$U$520+(1-DP13)*AVERAGE($DO$1,$DQ$1)/AVERAGE('CPI USA'!$U$520,'PPI USA'!$T$526))</f>
        <v>1.0793551680046261</v>
      </c>
      <c r="DR13" s="6">
        <f t="shared" si="38"/>
        <v>11274265</v>
      </c>
      <c r="DS13" s="32">
        <f t="shared" si="39"/>
        <v>0.2</v>
      </c>
      <c r="DT13" s="28">
        <f>IF(DS13="","",DS13*$DO$1/'CPI USA'!$U$520+(1-DS13)*AVERAGE($DO$1,$DQ$1)/AVERAGE('CPI USA'!$U$520,'PPI USA'!$T$526))</f>
        <v>1.0854630593748538</v>
      </c>
      <c r="DU13" s="6">
        <f t="shared" si="40"/>
        <v>40996779.69886791</v>
      </c>
      <c r="DV13" s="6">
        <f t="shared" si="57"/>
        <v>3221837.0000037565</v>
      </c>
      <c r="DW13" s="6">
        <f t="shared" si="41"/>
        <v>15974905.144513549</v>
      </c>
      <c r="DX13" s="16">
        <f t="shared" si="42"/>
        <v>0.2</v>
      </c>
      <c r="DY13" s="28">
        <f>IF(DX13="","",DX13*$DO$1/'CPI USA'!$U$520+(1-DX13)*AVERAGE($DO$1,$DQ$1)/AVERAGE('CPI USA'!$U$520,'PPI USA'!$T$526))</f>
        <v>1.0854630593748538</v>
      </c>
      <c r="DZ13" s="30"/>
      <c r="EA13" s="29" t="str">
        <f t="shared" si="43"/>
        <v>C000171</v>
      </c>
      <c r="EB13" s="29">
        <f t="shared" si="44"/>
        <v>5778948151.1808081</v>
      </c>
      <c r="EC13" s="29">
        <f t="shared" si="45"/>
        <v>394883614.61389077</v>
      </c>
      <c r="ED13" s="29">
        <f t="shared" si="46"/>
        <v>107144812.50568229</v>
      </c>
      <c r="EE13" s="29">
        <f t="shared" si="47"/>
        <v>211792234.97011203</v>
      </c>
      <c r="EF13" s="29">
        <f t="shared" si="48"/>
        <v>88424125.221533522</v>
      </c>
      <c r="EG13" s="29">
        <f t="shared" si="49"/>
        <v>4807</v>
      </c>
      <c r="EH13" s="29">
        <f t="shared" si="50"/>
        <v>1210402</v>
      </c>
      <c r="EI13" s="29">
        <f t="shared" si="51"/>
        <v>1343941</v>
      </c>
      <c r="EJ13" s="29">
        <f t="shared" si="52"/>
        <v>21613415</v>
      </c>
      <c r="EK13" s="29">
        <f t="shared" si="53"/>
        <v>22865308.796954315</v>
      </c>
      <c r="EL13" s="29">
        <f>IF(CD13=1,VLOOKUP(EA13,'EIA 2022'!$A$2:$J$213,4,0)*EH13,"")</f>
        <v>237238792</v>
      </c>
      <c r="EM13" s="29">
        <f>IF(CD13=1,VLOOKUP(EA13,'EIA 2022'!$A$2:$J$213,7,0)*EH13,"")</f>
        <v>2009267.3199999998</v>
      </c>
      <c r="EN13" s="29">
        <f>IF(CD13=1,VLOOKUP(EA13,'EIA 2022'!$A$2:$J$213,10,0),"")</f>
        <v>1235860</v>
      </c>
      <c r="EO13" s="28">
        <f>IF(CD13=1,VLOOKUP(EA13,'EIA 2022'!$A$2:$Z$213,26,0),"")</f>
        <v>0</v>
      </c>
      <c r="EP13" s="23">
        <f t="shared" si="54"/>
        <v>5.4750793355612497E-2</v>
      </c>
      <c r="EQ13" s="32">
        <f t="shared" si="55"/>
        <v>92047.203045685776</v>
      </c>
      <c r="ER13" s="32">
        <f t="shared" si="56"/>
        <v>1251893.7969543142</v>
      </c>
      <c r="ES13" s="32"/>
      <c r="ET13" s="32"/>
    </row>
    <row r="14" spans="1:150" ht="14.5">
      <c r="A14" s="7" t="s">
        <v>243</v>
      </c>
      <c r="B14" s="7" t="s">
        <v>244</v>
      </c>
      <c r="C14" s="32" t="s">
        <v>883</v>
      </c>
      <c r="D14" s="42">
        <v>336055164</v>
      </c>
      <c r="E14" s="42">
        <v>0</v>
      </c>
      <c r="F14" s="42">
        <v>340474796</v>
      </c>
      <c r="G14" s="42">
        <v>1484171444</v>
      </c>
      <c r="H14" s="42">
        <v>1493365579</v>
      </c>
      <c r="I14" s="42">
        <v>32187301</v>
      </c>
      <c r="J14" s="42">
        <v>1209186</v>
      </c>
      <c r="K14" s="42">
        <v>0</v>
      </c>
      <c r="L14" s="42">
        <v>35643983</v>
      </c>
      <c r="M14" s="42">
        <v>8490442</v>
      </c>
      <c r="N14" s="42">
        <v>4414422</v>
      </c>
      <c r="O14" s="42">
        <v>29234182</v>
      </c>
      <c r="P14" s="42">
        <v>2536534</v>
      </c>
      <c r="Q14" s="42">
        <v>4753497</v>
      </c>
      <c r="R14" s="42">
        <v>647833</v>
      </c>
      <c r="S14" s="42">
        <v>14446743</v>
      </c>
      <c r="T14" s="42">
        <v>184354304</v>
      </c>
      <c r="U14" s="42">
        <v>2002292</v>
      </c>
      <c r="V14" s="42">
        <v>230107</v>
      </c>
      <c r="W14" s="42">
        <v>8100</v>
      </c>
      <c r="X14" s="42">
        <f>IFERROR(VLOOKUP(A14,'Trans 21-23'!$A$2:$J$229,8,0),0)</f>
        <v>0</v>
      </c>
      <c r="Y14" s="42">
        <v>1437151</v>
      </c>
      <c r="Z14" s="42">
        <v>3921517</v>
      </c>
      <c r="AA14" s="42">
        <v>75665348</v>
      </c>
      <c r="AB14" s="42">
        <v>251842554</v>
      </c>
      <c r="AC14" s="42">
        <v>0</v>
      </c>
      <c r="AD14" s="42">
        <v>53750316</v>
      </c>
      <c r="AE14" s="42">
        <v>0</v>
      </c>
      <c r="AF14" s="42">
        <v>3516654871</v>
      </c>
      <c r="AG14" s="42">
        <v>1875020</v>
      </c>
      <c r="AH14" s="42">
        <v>1917667</v>
      </c>
      <c r="AI14" s="42">
        <v>39306467</v>
      </c>
      <c r="AJ14" s="42">
        <v>22687</v>
      </c>
      <c r="AK14" s="42">
        <v>0</v>
      </c>
      <c r="AL14" s="42">
        <v>12976844</v>
      </c>
      <c r="AM14" s="42">
        <v>11675512</v>
      </c>
      <c r="AN14" s="42">
        <v>8455125</v>
      </c>
      <c r="AO14" s="42">
        <v>108696</v>
      </c>
      <c r="AP14" s="42">
        <v>0</v>
      </c>
      <c r="AQ14" s="42">
        <v>33249142</v>
      </c>
      <c r="AR14" s="42">
        <v>4116971</v>
      </c>
      <c r="AS14" s="42">
        <v>37366113</v>
      </c>
      <c r="AT14" s="42">
        <v>0</v>
      </c>
      <c r="AU14" s="42">
        <v>7528</v>
      </c>
      <c r="AV14" s="42">
        <v>0</v>
      </c>
      <c r="AW14" s="42">
        <v>2012793548</v>
      </c>
      <c r="AX14" s="42">
        <v>199473185</v>
      </c>
      <c r="AY14" s="42">
        <v>743370648</v>
      </c>
      <c r="AZ14" s="42">
        <v>606820007</v>
      </c>
      <c r="BA14" s="42">
        <v>223676886</v>
      </c>
      <c r="BB14" s="42">
        <v>10512885388</v>
      </c>
      <c r="BC14" s="42">
        <v>18726701041</v>
      </c>
      <c r="BD14" s="42">
        <v>340534950</v>
      </c>
      <c r="BE14" s="42">
        <v>3354827959</v>
      </c>
      <c r="BF14" s="42">
        <v>298443514</v>
      </c>
      <c r="BG14" s="42">
        <v>0</v>
      </c>
      <c r="BH14" s="42">
        <v>188399212</v>
      </c>
      <c r="BI14" s="42">
        <v>24906237</v>
      </c>
      <c r="BJ14" s="42">
        <v>10803950</v>
      </c>
      <c r="BK14" s="42">
        <v>0</v>
      </c>
      <c r="BL14" s="42">
        <v>0</v>
      </c>
      <c r="BM14" s="42">
        <v>63440682</v>
      </c>
      <c r="BN14" s="42">
        <v>395420551</v>
      </c>
      <c r="BO14" s="42">
        <v>85768394</v>
      </c>
      <c r="BP14" s="42">
        <v>144180597</v>
      </c>
      <c r="BQ14" s="42">
        <v>1206078768</v>
      </c>
      <c r="BR14" s="42">
        <v>32965</v>
      </c>
      <c r="BS14" s="42">
        <f>IFERROR(VLOOKUP(A14,'Trans 21-23'!$A$2:$J$229,7,0),0)</f>
        <v>0</v>
      </c>
      <c r="BT14" s="63"/>
      <c r="BU14" s="32">
        <f t="shared" si="0"/>
        <v>10512885388</v>
      </c>
      <c r="BV14" s="32">
        <f t="shared" si="1"/>
        <v>7528</v>
      </c>
      <c r="BW14" s="32">
        <f t="shared" si="2"/>
        <v>1875020</v>
      </c>
      <c r="BX14" s="32">
        <f t="shared" si="3"/>
        <v>320158926</v>
      </c>
      <c r="BY14" s="32">
        <f t="shared" si="4"/>
        <v>332866570</v>
      </c>
      <c r="BZ14" s="32">
        <f t="shared" si="5"/>
        <v>606820007</v>
      </c>
      <c r="CA14" s="32">
        <f t="shared" si="6"/>
        <v>53750316</v>
      </c>
      <c r="CB14" s="32">
        <f t="shared" si="7"/>
        <v>1917667</v>
      </c>
      <c r="CC14" s="32">
        <f t="shared" si="8"/>
        <v>33249142</v>
      </c>
      <c r="CD14" s="41">
        <f t="shared" si="9"/>
        <v>1</v>
      </c>
      <c r="CE14" s="44">
        <f t="shared" si="10"/>
        <v>13</v>
      </c>
      <c r="CF14" s="27"/>
      <c r="CG14" s="28">
        <f t="shared" si="11"/>
        <v>1396.5044351753452</v>
      </c>
      <c r="CH14" s="28">
        <f t="shared" si="12"/>
        <v>4.0148905078345827</v>
      </c>
      <c r="CI14" s="28">
        <f t="shared" si="13"/>
        <v>170.74960587087071</v>
      </c>
      <c r="CJ14" s="28">
        <f t="shared" si="14"/>
        <v>323.63388497189362</v>
      </c>
      <c r="CK14" s="23">
        <f t="shared" si="15"/>
        <v>5.7675683781554424E-2</v>
      </c>
      <c r="CL14" s="29" t="str">
        <f t="shared" si="16"/>
        <v/>
      </c>
      <c r="CM14" s="29" t="str">
        <f t="shared" si="17"/>
        <v/>
      </c>
      <c r="CN14" s="29" t="str">
        <f t="shared" si="18"/>
        <v/>
      </c>
      <c r="CO14" s="29" t="str">
        <f t="shared" si="19"/>
        <v/>
      </c>
      <c r="CP14" s="29" t="str">
        <f t="shared" si="20"/>
        <v/>
      </c>
      <c r="CQ14" s="29">
        <f t="shared" si="21"/>
        <v>0</v>
      </c>
      <c r="CR14" s="30"/>
      <c r="CS14" s="7">
        <f>VLOOKUP(A14,'Empresas 21-23'!$A$2:$M$228,13,0)</f>
        <v>1</v>
      </c>
      <c r="CT14" s="30"/>
      <c r="CU14" s="6">
        <f t="shared" si="22"/>
        <v>9116682195.2000008</v>
      </c>
      <c r="CV14" s="6">
        <f t="shared" si="23"/>
        <v>606820007</v>
      </c>
      <c r="CW14" s="6">
        <f t="shared" si="24"/>
        <v>340534950</v>
      </c>
      <c r="CX14" s="23">
        <f t="shared" si="25"/>
        <v>0.49584465570897907</v>
      </c>
      <c r="CY14" s="23">
        <f t="shared" si="26"/>
        <v>3.3004162150859578E-2</v>
      </c>
      <c r="CZ14" s="6">
        <f t="shared" si="27"/>
        <v>9285534630.2396259</v>
      </c>
      <c r="DA14" s="6">
        <f t="shared" si="28"/>
        <v>618059077.70783484</v>
      </c>
      <c r="DB14" s="6">
        <f t="shared" si="29"/>
        <v>320158926</v>
      </c>
      <c r="DC14" s="6">
        <f t="shared" si="30"/>
        <v>320158926</v>
      </c>
      <c r="DD14" s="6">
        <f t="shared" si="31"/>
        <v>332866570</v>
      </c>
      <c r="DE14" s="6">
        <f t="shared" si="32"/>
        <v>53750316</v>
      </c>
      <c r="DF14" s="6">
        <f t="shared" si="33"/>
        <v>27146235.124207933</v>
      </c>
      <c r="DG14" s="30"/>
      <c r="DH14" s="32">
        <f>VLOOKUP(A14,'T_med_comp-USA'!$A$7:$Q$233,17,0)</f>
        <v>11.123732637406361</v>
      </c>
      <c r="DI14" s="6" t="str">
        <f t="shared" si="34"/>
        <v>11_2011</v>
      </c>
      <c r="DJ14" s="32">
        <f>IF(DI14="","",VLOOKUP(DI14,'CPI USA'!$T:$U,2,FALSE))</f>
        <v>224.93899999999999</v>
      </c>
      <c r="DK14" s="32">
        <f>IF(DI14="","",VLOOKUP(DI14,'PPI USA'!$S:$T,2,FALSE))</f>
        <v>169.6</v>
      </c>
      <c r="DL14" s="32">
        <f>IF(DI14="","",VLOOKUP(DI14,'CPI USA'!$T:$V,3,FALSE))</f>
        <v>0.6684022975047168</v>
      </c>
      <c r="DM14" s="32">
        <f>IF(DI14="","",VLOOKUP(DI14,'CPI USA'!$T:$X,5,FALSE))</f>
        <v>0.49636791791307899</v>
      </c>
      <c r="DN14" s="32">
        <f t="shared" si="35"/>
        <v>1.4208751760332547</v>
      </c>
      <c r="DO14" s="32">
        <f t="shared" si="36"/>
        <v>1.4334111417560953</v>
      </c>
      <c r="DP14" s="32">
        <f t="shared" si="37"/>
        <v>0.71609373105586505</v>
      </c>
      <c r="DQ14" s="32">
        <f>IF(DP14="","",DP14*$DO$1/'CPI USA'!$U$520+(1-DP14)*AVERAGE($DO$1,$DQ$1)/AVERAGE('CPI USA'!$U$520,'PPI USA'!$T$526))</f>
        <v>1.0681021471286378</v>
      </c>
      <c r="DR14" s="6">
        <f t="shared" si="38"/>
        <v>35710187</v>
      </c>
      <c r="DS14" s="32">
        <f t="shared" si="39"/>
        <v>0.2</v>
      </c>
      <c r="DT14" s="28">
        <f>IF(DS14="","",DS14*$DO$1/'CPI USA'!$U$520+(1-DS14)*AVERAGE($DO$1,$DQ$1)/AVERAGE('CPI USA'!$U$520,'PPI USA'!$T$526))</f>
        <v>1.0854630593748538</v>
      </c>
      <c r="DU14" s="6">
        <f t="shared" si="40"/>
        <v>77201234.899044216</v>
      </c>
      <c r="DV14" s="6">
        <f t="shared" si="57"/>
        <v>8613740.6152921561</v>
      </c>
      <c r="DW14" s="6">
        <f t="shared" si="41"/>
        <v>48636679.451993488</v>
      </c>
      <c r="DX14" s="16">
        <f t="shared" si="42"/>
        <v>0.9</v>
      </c>
      <c r="DY14" s="28">
        <f>IF(DX14="","",DX14*$DO$1/'CPI USA'!$U$520+(1-DX14)*AVERAGE($DO$1,$DQ$1)/AVERAGE('CPI USA'!$U$520,'PPI USA'!$T$526))</f>
        <v>1.0619157115946583</v>
      </c>
      <c r="DZ14" s="30"/>
      <c r="EA14" s="29" t="str">
        <f t="shared" si="43"/>
        <v>C000191</v>
      </c>
      <c r="EB14" s="29">
        <f t="shared" si="44"/>
        <v>13193585652.304611</v>
      </c>
      <c r="EC14" s="29">
        <f t="shared" si="45"/>
        <v>885932768.24990678</v>
      </c>
      <c r="ED14" s="29">
        <f t="shared" si="46"/>
        <v>341962436.28299868</v>
      </c>
      <c r="EE14" s="29">
        <f t="shared" si="47"/>
        <v>361314365.4358139</v>
      </c>
      <c r="EF14" s="29">
        <f t="shared" si="48"/>
        <v>28827013.589039173</v>
      </c>
      <c r="EG14" s="29">
        <f t="shared" si="49"/>
        <v>7528</v>
      </c>
      <c r="EH14" s="29">
        <f t="shared" si="50"/>
        <v>1875020</v>
      </c>
      <c r="EI14" s="29">
        <f t="shared" si="51"/>
        <v>1917667</v>
      </c>
      <c r="EJ14" s="29">
        <f t="shared" si="52"/>
        <v>33249142</v>
      </c>
      <c r="EK14" s="29">
        <f t="shared" si="53"/>
        <v>35104114.01015228</v>
      </c>
      <c r="EL14" s="29">
        <f>IF(CD14=1,VLOOKUP(EA14,'EIA 2022'!$A$2:$J$213,4,0)*EH14,"")</f>
        <v>341234889.80000001</v>
      </c>
      <c r="EM14" s="29">
        <f>IF(CD14=1,VLOOKUP(EA14,'EIA 2022'!$A$2:$J$213,7,0)*EH14,"")</f>
        <v>2413150.7399999998</v>
      </c>
      <c r="EN14" s="29">
        <f>IF(CD14=1,VLOOKUP(EA14,'EIA 2022'!$A$2:$J$213,10,0),"")</f>
        <v>1867185</v>
      </c>
      <c r="EO14" s="28">
        <f>IF(CD14=1,VLOOKUP(EA14,'EIA 2022'!$A$2:$Z$213,26,0),"")</f>
        <v>0</v>
      </c>
      <c r="EP14" s="23">
        <f t="shared" si="54"/>
        <v>5.2842011896834004E-2</v>
      </c>
      <c r="EQ14" s="32">
        <f t="shared" si="55"/>
        <v>62694.989847715944</v>
      </c>
      <c r="ER14" s="32">
        <f t="shared" si="56"/>
        <v>1854972.0101522841</v>
      </c>
      <c r="ES14" s="32"/>
      <c r="ET14" s="32"/>
    </row>
    <row r="15" spans="1:150" ht="14.5">
      <c r="A15" s="7" t="s">
        <v>246</v>
      </c>
      <c r="B15" s="7" t="s">
        <v>247</v>
      </c>
      <c r="C15" s="32" t="s">
        <v>884</v>
      </c>
      <c r="D15" s="42">
        <v>327188927</v>
      </c>
      <c r="E15" s="42">
        <v>159261641</v>
      </c>
      <c r="F15" s="42">
        <v>1851153911</v>
      </c>
      <c r="G15" s="42">
        <v>1917055666</v>
      </c>
      <c r="H15" s="42">
        <v>840623969</v>
      </c>
      <c r="I15" s="42">
        <v>10394015</v>
      </c>
      <c r="J15" s="42">
        <v>4238861</v>
      </c>
      <c r="K15" s="42">
        <v>0</v>
      </c>
      <c r="L15" s="42">
        <v>17573651</v>
      </c>
      <c r="M15" s="42">
        <v>9485717</v>
      </c>
      <c r="N15" s="42">
        <v>5769363</v>
      </c>
      <c r="O15" s="42">
        <v>75314390</v>
      </c>
      <c r="P15" s="42">
        <v>245669</v>
      </c>
      <c r="Q15" s="42">
        <v>24121951</v>
      </c>
      <c r="R15" s="42">
        <v>115859</v>
      </c>
      <c r="S15" s="42">
        <v>16914416</v>
      </c>
      <c r="T15" s="42">
        <v>161168440</v>
      </c>
      <c r="U15" s="42">
        <v>25689284</v>
      </c>
      <c r="V15" s="42">
        <v>5257663</v>
      </c>
      <c r="W15" s="42">
        <v>64453</v>
      </c>
      <c r="X15" s="42">
        <f>IFERROR(VLOOKUP(A15,'Trans 21-23'!$A$2:$J$229,8,0),0)</f>
        <v>16587143</v>
      </c>
      <c r="Y15" s="42">
        <v>12680058</v>
      </c>
      <c r="Z15" s="42">
        <v>2992330</v>
      </c>
      <c r="AA15" s="42">
        <v>110693560</v>
      </c>
      <c r="AB15" s="42">
        <v>73327085</v>
      </c>
      <c r="AC15" s="42">
        <v>744936</v>
      </c>
      <c r="AD15" s="42">
        <v>320938622</v>
      </c>
      <c r="AE15" s="42">
        <v>0</v>
      </c>
      <c r="AF15" s="42">
        <v>5426748043</v>
      </c>
      <c r="AG15" s="42">
        <v>2725293</v>
      </c>
      <c r="AH15" s="42">
        <v>0</v>
      </c>
      <c r="AI15" s="42">
        <v>93255628</v>
      </c>
      <c r="AJ15" s="42">
        <v>170849</v>
      </c>
      <c r="AK15" s="42">
        <v>0</v>
      </c>
      <c r="AL15" s="42">
        <v>31236721</v>
      </c>
      <c r="AM15" s="42">
        <v>39549195</v>
      </c>
      <c r="AN15" s="42">
        <v>6823055</v>
      </c>
      <c r="AO15" s="42">
        <v>250249</v>
      </c>
      <c r="AP15" s="42">
        <v>10583029</v>
      </c>
      <c r="AQ15" s="42">
        <v>88442249</v>
      </c>
      <c r="AR15" s="42">
        <v>1710292</v>
      </c>
      <c r="AS15" s="42">
        <v>90152541</v>
      </c>
      <c r="AT15" s="42">
        <v>0</v>
      </c>
      <c r="AU15" s="42">
        <v>17886</v>
      </c>
      <c r="AV15" s="42">
        <v>0</v>
      </c>
      <c r="AW15" s="42">
        <v>2015909334</v>
      </c>
      <c r="AX15" s="42">
        <v>763962539</v>
      </c>
      <c r="AY15" s="42">
        <v>3898002174</v>
      </c>
      <c r="AZ15" s="42">
        <v>585095646</v>
      </c>
      <c r="BA15" s="42">
        <v>425080488</v>
      </c>
      <c r="BB15" s="42">
        <v>14786903805</v>
      </c>
      <c r="BC15" s="42">
        <v>51721260270</v>
      </c>
      <c r="BD15" s="42">
        <v>902430861</v>
      </c>
      <c r="BE15" s="42">
        <v>5649848999</v>
      </c>
      <c r="BF15" s="42">
        <v>388446085</v>
      </c>
      <c r="BG15" s="42">
        <v>0</v>
      </c>
      <c r="BH15" s="42">
        <v>129090223</v>
      </c>
      <c r="BI15" s="42">
        <v>20881841</v>
      </c>
      <c r="BJ15" s="42">
        <v>2524095</v>
      </c>
      <c r="BK15" s="42">
        <v>599117</v>
      </c>
      <c r="BL15" s="42">
        <v>0</v>
      </c>
      <c r="BM15" s="42">
        <v>109852838</v>
      </c>
      <c r="BN15" s="42">
        <v>655833469</v>
      </c>
      <c r="BO15" s="42">
        <v>0</v>
      </c>
      <c r="BP15" s="42">
        <v>3527782</v>
      </c>
      <c r="BQ15" s="42">
        <v>1073614284</v>
      </c>
      <c r="BR15" s="42">
        <v>0</v>
      </c>
      <c r="BS15" s="42">
        <f>IFERROR(VLOOKUP(A15,'Trans 21-23'!$A$2:$J$229,7,0),0)</f>
        <v>1794696907</v>
      </c>
      <c r="BT15" s="63"/>
      <c r="BU15" s="32">
        <f t="shared" si="0"/>
        <v>14786903805</v>
      </c>
      <c r="BV15" s="32">
        <f t="shared" si="1"/>
        <v>17886</v>
      </c>
      <c r="BW15" s="32">
        <f t="shared" si="2"/>
        <v>2725293</v>
      </c>
      <c r="BX15" s="32">
        <f t="shared" si="3"/>
        <v>356353732</v>
      </c>
      <c r="BY15" s="32">
        <f t="shared" si="4"/>
        <v>200437969</v>
      </c>
      <c r="BZ15" s="32">
        <f t="shared" si="5"/>
        <v>585095646</v>
      </c>
      <c r="CA15" s="32">
        <f t="shared" si="6"/>
        <v>320938622</v>
      </c>
      <c r="CB15" s="32">
        <f t="shared" si="7"/>
        <v>0</v>
      </c>
      <c r="CC15" s="32">
        <f t="shared" si="8"/>
        <v>88442249</v>
      </c>
      <c r="CD15" s="41">
        <f t="shared" si="9"/>
        <v>0</v>
      </c>
      <c r="CE15" s="44">
        <f t="shared" si="10"/>
        <v>10</v>
      </c>
      <c r="CF15" s="27"/>
      <c r="CG15" s="28" t="str">
        <f t="shared" si="11"/>
        <v/>
      </c>
      <c r="CH15" s="28" t="str">
        <f t="shared" si="12"/>
        <v/>
      </c>
      <c r="CI15" s="28" t="str">
        <f t="shared" si="13"/>
        <v/>
      </c>
      <c r="CJ15" s="28" t="str">
        <f t="shared" si="14"/>
        <v/>
      </c>
      <c r="CK15" s="23" t="str">
        <f t="shared" si="15"/>
        <v/>
      </c>
      <c r="CL15" s="29" t="str">
        <f t="shared" si="16"/>
        <v/>
      </c>
      <c r="CM15" s="29" t="str">
        <f t="shared" si="17"/>
        <v/>
      </c>
      <c r="CN15" s="29" t="str">
        <f t="shared" si="18"/>
        <v/>
      </c>
      <c r="CO15" s="29" t="str">
        <f t="shared" si="19"/>
        <v/>
      </c>
      <c r="CP15" s="29" t="str">
        <f t="shared" si="20"/>
        <v/>
      </c>
      <c r="CQ15" s="29" t="str">
        <f t="shared" si="21"/>
        <v/>
      </c>
      <c r="CR15" s="30"/>
      <c r="CS15" s="7" t="str">
        <f>VLOOKUP(A15,'Empresas 21-23'!$A$2:$M$228,13,0)</f>
        <v/>
      </c>
      <c r="CT15" s="30"/>
      <c r="CU15" s="6">
        <f t="shared" si="22"/>
        <v>12774245750.200001</v>
      </c>
      <c r="CV15" s="6">
        <f t="shared" si="23"/>
        <v>585095646</v>
      </c>
      <c r="CW15" s="6">
        <f t="shared" si="24"/>
        <v>902430861</v>
      </c>
      <c r="CX15" s="23">
        <f t="shared" si="25"/>
        <v>0.25136835890867026</v>
      </c>
      <c r="CY15" s="23">
        <f t="shared" si="26"/>
        <v>1.1513363310497265E-2</v>
      </c>
      <c r="CZ15" s="6">
        <f t="shared" si="27"/>
        <v>13001088314.75811</v>
      </c>
      <c r="DA15" s="6">
        <f t="shared" si="28"/>
        <v>595485660.36529791</v>
      </c>
      <c r="DB15" s="6">
        <f t="shared" si="29"/>
        <v>356353732</v>
      </c>
      <c r="DC15" s="6">
        <f t="shared" si="30"/>
        <v>372940875</v>
      </c>
      <c r="DD15" s="6">
        <f t="shared" si="31"/>
        <v>200437969</v>
      </c>
      <c r="DE15" s="6">
        <f t="shared" si="32"/>
        <v>320938622</v>
      </c>
      <c r="DF15" s="6">
        <f t="shared" si="33"/>
        <v>95466503.692923188</v>
      </c>
      <c r="DG15" s="30"/>
      <c r="DH15" s="32">
        <f>VLOOKUP(A15,'T_med_comp-USA'!$A$7:$Q$233,17,0)</f>
        <v>13.829829972554853</v>
      </c>
      <c r="DI15" s="6" t="str">
        <f t="shared" si="34"/>
        <v>3_2009</v>
      </c>
      <c r="DJ15" s="32">
        <f>IF(DI15="","",VLOOKUP(DI15,'CPI USA'!$T:$U,2,FALSE))</f>
        <v>214.53700000000001</v>
      </c>
      <c r="DK15" s="32">
        <f>IF(DI15="","",VLOOKUP(DI15,'PPI USA'!$S:$T,2,FALSE))</f>
        <v>159.1</v>
      </c>
      <c r="DL15" s="32">
        <f>IF(DI15="","",VLOOKUP(DI15,'CPI USA'!$T:$V,3,FALSE))</f>
        <v>0.66997101349938215</v>
      </c>
      <c r="DM15" s="32">
        <f>IF(DI15="","",VLOOKUP(DI15,'CPI USA'!$T:$X,5,FALSE))</f>
        <v>0.49813941766071862</v>
      </c>
      <c r="DN15" s="32">
        <f t="shared" si="35"/>
        <v>1.4932638886873792</v>
      </c>
      <c r="DO15" s="32">
        <f t="shared" si="36"/>
        <v>1.5082750176818205</v>
      </c>
      <c r="DP15" s="32">
        <f t="shared" si="37"/>
        <v>0.36225304075109277</v>
      </c>
      <c r="DQ15" s="32">
        <f>IF(DP15="","",DP15*$DO$1/'CPI USA'!$U$520+(1-DP15)*AVERAGE($DO$1,$DQ$1)/AVERAGE('CPI USA'!$U$520,'PPI USA'!$T$526))</f>
        <v>1.0800050182620535</v>
      </c>
      <c r="DR15" s="6">
        <f t="shared" si="38"/>
        <v>24005053</v>
      </c>
      <c r="DS15" s="32">
        <f t="shared" si="39"/>
        <v>0.2</v>
      </c>
      <c r="DT15" s="28">
        <f>IF(DS15="","",DS15*$DO$1/'CPI USA'!$U$520+(1-DS15)*AVERAGE($DO$1,$DQ$1)/AVERAGE('CPI USA'!$U$520,'PPI USA'!$T$526))</f>
        <v>1.0854630593748538</v>
      </c>
      <c r="DU15" s="6">
        <f t="shared" si="40"/>
        <v>109852838</v>
      </c>
      <c r="DV15" s="6">
        <f t="shared" si="57"/>
        <v>362154.707886705</v>
      </c>
      <c r="DW15" s="6">
        <f t="shared" si="41"/>
        <v>25728169.612447612</v>
      </c>
      <c r="DX15" s="16">
        <f t="shared" si="42"/>
        <v>0.26949944344044108</v>
      </c>
      <c r="DY15" s="28">
        <f>IF(DX15="","",DX15*$DO$1/'CPI USA'!$U$520+(1-DX15)*AVERAGE($DO$1,$DQ$1)/AVERAGE('CPI USA'!$U$520,'PPI USA'!$T$526))</f>
        <v>1.0831251628531078</v>
      </c>
      <c r="DZ15" s="30"/>
      <c r="EA15" s="29" t="str">
        <f t="shared" si="43"/>
        <v>C000196</v>
      </c>
      <c r="EB15" s="29" t="str">
        <f t="shared" si="44"/>
        <v/>
      </c>
      <c r="EC15" s="29" t="str">
        <f t="shared" si="45"/>
        <v/>
      </c>
      <c r="ED15" s="29" t="str">
        <f t="shared" si="46"/>
        <v/>
      </c>
      <c r="EE15" s="29" t="str">
        <f t="shared" si="47"/>
        <v/>
      </c>
      <c r="EF15" s="29" t="str">
        <f t="shared" si="48"/>
        <v/>
      </c>
      <c r="EG15" s="29" t="str">
        <f t="shared" si="49"/>
        <v/>
      </c>
      <c r="EH15" s="29" t="str">
        <f t="shared" si="50"/>
        <v/>
      </c>
      <c r="EI15" s="29" t="str">
        <f t="shared" si="51"/>
        <v/>
      </c>
      <c r="EJ15" s="29" t="str">
        <f t="shared" si="52"/>
        <v/>
      </c>
      <c r="EK15" s="29" t="str">
        <f t="shared" si="53"/>
        <v/>
      </c>
      <c r="EL15" s="29" t="str">
        <f>IF(CD15=1,VLOOKUP(EA15,'EIA 2022'!$A$2:$J$213,4,0)*EH15,"")</f>
        <v/>
      </c>
      <c r="EM15" s="29" t="str">
        <f>IF(CD15=1,VLOOKUP(EA15,'EIA 2022'!$A$2:$J$213,7,0)*EH15,"")</f>
        <v/>
      </c>
      <c r="EN15" s="29" t="str">
        <f>IF(CD15=1,VLOOKUP(EA15,'EIA 2022'!$A$2:$J$213,10,0),"")</f>
        <v/>
      </c>
      <c r="EO15" s="28" t="str">
        <f>IF(CD15=1,VLOOKUP(EA15,'EIA 2022'!$A$2:$Z$213,26,0),"")</f>
        <v/>
      </c>
      <c r="EP15" s="23" t="str">
        <f t="shared" si="54"/>
        <v/>
      </c>
      <c r="EQ15" s="32" t="str">
        <f t="shared" si="55"/>
        <v/>
      </c>
      <c r="ER15" s="32" t="str">
        <f t="shared" si="56"/>
        <v/>
      </c>
      <c r="ES15" s="32"/>
      <c r="ET15" s="32"/>
    </row>
    <row r="16" spans="1:150" ht="14.5">
      <c r="A16" s="7" t="s">
        <v>249</v>
      </c>
      <c r="B16" s="7" t="s">
        <v>250</v>
      </c>
      <c r="C16" s="32" t="s">
        <v>885</v>
      </c>
      <c r="D16" s="42">
        <v>0</v>
      </c>
      <c r="E16" s="42">
        <v>0</v>
      </c>
      <c r="F16" s="42">
        <v>0</v>
      </c>
      <c r="G16" s="42">
        <v>2630988513</v>
      </c>
      <c r="H16" s="42">
        <v>786582462</v>
      </c>
      <c r="I16" s="42">
        <v>24656189</v>
      </c>
      <c r="J16" s="42">
        <v>1378866</v>
      </c>
      <c r="K16" s="42">
        <v>72831</v>
      </c>
      <c r="L16" s="42">
        <v>4156285</v>
      </c>
      <c r="M16" s="42">
        <v>20068180</v>
      </c>
      <c r="N16" s="42">
        <v>23098242</v>
      </c>
      <c r="O16" s="42">
        <v>119740754</v>
      </c>
      <c r="P16" s="42">
        <v>3092721</v>
      </c>
      <c r="Q16" s="42">
        <v>6175230</v>
      </c>
      <c r="R16" s="42">
        <v>2072901</v>
      </c>
      <c r="S16" s="42">
        <v>43088550</v>
      </c>
      <c r="T16" s="42">
        <v>214160829</v>
      </c>
      <c r="U16" s="42">
        <v>54237004</v>
      </c>
      <c r="V16" s="42">
        <v>5789737</v>
      </c>
      <c r="W16" s="42">
        <v>9344810</v>
      </c>
      <c r="X16" s="42">
        <f>IFERROR(VLOOKUP(A16,'Trans 21-23'!$A$2:$J$229,8,0),0)</f>
        <v>0</v>
      </c>
      <c r="Y16" s="42">
        <v>6924399</v>
      </c>
      <c r="Z16" s="42">
        <v>1312309</v>
      </c>
      <c r="AA16" s="42">
        <v>219909921</v>
      </c>
      <c r="AB16" s="42">
        <v>44178067</v>
      </c>
      <c r="AC16" s="42">
        <v>0</v>
      </c>
      <c r="AD16" s="42">
        <v>416961523</v>
      </c>
      <c r="AE16" s="42">
        <v>0</v>
      </c>
      <c r="AF16" s="42">
        <v>2537140439</v>
      </c>
      <c r="AG16" s="42">
        <v>4111174</v>
      </c>
      <c r="AH16" s="42">
        <v>6290778</v>
      </c>
      <c r="AI16" s="42">
        <v>93287067</v>
      </c>
      <c r="AJ16" s="42">
        <v>71965</v>
      </c>
      <c r="AK16" s="42">
        <v>407898</v>
      </c>
      <c r="AL16" s="42">
        <v>27818982</v>
      </c>
      <c r="AM16" s="42">
        <v>29766349</v>
      </c>
      <c r="AN16" s="42">
        <v>26904297</v>
      </c>
      <c r="AO16" s="42">
        <v>470865</v>
      </c>
      <c r="AP16" s="42">
        <v>0</v>
      </c>
      <c r="AQ16" s="42">
        <v>85399277</v>
      </c>
      <c r="AR16" s="42">
        <v>1117149</v>
      </c>
      <c r="AS16" s="42">
        <v>86516426</v>
      </c>
      <c r="AT16" s="42">
        <v>438784</v>
      </c>
      <c r="AU16" s="42">
        <v>21262</v>
      </c>
      <c r="AV16" s="42">
        <v>0</v>
      </c>
      <c r="AW16" s="42">
        <v>4178819538</v>
      </c>
      <c r="AX16" s="42">
        <v>1118228649</v>
      </c>
      <c r="AY16" s="42">
        <v>7725708874</v>
      </c>
      <c r="AZ16" s="42">
        <v>839144653</v>
      </c>
      <c r="BA16" s="42">
        <v>209840585</v>
      </c>
      <c r="BB16" s="42">
        <v>24836229544</v>
      </c>
      <c r="BC16" s="42">
        <v>35539268984</v>
      </c>
      <c r="BD16" s="42">
        <v>2959017761</v>
      </c>
      <c r="BE16" s="42">
        <v>7209864613</v>
      </c>
      <c r="BF16" s="42">
        <v>638659101</v>
      </c>
      <c r="BG16" s="42">
        <v>0</v>
      </c>
      <c r="BH16" s="42">
        <v>162187980</v>
      </c>
      <c r="BI16" s="42">
        <v>93907619</v>
      </c>
      <c r="BJ16" s="42">
        <v>3332280</v>
      </c>
      <c r="BK16" s="42">
        <v>0</v>
      </c>
      <c r="BL16" s="42">
        <v>0</v>
      </c>
      <c r="BM16" s="42">
        <v>51065290</v>
      </c>
      <c r="BN16" s="42">
        <v>358800099</v>
      </c>
      <c r="BO16" s="42">
        <v>40202277</v>
      </c>
      <c r="BP16" s="42">
        <v>107315160</v>
      </c>
      <c r="BQ16" s="42">
        <v>902661506</v>
      </c>
      <c r="BR16" s="42">
        <v>0</v>
      </c>
      <c r="BS16" s="42">
        <f>IFERROR(VLOOKUP(A16,'Trans 21-23'!$A$2:$J$229,7,0),0)</f>
        <v>0</v>
      </c>
      <c r="BT16" s="63"/>
      <c r="BU16" s="32">
        <f t="shared" si="0"/>
        <v>24836229544</v>
      </c>
      <c r="BV16" s="32">
        <f t="shared" si="1"/>
        <v>21262</v>
      </c>
      <c r="BW16" s="32">
        <f t="shared" si="2"/>
        <v>4111174</v>
      </c>
      <c r="BX16" s="32">
        <f t="shared" si="3"/>
        <v>531133129</v>
      </c>
      <c r="BY16" s="32">
        <f t="shared" si="4"/>
        <v>272324696</v>
      </c>
      <c r="BZ16" s="32">
        <f t="shared" si="5"/>
        <v>839144653</v>
      </c>
      <c r="CA16" s="32">
        <f t="shared" si="6"/>
        <v>416961523</v>
      </c>
      <c r="CB16" s="32">
        <f t="shared" si="7"/>
        <v>6290778</v>
      </c>
      <c r="CC16" s="32">
        <f t="shared" si="8"/>
        <v>85399277</v>
      </c>
      <c r="CD16" s="41">
        <f t="shared" si="9"/>
        <v>1</v>
      </c>
      <c r="CE16" s="44">
        <f t="shared" si="10"/>
        <v>13</v>
      </c>
      <c r="CF16" s="27"/>
      <c r="CG16" s="28">
        <f t="shared" si="11"/>
        <v>1168.1041079860784</v>
      </c>
      <c r="CH16" s="28">
        <f t="shared" si="12"/>
        <v>5.1717587239070886</v>
      </c>
      <c r="CI16" s="28">
        <f t="shared" si="13"/>
        <v>129.1925685947615</v>
      </c>
      <c r="CJ16" s="28">
        <f t="shared" si="14"/>
        <v>204.11314456649123</v>
      </c>
      <c r="CK16" s="23">
        <f t="shared" si="15"/>
        <v>7.3663129489960441E-2</v>
      </c>
      <c r="CL16" s="29" t="str">
        <f t="shared" si="16"/>
        <v/>
      </c>
      <c r="CM16" s="29" t="str">
        <f t="shared" si="17"/>
        <v/>
      </c>
      <c r="CN16" s="29" t="str">
        <f t="shared" si="18"/>
        <v/>
      </c>
      <c r="CO16" s="29" t="str">
        <f t="shared" si="19"/>
        <v/>
      </c>
      <c r="CP16" s="29" t="str">
        <f t="shared" si="20"/>
        <v/>
      </c>
      <c r="CQ16" s="29">
        <f t="shared" si="21"/>
        <v>0</v>
      </c>
      <c r="CR16" s="30"/>
      <c r="CS16" s="7">
        <f>VLOOKUP(A16,'Empresas 21-23'!$A$2:$M$228,13,0)</f>
        <v>1</v>
      </c>
      <c r="CT16" s="30"/>
      <c r="CU16" s="6">
        <f t="shared" si="22"/>
        <v>18480881792.200001</v>
      </c>
      <c r="CV16" s="6">
        <f t="shared" si="23"/>
        <v>839144653</v>
      </c>
      <c r="CW16" s="6">
        <f t="shared" si="24"/>
        <v>2959017761</v>
      </c>
      <c r="CX16" s="23">
        <f t="shared" si="25"/>
        <v>0.56724184432173552</v>
      </c>
      <c r="CY16" s="23">
        <f t="shared" si="26"/>
        <v>2.5756236416237532E-2</v>
      </c>
      <c r="CZ16" s="6">
        <f t="shared" si="27"/>
        <v>20159360484.330414</v>
      </c>
      <c r="DA16" s="6">
        <f t="shared" si="28"/>
        <v>915357814.01216185</v>
      </c>
      <c r="DB16" s="6">
        <f t="shared" si="29"/>
        <v>531133129</v>
      </c>
      <c r="DC16" s="6">
        <f t="shared" si="30"/>
        <v>531133129</v>
      </c>
      <c r="DD16" s="6">
        <f t="shared" si="31"/>
        <v>272324696</v>
      </c>
      <c r="DE16" s="6">
        <f t="shared" si="32"/>
        <v>416961523</v>
      </c>
      <c r="DF16" s="6">
        <f t="shared" si="33"/>
        <v>251208675.13814449</v>
      </c>
      <c r="DG16" s="30"/>
      <c r="DH16" s="32">
        <f>VLOOKUP(A16,'T_med_comp-USA'!$A$7:$Q$233,17,0)</f>
        <v>11.04967306297223</v>
      </c>
      <c r="DI16" s="6" t="str">
        <f t="shared" si="34"/>
        <v>12_2011</v>
      </c>
      <c r="DJ16" s="32">
        <f>IF(DI16="","",VLOOKUP(DI16,'CPI USA'!$T:$U,2,FALSE))</f>
        <v>224.93899999999999</v>
      </c>
      <c r="DK16" s="32">
        <f>IF(DI16="","",VLOOKUP(DI16,'PPI USA'!$S:$T,2,FALSE))</f>
        <v>169.6</v>
      </c>
      <c r="DL16" s="32">
        <f>IF(DI16="","",VLOOKUP(DI16,'CPI USA'!$T:$V,3,FALSE))</f>
        <v>0.6684022975047168</v>
      </c>
      <c r="DM16" s="32">
        <f>IF(DI16="","",VLOOKUP(DI16,'CPI USA'!$T:$X,5,FALSE))</f>
        <v>0.49636791791307899</v>
      </c>
      <c r="DN16" s="32">
        <f t="shared" si="35"/>
        <v>1.4208751760332547</v>
      </c>
      <c r="DO16" s="32">
        <f t="shared" si="36"/>
        <v>1.4334111417560953</v>
      </c>
      <c r="DP16" s="32">
        <f t="shared" si="37"/>
        <v>0.33957694857382226</v>
      </c>
      <c r="DQ16" s="32">
        <f>IF(DP16="","",DP16*$DO$1/'CPI USA'!$U$520+(1-DP16)*AVERAGE($DO$1,$DQ$1)/AVERAGE('CPI USA'!$U$520,'PPI USA'!$T$526))</f>
        <v>1.0807678208746161</v>
      </c>
      <c r="DR16" s="6">
        <f t="shared" si="38"/>
        <v>97239899</v>
      </c>
      <c r="DS16" s="32">
        <f t="shared" si="39"/>
        <v>0.39708218157984965</v>
      </c>
      <c r="DT16" s="28">
        <f>IF(DS16="","",DS16*$DO$1/'CPI USA'!$U$520+(1-DS16)*AVERAGE($DO$1,$DQ$1)/AVERAGE('CPI USA'!$U$520,'PPI USA'!$T$526))</f>
        <v>1.0788333984163674</v>
      </c>
      <c r="DU16" s="6">
        <f t="shared" si="40"/>
        <v>56786974.412537828</v>
      </c>
      <c r="DV16" s="6">
        <f t="shared" si="57"/>
        <v>6890180.3526942972</v>
      </c>
      <c r="DW16" s="6">
        <f t="shared" si="41"/>
        <v>46041317.289321348</v>
      </c>
      <c r="DX16" s="16">
        <f t="shared" si="42"/>
        <v>0.2</v>
      </c>
      <c r="DY16" s="28">
        <f>IF(DX16="","",DX16*$DO$1/'CPI USA'!$U$520+(1-DX16)*AVERAGE($DO$1,$DQ$1)/AVERAGE('CPI USA'!$U$520,'PPI USA'!$T$526))</f>
        <v>1.0854630593748538</v>
      </c>
      <c r="DZ16" s="30"/>
      <c r="EA16" s="29" t="str">
        <f t="shared" si="43"/>
        <v>C000199</v>
      </c>
      <c r="EB16" s="29">
        <f t="shared" si="44"/>
        <v>28643934876.890816</v>
      </c>
      <c r="EC16" s="29">
        <f t="shared" si="45"/>
        <v>1312084089.2985365</v>
      </c>
      <c r="ED16" s="29">
        <f t="shared" si="46"/>
        <v>574031594.42364633</v>
      </c>
      <c r="EE16" s="29">
        <f t="shared" si="47"/>
        <v>293792977.25838411</v>
      </c>
      <c r="EF16" s="29">
        <f t="shared" si="48"/>
        <v>272677737.05695409</v>
      </c>
      <c r="EG16" s="29">
        <f t="shared" si="49"/>
        <v>21262</v>
      </c>
      <c r="EH16" s="29">
        <f t="shared" si="50"/>
        <v>4111174</v>
      </c>
      <c r="EI16" s="29">
        <f t="shared" si="51"/>
        <v>6290778</v>
      </c>
      <c r="EJ16" s="29">
        <f t="shared" si="52"/>
        <v>85399277</v>
      </c>
      <c r="EK16" s="29">
        <f t="shared" si="53"/>
        <v>91673042.578680202</v>
      </c>
      <c r="EL16" s="29">
        <f>IF(CD16=1,VLOOKUP(EA16,'EIA 2022'!$A$2:$J$213,4,0)*EH16,"")</f>
        <v>154744589.36000001</v>
      </c>
      <c r="EM16" s="29">
        <f>IF(CD16=1,VLOOKUP(EA16,'EIA 2022'!$A$2:$J$213,7,0)*EH16,"")</f>
        <v>2590039.62</v>
      </c>
      <c r="EN16" s="29">
        <f>IF(CD16=1,VLOOKUP(EA16,'EIA 2022'!$A$2:$J$213,10,0),"")</f>
        <v>4208158</v>
      </c>
      <c r="EO16" s="28">
        <f>IF(CD16=1,VLOOKUP(EA16,'EIA 2022'!$A$2:$Z$213,26,0),"")</f>
        <v>0</v>
      </c>
      <c r="EP16" s="23">
        <f t="shared" si="54"/>
        <v>6.8436318924351397E-2</v>
      </c>
      <c r="EQ16" s="32">
        <f t="shared" si="55"/>
        <v>17012.421319796937</v>
      </c>
      <c r="ER16" s="32">
        <f t="shared" si="56"/>
        <v>6273765.5786802033</v>
      </c>
      <c r="ES16" s="32"/>
      <c r="ET16" s="32"/>
    </row>
    <row r="17" spans="1:150" ht="14.5">
      <c r="A17" s="7" t="s">
        <v>252</v>
      </c>
      <c r="B17" s="7" t="s">
        <v>253</v>
      </c>
      <c r="C17" s="32" t="s">
        <v>886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f>IFERROR(VLOOKUP(A17,'Trans 21-23'!$A$2:$J$229,8,0),0)</f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267976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98914807</v>
      </c>
      <c r="BD17" s="42">
        <v>5144970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v>0</v>
      </c>
      <c r="BS17" s="42">
        <f>IFERROR(VLOOKUP(A17,'Trans 21-23'!$A$2:$J$229,7,0),0)</f>
        <v>0</v>
      </c>
      <c r="BT17" s="63"/>
      <c r="BU17" s="32">
        <f t="shared" si="0"/>
        <v>0</v>
      </c>
      <c r="BV17" s="32">
        <f t="shared" si="1"/>
        <v>0</v>
      </c>
      <c r="BW17" s="32">
        <f t="shared" si="2"/>
        <v>0</v>
      </c>
      <c r="BX17" s="32">
        <f t="shared" si="3"/>
        <v>0</v>
      </c>
      <c r="BY17" s="32">
        <f t="shared" si="4"/>
        <v>0</v>
      </c>
      <c r="BZ17" s="32">
        <f t="shared" si="5"/>
        <v>0</v>
      </c>
      <c r="CA17" s="32">
        <f t="shared" si="6"/>
        <v>0</v>
      </c>
      <c r="CB17" s="32">
        <f t="shared" si="7"/>
        <v>0</v>
      </c>
      <c r="CC17" s="32">
        <f t="shared" si="8"/>
        <v>0</v>
      </c>
      <c r="CD17" s="41">
        <f t="shared" si="9"/>
        <v>0</v>
      </c>
      <c r="CE17" s="44">
        <f t="shared" si="10"/>
        <v>65</v>
      </c>
      <c r="CF17" s="27"/>
      <c r="CG17" s="28" t="str">
        <f t="shared" si="11"/>
        <v/>
      </c>
      <c r="CH17" s="28" t="str">
        <f t="shared" si="12"/>
        <v/>
      </c>
      <c r="CI17" s="28" t="str">
        <f t="shared" si="13"/>
        <v/>
      </c>
      <c r="CJ17" s="28" t="str">
        <f t="shared" si="14"/>
        <v/>
      </c>
      <c r="CK17" s="23" t="str">
        <f t="shared" si="15"/>
        <v/>
      </c>
      <c r="CL17" s="29" t="str">
        <f t="shared" si="16"/>
        <v/>
      </c>
      <c r="CM17" s="29" t="str">
        <f t="shared" si="17"/>
        <v/>
      </c>
      <c r="CN17" s="29" t="str">
        <f t="shared" si="18"/>
        <v/>
      </c>
      <c r="CO17" s="29" t="str">
        <f t="shared" si="19"/>
        <v/>
      </c>
      <c r="CP17" s="29" t="str">
        <f t="shared" si="20"/>
        <v/>
      </c>
      <c r="CQ17" s="29" t="str">
        <f t="shared" si="21"/>
        <v/>
      </c>
      <c r="CR17" s="30"/>
      <c r="CS17" s="7" t="str">
        <f>VLOOKUP(A17,'Empresas 21-23'!$A$2:$M$228,13,0)</f>
        <v/>
      </c>
      <c r="CT17" s="30"/>
      <c r="CU17" s="6">
        <f t="shared" si="22"/>
        <v>0</v>
      </c>
      <c r="CV17" s="6">
        <f t="shared" si="23"/>
        <v>0</v>
      </c>
      <c r="CW17" s="6">
        <f t="shared" si="24"/>
        <v>5144970</v>
      </c>
      <c r="CX17" s="23">
        <f t="shared" si="25"/>
        <v>0</v>
      </c>
      <c r="CY17" s="23">
        <f t="shared" si="26"/>
        <v>0</v>
      </c>
      <c r="CZ17" s="6">
        <f t="shared" si="27"/>
        <v>0</v>
      </c>
      <c r="DA17" s="6">
        <f t="shared" si="28"/>
        <v>0</v>
      </c>
      <c r="DB17" s="6">
        <f t="shared" si="29"/>
        <v>0</v>
      </c>
      <c r="DC17" s="6">
        <f t="shared" si="30"/>
        <v>0</v>
      </c>
      <c r="DD17" s="6">
        <f t="shared" si="31"/>
        <v>0</v>
      </c>
      <c r="DE17" s="6">
        <f t="shared" si="32"/>
        <v>0</v>
      </c>
      <c r="DF17" s="6">
        <f t="shared" si="33"/>
        <v>0</v>
      </c>
      <c r="DG17" s="30"/>
      <c r="DH17" s="32" t="str">
        <f>VLOOKUP(A17,'T_med_comp-USA'!$A$7:$Q$233,17,0)</f>
        <v>-</v>
      </c>
      <c r="DI17" s="6" t="str">
        <f t="shared" si="34"/>
        <v/>
      </c>
      <c r="DJ17" s="32" t="str">
        <f>IF(DI17="","",VLOOKUP(DI17,'CPI USA'!$T:$U,2,FALSE))</f>
        <v/>
      </c>
      <c r="DK17" s="32" t="str">
        <f>IF(DI17="","",VLOOKUP(DI17,'PPI USA'!$S:$T,2,FALSE))</f>
        <v/>
      </c>
      <c r="DL17" s="32" t="str">
        <f>IF(DI17="","",VLOOKUP(DI17,'CPI USA'!$T:$V,3,FALSE))</f>
        <v/>
      </c>
      <c r="DM17" s="32" t="str">
        <f>IF(DI17="","",VLOOKUP(DI17,'CPI USA'!$T:$X,5,FALSE))</f>
        <v/>
      </c>
      <c r="DN17" s="32" t="str">
        <f t="shared" si="35"/>
        <v/>
      </c>
      <c r="DO17" s="32" t="str">
        <f t="shared" si="36"/>
        <v/>
      </c>
      <c r="DP17" s="32" t="str">
        <f t="shared" si="37"/>
        <v/>
      </c>
      <c r="DQ17" s="32" t="str">
        <f>IF(DP17="","",DP17*$DO$1/'CPI USA'!$U$520+(1-DP17)*AVERAGE($DO$1,$DQ$1)/AVERAGE('CPI USA'!$U$520,'PPI USA'!$T$526))</f>
        <v/>
      </c>
      <c r="DR17" s="6">
        <f t="shared" si="38"/>
        <v>0</v>
      </c>
      <c r="DS17" s="32" t="str">
        <f t="shared" si="39"/>
        <v/>
      </c>
      <c r="DT17" s="28" t="str">
        <f>IF(DS17="","",DS17*$DO$1/'CPI USA'!$U$520+(1-DS17)*AVERAGE($DO$1,$DQ$1)/AVERAGE('CPI USA'!$U$520,'PPI USA'!$T$526))</f>
        <v/>
      </c>
      <c r="DU17" s="6" t="str">
        <f t="shared" si="40"/>
        <v/>
      </c>
      <c r="DV17" s="6" t="str">
        <f t="shared" si="57"/>
        <v/>
      </c>
      <c r="DW17" s="6">
        <f t="shared" si="41"/>
        <v>0</v>
      </c>
      <c r="DX17" s="16" t="str">
        <f t="shared" si="42"/>
        <v/>
      </c>
      <c r="DY17" s="28" t="str">
        <f>IF(DX17="","",DX17*$DO$1/'CPI USA'!$U$520+(1-DX17)*AVERAGE($DO$1,$DQ$1)/AVERAGE('CPI USA'!$U$520,'PPI USA'!$T$526))</f>
        <v/>
      </c>
      <c r="DZ17" s="30"/>
      <c r="EA17" s="29" t="str">
        <f t="shared" si="43"/>
        <v>C000200</v>
      </c>
      <c r="EB17" s="29" t="str">
        <f t="shared" si="44"/>
        <v/>
      </c>
      <c r="EC17" s="29" t="str">
        <f t="shared" si="45"/>
        <v/>
      </c>
      <c r="ED17" s="29" t="str">
        <f t="shared" si="46"/>
        <v/>
      </c>
      <c r="EE17" s="29" t="str">
        <f t="shared" si="47"/>
        <v/>
      </c>
      <c r="EF17" s="29" t="str">
        <f t="shared" si="48"/>
        <v/>
      </c>
      <c r="EG17" s="29" t="str">
        <f t="shared" si="49"/>
        <v/>
      </c>
      <c r="EH17" s="29" t="str">
        <f t="shared" si="50"/>
        <v/>
      </c>
      <c r="EI17" s="29" t="str">
        <f t="shared" si="51"/>
        <v/>
      </c>
      <c r="EJ17" s="29" t="str">
        <f t="shared" si="52"/>
        <v/>
      </c>
      <c r="EK17" s="29" t="str">
        <f t="shared" si="53"/>
        <v/>
      </c>
      <c r="EL17" s="29" t="str">
        <f>IF(CD17=1,VLOOKUP(EA17,'EIA 2022'!$A$2:$J$213,4,0)*EH17,"")</f>
        <v/>
      </c>
      <c r="EM17" s="29" t="str">
        <f>IF(CD17=1,VLOOKUP(EA17,'EIA 2022'!$A$2:$J$213,7,0)*EH17,"")</f>
        <v/>
      </c>
      <c r="EN17" s="29" t="str">
        <f>IF(CD17=1,VLOOKUP(EA17,'EIA 2022'!$A$2:$J$213,10,0),"")</f>
        <v/>
      </c>
      <c r="EO17" s="28" t="str">
        <f>IF(CD17=1,VLOOKUP(EA17,'EIA 2022'!$A$2:$Z$213,26,0),"")</f>
        <v/>
      </c>
      <c r="EP17" s="23" t="str">
        <f t="shared" si="54"/>
        <v/>
      </c>
      <c r="EQ17" s="32" t="str">
        <f t="shared" si="55"/>
        <v/>
      </c>
      <c r="ER17" s="32" t="str">
        <f t="shared" si="56"/>
        <v/>
      </c>
      <c r="ES17" s="32"/>
      <c r="ET17" s="32"/>
    </row>
    <row r="18" spans="1:150" ht="14.5">
      <c r="A18" s="7" t="s">
        <v>255</v>
      </c>
      <c r="B18" s="7" t="s">
        <v>256</v>
      </c>
      <c r="C18" s="32" t="s">
        <v>887</v>
      </c>
      <c r="D18" s="42">
        <v>0</v>
      </c>
      <c r="E18" s="42">
        <v>0</v>
      </c>
      <c r="F18" s="42">
        <v>0</v>
      </c>
      <c r="G18" s="42">
        <v>1005909047</v>
      </c>
      <c r="H18" s="42">
        <v>1006710227</v>
      </c>
      <c r="I18" s="42">
        <v>1238591</v>
      </c>
      <c r="J18" s="42">
        <v>3286974</v>
      </c>
      <c r="K18" s="42">
        <v>0</v>
      </c>
      <c r="L18" s="42">
        <v>13416166</v>
      </c>
      <c r="M18" s="42">
        <v>10702052</v>
      </c>
      <c r="N18" s="42">
        <v>11953489</v>
      </c>
      <c r="O18" s="42">
        <v>81493204</v>
      </c>
      <c r="P18" s="42">
        <v>3442264</v>
      </c>
      <c r="Q18" s="42">
        <v>0</v>
      </c>
      <c r="R18" s="42">
        <v>4893812</v>
      </c>
      <c r="S18" s="42">
        <v>18102194</v>
      </c>
      <c r="T18" s="42">
        <v>138836954</v>
      </c>
      <c r="U18" s="42">
        <v>37560068</v>
      </c>
      <c r="V18" s="42">
        <v>2465283</v>
      </c>
      <c r="W18" s="42">
        <v>14867794</v>
      </c>
      <c r="X18" s="42">
        <f>IFERROR(VLOOKUP(A18,'Trans 21-23'!$A$2:$J$229,8,0),0)</f>
        <v>955151</v>
      </c>
      <c r="Y18" s="42">
        <v>6200552</v>
      </c>
      <c r="Z18" s="42">
        <v>0</v>
      </c>
      <c r="AA18" s="42">
        <v>126718586</v>
      </c>
      <c r="AB18" s="42">
        <v>83808378</v>
      </c>
      <c r="AC18" s="42">
        <v>435787</v>
      </c>
      <c r="AD18" s="42">
        <v>173748102</v>
      </c>
      <c r="AE18" s="42">
        <v>0</v>
      </c>
      <c r="AF18" s="42">
        <v>1996812527</v>
      </c>
      <c r="AG18" s="42">
        <v>1690627</v>
      </c>
      <c r="AH18" s="42">
        <v>1853517</v>
      </c>
      <c r="AI18" s="42">
        <v>38647595</v>
      </c>
      <c r="AJ18" s="42">
        <v>20631</v>
      </c>
      <c r="AK18" s="42">
        <v>0</v>
      </c>
      <c r="AL18" s="42">
        <v>14379155</v>
      </c>
      <c r="AM18" s="42">
        <v>7701403</v>
      </c>
      <c r="AN18" s="42">
        <v>14045694</v>
      </c>
      <c r="AO18" s="42">
        <v>165242</v>
      </c>
      <c r="AP18" s="42">
        <v>0</v>
      </c>
      <c r="AQ18" s="42">
        <v>36768555</v>
      </c>
      <c r="AR18" s="42">
        <v>4892</v>
      </c>
      <c r="AS18" s="42">
        <v>36773447</v>
      </c>
      <c r="AT18" s="42">
        <v>472528</v>
      </c>
      <c r="AU18" s="42">
        <v>8583</v>
      </c>
      <c r="AV18" s="42">
        <v>0</v>
      </c>
      <c r="AW18" s="42">
        <v>1812270826</v>
      </c>
      <c r="AX18" s="42">
        <v>688852158</v>
      </c>
      <c r="AY18" s="42">
        <v>1666518774</v>
      </c>
      <c r="AZ18" s="42">
        <v>340235463</v>
      </c>
      <c r="BA18" s="42">
        <v>68938315</v>
      </c>
      <c r="BB18" s="42">
        <v>8297078373</v>
      </c>
      <c r="BC18" s="42">
        <v>10726232314</v>
      </c>
      <c r="BD18" s="42">
        <v>325580785</v>
      </c>
      <c r="BE18" s="42">
        <v>1865594282</v>
      </c>
      <c r="BF18" s="42">
        <v>168753558</v>
      </c>
      <c r="BG18" s="42">
        <v>0</v>
      </c>
      <c r="BH18" s="42">
        <v>98513399</v>
      </c>
      <c r="BI18" s="42">
        <v>33191044</v>
      </c>
      <c r="BJ18" s="42">
        <v>1647777</v>
      </c>
      <c r="BK18" s="42">
        <v>316559</v>
      </c>
      <c r="BL18" s="42">
        <v>0</v>
      </c>
      <c r="BM18" s="42">
        <v>29313173</v>
      </c>
      <c r="BN18" s="42">
        <v>173473556</v>
      </c>
      <c r="BO18" s="42">
        <v>21698741</v>
      </c>
      <c r="BP18" s="42">
        <v>115291144</v>
      </c>
      <c r="BQ18" s="42">
        <v>439396057</v>
      </c>
      <c r="BR18" s="42">
        <v>4533</v>
      </c>
      <c r="BS18" s="42">
        <f>IFERROR(VLOOKUP(A18,'Trans 21-23'!$A$2:$J$229,7,0),0)</f>
        <v>86501890</v>
      </c>
      <c r="BT18" s="63"/>
      <c r="BU18" s="32">
        <f t="shared" si="0"/>
        <v>8297078373</v>
      </c>
      <c r="BV18" s="32">
        <f t="shared" si="1"/>
        <v>8583</v>
      </c>
      <c r="BW18" s="32">
        <f t="shared" si="2"/>
        <v>1690627</v>
      </c>
      <c r="BX18" s="32">
        <f t="shared" si="3"/>
        <v>342258845</v>
      </c>
      <c r="BY18" s="32">
        <f t="shared" si="4"/>
        <v>217163303</v>
      </c>
      <c r="BZ18" s="32">
        <f t="shared" si="5"/>
        <v>340235463</v>
      </c>
      <c r="CA18" s="32">
        <f t="shared" si="6"/>
        <v>173748102</v>
      </c>
      <c r="CB18" s="32">
        <f t="shared" si="7"/>
        <v>1853517</v>
      </c>
      <c r="CC18" s="32">
        <f t="shared" si="8"/>
        <v>36768555</v>
      </c>
      <c r="CD18" s="41">
        <f t="shared" si="9"/>
        <v>1</v>
      </c>
      <c r="CE18" s="44">
        <f t="shared" si="10"/>
        <v>12</v>
      </c>
      <c r="CF18" s="27"/>
      <c r="CG18" s="28">
        <f t="shared" si="11"/>
        <v>966.68744879412793</v>
      </c>
      <c r="CH18" s="28">
        <f t="shared" si="12"/>
        <v>5.0768146965593237</v>
      </c>
      <c r="CI18" s="28">
        <f t="shared" si="13"/>
        <v>202.44491836460674</v>
      </c>
      <c r="CJ18" s="28">
        <f t="shared" si="14"/>
        <v>201.24809493755868</v>
      </c>
      <c r="CK18" s="23">
        <f t="shared" si="15"/>
        <v>5.0410384634370323E-2</v>
      </c>
      <c r="CL18" s="29" t="str">
        <f t="shared" si="16"/>
        <v/>
      </c>
      <c r="CM18" s="29" t="str">
        <f t="shared" si="17"/>
        <v/>
      </c>
      <c r="CN18" s="29" t="str">
        <f t="shared" si="18"/>
        <v/>
      </c>
      <c r="CO18" s="29" t="str">
        <f t="shared" si="19"/>
        <v/>
      </c>
      <c r="CP18" s="29" t="str">
        <f t="shared" si="20"/>
        <v/>
      </c>
      <c r="CQ18" s="29">
        <f t="shared" si="21"/>
        <v>0</v>
      </c>
      <c r="CR18" s="30"/>
      <c r="CS18" s="7">
        <f>VLOOKUP(A18,'Empresas 21-23'!$A$2:$M$228,13,0)</f>
        <v>1</v>
      </c>
      <c r="CT18" s="30"/>
      <c r="CU18" s="6">
        <f t="shared" si="22"/>
        <v>6561183925.8000002</v>
      </c>
      <c r="CV18" s="6">
        <f t="shared" si="23"/>
        <v>340235463</v>
      </c>
      <c r="CW18" s="6">
        <f t="shared" si="24"/>
        <v>325580785</v>
      </c>
      <c r="CX18" s="23">
        <f t="shared" si="25"/>
        <v>0.63084354932049569</v>
      </c>
      <c r="CY18" s="23">
        <f t="shared" si="26"/>
        <v>3.2712898999771881E-2</v>
      </c>
      <c r="CZ18" s="6">
        <f t="shared" si="27"/>
        <v>6766574463.7999535</v>
      </c>
      <c r="DA18" s="6">
        <f t="shared" si="28"/>
        <v>350886154.33597142</v>
      </c>
      <c r="DB18" s="6">
        <f t="shared" si="29"/>
        <v>342258845</v>
      </c>
      <c r="DC18" s="6">
        <f t="shared" si="30"/>
        <v>343213996</v>
      </c>
      <c r="DD18" s="6">
        <f t="shared" si="31"/>
        <v>217163303</v>
      </c>
      <c r="DE18" s="6">
        <f t="shared" si="32"/>
        <v>173748102</v>
      </c>
      <c r="DF18" s="6">
        <f t="shared" si="33"/>
        <v>119267460.55042213</v>
      </c>
      <c r="DG18" s="30"/>
      <c r="DH18" s="32">
        <f>VLOOKUP(A18,'T_med_comp-USA'!$A$7:$Q$233,17,0)</f>
        <v>11.042607983924809</v>
      </c>
      <c r="DI18" s="6" t="str">
        <f t="shared" si="34"/>
        <v>12_2011</v>
      </c>
      <c r="DJ18" s="32">
        <f>IF(DI18="","",VLOOKUP(DI18,'CPI USA'!$T:$U,2,FALSE))</f>
        <v>224.93899999999999</v>
      </c>
      <c r="DK18" s="32">
        <f>IF(DI18="","",VLOOKUP(DI18,'PPI USA'!$S:$T,2,FALSE))</f>
        <v>169.6</v>
      </c>
      <c r="DL18" s="32">
        <f>IF(DI18="","",VLOOKUP(DI18,'CPI USA'!$T:$V,3,FALSE))</f>
        <v>0.6684022975047168</v>
      </c>
      <c r="DM18" s="32">
        <f>IF(DI18="","",VLOOKUP(DI18,'CPI USA'!$T:$X,5,FALSE))</f>
        <v>0.49636791791307899</v>
      </c>
      <c r="DN18" s="32">
        <f t="shared" si="35"/>
        <v>1.4208751760332547</v>
      </c>
      <c r="DO18" s="32">
        <f t="shared" si="36"/>
        <v>1.4334111417560953</v>
      </c>
      <c r="DP18" s="32">
        <f t="shared" si="37"/>
        <v>0.32383629017700172</v>
      </c>
      <c r="DQ18" s="32">
        <f>IF(DP18="","",DP18*$DO$1/'CPI USA'!$U$520+(1-DP18)*AVERAGE($DO$1,$DQ$1)/AVERAGE('CPI USA'!$U$520,'PPI USA'!$T$526))</f>
        <v>1.0812973219568436</v>
      </c>
      <c r="DR18" s="6">
        <f t="shared" si="38"/>
        <v>35155380</v>
      </c>
      <c r="DS18" s="32">
        <f t="shared" si="39"/>
        <v>0.2</v>
      </c>
      <c r="DT18" s="28">
        <f>IF(DS18="","",DS18*$DO$1/'CPI USA'!$U$520+(1-DS18)*AVERAGE($DO$1,$DQ$1)/AVERAGE('CPI USA'!$U$520,'PPI USA'!$T$526))</f>
        <v>1.0854630593748538</v>
      </c>
      <c r="DU18" s="6">
        <f t="shared" si="40"/>
        <v>32979777.659993209</v>
      </c>
      <c r="DV18" s="6">
        <f t="shared" si="57"/>
        <v>10427331.132249488</v>
      </c>
      <c r="DW18" s="6">
        <f t="shared" si="41"/>
        <v>33447030.002539676</v>
      </c>
      <c r="DX18" s="16">
        <f t="shared" si="42"/>
        <v>0.28043717748479635</v>
      </c>
      <c r="DY18" s="28">
        <f>IF(DX18="","",DX18*$DO$1/'CPI USA'!$U$520+(1-DX18)*AVERAGE($DO$1,$DQ$1)/AVERAGE('CPI USA'!$U$520,'PPI USA'!$T$526))</f>
        <v>1.0827572276710082</v>
      </c>
      <c r="DZ18" s="30"/>
      <c r="EA18" s="29" t="str">
        <f t="shared" si="43"/>
        <v>C000201</v>
      </c>
      <c r="EB18" s="29">
        <f t="shared" si="44"/>
        <v>9614457682.3938847</v>
      </c>
      <c r="EC18" s="29">
        <f t="shared" si="45"/>
        <v>502964123.11313027</v>
      </c>
      <c r="ED18" s="29">
        <f t="shared" si="46"/>
        <v>371116374.73290682</v>
      </c>
      <c r="EE18" s="29">
        <f t="shared" si="47"/>
        <v>235722743.25832835</v>
      </c>
      <c r="EF18" s="29">
        <f t="shared" si="48"/>
        <v>129137704.93693641</v>
      </c>
      <c r="EG18" s="29">
        <f t="shared" si="49"/>
        <v>8583</v>
      </c>
      <c r="EH18" s="29">
        <f t="shared" si="50"/>
        <v>1690627</v>
      </c>
      <c r="EI18" s="29">
        <f t="shared" si="51"/>
        <v>1853517</v>
      </c>
      <c r="EJ18" s="29">
        <f t="shared" si="52"/>
        <v>36768555</v>
      </c>
      <c r="EK18" s="29">
        <f t="shared" si="53"/>
        <v>38621997.50253807</v>
      </c>
      <c r="EL18" s="29">
        <f>IF(CD18=1,VLOOKUP(EA18,'EIA 2022'!$A$2:$J$213,4,0)*EH18,"")</f>
        <v>138631414</v>
      </c>
      <c r="EM18" s="29">
        <f>IF(CD18=1,VLOOKUP(EA18,'EIA 2022'!$A$2:$J$213,7,0)*EH18,"")</f>
        <v>1453939.22</v>
      </c>
      <c r="EN18" s="29">
        <f>IF(CD18=1,VLOOKUP(EA18,'EIA 2022'!$A$2:$J$213,10,0),"")</f>
        <v>1760477</v>
      </c>
      <c r="EO18" s="28">
        <f>IF(CD18=1,VLOOKUP(EA18,'EIA 2022'!$A$2:$Z$213,26,0),"")</f>
        <v>0</v>
      </c>
      <c r="EP18" s="23">
        <f t="shared" si="54"/>
        <v>4.7989296835728674E-2</v>
      </c>
      <c r="EQ18" s="32">
        <f t="shared" si="55"/>
        <v>74.497461928934172</v>
      </c>
      <c r="ER18" s="32">
        <f t="shared" si="56"/>
        <v>1853442.502538071</v>
      </c>
      <c r="ES18" s="32"/>
      <c r="ET18" s="32"/>
    </row>
    <row r="19" spans="1:150" ht="14.5">
      <c r="A19" s="7" t="s">
        <v>258</v>
      </c>
      <c r="B19" s="7" t="s">
        <v>259</v>
      </c>
      <c r="C19" s="32" t="s">
        <v>888</v>
      </c>
      <c r="D19" s="42">
        <v>265533645</v>
      </c>
      <c r="E19" s="42">
        <v>38568241</v>
      </c>
      <c r="F19" s="42">
        <v>617450624</v>
      </c>
      <c r="G19" s="42">
        <v>287413062</v>
      </c>
      <c r="H19" s="42">
        <v>289903423</v>
      </c>
      <c r="I19" s="42">
        <v>1646658</v>
      </c>
      <c r="J19" s="42">
        <v>2073611</v>
      </c>
      <c r="K19" s="42">
        <v>1835263</v>
      </c>
      <c r="L19" s="42">
        <v>1797075</v>
      </c>
      <c r="M19" s="42">
        <v>458069</v>
      </c>
      <c r="N19" s="42">
        <v>208</v>
      </c>
      <c r="O19" s="42">
        <v>4893300</v>
      </c>
      <c r="P19" s="42">
        <v>2734517</v>
      </c>
      <c r="Q19" s="42">
        <v>160241</v>
      </c>
      <c r="R19" s="42">
        <v>0</v>
      </c>
      <c r="S19" s="42">
        <v>1483042</v>
      </c>
      <c r="T19" s="42">
        <v>41890878</v>
      </c>
      <c r="U19" s="42">
        <v>2236544</v>
      </c>
      <c r="V19" s="42">
        <v>170801</v>
      </c>
      <c r="W19" s="42">
        <v>2240307</v>
      </c>
      <c r="X19" s="42">
        <f>IFERROR(VLOOKUP(A19,'Trans 21-23'!$A$2:$J$229,8,0),0)</f>
        <v>8600024</v>
      </c>
      <c r="Y19" s="42">
        <v>1380598</v>
      </c>
      <c r="Z19" s="42">
        <v>964783</v>
      </c>
      <c r="AA19" s="42">
        <v>29110926</v>
      </c>
      <c r="AB19" s="42">
        <v>38554852</v>
      </c>
      <c r="AC19" s="42">
        <v>1373097</v>
      </c>
      <c r="AD19" s="42">
        <v>155872984</v>
      </c>
      <c r="AE19" s="42">
        <v>0</v>
      </c>
      <c r="AF19" s="42">
        <v>1719558987</v>
      </c>
      <c r="AG19" s="42">
        <v>777001</v>
      </c>
      <c r="AH19" s="42">
        <v>1098485</v>
      </c>
      <c r="AI19" s="42">
        <v>24153217</v>
      </c>
      <c r="AJ19" s="42">
        <v>75044</v>
      </c>
      <c r="AK19" s="42">
        <v>0</v>
      </c>
      <c r="AL19" s="42">
        <v>8485891</v>
      </c>
      <c r="AM19" s="42">
        <v>7186928</v>
      </c>
      <c r="AN19" s="42">
        <v>5568616</v>
      </c>
      <c r="AO19" s="42">
        <v>74957</v>
      </c>
      <c r="AP19" s="42">
        <v>504003</v>
      </c>
      <c r="AQ19" s="42">
        <v>21820395</v>
      </c>
      <c r="AR19" s="42">
        <v>1159293</v>
      </c>
      <c r="AS19" s="42">
        <v>22979688</v>
      </c>
      <c r="AT19" s="42">
        <v>0</v>
      </c>
      <c r="AU19" s="42">
        <v>4723</v>
      </c>
      <c r="AV19" s="42">
        <v>0</v>
      </c>
      <c r="AW19" s="42">
        <v>608805498</v>
      </c>
      <c r="AX19" s="42">
        <v>185648724</v>
      </c>
      <c r="AY19" s="42">
        <v>554579870</v>
      </c>
      <c r="AZ19" s="42">
        <v>180019292</v>
      </c>
      <c r="BA19" s="42">
        <v>434778844</v>
      </c>
      <c r="BB19" s="42">
        <v>3968162122</v>
      </c>
      <c r="BC19" s="42">
        <v>11801306501</v>
      </c>
      <c r="BD19" s="42">
        <v>264359519</v>
      </c>
      <c r="BE19" s="42">
        <v>1278046467</v>
      </c>
      <c r="BF19" s="42">
        <v>94512741</v>
      </c>
      <c r="BG19" s="42">
        <v>0</v>
      </c>
      <c r="BH19" s="42">
        <v>25214380</v>
      </c>
      <c r="BI19" s="42">
        <v>9268515</v>
      </c>
      <c r="BJ19" s="42">
        <v>2345127</v>
      </c>
      <c r="BK19" s="42">
        <v>1060575</v>
      </c>
      <c r="BL19" s="42">
        <v>0</v>
      </c>
      <c r="BM19" s="42">
        <v>60766824</v>
      </c>
      <c r="BN19" s="42">
        <v>180074654</v>
      </c>
      <c r="BO19" s="42">
        <v>0</v>
      </c>
      <c r="BP19" s="42">
        <v>4510229</v>
      </c>
      <c r="BQ19" s="42">
        <v>219769007</v>
      </c>
      <c r="BR19" s="42">
        <v>0</v>
      </c>
      <c r="BS19" s="42">
        <f>IFERROR(VLOOKUP(A19,'Trans 21-23'!$A$2:$J$229,7,0),0)</f>
        <v>778849291</v>
      </c>
      <c r="BT19" s="63"/>
      <c r="BU19" s="32">
        <f t="shared" si="0"/>
        <v>3968162122</v>
      </c>
      <c r="BV19" s="32">
        <f t="shared" si="1"/>
        <v>4723</v>
      </c>
      <c r="BW19" s="32">
        <f t="shared" si="2"/>
        <v>777001</v>
      </c>
      <c r="BX19" s="32">
        <f t="shared" si="3"/>
        <v>63620514</v>
      </c>
      <c r="BY19" s="32">
        <f t="shared" si="4"/>
        <v>71384256</v>
      </c>
      <c r="BZ19" s="32">
        <f t="shared" si="5"/>
        <v>180019292</v>
      </c>
      <c r="CA19" s="32">
        <f t="shared" si="6"/>
        <v>155872984</v>
      </c>
      <c r="CB19" s="32">
        <f t="shared" si="7"/>
        <v>1098485</v>
      </c>
      <c r="CC19" s="66">
        <f t="shared" si="8"/>
        <v>21820395</v>
      </c>
      <c r="CD19" s="41">
        <f t="shared" si="9"/>
        <v>1</v>
      </c>
      <c r="CE19" s="44">
        <f t="shared" si="10"/>
        <v>9</v>
      </c>
      <c r="CF19" s="27"/>
      <c r="CG19" s="28">
        <f t="shared" si="11"/>
        <v>840.17830235020119</v>
      </c>
      <c r="CH19" s="28">
        <f t="shared" si="12"/>
        <v>6.0784992554707138</v>
      </c>
      <c r="CI19" s="28">
        <f t="shared" si="13"/>
        <v>81.879578018561105</v>
      </c>
      <c r="CJ19" s="28">
        <f t="shared" si="14"/>
        <v>231.68476231047322</v>
      </c>
      <c r="CK19" s="23">
        <f t="shared" si="15"/>
        <v>5.0342122587606689E-2</v>
      </c>
      <c r="CL19" s="29" t="str">
        <f t="shared" si="16"/>
        <v/>
      </c>
      <c r="CM19" s="29" t="str">
        <f t="shared" si="17"/>
        <v/>
      </c>
      <c r="CN19" s="29" t="str">
        <f t="shared" si="18"/>
        <v/>
      </c>
      <c r="CO19" s="29" t="str">
        <f t="shared" si="19"/>
        <v/>
      </c>
      <c r="CP19" s="29" t="str">
        <f t="shared" si="20"/>
        <v/>
      </c>
      <c r="CQ19" s="29">
        <f t="shared" si="21"/>
        <v>0</v>
      </c>
      <c r="CR19" s="30"/>
      <c r="CS19" s="7">
        <f>VLOOKUP(A19,'Empresas 21-23'!$A$2:$M$228,13,0)</f>
        <v>1</v>
      </c>
      <c r="CT19" s="30"/>
      <c r="CU19" s="6">
        <f t="shared" si="22"/>
        <v>3688076120.5999999</v>
      </c>
      <c r="CV19" s="6">
        <f t="shared" si="23"/>
        <v>180019292</v>
      </c>
      <c r="CW19" s="6">
        <f t="shared" si="24"/>
        <v>264359519</v>
      </c>
      <c r="CX19" s="23">
        <f t="shared" si="25"/>
        <v>0.31967522485404104</v>
      </c>
      <c r="CY19" s="23">
        <f t="shared" si="26"/>
        <v>1.5603720141980974E-2</v>
      </c>
      <c r="CZ19" s="6">
        <f t="shared" si="27"/>
        <v>3772585309.2786312</v>
      </c>
      <c r="DA19" s="6">
        <f t="shared" si="28"/>
        <v>184144283.9513447</v>
      </c>
      <c r="DB19" s="6">
        <f t="shared" si="29"/>
        <v>63620514</v>
      </c>
      <c r="DC19" s="6">
        <f t="shared" si="30"/>
        <v>72220538</v>
      </c>
      <c r="DD19" s="6">
        <f t="shared" si="31"/>
        <v>71384256</v>
      </c>
      <c r="DE19" s="6">
        <f t="shared" si="32"/>
        <v>155872984</v>
      </c>
      <c r="DF19" s="6">
        <f t="shared" si="33"/>
        <v>63549678.644657724</v>
      </c>
      <c r="DG19" s="30"/>
      <c r="DH19" s="32">
        <f>VLOOKUP(A19,'T_med_comp-USA'!$A$7:$Q$233,17,0)</f>
        <v>13.671317443061531</v>
      </c>
      <c r="DI19" s="6" t="str">
        <f t="shared" si="34"/>
        <v>5_2009</v>
      </c>
      <c r="DJ19" s="32">
        <f>IF(DI19="","",VLOOKUP(DI19,'CPI USA'!$T:$U,2,FALSE))</f>
        <v>214.53700000000001</v>
      </c>
      <c r="DK19" s="32">
        <f>IF(DI19="","",VLOOKUP(DI19,'PPI USA'!$S:$T,2,FALSE))</f>
        <v>159.1</v>
      </c>
      <c r="DL19" s="32">
        <f>IF(DI19="","",VLOOKUP(DI19,'CPI USA'!$T:$V,3,FALSE))</f>
        <v>0.66997101349938215</v>
      </c>
      <c r="DM19" s="32">
        <f>IF(DI19="","",VLOOKUP(DI19,'CPI USA'!$T:$X,5,FALSE))</f>
        <v>0.49813941766071862</v>
      </c>
      <c r="DN19" s="32">
        <f t="shared" si="35"/>
        <v>1.4932638886873792</v>
      </c>
      <c r="DO19" s="32">
        <f t="shared" si="36"/>
        <v>1.5082750176818205</v>
      </c>
      <c r="DP19" s="32">
        <f t="shared" si="37"/>
        <v>0.39632468231866219</v>
      </c>
      <c r="DQ19" s="32">
        <f>IF(DP19="","",DP19*$DO$1/'CPI USA'!$U$520+(1-DP19)*AVERAGE($DO$1,$DQ$1)/AVERAGE('CPI USA'!$U$520,'PPI USA'!$T$526))</f>
        <v>1.0788588799857197</v>
      </c>
      <c r="DR19" s="6">
        <f t="shared" si="38"/>
        <v>12674217</v>
      </c>
      <c r="DS19" s="32">
        <f t="shared" si="39"/>
        <v>0.2</v>
      </c>
      <c r="DT19" s="28">
        <f>IF(DS19="","",DS19*$DO$1/'CPI USA'!$U$520+(1-DS19)*AVERAGE($DO$1,$DQ$1)/AVERAGE('CPI USA'!$U$520,'PPI USA'!$T$526))</f>
        <v>1.0854630593748538</v>
      </c>
      <c r="DU19" s="6">
        <f t="shared" si="40"/>
        <v>60766824</v>
      </c>
      <c r="DV19" s="6">
        <f t="shared" si="57"/>
        <v>1273222.3716456108</v>
      </c>
      <c r="DW19" s="6">
        <f t="shared" si="41"/>
        <v>13053532.313529214</v>
      </c>
      <c r="DX19" s="16">
        <f t="shared" si="42"/>
        <v>0.20540673992261885</v>
      </c>
      <c r="DY19" s="28">
        <f>IF(DX19="","",DX19*$DO$1/'CPI USA'!$U$520+(1-DX19)*AVERAGE($DO$1,$DQ$1)/AVERAGE('CPI USA'!$U$520,'PPI USA'!$T$526))</f>
        <v>1.0852811816815466</v>
      </c>
      <c r="DZ19" s="30"/>
      <c r="EA19" s="29" t="str">
        <f t="shared" si="43"/>
        <v>C000241</v>
      </c>
      <c r="EB19" s="29">
        <f t="shared" si="44"/>
        <v>5633465409.3382883</v>
      </c>
      <c r="EC19" s="29">
        <f t="shared" si="45"/>
        <v>277740223.13272059</v>
      </c>
      <c r="ED19" s="29">
        <f t="shared" si="46"/>
        <v>77915768.738646105</v>
      </c>
      <c r="EE19" s="29">
        <f t="shared" si="47"/>
        <v>77484972.908957765</v>
      </c>
      <c r="EF19" s="29">
        <f t="shared" si="48"/>
        <v>68969270.334956691</v>
      </c>
      <c r="EG19" s="29">
        <f t="shared" si="49"/>
        <v>4723</v>
      </c>
      <c r="EH19" s="29">
        <f t="shared" si="50"/>
        <v>777001</v>
      </c>
      <c r="EI19" s="29">
        <f t="shared" si="51"/>
        <v>1098485</v>
      </c>
      <c r="EJ19" s="29">
        <f t="shared" si="52"/>
        <v>21820395</v>
      </c>
      <c r="EK19" s="29">
        <f t="shared" si="53"/>
        <v>22901225.791878171</v>
      </c>
      <c r="EL19" s="29">
        <f>IF(CD19=1,VLOOKUP(EA19,'EIA 2022'!$A$2:$J$213,4,0)*EH19,"")</f>
        <v>60916878.400000006</v>
      </c>
      <c r="EM19" s="29">
        <f>IF(CD19=1,VLOOKUP(EA19,'EIA 2022'!$A$2:$J$213,7,0)*EH19,"")</f>
        <v>1499611.93</v>
      </c>
      <c r="EN19" s="29">
        <f>IF(CD19=1,VLOOKUP(EA19,'EIA 2022'!$A$2:$J$213,10,0),"")</f>
        <v>781603</v>
      </c>
      <c r="EO19" s="28">
        <f>IF(CD19=1,VLOOKUP(EA19,'EIA 2022'!$A$2:$Z$213,26,0),"")</f>
        <v>0</v>
      </c>
      <c r="EP19" s="23">
        <f t="shared" si="54"/>
        <v>4.7195324900970365E-2</v>
      </c>
      <c r="EQ19" s="32">
        <f t="shared" si="55"/>
        <v>17654.208121827338</v>
      </c>
      <c r="ER19" s="32">
        <f t="shared" si="56"/>
        <v>1080830.7918781727</v>
      </c>
      <c r="ES19" s="32"/>
      <c r="ET19" s="32"/>
    </row>
    <row r="20" spans="1:150" ht="14.5">
      <c r="A20" s="7" t="s">
        <v>261</v>
      </c>
      <c r="B20" s="7" t="s">
        <v>262</v>
      </c>
      <c r="C20" s="32" t="s">
        <v>889</v>
      </c>
      <c r="D20" s="42">
        <v>465966789</v>
      </c>
      <c r="E20" s="42">
        <v>0</v>
      </c>
      <c r="F20" s="42">
        <v>263000740</v>
      </c>
      <c r="G20" s="42">
        <v>1087836034</v>
      </c>
      <c r="H20" s="42">
        <v>1113948085</v>
      </c>
      <c r="I20" s="42">
        <v>633036</v>
      </c>
      <c r="J20" s="42">
        <v>293270</v>
      </c>
      <c r="K20" s="42">
        <v>2178606</v>
      </c>
      <c r="L20" s="42">
        <v>1675556</v>
      </c>
      <c r="M20" s="42">
        <v>4957611</v>
      </c>
      <c r="N20" s="42">
        <v>3574677</v>
      </c>
      <c r="O20" s="42">
        <v>10668365</v>
      </c>
      <c r="P20" s="42">
        <v>546175</v>
      </c>
      <c r="Q20" s="42">
        <v>778170</v>
      </c>
      <c r="R20" s="42">
        <v>16573</v>
      </c>
      <c r="S20" s="42">
        <v>3033886</v>
      </c>
      <c r="T20" s="42">
        <v>82752674</v>
      </c>
      <c r="U20" s="42">
        <v>2682111</v>
      </c>
      <c r="V20" s="42">
        <v>170938</v>
      </c>
      <c r="W20" s="42">
        <v>8005</v>
      </c>
      <c r="X20" s="42">
        <f>IFERROR(VLOOKUP(A20,'Trans 21-23'!$A$2:$J$229,8,0),0)</f>
        <v>7480452</v>
      </c>
      <c r="Y20" s="42">
        <v>3784228</v>
      </c>
      <c r="Z20" s="42">
        <v>1159668</v>
      </c>
      <c r="AA20" s="42">
        <v>19619812</v>
      </c>
      <c r="AB20" s="42">
        <v>4123339</v>
      </c>
      <c r="AC20" s="42">
        <v>5698637</v>
      </c>
      <c r="AD20" s="42">
        <v>151415843</v>
      </c>
      <c r="AE20" s="42">
        <v>0</v>
      </c>
      <c r="AF20" s="42">
        <v>2523551971</v>
      </c>
      <c r="AG20" s="42">
        <v>881328</v>
      </c>
      <c r="AH20" s="42">
        <v>1817786</v>
      </c>
      <c r="AI20" s="42">
        <v>33825450</v>
      </c>
      <c r="AJ20" s="42">
        <v>28724</v>
      </c>
      <c r="AK20" s="42">
        <v>0</v>
      </c>
      <c r="AL20" s="42">
        <v>9437091</v>
      </c>
      <c r="AM20" s="42">
        <v>6364838</v>
      </c>
      <c r="AN20" s="42">
        <v>9534798</v>
      </c>
      <c r="AO20" s="42">
        <v>60110</v>
      </c>
      <c r="AP20" s="42">
        <v>1893076</v>
      </c>
      <c r="AQ20" s="42">
        <v>27289913</v>
      </c>
      <c r="AR20" s="42">
        <v>4689027</v>
      </c>
      <c r="AS20" s="42">
        <v>31978940</v>
      </c>
      <c r="AT20" s="42">
        <v>0</v>
      </c>
      <c r="AU20" s="42">
        <v>6029</v>
      </c>
      <c r="AV20" s="42">
        <v>0</v>
      </c>
      <c r="AW20" s="42">
        <v>925384465</v>
      </c>
      <c r="AX20" s="42">
        <v>74526716</v>
      </c>
      <c r="AY20" s="42">
        <v>825738628</v>
      </c>
      <c r="AZ20" s="42">
        <v>216583783</v>
      </c>
      <c r="BA20" s="42">
        <v>60087500</v>
      </c>
      <c r="BB20" s="42">
        <v>4551264129</v>
      </c>
      <c r="BC20" s="42">
        <v>17721575014</v>
      </c>
      <c r="BD20" s="42">
        <v>714838206</v>
      </c>
      <c r="BE20" s="42">
        <v>1315327879</v>
      </c>
      <c r="BF20" s="42">
        <v>96206280</v>
      </c>
      <c r="BG20" s="42">
        <v>0</v>
      </c>
      <c r="BH20" s="42">
        <v>28333584</v>
      </c>
      <c r="BI20" s="42">
        <v>8036389</v>
      </c>
      <c r="BJ20" s="42">
        <v>2439869</v>
      </c>
      <c r="BK20" s="42">
        <v>0</v>
      </c>
      <c r="BL20" s="42">
        <v>0</v>
      </c>
      <c r="BM20" s="42">
        <v>56829645</v>
      </c>
      <c r="BN20" s="42">
        <v>186361356</v>
      </c>
      <c r="BO20" s="42">
        <v>3964405</v>
      </c>
      <c r="BP20" s="42">
        <v>3113409</v>
      </c>
      <c r="BQ20" s="42">
        <v>298169038</v>
      </c>
      <c r="BR20" s="42">
        <v>0</v>
      </c>
      <c r="BS20" s="42">
        <f>IFERROR(VLOOKUP(A20,'Trans 21-23'!$A$2:$J$229,7,0),0)</f>
        <v>677456736</v>
      </c>
      <c r="BT20" s="63"/>
      <c r="BU20" s="32">
        <f t="shared" si="0"/>
        <v>4551264129</v>
      </c>
      <c r="BV20" s="32">
        <f t="shared" si="1"/>
        <v>6029</v>
      </c>
      <c r="BW20" s="32">
        <f t="shared" si="2"/>
        <v>881328</v>
      </c>
      <c r="BX20" s="32">
        <f t="shared" si="3"/>
        <v>113969653</v>
      </c>
      <c r="BY20" s="32">
        <f t="shared" si="4"/>
        <v>34385684</v>
      </c>
      <c r="BZ20" s="32">
        <f t="shared" si="5"/>
        <v>216583783</v>
      </c>
      <c r="CA20" s="32">
        <f t="shared" si="6"/>
        <v>151415843</v>
      </c>
      <c r="CB20" s="32">
        <f t="shared" si="7"/>
        <v>1817786</v>
      </c>
      <c r="CC20" s="32">
        <f t="shared" si="8"/>
        <v>27289913</v>
      </c>
      <c r="CD20" s="41">
        <f t="shared" si="9"/>
        <v>1</v>
      </c>
      <c r="CE20" s="44">
        <f t="shared" si="10"/>
        <v>9</v>
      </c>
      <c r="CF20" s="27"/>
      <c r="CG20" s="28">
        <f t="shared" si="11"/>
        <v>754.8953605904793</v>
      </c>
      <c r="CH20" s="28">
        <f t="shared" si="12"/>
        <v>6.8408129549951893</v>
      </c>
      <c r="CI20" s="28">
        <f t="shared" si="13"/>
        <v>129.31581998983353</v>
      </c>
      <c r="CJ20" s="28">
        <f t="shared" si="14"/>
        <v>245.74708054209103</v>
      </c>
      <c r="CK20" s="23">
        <f t="shared" si="15"/>
        <v>6.661017937286938E-2</v>
      </c>
      <c r="CL20" s="29" t="str">
        <f t="shared" si="16"/>
        <v/>
      </c>
      <c r="CM20" s="29" t="str">
        <f t="shared" si="17"/>
        <v/>
      </c>
      <c r="CN20" s="29" t="str">
        <f t="shared" si="18"/>
        <v/>
      </c>
      <c r="CO20" s="29" t="str">
        <f t="shared" si="19"/>
        <v/>
      </c>
      <c r="CP20" s="29" t="str">
        <f t="shared" si="20"/>
        <v/>
      </c>
      <c r="CQ20" s="29">
        <f t="shared" si="21"/>
        <v>0</v>
      </c>
      <c r="CR20" s="30"/>
      <c r="CS20" s="7">
        <f>VLOOKUP(A20,'Empresas 21-23'!$A$2:$M$228,13,0)</f>
        <v>1</v>
      </c>
      <c r="CT20" s="30"/>
      <c r="CU20" s="6">
        <f t="shared" si="22"/>
        <v>4411890375.6000004</v>
      </c>
      <c r="CV20" s="6">
        <f t="shared" si="23"/>
        <v>216583783</v>
      </c>
      <c r="CW20" s="6">
        <f t="shared" si="24"/>
        <v>714838206</v>
      </c>
      <c r="CX20" s="23">
        <f t="shared" si="25"/>
        <v>0.2594201595172943</v>
      </c>
      <c r="CY20" s="23">
        <f t="shared" si="26"/>
        <v>1.2735175797988394E-2</v>
      </c>
      <c r="CZ20" s="6">
        <f t="shared" si="27"/>
        <v>4597333817.0295773</v>
      </c>
      <c r="DA20" s="6">
        <f t="shared" si="28"/>
        <v>225687373.22052863</v>
      </c>
      <c r="DB20" s="6">
        <f t="shared" si="29"/>
        <v>113969653</v>
      </c>
      <c r="DC20" s="6">
        <f t="shared" si="30"/>
        <v>121450105</v>
      </c>
      <c r="DD20" s="6">
        <f t="shared" si="31"/>
        <v>34385684</v>
      </c>
      <c r="DE20" s="6">
        <f t="shared" si="32"/>
        <v>151415843</v>
      </c>
      <c r="DF20" s="6">
        <f t="shared" si="33"/>
        <v>44586343.002201021</v>
      </c>
      <c r="DG20" s="30"/>
      <c r="DH20" s="32">
        <f>VLOOKUP(A20,'T_med_comp-USA'!$A$7:$Q$233,17,0)</f>
        <v>13.795578757260353</v>
      </c>
      <c r="DI20" s="6" t="str">
        <f t="shared" si="34"/>
        <v>3_2009</v>
      </c>
      <c r="DJ20" s="32">
        <f>IF(DI20="","",VLOOKUP(DI20,'CPI USA'!$T:$U,2,FALSE))</f>
        <v>214.53700000000001</v>
      </c>
      <c r="DK20" s="32">
        <f>IF(DI20="","",VLOOKUP(DI20,'PPI USA'!$S:$T,2,FALSE))</f>
        <v>159.1</v>
      </c>
      <c r="DL20" s="32">
        <f>IF(DI20="","",VLOOKUP(DI20,'CPI USA'!$T:$V,3,FALSE))</f>
        <v>0.66997101349938215</v>
      </c>
      <c r="DM20" s="32">
        <f>IF(DI20="","",VLOOKUP(DI20,'CPI USA'!$T:$X,5,FALSE))</f>
        <v>0.49813941766071862</v>
      </c>
      <c r="DN20" s="32">
        <f t="shared" si="35"/>
        <v>1.4932638886873792</v>
      </c>
      <c r="DO20" s="32">
        <f t="shared" si="36"/>
        <v>1.5082750176818205</v>
      </c>
      <c r="DP20" s="32">
        <f t="shared" si="37"/>
        <v>0.25389491350915472</v>
      </c>
      <c r="DQ20" s="32">
        <f>IF(DP20="","",DP20*$DO$1/'CPI USA'!$U$520+(1-DP20)*AVERAGE($DO$1,$DQ$1)/AVERAGE('CPI USA'!$U$520,'PPI USA'!$T$526))</f>
        <v>1.0836500847005914</v>
      </c>
      <c r="DR20" s="6">
        <f t="shared" si="38"/>
        <v>10476258</v>
      </c>
      <c r="DS20" s="32">
        <f t="shared" si="39"/>
        <v>0.31115030477378502</v>
      </c>
      <c r="DT20" s="28">
        <f>IF(DS20="","",DS20*$DO$1/'CPI USA'!$U$520+(1-DS20)*AVERAGE($DO$1,$DQ$1)/AVERAGE('CPI USA'!$U$520,'PPI USA'!$T$526))</f>
        <v>1.0817240666857351</v>
      </c>
      <c r="DU20" s="6">
        <f t="shared" si="40"/>
        <v>58038563.703007422</v>
      </c>
      <c r="DV20" s="6">
        <f t="shared" si="57"/>
        <v>599662.94765996479</v>
      </c>
      <c r="DW20" s="6">
        <f t="shared" si="41"/>
        <v>12211438.896552084</v>
      </c>
      <c r="DX20" s="16">
        <f t="shared" si="42"/>
        <v>0.27388294428967325</v>
      </c>
      <c r="DY20" s="28">
        <f>IF(DX20="","",DX20*$DO$1/'CPI USA'!$U$520+(1-DX20)*AVERAGE($DO$1,$DQ$1)/AVERAGE('CPI USA'!$U$520,'PPI USA'!$T$526))</f>
        <v>1.0829777059688341</v>
      </c>
      <c r="DZ20" s="30"/>
      <c r="EA20" s="29" t="str">
        <f t="shared" si="43"/>
        <v>C000289</v>
      </c>
      <c r="EB20" s="29">
        <f t="shared" si="44"/>
        <v>6865032573.2115793</v>
      </c>
      <c r="EC20" s="29">
        <f t="shared" si="45"/>
        <v>340398626.83475643</v>
      </c>
      <c r="ED20" s="29">
        <f t="shared" si="46"/>
        <v>131609416.57014573</v>
      </c>
      <c r="EE20" s="29">
        <f t="shared" si="47"/>
        <v>37195821.932250611</v>
      </c>
      <c r="EF20" s="29">
        <f t="shared" si="48"/>
        <v>48286015.462063245</v>
      </c>
      <c r="EG20" s="29">
        <f t="shared" si="49"/>
        <v>6029</v>
      </c>
      <c r="EH20" s="29">
        <f t="shared" si="50"/>
        <v>881328</v>
      </c>
      <c r="EI20" s="29">
        <f t="shared" si="51"/>
        <v>1817786</v>
      </c>
      <c r="EJ20" s="29">
        <f t="shared" si="52"/>
        <v>27289913</v>
      </c>
      <c r="EK20" s="29">
        <f t="shared" si="53"/>
        <v>29036292.49746193</v>
      </c>
      <c r="EL20" s="29">
        <f>IF(CD20=1,VLOOKUP(EA20,'EIA 2022'!$A$2:$J$213,4,0)*EH20,"")</f>
        <v>141365011.20000002</v>
      </c>
      <c r="EM20" s="29">
        <f>IF(CD20=1,VLOOKUP(EA20,'EIA 2022'!$A$2:$J$213,7,0)*EH20,"")</f>
        <v>1158946.32</v>
      </c>
      <c r="EN20" s="29">
        <f>IF(CD20=1,VLOOKUP(EA20,'EIA 2022'!$A$2:$J$213,10,0),"")</f>
        <v>897827</v>
      </c>
      <c r="EO20" s="28">
        <f>IF(CD20=1,VLOOKUP(EA20,'EIA 2022'!$A$2:$Z$213,26,0),"")</f>
        <v>0</v>
      </c>
      <c r="EP20" s="23">
        <f t="shared" si="54"/>
        <v>6.0144713641198527E-2</v>
      </c>
      <c r="EQ20" s="32">
        <f t="shared" si="55"/>
        <v>71406.502538071014</v>
      </c>
      <c r="ER20" s="32">
        <f t="shared" si="56"/>
        <v>1746379.497461929</v>
      </c>
      <c r="ES20" s="32"/>
      <c r="ET20" s="32"/>
    </row>
    <row r="21" spans="1:150" ht="15.75" customHeight="1">
      <c r="A21" s="7" t="s">
        <v>264</v>
      </c>
      <c r="B21" s="7" t="s">
        <v>265</v>
      </c>
      <c r="C21" s="32" t="s">
        <v>890</v>
      </c>
      <c r="D21" s="42">
        <v>279478829</v>
      </c>
      <c r="E21" s="42">
        <v>250765424</v>
      </c>
      <c r="F21" s="42">
        <v>1742469543</v>
      </c>
      <c r="G21" s="42">
        <v>1003902989</v>
      </c>
      <c r="H21" s="42">
        <v>148272842</v>
      </c>
      <c r="I21" s="42">
        <v>1943595</v>
      </c>
      <c r="J21" s="42">
        <v>1891788</v>
      </c>
      <c r="K21" s="42">
        <v>4696338</v>
      </c>
      <c r="L21" s="42">
        <v>2078002</v>
      </c>
      <c r="M21" s="42">
        <v>11421383</v>
      </c>
      <c r="N21" s="42">
        <v>31231950</v>
      </c>
      <c r="O21" s="42">
        <v>147550</v>
      </c>
      <c r="P21" s="42">
        <v>0</v>
      </c>
      <c r="Q21" s="42">
        <v>2328808</v>
      </c>
      <c r="R21" s="42">
        <v>0</v>
      </c>
      <c r="S21" s="42">
        <v>3699527</v>
      </c>
      <c r="T21" s="42">
        <v>199127648</v>
      </c>
      <c r="U21" s="42">
        <v>9888115</v>
      </c>
      <c r="V21" s="42">
        <v>1462696</v>
      </c>
      <c r="W21" s="42">
        <v>160373</v>
      </c>
      <c r="X21" s="42">
        <f>IFERROR(VLOOKUP(A21,'Trans 21-23'!$A$2:$J$229,8,0),0)</f>
        <v>21975447</v>
      </c>
      <c r="Y21" s="42">
        <v>10339662</v>
      </c>
      <c r="Z21" s="42">
        <v>2899434</v>
      </c>
      <c r="AA21" s="42">
        <v>127990527</v>
      </c>
      <c r="AB21" s="42">
        <v>15840285</v>
      </c>
      <c r="AC21" s="42">
        <v>17097200</v>
      </c>
      <c r="AD21" s="42">
        <v>414440431</v>
      </c>
      <c r="AE21" s="42">
        <v>0</v>
      </c>
      <c r="AF21" s="42">
        <v>3782556666</v>
      </c>
      <c r="AG21" s="42">
        <v>2791711</v>
      </c>
      <c r="AH21" s="42">
        <v>4564541</v>
      </c>
      <c r="AI21" s="42">
        <v>95552353</v>
      </c>
      <c r="AJ21" s="42">
        <v>73791</v>
      </c>
      <c r="AK21" s="42">
        <v>0</v>
      </c>
      <c r="AL21" s="42">
        <v>30153490</v>
      </c>
      <c r="AM21" s="42">
        <v>29843638</v>
      </c>
      <c r="AN21" s="42">
        <v>20993344</v>
      </c>
      <c r="AO21" s="42">
        <v>286547</v>
      </c>
      <c r="AP21" s="42">
        <v>0</v>
      </c>
      <c r="AQ21" s="42">
        <v>81277019</v>
      </c>
      <c r="AR21" s="42">
        <v>9637002</v>
      </c>
      <c r="AS21" s="42">
        <v>90914021</v>
      </c>
      <c r="AT21" s="42">
        <v>0</v>
      </c>
      <c r="AU21" s="42">
        <v>17963</v>
      </c>
      <c r="AV21" s="42">
        <v>0</v>
      </c>
      <c r="AW21" s="42">
        <v>2949143589</v>
      </c>
      <c r="AX21" s="42">
        <v>300746510</v>
      </c>
      <c r="AY21" s="42">
        <v>2861231888</v>
      </c>
      <c r="AZ21" s="42">
        <v>653478698</v>
      </c>
      <c r="BA21" s="42">
        <v>444835264</v>
      </c>
      <c r="BB21" s="42">
        <v>15605739380</v>
      </c>
      <c r="BC21" s="42">
        <v>50046068848</v>
      </c>
      <c r="BD21" s="42">
        <v>1752196085</v>
      </c>
      <c r="BE21" s="42">
        <v>5127810720</v>
      </c>
      <c r="BF21" s="42">
        <v>319117945</v>
      </c>
      <c r="BG21" s="42">
        <v>0</v>
      </c>
      <c r="BH21" s="42">
        <v>61471073</v>
      </c>
      <c r="BI21" s="42">
        <v>32788762</v>
      </c>
      <c r="BJ21" s="42">
        <v>9218985</v>
      </c>
      <c r="BK21" s="42">
        <v>10368370</v>
      </c>
      <c r="BL21" s="42">
        <v>0</v>
      </c>
      <c r="BM21" s="42">
        <v>164433551</v>
      </c>
      <c r="BN21" s="42">
        <v>777257136</v>
      </c>
      <c r="BO21" s="42">
        <v>400254</v>
      </c>
      <c r="BP21" s="42">
        <v>14108094</v>
      </c>
      <c r="BQ21" s="42">
        <v>1149151934</v>
      </c>
      <c r="BR21" s="42">
        <v>0</v>
      </c>
      <c r="BS21" s="42">
        <f>IFERROR(VLOOKUP(A21,'Trans 21-23'!$A$2:$J$229,7,0),0)</f>
        <v>1990175853</v>
      </c>
      <c r="BT21" s="63"/>
      <c r="BU21" s="32">
        <f t="shared" si="0"/>
        <v>15605739380</v>
      </c>
      <c r="BV21" s="32">
        <f t="shared" si="1"/>
        <v>17963</v>
      </c>
      <c r="BW21" s="32">
        <f t="shared" si="2"/>
        <v>2791711</v>
      </c>
      <c r="BX21" s="32">
        <f t="shared" si="3"/>
        <v>270077773</v>
      </c>
      <c r="BY21" s="32">
        <f t="shared" si="4"/>
        <v>174167108</v>
      </c>
      <c r="BZ21" s="32">
        <f t="shared" si="5"/>
        <v>653478698</v>
      </c>
      <c r="CA21" s="32">
        <f t="shared" si="6"/>
        <v>414440431</v>
      </c>
      <c r="CB21" s="32">
        <f t="shared" si="7"/>
        <v>4564541</v>
      </c>
      <c r="CC21" s="32">
        <f t="shared" si="8"/>
        <v>81277019</v>
      </c>
      <c r="CD21" s="41">
        <f t="shared" si="9"/>
        <v>1</v>
      </c>
      <c r="CE21" s="44">
        <f t="shared" si="10"/>
        <v>10</v>
      </c>
      <c r="CF21" s="27"/>
      <c r="CG21" s="28">
        <f t="shared" si="11"/>
        <v>868.77132884262096</v>
      </c>
      <c r="CH21" s="28">
        <f t="shared" si="12"/>
        <v>6.4344052804892771</v>
      </c>
      <c r="CI21" s="28">
        <f t="shared" si="13"/>
        <v>96.742740563045388</v>
      </c>
      <c r="CJ21" s="28">
        <f t="shared" si="14"/>
        <v>234.07820437000822</v>
      </c>
      <c r="CK21" s="23">
        <f t="shared" si="15"/>
        <v>5.6160290524434713E-2</v>
      </c>
      <c r="CL21" s="29" t="str">
        <f t="shared" si="16"/>
        <v/>
      </c>
      <c r="CM21" s="29" t="str">
        <f t="shared" si="17"/>
        <v/>
      </c>
      <c r="CN21" s="29" t="str">
        <f t="shared" si="18"/>
        <v/>
      </c>
      <c r="CO21" s="29" t="str">
        <f t="shared" si="19"/>
        <v/>
      </c>
      <c r="CP21" s="29" t="str">
        <f t="shared" si="20"/>
        <v/>
      </c>
      <c r="CQ21" s="29">
        <f t="shared" si="21"/>
        <v>0</v>
      </c>
      <c r="CR21" s="30"/>
      <c r="CS21" s="7">
        <f>VLOOKUP(A21,'Empresas 21-23'!$A$2:$M$228,13,0)</f>
        <v>1</v>
      </c>
      <c r="CT21" s="30"/>
      <c r="CU21" s="6">
        <f t="shared" si="22"/>
        <v>14600414232.200001</v>
      </c>
      <c r="CV21" s="6">
        <f t="shared" si="23"/>
        <v>653478698</v>
      </c>
      <c r="CW21" s="6">
        <f t="shared" si="24"/>
        <v>1752196085</v>
      </c>
      <c r="CX21" s="23">
        <f t="shared" si="25"/>
        <v>0.30232436118451039</v>
      </c>
      <c r="CY21" s="23">
        <f t="shared" si="26"/>
        <v>1.3531296220680358E-2</v>
      </c>
      <c r="CZ21" s="6">
        <f t="shared" si="27"/>
        <v>15130145794.267626</v>
      </c>
      <c r="DA21" s="6">
        <f t="shared" si="28"/>
        <v>677188182.26285148</v>
      </c>
      <c r="DB21" s="6">
        <f t="shared" si="29"/>
        <v>270077773</v>
      </c>
      <c r="DC21" s="6">
        <f t="shared" si="30"/>
        <v>292053220</v>
      </c>
      <c r="DD21" s="6">
        <f t="shared" si="31"/>
        <v>174167108</v>
      </c>
      <c r="DE21" s="6">
        <f t="shared" si="32"/>
        <v>414440431</v>
      </c>
      <c r="DF21" s="6">
        <f t="shared" si="33"/>
        <v>204006457.28873932</v>
      </c>
      <c r="DG21" s="30"/>
      <c r="DH21" s="32">
        <f>VLOOKUP(A21,'T_med_comp-USA'!$A$7:$Q$233,17,0)</f>
        <v>15.979226035718659</v>
      </c>
      <c r="DI21" s="6" t="str">
        <f t="shared" si="34"/>
        <v>1_2007</v>
      </c>
      <c r="DJ21" s="32">
        <f>IF(DI21="","",VLOOKUP(DI21,'CPI USA'!$T:$U,2,FALSE))</f>
        <v>207.34200000000001</v>
      </c>
      <c r="DK21" s="32">
        <f>IF(DI21="","",VLOOKUP(DI21,'PPI USA'!$S:$T,2,FALSE))</f>
        <v>151.69999999999999</v>
      </c>
      <c r="DL21" s="32">
        <f>IF(DI21="","",VLOOKUP(DI21,'CPI USA'!$T:$V,3,FALSE))</f>
        <v>0.67123734379962852</v>
      </c>
      <c r="DM21" s="32">
        <f>IF(DI21="","",VLOOKUP(DI21,'CPI USA'!$T:$X,5,FALSE))</f>
        <v>0.49957259686190569</v>
      </c>
      <c r="DN21" s="32">
        <f t="shared" si="35"/>
        <v>1.5480022216582647</v>
      </c>
      <c r="DO21" s="32">
        <f t="shared" si="36"/>
        <v>1.5651038394149617</v>
      </c>
      <c r="DP21" s="32">
        <f t="shared" si="37"/>
        <v>0.22772228634713648</v>
      </c>
      <c r="DQ21" s="32">
        <f>IF(DP21="","",DP21*$DO$1/'CPI USA'!$U$520+(1-DP21)*AVERAGE($DO$1,$DQ$1)/AVERAGE('CPI USA'!$U$520,'PPI USA'!$T$526))</f>
        <v>1.0845305074921707</v>
      </c>
      <c r="DR21" s="6">
        <f t="shared" si="38"/>
        <v>52376117</v>
      </c>
      <c r="DS21" s="32">
        <f t="shared" si="39"/>
        <v>0.30087821431748724</v>
      </c>
      <c r="DT21" s="28">
        <f>IF(DS21="","",DS21*$DO$1/'CPI USA'!$U$520+(1-DS21)*AVERAGE($DO$1,$DQ$1)/AVERAGE('CPI USA'!$U$520,'PPI USA'!$T$526))</f>
        <v>1.082069610237741</v>
      </c>
      <c r="DU21" s="6">
        <f t="shared" si="40"/>
        <v>164518227.20749119</v>
      </c>
      <c r="DV21" s="6">
        <f t="shared" si="57"/>
        <v>2043836.4691374335</v>
      </c>
      <c r="DW21" s="6">
        <f t="shared" si="41"/>
        <v>24396846.335528836</v>
      </c>
      <c r="DX21" s="16">
        <f t="shared" si="42"/>
        <v>0.2</v>
      </c>
      <c r="DY21" s="28">
        <f>IF(DX21="","",DX21*$DO$1/'CPI USA'!$U$520+(1-DX21)*AVERAGE($DO$1,$DQ$1)/AVERAGE('CPI USA'!$U$520,'PPI USA'!$T$526))</f>
        <v>1.0854630593748538</v>
      </c>
      <c r="DZ21" s="30"/>
      <c r="EA21" s="29" t="str">
        <f t="shared" si="43"/>
        <v>C000290</v>
      </c>
      <c r="EB21" s="29">
        <f t="shared" si="44"/>
        <v>23421499303.539734</v>
      </c>
      <c r="EC21" s="29">
        <f t="shared" si="45"/>
        <v>1059869824.0660276</v>
      </c>
      <c r="ED21" s="29">
        <f t="shared" si="46"/>
        <v>316740626.9013226</v>
      </c>
      <c r="EE21" s="29">
        <f t="shared" si="47"/>
        <v>188460934.66979453</v>
      </c>
      <c r="EF21" s="29">
        <f t="shared" si="48"/>
        <v>221441473.26086041</v>
      </c>
      <c r="EG21" s="29">
        <f t="shared" si="49"/>
        <v>17963</v>
      </c>
      <c r="EH21" s="29">
        <f t="shared" si="50"/>
        <v>2791711</v>
      </c>
      <c r="EI21" s="29">
        <f t="shared" si="51"/>
        <v>4564541</v>
      </c>
      <c r="EJ21" s="29">
        <f t="shared" si="52"/>
        <v>81277019</v>
      </c>
      <c r="EK21" s="29">
        <f t="shared" si="53"/>
        <v>85694803.624365479</v>
      </c>
      <c r="EL21" s="29">
        <f>IF(CD21=1,VLOOKUP(EA21,'EIA 2022'!$A$2:$J$213,4,0)*EH21,"")</f>
        <v>507170137.36999995</v>
      </c>
      <c r="EM21" s="29">
        <f>IF(CD21=1,VLOOKUP(EA21,'EIA 2022'!$A$2:$J$213,7,0)*EH21,"")</f>
        <v>5332168.01</v>
      </c>
      <c r="EN21" s="29">
        <f>IF(CD21=1,VLOOKUP(EA21,'EIA 2022'!$A$2:$J$213,10,0),"")</f>
        <v>2177460</v>
      </c>
      <c r="EO21" s="28">
        <f>IF(CD21=1,VLOOKUP(EA21,'EIA 2022'!$A$2:$Z$213,26,0),"")</f>
        <v>0</v>
      </c>
      <c r="EP21" s="23">
        <f t="shared" si="54"/>
        <v>5.1552538048052425E-2</v>
      </c>
      <c r="EQ21" s="32">
        <f t="shared" si="55"/>
        <v>146756.37563451752</v>
      </c>
      <c r="ER21" s="32">
        <f t="shared" si="56"/>
        <v>4417784.6243654825</v>
      </c>
      <c r="ES21" s="32"/>
      <c r="ET21" s="32"/>
    </row>
    <row r="22" spans="1:150" ht="15.75" customHeight="1">
      <c r="A22" s="7" t="s">
        <v>267</v>
      </c>
      <c r="B22" s="7" t="s">
        <v>268</v>
      </c>
      <c r="C22" s="32" t="s">
        <v>891</v>
      </c>
      <c r="D22" s="42">
        <v>81365197</v>
      </c>
      <c r="E22" s="42">
        <v>0</v>
      </c>
      <c r="F22" s="42">
        <v>14710136</v>
      </c>
      <c r="G22" s="42">
        <v>142594801</v>
      </c>
      <c r="H22" s="42">
        <v>146367492</v>
      </c>
      <c r="I22" s="42">
        <v>80623</v>
      </c>
      <c r="J22" s="42">
        <v>99295</v>
      </c>
      <c r="K22" s="42">
        <v>339858</v>
      </c>
      <c r="L22" s="42">
        <v>224989</v>
      </c>
      <c r="M22" s="42">
        <v>402156</v>
      </c>
      <c r="N22" s="42">
        <v>678611</v>
      </c>
      <c r="O22" s="42">
        <v>2003402</v>
      </c>
      <c r="P22" s="42">
        <v>59153</v>
      </c>
      <c r="Q22" s="42">
        <v>96278</v>
      </c>
      <c r="R22" s="42">
        <v>0</v>
      </c>
      <c r="S22" s="42">
        <v>362911</v>
      </c>
      <c r="T22" s="42">
        <v>9286304</v>
      </c>
      <c r="U22" s="42">
        <v>212988</v>
      </c>
      <c r="V22" s="42">
        <v>17696</v>
      </c>
      <c r="W22" s="42">
        <v>0</v>
      </c>
      <c r="X22" s="42">
        <f>IFERROR(VLOOKUP(A22,'Trans 21-23'!$A$2:$J$229,8,0),0)</f>
        <v>351725</v>
      </c>
      <c r="Y22" s="42">
        <v>478901</v>
      </c>
      <c r="Z22" s="42">
        <v>407922</v>
      </c>
      <c r="AA22" s="42">
        <v>4398695</v>
      </c>
      <c r="AB22" s="42">
        <v>337464</v>
      </c>
      <c r="AC22" s="42">
        <v>1392054</v>
      </c>
      <c r="AD22" s="42">
        <v>24512081</v>
      </c>
      <c r="AE22" s="42">
        <v>0</v>
      </c>
      <c r="AF22" s="42">
        <v>362013423</v>
      </c>
      <c r="AG22" s="42">
        <v>148902</v>
      </c>
      <c r="AH22" s="42">
        <v>288446</v>
      </c>
      <c r="AI22" s="42">
        <v>4758056</v>
      </c>
      <c r="AJ22" s="42">
        <v>543</v>
      </c>
      <c r="AK22" s="42">
        <v>0</v>
      </c>
      <c r="AL22" s="42">
        <v>1518206</v>
      </c>
      <c r="AM22" s="42">
        <v>1448218</v>
      </c>
      <c r="AN22" s="42">
        <v>755019</v>
      </c>
      <c r="AO22" s="42">
        <v>12832</v>
      </c>
      <c r="AP22" s="42">
        <v>241213</v>
      </c>
      <c r="AQ22" s="42">
        <v>3976559</v>
      </c>
      <c r="AR22" s="42">
        <v>492508</v>
      </c>
      <c r="AS22" s="42">
        <v>4469067</v>
      </c>
      <c r="AT22" s="42">
        <v>0</v>
      </c>
      <c r="AU22" s="42">
        <v>810</v>
      </c>
      <c r="AV22" s="42">
        <v>0</v>
      </c>
      <c r="AW22" s="42">
        <v>156529479</v>
      </c>
      <c r="AX22" s="42">
        <v>43936408</v>
      </c>
      <c r="AY22" s="42">
        <v>85664699</v>
      </c>
      <c r="AZ22" s="42">
        <v>31103796</v>
      </c>
      <c r="BA22" s="42">
        <v>10219567</v>
      </c>
      <c r="BB22" s="42">
        <v>655637882</v>
      </c>
      <c r="BC22" s="42">
        <v>2244326749</v>
      </c>
      <c r="BD22" s="42">
        <v>24219091</v>
      </c>
      <c r="BE22" s="42">
        <v>155338325</v>
      </c>
      <c r="BF22" s="42">
        <v>13732059</v>
      </c>
      <c r="BG22" s="42">
        <v>0</v>
      </c>
      <c r="BH22" s="42">
        <v>3670062</v>
      </c>
      <c r="BI22" s="42">
        <v>1941465</v>
      </c>
      <c r="BJ22" s="42">
        <v>126991</v>
      </c>
      <c r="BK22" s="42">
        <v>0</v>
      </c>
      <c r="BL22" s="42">
        <v>0</v>
      </c>
      <c r="BM22" s="42">
        <v>7522090</v>
      </c>
      <c r="BN22" s="42">
        <v>26641703</v>
      </c>
      <c r="BO22" s="42">
        <v>674429</v>
      </c>
      <c r="BP22" s="42">
        <v>1488582</v>
      </c>
      <c r="BQ22" s="42">
        <v>59800065</v>
      </c>
      <c r="BR22" s="42">
        <v>1071</v>
      </c>
      <c r="BS22" s="42">
        <f>IFERROR(VLOOKUP(A22,'Trans 21-23'!$A$2:$J$229,7,0),0)</f>
        <v>31853458</v>
      </c>
      <c r="BT22" s="63"/>
      <c r="BU22" s="32">
        <f t="shared" si="0"/>
        <v>655637882</v>
      </c>
      <c r="BV22" s="32">
        <f t="shared" si="1"/>
        <v>810</v>
      </c>
      <c r="BW22" s="32">
        <f t="shared" si="2"/>
        <v>148902</v>
      </c>
      <c r="BX22" s="32">
        <f t="shared" si="3"/>
        <v>13864264</v>
      </c>
      <c r="BY22" s="32">
        <f t="shared" si="4"/>
        <v>7015036</v>
      </c>
      <c r="BZ22" s="32">
        <f t="shared" si="5"/>
        <v>31103796</v>
      </c>
      <c r="CA22" s="32">
        <f t="shared" si="6"/>
        <v>24512081</v>
      </c>
      <c r="CB22" s="32">
        <f t="shared" si="7"/>
        <v>288446</v>
      </c>
      <c r="CC22" s="32">
        <f t="shared" si="8"/>
        <v>3976559</v>
      </c>
      <c r="CD22" s="41">
        <f t="shared" si="9"/>
        <v>1</v>
      </c>
      <c r="CE22" s="44">
        <f t="shared" si="10"/>
        <v>10</v>
      </c>
      <c r="CF22" s="27"/>
      <c r="CG22" s="28">
        <f t="shared" si="11"/>
        <v>809.42948395061728</v>
      </c>
      <c r="CH22" s="28">
        <f t="shared" si="12"/>
        <v>5.439819478583229</v>
      </c>
      <c r="CI22" s="28">
        <f t="shared" si="13"/>
        <v>93.109991806691653</v>
      </c>
      <c r="CJ22" s="28">
        <f t="shared" si="14"/>
        <v>208.88769794898658</v>
      </c>
      <c r="CK22" s="23">
        <f t="shared" si="15"/>
        <v>7.2536582507640404E-2</v>
      </c>
      <c r="CL22" s="29" t="str">
        <f t="shared" si="16"/>
        <v/>
      </c>
      <c r="CM22" s="29" t="str">
        <f t="shared" si="17"/>
        <v/>
      </c>
      <c r="CN22" s="29" t="str">
        <f t="shared" si="18"/>
        <v/>
      </c>
      <c r="CO22" s="29" t="str">
        <f t="shared" si="19"/>
        <v/>
      </c>
      <c r="CP22" s="29" t="str">
        <f t="shared" si="20"/>
        <v/>
      </c>
      <c r="CQ22" s="29">
        <f t="shared" si="21"/>
        <v>0</v>
      </c>
      <c r="CR22" s="30"/>
      <c r="CS22" s="7">
        <f>VLOOKUP(A22,'Empresas 21-23'!$A$2:$M$228,13,0)</f>
        <v>1</v>
      </c>
      <c r="CT22" s="30"/>
      <c r="CU22" s="6">
        <f t="shared" si="22"/>
        <v>568407312.79999995</v>
      </c>
      <c r="CV22" s="6">
        <f t="shared" si="23"/>
        <v>31103796</v>
      </c>
      <c r="CW22" s="6">
        <f t="shared" si="24"/>
        <v>24219091</v>
      </c>
      <c r="CX22" s="23">
        <f t="shared" si="25"/>
        <v>0.25602691416868217</v>
      </c>
      <c r="CY22" s="23">
        <f t="shared" si="26"/>
        <v>1.4010039507732738E-2</v>
      </c>
      <c r="CZ22" s="6">
        <f t="shared" si="27"/>
        <v>574608051.9327004</v>
      </c>
      <c r="DA22" s="6">
        <f t="shared" si="28"/>
        <v>31443106.421751373</v>
      </c>
      <c r="DB22" s="6">
        <f t="shared" si="29"/>
        <v>13864264</v>
      </c>
      <c r="DC22" s="6">
        <f t="shared" si="30"/>
        <v>14215989</v>
      </c>
      <c r="DD22" s="6">
        <f t="shared" si="31"/>
        <v>7015036</v>
      </c>
      <c r="DE22" s="6">
        <f t="shared" si="32"/>
        <v>24512081</v>
      </c>
      <c r="DF22" s="6">
        <f t="shared" si="33"/>
        <v>5474697.2805500953</v>
      </c>
      <c r="DG22" s="30"/>
      <c r="DH22" s="32">
        <f>VLOOKUP(A22,'T_med_comp-USA'!$A$7:$Q$233,17,0)</f>
        <v>11.137197301351472</v>
      </c>
      <c r="DI22" s="6" t="str">
        <f t="shared" si="34"/>
        <v>11_2011</v>
      </c>
      <c r="DJ22" s="32">
        <f>IF(DI22="","",VLOOKUP(DI22,'CPI USA'!$T:$U,2,FALSE))</f>
        <v>224.93899999999999</v>
      </c>
      <c r="DK22" s="32">
        <f>IF(DI22="","",VLOOKUP(DI22,'PPI USA'!$S:$T,2,FALSE))</f>
        <v>169.6</v>
      </c>
      <c r="DL22" s="32">
        <f>IF(DI22="","",VLOOKUP(DI22,'CPI USA'!$T:$V,3,FALSE))</f>
        <v>0.6684022975047168</v>
      </c>
      <c r="DM22" s="32">
        <f>IF(DI22="","",VLOOKUP(DI22,'CPI USA'!$T:$X,5,FALSE))</f>
        <v>0.49636791791307899</v>
      </c>
      <c r="DN22" s="32">
        <f t="shared" si="35"/>
        <v>1.4208751760332547</v>
      </c>
      <c r="DO22" s="32">
        <f t="shared" si="36"/>
        <v>1.4334111417560953</v>
      </c>
      <c r="DP22" s="32">
        <f t="shared" si="37"/>
        <v>0.27141497253244468</v>
      </c>
      <c r="DQ22" s="32">
        <f>IF(DP22="","",DP22*$DO$1/'CPI USA'!$U$520+(1-DP22)*AVERAGE($DO$1,$DQ$1)/AVERAGE('CPI USA'!$U$520,'PPI USA'!$T$526))</f>
        <v>1.0830607262392329</v>
      </c>
      <c r="DR22" s="6">
        <f t="shared" si="38"/>
        <v>2068456</v>
      </c>
      <c r="DS22" s="32">
        <f t="shared" si="39"/>
        <v>0.30232468090037717</v>
      </c>
      <c r="DT22" s="28">
        <f>IF(DS22="","",DS22*$DO$1/'CPI USA'!$U$520+(1-DS22)*AVERAGE($DO$1,$DQ$1)/AVERAGE('CPI USA'!$U$520,'PPI USA'!$T$526))</f>
        <v>1.0820209524496269</v>
      </c>
      <c r="DU22" s="6">
        <f t="shared" si="40"/>
        <v>7712510.095765274</v>
      </c>
      <c r="DV22" s="6">
        <f t="shared" si="57"/>
        <v>192024.74710478552</v>
      </c>
      <c r="DW22" s="6">
        <f t="shared" si="41"/>
        <v>1702605.703450602</v>
      </c>
      <c r="DX22" s="16">
        <f t="shared" si="42"/>
        <v>0.31099540599247982</v>
      </c>
      <c r="DY22" s="28">
        <f>IF(DX22="","",DX22*$DO$1/'CPI USA'!$U$520+(1-DX22)*AVERAGE($DO$1,$DQ$1)/AVERAGE('CPI USA'!$U$520,'PPI USA'!$T$526))</f>
        <v>1.0817292773364124</v>
      </c>
      <c r="DZ22" s="30"/>
      <c r="EA22" s="29" t="str">
        <f t="shared" si="43"/>
        <v>C000291</v>
      </c>
      <c r="EB22" s="29">
        <f t="shared" si="44"/>
        <v>816446316.94000125</v>
      </c>
      <c r="EC22" s="29">
        <f t="shared" si="45"/>
        <v>45070899.076361045</v>
      </c>
      <c r="ED22" s="29">
        <f t="shared" si="46"/>
        <v>15396779.370548947</v>
      </c>
      <c r="EE22" s="29">
        <f t="shared" si="47"/>
        <v>7590415.9341884209</v>
      </c>
      <c r="EF22" s="29">
        <f t="shared" si="48"/>
        <v>5922140.3329250766</v>
      </c>
      <c r="EG22" s="29">
        <f t="shared" si="49"/>
        <v>810</v>
      </c>
      <c r="EH22" s="29">
        <f t="shared" si="50"/>
        <v>148902</v>
      </c>
      <c r="EI22" s="29">
        <f t="shared" si="51"/>
        <v>288446</v>
      </c>
      <c r="EJ22" s="29">
        <f t="shared" si="52"/>
        <v>3976559</v>
      </c>
      <c r="EK22" s="29">
        <f t="shared" si="53"/>
        <v>4257504.8781725885</v>
      </c>
      <c r="EL22" s="29">
        <f>IF(CD22=1,VLOOKUP(EA22,'EIA 2022'!$A$2:$J$213,4,0)*EH22,"")</f>
        <v>13503922.379999999</v>
      </c>
      <c r="EM22" s="29">
        <f>IF(CD22=1,VLOOKUP(EA22,'EIA 2022'!$A$2:$J$213,7,0)*EH22,"")</f>
        <v>159771.84599999999</v>
      </c>
      <c r="EN22" s="29">
        <f>IF(CD22=1,VLOOKUP(EA22,'EIA 2022'!$A$2:$J$213,10,0),"")</f>
        <v>153209</v>
      </c>
      <c r="EO22" s="28">
        <f>IF(CD22=1,VLOOKUP(EA22,'EIA 2022'!$A$2:$Z$213,26,0),"")</f>
        <v>0</v>
      </c>
      <c r="EP22" s="23">
        <f t="shared" si="54"/>
        <v>6.5988386675243635E-2</v>
      </c>
      <c r="EQ22" s="32">
        <f t="shared" si="55"/>
        <v>7500.1218274111743</v>
      </c>
      <c r="ER22" s="32">
        <f t="shared" si="56"/>
        <v>280945.87817258883</v>
      </c>
      <c r="ES22" s="32"/>
      <c r="ET22" s="32"/>
    </row>
    <row r="23" spans="1:150" ht="15.75" customHeight="1">
      <c r="A23" s="7" t="s">
        <v>270</v>
      </c>
      <c r="B23" s="7" t="s">
        <v>271</v>
      </c>
      <c r="C23" s="32" t="s">
        <v>892</v>
      </c>
      <c r="D23" s="42">
        <v>0</v>
      </c>
      <c r="E23" s="42">
        <v>0</v>
      </c>
      <c r="F23" s="42">
        <v>0</v>
      </c>
      <c r="G23" s="42">
        <v>414829677</v>
      </c>
      <c r="H23" s="42">
        <v>416265559</v>
      </c>
      <c r="I23" s="42">
        <v>516430</v>
      </c>
      <c r="J23" s="42">
        <v>397525</v>
      </c>
      <c r="K23" s="42">
        <v>2273946</v>
      </c>
      <c r="L23" s="42">
        <v>1851264</v>
      </c>
      <c r="M23" s="42">
        <v>2298412</v>
      </c>
      <c r="N23" s="42">
        <v>3374099</v>
      </c>
      <c r="O23" s="42">
        <v>7972548</v>
      </c>
      <c r="P23" s="42">
        <v>199034</v>
      </c>
      <c r="Q23" s="42">
        <v>541905</v>
      </c>
      <c r="R23" s="42">
        <v>10354</v>
      </c>
      <c r="S23" s="42">
        <v>2027053</v>
      </c>
      <c r="T23" s="42">
        <v>44393511</v>
      </c>
      <c r="U23" s="42">
        <v>1854671</v>
      </c>
      <c r="V23" s="42">
        <v>104376</v>
      </c>
      <c r="W23" s="42">
        <v>8944</v>
      </c>
      <c r="X23" s="42">
        <f>IFERROR(VLOOKUP(A23,'Trans 21-23'!$A$2:$J$229,8,0),0)</f>
        <v>2825669</v>
      </c>
      <c r="Y23" s="42">
        <v>1489863</v>
      </c>
      <c r="Z23" s="42">
        <v>1011855</v>
      </c>
      <c r="AA23" s="42">
        <v>20019248</v>
      </c>
      <c r="AB23" s="42">
        <v>2987095</v>
      </c>
      <c r="AC23" s="42">
        <v>4396129</v>
      </c>
      <c r="AD23" s="42">
        <v>60500299</v>
      </c>
      <c r="AE23" s="42">
        <v>0</v>
      </c>
      <c r="AF23" s="42">
        <v>618392136</v>
      </c>
      <c r="AG23" s="42">
        <v>746993</v>
      </c>
      <c r="AH23" s="42">
        <v>1030442</v>
      </c>
      <c r="AI23" s="42">
        <v>7068673</v>
      </c>
      <c r="AJ23" s="42">
        <v>9780</v>
      </c>
      <c r="AK23" s="42">
        <v>14770357</v>
      </c>
      <c r="AL23" s="42">
        <v>7688791</v>
      </c>
      <c r="AM23" s="42">
        <v>6195774</v>
      </c>
      <c r="AN23" s="42">
        <v>4711899</v>
      </c>
      <c r="AO23" s="42">
        <v>67469</v>
      </c>
      <c r="AP23" s="42">
        <v>1136034</v>
      </c>
      <c r="AQ23" s="42">
        <v>19802748</v>
      </c>
      <c r="AR23" s="42">
        <v>996060</v>
      </c>
      <c r="AS23" s="42">
        <v>20798808</v>
      </c>
      <c r="AT23" s="42">
        <v>0</v>
      </c>
      <c r="AU23" s="42">
        <v>1614</v>
      </c>
      <c r="AV23" s="42">
        <v>0</v>
      </c>
      <c r="AW23" s="42">
        <v>800856102</v>
      </c>
      <c r="AX23" s="42">
        <v>204643613</v>
      </c>
      <c r="AY23" s="42">
        <v>534295704</v>
      </c>
      <c r="AZ23" s="42">
        <v>152202601</v>
      </c>
      <c r="BA23" s="42">
        <v>84763451</v>
      </c>
      <c r="BB23" s="42">
        <v>3411080401</v>
      </c>
      <c r="BC23" s="42">
        <v>5362667858</v>
      </c>
      <c r="BD23" s="42">
        <v>460651986</v>
      </c>
      <c r="BE23" s="42">
        <v>746619193</v>
      </c>
      <c r="BF23" s="42">
        <v>71443141</v>
      </c>
      <c r="BG23" s="42">
        <v>0</v>
      </c>
      <c r="BH23" s="42">
        <v>22218779</v>
      </c>
      <c r="BI23" s="42">
        <v>9696822</v>
      </c>
      <c r="BJ23" s="42">
        <v>1100854</v>
      </c>
      <c r="BK23" s="42">
        <v>0</v>
      </c>
      <c r="BL23" s="42">
        <v>0</v>
      </c>
      <c r="BM23" s="42">
        <v>24078393</v>
      </c>
      <c r="BN23" s="42">
        <v>63369473</v>
      </c>
      <c r="BO23" s="42">
        <v>9486</v>
      </c>
      <c r="BP23" s="42">
        <v>5486380</v>
      </c>
      <c r="BQ23" s="42">
        <v>203137763</v>
      </c>
      <c r="BR23" s="42">
        <v>2781</v>
      </c>
      <c r="BS23" s="42">
        <f>IFERROR(VLOOKUP(A23,'Trans 21-23'!$A$2:$J$229,7,0),0)</f>
        <v>255902779</v>
      </c>
      <c r="BT23" s="63"/>
      <c r="BU23" s="32">
        <f t="shared" si="0"/>
        <v>3411080401</v>
      </c>
      <c r="BV23" s="32">
        <f t="shared" si="1"/>
        <v>1614</v>
      </c>
      <c r="BW23" s="32">
        <f t="shared" si="2"/>
        <v>746993</v>
      </c>
      <c r="BX23" s="32">
        <f t="shared" si="3"/>
        <v>67824072</v>
      </c>
      <c r="BY23" s="32">
        <f t="shared" si="4"/>
        <v>29904190</v>
      </c>
      <c r="BZ23" s="32">
        <f t="shared" si="5"/>
        <v>152202601</v>
      </c>
      <c r="CA23" s="32">
        <f t="shared" si="6"/>
        <v>60500299</v>
      </c>
      <c r="CB23" s="32">
        <f t="shared" si="7"/>
        <v>1030442</v>
      </c>
      <c r="CC23" s="32">
        <f t="shared" si="8"/>
        <v>19802748</v>
      </c>
      <c r="CD23" s="41">
        <f t="shared" si="9"/>
        <v>1</v>
      </c>
      <c r="CE23" s="44">
        <f t="shared" si="10"/>
        <v>9</v>
      </c>
      <c r="CF23" s="27"/>
      <c r="CG23" s="28">
        <f t="shared" si="11"/>
        <v>2113.4327143742257</v>
      </c>
      <c r="CH23" s="28">
        <f t="shared" si="12"/>
        <v>2.1606628174561209</v>
      </c>
      <c r="CI23" s="28">
        <f t="shared" si="13"/>
        <v>90.79612794229665</v>
      </c>
      <c r="CJ23" s="28">
        <f t="shared" si="14"/>
        <v>203.75371790632576</v>
      </c>
      <c r="CK23" s="23">
        <f t="shared" si="15"/>
        <v>5.2035303383146624E-2</v>
      </c>
      <c r="CL23" s="29" t="str">
        <f t="shared" si="16"/>
        <v/>
      </c>
      <c r="CM23" s="29" t="str">
        <f t="shared" si="17"/>
        <v/>
      </c>
      <c r="CN23" s="29" t="str">
        <f t="shared" si="18"/>
        <v/>
      </c>
      <c r="CO23" s="29" t="str">
        <f t="shared" si="19"/>
        <v/>
      </c>
      <c r="CP23" s="29" t="str">
        <f t="shared" si="20"/>
        <v/>
      </c>
      <c r="CQ23" s="29">
        <f t="shared" si="21"/>
        <v>0</v>
      </c>
      <c r="CR23" s="30"/>
      <c r="CS23" s="7">
        <f>VLOOKUP(A23,'Empresas 21-23'!$A$2:$M$228,13,0)</f>
        <v>1</v>
      </c>
      <c r="CT23" s="30"/>
      <c r="CU23" s="6">
        <f t="shared" si="22"/>
        <v>2986653537.8000002</v>
      </c>
      <c r="CV23" s="6">
        <f t="shared" si="23"/>
        <v>152202601</v>
      </c>
      <c r="CW23" s="6">
        <f t="shared" si="24"/>
        <v>460651986</v>
      </c>
      <c r="CX23" s="23">
        <f t="shared" si="25"/>
        <v>0.60927047479784258</v>
      </c>
      <c r="CY23" s="23">
        <f t="shared" si="26"/>
        <v>3.1048981679021377E-2</v>
      </c>
      <c r="CZ23" s="6">
        <f t="shared" si="27"/>
        <v>3267315192.0267892</v>
      </c>
      <c r="DA23" s="6">
        <f t="shared" si="28"/>
        <v>166505376.07371882</v>
      </c>
      <c r="DB23" s="6">
        <f t="shared" si="29"/>
        <v>67824072</v>
      </c>
      <c r="DC23" s="6">
        <f t="shared" si="30"/>
        <v>70649741</v>
      </c>
      <c r="DD23" s="6">
        <f t="shared" si="31"/>
        <v>29904190</v>
      </c>
      <c r="DE23" s="6">
        <f t="shared" si="32"/>
        <v>60500299</v>
      </c>
      <c r="DF23" s="6">
        <f t="shared" si="33"/>
        <v>42954901.993014097</v>
      </c>
      <c r="DG23" s="30"/>
      <c r="DH23" s="32">
        <f>VLOOKUP(A23,'T_med_comp-USA'!$A$7:$Q$233,17,0)</f>
        <v>9.0875457059543994</v>
      </c>
      <c r="DI23" s="6" t="str">
        <f t="shared" si="34"/>
        <v>12_2013</v>
      </c>
      <c r="DJ23" s="32">
        <f>IF(DI23="","",VLOOKUP(DI23,'CPI USA'!$T:$U,2,FALSE))</f>
        <v>233.04900000000001</v>
      </c>
      <c r="DK23" s="32">
        <f>IF(DI23="","",VLOOKUP(DI23,'PPI USA'!$S:$T,2,FALSE))</f>
        <v>167.2</v>
      </c>
      <c r="DL23" s="32">
        <f>IF(DI23="","",VLOOKUP(DI23,'CPI USA'!$T:$V,3,FALSE))</f>
        <v>0.67305131835944076</v>
      </c>
      <c r="DM23" s="32">
        <f>IF(DI23="","",VLOOKUP(DI23,'CPI USA'!$T:$X,5,FALSE))</f>
        <v>0.50163050295255052</v>
      </c>
      <c r="DN23" s="32">
        <f t="shared" si="35"/>
        <v>1.3809682329132076</v>
      </c>
      <c r="DO23" s="32">
        <f t="shared" si="36"/>
        <v>1.3981975138665637</v>
      </c>
      <c r="DP23" s="32">
        <f t="shared" si="37"/>
        <v>0.32764333299574033</v>
      </c>
      <c r="DQ23" s="32">
        <f>IF(DP23="","",DP23*$DO$1/'CPI USA'!$U$520+(1-DP23)*AVERAGE($DO$1,$DQ$1)/AVERAGE('CPI USA'!$U$520,'PPI USA'!$T$526))</f>
        <v>1.0811692565836051</v>
      </c>
      <c r="DR23" s="6">
        <f t="shared" si="38"/>
        <v>10797676</v>
      </c>
      <c r="DS23" s="32">
        <f t="shared" si="39"/>
        <v>0.36112973941838583</v>
      </c>
      <c r="DT23" s="28">
        <f>IF(DS23="","",DS23*$DO$1/'CPI USA'!$U$520+(1-DS23)*AVERAGE($DO$1,$DQ$1)/AVERAGE('CPI USA'!$U$520,'PPI USA'!$T$526))</f>
        <v>1.0800428050722579</v>
      </c>
      <c r="DU23" s="6">
        <f t="shared" si="40"/>
        <v>24081997.379604008</v>
      </c>
      <c r="DV23" s="6">
        <f t="shared" si="57"/>
        <v>668364.73280503182</v>
      </c>
      <c r="DW23" s="6">
        <f t="shared" si="41"/>
        <v>12895313.440874882</v>
      </c>
      <c r="DX23" s="16">
        <f t="shared" si="42"/>
        <v>0.30020586341861732</v>
      </c>
      <c r="DY23" s="28">
        <f>IF(DX23="","",DX23*$DO$1/'CPI USA'!$U$520+(1-DX23)*AVERAGE($DO$1,$DQ$1)/AVERAGE('CPI USA'!$U$520,'PPI USA'!$T$526))</f>
        <v>1.0820922274955209</v>
      </c>
      <c r="DZ23" s="30"/>
      <c r="EA23" s="29" t="str">
        <f t="shared" si="43"/>
        <v>C000292</v>
      </c>
      <c r="EB23" s="29">
        <f t="shared" si="44"/>
        <v>4512058487.103713</v>
      </c>
      <c r="EC23" s="29">
        <f t="shared" si="45"/>
        <v>232807402.87169087</v>
      </c>
      <c r="ED23" s="29">
        <f t="shared" si="46"/>
        <v>76384327.954794243</v>
      </c>
      <c r="EE23" s="29">
        <f t="shared" si="47"/>
        <v>32297805.251013763</v>
      </c>
      <c r="EF23" s="29">
        <f t="shared" si="48"/>
        <v>46481165.579472415</v>
      </c>
      <c r="EG23" s="29">
        <f t="shared" si="49"/>
        <v>1614</v>
      </c>
      <c r="EH23" s="29">
        <f t="shared" si="50"/>
        <v>746993</v>
      </c>
      <c r="EI23" s="29">
        <f t="shared" si="51"/>
        <v>1030442</v>
      </c>
      <c r="EJ23" s="29">
        <f t="shared" si="52"/>
        <v>19802748</v>
      </c>
      <c r="EK23" s="29">
        <f t="shared" si="53"/>
        <v>20818021.573604062</v>
      </c>
      <c r="EL23" s="29">
        <f>IF(CD23=1,VLOOKUP(EA23,'EIA 2022'!$A$2:$J$213,4,0)*EH23,"")</f>
        <v>84596957.25</v>
      </c>
      <c r="EM23" s="29">
        <f>IF(CD23=1,VLOOKUP(EA23,'EIA 2022'!$A$2:$J$213,7,0)*EH23,"")</f>
        <v>1101814.675</v>
      </c>
      <c r="EN23" s="29">
        <f>IF(CD23=1,VLOOKUP(EA23,'EIA 2022'!$A$2:$J$213,10,0),"")</f>
        <v>794672</v>
      </c>
      <c r="EO23" s="28">
        <f>IF(CD23=1,VLOOKUP(EA23,'EIA 2022'!$A$2:$Z$213,26,0),"")</f>
        <v>0</v>
      </c>
      <c r="EP23" s="23">
        <f t="shared" si="54"/>
        <v>4.8768974996709763E-2</v>
      </c>
      <c r="EQ23" s="32">
        <f t="shared" si="55"/>
        <v>15168.426395939081</v>
      </c>
      <c r="ER23" s="32">
        <f t="shared" si="56"/>
        <v>1015273.5736040609</v>
      </c>
      <c r="ES23" s="32"/>
      <c r="ET23" s="32"/>
    </row>
    <row r="24" spans="1:150" ht="15.75" customHeight="1">
      <c r="A24" s="7" t="s">
        <v>273</v>
      </c>
      <c r="B24" s="7" t="s">
        <v>274</v>
      </c>
      <c r="C24" s="32" t="s">
        <v>893</v>
      </c>
      <c r="D24" s="42">
        <v>0</v>
      </c>
      <c r="E24" s="42">
        <v>0</v>
      </c>
      <c r="F24" s="42">
        <v>0</v>
      </c>
      <c r="G24" s="42">
        <v>971909441</v>
      </c>
      <c r="H24" s="42">
        <v>1007582464</v>
      </c>
      <c r="I24" s="42">
        <v>211635</v>
      </c>
      <c r="J24" s="42">
        <v>599841</v>
      </c>
      <c r="K24" s="42">
        <v>1433745</v>
      </c>
      <c r="L24" s="42">
        <v>1033099</v>
      </c>
      <c r="M24" s="42">
        <v>4075906</v>
      </c>
      <c r="N24" s="42">
        <v>0</v>
      </c>
      <c r="O24" s="42">
        <v>23831407</v>
      </c>
      <c r="P24" s="42">
        <v>3987374</v>
      </c>
      <c r="Q24" s="42">
        <v>2964988</v>
      </c>
      <c r="R24" s="42">
        <v>19348</v>
      </c>
      <c r="S24" s="42">
        <v>12904371</v>
      </c>
      <c r="T24" s="42">
        <v>81821718</v>
      </c>
      <c r="U24" s="42">
        <v>5246147</v>
      </c>
      <c r="V24" s="42">
        <v>288486</v>
      </c>
      <c r="W24" s="42">
        <v>3115536</v>
      </c>
      <c r="X24" s="42">
        <f>IFERROR(VLOOKUP(A24,'Trans 21-23'!$A$2:$J$229,8,0),0)</f>
        <v>5587281</v>
      </c>
      <c r="Y24" s="42">
        <v>8159797</v>
      </c>
      <c r="Z24" s="42">
        <v>4728268</v>
      </c>
      <c r="AA24" s="42">
        <v>46687575</v>
      </c>
      <c r="AB24" s="42">
        <v>143110086</v>
      </c>
      <c r="AC24" s="42">
        <v>6</v>
      </c>
      <c r="AD24" s="42">
        <v>118651798</v>
      </c>
      <c r="AE24" s="42">
        <v>0</v>
      </c>
      <c r="AF24" s="42">
        <v>1542014611</v>
      </c>
      <c r="AG24" s="42">
        <v>1155415</v>
      </c>
      <c r="AH24" s="42">
        <v>334652</v>
      </c>
      <c r="AI24" s="42">
        <v>12400542</v>
      </c>
      <c r="AJ24" s="42">
        <v>3485</v>
      </c>
      <c r="AK24" s="42">
        <v>8391330</v>
      </c>
      <c r="AL24" s="42">
        <v>9845282</v>
      </c>
      <c r="AM24" s="42">
        <v>8638622</v>
      </c>
      <c r="AN24" s="42">
        <v>1880835</v>
      </c>
      <c r="AO24" s="42">
        <v>83046</v>
      </c>
      <c r="AP24" s="42">
        <v>0</v>
      </c>
      <c r="AQ24" s="42">
        <v>20447785</v>
      </c>
      <c r="AR24" s="42">
        <v>5950</v>
      </c>
      <c r="AS24" s="42">
        <v>20453735</v>
      </c>
      <c r="AT24" s="42">
        <v>0</v>
      </c>
      <c r="AU24" s="42">
        <v>6122</v>
      </c>
      <c r="AV24" s="42">
        <v>0</v>
      </c>
      <c r="AW24" s="42">
        <v>1252859353</v>
      </c>
      <c r="AX24" s="42">
        <v>124359207</v>
      </c>
      <c r="AY24" s="42">
        <v>685884683</v>
      </c>
      <c r="AZ24" s="42">
        <v>209459294</v>
      </c>
      <c r="BA24" s="42">
        <v>259321756</v>
      </c>
      <c r="BB24" s="42">
        <v>5455112426</v>
      </c>
      <c r="BC24" s="42">
        <v>7844242971</v>
      </c>
      <c r="BD24" s="42">
        <v>325673556</v>
      </c>
      <c r="BE24" s="42">
        <v>1687830902</v>
      </c>
      <c r="BF24" s="42">
        <v>151674826</v>
      </c>
      <c r="BG24" s="42">
        <v>0</v>
      </c>
      <c r="BH24" s="42">
        <v>56959157</v>
      </c>
      <c r="BI24" s="42">
        <v>16392002</v>
      </c>
      <c r="BJ24" s="42">
        <v>765703</v>
      </c>
      <c r="BK24" s="42">
        <v>0</v>
      </c>
      <c r="BL24" s="42">
        <v>0</v>
      </c>
      <c r="BM24" s="42">
        <v>794622</v>
      </c>
      <c r="BN24" s="42">
        <v>81754938</v>
      </c>
      <c r="BO24" s="42">
        <v>0</v>
      </c>
      <c r="BP24" s="42">
        <v>1251119</v>
      </c>
      <c r="BQ24" s="42">
        <v>145944209</v>
      </c>
      <c r="BR24" s="42">
        <v>0</v>
      </c>
      <c r="BS24" s="42">
        <f>IFERROR(VLOOKUP(A24,'Trans 21-23'!$A$2:$J$229,7,0),0)</f>
        <v>506004378</v>
      </c>
      <c r="BT24" s="63"/>
      <c r="BU24" s="32">
        <f t="shared" si="0"/>
        <v>5455112426</v>
      </c>
      <c r="BV24" s="32">
        <f t="shared" si="1"/>
        <v>6122</v>
      </c>
      <c r="BW24" s="32">
        <f t="shared" si="2"/>
        <v>1155415</v>
      </c>
      <c r="BX24" s="32">
        <f t="shared" si="3"/>
        <v>141533601</v>
      </c>
      <c r="BY24" s="32">
        <f t="shared" si="4"/>
        <v>202685732</v>
      </c>
      <c r="BZ24" s="32">
        <f t="shared" si="5"/>
        <v>209459294</v>
      </c>
      <c r="CA24" s="32">
        <f t="shared" si="6"/>
        <v>118651798</v>
      </c>
      <c r="CB24" s="32">
        <f t="shared" si="7"/>
        <v>334652</v>
      </c>
      <c r="CC24" s="32">
        <f t="shared" si="8"/>
        <v>20447785</v>
      </c>
      <c r="CD24" s="41">
        <f t="shared" si="9"/>
        <v>1</v>
      </c>
      <c r="CE24" s="44">
        <f t="shared" si="10"/>
        <v>13</v>
      </c>
      <c r="CF24" s="27"/>
      <c r="CG24" s="28">
        <f t="shared" si="11"/>
        <v>891.06704116301864</v>
      </c>
      <c r="CH24" s="28">
        <f t="shared" si="12"/>
        <v>5.2985290999337904</v>
      </c>
      <c r="CI24" s="28">
        <f t="shared" si="13"/>
        <v>122.49590060714115</v>
      </c>
      <c r="CJ24" s="28">
        <f t="shared" si="14"/>
        <v>181.28490109614293</v>
      </c>
      <c r="CK24" s="23">
        <f t="shared" si="15"/>
        <v>1.6366173646681047E-2</v>
      </c>
      <c r="CL24" s="29" t="str">
        <f t="shared" si="16"/>
        <v/>
      </c>
      <c r="CM24" s="29" t="str">
        <f t="shared" si="17"/>
        <v/>
      </c>
      <c r="CN24" s="29" t="str">
        <f t="shared" si="18"/>
        <v/>
      </c>
      <c r="CO24" s="29" t="str">
        <f t="shared" si="19"/>
        <v/>
      </c>
      <c r="CP24" s="29" t="str">
        <f t="shared" si="20"/>
        <v/>
      </c>
      <c r="CQ24" s="29">
        <f t="shared" si="21"/>
        <v>0</v>
      </c>
      <c r="CR24" s="30"/>
      <c r="CS24" s="7">
        <f>VLOOKUP(A24,'Empresas 21-23'!$A$2:$M$228,13,0)</f>
        <v>1</v>
      </c>
      <c r="CT24" s="30"/>
      <c r="CU24" s="6">
        <f t="shared" si="22"/>
        <v>5006189420</v>
      </c>
      <c r="CV24" s="6">
        <f t="shared" si="23"/>
        <v>209459294</v>
      </c>
      <c r="CW24" s="6">
        <f t="shared" si="24"/>
        <v>325673556</v>
      </c>
      <c r="CX24" s="23">
        <f t="shared" si="25"/>
        <v>0.66584334647657173</v>
      </c>
      <c r="CY24" s="23">
        <f t="shared" si="26"/>
        <v>2.7858929330640488E-2</v>
      </c>
      <c r="CZ24" s="6">
        <f t="shared" si="27"/>
        <v>5223036990.3859653</v>
      </c>
      <c r="DA24" s="6">
        <f t="shared" si="28"/>
        <v>218532210.58146238</v>
      </c>
      <c r="DB24" s="6">
        <f t="shared" si="29"/>
        <v>141533601</v>
      </c>
      <c r="DC24" s="6">
        <f t="shared" si="30"/>
        <v>147120882</v>
      </c>
      <c r="DD24" s="6">
        <f t="shared" si="31"/>
        <v>202685732</v>
      </c>
      <c r="DE24" s="6">
        <f t="shared" si="32"/>
        <v>118651798</v>
      </c>
      <c r="DF24" s="6">
        <f t="shared" si="33"/>
        <v>99824784.416138843</v>
      </c>
      <c r="DG24" s="30"/>
      <c r="DH24" s="32">
        <f>VLOOKUP(A24,'T_med_comp-USA'!$A$7:$Q$233,17,0)</f>
        <v>11.559327414718121</v>
      </c>
      <c r="DI24" s="6" t="str">
        <f t="shared" si="34"/>
        <v>6_2011</v>
      </c>
      <c r="DJ24" s="32">
        <f>IF(DI24="","",VLOOKUP(DI24,'CPI USA'!$T:$U,2,FALSE))</f>
        <v>224.93899999999999</v>
      </c>
      <c r="DK24" s="32">
        <f>IF(DI24="","",VLOOKUP(DI24,'PPI USA'!$S:$T,2,FALSE))</f>
        <v>169.6</v>
      </c>
      <c r="DL24" s="32">
        <f>IF(DI24="","",VLOOKUP(DI24,'CPI USA'!$T:$V,3,FALSE))</f>
        <v>0.6684022975047168</v>
      </c>
      <c r="DM24" s="32">
        <f>IF(DI24="","",VLOOKUP(DI24,'CPI USA'!$T:$X,5,FALSE))</f>
        <v>0.49636791791307899</v>
      </c>
      <c r="DN24" s="32">
        <f t="shared" si="35"/>
        <v>1.4208751760332547</v>
      </c>
      <c r="DO24" s="32">
        <f t="shared" si="36"/>
        <v>1.4334111417560953</v>
      </c>
      <c r="DP24" s="32">
        <f t="shared" si="37"/>
        <v>0.40244264681713282</v>
      </c>
      <c r="DQ24" s="32">
        <f>IF(DP24="","",DP24*$DO$1/'CPI USA'!$U$520+(1-DP24)*AVERAGE($DO$1,$DQ$1)/AVERAGE('CPI USA'!$U$520,'PPI USA'!$T$526))</f>
        <v>1.0786530773603591</v>
      </c>
      <c r="DR24" s="6">
        <f t="shared" si="38"/>
        <v>17157705</v>
      </c>
      <c r="DS24" s="32">
        <f t="shared" si="39"/>
        <v>0.2</v>
      </c>
      <c r="DT24" s="28">
        <f>IF(DS24="","",DS24*$DO$1/'CPI USA'!$U$520+(1-DS24)*AVERAGE($DO$1,$DQ$1)/AVERAGE('CPI USA'!$U$520,'PPI USA'!$T$526))</f>
        <v>1.0854630593748538</v>
      </c>
      <c r="DU24" s="6">
        <f t="shared" si="40"/>
        <v>794622</v>
      </c>
      <c r="DV24" s="6">
        <f t="shared" si="57"/>
        <v>6870.8649598816364</v>
      </c>
      <c r="DW24" s="6">
        <f t="shared" si="41"/>
        <v>726612.2086254434</v>
      </c>
      <c r="DX24" s="16">
        <f t="shared" si="42"/>
        <v>0.2</v>
      </c>
      <c r="DY24" s="28">
        <f>IF(DX24="","",DX24*$DO$1/'CPI USA'!$U$520+(1-DX24)*AVERAGE($DO$1,$DQ$1)/AVERAGE('CPI USA'!$U$520,'PPI USA'!$T$526))</f>
        <v>1.0854630593748538</v>
      </c>
      <c r="DZ24" s="30"/>
      <c r="EA24" s="29" t="str">
        <f t="shared" si="43"/>
        <v>C000312</v>
      </c>
      <c r="EB24" s="29">
        <f t="shared" si="44"/>
        <v>7421283603.1428595</v>
      </c>
      <c r="EC24" s="29">
        <f t="shared" si="45"/>
        <v>313246505.48005742</v>
      </c>
      <c r="ED24" s="29">
        <f t="shared" si="46"/>
        <v>158692392.11327025</v>
      </c>
      <c r="EE24" s="29">
        <f t="shared" si="47"/>
        <v>220007874.74835169</v>
      </c>
      <c r="EF24" s="29">
        <f t="shared" si="48"/>
        <v>108356115.8937773</v>
      </c>
      <c r="EG24" s="29">
        <f t="shared" si="49"/>
        <v>6122</v>
      </c>
      <c r="EH24" s="29">
        <f t="shared" si="50"/>
        <v>1155415</v>
      </c>
      <c r="EI24" s="29">
        <f t="shared" si="51"/>
        <v>334652</v>
      </c>
      <c r="EJ24" s="29">
        <f t="shared" si="52"/>
        <v>20447785</v>
      </c>
      <c r="EK24" s="29">
        <f t="shared" si="53"/>
        <v>20782346.390862945</v>
      </c>
      <c r="EL24" s="29">
        <f>IF(CD24=1,VLOOKUP(EA24,'EIA 2022'!$A$2:$J$213,4,0)*EH24,"")</f>
        <v>220400032.91</v>
      </c>
      <c r="EM24" s="29">
        <f>IF(CD24=1,VLOOKUP(EA24,'EIA 2022'!$A$2:$J$213,7,0)*EH24,"")</f>
        <v>1967671.7450000001</v>
      </c>
      <c r="EN24" s="29">
        <f>IF(CD24=1,VLOOKUP(EA24,'EIA 2022'!$A$2:$J$213,10,0),"")</f>
        <v>39061</v>
      </c>
      <c r="EO24" s="28">
        <f>IF(CD24=1,VLOOKUP(EA24,'EIA 2022'!$A$2:$Z$213,26,0),"")</f>
        <v>0</v>
      </c>
      <c r="EP24" s="23">
        <f t="shared" si="54"/>
        <v>1.6098345421190537E-2</v>
      </c>
      <c r="EQ24" s="32">
        <f t="shared" si="55"/>
        <v>90.609137055837891</v>
      </c>
      <c r="ER24" s="32">
        <f t="shared" si="56"/>
        <v>334561.39086294419</v>
      </c>
      <c r="ES24" s="32"/>
      <c r="ET24" s="32"/>
    </row>
    <row r="25" spans="1:150" ht="15.75" customHeight="1">
      <c r="A25" s="7" t="s">
        <v>276</v>
      </c>
      <c r="B25" s="7" t="s">
        <v>277</v>
      </c>
      <c r="C25" s="32" t="s">
        <v>894</v>
      </c>
      <c r="D25" s="42">
        <v>0</v>
      </c>
      <c r="E25" s="42">
        <v>0</v>
      </c>
      <c r="F25" s="42">
        <v>0</v>
      </c>
      <c r="G25" s="42">
        <v>308802818</v>
      </c>
      <c r="H25" s="42">
        <v>309202660</v>
      </c>
      <c r="I25" s="42">
        <v>146143</v>
      </c>
      <c r="J25" s="42">
        <v>229684</v>
      </c>
      <c r="K25" s="42">
        <v>349322</v>
      </c>
      <c r="L25" s="42">
        <v>1100679</v>
      </c>
      <c r="M25" s="42">
        <v>1407085</v>
      </c>
      <c r="N25" s="42">
        <v>0</v>
      </c>
      <c r="O25" s="42">
        <v>10044982</v>
      </c>
      <c r="P25" s="42">
        <v>4449564</v>
      </c>
      <c r="Q25" s="42">
        <v>1644023</v>
      </c>
      <c r="R25" s="42">
        <v>0</v>
      </c>
      <c r="S25" s="42">
        <v>10327163</v>
      </c>
      <c r="T25" s="42">
        <v>66785639</v>
      </c>
      <c r="U25" s="42">
        <v>2776857</v>
      </c>
      <c r="V25" s="42">
        <v>224820</v>
      </c>
      <c r="W25" s="42">
        <v>1775000</v>
      </c>
      <c r="X25" s="42">
        <f>IFERROR(VLOOKUP(A25,'Trans 21-23'!$A$2:$J$229,8,0),0)</f>
        <v>1097903</v>
      </c>
      <c r="Y25" s="42">
        <v>5928326</v>
      </c>
      <c r="Z25" s="42">
        <v>3379412</v>
      </c>
      <c r="AA25" s="42">
        <v>25940436</v>
      </c>
      <c r="AB25" s="42">
        <v>12228881</v>
      </c>
      <c r="AC25" s="42">
        <v>98731</v>
      </c>
      <c r="AD25" s="42">
        <v>26767245</v>
      </c>
      <c r="AE25" s="42">
        <v>0</v>
      </c>
      <c r="AF25" s="42">
        <v>856227187</v>
      </c>
      <c r="AG25" s="42">
        <v>1065866</v>
      </c>
      <c r="AH25" s="42">
        <v>175728</v>
      </c>
      <c r="AI25" s="42">
        <v>5863414</v>
      </c>
      <c r="AJ25" s="42">
        <v>13718</v>
      </c>
      <c r="AK25" s="42">
        <v>17960229</v>
      </c>
      <c r="AL25" s="42">
        <v>9532641</v>
      </c>
      <c r="AM25" s="42">
        <v>6098900</v>
      </c>
      <c r="AN25" s="42">
        <v>7869288</v>
      </c>
      <c r="AO25" s="42">
        <v>133368</v>
      </c>
      <c r="AP25" s="42">
        <v>0</v>
      </c>
      <c r="AQ25" s="42">
        <v>23634197</v>
      </c>
      <c r="AR25" s="42">
        <v>0</v>
      </c>
      <c r="AS25" s="42">
        <v>23634197</v>
      </c>
      <c r="AT25" s="42">
        <v>0</v>
      </c>
      <c r="AU25" s="42">
        <v>5652</v>
      </c>
      <c r="AV25" s="42">
        <v>0</v>
      </c>
      <c r="AW25" s="42">
        <v>908774006</v>
      </c>
      <c r="AX25" s="42">
        <v>71882755</v>
      </c>
      <c r="AY25" s="42">
        <v>438442461</v>
      </c>
      <c r="AZ25" s="42">
        <v>207613888</v>
      </c>
      <c r="BA25" s="42">
        <v>85863268</v>
      </c>
      <c r="BB25" s="42">
        <v>3509880533</v>
      </c>
      <c r="BC25" s="42">
        <v>4255907209</v>
      </c>
      <c r="BD25" s="42">
        <v>271593796</v>
      </c>
      <c r="BE25" s="42">
        <v>1300373754</v>
      </c>
      <c r="BF25" s="42">
        <v>98576695</v>
      </c>
      <c r="BG25" s="42">
        <v>0</v>
      </c>
      <c r="BH25" s="42">
        <v>32521901</v>
      </c>
      <c r="BI25" s="42">
        <v>8858586</v>
      </c>
      <c r="BJ25" s="42">
        <v>358828</v>
      </c>
      <c r="BK25" s="42">
        <v>82348</v>
      </c>
      <c r="BL25" s="42">
        <v>0</v>
      </c>
      <c r="BM25" s="42">
        <v>401961</v>
      </c>
      <c r="BN25" s="42">
        <v>42262669</v>
      </c>
      <c r="BO25" s="42">
        <v>0</v>
      </c>
      <c r="BP25" s="42">
        <v>16472246</v>
      </c>
      <c r="BQ25" s="42">
        <v>102662319</v>
      </c>
      <c r="BR25" s="42">
        <v>0</v>
      </c>
      <c r="BS25" s="42">
        <f>IFERROR(VLOOKUP(A25,'Trans 21-23'!$A$2:$J$229,7,0),0)</f>
        <v>99430056</v>
      </c>
      <c r="BT25" s="63"/>
      <c r="BU25" s="32">
        <f t="shared" si="0"/>
        <v>3509880533</v>
      </c>
      <c r="BV25" s="32">
        <f t="shared" si="1"/>
        <v>5652</v>
      </c>
      <c r="BW25" s="32">
        <f t="shared" si="2"/>
        <v>1065866</v>
      </c>
      <c r="BX25" s="32">
        <f t="shared" si="3"/>
        <v>101260961</v>
      </c>
      <c r="BY25" s="32">
        <f t="shared" si="4"/>
        <v>47575786</v>
      </c>
      <c r="BZ25" s="32">
        <f t="shared" si="5"/>
        <v>207613888</v>
      </c>
      <c r="CA25" s="32">
        <f t="shared" si="6"/>
        <v>26767245</v>
      </c>
      <c r="CB25" s="32">
        <f t="shared" si="7"/>
        <v>175728</v>
      </c>
      <c r="CC25" s="32">
        <f t="shared" si="8"/>
        <v>23634197</v>
      </c>
      <c r="CD25" s="41">
        <f t="shared" si="9"/>
        <v>1</v>
      </c>
      <c r="CE25" s="44">
        <f t="shared" si="10"/>
        <v>14</v>
      </c>
      <c r="CF25" s="27"/>
      <c r="CG25" s="28">
        <f t="shared" si="11"/>
        <v>620.9979711606511</v>
      </c>
      <c r="CH25" s="28">
        <f t="shared" si="12"/>
        <v>5.30273036197796</v>
      </c>
      <c r="CI25" s="28">
        <f t="shared" si="13"/>
        <v>95.003462911848203</v>
      </c>
      <c r="CJ25" s="28">
        <f t="shared" si="14"/>
        <v>194.78422991257813</v>
      </c>
      <c r="CK25" s="23">
        <f t="shared" si="15"/>
        <v>7.4353277160209841E-3</v>
      </c>
      <c r="CL25" s="29" t="str">
        <f t="shared" si="16"/>
        <v/>
      </c>
      <c r="CM25" s="29" t="str">
        <f t="shared" si="17"/>
        <v/>
      </c>
      <c r="CN25" s="29" t="str">
        <f t="shared" si="18"/>
        <v/>
      </c>
      <c r="CO25" s="29" t="str">
        <f t="shared" si="19"/>
        <v/>
      </c>
      <c r="CP25" s="29" t="str">
        <f t="shared" si="20"/>
        <v/>
      </c>
      <c r="CQ25" s="29">
        <f t="shared" si="21"/>
        <v>0</v>
      </c>
      <c r="CR25" s="30"/>
      <c r="CS25" s="7">
        <f>VLOOKUP(A25,'Empresas 21-23'!$A$2:$M$228,13,0)</f>
        <v>1</v>
      </c>
      <c r="CT25" s="30"/>
      <c r="CU25" s="6">
        <f t="shared" si="22"/>
        <v>3009638303.4000001</v>
      </c>
      <c r="CV25" s="6">
        <f t="shared" si="23"/>
        <v>207613888</v>
      </c>
      <c r="CW25" s="6">
        <f t="shared" si="24"/>
        <v>271593796</v>
      </c>
      <c r="CX25" s="23">
        <f t="shared" si="25"/>
        <v>0.75537187751851187</v>
      </c>
      <c r="CY25" s="23">
        <f t="shared" si="26"/>
        <v>5.2107820464775266E-2</v>
      </c>
      <c r="CZ25" s="6">
        <f t="shared" si="27"/>
        <v>3214792619.0068998</v>
      </c>
      <c r="DA25" s="6">
        <f t="shared" si="28"/>
        <v>221766048.76131481</v>
      </c>
      <c r="DB25" s="6">
        <f t="shared" si="29"/>
        <v>101260961</v>
      </c>
      <c r="DC25" s="6">
        <f t="shared" si="30"/>
        <v>102358864</v>
      </c>
      <c r="DD25" s="6">
        <f t="shared" si="31"/>
        <v>47575786</v>
      </c>
      <c r="DE25" s="6">
        <f t="shared" si="32"/>
        <v>26767245</v>
      </c>
      <c r="DF25" s="6">
        <f t="shared" si="33"/>
        <v>7714140.0022522891</v>
      </c>
      <c r="DG25" s="30"/>
      <c r="DH25" s="32">
        <f>VLOOKUP(A25,'T_med_comp-USA'!$A$7:$Q$233,17,0)</f>
        <v>13.459237507581568</v>
      </c>
      <c r="DI25" s="6" t="str">
        <f t="shared" si="34"/>
        <v>7_2009</v>
      </c>
      <c r="DJ25" s="32">
        <f>IF(DI25="","",VLOOKUP(DI25,'CPI USA'!$T:$U,2,FALSE))</f>
        <v>214.53700000000001</v>
      </c>
      <c r="DK25" s="32">
        <f>IF(DI25="","",VLOOKUP(DI25,'PPI USA'!$S:$T,2,FALSE))</f>
        <v>159.1</v>
      </c>
      <c r="DL25" s="32">
        <f>IF(DI25="","",VLOOKUP(DI25,'CPI USA'!$T:$V,3,FALSE))</f>
        <v>0.66997101349938215</v>
      </c>
      <c r="DM25" s="32">
        <f>IF(DI25="","",VLOOKUP(DI25,'CPI USA'!$T:$X,5,FALSE))</f>
        <v>0.49813941766071862</v>
      </c>
      <c r="DN25" s="32">
        <f t="shared" si="35"/>
        <v>1.4932638886873792</v>
      </c>
      <c r="DO25" s="32">
        <f t="shared" si="36"/>
        <v>1.5082750176818205</v>
      </c>
      <c r="DP25" s="32">
        <f t="shared" si="37"/>
        <v>0.32116919174804198</v>
      </c>
      <c r="DQ25" s="32">
        <f>IF(DP25="","",DP25*$DO$1/'CPI USA'!$U$520+(1-DP25)*AVERAGE($DO$1,$DQ$1)/AVERAGE('CPI USA'!$U$520,'PPI USA'!$T$526))</f>
        <v>1.0813870406629447</v>
      </c>
      <c r="DR25" s="6">
        <f t="shared" si="38"/>
        <v>9299762</v>
      </c>
      <c r="DS25" s="32">
        <f t="shared" si="39"/>
        <v>0.2</v>
      </c>
      <c r="DT25" s="28">
        <f>IF(DS25="","",DS25*$DO$1/'CPI USA'!$U$520+(1-DS25)*AVERAGE($DO$1,$DQ$1)/AVERAGE('CPI USA'!$U$520,'PPI USA'!$T$526))</f>
        <v>1.0854630593748538</v>
      </c>
      <c r="DU25" s="6">
        <f t="shared" si="40"/>
        <v>401961</v>
      </c>
      <c r="DV25" s="6">
        <f t="shared" si="57"/>
        <v>76820.917350957578</v>
      </c>
      <c r="DW25" s="6">
        <f t="shared" si="41"/>
        <v>473785.88413205993</v>
      </c>
      <c r="DX25" s="16">
        <f t="shared" si="42"/>
        <v>0.2</v>
      </c>
      <c r="DY25" s="28">
        <f>IF(DX25="","",DX25*$DO$1/'CPI USA'!$U$520+(1-DX25)*AVERAGE($DO$1,$DQ$1)/AVERAGE('CPI USA'!$U$520,'PPI USA'!$T$526))</f>
        <v>1.0854630593748538</v>
      </c>
      <c r="DZ25" s="30"/>
      <c r="EA25" s="29" t="str">
        <f t="shared" si="43"/>
        <v>C000313</v>
      </c>
      <c r="EB25" s="29">
        <f t="shared" si="44"/>
        <v>4800533727.581728</v>
      </c>
      <c r="EC25" s="29">
        <f t="shared" si="45"/>
        <v>334484191.11669958</v>
      </c>
      <c r="ED25" s="29">
        <f t="shared" si="46"/>
        <v>110689549.02658083</v>
      </c>
      <c r="EE25" s="29">
        <f t="shared" si="47"/>
        <v>51641758.223723337</v>
      </c>
      <c r="EF25" s="29">
        <f t="shared" si="48"/>
        <v>8373414.0072907107</v>
      </c>
      <c r="EG25" s="29">
        <f t="shared" si="49"/>
        <v>5652</v>
      </c>
      <c r="EH25" s="29">
        <f t="shared" si="50"/>
        <v>1065866</v>
      </c>
      <c r="EI25" s="29">
        <f t="shared" si="51"/>
        <v>175728</v>
      </c>
      <c r="EJ25" s="29">
        <f t="shared" si="52"/>
        <v>23634197</v>
      </c>
      <c r="EK25" s="29">
        <f t="shared" si="53"/>
        <v>23809925</v>
      </c>
      <c r="EL25" s="29">
        <f>IF(CD25=1,VLOOKUP(EA25,'EIA 2022'!$A$2:$J$213,4,0)*EH25,"")</f>
        <v>122568194.80400001</v>
      </c>
      <c r="EM25" s="29">
        <f>IF(CD25=1,VLOOKUP(EA25,'EIA 2022'!$A$2:$J$213,7,0)*EH25,"")</f>
        <v>1623313.9179999998</v>
      </c>
      <c r="EN25" s="29">
        <f>IF(CD25=1,VLOOKUP(EA25,'EIA 2022'!$A$2:$J$213,10,0),"")</f>
        <v>347971</v>
      </c>
      <c r="EO25" s="28">
        <f>IF(CD25=1,VLOOKUP(EA25,'EIA 2022'!$A$2:$Z$213,26,0),"")</f>
        <v>0</v>
      </c>
      <c r="EP25" s="23">
        <f t="shared" si="54"/>
        <v>7.3804516393898767E-3</v>
      </c>
      <c r="EQ25" s="32">
        <f t="shared" si="55"/>
        <v>0</v>
      </c>
      <c r="ER25" s="32">
        <f t="shared" si="56"/>
        <v>175728</v>
      </c>
      <c r="ES25" s="32"/>
      <c r="ET25" s="32"/>
    </row>
    <row r="26" spans="1:150" ht="15.75" customHeight="1">
      <c r="A26" s="7" t="s">
        <v>279</v>
      </c>
      <c r="B26" s="7" t="s">
        <v>280</v>
      </c>
      <c r="C26" s="32" t="s">
        <v>895</v>
      </c>
      <c r="D26" s="42">
        <v>0</v>
      </c>
      <c r="E26" s="42">
        <v>0</v>
      </c>
      <c r="F26" s="42">
        <v>0</v>
      </c>
      <c r="G26" s="42">
        <v>202648018</v>
      </c>
      <c r="H26" s="42">
        <v>202852367</v>
      </c>
      <c r="I26" s="42">
        <v>137200</v>
      </c>
      <c r="J26" s="42">
        <v>204056</v>
      </c>
      <c r="K26" s="42">
        <v>190772</v>
      </c>
      <c r="L26" s="42">
        <v>131544</v>
      </c>
      <c r="M26" s="42">
        <v>1872299</v>
      </c>
      <c r="N26" s="42">
        <v>0</v>
      </c>
      <c r="O26" s="42">
        <v>6726229</v>
      </c>
      <c r="P26" s="42">
        <v>4479</v>
      </c>
      <c r="Q26" s="42">
        <v>1293151</v>
      </c>
      <c r="R26" s="42">
        <v>0</v>
      </c>
      <c r="S26" s="42">
        <v>8826064</v>
      </c>
      <c r="T26" s="42">
        <v>46482990</v>
      </c>
      <c r="U26" s="42">
        <v>2727140</v>
      </c>
      <c r="V26" s="42">
        <v>189041</v>
      </c>
      <c r="W26" s="42">
        <v>948515</v>
      </c>
      <c r="X26" s="42">
        <f>IFERROR(VLOOKUP(A26,'Trans 21-23'!$A$2:$J$229,8,0),0)</f>
        <v>2769464</v>
      </c>
      <c r="Y26" s="42">
        <v>4285884</v>
      </c>
      <c r="Z26" s="42">
        <v>2624791</v>
      </c>
      <c r="AA26" s="42">
        <v>29267139</v>
      </c>
      <c r="AB26" s="42">
        <v>9920869</v>
      </c>
      <c r="AC26" s="42">
        <v>16859</v>
      </c>
      <c r="AD26" s="42">
        <v>27599303</v>
      </c>
      <c r="AE26" s="42">
        <v>0</v>
      </c>
      <c r="AF26" s="42">
        <v>623283573</v>
      </c>
      <c r="AG26" s="42">
        <v>755417</v>
      </c>
      <c r="AH26" s="42">
        <v>20755</v>
      </c>
      <c r="AI26" s="42">
        <v>3823131</v>
      </c>
      <c r="AJ26" s="42">
        <v>23075</v>
      </c>
      <c r="AK26" s="42">
        <v>13939886</v>
      </c>
      <c r="AL26" s="42">
        <v>5590946</v>
      </c>
      <c r="AM26" s="42">
        <v>5800289</v>
      </c>
      <c r="AN26" s="42">
        <v>6194895</v>
      </c>
      <c r="AO26" s="42">
        <v>133057</v>
      </c>
      <c r="AP26" s="42">
        <v>0</v>
      </c>
      <c r="AQ26" s="42">
        <v>17719187</v>
      </c>
      <c r="AR26" s="42">
        <v>0</v>
      </c>
      <c r="AS26" s="42">
        <v>17719187</v>
      </c>
      <c r="AT26" s="42">
        <v>0</v>
      </c>
      <c r="AU26" s="42">
        <v>4266</v>
      </c>
      <c r="AV26" s="42">
        <v>0</v>
      </c>
      <c r="AW26" s="42">
        <v>609037535</v>
      </c>
      <c r="AX26" s="42">
        <v>85838869</v>
      </c>
      <c r="AY26" s="42">
        <v>538712988</v>
      </c>
      <c r="AZ26" s="42">
        <v>161459907</v>
      </c>
      <c r="BA26" s="42">
        <v>85909136</v>
      </c>
      <c r="BB26" s="42">
        <v>2845141119</v>
      </c>
      <c r="BC26" s="42">
        <v>3739030678</v>
      </c>
      <c r="BD26" s="42">
        <v>243055989</v>
      </c>
      <c r="BE26" s="42">
        <v>1163204364</v>
      </c>
      <c r="BF26" s="42">
        <v>96264698</v>
      </c>
      <c r="BG26" s="42">
        <v>0</v>
      </c>
      <c r="BH26" s="42">
        <v>27922611</v>
      </c>
      <c r="BI26" s="42">
        <v>5720198</v>
      </c>
      <c r="BJ26" s="42">
        <v>247474</v>
      </c>
      <c r="BK26" s="42">
        <v>9515</v>
      </c>
      <c r="BL26" s="42">
        <v>0</v>
      </c>
      <c r="BM26" s="42">
        <v>465136</v>
      </c>
      <c r="BN26" s="42">
        <v>34497982</v>
      </c>
      <c r="BO26" s="42">
        <v>0</v>
      </c>
      <c r="BP26" s="42">
        <v>7468553</v>
      </c>
      <c r="BQ26" s="42">
        <v>78142287</v>
      </c>
      <c r="BR26" s="42">
        <v>0</v>
      </c>
      <c r="BS26" s="42">
        <f>IFERROR(VLOOKUP(A26,'Trans 21-23'!$A$2:$J$229,7,0),0)</f>
        <v>250812648</v>
      </c>
      <c r="BT26" s="63"/>
      <c r="BU26" s="32">
        <f t="shared" si="0"/>
        <v>2845141119</v>
      </c>
      <c r="BV26" s="32">
        <f t="shared" si="1"/>
        <v>4266</v>
      </c>
      <c r="BW26" s="32">
        <f t="shared" si="2"/>
        <v>755417</v>
      </c>
      <c r="BX26" s="32">
        <f t="shared" si="3"/>
        <v>69733480</v>
      </c>
      <c r="BY26" s="32">
        <f t="shared" si="4"/>
        <v>46115542</v>
      </c>
      <c r="BZ26" s="32">
        <f t="shared" si="5"/>
        <v>161459907</v>
      </c>
      <c r="CA26" s="32">
        <f t="shared" si="6"/>
        <v>27599303</v>
      </c>
      <c r="CB26" s="32">
        <f t="shared" si="7"/>
        <v>20755</v>
      </c>
      <c r="CC26" s="32">
        <f t="shared" si="8"/>
        <v>17719187</v>
      </c>
      <c r="CD26" s="41">
        <f t="shared" si="9"/>
        <v>1</v>
      </c>
      <c r="CE26" s="44">
        <f t="shared" si="10"/>
        <v>14</v>
      </c>
      <c r="CF26" s="27"/>
      <c r="CG26" s="28">
        <f t="shared" si="11"/>
        <v>666.93415822784812</v>
      </c>
      <c r="CH26" s="28">
        <f t="shared" si="12"/>
        <v>5.6472120696251213</v>
      </c>
      <c r="CI26" s="28">
        <f t="shared" si="13"/>
        <v>92.311240017103131</v>
      </c>
      <c r="CJ26" s="28">
        <f t="shared" si="14"/>
        <v>213.73613116993661</v>
      </c>
      <c r="CK26" s="23">
        <f t="shared" si="15"/>
        <v>1.1713291360376749E-3</v>
      </c>
      <c r="CL26" s="29" t="str">
        <f t="shared" si="16"/>
        <v/>
      </c>
      <c r="CM26" s="29" t="str">
        <f t="shared" si="17"/>
        <v/>
      </c>
      <c r="CN26" s="29" t="str">
        <f t="shared" si="18"/>
        <v/>
      </c>
      <c r="CO26" s="29" t="str">
        <f t="shared" si="19"/>
        <v/>
      </c>
      <c r="CP26" s="29" t="str">
        <f t="shared" si="20"/>
        <v/>
      </c>
      <c r="CQ26" s="29">
        <f t="shared" si="21"/>
        <v>0</v>
      </c>
      <c r="CR26" s="30"/>
      <c r="CS26" s="7">
        <f>VLOOKUP(A26,'Empresas 21-23'!$A$2:$M$228,13,0)</f>
        <v>1</v>
      </c>
      <c r="CT26" s="30"/>
      <c r="CU26" s="6">
        <f t="shared" si="22"/>
        <v>2473853609.8000002</v>
      </c>
      <c r="CV26" s="6">
        <f t="shared" si="23"/>
        <v>161459907</v>
      </c>
      <c r="CW26" s="6">
        <f t="shared" si="24"/>
        <v>243055989</v>
      </c>
      <c r="CX26" s="23">
        <f t="shared" si="25"/>
        <v>0.70762915349013278</v>
      </c>
      <c r="CY26" s="23">
        <f t="shared" si="26"/>
        <v>4.6184518299869193E-2</v>
      </c>
      <c r="CZ26" s="6">
        <f t="shared" si="27"/>
        <v>2645847113.5467772</v>
      </c>
      <c r="DA26" s="6">
        <f t="shared" si="28"/>
        <v>172685330.77186331</v>
      </c>
      <c r="DB26" s="6">
        <f t="shared" si="29"/>
        <v>69733480</v>
      </c>
      <c r="DC26" s="6">
        <f t="shared" si="30"/>
        <v>72502944</v>
      </c>
      <c r="DD26" s="6">
        <f t="shared" si="31"/>
        <v>46115542</v>
      </c>
      <c r="DE26" s="6">
        <f t="shared" si="32"/>
        <v>27599303</v>
      </c>
      <c r="DF26" s="6">
        <f t="shared" si="33"/>
        <v>8333812.7873877343</v>
      </c>
      <c r="DG26" s="30"/>
      <c r="DH26" s="32">
        <f>VLOOKUP(A26,'T_med_comp-USA'!$A$7:$Q$233,17,0)</f>
        <v>12.359669161241621</v>
      </c>
      <c r="DI26" s="6" t="str">
        <f t="shared" si="34"/>
        <v>8_2010</v>
      </c>
      <c r="DJ26" s="32">
        <f>IF(DI26="","",VLOOKUP(DI26,'CPI USA'!$T:$U,2,FALSE))</f>
        <v>218.05600000000001</v>
      </c>
      <c r="DK26" s="32">
        <f>IF(DI26="","",VLOOKUP(DI26,'PPI USA'!$S:$T,2,FALSE))</f>
        <v>160.80000000000001</v>
      </c>
      <c r="DL26" s="32">
        <f>IF(DI26="","",VLOOKUP(DI26,'CPI USA'!$T:$V,3,FALSE))</f>
        <v>0.67050107279443949</v>
      </c>
      <c r="DM26" s="32">
        <f>IF(DI26="","",VLOOKUP(DI26,'CPI USA'!$T:$X,5,FALSE))</f>
        <v>0.4987389730136107</v>
      </c>
      <c r="DN26" s="32">
        <f t="shared" si="35"/>
        <v>1.4703278680244813</v>
      </c>
      <c r="DO26" s="32">
        <f t="shared" si="36"/>
        <v>1.4857204383544427</v>
      </c>
      <c r="DP26" s="32">
        <f t="shared" si="37"/>
        <v>0.40041900963497018</v>
      </c>
      <c r="DQ26" s="32">
        <f>IF(DP26="","",DP26*$DO$1/'CPI USA'!$U$520+(1-DP26)*AVERAGE($DO$1,$DQ$1)/AVERAGE('CPI USA'!$U$520,'PPI USA'!$T$526))</f>
        <v>1.0787211506296579</v>
      </c>
      <c r="DR26" s="6">
        <f t="shared" si="38"/>
        <v>5977187</v>
      </c>
      <c r="DS26" s="32">
        <f t="shared" si="39"/>
        <v>0.2</v>
      </c>
      <c r="DT26" s="28">
        <f>IF(DS26="","",DS26*$DO$1/'CPI USA'!$U$520+(1-DS26)*AVERAGE($DO$1,$DQ$1)/AVERAGE('CPI USA'!$U$520,'PPI USA'!$T$526))</f>
        <v>1.0854630593748538</v>
      </c>
      <c r="DU26" s="6">
        <f t="shared" si="40"/>
        <v>465136</v>
      </c>
      <c r="DV26" s="6">
        <f t="shared" si="57"/>
        <v>49153.945484301141</v>
      </c>
      <c r="DW26" s="6">
        <f t="shared" si="41"/>
        <v>505372.3219331734</v>
      </c>
      <c r="DX26" s="16">
        <f t="shared" si="42"/>
        <v>0.2</v>
      </c>
      <c r="DY26" s="28">
        <f>IF(DX26="","",DX26*$DO$1/'CPI USA'!$U$520+(1-DX26)*AVERAGE($DO$1,$DQ$1)/AVERAGE('CPI USA'!$U$520,'PPI USA'!$T$526))</f>
        <v>1.0854630593748538</v>
      </c>
      <c r="DZ26" s="30"/>
      <c r="EA26" s="29" t="str">
        <f t="shared" si="43"/>
        <v>C000314</v>
      </c>
      <c r="EB26" s="29">
        <f t="shared" si="44"/>
        <v>3890262745.5799608</v>
      </c>
      <c r="EC26" s="29">
        <f t="shared" si="45"/>
        <v>256562125.33175468</v>
      </c>
      <c r="ED26" s="29">
        <f t="shared" si="46"/>
        <v>78210459.175717652</v>
      </c>
      <c r="EE26" s="29">
        <f t="shared" si="47"/>
        <v>50056717.304049559</v>
      </c>
      <c r="EF26" s="29">
        <f t="shared" si="48"/>
        <v>9046045.9244551677</v>
      </c>
      <c r="EG26" s="29">
        <f t="shared" si="49"/>
        <v>4266</v>
      </c>
      <c r="EH26" s="29">
        <f t="shared" si="50"/>
        <v>755417</v>
      </c>
      <c r="EI26" s="29">
        <f t="shared" si="51"/>
        <v>20755</v>
      </c>
      <c r="EJ26" s="29">
        <f t="shared" si="52"/>
        <v>17719187</v>
      </c>
      <c r="EK26" s="29">
        <f t="shared" si="53"/>
        <v>17739942</v>
      </c>
      <c r="EL26" s="29">
        <f>IF(CD26=1,VLOOKUP(EA26,'EIA 2022'!$A$2:$J$213,4,0)*EH26,"")</f>
        <v>122420612.76899999</v>
      </c>
      <c r="EM26" s="29">
        <f>IF(CD26=1,VLOOKUP(EA26,'EIA 2022'!$A$2:$J$213,7,0)*EH26,"")</f>
        <v>911788.31900000002</v>
      </c>
      <c r="EN26" s="29">
        <f>IF(CD26=1,VLOOKUP(EA26,'EIA 2022'!$A$2:$J$213,10,0),"")</f>
        <v>329308</v>
      </c>
      <c r="EO26" s="28">
        <f>IF(CD26=1,VLOOKUP(EA26,'EIA 2022'!$A$2:$Z$213,26,0),"")</f>
        <v>0</v>
      </c>
      <c r="EP26" s="23">
        <f t="shared" si="54"/>
        <v>1.1699587292900958E-3</v>
      </c>
      <c r="EQ26" s="32">
        <f t="shared" si="55"/>
        <v>0</v>
      </c>
      <c r="ER26" s="32">
        <f t="shared" si="56"/>
        <v>20755</v>
      </c>
      <c r="ES26" s="32"/>
      <c r="ET26" s="32"/>
    </row>
    <row r="27" spans="1:150" ht="15.75" customHeight="1">
      <c r="A27" s="7" t="s">
        <v>282</v>
      </c>
      <c r="B27" s="7" t="s">
        <v>283</v>
      </c>
      <c r="C27" s="32" t="s">
        <v>896</v>
      </c>
      <c r="D27" s="42">
        <v>0</v>
      </c>
      <c r="E27" s="42">
        <v>0</v>
      </c>
      <c r="F27" s="42">
        <v>0</v>
      </c>
      <c r="G27" s="42">
        <v>122425852</v>
      </c>
      <c r="H27" s="42">
        <v>122561872</v>
      </c>
      <c r="I27" s="42">
        <v>90919</v>
      </c>
      <c r="J27" s="42">
        <v>54359</v>
      </c>
      <c r="K27" s="42">
        <v>121103</v>
      </c>
      <c r="L27" s="42">
        <v>90942</v>
      </c>
      <c r="M27" s="42">
        <v>926656</v>
      </c>
      <c r="N27" s="42">
        <v>0</v>
      </c>
      <c r="O27" s="42">
        <v>2762672</v>
      </c>
      <c r="P27" s="42">
        <v>372450</v>
      </c>
      <c r="Q27" s="42">
        <v>532255</v>
      </c>
      <c r="R27" s="42">
        <v>0</v>
      </c>
      <c r="S27" s="42">
        <v>2347108</v>
      </c>
      <c r="T27" s="42">
        <v>14917834</v>
      </c>
      <c r="U27" s="42">
        <v>1264106</v>
      </c>
      <c r="V27" s="42">
        <v>81669</v>
      </c>
      <c r="W27" s="42">
        <v>537767</v>
      </c>
      <c r="X27" s="42">
        <f>IFERROR(VLOOKUP(A27,'Trans 21-23'!$A$2:$J$229,8,0),0)</f>
        <v>139821</v>
      </c>
      <c r="Y27" s="42">
        <v>1644027</v>
      </c>
      <c r="Z27" s="42">
        <v>1324560</v>
      </c>
      <c r="AA27" s="42">
        <v>6535384</v>
      </c>
      <c r="AB27" s="42">
        <v>4211149</v>
      </c>
      <c r="AC27" s="42">
        <v>2</v>
      </c>
      <c r="AD27" s="42">
        <v>6475201</v>
      </c>
      <c r="AE27" s="42">
        <v>0</v>
      </c>
      <c r="AF27" s="42">
        <v>301848507</v>
      </c>
      <c r="AG27" s="42">
        <v>313654</v>
      </c>
      <c r="AH27" s="42">
        <v>173204</v>
      </c>
      <c r="AI27" s="42">
        <v>2339307</v>
      </c>
      <c r="AJ27" s="42">
        <v>5871</v>
      </c>
      <c r="AK27" s="42">
        <v>8647851</v>
      </c>
      <c r="AL27" s="42">
        <v>2610347</v>
      </c>
      <c r="AM27" s="42">
        <v>1742712</v>
      </c>
      <c r="AN27" s="42">
        <v>6422144</v>
      </c>
      <c r="AO27" s="42">
        <v>32880</v>
      </c>
      <c r="AP27" s="42">
        <v>0</v>
      </c>
      <c r="AQ27" s="42">
        <v>10808083</v>
      </c>
      <c r="AR27" s="42">
        <v>0</v>
      </c>
      <c r="AS27" s="42">
        <v>10808083</v>
      </c>
      <c r="AT27" s="42">
        <v>0</v>
      </c>
      <c r="AU27" s="42">
        <v>2277</v>
      </c>
      <c r="AV27" s="42">
        <v>0</v>
      </c>
      <c r="AW27" s="42">
        <v>260613261</v>
      </c>
      <c r="AX27" s="42">
        <v>14410392</v>
      </c>
      <c r="AY27" s="42">
        <v>180105607</v>
      </c>
      <c r="AZ27" s="42">
        <v>61149112</v>
      </c>
      <c r="BA27" s="42">
        <v>60602154</v>
      </c>
      <c r="BB27" s="42">
        <v>1171167231</v>
      </c>
      <c r="BC27" s="42">
        <v>1365514502</v>
      </c>
      <c r="BD27" s="42">
        <v>96113373</v>
      </c>
      <c r="BE27" s="42">
        <v>604269292</v>
      </c>
      <c r="BF27" s="42">
        <v>37816027</v>
      </c>
      <c r="BG27" s="42">
        <v>0</v>
      </c>
      <c r="BH27" s="42">
        <v>10005075</v>
      </c>
      <c r="BI27" s="42">
        <v>2814978</v>
      </c>
      <c r="BJ27" s="42">
        <v>139518</v>
      </c>
      <c r="BK27" s="42">
        <v>0</v>
      </c>
      <c r="BL27" s="42">
        <v>0</v>
      </c>
      <c r="BM27" s="42">
        <v>147117</v>
      </c>
      <c r="BN27" s="42">
        <v>13129808</v>
      </c>
      <c r="BO27" s="42">
        <v>0</v>
      </c>
      <c r="BP27" s="42">
        <v>4793923</v>
      </c>
      <c r="BQ27" s="42">
        <v>28039811</v>
      </c>
      <c r="BR27" s="42">
        <v>0</v>
      </c>
      <c r="BS27" s="42">
        <f>IFERROR(VLOOKUP(A27,'Trans 21-23'!$A$2:$J$229,7,0),0)</f>
        <v>12662695</v>
      </c>
      <c r="BT27" s="63"/>
      <c r="BU27" s="32">
        <f t="shared" si="0"/>
        <v>1171167231</v>
      </c>
      <c r="BV27" s="32">
        <f t="shared" si="1"/>
        <v>2277</v>
      </c>
      <c r="BW27" s="32">
        <f t="shared" si="2"/>
        <v>313654</v>
      </c>
      <c r="BX27" s="32">
        <f t="shared" si="3"/>
        <v>24099840</v>
      </c>
      <c r="BY27" s="32">
        <f t="shared" si="4"/>
        <v>13715122</v>
      </c>
      <c r="BZ27" s="32">
        <f t="shared" si="5"/>
        <v>61149112</v>
      </c>
      <c r="CA27" s="32">
        <f t="shared" si="6"/>
        <v>6475201</v>
      </c>
      <c r="CB27" s="32">
        <f t="shared" si="7"/>
        <v>173204</v>
      </c>
      <c r="CC27" s="32">
        <f t="shared" si="8"/>
        <v>10808083</v>
      </c>
      <c r="CD27" s="41">
        <f t="shared" si="9"/>
        <v>1</v>
      </c>
      <c r="CE27" s="44">
        <f t="shared" si="10"/>
        <v>15</v>
      </c>
      <c r="CF27" s="27"/>
      <c r="CG27" s="28">
        <f t="shared" si="11"/>
        <v>514.34661001317522</v>
      </c>
      <c r="CH27" s="28">
        <f t="shared" si="12"/>
        <v>7.2595917794767484</v>
      </c>
      <c r="CI27" s="28">
        <f t="shared" si="13"/>
        <v>76.835748946291133</v>
      </c>
      <c r="CJ27" s="28">
        <f t="shared" si="14"/>
        <v>194.95722037659331</v>
      </c>
      <c r="CK27" s="23">
        <f t="shared" si="15"/>
        <v>1.6025413572416127E-2</v>
      </c>
      <c r="CL27" s="29" t="str">
        <f t="shared" si="16"/>
        <v/>
      </c>
      <c r="CM27" s="29" t="str">
        <f t="shared" si="17"/>
        <v/>
      </c>
      <c r="CN27" s="29" t="str">
        <f t="shared" si="18"/>
        <v/>
      </c>
      <c r="CO27" s="29" t="str">
        <f t="shared" si="19"/>
        <v/>
      </c>
      <c r="CP27" s="29" t="str">
        <f t="shared" si="20"/>
        <v/>
      </c>
      <c r="CQ27" s="29">
        <f t="shared" si="21"/>
        <v>0</v>
      </c>
      <c r="CR27" s="30"/>
      <c r="CS27" s="7">
        <f>VLOOKUP(A27,'Empresas 21-23'!$A$2:$M$228,13,0)</f>
        <v>1</v>
      </c>
      <c r="CT27" s="30"/>
      <c r="CU27" s="6">
        <f t="shared" si="22"/>
        <v>945369060.60000002</v>
      </c>
      <c r="CV27" s="6">
        <f t="shared" si="23"/>
        <v>61149112</v>
      </c>
      <c r="CW27" s="6">
        <f t="shared" si="24"/>
        <v>96113373</v>
      </c>
      <c r="CX27" s="23">
        <f t="shared" si="25"/>
        <v>0.74473626894024925</v>
      </c>
      <c r="CY27" s="23">
        <f t="shared" si="26"/>
        <v>4.817162251003481E-2</v>
      </c>
      <c r="CZ27" s="6">
        <f t="shared" si="27"/>
        <v>1016948175.4032825</v>
      </c>
      <c r="DA27" s="6">
        <f t="shared" si="28"/>
        <v>65779049.122322172</v>
      </c>
      <c r="DB27" s="6">
        <f t="shared" si="29"/>
        <v>24099840</v>
      </c>
      <c r="DC27" s="6">
        <f t="shared" si="30"/>
        <v>24239661</v>
      </c>
      <c r="DD27" s="6">
        <f t="shared" si="31"/>
        <v>13715122</v>
      </c>
      <c r="DE27" s="6">
        <f t="shared" si="32"/>
        <v>6475201</v>
      </c>
      <c r="DF27" s="6">
        <f t="shared" si="33"/>
        <v>1422156.1799920194</v>
      </c>
      <c r="DG27" s="30"/>
      <c r="DH27" s="32">
        <f>VLOOKUP(A27,'T_med_comp-USA'!$A$7:$Q$233,17,0)</f>
        <v>16.299955558740695</v>
      </c>
      <c r="DI27" s="6" t="str">
        <f t="shared" si="34"/>
        <v>9_2006</v>
      </c>
      <c r="DJ27" s="32">
        <f>IF(DI27="","",VLOOKUP(DI27,'CPI USA'!$T:$U,2,FALSE))</f>
        <v>201.6</v>
      </c>
      <c r="DK27" s="32">
        <f>IF(DI27="","",VLOOKUP(DI27,'PPI USA'!$S:$T,2,FALSE))</f>
        <v>145.30000000000001</v>
      </c>
      <c r="DL27" s="32">
        <f>IF(DI27="","",VLOOKUP(DI27,'CPI USA'!$T:$V,3,FALSE))</f>
        <v>0.67263024008352756</v>
      </c>
      <c r="DM27" s="32">
        <f>IF(DI27="","",VLOOKUP(DI27,'CPI USA'!$T:$X,5,FALSE))</f>
        <v>0.50115228263529643</v>
      </c>
      <c r="DN27" s="32">
        <f t="shared" si="35"/>
        <v>1.595396421204319</v>
      </c>
      <c r="DO27" s="32">
        <f t="shared" si="36"/>
        <v>1.6147712829199015</v>
      </c>
      <c r="DP27" s="32">
        <f t="shared" si="37"/>
        <v>0.41515109643881454</v>
      </c>
      <c r="DQ27" s="32">
        <f>IF(DP27="","",DP27*$DO$1/'CPI USA'!$U$520+(1-DP27)*AVERAGE($DO$1,$DQ$1)/AVERAGE('CPI USA'!$U$520,'PPI USA'!$T$526))</f>
        <v>1.0782255769560891</v>
      </c>
      <c r="DR27" s="6">
        <f t="shared" si="38"/>
        <v>2954496</v>
      </c>
      <c r="DS27" s="32">
        <f t="shared" si="39"/>
        <v>0.21541886393719284</v>
      </c>
      <c r="DT27" s="28">
        <f>IF(DS27="","",DS27*$DO$1/'CPI USA'!$U$520+(1-DS27)*AVERAGE($DO$1,$DQ$1)/AVERAGE('CPI USA'!$U$520,'PPI USA'!$T$526))</f>
        <v>1.0849443831584187</v>
      </c>
      <c r="DU27" s="6">
        <f t="shared" si="40"/>
        <v>147117</v>
      </c>
      <c r="DV27" s="6">
        <f t="shared" si="57"/>
        <v>30339.454874384664</v>
      </c>
      <c r="DW27" s="6">
        <f t="shared" si="41"/>
        <v>175155.60976618121</v>
      </c>
      <c r="DX27" s="16">
        <f t="shared" si="42"/>
        <v>0.2</v>
      </c>
      <c r="DY27" s="28">
        <f>IF(DX27="","",DX27*$DO$1/'CPI USA'!$U$520+(1-DX27)*AVERAGE($DO$1,$DQ$1)/AVERAGE('CPI USA'!$U$520,'PPI USA'!$T$526))</f>
        <v>1.0854630593748538</v>
      </c>
      <c r="DZ27" s="30"/>
      <c r="EA27" s="29" t="str">
        <f t="shared" si="43"/>
        <v>C000315</v>
      </c>
      <c r="EB27" s="29">
        <f t="shared" si="44"/>
        <v>1622435479.588659</v>
      </c>
      <c r="EC27" s="29">
        <f t="shared" si="45"/>
        <v>106218119.5405034</v>
      </c>
      <c r="ED27" s="29">
        <f t="shared" si="46"/>
        <v>26135822.466945011</v>
      </c>
      <c r="EE27" s="29">
        <f t="shared" si="47"/>
        <v>14880144.578232458</v>
      </c>
      <c r="EF27" s="29">
        <f t="shared" si="48"/>
        <v>1543697.9980429925</v>
      </c>
      <c r="EG27" s="29">
        <f t="shared" si="49"/>
        <v>2277</v>
      </c>
      <c r="EH27" s="29">
        <f t="shared" si="50"/>
        <v>313654</v>
      </c>
      <c r="EI27" s="29">
        <f t="shared" si="51"/>
        <v>173204</v>
      </c>
      <c r="EJ27" s="29">
        <f t="shared" si="52"/>
        <v>10808083</v>
      </c>
      <c r="EK27" s="29">
        <f t="shared" si="53"/>
        <v>10981287</v>
      </c>
      <c r="EL27" s="29">
        <f>IF(CD27=1,VLOOKUP(EA27,'EIA 2022'!$A$2:$J$213,4,0)*EH27,"")</f>
        <v>29934824.105999999</v>
      </c>
      <c r="EM27" s="29">
        <f>IF(CD27=1,VLOOKUP(EA27,'EIA 2022'!$A$2:$J$213,7,0)*EH27,"")</f>
        <v>376384.8</v>
      </c>
      <c r="EN27" s="29">
        <f>IF(CD27=1,VLOOKUP(EA27,'EIA 2022'!$A$2:$J$213,10,0),"")</f>
        <v>129306</v>
      </c>
      <c r="EO27" s="28">
        <f>IF(CD27=1,VLOOKUP(EA27,'EIA 2022'!$A$2:$Z$213,26,0),"")</f>
        <v>0</v>
      </c>
      <c r="EP27" s="23">
        <f t="shared" si="54"/>
        <v>1.577265032778034E-2</v>
      </c>
      <c r="EQ27" s="32">
        <f t="shared" si="55"/>
        <v>0</v>
      </c>
      <c r="ER27" s="32">
        <f t="shared" si="56"/>
        <v>173204</v>
      </c>
      <c r="ES27" s="32"/>
      <c r="ET27" s="32"/>
    </row>
    <row r="28" spans="1:150" ht="15.75" customHeight="1">
      <c r="A28" s="7" t="s">
        <v>285</v>
      </c>
      <c r="B28" s="7" t="s">
        <v>286</v>
      </c>
      <c r="C28" s="32" t="s">
        <v>897</v>
      </c>
      <c r="D28" s="42">
        <v>0</v>
      </c>
      <c r="E28" s="42">
        <v>0</v>
      </c>
      <c r="F28" s="42">
        <v>0</v>
      </c>
      <c r="G28" s="42">
        <v>149634538</v>
      </c>
      <c r="H28" s="42">
        <v>149634614</v>
      </c>
      <c r="I28" s="42">
        <v>139656</v>
      </c>
      <c r="J28" s="42">
        <v>111059</v>
      </c>
      <c r="K28" s="42">
        <v>0</v>
      </c>
      <c r="L28" s="42">
        <v>117268</v>
      </c>
      <c r="M28" s="42">
        <v>1966764</v>
      </c>
      <c r="N28" s="42">
        <v>0</v>
      </c>
      <c r="O28" s="42">
        <v>1570336</v>
      </c>
      <c r="P28" s="42">
        <v>32904</v>
      </c>
      <c r="Q28" s="42">
        <v>209385</v>
      </c>
      <c r="R28" s="42">
        <v>0</v>
      </c>
      <c r="S28" s="42">
        <v>1350889</v>
      </c>
      <c r="T28" s="42">
        <v>22506316</v>
      </c>
      <c r="U28" s="42">
        <v>384995</v>
      </c>
      <c r="V28" s="42">
        <v>24952</v>
      </c>
      <c r="W28" s="42">
        <v>299684</v>
      </c>
      <c r="X28" s="42">
        <f>IFERROR(VLOOKUP(A28,'Trans 21-23'!$A$2:$J$229,8,0),0)</f>
        <v>101568</v>
      </c>
      <c r="Y28" s="42">
        <v>91053</v>
      </c>
      <c r="Z28" s="42">
        <v>642431</v>
      </c>
      <c r="AA28" s="42">
        <v>5664550</v>
      </c>
      <c r="AB28" s="42">
        <v>16413826</v>
      </c>
      <c r="AC28" s="42">
        <v>1</v>
      </c>
      <c r="AD28" s="42">
        <v>12916991</v>
      </c>
      <c r="AE28" s="42">
        <v>0</v>
      </c>
      <c r="AF28" s="42">
        <v>219482523</v>
      </c>
      <c r="AG28" s="42">
        <v>170274</v>
      </c>
      <c r="AH28" s="42">
        <v>14438</v>
      </c>
      <c r="AI28" s="42">
        <v>1849046</v>
      </c>
      <c r="AJ28" s="42">
        <v>1875</v>
      </c>
      <c r="AK28" s="42">
        <v>2774495</v>
      </c>
      <c r="AL28" s="42">
        <v>1683471</v>
      </c>
      <c r="AM28" s="42">
        <v>690058</v>
      </c>
      <c r="AN28" s="42">
        <v>2213044</v>
      </c>
      <c r="AO28" s="42">
        <v>3216</v>
      </c>
      <c r="AP28" s="42">
        <v>0</v>
      </c>
      <c r="AQ28" s="42">
        <v>4589789</v>
      </c>
      <c r="AR28" s="42">
        <v>17439</v>
      </c>
      <c r="AS28" s="42">
        <v>4607228</v>
      </c>
      <c r="AT28" s="42">
        <v>0</v>
      </c>
      <c r="AU28" s="42">
        <v>877</v>
      </c>
      <c r="AV28" s="42">
        <v>0</v>
      </c>
      <c r="AW28" s="42">
        <v>245096672</v>
      </c>
      <c r="AX28" s="42">
        <v>8088308</v>
      </c>
      <c r="AY28" s="42">
        <v>87304345</v>
      </c>
      <c r="AZ28" s="42">
        <v>46301281</v>
      </c>
      <c r="BA28" s="42">
        <v>7821896</v>
      </c>
      <c r="BB28" s="42">
        <v>816508690</v>
      </c>
      <c r="BC28" s="42">
        <v>898428877</v>
      </c>
      <c r="BD28" s="42">
        <v>28755178</v>
      </c>
      <c r="BE28" s="42">
        <v>210097954</v>
      </c>
      <c r="BF28" s="42">
        <v>22977386</v>
      </c>
      <c r="BG28" s="42">
        <v>0</v>
      </c>
      <c r="BH28" s="42">
        <v>6043056</v>
      </c>
      <c r="BI28" s="42">
        <v>330687</v>
      </c>
      <c r="BJ28" s="42">
        <v>92317</v>
      </c>
      <c r="BK28" s="42">
        <v>0</v>
      </c>
      <c r="BL28" s="42">
        <v>0</v>
      </c>
      <c r="BM28" s="42">
        <v>185436</v>
      </c>
      <c r="BN28" s="42">
        <v>6683959</v>
      </c>
      <c r="BO28" s="42">
        <v>0</v>
      </c>
      <c r="BP28" s="42">
        <v>3699624</v>
      </c>
      <c r="BQ28" s="42">
        <v>18986200</v>
      </c>
      <c r="BR28" s="42">
        <v>0</v>
      </c>
      <c r="BS28" s="42">
        <f>IFERROR(VLOOKUP(A28,'Trans 21-23'!$A$2:$J$229,7,0),0)</f>
        <v>9198394</v>
      </c>
      <c r="BT28" s="63"/>
      <c r="BU28" s="32">
        <f t="shared" si="0"/>
        <v>816508690</v>
      </c>
      <c r="BV28" s="32">
        <f t="shared" si="1"/>
        <v>877</v>
      </c>
      <c r="BW28" s="32">
        <f t="shared" si="2"/>
        <v>170274</v>
      </c>
      <c r="BX28" s="32">
        <f t="shared" si="3"/>
        <v>28714208</v>
      </c>
      <c r="BY28" s="32">
        <f t="shared" si="4"/>
        <v>22811861</v>
      </c>
      <c r="BZ28" s="32">
        <f t="shared" si="5"/>
        <v>46301281</v>
      </c>
      <c r="CA28" s="32">
        <f t="shared" si="6"/>
        <v>12916991</v>
      </c>
      <c r="CB28" s="32">
        <f t="shared" si="7"/>
        <v>14438</v>
      </c>
      <c r="CC28" s="32">
        <f t="shared" si="8"/>
        <v>4589789</v>
      </c>
      <c r="CD28" s="41">
        <f t="shared" si="9"/>
        <v>1</v>
      </c>
      <c r="CE28" s="44">
        <f t="shared" si="10"/>
        <v>15</v>
      </c>
      <c r="CF28" s="27"/>
      <c r="CG28" s="28">
        <f t="shared" si="11"/>
        <v>931.02473204104911</v>
      </c>
      <c r="CH28" s="28">
        <f t="shared" si="12"/>
        <v>5.1505220996746424</v>
      </c>
      <c r="CI28" s="28">
        <f t="shared" si="13"/>
        <v>168.63530544886478</v>
      </c>
      <c r="CJ28" s="28">
        <f t="shared" si="14"/>
        <v>271.92220186287983</v>
      </c>
      <c r="CK28" s="23">
        <f t="shared" si="15"/>
        <v>3.1456783743217826E-3</v>
      </c>
      <c r="CL28" s="29" t="str">
        <f t="shared" si="16"/>
        <v/>
      </c>
      <c r="CM28" s="29" t="str">
        <f t="shared" si="17"/>
        <v/>
      </c>
      <c r="CN28" s="29" t="str">
        <f t="shared" si="18"/>
        <v/>
      </c>
      <c r="CO28" s="29" t="str">
        <f t="shared" si="19"/>
        <v/>
      </c>
      <c r="CP28" s="29" t="str">
        <f t="shared" si="20"/>
        <v/>
      </c>
      <c r="CQ28" s="29">
        <f t="shared" si="21"/>
        <v>0</v>
      </c>
      <c r="CR28" s="30"/>
      <c r="CS28" s="7">
        <f>VLOOKUP(A28,'Empresas 21-23'!$A$2:$M$228,13,0)</f>
        <v>1</v>
      </c>
      <c r="CT28" s="30"/>
      <c r="CU28" s="6">
        <f t="shared" si="22"/>
        <v>714348315.20000005</v>
      </c>
      <c r="CV28" s="6">
        <f t="shared" si="23"/>
        <v>46301281</v>
      </c>
      <c r="CW28" s="6">
        <f t="shared" si="24"/>
        <v>28755178</v>
      </c>
      <c r="CX28" s="23">
        <f t="shared" si="25"/>
        <v>0.82139808990590168</v>
      </c>
      <c r="CY28" s="23">
        <f t="shared" si="26"/>
        <v>5.3239831276074956E-2</v>
      </c>
      <c r="CZ28" s="6">
        <f t="shared" si="27"/>
        <v>737967763.48410428</v>
      </c>
      <c r="DA28" s="6">
        <f t="shared" si="28"/>
        <v>47832201.825033501</v>
      </c>
      <c r="DB28" s="6">
        <f t="shared" si="29"/>
        <v>28714208</v>
      </c>
      <c r="DC28" s="6">
        <f t="shared" si="30"/>
        <v>28815776</v>
      </c>
      <c r="DD28" s="6">
        <f t="shared" si="31"/>
        <v>22811861</v>
      </c>
      <c r="DE28" s="6">
        <f t="shared" si="32"/>
        <v>12916991</v>
      </c>
      <c r="DF28" s="6">
        <f t="shared" si="33"/>
        <v>11713735.627454083</v>
      </c>
      <c r="DG28" s="30"/>
      <c r="DH28" s="32">
        <f>VLOOKUP(A28,'T_med_comp-USA'!$A$7:$Q$233,17,0)</f>
        <v>9.3301527217448079</v>
      </c>
      <c r="DI28" s="6" t="str">
        <f t="shared" si="34"/>
        <v>9_2013</v>
      </c>
      <c r="DJ28" s="32">
        <f>IF(DI28="","",VLOOKUP(DI28,'CPI USA'!$T:$U,2,FALSE))</f>
        <v>234.149</v>
      </c>
      <c r="DK28" s="32">
        <f>IF(DI28="","",VLOOKUP(DI28,'PPI USA'!$S:$T,2,FALSE))</f>
        <v>175.2</v>
      </c>
      <c r="DL28" s="32">
        <f>IF(DI28="","",VLOOKUP(DI28,'CPI USA'!$T:$V,3,FALSE))</f>
        <v>0.67305131835944076</v>
      </c>
      <c r="DM28" s="32">
        <f>IF(DI28="","",VLOOKUP(DI28,'CPI USA'!$T:$X,5,FALSE))</f>
        <v>0.50163050295255052</v>
      </c>
      <c r="DN28" s="32">
        <f t="shared" si="35"/>
        <v>1.3661768109417007</v>
      </c>
      <c r="DO28" s="32">
        <f t="shared" si="36"/>
        <v>1.3789714160509126</v>
      </c>
      <c r="DP28" s="32">
        <f t="shared" si="37"/>
        <v>0.21045525615750921</v>
      </c>
      <c r="DQ28" s="32">
        <f>IF(DP28="","",DP28*$DO$1/'CPI USA'!$U$520+(1-DP28)*AVERAGE($DO$1,$DQ$1)/AVERAGE('CPI USA'!$U$520,'PPI USA'!$T$526))</f>
        <v>1.0851113542993223</v>
      </c>
      <c r="DR28" s="6">
        <f t="shared" si="38"/>
        <v>423004</v>
      </c>
      <c r="DS28" s="32">
        <f t="shared" si="39"/>
        <v>0.2</v>
      </c>
      <c r="DT28" s="28">
        <f>IF(DS28="","",DS28*$DO$1/'CPI USA'!$U$520+(1-DS28)*AVERAGE($DO$1,$DQ$1)/AVERAGE('CPI USA'!$U$520,'PPI USA'!$T$526))</f>
        <v>1.0854630593748538</v>
      </c>
      <c r="DU28" s="6">
        <f t="shared" si="40"/>
        <v>185436</v>
      </c>
      <c r="DV28" s="6">
        <f t="shared" si="57"/>
        <v>44878.818910395632</v>
      </c>
      <c r="DW28" s="6">
        <f t="shared" si="41"/>
        <v>222806.48908285535</v>
      </c>
      <c r="DX28" s="16">
        <f t="shared" si="42"/>
        <v>0.2</v>
      </c>
      <c r="DY28" s="28">
        <f>IF(DX28="","",DX28*$DO$1/'CPI USA'!$U$520+(1-DX28)*AVERAGE($DO$1,$DQ$1)/AVERAGE('CPI USA'!$U$520,'PPI USA'!$T$526))</f>
        <v>1.0854630593748538</v>
      </c>
      <c r="DZ28" s="30"/>
      <c r="EA28" s="29" t="str">
        <f t="shared" si="43"/>
        <v>C000316</v>
      </c>
      <c r="EB28" s="29">
        <f t="shared" si="44"/>
        <v>1008194445.6944928</v>
      </c>
      <c r="EC28" s="29">
        <f t="shared" si="45"/>
        <v>65959239.083499491</v>
      </c>
      <c r="ED28" s="29">
        <f t="shared" si="46"/>
        <v>31268325.720545907</v>
      </c>
      <c r="EE28" s="29">
        <f t="shared" si="47"/>
        <v>24761432.431093913</v>
      </c>
      <c r="EF28" s="29">
        <f t="shared" si="48"/>
        <v>12714827.310884532</v>
      </c>
      <c r="EG28" s="29">
        <f t="shared" si="49"/>
        <v>877</v>
      </c>
      <c r="EH28" s="29">
        <f t="shared" si="50"/>
        <v>170274</v>
      </c>
      <c r="EI28" s="29">
        <f t="shared" si="51"/>
        <v>14438</v>
      </c>
      <c r="EJ28" s="29">
        <f t="shared" si="52"/>
        <v>4589789</v>
      </c>
      <c r="EK28" s="29">
        <f t="shared" si="53"/>
        <v>4603961.4314720808</v>
      </c>
      <c r="EL28" s="29">
        <f>IF(CD28=1,VLOOKUP(EA28,'EIA 2022'!$A$2:$J$213,4,0)*EH28,"")</f>
        <v>21769530.899999999</v>
      </c>
      <c r="EM28" s="29">
        <f>IF(CD28=1,VLOOKUP(EA28,'EIA 2022'!$A$2:$J$213,7,0)*EH28,"")</f>
        <v>198539.484</v>
      </c>
      <c r="EN28" s="29">
        <f>IF(CD28=1,VLOOKUP(EA28,'EIA 2022'!$A$2:$J$213,10,0),"")</f>
        <v>173238</v>
      </c>
      <c r="EO28" s="28">
        <f>IF(CD28=1,VLOOKUP(EA28,'EIA 2022'!$A$2:$Z$213,26,0),"")</f>
        <v>0</v>
      </c>
      <c r="EP28" s="23">
        <f t="shared" si="54"/>
        <v>3.0783123801168973E-3</v>
      </c>
      <c r="EQ28" s="32">
        <f t="shared" si="55"/>
        <v>265.56852791878191</v>
      </c>
      <c r="ER28" s="32">
        <f t="shared" si="56"/>
        <v>14172.431472081218</v>
      </c>
      <c r="ES28" s="32"/>
      <c r="ET28" s="32"/>
    </row>
    <row r="29" spans="1:150" ht="15.75" customHeight="1">
      <c r="A29" s="7" t="s">
        <v>288</v>
      </c>
      <c r="B29" s="7" t="s">
        <v>289</v>
      </c>
      <c r="C29" s="32" t="s">
        <v>898</v>
      </c>
      <c r="D29" s="42">
        <v>0</v>
      </c>
      <c r="E29" s="42">
        <v>0</v>
      </c>
      <c r="F29" s="42">
        <v>0</v>
      </c>
      <c r="G29" s="42">
        <v>391926778</v>
      </c>
      <c r="H29" s="42">
        <v>391927039</v>
      </c>
      <c r="I29" s="42">
        <v>802664</v>
      </c>
      <c r="J29" s="42">
        <v>590709</v>
      </c>
      <c r="K29" s="42">
        <v>313285</v>
      </c>
      <c r="L29" s="42">
        <v>283131</v>
      </c>
      <c r="M29" s="42">
        <v>1347175</v>
      </c>
      <c r="N29" s="42">
        <v>0</v>
      </c>
      <c r="O29" s="42">
        <v>10776235</v>
      </c>
      <c r="P29" s="42">
        <v>3214586</v>
      </c>
      <c r="Q29" s="42">
        <v>872065</v>
      </c>
      <c r="R29" s="42">
        <v>0</v>
      </c>
      <c r="S29" s="42">
        <v>6993892</v>
      </c>
      <c r="T29" s="42">
        <v>69887079</v>
      </c>
      <c r="U29" s="42">
        <v>1996572</v>
      </c>
      <c r="V29" s="42">
        <v>148800</v>
      </c>
      <c r="W29" s="42">
        <v>446490</v>
      </c>
      <c r="X29" s="42">
        <f>IFERROR(VLOOKUP(A29,'Trans 21-23'!$A$2:$J$229,8,0),0)</f>
        <v>109342</v>
      </c>
      <c r="Y29" s="42">
        <v>1112120</v>
      </c>
      <c r="Z29" s="42">
        <v>3025755</v>
      </c>
      <c r="AA29" s="42">
        <v>20928951</v>
      </c>
      <c r="AB29" s="42">
        <v>53386217</v>
      </c>
      <c r="AC29" s="42">
        <v>3</v>
      </c>
      <c r="AD29" s="42">
        <v>26412469</v>
      </c>
      <c r="AE29" s="42">
        <v>0</v>
      </c>
      <c r="AF29" s="42">
        <v>649297577</v>
      </c>
      <c r="AG29" s="42">
        <v>588187</v>
      </c>
      <c r="AH29" s="42">
        <v>280153</v>
      </c>
      <c r="AI29" s="42">
        <v>5161592</v>
      </c>
      <c r="AJ29" s="42">
        <v>5450</v>
      </c>
      <c r="AK29" s="42">
        <v>8493274</v>
      </c>
      <c r="AL29" s="42">
        <v>4411525</v>
      </c>
      <c r="AM29" s="42">
        <v>2377426</v>
      </c>
      <c r="AN29" s="42">
        <v>6485075</v>
      </c>
      <c r="AO29" s="42">
        <v>33265</v>
      </c>
      <c r="AP29" s="42">
        <v>0</v>
      </c>
      <c r="AQ29" s="42">
        <v>13307291</v>
      </c>
      <c r="AR29" s="42">
        <v>61972</v>
      </c>
      <c r="AS29" s="42">
        <v>13369263</v>
      </c>
      <c r="AT29" s="42">
        <v>0</v>
      </c>
      <c r="AU29" s="42">
        <v>2838</v>
      </c>
      <c r="AV29" s="42">
        <v>0</v>
      </c>
      <c r="AW29" s="42">
        <v>1141699972</v>
      </c>
      <c r="AX29" s="42">
        <v>42694556</v>
      </c>
      <c r="AY29" s="42">
        <v>217609595</v>
      </c>
      <c r="AZ29" s="42">
        <v>132147687</v>
      </c>
      <c r="BA29" s="42">
        <v>41120188</v>
      </c>
      <c r="BB29" s="42">
        <v>3189670263</v>
      </c>
      <c r="BC29" s="42">
        <v>3522328448</v>
      </c>
      <c r="BD29" s="42">
        <v>193437587</v>
      </c>
      <c r="BE29" s="42">
        <v>936144955</v>
      </c>
      <c r="BF29" s="42">
        <v>69916673</v>
      </c>
      <c r="BG29" s="42">
        <v>0</v>
      </c>
      <c r="BH29" s="42">
        <v>29570050</v>
      </c>
      <c r="BI29" s="42">
        <v>1027744</v>
      </c>
      <c r="BJ29" s="42">
        <v>129532</v>
      </c>
      <c r="BK29" s="42">
        <v>0</v>
      </c>
      <c r="BL29" s="42">
        <v>0</v>
      </c>
      <c r="BM29" s="42">
        <v>207772</v>
      </c>
      <c r="BN29" s="42">
        <v>31215948</v>
      </c>
      <c r="BO29" s="42">
        <v>0</v>
      </c>
      <c r="BP29" s="42">
        <v>8689446</v>
      </c>
      <c r="BQ29" s="42">
        <v>66727846</v>
      </c>
      <c r="BR29" s="42">
        <v>0</v>
      </c>
      <c r="BS29" s="42">
        <f>IFERROR(VLOOKUP(A29,'Trans 21-23'!$A$2:$J$229,7,0),0)</f>
        <v>9902432</v>
      </c>
      <c r="BT29" s="63"/>
      <c r="BU29" s="32">
        <f t="shared" si="0"/>
        <v>3189670263</v>
      </c>
      <c r="BV29" s="32">
        <f t="shared" si="1"/>
        <v>2838</v>
      </c>
      <c r="BW29" s="32">
        <f t="shared" si="2"/>
        <v>588187</v>
      </c>
      <c r="BX29" s="32">
        <f t="shared" si="3"/>
        <v>97672683</v>
      </c>
      <c r="BY29" s="32">
        <f t="shared" si="4"/>
        <v>78453046</v>
      </c>
      <c r="BZ29" s="32">
        <f t="shared" si="5"/>
        <v>132147687</v>
      </c>
      <c r="CA29" s="32">
        <f t="shared" si="6"/>
        <v>26412469</v>
      </c>
      <c r="CB29" s="32">
        <f t="shared" si="7"/>
        <v>280153</v>
      </c>
      <c r="CC29" s="32">
        <f t="shared" si="8"/>
        <v>13307291</v>
      </c>
      <c r="CD29" s="41">
        <f t="shared" si="9"/>
        <v>1</v>
      </c>
      <c r="CE29" s="44">
        <f t="shared" si="10"/>
        <v>14</v>
      </c>
      <c r="CF29" s="27"/>
      <c r="CG29" s="28">
        <f t="shared" si="11"/>
        <v>1123.9148213530655</v>
      </c>
      <c r="CH29" s="28">
        <f t="shared" si="12"/>
        <v>4.8249961321824522</v>
      </c>
      <c r="CI29" s="28">
        <f t="shared" si="13"/>
        <v>166.05719439565988</v>
      </c>
      <c r="CJ29" s="28">
        <f t="shared" si="14"/>
        <v>224.66951326703924</v>
      </c>
      <c r="CK29" s="23">
        <f t="shared" si="15"/>
        <v>2.1052594401069307E-2</v>
      </c>
      <c r="CL29" s="29" t="str">
        <f t="shared" si="16"/>
        <v/>
      </c>
      <c r="CM29" s="29" t="str">
        <f t="shared" si="17"/>
        <v/>
      </c>
      <c r="CN29" s="29" t="str">
        <f t="shared" si="18"/>
        <v/>
      </c>
      <c r="CO29" s="29" t="str">
        <f t="shared" si="19"/>
        <v/>
      </c>
      <c r="CP29" s="29" t="str">
        <f t="shared" si="20"/>
        <v/>
      </c>
      <c r="CQ29" s="29">
        <f t="shared" si="21"/>
        <v>0</v>
      </c>
      <c r="CR29" s="30"/>
      <c r="CS29" s="7">
        <f>VLOOKUP(A29,'Empresas 21-23'!$A$2:$M$228,13,0)</f>
        <v>1</v>
      </c>
      <c r="CT29" s="30"/>
      <c r="CU29" s="6">
        <f t="shared" si="22"/>
        <v>2870122329.4000001</v>
      </c>
      <c r="CV29" s="6">
        <f t="shared" si="23"/>
        <v>132147687</v>
      </c>
      <c r="CW29" s="6">
        <f t="shared" si="24"/>
        <v>193437587</v>
      </c>
      <c r="CX29" s="23">
        <f t="shared" si="25"/>
        <v>0.86218576974849048</v>
      </c>
      <c r="CY29" s="23">
        <f t="shared" si="26"/>
        <v>3.969721223011282E-2</v>
      </c>
      <c r="CZ29" s="6">
        <f t="shared" si="27"/>
        <v>3036901464.2458858</v>
      </c>
      <c r="DA29" s="6">
        <f t="shared" si="28"/>
        <v>139826619.94441992</v>
      </c>
      <c r="DB29" s="6">
        <f t="shared" si="29"/>
        <v>97672683</v>
      </c>
      <c r="DC29" s="6">
        <f t="shared" si="30"/>
        <v>97782025</v>
      </c>
      <c r="DD29" s="6">
        <f t="shared" si="31"/>
        <v>78453046</v>
      </c>
      <c r="DE29" s="6">
        <f t="shared" si="32"/>
        <v>26412469</v>
      </c>
      <c r="DF29" s="6">
        <f t="shared" si="33"/>
        <v>20154322.252756186</v>
      </c>
      <c r="DG29" s="30"/>
      <c r="DH29" s="32">
        <f>VLOOKUP(A29,'T_med_comp-USA'!$A$7:$Q$233,17,0)</f>
        <v>13.492364913065993</v>
      </c>
      <c r="DI29" s="6" t="str">
        <f t="shared" si="34"/>
        <v>7_2009</v>
      </c>
      <c r="DJ29" s="32">
        <f>IF(DI29="","",VLOOKUP(DI29,'CPI USA'!$T:$U,2,FALSE))</f>
        <v>214.53700000000001</v>
      </c>
      <c r="DK29" s="32">
        <f>IF(DI29="","",VLOOKUP(DI29,'PPI USA'!$S:$T,2,FALSE))</f>
        <v>159.1</v>
      </c>
      <c r="DL29" s="32">
        <f>IF(DI29="","",VLOOKUP(DI29,'CPI USA'!$T:$V,3,FALSE))</f>
        <v>0.66997101349938215</v>
      </c>
      <c r="DM29" s="32">
        <f>IF(DI29="","",VLOOKUP(DI29,'CPI USA'!$T:$X,5,FALSE))</f>
        <v>0.49813941766071862</v>
      </c>
      <c r="DN29" s="32">
        <f t="shared" si="35"/>
        <v>1.4932638886873792</v>
      </c>
      <c r="DO29" s="32">
        <f t="shared" si="36"/>
        <v>1.5082750176818205</v>
      </c>
      <c r="DP29" s="32">
        <f t="shared" si="37"/>
        <v>0.30274636768194441</v>
      </c>
      <c r="DQ29" s="32">
        <f>IF(DP29="","",DP29*$DO$1/'CPI USA'!$U$520+(1-DP29)*AVERAGE($DO$1,$DQ$1)/AVERAGE('CPI USA'!$U$520,'PPI USA'!$T$526))</f>
        <v>1.0820067672991986</v>
      </c>
      <c r="DR29" s="6">
        <f t="shared" si="38"/>
        <v>1157276</v>
      </c>
      <c r="DS29" s="32">
        <f t="shared" si="39"/>
        <v>0.2</v>
      </c>
      <c r="DT29" s="28">
        <f>IF(DS29="","",DS29*$DO$1/'CPI USA'!$U$520+(1-DS29)*AVERAGE($DO$1,$DQ$1)/AVERAGE('CPI USA'!$U$520,'PPI USA'!$T$526))</f>
        <v>1.0854630593748538</v>
      </c>
      <c r="DU29" s="6">
        <f t="shared" si="40"/>
        <v>207772</v>
      </c>
      <c r="DV29" s="6">
        <f t="shared" si="57"/>
        <v>31107.397418123172</v>
      </c>
      <c r="DW29" s="6">
        <f t="shared" si="41"/>
        <v>235140.22765383351</v>
      </c>
      <c r="DX29" s="16">
        <f t="shared" si="42"/>
        <v>0.2</v>
      </c>
      <c r="DY29" s="28">
        <f>IF(DX29="","",DX29*$DO$1/'CPI USA'!$U$520+(1-DX29)*AVERAGE($DO$1,$DQ$1)/AVERAGE('CPI USA'!$U$520,'PPI USA'!$T$526))</f>
        <v>1.0854630593748538</v>
      </c>
      <c r="DZ29" s="30"/>
      <c r="EA29" s="29" t="str">
        <f t="shared" si="43"/>
        <v>C000317</v>
      </c>
      <c r="EB29" s="29">
        <f t="shared" si="44"/>
        <v>4534895290.0602074</v>
      </c>
      <c r="EC29" s="29">
        <f t="shared" si="45"/>
        <v>210896997.66905916</v>
      </c>
      <c r="ED29" s="29">
        <f t="shared" si="46"/>
        <v>105800812.77021943</v>
      </c>
      <c r="EE29" s="29">
        <f t="shared" si="47"/>
        <v>85157883.328436136</v>
      </c>
      <c r="EF29" s="29">
        <f t="shared" si="48"/>
        <v>21876772.292103425</v>
      </c>
      <c r="EG29" s="29">
        <f t="shared" si="49"/>
        <v>2838</v>
      </c>
      <c r="EH29" s="29">
        <f t="shared" si="50"/>
        <v>588187</v>
      </c>
      <c r="EI29" s="29">
        <f t="shared" si="51"/>
        <v>280153</v>
      </c>
      <c r="EJ29" s="29">
        <f t="shared" si="52"/>
        <v>13307291</v>
      </c>
      <c r="EK29" s="29">
        <f t="shared" si="53"/>
        <v>13586500.263959391</v>
      </c>
      <c r="EL29" s="29">
        <f>IF(CD29=1,VLOOKUP(EA29,'EIA 2022'!$A$2:$J$213,4,0)*EH29,"")</f>
        <v>151372277.19799998</v>
      </c>
      <c r="EM29" s="29">
        <f>IF(CD29=1,VLOOKUP(EA29,'EIA 2022'!$A$2:$J$213,7,0)*EH29,"")</f>
        <v>1200489.6669999999</v>
      </c>
      <c r="EN29" s="29">
        <f>IF(CD29=1,VLOOKUP(EA29,'EIA 2022'!$A$2:$J$213,10,0),"")</f>
        <v>29</v>
      </c>
      <c r="EO29" s="28">
        <f>IF(CD29=1,VLOOKUP(EA29,'EIA 2022'!$A$2:$Z$213,26,0),"")</f>
        <v>0</v>
      </c>
      <c r="EP29" s="23">
        <f t="shared" si="54"/>
        <v>2.0550491924696983E-2</v>
      </c>
      <c r="EQ29" s="32">
        <f t="shared" si="55"/>
        <v>943.73604060913931</v>
      </c>
      <c r="ER29" s="32">
        <f t="shared" si="56"/>
        <v>279209.26395939087</v>
      </c>
      <c r="ES29" s="32"/>
      <c r="ET29" s="32"/>
    </row>
    <row r="30" spans="1:150" ht="15.75" customHeight="1">
      <c r="A30" s="7" t="s">
        <v>291</v>
      </c>
      <c r="B30" s="7" t="s">
        <v>292</v>
      </c>
      <c r="C30" s="32" t="s">
        <v>899</v>
      </c>
      <c r="D30" s="42">
        <v>0</v>
      </c>
      <c r="E30" s="42">
        <v>0</v>
      </c>
      <c r="F30" s="42">
        <v>0</v>
      </c>
      <c r="G30" s="42">
        <v>505464936</v>
      </c>
      <c r="H30" s="42">
        <v>505465222</v>
      </c>
      <c r="I30" s="42">
        <v>1158680</v>
      </c>
      <c r="J30" s="42">
        <v>1126975</v>
      </c>
      <c r="K30" s="42">
        <v>152488</v>
      </c>
      <c r="L30" s="42">
        <v>662566</v>
      </c>
      <c r="M30" s="42">
        <v>0</v>
      </c>
      <c r="N30" s="42">
        <v>0</v>
      </c>
      <c r="O30" s="42">
        <v>8592396</v>
      </c>
      <c r="P30" s="42">
        <v>567494</v>
      </c>
      <c r="Q30" s="42">
        <v>769519</v>
      </c>
      <c r="R30" s="42">
        <v>3581</v>
      </c>
      <c r="S30" s="42">
        <v>5642575</v>
      </c>
      <c r="T30" s="42">
        <v>65541452</v>
      </c>
      <c r="U30" s="42">
        <v>2667072</v>
      </c>
      <c r="V30" s="42">
        <v>170309</v>
      </c>
      <c r="W30" s="42">
        <v>640463</v>
      </c>
      <c r="X30" s="42">
        <f>IFERROR(VLOOKUP(A30,'Trans 21-23'!$A$2:$J$229,8,0),0)</f>
        <v>195014</v>
      </c>
      <c r="Y30" s="42">
        <v>672785</v>
      </c>
      <c r="Z30" s="42">
        <v>1744286</v>
      </c>
      <c r="AA30" s="42">
        <v>22059903</v>
      </c>
      <c r="AB30" s="42">
        <v>49224118</v>
      </c>
      <c r="AC30" s="42">
        <v>3</v>
      </c>
      <c r="AD30" s="42">
        <v>38597069</v>
      </c>
      <c r="AE30" s="42">
        <v>0</v>
      </c>
      <c r="AF30" s="42">
        <v>719165466</v>
      </c>
      <c r="AG30" s="42">
        <v>585024</v>
      </c>
      <c r="AH30" s="42">
        <v>320658</v>
      </c>
      <c r="AI30" s="42">
        <v>6455563</v>
      </c>
      <c r="AJ30" s="42">
        <v>7771</v>
      </c>
      <c r="AK30" s="42">
        <v>8335074</v>
      </c>
      <c r="AL30" s="42">
        <v>5917905</v>
      </c>
      <c r="AM30" s="42">
        <v>2067916</v>
      </c>
      <c r="AN30" s="42">
        <v>6397086</v>
      </c>
      <c r="AO30" s="42">
        <v>26418</v>
      </c>
      <c r="AP30" s="42">
        <v>0</v>
      </c>
      <c r="AQ30" s="42">
        <v>14409325</v>
      </c>
      <c r="AR30" s="42">
        <v>52883</v>
      </c>
      <c r="AS30" s="42">
        <v>14462208</v>
      </c>
      <c r="AT30" s="42">
        <v>0</v>
      </c>
      <c r="AU30" s="42">
        <v>3021</v>
      </c>
      <c r="AV30" s="42">
        <v>0</v>
      </c>
      <c r="AW30" s="42">
        <v>797168745</v>
      </c>
      <c r="AX30" s="42">
        <v>34790846</v>
      </c>
      <c r="AY30" s="42">
        <v>302819812</v>
      </c>
      <c r="AZ30" s="42">
        <v>132192575</v>
      </c>
      <c r="BA30" s="42">
        <v>17553303</v>
      </c>
      <c r="BB30" s="42">
        <v>2808625798</v>
      </c>
      <c r="BC30" s="42">
        <v>3169134910</v>
      </c>
      <c r="BD30" s="42">
        <v>204112961</v>
      </c>
      <c r="BE30" s="42">
        <v>783293860</v>
      </c>
      <c r="BF30" s="42">
        <v>69326163</v>
      </c>
      <c r="BG30" s="42">
        <v>0</v>
      </c>
      <c r="BH30" s="42">
        <v>28393620</v>
      </c>
      <c r="BI30" s="42">
        <v>1156794</v>
      </c>
      <c r="BJ30" s="42">
        <v>614459</v>
      </c>
      <c r="BK30" s="42">
        <v>0</v>
      </c>
      <c r="BL30" s="42">
        <v>0</v>
      </c>
      <c r="BM30" s="42">
        <v>383677</v>
      </c>
      <c r="BN30" s="42">
        <v>30873315</v>
      </c>
      <c r="BO30" s="42">
        <v>0</v>
      </c>
      <c r="BP30" s="42">
        <v>5789550</v>
      </c>
      <c r="BQ30" s="42">
        <v>62909804</v>
      </c>
      <c r="BR30" s="42">
        <v>0</v>
      </c>
      <c r="BS30" s="42">
        <f>IFERROR(VLOOKUP(A30,'Trans 21-23'!$A$2:$J$229,7,0),0)</f>
        <v>17661215</v>
      </c>
      <c r="BT30" s="63"/>
      <c r="BU30" s="32">
        <f t="shared" si="0"/>
        <v>2808625798</v>
      </c>
      <c r="BV30" s="32">
        <f t="shared" si="1"/>
        <v>3021</v>
      </c>
      <c r="BW30" s="32">
        <f t="shared" si="2"/>
        <v>585024</v>
      </c>
      <c r="BX30" s="32">
        <f t="shared" si="3"/>
        <v>87695570</v>
      </c>
      <c r="BY30" s="32">
        <f t="shared" si="4"/>
        <v>73701095</v>
      </c>
      <c r="BZ30" s="32">
        <f t="shared" si="5"/>
        <v>132192575</v>
      </c>
      <c r="CA30" s="32">
        <f t="shared" si="6"/>
        <v>38597069</v>
      </c>
      <c r="CB30" s="32">
        <f t="shared" si="7"/>
        <v>320658</v>
      </c>
      <c r="CC30" s="32">
        <f t="shared" si="8"/>
        <v>14409325</v>
      </c>
      <c r="CD30" s="41">
        <f t="shared" si="9"/>
        <v>1</v>
      </c>
      <c r="CE30" s="44">
        <f t="shared" si="10"/>
        <v>14</v>
      </c>
      <c r="CF30" s="27"/>
      <c r="CG30" s="28">
        <f t="shared" si="11"/>
        <v>929.70069447202911</v>
      </c>
      <c r="CH30" s="28">
        <f t="shared" si="12"/>
        <v>5.1638907121759106</v>
      </c>
      <c r="CI30" s="28">
        <f t="shared" si="13"/>
        <v>149.90080748823979</v>
      </c>
      <c r="CJ30" s="28">
        <f t="shared" si="14"/>
        <v>225.96094348266055</v>
      </c>
      <c r="CK30" s="23">
        <f t="shared" si="15"/>
        <v>2.2253505976164739E-2</v>
      </c>
      <c r="CL30" s="29" t="str">
        <f t="shared" si="16"/>
        <v/>
      </c>
      <c r="CM30" s="29" t="str">
        <f t="shared" si="17"/>
        <v/>
      </c>
      <c r="CN30" s="29" t="str">
        <f t="shared" si="18"/>
        <v/>
      </c>
      <c r="CO30" s="29" t="str">
        <f t="shared" si="19"/>
        <v/>
      </c>
      <c r="CP30" s="29" t="str">
        <f t="shared" si="20"/>
        <v/>
      </c>
      <c r="CQ30" s="29">
        <f t="shared" si="21"/>
        <v>0</v>
      </c>
      <c r="CR30" s="30"/>
      <c r="CS30" s="7">
        <f>VLOOKUP(A30,'Empresas 21-23'!$A$2:$M$228,13,0)</f>
        <v>1</v>
      </c>
      <c r="CT30" s="30"/>
      <c r="CU30" s="6">
        <f t="shared" si="22"/>
        <v>2473974740.1999998</v>
      </c>
      <c r="CV30" s="6">
        <f t="shared" si="23"/>
        <v>132192575</v>
      </c>
      <c r="CW30" s="6">
        <f t="shared" si="24"/>
        <v>204112961</v>
      </c>
      <c r="CX30" s="23">
        <f t="shared" si="25"/>
        <v>0.8343866530345202</v>
      </c>
      <c r="CY30" s="23">
        <f t="shared" si="26"/>
        <v>4.4584012285165044E-2</v>
      </c>
      <c r="CZ30" s="6">
        <f t="shared" si="27"/>
        <v>2644283870.5697556</v>
      </c>
      <c r="DA30" s="6">
        <f t="shared" si="28"/>
        <v>141292749.7607854</v>
      </c>
      <c r="DB30" s="6">
        <f t="shared" si="29"/>
        <v>87695570</v>
      </c>
      <c r="DC30" s="6">
        <f t="shared" si="30"/>
        <v>87890584</v>
      </c>
      <c r="DD30" s="6">
        <f t="shared" si="31"/>
        <v>73701095</v>
      </c>
      <c r="DE30" s="6">
        <f t="shared" si="32"/>
        <v>38597069</v>
      </c>
      <c r="DF30" s="6">
        <f t="shared" si="33"/>
        <v>35618801.224985503</v>
      </c>
      <c r="DG30" s="30"/>
      <c r="DH30" s="32">
        <f>VLOOKUP(A30,'T_med_comp-USA'!$A$7:$Q$233,17,0)</f>
        <v>11.435554261282661</v>
      </c>
      <c r="DI30" s="6" t="str">
        <f t="shared" si="34"/>
        <v>7_2011</v>
      </c>
      <c r="DJ30" s="32">
        <f>IF(DI30="","",VLOOKUP(DI30,'CPI USA'!$T:$U,2,FALSE))</f>
        <v>224.93899999999999</v>
      </c>
      <c r="DK30" s="32">
        <f>IF(DI30="","",VLOOKUP(DI30,'PPI USA'!$S:$T,2,FALSE))</f>
        <v>169.6</v>
      </c>
      <c r="DL30" s="32">
        <f>IF(DI30="","",VLOOKUP(DI30,'CPI USA'!$T:$V,3,FALSE))</f>
        <v>0.6684022975047168</v>
      </c>
      <c r="DM30" s="32">
        <f>IF(DI30="","",VLOOKUP(DI30,'CPI USA'!$T:$X,5,FALSE))</f>
        <v>0.49636791791307899</v>
      </c>
      <c r="DN30" s="32">
        <f t="shared" si="35"/>
        <v>1.4208751760332547</v>
      </c>
      <c r="DO30" s="32">
        <f t="shared" si="36"/>
        <v>1.4334111417560953</v>
      </c>
      <c r="DP30" s="32">
        <f t="shared" si="37"/>
        <v>0.32377484974440557</v>
      </c>
      <c r="DQ30" s="32">
        <f>IF(DP30="","",DP30*$DO$1/'CPI USA'!$U$520+(1-DP30)*AVERAGE($DO$1,$DQ$1)/AVERAGE('CPI USA'!$U$520,'PPI USA'!$T$526))</f>
        <v>1.0812993887557496</v>
      </c>
      <c r="DR30" s="6">
        <f t="shared" si="38"/>
        <v>1771253</v>
      </c>
      <c r="DS30" s="32">
        <f t="shared" si="39"/>
        <v>0.2</v>
      </c>
      <c r="DT30" s="28">
        <f>IF(DS30="","",DS30*$DO$1/'CPI USA'!$U$520+(1-DS30)*AVERAGE($DO$1,$DQ$1)/AVERAGE('CPI USA'!$U$520,'PPI USA'!$T$526))</f>
        <v>1.0854630593748538</v>
      </c>
      <c r="DU30" s="6">
        <f t="shared" si="40"/>
        <v>383677</v>
      </c>
      <c r="DV30" s="6">
        <f t="shared" si="57"/>
        <v>38888.433082773059</v>
      </c>
      <c r="DW30" s="6">
        <f t="shared" si="41"/>
        <v>412868.9330294414</v>
      </c>
      <c r="DX30" s="16">
        <f t="shared" si="42"/>
        <v>0.2</v>
      </c>
      <c r="DY30" s="28">
        <f>IF(DX30="","",DX30*$DO$1/'CPI USA'!$U$520+(1-DX30)*AVERAGE($DO$1,$DQ$1)/AVERAGE('CPI USA'!$U$520,'PPI USA'!$T$526))</f>
        <v>1.0854630593748538</v>
      </c>
      <c r="DZ30" s="30"/>
      <c r="EA30" s="29" t="str">
        <f t="shared" si="43"/>
        <v>C000318</v>
      </c>
      <c r="EB30" s="29">
        <f t="shared" si="44"/>
        <v>3757197310.0776978</v>
      </c>
      <c r="EC30" s="29">
        <f t="shared" si="45"/>
        <v>202530601.75646567</v>
      </c>
      <c r="ED30" s="29">
        <f t="shared" si="46"/>
        <v>95036034.756585866</v>
      </c>
      <c r="EE30" s="29">
        <f t="shared" si="47"/>
        <v>79999816.057976738</v>
      </c>
      <c r="EF30" s="29">
        <f t="shared" si="48"/>
        <v>38662892.94893755</v>
      </c>
      <c r="EG30" s="29">
        <f t="shared" si="49"/>
        <v>3021</v>
      </c>
      <c r="EH30" s="29">
        <f t="shared" si="50"/>
        <v>585024</v>
      </c>
      <c r="EI30" s="29">
        <f t="shared" si="51"/>
        <v>320658</v>
      </c>
      <c r="EJ30" s="29">
        <f t="shared" si="52"/>
        <v>14409325</v>
      </c>
      <c r="EK30" s="29">
        <f t="shared" si="53"/>
        <v>14729177.675126903</v>
      </c>
      <c r="EL30" s="29">
        <f>IF(CD30=1,VLOOKUP(EA30,'EIA 2022'!$A$2:$J$213,4,0)*EH30,"")</f>
        <v>99727871.231999993</v>
      </c>
      <c r="EM30" s="29">
        <f>IF(CD30=1,VLOOKUP(EA30,'EIA 2022'!$A$2:$J$213,7,0)*EH30,"")</f>
        <v>879876.09600000002</v>
      </c>
      <c r="EN30" s="29">
        <f>IF(CD30=1,VLOOKUP(EA30,'EIA 2022'!$A$2:$J$213,10,0),"")</f>
        <v>594000</v>
      </c>
      <c r="EO30" s="28">
        <f>IF(CD30=1,VLOOKUP(EA30,'EIA 2022'!$A$2:$Z$213,26,0),"")</f>
        <v>0</v>
      </c>
      <c r="EP30" s="23">
        <f t="shared" si="54"/>
        <v>2.1715582647022946E-2</v>
      </c>
      <c r="EQ30" s="32">
        <f t="shared" si="55"/>
        <v>805.32487309644785</v>
      </c>
      <c r="ER30" s="32">
        <f t="shared" si="56"/>
        <v>319852.67512690357</v>
      </c>
      <c r="ES30" s="32"/>
      <c r="ET30" s="32"/>
    </row>
    <row r="31" spans="1:150" ht="15.75" customHeight="1">
      <c r="A31" s="7" t="s">
        <v>294</v>
      </c>
      <c r="B31" s="7" t="s">
        <v>295</v>
      </c>
      <c r="C31" s="32" t="s">
        <v>900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f>IFERROR(VLOOKUP(A31,'Trans 21-23'!$A$2:$J$229,8,0),0)</f>
        <v>10141291</v>
      </c>
      <c r="Y31" s="42">
        <v>0</v>
      </c>
      <c r="Z31" s="42">
        <v>0</v>
      </c>
      <c r="AA31" s="42">
        <v>2985</v>
      </c>
      <c r="AB31" s="42">
        <v>142</v>
      </c>
      <c r="AC31" s="42">
        <v>0</v>
      </c>
      <c r="AD31" s="42">
        <v>107396616</v>
      </c>
      <c r="AE31" s="42">
        <v>0</v>
      </c>
      <c r="AF31" s="42">
        <v>230281605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11876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6364010975</v>
      </c>
      <c r="BD31" s="42">
        <v>229245710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f>IFERROR(VLOOKUP(A31,'Trans 21-23'!$A$2:$J$229,7,0),0)</f>
        <v>918431914</v>
      </c>
      <c r="BT31" s="63"/>
      <c r="BU31" s="32">
        <f t="shared" si="0"/>
        <v>0</v>
      </c>
      <c r="BV31" s="32">
        <f t="shared" si="1"/>
        <v>11876</v>
      </c>
      <c r="BW31" s="32">
        <f t="shared" si="2"/>
        <v>0</v>
      </c>
      <c r="BX31" s="32">
        <f t="shared" si="3"/>
        <v>0</v>
      </c>
      <c r="BY31" s="32">
        <f t="shared" si="4"/>
        <v>3127</v>
      </c>
      <c r="BZ31" s="32">
        <f t="shared" si="5"/>
        <v>0</v>
      </c>
      <c r="CA31" s="32">
        <f t="shared" si="6"/>
        <v>107396616</v>
      </c>
      <c r="CB31" s="32">
        <f t="shared" si="7"/>
        <v>0</v>
      </c>
      <c r="CC31" s="32">
        <f t="shared" si="8"/>
        <v>0</v>
      </c>
      <c r="CD31" s="41">
        <f t="shared" si="9"/>
        <v>0</v>
      </c>
      <c r="CE31" s="44">
        <f t="shared" si="10"/>
        <v>59</v>
      </c>
      <c r="CF31" s="27"/>
      <c r="CG31" s="28" t="str">
        <f t="shared" si="11"/>
        <v/>
      </c>
      <c r="CH31" s="28" t="str">
        <f t="shared" si="12"/>
        <v/>
      </c>
      <c r="CI31" s="28" t="str">
        <f t="shared" si="13"/>
        <v/>
      </c>
      <c r="CJ31" s="28" t="str">
        <f t="shared" si="14"/>
        <v/>
      </c>
      <c r="CK31" s="23" t="str">
        <f t="shared" si="15"/>
        <v/>
      </c>
      <c r="CL31" s="29" t="str">
        <f t="shared" si="16"/>
        <v/>
      </c>
      <c r="CM31" s="29" t="str">
        <f t="shared" si="17"/>
        <v/>
      </c>
      <c r="CN31" s="29" t="str">
        <f t="shared" si="18"/>
        <v/>
      </c>
      <c r="CO31" s="29" t="str">
        <f t="shared" si="19"/>
        <v/>
      </c>
      <c r="CP31" s="29" t="str">
        <f t="shared" si="20"/>
        <v/>
      </c>
      <c r="CQ31" s="29" t="str">
        <f t="shared" si="21"/>
        <v/>
      </c>
      <c r="CR31" s="30"/>
      <c r="CS31" s="7" t="str">
        <f>VLOOKUP(A31,'Empresas 21-23'!$A$2:$M$228,13,0)</f>
        <v/>
      </c>
      <c r="CT31" s="30"/>
      <c r="CU31" s="6">
        <f t="shared" si="22"/>
        <v>918431914</v>
      </c>
      <c r="CV31" s="6">
        <f t="shared" si="23"/>
        <v>0</v>
      </c>
      <c r="CW31" s="6">
        <f t="shared" si="24"/>
        <v>229245710</v>
      </c>
      <c r="CX31" s="23">
        <f t="shared" si="25"/>
        <v>0.14970938158625699</v>
      </c>
      <c r="CY31" s="23">
        <f t="shared" si="26"/>
        <v>0</v>
      </c>
      <c r="CZ31" s="6">
        <f t="shared" si="27"/>
        <v>952752147.47540236</v>
      </c>
      <c r="DA31" s="6">
        <f t="shared" si="28"/>
        <v>0</v>
      </c>
      <c r="DB31" s="6">
        <f t="shared" si="29"/>
        <v>0</v>
      </c>
      <c r="DC31" s="6">
        <f t="shared" si="30"/>
        <v>10141291</v>
      </c>
      <c r="DD31" s="6">
        <f t="shared" si="31"/>
        <v>3127</v>
      </c>
      <c r="DE31" s="6">
        <f t="shared" si="32"/>
        <v>107396616</v>
      </c>
      <c r="DF31" s="6">
        <f t="shared" si="33"/>
        <v>8865819.7665582076</v>
      </c>
      <c r="DG31" s="30"/>
      <c r="DH31" s="32" t="str">
        <f>VLOOKUP(A31,'T_med_comp-USA'!$A$7:$Q$233,17,0)</f>
        <v>-</v>
      </c>
      <c r="DI31" s="6" t="str">
        <f t="shared" si="34"/>
        <v/>
      </c>
      <c r="DJ31" s="32" t="str">
        <f>IF(DI31="","",VLOOKUP(DI31,'CPI USA'!$T:$U,2,FALSE))</f>
        <v/>
      </c>
      <c r="DK31" s="32" t="str">
        <f>IF(DI31="","",VLOOKUP(DI31,'PPI USA'!$S:$T,2,FALSE))</f>
        <v/>
      </c>
      <c r="DL31" s="32" t="str">
        <f>IF(DI31="","",VLOOKUP(DI31,'CPI USA'!$T:$V,3,FALSE))</f>
        <v/>
      </c>
      <c r="DM31" s="32" t="str">
        <f>IF(DI31="","",VLOOKUP(DI31,'CPI USA'!$T:$X,5,FALSE))</f>
        <v/>
      </c>
      <c r="DN31" s="32" t="str">
        <f t="shared" si="35"/>
        <v/>
      </c>
      <c r="DO31" s="32" t="str">
        <f t="shared" si="36"/>
        <v/>
      </c>
      <c r="DP31" s="32" t="str">
        <f t="shared" si="37"/>
        <v/>
      </c>
      <c r="DQ31" s="32" t="str">
        <f>IF(DP31="","",DP31*$DO$1/'CPI USA'!$U$520+(1-DP31)*AVERAGE($DO$1,$DQ$1)/AVERAGE('CPI USA'!$U$520,'PPI USA'!$T$526))</f>
        <v/>
      </c>
      <c r="DR31" s="6">
        <f t="shared" si="38"/>
        <v>0</v>
      </c>
      <c r="DS31" s="32">
        <f t="shared" si="39"/>
        <v>0.2</v>
      </c>
      <c r="DT31" s="28">
        <f>IF(DS31="","",DS31*$DO$1/'CPI USA'!$U$520+(1-DS31)*AVERAGE($DO$1,$DQ$1)/AVERAGE('CPI USA'!$U$520,'PPI USA'!$T$526))</f>
        <v>1.0854630593748538</v>
      </c>
      <c r="DU31" s="6" t="str">
        <f t="shared" si="40"/>
        <v/>
      </c>
      <c r="DV31" s="6" t="str">
        <f t="shared" si="57"/>
        <v/>
      </c>
      <c r="DW31" s="6">
        <f t="shared" si="41"/>
        <v>0</v>
      </c>
      <c r="DX31" s="16" t="str">
        <f t="shared" si="42"/>
        <v/>
      </c>
      <c r="DY31" s="28" t="str">
        <f>IF(DX31="","",DX31*$DO$1/'CPI USA'!$U$520+(1-DX31)*AVERAGE($DO$1,$DQ$1)/AVERAGE('CPI USA'!$U$520,'PPI USA'!$T$526))</f>
        <v/>
      </c>
      <c r="DZ31" s="30"/>
      <c r="EA31" s="29" t="str">
        <f t="shared" si="43"/>
        <v>C000319</v>
      </c>
      <c r="EB31" s="29" t="str">
        <f t="shared" si="44"/>
        <v/>
      </c>
      <c r="EC31" s="29" t="str">
        <f t="shared" si="45"/>
        <v/>
      </c>
      <c r="ED31" s="29" t="str">
        <f t="shared" si="46"/>
        <v/>
      </c>
      <c r="EE31" s="29" t="str">
        <f t="shared" si="47"/>
        <v/>
      </c>
      <c r="EF31" s="29" t="str">
        <f t="shared" si="48"/>
        <v/>
      </c>
      <c r="EG31" s="29" t="str">
        <f t="shared" si="49"/>
        <v/>
      </c>
      <c r="EH31" s="29" t="str">
        <f t="shared" si="50"/>
        <v/>
      </c>
      <c r="EI31" s="29" t="str">
        <f t="shared" si="51"/>
        <v/>
      </c>
      <c r="EJ31" s="29" t="str">
        <f t="shared" si="52"/>
        <v/>
      </c>
      <c r="EK31" s="29" t="str">
        <f t="shared" si="53"/>
        <v/>
      </c>
      <c r="EL31" s="29" t="str">
        <f>IF(CD31=1,VLOOKUP(EA31,'EIA 2022'!$A$2:$J$213,4,0)*EH31,"")</f>
        <v/>
      </c>
      <c r="EM31" s="29" t="str">
        <f>IF(CD31=1,VLOOKUP(EA31,'EIA 2022'!$A$2:$J$213,7,0)*EH31,"")</f>
        <v/>
      </c>
      <c r="EN31" s="29" t="str">
        <f>IF(CD31=1,VLOOKUP(EA31,'EIA 2022'!$A$2:$J$213,10,0),"")</f>
        <v/>
      </c>
      <c r="EO31" s="28" t="str">
        <f>IF(CD31=1,VLOOKUP(EA31,'EIA 2022'!$A$2:$Z$213,26,0),"")</f>
        <v/>
      </c>
      <c r="EP31" s="23" t="str">
        <f t="shared" si="54"/>
        <v/>
      </c>
      <c r="EQ31" s="32" t="str">
        <f t="shared" si="55"/>
        <v/>
      </c>
      <c r="ER31" s="32" t="str">
        <f t="shared" si="56"/>
        <v/>
      </c>
      <c r="ES31" s="32"/>
      <c r="ET31" s="32"/>
    </row>
    <row r="32" spans="1:150" ht="15.75" customHeight="1">
      <c r="A32" s="7" t="s">
        <v>297</v>
      </c>
      <c r="B32" s="7" t="s">
        <v>298</v>
      </c>
      <c r="C32" s="32" t="s">
        <v>901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f>IFERROR(VLOOKUP(A32,'Trans 21-23'!$A$2:$J$229,8,0),0)</f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23180</v>
      </c>
      <c r="AE32" s="42">
        <v>0</v>
      </c>
      <c r="AF32" s="42">
        <v>270517</v>
      </c>
      <c r="AG32" s="42">
        <v>1</v>
      </c>
      <c r="AH32" s="42">
        <v>0</v>
      </c>
      <c r="AI32" s="42">
        <v>10816</v>
      </c>
      <c r="AJ32" s="42">
        <v>0</v>
      </c>
      <c r="AK32" s="42">
        <v>0</v>
      </c>
      <c r="AL32" s="42">
        <v>0</v>
      </c>
      <c r="AM32" s="42">
        <v>0</v>
      </c>
      <c r="AN32" s="42">
        <v>0</v>
      </c>
      <c r="AO32" s="42">
        <v>0</v>
      </c>
      <c r="AP32" s="42">
        <v>0</v>
      </c>
      <c r="AQ32" s="42">
        <v>0</v>
      </c>
      <c r="AR32" s="42">
        <v>10816</v>
      </c>
      <c r="AS32" s="42">
        <v>10816</v>
      </c>
      <c r="AT32" s="42">
        <v>0</v>
      </c>
      <c r="AU32" s="42">
        <v>7</v>
      </c>
      <c r="AV32" s="42">
        <v>0</v>
      </c>
      <c r="AW32" s="42">
        <v>1331244</v>
      </c>
      <c r="AX32" s="42">
        <v>0</v>
      </c>
      <c r="AY32" s="42">
        <v>0</v>
      </c>
      <c r="AZ32" s="42">
        <v>0</v>
      </c>
      <c r="BA32" s="42">
        <v>0</v>
      </c>
      <c r="BB32" s="42">
        <v>1331244</v>
      </c>
      <c r="BC32" s="42">
        <v>9540503</v>
      </c>
      <c r="BD32" s="42">
        <v>21495</v>
      </c>
      <c r="BE32" s="42">
        <v>202827</v>
      </c>
      <c r="BF32" s="42">
        <v>53418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f>IFERROR(VLOOKUP(A32,'Trans 21-23'!$A$2:$J$229,7,0),0)</f>
        <v>0</v>
      </c>
      <c r="BT32" s="63"/>
      <c r="BU32" s="32">
        <f t="shared" si="0"/>
        <v>1331244</v>
      </c>
      <c r="BV32" s="32">
        <f t="shared" si="1"/>
        <v>7</v>
      </c>
      <c r="BW32" s="32">
        <f t="shared" si="2"/>
        <v>1</v>
      </c>
      <c r="BX32" s="32">
        <f t="shared" si="3"/>
        <v>0</v>
      </c>
      <c r="BY32" s="32">
        <f t="shared" si="4"/>
        <v>0</v>
      </c>
      <c r="BZ32" s="32">
        <f t="shared" si="5"/>
        <v>0</v>
      </c>
      <c r="CA32" s="32">
        <f t="shared" si="6"/>
        <v>23180</v>
      </c>
      <c r="CB32" s="32">
        <f t="shared" si="7"/>
        <v>0</v>
      </c>
      <c r="CC32" s="32">
        <f t="shared" si="8"/>
        <v>0</v>
      </c>
      <c r="CD32" s="41">
        <f t="shared" si="9"/>
        <v>0</v>
      </c>
      <c r="CE32" s="44">
        <f t="shared" si="10"/>
        <v>55</v>
      </c>
      <c r="CF32" s="27"/>
      <c r="CG32" s="28" t="str">
        <f t="shared" si="11"/>
        <v/>
      </c>
      <c r="CH32" s="28" t="str">
        <f t="shared" si="12"/>
        <v/>
      </c>
      <c r="CI32" s="28" t="str">
        <f t="shared" si="13"/>
        <v/>
      </c>
      <c r="CJ32" s="28" t="str">
        <f t="shared" si="14"/>
        <v/>
      </c>
      <c r="CK32" s="23" t="str">
        <f t="shared" si="15"/>
        <v/>
      </c>
      <c r="CL32" s="29" t="str">
        <f t="shared" si="16"/>
        <v/>
      </c>
      <c r="CM32" s="29" t="str">
        <f t="shared" si="17"/>
        <v/>
      </c>
      <c r="CN32" s="29" t="str">
        <f t="shared" si="18"/>
        <v/>
      </c>
      <c r="CO32" s="29" t="str">
        <f t="shared" si="19"/>
        <v/>
      </c>
      <c r="CP32" s="29" t="str">
        <f t="shared" si="20"/>
        <v/>
      </c>
      <c r="CQ32" s="29" t="str">
        <f t="shared" si="21"/>
        <v/>
      </c>
      <c r="CR32" s="30"/>
      <c r="CS32" s="7" t="str">
        <f>VLOOKUP(A32,'Empresas 21-23'!$A$2:$M$228,13,0)</f>
        <v/>
      </c>
      <c r="CT32" s="30"/>
      <c r="CU32" s="6">
        <f t="shared" si="22"/>
        <v>1331244</v>
      </c>
      <c r="CV32" s="6">
        <f t="shared" si="23"/>
        <v>0</v>
      </c>
      <c r="CW32" s="6">
        <f t="shared" si="24"/>
        <v>21495</v>
      </c>
      <c r="CX32" s="23">
        <f t="shared" si="25"/>
        <v>0.13985112734436195</v>
      </c>
      <c r="CY32" s="23">
        <f t="shared" si="26"/>
        <v>0</v>
      </c>
      <c r="CZ32" s="6">
        <f t="shared" si="27"/>
        <v>1334250.099982267</v>
      </c>
      <c r="DA32" s="6">
        <f t="shared" si="28"/>
        <v>0</v>
      </c>
      <c r="DB32" s="6">
        <f t="shared" si="29"/>
        <v>0</v>
      </c>
      <c r="DC32" s="6">
        <f t="shared" si="30"/>
        <v>0</v>
      </c>
      <c r="DD32" s="6">
        <f t="shared" si="31"/>
        <v>0</v>
      </c>
      <c r="DE32" s="6">
        <f t="shared" si="32"/>
        <v>23180</v>
      </c>
      <c r="DF32" s="6">
        <f t="shared" si="33"/>
        <v>0</v>
      </c>
      <c r="DG32" s="30"/>
      <c r="DH32" s="32">
        <f>VLOOKUP(A32,'T_med_comp-USA'!$A$7:$Q$233,17,0)</f>
        <v>3.29697854655734</v>
      </c>
      <c r="DI32" s="6" t="str">
        <f t="shared" si="34"/>
        <v>9_2019</v>
      </c>
      <c r="DJ32" s="32">
        <f>IF(DI32="","",VLOOKUP(DI32,'CPI USA'!$T:$U,2,FALSE))</f>
        <v>256.75900000000001</v>
      </c>
      <c r="DK32" s="32">
        <f>IF(DI32="","",VLOOKUP(DI32,'PPI USA'!$S:$T,2,FALSE))</f>
        <v>212.6</v>
      </c>
      <c r="DL32" s="32">
        <f>IF(DI32="","",VLOOKUP(DI32,'CPI USA'!$T:$V,3,FALSE))</f>
        <v>0.66813382685394751</v>
      </c>
      <c r="DM32" s="32">
        <f>IF(DI32="","",VLOOKUP(DI32,'CPI USA'!$T:$X,5,FALSE))</f>
        <v>0.49606517501108732</v>
      </c>
      <c r="DN32" s="32">
        <f t="shared" si="35"/>
        <v>1.2275005666081413</v>
      </c>
      <c r="DO32" s="32">
        <f t="shared" si="36"/>
        <v>1.2295134979257762</v>
      </c>
      <c r="DP32" s="32" t="str">
        <f t="shared" si="37"/>
        <v/>
      </c>
      <c r="DQ32" s="32" t="str">
        <f>IF(DP32="","",DP32*$DO$1/'CPI USA'!$U$520+(1-DP32)*AVERAGE($DO$1,$DQ$1)/AVERAGE('CPI USA'!$U$520,'PPI USA'!$T$526))</f>
        <v/>
      </c>
      <c r="DR32" s="6">
        <f t="shared" si="38"/>
        <v>0</v>
      </c>
      <c r="DS32" s="32" t="str">
        <f t="shared" si="39"/>
        <v/>
      </c>
      <c r="DT32" s="28" t="str">
        <f>IF(DS32="","",DS32*$DO$1/'CPI USA'!$U$520+(1-DS32)*AVERAGE($DO$1,$DQ$1)/AVERAGE('CPI USA'!$U$520,'PPI USA'!$T$526))</f>
        <v/>
      </c>
      <c r="DU32" s="6" t="str">
        <f t="shared" si="40"/>
        <v/>
      </c>
      <c r="DV32" s="6" t="str">
        <f t="shared" si="57"/>
        <v/>
      </c>
      <c r="DW32" s="6">
        <f t="shared" si="41"/>
        <v>0</v>
      </c>
      <c r="DX32" s="16" t="str">
        <f t="shared" si="42"/>
        <v/>
      </c>
      <c r="DY32" s="28" t="str">
        <f>IF(DX32="","",DX32*$DO$1/'CPI USA'!$U$520+(1-DX32)*AVERAGE($DO$1,$DQ$1)/AVERAGE('CPI USA'!$U$520,'PPI USA'!$T$526))</f>
        <v/>
      </c>
      <c r="DZ32" s="30"/>
      <c r="EA32" s="29" t="str">
        <f t="shared" si="43"/>
        <v>C000367</v>
      </c>
      <c r="EB32" s="29" t="str">
        <f t="shared" si="44"/>
        <v/>
      </c>
      <c r="EC32" s="29" t="str">
        <f t="shared" si="45"/>
        <v/>
      </c>
      <c r="ED32" s="29" t="str">
        <f t="shared" si="46"/>
        <v/>
      </c>
      <c r="EE32" s="29" t="str">
        <f t="shared" si="47"/>
        <v/>
      </c>
      <c r="EF32" s="29" t="str">
        <f t="shared" si="48"/>
        <v/>
      </c>
      <c r="EG32" s="29" t="str">
        <f t="shared" si="49"/>
        <v/>
      </c>
      <c r="EH32" s="29" t="str">
        <f t="shared" si="50"/>
        <v/>
      </c>
      <c r="EI32" s="29" t="str">
        <f t="shared" si="51"/>
        <v/>
      </c>
      <c r="EJ32" s="29" t="str">
        <f t="shared" si="52"/>
        <v/>
      </c>
      <c r="EK32" s="29" t="str">
        <f t="shared" si="53"/>
        <v/>
      </c>
      <c r="EL32" s="29" t="str">
        <f>IF(CD32=1,VLOOKUP(EA32,'EIA 2022'!$A$2:$J$213,4,0)*EH32,"")</f>
        <v/>
      </c>
      <c r="EM32" s="29" t="str">
        <f>IF(CD32=1,VLOOKUP(EA32,'EIA 2022'!$A$2:$J$213,7,0)*EH32,"")</f>
        <v/>
      </c>
      <c r="EN32" s="29" t="str">
        <f>IF(CD32=1,VLOOKUP(EA32,'EIA 2022'!$A$2:$J$213,10,0),"")</f>
        <v/>
      </c>
      <c r="EO32" s="28" t="str">
        <f>IF(CD32=1,VLOOKUP(EA32,'EIA 2022'!$A$2:$Z$213,26,0),"")</f>
        <v/>
      </c>
      <c r="EP32" s="23" t="str">
        <f t="shared" si="54"/>
        <v/>
      </c>
      <c r="EQ32" s="32" t="str">
        <f t="shared" si="55"/>
        <v/>
      </c>
      <c r="ER32" s="32" t="str">
        <f t="shared" si="56"/>
        <v/>
      </c>
      <c r="ES32" s="32"/>
      <c r="ET32" s="32"/>
    </row>
    <row r="33" spans="1:150" ht="15.75" customHeight="1">
      <c r="A33" s="7" t="s">
        <v>300</v>
      </c>
      <c r="B33" s="7" t="s">
        <v>301</v>
      </c>
      <c r="C33" s="32" t="s">
        <v>902</v>
      </c>
      <c r="D33" s="42">
        <v>41707542</v>
      </c>
      <c r="E33" s="42">
        <v>0</v>
      </c>
      <c r="F33" s="42">
        <v>171864307</v>
      </c>
      <c r="G33" s="42">
        <v>191412443</v>
      </c>
      <c r="H33" s="42">
        <v>236619630</v>
      </c>
      <c r="I33" s="42">
        <v>4538302</v>
      </c>
      <c r="J33" s="42">
        <v>934752</v>
      </c>
      <c r="K33" s="42">
        <v>0</v>
      </c>
      <c r="L33" s="42">
        <v>2894198</v>
      </c>
      <c r="M33" s="42">
        <v>1566750</v>
      </c>
      <c r="N33" s="42">
        <v>859014</v>
      </c>
      <c r="O33" s="42">
        <v>7747059</v>
      </c>
      <c r="P33" s="42">
        <v>196608</v>
      </c>
      <c r="Q33" s="42">
        <v>1632916</v>
      </c>
      <c r="R33" s="42">
        <v>593149</v>
      </c>
      <c r="S33" s="42">
        <v>887699</v>
      </c>
      <c r="T33" s="42">
        <v>26152322</v>
      </c>
      <c r="U33" s="42">
        <v>756582</v>
      </c>
      <c r="V33" s="42">
        <v>520693</v>
      </c>
      <c r="W33" s="42">
        <v>981461</v>
      </c>
      <c r="X33" s="42">
        <f>IFERROR(VLOOKUP(A33,'Trans 21-23'!$A$2:$J$229,8,0),0)</f>
        <v>2773724</v>
      </c>
      <c r="Y33" s="42">
        <v>2170353</v>
      </c>
      <c r="Z33" s="42">
        <v>57877</v>
      </c>
      <c r="AA33" s="42">
        <v>9255381</v>
      </c>
      <c r="AB33" s="42">
        <v>34244623</v>
      </c>
      <c r="AC33" s="42">
        <v>108681</v>
      </c>
      <c r="AD33" s="42">
        <v>128535008</v>
      </c>
      <c r="AE33" s="42">
        <v>0</v>
      </c>
      <c r="AF33" s="42">
        <v>776655822</v>
      </c>
      <c r="AG33" s="42">
        <v>408216</v>
      </c>
      <c r="AH33" s="42">
        <v>447173</v>
      </c>
      <c r="AI33" s="42">
        <v>13120814</v>
      </c>
      <c r="AJ33" s="42">
        <v>11465</v>
      </c>
      <c r="AK33" s="42">
        <v>0</v>
      </c>
      <c r="AL33" s="42">
        <v>4153697</v>
      </c>
      <c r="AM33" s="42">
        <v>3200915</v>
      </c>
      <c r="AN33" s="42">
        <v>2131895</v>
      </c>
      <c r="AO33" s="42">
        <v>16795</v>
      </c>
      <c r="AP33" s="42">
        <v>0</v>
      </c>
      <c r="AQ33" s="42">
        <v>9517690</v>
      </c>
      <c r="AR33" s="42">
        <v>3144486</v>
      </c>
      <c r="AS33" s="42">
        <v>12662176</v>
      </c>
      <c r="AT33" s="42">
        <v>0</v>
      </c>
      <c r="AU33" s="42">
        <v>1860</v>
      </c>
      <c r="AV33" s="42">
        <v>0</v>
      </c>
      <c r="AW33" s="42">
        <v>342545005</v>
      </c>
      <c r="AX33" s="42">
        <v>156935860</v>
      </c>
      <c r="AY33" s="42">
        <v>274250687</v>
      </c>
      <c r="AZ33" s="42">
        <v>86339367</v>
      </c>
      <c r="BA33" s="42">
        <v>78377324</v>
      </c>
      <c r="BB33" s="42">
        <v>2235747627</v>
      </c>
      <c r="BC33" s="42">
        <v>5085219499</v>
      </c>
      <c r="BD33" s="42">
        <v>169544295</v>
      </c>
      <c r="BE33" s="42">
        <v>736323137</v>
      </c>
      <c r="BF33" s="42">
        <v>56705595</v>
      </c>
      <c r="BG33" s="42">
        <v>0</v>
      </c>
      <c r="BH33" s="42">
        <v>17027312</v>
      </c>
      <c r="BI33" s="42">
        <v>6154030</v>
      </c>
      <c r="BJ33" s="42">
        <v>383675</v>
      </c>
      <c r="BK33" s="42">
        <v>0</v>
      </c>
      <c r="BL33" s="42">
        <v>0</v>
      </c>
      <c r="BM33" s="42">
        <v>28025144</v>
      </c>
      <c r="BN33" s="42">
        <v>78694922</v>
      </c>
      <c r="BO33" s="42">
        <v>11602293</v>
      </c>
      <c r="BP33" s="42">
        <v>62551720</v>
      </c>
      <c r="BQ33" s="42">
        <v>232424378</v>
      </c>
      <c r="BR33" s="42">
        <v>14388</v>
      </c>
      <c r="BS33" s="42">
        <f>IFERROR(VLOOKUP(A33,'Trans 21-23'!$A$2:$J$229,7,0),0)</f>
        <v>347936788</v>
      </c>
      <c r="BT33" s="63"/>
      <c r="BU33" s="32">
        <f t="shared" si="0"/>
        <v>2235747627</v>
      </c>
      <c r="BV33" s="32">
        <f t="shared" si="1"/>
        <v>1860</v>
      </c>
      <c r="BW33" s="32">
        <f t="shared" si="2"/>
        <v>408216</v>
      </c>
      <c r="BX33" s="32">
        <f t="shared" si="3"/>
        <v>50261505</v>
      </c>
      <c r="BY33" s="32">
        <f t="shared" si="4"/>
        <v>45836915</v>
      </c>
      <c r="BZ33" s="32">
        <f t="shared" si="5"/>
        <v>86339367</v>
      </c>
      <c r="CA33" s="32">
        <f t="shared" si="6"/>
        <v>128535008</v>
      </c>
      <c r="CB33" s="32">
        <f t="shared" si="7"/>
        <v>447173</v>
      </c>
      <c r="CC33" s="32">
        <f t="shared" si="8"/>
        <v>9517690</v>
      </c>
      <c r="CD33" s="41">
        <f t="shared" si="9"/>
        <v>1</v>
      </c>
      <c r="CE33" s="44">
        <f t="shared" si="10"/>
        <v>10</v>
      </c>
      <c r="CF33" s="27"/>
      <c r="CG33" s="28">
        <f t="shared" si="11"/>
        <v>1202.0148532258065</v>
      </c>
      <c r="CH33" s="28">
        <f t="shared" si="12"/>
        <v>4.5564113116585334</v>
      </c>
      <c r="CI33" s="28">
        <f t="shared" si="13"/>
        <v>123.12477952848492</v>
      </c>
      <c r="CJ33" s="28">
        <f t="shared" si="14"/>
        <v>211.50412281733199</v>
      </c>
      <c r="CK33" s="23">
        <f t="shared" si="15"/>
        <v>4.6983354154211787E-2</v>
      </c>
      <c r="CL33" s="29" t="str">
        <f t="shared" si="16"/>
        <v/>
      </c>
      <c r="CM33" s="29" t="str">
        <f t="shared" si="17"/>
        <v/>
      </c>
      <c r="CN33" s="29" t="str">
        <f t="shared" si="18"/>
        <v/>
      </c>
      <c r="CO33" s="29" t="str">
        <f t="shared" si="19"/>
        <v/>
      </c>
      <c r="CP33" s="29" t="str">
        <f t="shared" si="20"/>
        <v/>
      </c>
      <c r="CQ33" s="29">
        <f t="shared" si="21"/>
        <v>0</v>
      </c>
      <c r="CR33" s="30"/>
      <c r="CS33" s="7">
        <f>VLOOKUP(A33,'Empresas 21-23'!$A$2:$M$228,13,0)</f>
        <v>1</v>
      </c>
      <c r="CT33" s="30"/>
      <c r="CU33" s="6">
        <f t="shared" si="22"/>
        <v>2160255795.8000002</v>
      </c>
      <c r="CV33" s="6">
        <f t="shared" si="23"/>
        <v>86339367</v>
      </c>
      <c r="CW33" s="6">
        <f t="shared" si="24"/>
        <v>169544295</v>
      </c>
      <c r="CX33" s="23">
        <f t="shared" si="25"/>
        <v>0.43946267931659716</v>
      </c>
      <c r="CY33" s="23">
        <f t="shared" si="26"/>
        <v>1.7564091079439837E-2</v>
      </c>
      <c r="CZ33" s="6">
        <f t="shared" si="27"/>
        <v>2234764185.9435439</v>
      </c>
      <c r="DA33" s="6">
        <f t="shared" si="28"/>
        <v>89317258.439379409</v>
      </c>
      <c r="DB33" s="6">
        <f t="shared" si="29"/>
        <v>50261505</v>
      </c>
      <c r="DC33" s="6">
        <f t="shared" si="30"/>
        <v>53035229</v>
      </c>
      <c r="DD33" s="6">
        <f t="shared" si="31"/>
        <v>45836915</v>
      </c>
      <c r="DE33" s="6">
        <f t="shared" si="32"/>
        <v>128535008</v>
      </c>
      <c r="DF33" s="6">
        <f t="shared" si="33"/>
        <v>64207419.380341738</v>
      </c>
      <c r="DG33" s="30"/>
      <c r="DH33" s="32">
        <f>VLOOKUP(A33,'T_med_comp-USA'!$A$7:$Q$233,17,0)</f>
        <v>12.979402473562621</v>
      </c>
      <c r="DI33" s="6" t="str">
        <f t="shared" si="34"/>
        <v>1_2010</v>
      </c>
      <c r="DJ33" s="32">
        <f>IF(DI33="","",VLOOKUP(DI33,'CPI USA'!$T:$U,2,FALSE))</f>
        <v>218.05600000000001</v>
      </c>
      <c r="DK33" s="32">
        <f>IF(DI33="","",VLOOKUP(DI33,'PPI USA'!$S:$T,2,FALSE))</f>
        <v>160.80000000000001</v>
      </c>
      <c r="DL33" s="32">
        <f>IF(DI33="","",VLOOKUP(DI33,'CPI USA'!$T:$V,3,FALSE))</f>
        <v>0.67050107279443949</v>
      </c>
      <c r="DM33" s="32">
        <f>IF(DI33="","",VLOOKUP(DI33,'CPI USA'!$T:$X,5,FALSE))</f>
        <v>0.4987389730136107</v>
      </c>
      <c r="DN33" s="32">
        <f t="shared" si="35"/>
        <v>1.4703278680244813</v>
      </c>
      <c r="DO33" s="32">
        <f t="shared" si="36"/>
        <v>1.4857204383544427</v>
      </c>
      <c r="DP33" s="32">
        <f t="shared" si="37"/>
        <v>0.38872122233608813</v>
      </c>
      <c r="DQ33" s="32">
        <f>IF(DP33="","",DP33*$DO$1/'CPI USA'!$U$520+(1-DP33)*AVERAGE($DO$1,$DQ$1)/AVERAGE('CPI USA'!$U$520,'PPI USA'!$T$526))</f>
        <v>1.0791146532950662</v>
      </c>
      <c r="DR33" s="6">
        <f t="shared" si="38"/>
        <v>6537705</v>
      </c>
      <c r="DS33" s="32">
        <f t="shared" si="39"/>
        <v>0.2</v>
      </c>
      <c r="DT33" s="28">
        <f>IF(DS33="","",DS33*$DO$1/'CPI USA'!$U$520+(1-DS33)*AVERAGE($DO$1,$DQ$1)/AVERAGE('CPI USA'!$U$520,'PPI USA'!$T$526))</f>
        <v>1.0854630593748538</v>
      </c>
      <c r="DU33" s="6">
        <f t="shared" si="40"/>
        <v>32156998.048412323</v>
      </c>
      <c r="DV33" s="6">
        <f t="shared" si="57"/>
        <v>10319618.125052709</v>
      </c>
      <c r="DW33" s="6">
        <f t="shared" si="41"/>
        <v>12719526.962999955</v>
      </c>
      <c r="DX33" s="16">
        <f t="shared" si="42"/>
        <v>0.2</v>
      </c>
      <c r="DY33" s="28">
        <f>IF(DX33="","",DX33*$DO$1/'CPI USA'!$U$520+(1-DX33)*AVERAGE($DO$1,$DQ$1)/AVERAGE('CPI USA'!$U$520,'PPI USA'!$T$526))</f>
        <v>1.0854630593748538</v>
      </c>
      <c r="DZ33" s="30"/>
      <c r="EA33" s="29" t="str">
        <f t="shared" si="43"/>
        <v>C000379</v>
      </c>
      <c r="EB33" s="29">
        <f t="shared" si="44"/>
        <v>3285836061.0558367</v>
      </c>
      <c r="EC33" s="29">
        <f t="shared" si="45"/>
        <v>132700476.36117183</v>
      </c>
      <c r="ED33" s="29">
        <f t="shared" si="46"/>
        <v>57231092.754759438</v>
      </c>
      <c r="EE33" s="29">
        <f t="shared" si="47"/>
        <v>49754277.988205127</v>
      </c>
      <c r="EF33" s="29">
        <f t="shared" si="48"/>
        <v>69694781.875150025</v>
      </c>
      <c r="EG33" s="29">
        <f t="shared" si="49"/>
        <v>1860</v>
      </c>
      <c r="EH33" s="29">
        <f t="shared" si="50"/>
        <v>408216</v>
      </c>
      <c r="EI33" s="29">
        <f t="shared" si="51"/>
        <v>447173</v>
      </c>
      <c r="EJ33" s="29">
        <f t="shared" si="52"/>
        <v>9517690</v>
      </c>
      <c r="EK33" s="29">
        <f t="shared" si="53"/>
        <v>9916977.4263959397</v>
      </c>
      <c r="EL33" s="29">
        <f>IF(CD33=1,VLOOKUP(EA33,'EIA 2022'!$A$2:$J$213,4,0)*EH33,"")</f>
        <v>67355640</v>
      </c>
      <c r="EM33" s="29">
        <f>IF(CD33=1,VLOOKUP(EA33,'EIA 2022'!$A$2:$J$213,7,0)*EH33,"")</f>
        <v>534762.96000000008</v>
      </c>
      <c r="EN33" s="29">
        <f>IF(CD33=1,VLOOKUP(EA33,'EIA 2022'!$A$2:$J$213,10,0),"")</f>
        <v>143296</v>
      </c>
      <c r="EO33" s="28">
        <f>IF(CD33=1,VLOOKUP(EA33,'EIA 2022'!$A$2:$Z$213,26,0),"")</f>
        <v>0</v>
      </c>
      <c r="EP33" s="23">
        <f t="shared" si="54"/>
        <v>4.0263016565224706E-2</v>
      </c>
      <c r="EQ33" s="32">
        <f t="shared" si="55"/>
        <v>47885.573604060803</v>
      </c>
      <c r="ER33" s="32">
        <f t="shared" si="56"/>
        <v>399287.4263959392</v>
      </c>
      <c r="ES33" s="32"/>
      <c r="ET33" s="32"/>
    </row>
    <row r="34" spans="1:150" ht="15.75" customHeight="1">
      <c r="A34" s="7" t="s">
        <v>303</v>
      </c>
      <c r="B34" s="7" t="s">
        <v>304</v>
      </c>
      <c r="C34" s="32" t="s">
        <v>903</v>
      </c>
      <c r="D34" s="42">
        <v>407891583</v>
      </c>
      <c r="E34" s="42">
        <v>111069253</v>
      </c>
      <c r="F34" s="42">
        <v>0</v>
      </c>
      <c r="G34" s="42">
        <v>6677567547</v>
      </c>
      <c r="H34" s="42">
        <v>6794338932</v>
      </c>
      <c r="I34" s="42">
        <v>8205287</v>
      </c>
      <c r="J34" s="42">
        <v>6102336</v>
      </c>
      <c r="K34" s="42">
        <v>0</v>
      </c>
      <c r="L34" s="42">
        <v>101021780</v>
      </c>
      <c r="M34" s="42">
        <v>54667386</v>
      </c>
      <c r="N34" s="42">
        <v>21882035</v>
      </c>
      <c r="O34" s="42">
        <v>559046995</v>
      </c>
      <c r="P34" s="42">
        <v>461111</v>
      </c>
      <c r="Q34" s="42">
        <v>13130221</v>
      </c>
      <c r="R34" s="42">
        <v>2630607</v>
      </c>
      <c r="S34" s="42">
        <v>49544466</v>
      </c>
      <c r="T34" s="42">
        <v>1948363383</v>
      </c>
      <c r="U34" s="42">
        <v>55658310</v>
      </c>
      <c r="V34" s="42">
        <v>1321836</v>
      </c>
      <c r="W34" s="42">
        <v>2508863</v>
      </c>
      <c r="X34" s="42">
        <f>IFERROR(VLOOKUP(A34,'Trans 21-23'!$A$2:$J$229,8,0),0)</f>
        <v>0</v>
      </c>
      <c r="Y34" s="42">
        <v>2111083</v>
      </c>
      <c r="Z34" s="42">
        <v>10224485</v>
      </c>
      <c r="AA34" s="42">
        <v>315883318</v>
      </c>
      <c r="AB34" s="42">
        <v>548356939</v>
      </c>
      <c r="AC34" s="42">
        <v>2415958</v>
      </c>
      <c r="AD34" s="42">
        <v>3118260237</v>
      </c>
      <c r="AE34" s="42">
        <v>0</v>
      </c>
      <c r="AF34" s="42">
        <v>15671641335</v>
      </c>
      <c r="AG34" s="42">
        <v>5604442</v>
      </c>
      <c r="AH34" s="42">
        <v>26016645</v>
      </c>
      <c r="AI34" s="42">
        <v>78193396</v>
      </c>
      <c r="AJ34" s="42">
        <v>0</v>
      </c>
      <c r="AK34" s="42">
        <v>46618550</v>
      </c>
      <c r="AL34" s="42">
        <v>27210995</v>
      </c>
      <c r="AM34" s="42">
        <v>36081459</v>
      </c>
      <c r="AN34" s="42">
        <v>13819644</v>
      </c>
      <c r="AO34" s="42">
        <v>274439</v>
      </c>
      <c r="AP34" s="42">
        <v>17334</v>
      </c>
      <c r="AQ34" s="42">
        <v>78038776</v>
      </c>
      <c r="AR34" s="42">
        <v>20756525</v>
      </c>
      <c r="AS34" s="42">
        <v>98795301</v>
      </c>
      <c r="AT34" s="42">
        <v>364626</v>
      </c>
      <c r="AU34" s="42">
        <v>12289</v>
      </c>
      <c r="AV34" s="42">
        <v>0</v>
      </c>
      <c r="AW34" s="42">
        <v>6100331943</v>
      </c>
      <c r="AX34" s="42">
        <v>3887646998</v>
      </c>
      <c r="AY34" s="42">
        <v>6431801267</v>
      </c>
      <c r="AZ34" s="42">
        <v>1438276111</v>
      </c>
      <c r="BA34" s="42">
        <v>325989163</v>
      </c>
      <c r="BB34" s="42">
        <v>41049008978</v>
      </c>
      <c r="BC34" s="42">
        <v>76839307251</v>
      </c>
      <c r="BD34" s="42">
        <v>1493843011</v>
      </c>
      <c r="BE34" s="42">
        <v>17054449313</v>
      </c>
      <c r="BF34" s="42">
        <v>1495362195</v>
      </c>
      <c r="BG34" s="42">
        <v>0</v>
      </c>
      <c r="BH34" s="42">
        <v>554825544</v>
      </c>
      <c r="BI34" s="42">
        <v>128872194</v>
      </c>
      <c r="BJ34" s="42">
        <v>42698210</v>
      </c>
      <c r="BK34" s="42">
        <v>1661678</v>
      </c>
      <c r="BL34" s="42">
        <v>0</v>
      </c>
      <c r="BM34" s="42">
        <v>307482801</v>
      </c>
      <c r="BN34" s="42">
        <v>1637751444</v>
      </c>
      <c r="BO34" s="42">
        <v>0</v>
      </c>
      <c r="BP34" s="42">
        <v>21494561</v>
      </c>
      <c r="BQ34" s="42">
        <v>4288270993</v>
      </c>
      <c r="BR34" s="42">
        <v>270279</v>
      </c>
      <c r="BS34" s="42">
        <f>IFERROR(VLOOKUP(A34,'Trans 21-23'!$A$2:$J$229,7,0),0)</f>
        <v>0</v>
      </c>
      <c r="BT34" s="63"/>
      <c r="BU34" s="32">
        <f t="shared" si="0"/>
        <v>41049008978</v>
      </c>
      <c r="BV34" s="32">
        <f t="shared" si="1"/>
        <v>12289</v>
      </c>
      <c r="BW34" s="32">
        <f t="shared" si="2"/>
        <v>5604442</v>
      </c>
      <c r="BX34" s="32">
        <f t="shared" si="3"/>
        <v>2824544616</v>
      </c>
      <c r="BY34" s="32">
        <f t="shared" si="4"/>
        <v>878991783</v>
      </c>
      <c r="BZ34" s="32">
        <f t="shared" si="5"/>
        <v>1438276111</v>
      </c>
      <c r="CA34" s="32">
        <f t="shared" si="6"/>
        <v>3118260237</v>
      </c>
      <c r="CB34" s="32">
        <f t="shared" si="7"/>
        <v>26016645</v>
      </c>
      <c r="CC34" s="32">
        <f t="shared" si="8"/>
        <v>78038776</v>
      </c>
      <c r="CD34" s="41">
        <f t="shared" si="9"/>
        <v>1</v>
      </c>
      <c r="CE34" s="44">
        <f t="shared" si="10"/>
        <v>10</v>
      </c>
      <c r="CF34" s="27"/>
      <c r="CG34" s="28">
        <f t="shared" si="11"/>
        <v>3340.305067784197</v>
      </c>
      <c r="CH34" s="28">
        <f t="shared" si="12"/>
        <v>2.1927249849315955</v>
      </c>
      <c r="CI34" s="28">
        <f t="shared" si="13"/>
        <v>503.98320046848551</v>
      </c>
      <c r="CJ34" s="28">
        <f t="shared" si="14"/>
        <v>256.63145608429886</v>
      </c>
      <c r="CK34" s="23">
        <f t="shared" si="15"/>
        <v>0.33338099767223411</v>
      </c>
      <c r="CL34" s="29" t="str">
        <f t="shared" si="16"/>
        <v/>
      </c>
      <c r="CM34" s="29" t="str">
        <f t="shared" si="17"/>
        <v/>
      </c>
      <c r="CN34" s="29" t="str">
        <f t="shared" si="18"/>
        <v/>
      </c>
      <c r="CO34" s="29" t="str">
        <f t="shared" si="19"/>
        <v/>
      </c>
      <c r="CP34" s="29">
        <f t="shared" si="20"/>
        <v>1</v>
      </c>
      <c r="CQ34" s="29">
        <f t="shared" si="21"/>
        <v>1</v>
      </c>
      <c r="CR34" s="30"/>
      <c r="CS34" s="7" t="str">
        <f>VLOOKUP(A34,'Empresas 21-23'!$A$2:$M$228,13,0)</f>
        <v/>
      </c>
      <c r="CT34" s="30"/>
      <c r="CU34" s="6">
        <f t="shared" si="22"/>
        <v>33093074745</v>
      </c>
      <c r="CV34" s="6">
        <f t="shared" si="23"/>
        <v>1438276111</v>
      </c>
      <c r="CW34" s="6">
        <f t="shared" si="24"/>
        <v>1493843011</v>
      </c>
      <c r="CX34" s="23">
        <f t="shared" si="25"/>
        <v>0.43921787567182158</v>
      </c>
      <c r="CY34" s="23">
        <f t="shared" si="26"/>
        <v>1.9089086854898379E-2</v>
      </c>
      <c r="CZ34" s="6">
        <f t="shared" si="27"/>
        <v>33749197298.878616</v>
      </c>
      <c r="DA34" s="6">
        <f t="shared" si="28"/>
        <v>1466792209.9845619</v>
      </c>
      <c r="DB34" s="6">
        <f t="shared" si="29"/>
        <v>2824544616</v>
      </c>
      <c r="DC34" s="6">
        <f t="shared" si="30"/>
        <v>2824544616</v>
      </c>
      <c r="DD34" s="6">
        <f t="shared" si="31"/>
        <v>878991783</v>
      </c>
      <c r="DE34" s="6">
        <f t="shared" si="32"/>
        <v>3118260237</v>
      </c>
      <c r="DF34" s="6">
        <f t="shared" si="33"/>
        <v>2203895237.8786583</v>
      </c>
      <c r="DG34" s="30"/>
      <c r="DH34" s="32">
        <f>VLOOKUP(A34,'T_med_comp-USA'!$A$7:$Q$233,17,0)</f>
        <v>11.417401688452827</v>
      </c>
      <c r="DI34" s="6" t="str">
        <f t="shared" si="34"/>
        <v>8_2011</v>
      </c>
      <c r="DJ34" s="32">
        <f>IF(DI34="","",VLOOKUP(DI34,'CPI USA'!$T:$U,2,FALSE))</f>
        <v>224.93899999999999</v>
      </c>
      <c r="DK34" s="32">
        <f>IF(DI34="","",VLOOKUP(DI34,'PPI USA'!$S:$T,2,FALSE))</f>
        <v>169.6</v>
      </c>
      <c r="DL34" s="32">
        <f>IF(DI34="","",VLOOKUP(DI34,'CPI USA'!$T:$V,3,FALSE))</f>
        <v>0.6684022975047168</v>
      </c>
      <c r="DM34" s="32">
        <f>IF(DI34="","",VLOOKUP(DI34,'CPI USA'!$T:$X,5,FALSE))</f>
        <v>0.49636791791307899</v>
      </c>
      <c r="DN34" s="32">
        <f t="shared" si="35"/>
        <v>1.4208751760332547</v>
      </c>
      <c r="DO34" s="32">
        <f t="shared" si="36"/>
        <v>1.4334111417560953</v>
      </c>
      <c r="DP34" s="32">
        <f t="shared" si="37"/>
        <v>0.2</v>
      </c>
      <c r="DQ34" s="32">
        <f>IF(DP34="","",DP34*$DO$1/'CPI USA'!$U$520+(1-DP34)*AVERAGE($DO$1,$DQ$1)/AVERAGE('CPI USA'!$U$520,'PPI USA'!$T$526))</f>
        <v>1.0854630593748538</v>
      </c>
      <c r="DR34" s="6">
        <f t="shared" si="38"/>
        <v>173232082</v>
      </c>
      <c r="DS34" s="32">
        <f t="shared" si="39"/>
        <v>0.2</v>
      </c>
      <c r="DT34" s="28">
        <f>IF(DS34="","",DS34*$DO$1/'CPI USA'!$U$520+(1-DS34)*AVERAGE($DO$1,$DQ$1)/AVERAGE('CPI USA'!$U$520,'PPI USA'!$T$526))</f>
        <v>1.0854630593748538</v>
      </c>
      <c r="DU34" s="6">
        <f t="shared" si="40"/>
        <v>307482801</v>
      </c>
      <c r="DV34" s="6">
        <f t="shared" si="57"/>
        <v>1548993.2336218925</v>
      </c>
      <c r="DW34" s="6">
        <f t="shared" si="41"/>
        <v>137379182.4715077</v>
      </c>
      <c r="DX34" s="16">
        <f t="shared" si="42"/>
        <v>0.2</v>
      </c>
      <c r="DY34" s="28">
        <f>IF(DX34="","",DX34*$DO$1/'CPI USA'!$U$520+(1-DX34)*AVERAGE($DO$1,$DQ$1)/AVERAGE('CPI USA'!$U$520,'PPI USA'!$T$526))</f>
        <v>1.0854630593748538</v>
      </c>
      <c r="DZ34" s="30"/>
      <c r="EA34" s="29" t="str">
        <f t="shared" si="43"/>
        <v>C000388</v>
      </c>
      <c r="EB34" s="29">
        <f t="shared" si="44"/>
        <v>47953396653.0252</v>
      </c>
      <c r="EC34" s="29">
        <f t="shared" si="45"/>
        <v>2102516296.4329171</v>
      </c>
      <c r="ED34" s="29">
        <f t="shared" si="46"/>
        <v>3065938840.2241316</v>
      </c>
      <c r="EE34" s="29">
        <f t="shared" si="47"/>
        <v>954113109.94053757</v>
      </c>
      <c r="EF34" s="29">
        <f t="shared" si="48"/>
        <v>2392246867.4494395</v>
      </c>
      <c r="EG34" s="29">
        <f t="shared" si="49"/>
        <v>12289</v>
      </c>
      <c r="EH34" s="29">
        <f t="shared" si="50"/>
        <v>5604442</v>
      </c>
      <c r="EI34" s="29">
        <f t="shared" si="51"/>
        <v>26016645</v>
      </c>
      <c r="EJ34" s="29">
        <f t="shared" si="52"/>
        <v>78038776</v>
      </c>
      <c r="EK34" s="29">
        <f t="shared" si="53"/>
        <v>103739331.78680202</v>
      </c>
      <c r="EL34" s="29">
        <f>IF(CD34=1,VLOOKUP(EA34,'EIA 2022'!$A$2:$J$213,4,0)*EH34,"")</f>
        <v>1433616263.6000001</v>
      </c>
      <c r="EM34" s="29">
        <f>IF(CD34=1,VLOOKUP(EA34,'EIA 2022'!$A$2:$J$213,7,0)*EH34,"")</f>
        <v>9964697.8760000002</v>
      </c>
      <c r="EN34" s="29">
        <f>IF(CD34=1,VLOOKUP(EA34,'EIA 2022'!$A$2:$J$213,10,0),"")</f>
        <v>5619685</v>
      </c>
      <c r="EO34" s="28">
        <f>IF(CD34=1,VLOOKUP(EA34,'EIA 2022'!$A$2:$Z$213,26,0),"")</f>
        <v>0</v>
      </c>
      <c r="EP34" s="23">
        <f t="shared" si="54"/>
        <v>0.24774167467764352</v>
      </c>
      <c r="EQ34" s="32">
        <f t="shared" si="55"/>
        <v>316089.2131979689</v>
      </c>
      <c r="ER34" s="32">
        <f t="shared" si="56"/>
        <v>25700555.786802031</v>
      </c>
      <c r="ES34" s="32"/>
      <c r="ET34" s="32"/>
    </row>
    <row r="35" spans="1:150" ht="15.75" customHeight="1">
      <c r="A35" s="7" t="s">
        <v>306</v>
      </c>
      <c r="B35" s="7" t="s">
        <v>307</v>
      </c>
      <c r="C35" s="32" t="s">
        <v>904</v>
      </c>
      <c r="D35" s="42">
        <v>882401731</v>
      </c>
      <c r="E35" s="42">
        <v>42450772</v>
      </c>
      <c r="F35" s="42">
        <v>88666000</v>
      </c>
      <c r="G35" s="42">
        <v>798041249</v>
      </c>
      <c r="H35" s="42">
        <v>575677280</v>
      </c>
      <c r="I35" s="42">
        <v>59923442</v>
      </c>
      <c r="J35" s="42">
        <v>5194727</v>
      </c>
      <c r="K35" s="42">
        <v>2025241</v>
      </c>
      <c r="L35" s="42">
        <v>8231533</v>
      </c>
      <c r="M35" s="42">
        <v>1426675</v>
      </c>
      <c r="N35" s="42">
        <v>421279</v>
      </c>
      <c r="O35" s="42">
        <v>35768697</v>
      </c>
      <c r="P35" s="42">
        <v>0</v>
      </c>
      <c r="Q35" s="42">
        <v>2286424</v>
      </c>
      <c r="R35" s="42">
        <v>1970054</v>
      </c>
      <c r="S35" s="42">
        <v>17013981</v>
      </c>
      <c r="T35" s="42">
        <v>183925746</v>
      </c>
      <c r="U35" s="42">
        <v>14936016</v>
      </c>
      <c r="V35" s="42">
        <v>0</v>
      </c>
      <c r="W35" s="42">
        <v>0</v>
      </c>
      <c r="X35" s="42">
        <f>IFERROR(VLOOKUP(A35,'Trans 21-23'!$A$2:$J$229,8,0),0)</f>
        <v>0</v>
      </c>
      <c r="Y35" s="42">
        <v>8298687</v>
      </c>
      <c r="Z35" s="42">
        <v>0</v>
      </c>
      <c r="AA35" s="42">
        <v>211768928</v>
      </c>
      <c r="AB35" s="42">
        <v>140380225</v>
      </c>
      <c r="AC35" s="42">
        <v>12896534</v>
      </c>
      <c r="AD35" s="42">
        <v>313154763</v>
      </c>
      <c r="AE35" s="42">
        <v>0</v>
      </c>
      <c r="AF35" s="42">
        <v>3520251846</v>
      </c>
      <c r="AG35" s="42">
        <v>2257415</v>
      </c>
      <c r="AH35" s="42">
        <v>1601862</v>
      </c>
      <c r="AI35" s="42">
        <v>49184812</v>
      </c>
      <c r="AJ35" s="42">
        <v>70248</v>
      </c>
      <c r="AK35" s="42">
        <v>0</v>
      </c>
      <c r="AL35" s="42">
        <v>15830889</v>
      </c>
      <c r="AM35" s="42">
        <v>16313939</v>
      </c>
      <c r="AN35" s="42">
        <v>8543075</v>
      </c>
      <c r="AO35" s="42">
        <v>209739</v>
      </c>
      <c r="AP35" s="42">
        <v>0</v>
      </c>
      <c r="AQ35" s="42">
        <v>40897642</v>
      </c>
      <c r="AR35" s="42">
        <v>6615060</v>
      </c>
      <c r="AS35" s="42">
        <v>47512702</v>
      </c>
      <c r="AT35" s="42">
        <v>0</v>
      </c>
      <c r="AU35" s="42">
        <v>10933</v>
      </c>
      <c r="AV35" s="42">
        <v>0</v>
      </c>
      <c r="AW35" s="42">
        <v>2841352299</v>
      </c>
      <c r="AX35" s="42">
        <v>548381490</v>
      </c>
      <c r="AY35" s="42">
        <v>1881621383</v>
      </c>
      <c r="AZ35" s="42">
        <v>455695438</v>
      </c>
      <c r="BA35" s="42">
        <v>269879494</v>
      </c>
      <c r="BB35" s="42">
        <v>11839088563</v>
      </c>
      <c r="BC35" s="42">
        <v>27796594843</v>
      </c>
      <c r="BD35" s="42">
        <v>1603876591</v>
      </c>
      <c r="BE35" s="42">
        <v>3496816996</v>
      </c>
      <c r="BF35" s="42">
        <v>462020416</v>
      </c>
      <c r="BG35" s="42">
        <v>0</v>
      </c>
      <c r="BH35" s="42">
        <v>113542391</v>
      </c>
      <c r="BI35" s="42">
        <v>53629362</v>
      </c>
      <c r="BJ35" s="42">
        <v>24157038</v>
      </c>
      <c r="BK35" s="42">
        <v>4661932</v>
      </c>
      <c r="BL35" s="42">
        <v>0</v>
      </c>
      <c r="BM35" s="42">
        <v>132336159</v>
      </c>
      <c r="BN35" s="42">
        <v>590631210</v>
      </c>
      <c r="BO35" s="42">
        <v>0</v>
      </c>
      <c r="BP35" s="42">
        <v>7189567</v>
      </c>
      <c r="BQ35" s="42">
        <v>1049689010</v>
      </c>
      <c r="BR35" s="42">
        <v>0</v>
      </c>
      <c r="BS35" s="42">
        <f>IFERROR(VLOOKUP(A35,'Trans 21-23'!$A$2:$J$229,7,0),0)</f>
        <v>0</v>
      </c>
      <c r="BT35" s="63"/>
      <c r="BU35" s="32">
        <f t="shared" si="0"/>
        <v>11839088563</v>
      </c>
      <c r="BV35" s="32">
        <f t="shared" si="1"/>
        <v>10933</v>
      </c>
      <c r="BW35" s="32">
        <f t="shared" si="2"/>
        <v>2257415</v>
      </c>
      <c r="BX35" s="32">
        <f t="shared" si="3"/>
        <v>333123815</v>
      </c>
      <c r="BY35" s="32">
        <f t="shared" si="4"/>
        <v>373344374</v>
      </c>
      <c r="BZ35" s="32">
        <f t="shared" si="5"/>
        <v>455695438</v>
      </c>
      <c r="CA35" s="32">
        <f t="shared" si="6"/>
        <v>313154763</v>
      </c>
      <c r="CB35" s="32">
        <f t="shared" si="7"/>
        <v>1601862</v>
      </c>
      <c r="CC35" s="32">
        <f t="shared" si="8"/>
        <v>40897642</v>
      </c>
      <c r="CD35" s="41">
        <f t="shared" si="9"/>
        <v>1</v>
      </c>
      <c r="CE35" s="44">
        <f t="shared" si="10"/>
        <v>15</v>
      </c>
      <c r="CF35" s="27"/>
      <c r="CG35" s="28">
        <f t="shared" si="11"/>
        <v>1082.8764806548982</v>
      </c>
      <c r="CH35" s="28">
        <f t="shared" si="12"/>
        <v>4.8431502404298721</v>
      </c>
      <c r="CI35" s="28">
        <f t="shared" si="13"/>
        <v>147.56870801336927</v>
      </c>
      <c r="CJ35" s="28">
        <f t="shared" si="14"/>
        <v>201.86604501166156</v>
      </c>
      <c r="CK35" s="23">
        <f t="shared" si="15"/>
        <v>3.9167588194937986E-2</v>
      </c>
      <c r="CL35" s="29" t="str">
        <f t="shared" si="16"/>
        <v/>
      </c>
      <c r="CM35" s="29" t="str">
        <f t="shared" si="17"/>
        <v/>
      </c>
      <c r="CN35" s="29" t="str">
        <f t="shared" si="18"/>
        <v/>
      </c>
      <c r="CO35" s="29" t="str">
        <f t="shared" si="19"/>
        <v/>
      </c>
      <c r="CP35" s="29" t="str">
        <f t="shared" si="20"/>
        <v/>
      </c>
      <c r="CQ35" s="29">
        <f t="shared" si="21"/>
        <v>0</v>
      </c>
      <c r="CR35" s="30"/>
      <c r="CS35" s="7">
        <f>VLOOKUP(A35,'Empresas 21-23'!$A$2:$M$228,13,0)</f>
        <v>1</v>
      </c>
      <c r="CT35" s="30"/>
      <c r="CU35" s="6">
        <f t="shared" si="22"/>
        <v>9655511907.2000008</v>
      </c>
      <c r="CV35" s="6">
        <f t="shared" si="23"/>
        <v>455695438</v>
      </c>
      <c r="CW35" s="6">
        <f t="shared" si="24"/>
        <v>1603876591</v>
      </c>
      <c r="CX35" s="23">
        <f t="shared" si="25"/>
        <v>0.36863344286394306</v>
      </c>
      <c r="CY35" s="23">
        <f t="shared" si="26"/>
        <v>1.7397791004956288E-2</v>
      </c>
      <c r="CZ35" s="6">
        <f t="shared" si="27"/>
        <v>10246754456.869215</v>
      </c>
      <c r="DA35" s="6">
        <f t="shared" si="28"/>
        <v>483599347.72795975</v>
      </c>
      <c r="DB35" s="6">
        <f t="shared" si="29"/>
        <v>333123815</v>
      </c>
      <c r="DC35" s="6">
        <f t="shared" si="30"/>
        <v>333123815</v>
      </c>
      <c r="DD35" s="6">
        <f t="shared" si="31"/>
        <v>373344374</v>
      </c>
      <c r="DE35" s="6">
        <f t="shared" si="32"/>
        <v>313154763</v>
      </c>
      <c r="DF35" s="6">
        <f t="shared" si="33"/>
        <v>136741269.87433299</v>
      </c>
      <c r="DG35" s="30"/>
      <c r="DH35" s="32">
        <f>VLOOKUP(A35,'T_med_comp-USA'!$A$7:$Q$233,17,0)</f>
        <v>7.5595135170292345</v>
      </c>
      <c r="DI35" s="6" t="str">
        <f t="shared" si="34"/>
        <v>6_2015</v>
      </c>
      <c r="DJ35" s="32">
        <f>IF(DI35="","",VLOOKUP(DI35,'CPI USA'!$T:$U,2,FALSE))</f>
        <v>238.63800000000001</v>
      </c>
      <c r="DK35" s="32">
        <f>IF(DI35="","",VLOOKUP(DI35,'PPI USA'!$S:$T,2,FALSE))</f>
        <v>197.8</v>
      </c>
      <c r="DL35" s="32">
        <f>IF(DI35="","",VLOOKUP(DI35,'CPI USA'!$T:$V,3,FALSE))</f>
        <v>0.6679408278919865</v>
      </c>
      <c r="DM35" s="32">
        <f>IF(DI35="","",VLOOKUP(DI35,'CPI USA'!$T:$X,5,FALSE))</f>
        <v>0.49584761624008583</v>
      </c>
      <c r="DN35" s="32">
        <f t="shared" si="35"/>
        <v>1.3205066343366378</v>
      </c>
      <c r="DO35" s="32">
        <f t="shared" si="36"/>
        <v>1.3225655828737524</v>
      </c>
      <c r="DP35" s="32">
        <f t="shared" si="37"/>
        <v>0.34084141057282258</v>
      </c>
      <c r="DQ35" s="32">
        <f>IF(DP35="","",DP35*$DO$1/'CPI USA'!$U$520+(1-DP35)*AVERAGE($DO$1,$DQ$1)/AVERAGE('CPI USA'!$U$520,'PPI USA'!$T$526))</f>
        <v>1.0807252855511229</v>
      </c>
      <c r="DR35" s="6">
        <f t="shared" si="38"/>
        <v>82448332</v>
      </c>
      <c r="DS35" s="32">
        <f t="shared" si="39"/>
        <v>0.22083721556227334</v>
      </c>
      <c r="DT35" s="28">
        <f>IF(DS35="","",DS35*$DO$1/'CPI USA'!$U$520+(1-DS35)*AVERAGE($DO$1,$DQ$1)/AVERAGE('CPI USA'!$U$520,'PPI USA'!$T$526))</f>
        <v>1.0847621148582598</v>
      </c>
      <c r="DU35" s="6">
        <f t="shared" si="40"/>
        <v>132336159</v>
      </c>
      <c r="DV35" s="6">
        <f t="shared" si="57"/>
        <v>912652.46043220477</v>
      </c>
      <c r="DW35" s="6">
        <f t="shared" si="41"/>
        <v>44216306.986250848</v>
      </c>
      <c r="DX35" s="16">
        <f t="shared" si="42"/>
        <v>0.32335744012678985</v>
      </c>
      <c r="DY35" s="28">
        <f>IF(DX35="","",DX35*$DO$1/'CPI USA'!$U$520+(1-DX35)*AVERAGE($DO$1,$DQ$1)/AVERAGE('CPI USA'!$U$520,'PPI USA'!$T$526))</f>
        <v>1.081313430026368</v>
      </c>
      <c r="DZ35" s="30"/>
      <c r="EA35" s="29" t="str">
        <f t="shared" si="43"/>
        <v>C000415</v>
      </c>
      <c r="EB35" s="29">
        <f t="shared" si="44"/>
        <v>13530907240.71431</v>
      </c>
      <c r="EC35" s="29">
        <f t="shared" si="45"/>
        <v>639591853.20519555</v>
      </c>
      <c r="ED35" s="29">
        <f t="shared" si="46"/>
        <v>360015330.08975446</v>
      </c>
      <c r="EE35" s="29">
        <f t="shared" si="47"/>
        <v>404989832.71067309</v>
      </c>
      <c r="EF35" s="29">
        <f t="shared" si="48"/>
        <v>147860171.55397627</v>
      </c>
      <c r="EG35" s="29">
        <f t="shared" si="49"/>
        <v>10933</v>
      </c>
      <c r="EH35" s="29">
        <f t="shared" si="50"/>
        <v>2257415</v>
      </c>
      <c r="EI35" s="29">
        <f t="shared" si="51"/>
        <v>1601862</v>
      </c>
      <c r="EJ35" s="29">
        <f t="shared" si="52"/>
        <v>40897642</v>
      </c>
      <c r="EK35" s="29">
        <f t="shared" si="53"/>
        <v>42398767.045685276</v>
      </c>
      <c r="EL35" s="29">
        <f>IF(CD35=1,VLOOKUP(EA35,'EIA 2022'!$A$2:$J$213,4,0)*EH35,"")</f>
        <v>329930231.90999997</v>
      </c>
      <c r="EM35" s="29">
        <f>IF(CD35=1,VLOOKUP(EA35,'EIA 2022'!$A$2:$J$213,7,0)*EH35,"")</f>
        <v>2819511.3350000004</v>
      </c>
      <c r="EN35" s="29">
        <f>IF(CD35=1,VLOOKUP(EA35,'EIA 2022'!$A$2:$J$213,10,0),"")</f>
        <v>2580064</v>
      </c>
      <c r="EO35" s="28">
        <f>IF(CD35=1,VLOOKUP(EA35,'EIA 2022'!$A$2:$Z$213,26,0),"")</f>
        <v>0</v>
      </c>
      <c r="EP35" s="23">
        <f t="shared" si="54"/>
        <v>3.5404922130584493E-2</v>
      </c>
      <c r="EQ35" s="32">
        <f t="shared" si="55"/>
        <v>100736.95431472082</v>
      </c>
      <c r="ER35" s="32">
        <f t="shared" si="56"/>
        <v>1501125.0456852792</v>
      </c>
      <c r="ES35" s="32"/>
      <c r="ET35" s="32"/>
    </row>
    <row r="36" spans="1:150" ht="15.75" customHeight="1">
      <c r="A36" s="7" t="s">
        <v>309</v>
      </c>
      <c r="B36" s="7" t="s">
        <v>310</v>
      </c>
      <c r="C36" s="32" t="s">
        <v>905</v>
      </c>
      <c r="D36" s="42">
        <v>600218745</v>
      </c>
      <c r="E36" s="42">
        <v>0</v>
      </c>
      <c r="F36" s="42">
        <v>0</v>
      </c>
      <c r="G36" s="42">
        <v>234236132</v>
      </c>
      <c r="H36" s="42">
        <v>244508419</v>
      </c>
      <c r="I36" s="42">
        <v>1768549</v>
      </c>
      <c r="J36" s="42">
        <v>381196</v>
      </c>
      <c r="K36" s="42">
        <v>0</v>
      </c>
      <c r="L36" s="42">
        <v>1065949</v>
      </c>
      <c r="M36" s="42">
        <v>741483</v>
      </c>
      <c r="N36" s="42">
        <v>0</v>
      </c>
      <c r="O36" s="42">
        <v>2521739</v>
      </c>
      <c r="P36" s="42">
        <v>3913550</v>
      </c>
      <c r="Q36" s="42">
        <v>641575</v>
      </c>
      <c r="R36" s="42">
        <v>0</v>
      </c>
      <c r="S36" s="42">
        <v>3607087</v>
      </c>
      <c r="T36" s="42">
        <v>16959752</v>
      </c>
      <c r="U36" s="42">
        <v>251565</v>
      </c>
      <c r="V36" s="42">
        <v>464880</v>
      </c>
      <c r="W36" s="42">
        <v>0</v>
      </c>
      <c r="X36" s="42">
        <f>IFERROR(VLOOKUP(A36,'Trans 21-23'!$A$2:$J$229,8,0),0)</f>
        <v>131931</v>
      </c>
      <c r="Y36" s="42">
        <v>1368572</v>
      </c>
      <c r="Z36" s="42">
        <v>1783955</v>
      </c>
      <c r="AA36" s="42">
        <v>15761975</v>
      </c>
      <c r="AB36" s="42">
        <v>15080897</v>
      </c>
      <c r="AC36" s="42">
        <v>5313252</v>
      </c>
      <c r="AD36" s="42">
        <v>72312863</v>
      </c>
      <c r="AE36" s="42">
        <v>0</v>
      </c>
      <c r="AF36" s="42">
        <v>1124877234</v>
      </c>
      <c r="AG36" s="42">
        <v>292622</v>
      </c>
      <c r="AH36" s="42">
        <v>667925</v>
      </c>
      <c r="AI36" s="42">
        <v>12621862</v>
      </c>
      <c r="AJ36" s="42">
        <v>28607</v>
      </c>
      <c r="AK36" s="42">
        <v>0</v>
      </c>
      <c r="AL36" s="42">
        <v>3787257</v>
      </c>
      <c r="AM36" s="42">
        <v>2673624</v>
      </c>
      <c r="AN36" s="42">
        <v>2281879</v>
      </c>
      <c r="AO36" s="42">
        <v>17014</v>
      </c>
      <c r="AP36" s="42">
        <v>104421</v>
      </c>
      <c r="AQ36" s="42">
        <v>8864195</v>
      </c>
      <c r="AR36" s="42">
        <v>3061135</v>
      </c>
      <c r="AS36" s="42">
        <v>11925330</v>
      </c>
      <c r="AT36" s="42">
        <v>0</v>
      </c>
      <c r="AU36" s="42">
        <v>2695</v>
      </c>
      <c r="AV36" s="42">
        <v>0</v>
      </c>
      <c r="AW36" s="42">
        <v>365610039</v>
      </c>
      <c r="AX36" s="42">
        <v>88596645</v>
      </c>
      <c r="AY36" s="42">
        <v>130254544</v>
      </c>
      <c r="AZ36" s="42">
        <v>91045818</v>
      </c>
      <c r="BA36" s="42">
        <v>78700783</v>
      </c>
      <c r="BB36" s="42">
        <v>1866717517</v>
      </c>
      <c r="BC36" s="42">
        <v>5639750826</v>
      </c>
      <c r="BD36" s="42">
        <v>284551712</v>
      </c>
      <c r="BE36" s="42">
        <v>668360865</v>
      </c>
      <c r="BF36" s="42">
        <v>49179402</v>
      </c>
      <c r="BG36" s="42">
        <v>0</v>
      </c>
      <c r="BH36" s="42">
        <v>15984919</v>
      </c>
      <c r="BI36" s="42">
        <v>4720427</v>
      </c>
      <c r="BJ36" s="42">
        <v>3799881</v>
      </c>
      <c r="BK36" s="42">
        <v>1421445</v>
      </c>
      <c r="BL36" s="42">
        <v>0</v>
      </c>
      <c r="BM36" s="42">
        <v>2486113</v>
      </c>
      <c r="BN36" s="42">
        <v>65133551</v>
      </c>
      <c r="BO36" s="42">
        <v>1102302</v>
      </c>
      <c r="BP36" s="42">
        <v>2542559</v>
      </c>
      <c r="BQ36" s="42">
        <v>120534138</v>
      </c>
      <c r="BR36" s="42">
        <v>0</v>
      </c>
      <c r="BS36" s="42">
        <f>IFERROR(VLOOKUP(A36,'Trans 21-23'!$A$2:$J$229,7,0),0)</f>
        <v>11948161</v>
      </c>
      <c r="BT36" s="63"/>
      <c r="BU36" s="32">
        <f t="shared" si="0"/>
        <v>1866717517</v>
      </c>
      <c r="BV36" s="32">
        <f t="shared" si="1"/>
        <v>2695</v>
      </c>
      <c r="BW36" s="32">
        <f t="shared" si="2"/>
        <v>292622</v>
      </c>
      <c r="BX36" s="32">
        <f t="shared" si="3"/>
        <v>32317325</v>
      </c>
      <c r="BY36" s="32">
        <f t="shared" si="4"/>
        <v>39308651</v>
      </c>
      <c r="BZ36" s="32">
        <f t="shared" si="5"/>
        <v>91045818</v>
      </c>
      <c r="CA36" s="32">
        <f t="shared" si="6"/>
        <v>72312863</v>
      </c>
      <c r="CB36" s="32">
        <f t="shared" si="7"/>
        <v>667925</v>
      </c>
      <c r="CC36" s="32">
        <f t="shared" si="8"/>
        <v>8864195</v>
      </c>
      <c r="CD36" s="41">
        <f t="shared" si="9"/>
        <v>1</v>
      </c>
      <c r="CE36" s="44">
        <f t="shared" si="10"/>
        <v>13</v>
      </c>
      <c r="CF36" s="27"/>
      <c r="CG36" s="28">
        <f t="shared" si="11"/>
        <v>692.6595610389611</v>
      </c>
      <c r="CH36" s="28">
        <f t="shared" si="12"/>
        <v>9.2098338470791674</v>
      </c>
      <c r="CI36" s="28">
        <f t="shared" si="13"/>
        <v>110.44051711764666</v>
      </c>
      <c r="CJ36" s="28">
        <f t="shared" si="14"/>
        <v>311.13798005618168</v>
      </c>
      <c r="CK36" s="23">
        <f t="shared" si="15"/>
        <v>7.5350891987371674E-2</v>
      </c>
      <c r="CL36" s="29" t="str">
        <f t="shared" si="16"/>
        <v/>
      </c>
      <c r="CM36" s="29" t="str">
        <f t="shared" si="17"/>
        <v/>
      </c>
      <c r="CN36" s="29" t="str">
        <f t="shared" si="18"/>
        <v/>
      </c>
      <c r="CO36" s="29" t="str">
        <f t="shared" si="19"/>
        <v/>
      </c>
      <c r="CP36" s="29" t="str">
        <f t="shared" si="20"/>
        <v/>
      </c>
      <c r="CQ36" s="29">
        <f t="shared" si="21"/>
        <v>0</v>
      </c>
      <c r="CR36" s="30"/>
      <c r="CS36" s="7">
        <f>VLOOKUP(A36,'Empresas 21-23'!$A$2:$M$228,13,0)</f>
        <v>1</v>
      </c>
      <c r="CT36" s="30"/>
      <c r="CU36" s="6">
        <f t="shared" si="22"/>
        <v>1577608363.5999999</v>
      </c>
      <c r="CV36" s="6">
        <f t="shared" si="23"/>
        <v>91045818</v>
      </c>
      <c r="CW36" s="6">
        <f t="shared" si="24"/>
        <v>284551712</v>
      </c>
      <c r="CX36" s="23">
        <f t="shared" si="25"/>
        <v>0.29459378260570873</v>
      </c>
      <c r="CY36" s="23">
        <f t="shared" si="26"/>
        <v>1.7001388008520649E-2</v>
      </c>
      <c r="CZ36" s="6">
        <f t="shared" si="27"/>
        <v>1661435528.7850101</v>
      </c>
      <c r="DA36" s="6">
        <f t="shared" si="28"/>
        <v>95883592.064200819</v>
      </c>
      <c r="DB36" s="6">
        <f t="shared" si="29"/>
        <v>32317325</v>
      </c>
      <c r="DC36" s="6">
        <f t="shared" si="30"/>
        <v>32449256</v>
      </c>
      <c r="DD36" s="6">
        <f t="shared" si="31"/>
        <v>39308651</v>
      </c>
      <c r="DE36" s="6">
        <f t="shared" si="32"/>
        <v>72312863</v>
      </c>
      <c r="DF36" s="6">
        <f t="shared" si="33"/>
        <v>24966750.530176923</v>
      </c>
      <c r="DG36" s="30"/>
      <c r="DH36" s="32">
        <f>VLOOKUP(A36,'T_med_comp-USA'!$A$7:$Q$233,17,0)</f>
        <v>13.841143974915161</v>
      </c>
      <c r="DI36" s="6" t="str">
        <f t="shared" si="34"/>
        <v>3_2009</v>
      </c>
      <c r="DJ36" s="32">
        <f>IF(DI36="","",VLOOKUP(DI36,'CPI USA'!$T:$U,2,FALSE))</f>
        <v>214.53700000000001</v>
      </c>
      <c r="DK36" s="32">
        <f>IF(DI36="","",VLOOKUP(DI36,'PPI USA'!$S:$T,2,FALSE))</f>
        <v>159.1</v>
      </c>
      <c r="DL36" s="32">
        <f>IF(DI36="","",VLOOKUP(DI36,'CPI USA'!$T:$V,3,FALSE))</f>
        <v>0.66997101349938215</v>
      </c>
      <c r="DM36" s="32">
        <f>IF(DI36="","",VLOOKUP(DI36,'CPI USA'!$T:$X,5,FALSE))</f>
        <v>0.49813941766071862</v>
      </c>
      <c r="DN36" s="32">
        <f t="shared" si="35"/>
        <v>1.4932638886873792</v>
      </c>
      <c r="DO36" s="32">
        <f t="shared" si="36"/>
        <v>1.5082750176818205</v>
      </c>
      <c r="DP36" s="32">
        <f t="shared" si="37"/>
        <v>0.50299470325447304</v>
      </c>
      <c r="DQ36" s="32">
        <f>IF(DP36="","",DP36*$DO$1/'CPI USA'!$U$520+(1-DP36)*AVERAGE($DO$1,$DQ$1)/AVERAGE('CPI USA'!$U$520,'PPI USA'!$T$526))</f>
        <v>1.0752705998704393</v>
      </c>
      <c r="DR36" s="6">
        <f t="shared" si="38"/>
        <v>9941753</v>
      </c>
      <c r="DS36" s="32">
        <f t="shared" si="39"/>
        <v>0.25719540584527167</v>
      </c>
      <c r="DT36" s="28">
        <f>IF(DS36="","",DS36*$DO$1/'CPI USA'!$U$520+(1-DS36)*AVERAGE($DO$1,$DQ$1)/AVERAGE('CPI USA'!$U$520,'PPI USA'!$T$526))</f>
        <v>1.0835390592136136</v>
      </c>
      <c r="DU36" s="6">
        <f t="shared" si="40"/>
        <v>2528187.2810740657</v>
      </c>
      <c r="DV36" s="6">
        <f t="shared" si="57"/>
        <v>53572.373865485773</v>
      </c>
      <c r="DW36" s="6">
        <f t="shared" si="41"/>
        <v>1027679.8167575867</v>
      </c>
      <c r="DX36" s="16">
        <f t="shared" si="42"/>
        <v>0.2</v>
      </c>
      <c r="DY36" s="28">
        <f>IF(DX36="","",DX36*$DO$1/'CPI USA'!$U$520+(1-DX36)*AVERAGE($DO$1,$DQ$1)/AVERAGE('CPI USA'!$U$520,'PPI USA'!$T$526))</f>
        <v>1.0854630593748538</v>
      </c>
      <c r="DZ36" s="30"/>
      <c r="EA36" s="29" t="str">
        <f t="shared" si="43"/>
        <v>C000447</v>
      </c>
      <c r="EB36" s="29">
        <f t="shared" si="44"/>
        <v>2480961678.5168762</v>
      </c>
      <c r="EC36" s="29">
        <f t="shared" si="45"/>
        <v>144618826.51602894</v>
      </c>
      <c r="ED36" s="29">
        <f t="shared" si="46"/>
        <v>34891730.964469448</v>
      </c>
      <c r="EE36" s="29">
        <f t="shared" si="47"/>
        <v>42592458.723496273</v>
      </c>
      <c r="EF36" s="29">
        <f t="shared" si="48"/>
        <v>27100485.413134594</v>
      </c>
      <c r="EG36" s="29">
        <f t="shared" si="49"/>
        <v>2695</v>
      </c>
      <c r="EH36" s="29">
        <f t="shared" si="50"/>
        <v>292622</v>
      </c>
      <c r="EI36" s="29">
        <f t="shared" si="51"/>
        <v>667925</v>
      </c>
      <c r="EJ36" s="29">
        <f t="shared" si="52"/>
        <v>8864195</v>
      </c>
      <c r="EK36" s="29">
        <f t="shared" si="53"/>
        <v>9485503.7309644669</v>
      </c>
      <c r="EL36" s="29">
        <f>IF(CD36=1,VLOOKUP(EA36,'EIA 2022'!$A$2:$J$213,4,0)*EH36,"")</f>
        <v>48458203.199999996</v>
      </c>
      <c r="EM36" s="29">
        <f>IF(CD36=1,VLOOKUP(EA36,'EIA 2022'!$A$2:$J$213,7,0)*EH36,"")</f>
        <v>611579.98</v>
      </c>
      <c r="EN36" s="29">
        <f>IF(CD36=1,VLOOKUP(EA36,'EIA 2022'!$A$2:$J$213,10,0),"")</f>
        <v>292770</v>
      </c>
      <c r="EO36" s="28">
        <f>IF(CD36=1,VLOOKUP(EA36,'EIA 2022'!$A$2:$Z$213,26,0),"")</f>
        <v>0</v>
      </c>
      <c r="EP36" s="23">
        <f t="shared" si="54"/>
        <v>6.5500868334094631E-2</v>
      </c>
      <c r="EQ36" s="32">
        <f t="shared" si="55"/>
        <v>46616.269035533071</v>
      </c>
      <c r="ER36" s="32">
        <f t="shared" si="56"/>
        <v>621308.73096446693</v>
      </c>
      <c r="ES36" s="32"/>
      <c r="ET36" s="32"/>
    </row>
    <row r="37" spans="1:150" ht="15.75" customHeight="1">
      <c r="A37" s="7" t="s">
        <v>312</v>
      </c>
      <c r="B37" s="7" t="s">
        <v>313</v>
      </c>
      <c r="C37" s="32" t="s">
        <v>906</v>
      </c>
      <c r="D37" s="42">
        <v>228370076</v>
      </c>
      <c r="E37" s="42">
        <v>36883557</v>
      </c>
      <c r="F37" s="42">
        <v>66143763</v>
      </c>
      <c r="G37" s="42">
        <v>176323958</v>
      </c>
      <c r="H37" s="42">
        <v>177892794</v>
      </c>
      <c r="I37" s="42">
        <v>1060483</v>
      </c>
      <c r="J37" s="42">
        <v>773847</v>
      </c>
      <c r="K37" s="42">
        <v>0</v>
      </c>
      <c r="L37" s="42">
        <v>657857</v>
      </c>
      <c r="M37" s="42">
        <v>1002678</v>
      </c>
      <c r="N37" s="42">
        <v>733637</v>
      </c>
      <c r="O37" s="42">
        <v>10222641</v>
      </c>
      <c r="P37" s="42">
        <v>354734</v>
      </c>
      <c r="Q37" s="42">
        <v>14249</v>
      </c>
      <c r="R37" s="42">
        <v>81</v>
      </c>
      <c r="S37" s="42">
        <v>1687362</v>
      </c>
      <c r="T37" s="42">
        <v>7134035</v>
      </c>
      <c r="U37" s="42">
        <v>922089</v>
      </c>
      <c r="V37" s="42">
        <v>2730</v>
      </c>
      <c r="W37" s="42">
        <v>464070</v>
      </c>
      <c r="X37" s="42">
        <f>IFERROR(VLOOKUP(A37,'Trans 21-23'!$A$2:$J$229,8,0),0)</f>
        <v>1859662</v>
      </c>
      <c r="Y37" s="42">
        <v>2096820</v>
      </c>
      <c r="Z37" s="42">
        <v>291251</v>
      </c>
      <c r="AA37" s="42">
        <v>19375026</v>
      </c>
      <c r="AB37" s="42">
        <v>9979</v>
      </c>
      <c r="AC37" s="42">
        <v>0</v>
      </c>
      <c r="AD37" s="42">
        <v>94999693</v>
      </c>
      <c r="AE37" s="42">
        <v>0</v>
      </c>
      <c r="AF37" s="42">
        <v>815022332</v>
      </c>
      <c r="AG37" s="42">
        <v>452119</v>
      </c>
      <c r="AH37" s="42">
        <v>526578</v>
      </c>
      <c r="AI37" s="42">
        <v>12399633</v>
      </c>
      <c r="AJ37" s="42">
        <v>12899</v>
      </c>
      <c r="AK37" s="42">
        <v>0</v>
      </c>
      <c r="AL37" s="42">
        <v>3317427</v>
      </c>
      <c r="AM37" s="42">
        <v>2415800</v>
      </c>
      <c r="AN37" s="42">
        <v>1072683</v>
      </c>
      <c r="AO37" s="42">
        <v>40469</v>
      </c>
      <c r="AP37" s="42">
        <v>1538156</v>
      </c>
      <c r="AQ37" s="42">
        <v>8384535</v>
      </c>
      <c r="AR37" s="42">
        <v>3475621</v>
      </c>
      <c r="AS37" s="42">
        <v>11860156</v>
      </c>
      <c r="AT37" s="42">
        <v>0</v>
      </c>
      <c r="AU37" s="42">
        <v>2201</v>
      </c>
      <c r="AV37" s="42">
        <v>0</v>
      </c>
      <c r="AW37" s="42">
        <v>151320485</v>
      </c>
      <c r="AX37" s="42">
        <v>163433302</v>
      </c>
      <c r="AY37" s="42">
        <v>191880653</v>
      </c>
      <c r="AZ37" s="42">
        <v>79819532</v>
      </c>
      <c r="BA37" s="42">
        <v>12555596</v>
      </c>
      <c r="BB37" s="42">
        <v>1607479650</v>
      </c>
      <c r="BC37" s="42">
        <v>5948944465</v>
      </c>
      <c r="BD37" s="42">
        <v>301045777</v>
      </c>
      <c r="BE37" s="42">
        <v>460256069</v>
      </c>
      <c r="BF37" s="42">
        <v>35066523</v>
      </c>
      <c r="BG37" s="42">
        <v>0</v>
      </c>
      <c r="BH37" s="42">
        <v>15158542</v>
      </c>
      <c r="BI37" s="42">
        <v>8286959</v>
      </c>
      <c r="BJ37" s="42">
        <v>0</v>
      </c>
      <c r="BK37" s="42">
        <v>0</v>
      </c>
      <c r="BL37" s="42">
        <v>0</v>
      </c>
      <c r="BM37" s="42">
        <v>32314103</v>
      </c>
      <c r="BN37" s="42">
        <v>82693636</v>
      </c>
      <c r="BO37" s="42">
        <v>1067826</v>
      </c>
      <c r="BP37" s="42">
        <v>615206</v>
      </c>
      <c r="BQ37" s="42">
        <v>117853209</v>
      </c>
      <c r="BR37" s="42">
        <v>0</v>
      </c>
      <c r="BS37" s="42">
        <f>IFERROR(VLOOKUP(A37,'Trans 21-23'!$A$2:$J$229,7,0),0)</f>
        <v>168417685</v>
      </c>
      <c r="BT37" s="63"/>
      <c r="BU37" s="32">
        <f t="shared" si="0"/>
        <v>1607479650</v>
      </c>
      <c r="BV37" s="32">
        <f t="shared" si="1"/>
        <v>2201</v>
      </c>
      <c r="BW37" s="32">
        <f t="shared" si="2"/>
        <v>452119</v>
      </c>
      <c r="BX37" s="32">
        <f t="shared" si="3"/>
        <v>25030493</v>
      </c>
      <c r="BY37" s="32">
        <f t="shared" si="4"/>
        <v>21773076</v>
      </c>
      <c r="BZ37" s="32">
        <f t="shared" si="5"/>
        <v>79819532</v>
      </c>
      <c r="CA37" s="32">
        <f t="shared" si="6"/>
        <v>94999693</v>
      </c>
      <c r="CB37" s="32">
        <f t="shared" si="7"/>
        <v>526578</v>
      </c>
      <c r="CC37" s="32">
        <f t="shared" si="8"/>
        <v>8384535</v>
      </c>
      <c r="CD37" s="41">
        <f t="shared" si="9"/>
        <v>1</v>
      </c>
      <c r="CE37" s="44">
        <f t="shared" si="10"/>
        <v>11</v>
      </c>
      <c r="CF37" s="27"/>
      <c r="CG37" s="28">
        <f t="shared" si="11"/>
        <v>730.34059518400727</v>
      </c>
      <c r="CH37" s="28">
        <f t="shared" si="12"/>
        <v>4.8681873577531576</v>
      </c>
      <c r="CI37" s="28">
        <f t="shared" si="13"/>
        <v>55.362621345265296</v>
      </c>
      <c r="CJ37" s="28">
        <f t="shared" si="14"/>
        <v>176.54540508140556</v>
      </c>
      <c r="CK37" s="23">
        <f t="shared" si="15"/>
        <v>6.2803482840729993E-2</v>
      </c>
      <c r="CL37" s="29" t="str">
        <f t="shared" si="16"/>
        <v/>
      </c>
      <c r="CM37" s="29" t="str">
        <f t="shared" si="17"/>
        <v/>
      </c>
      <c r="CN37" s="29" t="str">
        <f t="shared" si="18"/>
        <v/>
      </c>
      <c r="CO37" s="29" t="str">
        <f t="shared" si="19"/>
        <v/>
      </c>
      <c r="CP37" s="29" t="str">
        <f t="shared" si="20"/>
        <v/>
      </c>
      <c r="CQ37" s="29">
        <f t="shared" si="21"/>
        <v>0</v>
      </c>
      <c r="CR37" s="30"/>
      <c r="CS37" s="7">
        <f>VLOOKUP(A37,'Empresas 21-23'!$A$2:$M$228,13,0)</f>
        <v>1</v>
      </c>
      <c r="CT37" s="30"/>
      <c r="CU37" s="6">
        <f t="shared" si="22"/>
        <v>1470333834</v>
      </c>
      <c r="CV37" s="6">
        <f t="shared" si="23"/>
        <v>79819532</v>
      </c>
      <c r="CW37" s="6">
        <f t="shared" si="24"/>
        <v>301045777</v>
      </c>
      <c r="CX37" s="23">
        <f t="shared" si="25"/>
        <v>0.26033289816688721</v>
      </c>
      <c r="CY37" s="23">
        <f t="shared" si="26"/>
        <v>1.4132606905572028E-2</v>
      </c>
      <c r="CZ37" s="6">
        <f t="shared" si="27"/>
        <v>1548705953.6073124</v>
      </c>
      <c r="DA37" s="6">
        <f t="shared" si="28"/>
        <v>84074093.626923501</v>
      </c>
      <c r="DB37" s="6">
        <f t="shared" si="29"/>
        <v>25030493</v>
      </c>
      <c r="DC37" s="6">
        <f t="shared" si="30"/>
        <v>26890155</v>
      </c>
      <c r="DD37" s="6">
        <f t="shared" si="31"/>
        <v>21773076</v>
      </c>
      <c r="DE37" s="6">
        <f t="shared" si="32"/>
        <v>94999693</v>
      </c>
      <c r="DF37" s="6">
        <f t="shared" si="33"/>
        <v>21937732.073659349</v>
      </c>
      <c r="DG37" s="30"/>
      <c r="DH37" s="32">
        <f>VLOOKUP(A37,'T_med_comp-USA'!$A$7:$Q$233,17,0)</f>
        <v>13.765194100478434</v>
      </c>
      <c r="DI37" s="6" t="str">
        <f t="shared" si="34"/>
        <v>3_2009</v>
      </c>
      <c r="DJ37" s="32">
        <f>IF(DI37="","",VLOOKUP(DI37,'CPI USA'!$T:$U,2,FALSE))</f>
        <v>214.53700000000001</v>
      </c>
      <c r="DK37" s="32">
        <f>IF(DI37="","",VLOOKUP(DI37,'PPI USA'!$S:$T,2,FALSE))</f>
        <v>159.1</v>
      </c>
      <c r="DL37" s="32">
        <f>IF(DI37="","",VLOOKUP(DI37,'CPI USA'!$T:$V,3,FALSE))</f>
        <v>0.66997101349938215</v>
      </c>
      <c r="DM37" s="32">
        <f>IF(DI37="","",VLOOKUP(DI37,'CPI USA'!$T:$X,5,FALSE))</f>
        <v>0.49813941766071862</v>
      </c>
      <c r="DN37" s="32">
        <f t="shared" si="35"/>
        <v>1.4932638886873792</v>
      </c>
      <c r="DO37" s="32">
        <f t="shared" si="36"/>
        <v>1.5082750176818205</v>
      </c>
      <c r="DP37" s="32">
        <f t="shared" si="37"/>
        <v>0.61342318815430374</v>
      </c>
      <c r="DQ37" s="32">
        <f>IF(DP37="","",DP37*$DO$1/'CPI USA'!$U$520+(1-DP37)*AVERAGE($DO$1,$DQ$1)/AVERAGE('CPI USA'!$U$520,'PPI USA'!$T$526))</f>
        <v>1.0715558885293301</v>
      </c>
      <c r="DR37" s="6">
        <f t="shared" si="38"/>
        <v>8286959</v>
      </c>
      <c r="DS37" s="32">
        <f t="shared" si="39"/>
        <v>0.38552057642453469</v>
      </c>
      <c r="DT37" s="28">
        <f>IF(DS37="","",DS37*$DO$1/'CPI USA'!$U$520+(1-DS37)*AVERAGE($DO$1,$DQ$1)/AVERAGE('CPI USA'!$U$520,'PPI USA'!$T$526))</f>
        <v>1.0792223200413527</v>
      </c>
      <c r="DU37" s="6">
        <f t="shared" si="40"/>
        <v>32731376.214955479</v>
      </c>
      <c r="DV37" s="6">
        <f t="shared" si="57"/>
        <v>169568.13952399036</v>
      </c>
      <c r="DW37" s="6">
        <f t="shared" si="41"/>
        <v>9328155.8421725798</v>
      </c>
      <c r="DX37" s="16">
        <f t="shared" si="42"/>
        <v>0.42521058288303665</v>
      </c>
      <c r="DY37" s="28">
        <f>IF(DX37="","",DX37*$DO$1/'CPI USA'!$U$520+(1-DX37)*AVERAGE($DO$1,$DQ$1)/AVERAGE('CPI USA'!$U$520,'PPI USA'!$T$526))</f>
        <v>1.0778871852049574</v>
      </c>
      <c r="DZ37" s="30"/>
      <c r="EA37" s="29" t="str">
        <f t="shared" si="43"/>
        <v>C000465</v>
      </c>
      <c r="EB37" s="29">
        <f t="shared" si="44"/>
        <v>2312626674.7169514</v>
      </c>
      <c r="EC37" s="29">
        <f t="shared" si="45"/>
        <v>126806855.05173108</v>
      </c>
      <c r="ED37" s="29">
        <f t="shared" si="46"/>
        <v>28814303.933716409</v>
      </c>
      <c r="EE37" s="29">
        <f t="shared" si="47"/>
        <v>23497989.595156696</v>
      </c>
      <c r="EF37" s="29">
        <f t="shared" si="48"/>
        <v>23646400.27465719</v>
      </c>
      <c r="EG37" s="29">
        <f t="shared" si="49"/>
        <v>2201</v>
      </c>
      <c r="EH37" s="29">
        <f t="shared" si="50"/>
        <v>452119</v>
      </c>
      <c r="EI37" s="29">
        <f t="shared" si="51"/>
        <v>526578</v>
      </c>
      <c r="EJ37" s="29">
        <f t="shared" si="52"/>
        <v>8384535</v>
      </c>
      <c r="EK37" s="29">
        <f t="shared" si="53"/>
        <v>8858184.7614213191</v>
      </c>
      <c r="EL37" s="29">
        <f>IF(CD37=1,VLOOKUP(EA37,'EIA 2022'!$A$2:$J$213,4,0)*EH37,"")</f>
        <v>49804976.921000004</v>
      </c>
      <c r="EM37" s="29">
        <f>IF(CD37=1,VLOOKUP(EA37,'EIA 2022'!$A$2:$J$213,7,0)*EH37,"")</f>
        <v>526718.63500000001</v>
      </c>
      <c r="EN37" s="29">
        <f>IF(CD37=1,VLOOKUP(EA37,'EIA 2022'!$A$2:$J$213,10,0),"")</f>
        <v>121099</v>
      </c>
      <c r="EO37" s="28">
        <f>IF(CD37=1,VLOOKUP(EA37,'EIA 2022'!$A$2:$Z$213,26,0),"")</f>
        <v>0</v>
      </c>
      <c r="EP37" s="23">
        <f t="shared" si="54"/>
        <v>5.3470296023191234E-2</v>
      </c>
      <c r="EQ37" s="32">
        <f t="shared" si="55"/>
        <v>52928.238578680437</v>
      </c>
      <c r="ER37" s="32">
        <f t="shared" si="56"/>
        <v>473649.76142131956</v>
      </c>
      <c r="ES37" s="32"/>
      <c r="ET37" s="32"/>
    </row>
    <row r="38" spans="1:150" ht="15.75" customHeight="1">
      <c r="A38" s="7" t="s">
        <v>315</v>
      </c>
      <c r="B38" s="7" t="s">
        <v>316</v>
      </c>
      <c r="C38" s="32" t="s">
        <v>907</v>
      </c>
      <c r="D38" s="42">
        <v>123791778</v>
      </c>
      <c r="E38" s="42">
        <v>0</v>
      </c>
      <c r="F38" s="42">
        <v>199077185</v>
      </c>
      <c r="G38" s="42">
        <v>219394221</v>
      </c>
      <c r="H38" s="42">
        <v>222076951</v>
      </c>
      <c r="I38" s="42">
        <v>43814</v>
      </c>
      <c r="J38" s="42">
        <v>238979</v>
      </c>
      <c r="K38" s="42">
        <v>1992046</v>
      </c>
      <c r="L38" s="42">
        <v>318844</v>
      </c>
      <c r="M38" s="42">
        <v>186034</v>
      </c>
      <c r="N38" s="42">
        <v>0</v>
      </c>
      <c r="O38" s="42">
        <v>3913603</v>
      </c>
      <c r="P38" s="42">
        <v>0</v>
      </c>
      <c r="Q38" s="42">
        <v>14860</v>
      </c>
      <c r="R38" s="42">
        <v>40293</v>
      </c>
      <c r="S38" s="42">
        <v>1078360</v>
      </c>
      <c r="T38" s="42">
        <v>28152203</v>
      </c>
      <c r="U38" s="42">
        <v>4169838</v>
      </c>
      <c r="V38" s="42">
        <v>367416</v>
      </c>
      <c r="W38" s="42">
        <v>95</v>
      </c>
      <c r="X38" s="42">
        <f>IFERROR(VLOOKUP(A38,'Trans 21-23'!$A$2:$J$229,8,0),0)</f>
        <v>0</v>
      </c>
      <c r="Y38" s="42">
        <v>1601313</v>
      </c>
      <c r="Z38" s="42">
        <v>0</v>
      </c>
      <c r="AA38" s="42">
        <v>14574963</v>
      </c>
      <c r="AB38" s="42">
        <v>11581355</v>
      </c>
      <c r="AC38" s="42">
        <v>1862</v>
      </c>
      <c r="AD38" s="42">
        <v>20347542</v>
      </c>
      <c r="AE38" s="42">
        <v>0</v>
      </c>
      <c r="AF38" s="42">
        <v>826839416</v>
      </c>
      <c r="AG38" s="42">
        <v>458957</v>
      </c>
      <c r="AH38" s="42">
        <v>383605</v>
      </c>
      <c r="AI38" s="42">
        <v>13891084</v>
      </c>
      <c r="AJ38" s="42">
        <v>45481</v>
      </c>
      <c r="AK38" s="42">
        <v>0</v>
      </c>
      <c r="AL38" s="42">
        <v>3033821</v>
      </c>
      <c r="AM38" s="42">
        <v>4039896</v>
      </c>
      <c r="AN38" s="42">
        <v>3962556</v>
      </c>
      <c r="AO38" s="42">
        <v>26326</v>
      </c>
      <c r="AP38" s="42">
        <v>0</v>
      </c>
      <c r="AQ38" s="42">
        <v>11064640</v>
      </c>
      <c r="AR38" s="42">
        <v>2397358</v>
      </c>
      <c r="AS38" s="42">
        <v>13461998</v>
      </c>
      <c r="AT38" s="42">
        <v>0</v>
      </c>
      <c r="AU38" s="42">
        <v>2177</v>
      </c>
      <c r="AV38" s="42">
        <v>0</v>
      </c>
      <c r="AW38" s="42">
        <v>206734584</v>
      </c>
      <c r="AX38" s="42">
        <v>7851902</v>
      </c>
      <c r="AY38" s="42">
        <v>602027829</v>
      </c>
      <c r="AZ38" s="42">
        <v>80656190</v>
      </c>
      <c r="BA38" s="42">
        <v>20588354</v>
      </c>
      <c r="BB38" s="42">
        <v>2166641101</v>
      </c>
      <c r="BC38" s="42">
        <v>5283504732</v>
      </c>
      <c r="BD38" s="42">
        <v>31530740</v>
      </c>
      <c r="BE38" s="42">
        <v>461427774</v>
      </c>
      <c r="BF38" s="42">
        <v>43195416</v>
      </c>
      <c r="BG38" s="42">
        <v>0</v>
      </c>
      <c r="BH38" s="42">
        <v>11632198</v>
      </c>
      <c r="BI38" s="42">
        <v>2941263</v>
      </c>
      <c r="BJ38" s="42">
        <v>3520698</v>
      </c>
      <c r="BK38" s="42">
        <v>0</v>
      </c>
      <c r="BL38" s="42">
        <v>0</v>
      </c>
      <c r="BM38" s="42">
        <v>18192858</v>
      </c>
      <c r="BN38" s="42">
        <v>65263103</v>
      </c>
      <c r="BO38" s="42">
        <v>5422774</v>
      </c>
      <c r="BP38" s="42">
        <v>19366741</v>
      </c>
      <c r="BQ38" s="42">
        <v>134298188</v>
      </c>
      <c r="BR38" s="42">
        <v>2041</v>
      </c>
      <c r="BS38" s="42">
        <f>IFERROR(VLOOKUP(A38,'Trans 21-23'!$A$2:$J$229,7,0),0)</f>
        <v>0</v>
      </c>
      <c r="BT38" s="63"/>
      <c r="BU38" s="32">
        <f t="shared" si="0"/>
        <v>2166641101</v>
      </c>
      <c r="BV38" s="32">
        <f t="shared" si="1"/>
        <v>2177</v>
      </c>
      <c r="BW38" s="32">
        <f t="shared" si="2"/>
        <v>458957</v>
      </c>
      <c r="BX38" s="32">
        <f t="shared" si="3"/>
        <v>40516385</v>
      </c>
      <c r="BY38" s="32">
        <f t="shared" si="4"/>
        <v>27759493</v>
      </c>
      <c r="BZ38" s="32">
        <f t="shared" si="5"/>
        <v>80656190</v>
      </c>
      <c r="CA38" s="32">
        <f t="shared" si="6"/>
        <v>20347542</v>
      </c>
      <c r="CB38" s="32">
        <f t="shared" si="7"/>
        <v>383605</v>
      </c>
      <c r="CC38" s="32">
        <f t="shared" si="8"/>
        <v>11064640</v>
      </c>
      <c r="CD38" s="41">
        <f t="shared" si="9"/>
        <v>1</v>
      </c>
      <c r="CE38" s="44">
        <f t="shared" si="10"/>
        <v>14</v>
      </c>
      <c r="CF38" s="27"/>
      <c r="CG38" s="28">
        <f t="shared" si="11"/>
        <v>995.24166329811669</v>
      </c>
      <c r="CH38" s="28">
        <f t="shared" si="12"/>
        <v>4.7433637573890364</v>
      </c>
      <c r="CI38" s="28">
        <f t="shared" si="13"/>
        <v>88.279261455866234</v>
      </c>
      <c r="CJ38" s="28">
        <f t="shared" si="14"/>
        <v>175.73801031469179</v>
      </c>
      <c r="CK38" s="23">
        <f t="shared" si="15"/>
        <v>3.4669451514012205E-2</v>
      </c>
      <c r="CL38" s="29" t="str">
        <f t="shared" si="16"/>
        <v/>
      </c>
      <c r="CM38" s="29" t="str">
        <f t="shared" si="17"/>
        <v/>
      </c>
      <c r="CN38" s="29" t="str">
        <f t="shared" si="18"/>
        <v/>
      </c>
      <c r="CO38" s="29" t="str">
        <f t="shared" si="19"/>
        <v/>
      </c>
      <c r="CP38" s="29" t="str">
        <f t="shared" si="20"/>
        <v/>
      </c>
      <c r="CQ38" s="29">
        <f t="shared" si="21"/>
        <v>0</v>
      </c>
      <c r="CR38" s="30"/>
      <c r="CS38" s="7">
        <f>VLOOKUP(A38,'Empresas 21-23'!$A$2:$M$228,13,0)</f>
        <v>1</v>
      </c>
      <c r="CT38" s="30"/>
      <c r="CU38" s="6">
        <f t="shared" si="22"/>
        <v>1699468718.4000001</v>
      </c>
      <c r="CV38" s="6">
        <f t="shared" si="23"/>
        <v>80656190</v>
      </c>
      <c r="CW38" s="6">
        <f t="shared" si="24"/>
        <v>31530740</v>
      </c>
      <c r="CX38" s="23">
        <f t="shared" si="25"/>
        <v>0.3235866592235021</v>
      </c>
      <c r="CY38" s="23">
        <f t="shared" si="26"/>
        <v>1.5357309484559229E-2</v>
      </c>
      <c r="CZ38" s="6">
        <f t="shared" si="27"/>
        <v>1709671645.219445</v>
      </c>
      <c r="DA38" s="6">
        <f t="shared" si="28"/>
        <v>81140417.33245717</v>
      </c>
      <c r="DB38" s="6">
        <f t="shared" si="29"/>
        <v>40516385</v>
      </c>
      <c r="DC38" s="6">
        <f t="shared" si="30"/>
        <v>40516385</v>
      </c>
      <c r="DD38" s="6">
        <f t="shared" si="31"/>
        <v>27759493</v>
      </c>
      <c r="DE38" s="6">
        <f t="shared" si="32"/>
        <v>20347542</v>
      </c>
      <c r="DF38" s="6">
        <f t="shared" si="33"/>
        <v>5311671.7810968133</v>
      </c>
      <c r="DG38" s="30"/>
      <c r="DH38" s="32">
        <f>VLOOKUP(A38,'T_med_comp-USA'!$A$7:$Q$233,17,0)</f>
        <v>10.373982767263257</v>
      </c>
      <c r="DI38" s="6" t="str">
        <f t="shared" si="34"/>
        <v>8_2012</v>
      </c>
      <c r="DJ38" s="32">
        <f>IF(DI38="","",VLOOKUP(DI38,'CPI USA'!$T:$U,2,FALSE))</f>
        <v>229.59399999999999</v>
      </c>
      <c r="DK38" s="32">
        <f>IF(DI38="","",VLOOKUP(DI38,'PPI USA'!$S:$T,2,FALSE))</f>
        <v>175.1</v>
      </c>
      <c r="DL38" s="32">
        <f>IF(DI38="","",VLOOKUP(DI38,'CPI USA'!$T:$V,3,FALSE))</f>
        <v>0.66730871354337351</v>
      </c>
      <c r="DM38" s="32">
        <f>IF(DI38="","",VLOOKUP(DI38,'CPI USA'!$T:$X,5,FALSE))</f>
        <v>0.49513551903851311</v>
      </c>
      <c r="DN38" s="32">
        <f t="shared" si="35"/>
        <v>1.3897894616766442</v>
      </c>
      <c r="DO38" s="32">
        <f t="shared" si="36"/>
        <v>1.4008620811189902</v>
      </c>
      <c r="DP38" s="32">
        <f t="shared" si="37"/>
        <v>0.31095391456979771</v>
      </c>
      <c r="DQ38" s="32">
        <f>IF(DP38="","",DP38*$DO$1/'CPI USA'!$U$520+(1-DP38)*AVERAGE($DO$1,$DQ$1)/AVERAGE('CPI USA'!$U$520,'PPI USA'!$T$526))</f>
        <v>1.081730673069212</v>
      </c>
      <c r="DR38" s="6">
        <f t="shared" si="38"/>
        <v>6461961</v>
      </c>
      <c r="DS38" s="32">
        <f t="shared" si="39"/>
        <v>0.25212605845395625</v>
      </c>
      <c r="DT38" s="28">
        <f>IF(DS38="","",DS38*$DO$1/'CPI USA'!$U$520+(1-DS38)*AVERAGE($DO$1,$DQ$1)/AVERAGE('CPI USA'!$U$520,'PPI USA'!$T$526))</f>
        <v>1.0837095873365308</v>
      </c>
      <c r="DU38" s="6">
        <f t="shared" si="40"/>
        <v>19704520.069578458</v>
      </c>
      <c r="DV38" s="6">
        <f t="shared" si="57"/>
        <v>3065621.9697275539</v>
      </c>
      <c r="DW38" s="6">
        <f t="shared" si="41"/>
        <v>6313009.213058521</v>
      </c>
      <c r="DX38" s="16">
        <f t="shared" si="42"/>
        <v>0.9</v>
      </c>
      <c r="DY38" s="28">
        <f>IF(DX38="","",DX38*$DO$1/'CPI USA'!$U$520+(1-DX38)*AVERAGE($DO$1,$DQ$1)/AVERAGE('CPI USA'!$U$520,'PPI USA'!$T$526))</f>
        <v>1.0619157115946583</v>
      </c>
      <c r="DZ38" s="30"/>
      <c r="EA38" s="29" t="str">
        <f t="shared" si="43"/>
        <v>C000500</v>
      </c>
      <c r="EB38" s="29">
        <f t="shared" si="44"/>
        <v>2376083635.4533548</v>
      </c>
      <c r="EC38" s="29">
        <f t="shared" si="45"/>
        <v>113666533.88720934</v>
      </c>
      <c r="ED38" s="29">
        <f t="shared" si="46"/>
        <v>43827816.416381322</v>
      </c>
      <c r="EE38" s="29">
        <f t="shared" si="47"/>
        <v>30083228.703701314</v>
      </c>
      <c r="EF38" s="29">
        <f t="shared" si="48"/>
        <v>5640547.7191806883</v>
      </c>
      <c r="EG38" s="29">
        <f t="shared" si="49"/>
        <v>2177</v>
      </c>
      <c r="EH38" s="29">
        <f t="shared" si="50"/>
        <v>458957</v>
      </c>
      <c r="EI38" s="29">
        <f t="shared" si="51"/>
        <v>383605</v>
      </c>
      <c r="EJ38" s="29">
        <f t="shared" si="52"/>
        <v>11064640</v>
      </c>
      <c r="EK38" s="29">
        <f t="shared" si="53"/>
        <v>11411737.010152284</v>
      </c>
      <c r="EL38" s="29">
        <f>IF(CD38=1,VLOOKUP(EA38,'EIA 2022'!$A$2:$J$213,4,0)*EH38,"")</f>
        <v>44059872</v>
      </c>
      <c r="EM38" s="29">
        <f>IF(CD38=1,VLOOKUP(EA38,'EIA 2022'!$A$2:$J$213,7,0)*EH38,"")</f>
        <v>665487.65</v>
      </c>
      <c r="EN38" s="29">
        <f>IF(CD38=1,VLOOKUP(EA38,'EIA 2022'!$A$2:$J$213,10,0),"")</f>
        <v>465462</v>
      </c>
      <c r="EO38" s="28">
        <f>IF(CD38=1,VLOOKUP(EA38,'EIA 2022'!$A$2:$Z$213,26,0),"")</f>
        <v>0</v>
      </c>
      <c r="EP38" s="23">
        <f t="shared" si="54"/>
        <v>3.0415791201943605E-2</v>
      </c>
      <c r="EQ38" s="32">
        <f t="shared" si="55"/>
        <v>36507.989847715944</v>
      </c>
      <c r="ER38" s="32">
        <f t="shared" si="56"/>
        <v>347097.01015228406</v>
      </c>
      <c r="ES38" s="32"/>
      <c r="ET38" s="32"/>
    </row>
    <row r="39" spans="1:150" ht="15.75" customHeight="1">
      <c r="A39" s="7" t="s">
        <v>318</v>
      </c>
      <c r="B39" s="7" t="s">
        <v>319</v>
      </c>
      <c r="C39" s="32" t="s">
        <v>908</v>
      </c>
      <c r="D39" s="42">
        <v>0</v>
      </c>
      <c r="E39" s="42">
        <v>0</v>
      </c>
      <c r="F39" s="42">
        <v>9217</v>
      </c>
      <c r="G39" s="42">
        <v>33412296</v>
      </c>
      <c r="H39" s="42">
        <v>35893890</v>
      </c>
      <c r="I39" s="42">
        <v>1758379</v>
      </c>
      <c r="J39" s="42">
        <v>1268746</v>
      </c>
      <c r="K39" s="42">
        <v>0</v>
      </c>
      <c r="L39" s="42">
        <v>38725</v>
      </c>
      <c r="M39" s="42">
        <v>4238</v>
      </c>
      <c r="N39" s="42">
        <v>0</v>
      </c>
      <c r="O39" s="42">
        <v>1971358</v>
      </c>
      <c r="P39" s="42">
        <v>114371</v>
      </c>
      <c r="Q39" s="42">
        <v>207159</v>
      </c>
      <c r="R39" s="42">
        <v>0</v>
      </c>
      <c r="S39" s="42">
        <v>933298</v>
      </c>
      <c r="T39" s="42">
        <v>8338676</v>
      </c>
      <c r="U39" s="42">
        <v>670732</v>
      </c>
      <c r="V39" s="42">
        <v>570619</v>
      </c>
      <c r="W39" s="42">
        <v>106962</v>
      </c>
      <c r="X39" s="42">
        <f>IFERROR(VLOOKUP(A39,'Trans 21-23'!$A$2:$J$229,8,0),0)</f>
        <v>0</v>
      </c>
      <c r="Y39" s="42">
        <v>686992</v>
      </c>
      <c r="Z39" s="42">
        <v>49159</v>
      </c>
      <c r="AA39" s="42">
        <v>3121097</v>
      </c>
      <c r="AB39" s="42">
        <v>3677636</v>
      </c>
      <c r="AC39" s="42">
        <v>0</v>
      </c>
      <c r="AD39" s="42">
        <v>11976289</v>
      </c>
      <c r="AE39" s="42">
        <v>0</v>
      </c>
      <c r="AF39" s="42">
        <v>83171236</v>
      </c>
      <c r="AG39" s="42">
        <v>53268</v>
      </c>
      <c r="AH39" s="42">
        <v>59865</v>
      </c>
      <c r="AI39" s="42">
        <v>807994</v>
      </c>
      <c r="AJ39" s="42">
        <v>2848</v>
      </c>
      <c r="AK39" s="42">
        <v>0</v>
      </c>
      <c r="AL39" s="42">
        <v>248316</v>
      </c>
      <c r="AM39" s="42">
        <v>134156</v>
      </c>
      <c r="AN39" s="42">
        <v>326520</v>
      </c>
      <c r="AO39" s="42">
        <v>1778</v>
      </c>
      <c r="AP39" s="42">
        <v>0</v>
      </c>
      <c r="AQ39" s="42">
        <v>710770</v>
      </c>
      <c r="AR39" s="42">
        <v>34511</v>
      </c>
      <c r="AS39" s="42">
        <v>745281</v>
      </c>
      <c r="AT39" s="42">
        <v>0</v>
      </c>
      <c r="AU39" s="42">
        <v>167</v>
      </c>
      <c r="AV39" s="42">
        <v>0</v>
      </c>
      <c r="AW39" s="42">
        <v>21858001.350000001</v>
      </c>
      <c r="AX39" s="42">
        <v>0</v>
      </c>
      <c r="AY39" s="42">
        <v>37029382</v>
      </c>
      <c r="AZ39" s="42">
        <v>13964418</v>
      </c>
      <c r="BA39" s="42">
        <v>3297411</v>
      </c>
      <c r="BB39" s="42">
        <v>213037635</v>
      </c>
      <c r="BC39" s="42">
        <v>384769978</v>
      </c>
      <c r="BD39" s="42">
        <v>38023428</v>
      </c>
      <c r="BE39" s="42">
        <v>101365390</v>
      </c>
      <c r="BF39" s="42">
        <v>6825579</v>
      </c>
      <c r="BG39" s="42">
        <v>0</v>
      </c>
      <c r="BH39" s="42">
        <v>7177278</v>
      </c>
      <c r="BI39" s="42">
        <v>1739287</v>
      </c>
      <c r="BJ39" s="42">
        <v>394882</v>
      </c>
      <c r="BK39" s="42">
        <v>0</v>
      </c>
      <c r="BL39" s="42">
        <v>0</v>
      </c>
      <c r="BM39" s="42">
        <v>3751957</v>
      </c>
      <c r="BN39" s="42">
        <v>16062035</v>
      </c>
      <c r="BO39" s="42">
        <v>0</v>
      </c>
      <c r="BP39" s="42">
        <v>225151</v>
      </c>
      <c r="BQ39" s="42">
        <v>21493292</v>
      </c>
      <c r="BR39" s="42">
        <v>0</v>
      </c>
      <c r="BS39" s="42">
        <f>IFERROR(VLOOKUP(A39,'Trans 21-23'!$A$2:$J$229,7,0),0)</f>
        <v>0</v>
      </c>
      <c r="BT39" s="63"/>
      <c r="BU39" s="32">
        <f t="shared" si="0"/>
        <v>213037635</v>
      </c>
      <c r="BV39" s="32">
        <f t="shared" si="1"/>
        <v>167</v>
      </c>
      <c r="BW39" s="32">
        <f t="shared" si="2"/>
        <v>53268</v>
      </c>
      <c r="BX39" s="32">
        <f t="shared" si="3"/>
        <v>15983263</v>
      </c>
      <c r="BY39" s="32">
        <f t="shared" si="4"/>
        <v>7534884</v>
      </c>
      <c r="BZ39" s="32">
        <f t="shared" si="5"/>
        <v>13964418</v>
      </c>
      <c r="CA39" s="32">
        <f t="shared" si="6"/>
        <v>11976289</v>
      </c>
      <c r="CB39" s="32">
        <f t="shared" si="7"/>
        <v>59865</v>
      </c>
      <c r="CC39" s="32">
        <f t="shared" si="8"/>
        <v>710770</v>
      </c>
      <c r="CD39" s="41">
        <f t="shared" si="9"/>
        <v>1</v>
      </c>
      <c r="CE39" s="44">
        <f t="shared" si="10"/>
        <v>19</v>
      </c>
      <c r="CF39" s="27"/>
      <c r="CG39" s="28">
        <f t="shared" si="11"/>
        <v>1275.6744610778442</v>
      </c>
      <c r="CH39" s="28">
        <f t="shared" si="12"/>
        <v>3.1350904858451605</v>
      </c>
      <c r="CI39" s="28">
        <f t="shared" si="13"/>
        <v>300.05374709018548</v>
      </c>
      <c r="CJ39" s="28">
        <f t="shared" si="14"/>
        <v>262.15397612074793</v>
      </c>
      <c r="CK39" s="23">
        <f t="shared" si="15"/>
        <v>8.4225558197447842E-2</v>
      </c>
      <c r="CL39" s="29" t="str">
        <f t="shared" si="16"/>
        <v/>
      </c>
      <c r="CM39" s="29" t="str">
        <f t="shared" si="17"/>
        <v/>
      </c>
      <c r="CN39" s="29" t="str">
        <f t="shared" si="18"/>
        <v/>
      </c>
      <c r="CO39" s="29" t="str">
        <f t="shared" si="19"/>
        <v/>
      </c>
      <c r="CP39" s="29" t="str">
        <f t="shared" si="20"/>
        <v/>
      </c>
      <c r="CQ39" s="29">
        <f t="shared" si="21"/>
        <v>0</v>
      </c>
      <c r="CR39" s="30"/>
      <c r="CS39" s="7">
        <f>VLOOKUP(A39,'Empresas 21-23'!$A$2:$M$228,13,0)</f>
        <v>1</v>
      </c>
      <c r="CT39" s="30"/>
      <c r="CU39" s="6">
        <f t="shared" si="22"/>
        <v>173558176.80000001</v>
      </c>
      <c r="CV39" s="6">
        <f t="shared" si="23"/>
        <v>13964418</v>
      </c>
      <c r="CW39" s="6">
        <f t="shared" si="24"/>
        <v>38023428</v>
      </c>
      <c r="CX39" s="23">
        <f t="shared" si="25"/>
        <v>0.50053324769922014</v>
      </c>
      <c r="CY39" s="23">
        <f t="shared" si="26"/>
        <v>4.0272694854498192E-2</v>
      </c>
      <c r="CZ39" s="6">
        <f t="shared" si="27"/>
        <v>192590166.70549747</v>
      </c>
      <c r="DA39" s="6">
        <f t="shared" si="28"/>
        <v>15495723.913165983</v>
      </c>
      <c r="DB39" s="6">
        <f t="shared" si="29"/>
        <v>15983263</v>
      </c>
      <c r="DC39" s="6">
        <f t="shared" si="30"/>
        <v>15983263</v>
      </c>
      <c r="DD39" s="6">
        <f t="shared" si="31"/>
        <v>7534884</v>
      </c>
      <c r="DE39" s="6">
        <f t="shared" si="32"/>
        <v>11976289</v>
      </c>
      <c r="DF39" s="6">
        <f t="shared" si="33"/>
        <v>7980885.2475949964</v>
      </c>
      <c r="DG39" s="30"/>
      <c r="DH39" s="32">
        <f>VLOOKUP(A39,'T_med_comp-USA'!$A$7:$Q$233,17,0)</f>
        <v>14.726254913148475</v>
      </c>
      <c r="DI39" s="6" t="str">
        <f t="shared" si="34"/>
        <v>4_2008</v>
      </c>
      <c r="DJ39" s="32">
        <f>IF(DI39="","",VLOOKUP(DI39,'CPI USA'!$T:$U,2,FALSE))</f>
        <v>215.303</v>
      </c>
      <c r="DK39" s="32">
        <f>IF(DI39="","",VLOOKUP(DI39,'PPI USA'!$S:$T,2,FALSE))</f>
        <v>159.30000000000001</v>
      </c>
      <c r="DL39" s="32">
        <f>IF(DI39="","",VLOOKUP(DI39,'CPI USA'!$T:$V,3,FALSE))</f>
        <v>0.67018812038291731</v>
      </c>
      <c r="DM39" s="32">
        <f>IF(DI39="","",VLOOKUP(DI39,'CPI USA'!$T:$X,5,FALSE))</f>
        <v>0.49838492968660258</v>
      </c>
      <c r="DN39" s="32">
        <f t="shared" si="35"/>
        <v>1.4884333659448254</v>
      </c>
      <c r="DO39" s="32">
        <f t="shared" si="36"/>
        <v>1.5036496327119213</v>
      </c>
      <c r="DP39" s="32">
        <f t="shared" si="37"/>
        <v>0.44904960895656915</v>
      </c>
      <c r="DQ39" s="32">
        <f>IF(DP39="","",DP39*$DO$1/'CPI USA'!$U$520+(1-DP39)*AVERAGE($DO$1,$DQ$1)/AVERAGE('CPI USA'!$U$520,'PPI USA'!$T$526))</f>
        <v>1.0770852625796794</v>
      </c>
      <c r="DR39" s="6">
        <f t="shared" si="38"/>
        <v>2134169</v>
      </c>
      <c r="DS39" s="32">
        <f t="shared" si="39"/>
        <v>0.2832384679047481</v>
      </c>
      <c r="DT39" s="28">
        <f>IF(DS39="","",DS39*$DO$1/'CPI USA'!$U$520+(1-DS39)*AVERAGE($DO$1,$DQ$1)/AVERAGE('CPI USA'!$U$520,'PPI USA'!$T$526))</f>
        <v>1.0826629948713626</v>
      </c>
      <c r="DU39" s="6">
        <f t="shared" si="40"/>
        <v>3751957</v>
      </c>
      <c r="DV39" s="6">
        <f t="shared" si="57"/>
        <v>39719.356313605407</v>
      </c>
      <c r="DW39" s="6">
        <f t="shared" si="41"/>
        <v>2198102.1354372129</v>
      </c>
      <c r="DX39" s="16">
        <f t="shared" si="42"/>
        <v>0.27542084208009393</v>
      </c>
      <c r="DY39" s="28">
        <f>IF(DX39="","",DX39*$DO$1/'CPI USA'!$U$520+(1-DX39)*AVERAGE($DO$1,$DQ$1)/AVERAGE('CPI USA'!$U$520,'PPI USA'!$T$526))</f>
        <v>1.0829259725200893</v>
      </c>
      <c r="DZ39" s="30"/>
      <c r="EA39" s="29" t="str">
        <f t="shared" si="43"/>
        <v>C000501</v>
      </c>
      <c r="EB39" s="29">
        <f t="shared" si="44"/>
        <v>286657630.07733864</v>
      </c>
      <c r="EC39" s="29">
        <f t="shared" si="45"/>
        <v>23300139.570637368</v>
      </c>
      <c r="ED39" s="29">
        <f t="shared" si="46"/>
        <v>17215337.025235076</v>
      </c>
      <c r="EE39" s="29">
        <f t="shared" si="47"/>
        <v>8157740.0774483122</v>
      </c>
      <c r="EF39" s="29">
        <f t="shared" si="48"/>
        <v>8642707.9183230456</v>
      </c>
      <c r="EG39" s="29">
        <f t="shared" si="49"/>
        <v>167</v>
      </c>
      <c r="EH39" s="29">
        <f t="shared" si="50"/>
        <v>53268</v>
      </c>
      <c r="EI39" s="29">
        <f t="shared" si="51"/>
        <v>59865</v>
      </c>
      <c r="EJ39" s="29">
        <f t="shared" si="52"/>
        <v>710770</v>
      </c>
      <c r="EK39" s="29">
        <f t="shared" si="53"/>
        <v>770109.4517766498</v>
      </c>
      <c r="EL39" s="29">
        <f>IF(CD39=1,VLOOKUP(EA39,'EIA 2022'!$A$2:$J$213,4,0)*EH39,"")</f>
        <v>10898632.799999999</v>
      </c>
      <c r="EM39" s="29">
        <f>IF(CD39=1,VLOOKUP(EA39,'EIA 2022'!$A$2:$J$213,7,0)*EH39,"")</f>
        <v>123049.08</v>
      </c>
      <c r="EN39" s="29">
        <f>IF(CD39=1,VLOOKUP(EA39,'EIA 2022'!$A$2:$J$213,10,0),"")</f>
        <v>58671</v>
      </c>
      <c r="EO39" s="28">
        <f>IF(CD39=1,VLOOKUP(EA39,'EIA 2022'!$A$2:$Z$213,26,0),"")</f>
        <v>0</v>
      </c>
      <c r="EP39" s="23">
        <f t="shared" si="54"/>
        <v>7.7053270336772353E-2</v>
      </c>
      <c r="EQ39" s="32">
        <f t="shared" si="55"/>
        <v>525.54822335025528</v>
      </c>
      <c r="ER39" s="32">
        <f t="shared" si="56"/>
        <v>59339.451776649745</v>
      </c>
      <c r="ES39" s="32"/>
      <c r="ET39" s="32"/>
    </row>
    <row r="40" spans="1:150" ht="15.75" customHeight="1">
      <c r="A40" s="7" t="s">
        <v>321</v>
      </c>
      <c r="B40" s="7" t="s">
        <v>322</v>
      </c>
      <c r="C40" s="32" t="s">
        <v>909</v>
      </c>
      <c r="D40" s="42">
        <v>0</v>
      </c>
      <c r="E40" s="42">
        <v>0</v>
      </c>
      <c r="F40" s="42">
        <v>0</v>
      </c>
      <c r="G40" s="42">
        <v>0</v>
      </c>
      <c r="H40" s="42">
        <v>158868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f>IFERROR(VLOOKUP(A40,'Trans 21-23'!$A$2:$J$229,8,0),0)</f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1586392</v>
      </c>
      <c r="AE40" s="42">
        <v>0</v>
      </c>
      <c r="AF40" s="42">
        <v>4373010</v>
      </c>
      <c r="AG40" s="42">
        <v>0</v>
      </c>
      <c r="AH40" s="42">
        <v>0</v>
      </c>
      <c r="AI40" s="42">
        <v>179580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179580</v>
      </c>
      <c r="AS40" s="42">
        <v>179580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50042947</v>
      </c>
      <c r="BD40" s="42">
        <v>2486039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4767</v>
      </c>
      <c r="BN40" s="42">
        <v>599810</v>
      </c>
      <c r="BO40" s="42">
        <v>3215</v>
      </c>
      <c r="BP40" s="42">
        <v>0</v>
      </c>
      <c r="BQ40" s="42">
        <v>669273</v>
      </c>
      <c r="BR40" s="42">
        <v>0</v>
      </c>
      <c r="BS40" s="42">
        <f>IFERROR(VLOOKUP(A40,'Trans 21-23'!$A$2:$J$229,7,0),0)</f>
        <v>0</v>
      </c>
      <c r="BT40" s="63"/>
      <c r="BU40" s="32">
        <f t="shared" si="0"/>
        <v>0</v>
      </c>
      <c r="BV40" s="32">
        <f t="shared" si="1"/>
        <v>0</v>
      </c>
      <c r="BW40" s="32">
        <f t="shared" si="2"/>
        <v>0</v>
      </c>
      <c r="BX40" s="32">
        <f t="shared" si="3"/>
        <v>0</v>
      </c>
      <c r="BY40" s="32">
        <f t="shared" si="4"/>
        <v>0</v>
      </c>
      <c r="BZ40" s="32">
        <f t="shared" si="5"/>
        <v>0</v>
      </c>
      <c r="CA40" s="32">
        <f t="shared" si="6"/>
        <v>1586392</v>
      </c>
      <c r="CB40" s="32">
        <f t="shared" si="7"/>
        <v>0</v>
      </c>
      <c r="CC40" s="32">
        <f t="shared" si="8"/>
        <v>0</v>
      </c>
      <c r="CD40" s="41">
        <f t="shared" si="9"/>
        <v>0</v>
      </c>
      <c r="CE40" s="44">
        <f t="shared" si="10"/>
        <v>56</v>
      </c>
      <c r="CF40" s="27"/>
      <c r="CG40" s="28" t="str">
        <f t="shared" si="11"/>
        <v/>
      </c>
      <c r="CH40" s="28" t="str">
        <f t="shared" si="12"/>
        <v/>
      </c>
      <c r="CI40" s="28" t="str">
        <f t="shared" si="13"/>
        <v/>
      </c>
      <c r="CJ40" s="28" t="str">
        <f t="shared" si="14"/>
        <v/>
      </c>
      <c r="CK40" s="23" t="str">
        <f t="shared" si="15"/>
        <v/>
      </c>
      <c r="CL40" s="29" t="str">
        <f t="shared" si="16"/>
        <v/>
      </c>
      <c r="CM40" s="29" t="str">
        <f t="shared" si="17"/>
        <v/>
      </c>
      <c r="CN40" s="29" t="str">
        <f t="shared" si="18"/>
        <v/>
      </c>
      <c r="CO40" s="29" t="str">
        <f t="shared" si="19"/>
        <v/>
      </c>
      <c r="CP40" s="29" t="str">
        <f t="shared" si="20"/>
        <v/>
      </c>
      <c r="CQ40" s="29" t="str">
        <f t="shared" si="21"/>
        <v/>
      </c>
      <c r="CR40" s="30"/>
      <c r="CS40" s="7" t="str">
        <f>VLOOKUP(A40,'Empresas 21-23'!$A$2:$M$228,13,0)</f>
        <v/>
      </c>
      <c r="CT40" s="30"/>
      <c r="CU40" s="6">
        <f t="shared" si="22"/>
        <v>0</v>
      </c>
      <c r="CV40" s="6">
        <f t="shared" si="23"/>
        <v>0</v>
      </c>
      <c r="CW40" s="6">
        <f t="shared" si="24"/>
        <v>2486039</v>
      </c>
      <c r="CX40" s="23">
        <f t="shared" si="25"/>
        <v>0</v>
      </c>
      <c r="CY40" s="23">
        <f t="shared" si="26"/>
        <v>0</v>
      </c>
      <c r="CZ40" s="6">
        <f t="shared" si="27"/>
        <v>0</v>
      </c>
      <c r="DA40" s="6">
        <f t="shared" si="28"/>
        <v>0</v>
      </c>
      <c r="DB40" s="6">
        <f t="shared" si="29"/>
        <v>0</v>
      </c>
      <c r="DC40" s="6">
        <f t="shared" si="30"/>
        <v>0</v>
      </c>
      <c r="DD40" s="6">
        <f t="shared" si="31"/>
        <v>0</v>
      </c>
      <c r="DE40" s="6">
        <f t="shared" si="32"/>
        <v>1586392</v>
      </c>
      <c r="DF40" s="6">
        <f t="shared" si="33"/>
        <v>0</v>
      </c>
      <c r="DG40" s="30"/>
      <c r="DH40" s="32" t="str">
        <f>VLOOKUP(A40,'T_med_comp-USA'!$A$7:$Q$233,17,0)</f>
        <v>-</v>
      </c>
      <c r="DI40" s="6" t="str">
        <f t="shared" si="34"/>
        <v/>
      </c>
      <c r="DJ40" s="32" t="str">
        <f>IF(DI40="","",VLOOKUP(DI40,'CPI USA'!$T:$U,2,FALSE))</f>
        <v/>
      </c>
      <c r="DK40" s="32" t="str">
        <f>IF(DI40="","",VLOOKUP(DI40,'PPI USA'!$S:$T,2,FALSE))</f>
        <v/>
      </c>
      <c r="DL40" s="32" t="str">
        <f>IF(DI40="","",VLOOKUP(DI40,'CPI USA'!$T:$V,3,FALSE))</f>
        <v/>
      </c>
      <c r="DM40" s="32" t="str">
        <f>IF(DI40="","",VLOOKUP(DI40,'CPI USA'!$T:$X,5,FALSE))</f>
        <v/>
      </c>
      <c r="DN40" s="32" t="str">
        <f t="shared" si="35"/>
        <v/>
      </c>
      <c r="DO40" s="32" t="str">
        <f t="shared" si="36"/>
        <v/>
      </c>
      <c r="DP40" s="32" t="str">
        <f t="shared" si="37"/>
        <v/>
      </c>
      <c r="DQ40" s="32" t="str">
        <f>IF(DP40="","",DP40*$DO$1/'CPI USA'!$U$520+(1-DP40)*AVERAGE($DO$1,$DQ$1)/AVERAGE('CPI USA'!$U$520,'PPI USA'!$T$526))</f>
        <v/>
      </c>
      <c r="DR40" s="6">
        <f t="shared" si="38"/>
        <v>0</v>
      </c>
      <c r="DS40" s="32" t="str">
        <f t="shared" si="39"/>
        <v/>
      </c>
      <c r="DT40" s="28" t="str">
        <f>IF(DS40="","",DS40*$DO$1/'CPI USA'!$U$520+(1-DS40)*AVERAGE($DO$1,$DQ$1)/AVERAGE('CPI USA'!$U$520,'PPI USA'!$T$526))</f>
        <v/>
      </c>
      <c r="DU40" s="6" t="str">
        <f t="shared" si="40"/>
        <v/>
      </c>
      <c r="DV40" s="6">
        <f t="shared" si="57"/>
        <v>0</v>
      </c>
      <c r="DW40" s="6">
        <f t="shared" si="41"/>
        <v>0</v>
      </c>
      <c r="DX40" s="16" t="str">
        <f t="shared" si="42"/>
        <v/>
      </c>
      <c r="DY40" s="28" t="str">
        <f>IF(DX40="","",DX40*$DO$1/'CPI USA'!$U$520+(1-DX40)*AVERAGE($DO$1,$DQ$1)/AVERAGE('CPI USA'!$U$520,'PPI USA'!$T$526))</f>
        <v/>
      </c>
      <c r="DZ40" s="30"/>
      <c r="EA40" s="29" t="str">
        <f t="shared" si="43"/>
        <v>C000502</v>
      </c>
      <c r="EB40" s="29" t="str">
        <f t="shared" si="44"/>
        <v/>
      </c>
      <c r="EC40" s="29" t="str">
        <f t="shared" si="45"/>
        <v/>
      </c>
      <c r="ED40" s="29" t="str">
        <f t="shared" si="46"/>
        <v/>
      </c>
      <c r="EE40" s="29" t="str">
        <f t="shared" si="47"/>
        <v/>
      </c>
      <c r="EF40" s="29" t="str">
        <f t="shared" si="48"/>
        <v/>
      </c>
      <c r="EG40" s="29" t="str">
        <f t="shared" si="49"/>
        <v/>
      </c>
      <c r="EH40" s="29" t="str">
        <f t="shared" si="50"/>
        <v/>
      </c>
      <c r="EI40" s="29" t="str">
        <f t="shared" si="51"/>
        <v/>
      </c>
      <c r="EJ40" s="29" t="str">
        <f t="shared" si="52"/>
        <v/>
      </c>
      <c r="EK40" s="29" t="str">
        <f t="shared" si="53"/>
        <v/>
      </c>
      <c r="EL40" s="29" t="str">
        <f>IF(CD40=1,VLOOKUP(EA40,'EIA 2022'!$A$2:$J$213,4,0)*EH40,"")</f>
        <v/>
      </c>
      <c r="EM40" s="29" t="str">
        <f>IF(CD40=1,VLOOKUP(EA40,'EIA 2022'!$A$2:$J$213,7,0)*EH40,"")</f>
        <v/>
      </c>
      <c r="EN40" s="29" t="str">
        <f>IF(CD40=1,VLOOKUP(EA40,'EIA 2022'!$A$2:$J$213,10,0),"")</f>
        <v/>
      </c>
      <c r="EO40" s="28" t="str">
        <f>IF(CD40=1,VLOOKUP(EA40,'EIA 2022'!$A$2:$Z$213,26,0),"")</f>
        <v/>
      </c>
      <c r="EP40" s="23" t="str">
        <f t="shared" si="54"/>
        <v/>
      </c>
      <c r="EQ40" s="32" t="str">
        <f t="shared" si="55"/>
        <v/>
      </c>
      <c r="ER40" s="32" t="str">
        <f t="shared" si="56"/>
        <v/>
      </c>
      <c r="ES40" s="32"/>
      <c r="ET40" s="32"/>
    </row>
    <row r="41" spans="1:150" ht="15.75" customHeight="1">
      <c r="A41" s="7" t="s">
        <v>324</v>
      </c>
      <c r="B41" s="7" t="s">
        <v>325</v>
      </c>
      <c r="C41" s="32" t="s">
        <v>910</v>
      </c>
      <c r="D41" s="42">
        <v>0</v>
      </c>
      <c r="E41" s="42">
        <v>0</v>
      </c>
      <c r="F41" s="42">
        <v>0</v>
      </c>
      <c r="G41" s="42">
        <v>202477975</v>
      </c>
      <c r="H41" s="42">
        <v>202752600</v>
      </c>
      <c r="I41" s="42">
        <v>6655637</v>
      </c>
      <c r="J41" s="42">
        <v>3288941</v>
      </c>
      <c r="K41" s="42">
        <v>0</v>
      </c>
      <c r="L41" s="42">
        <v>1831558</v>
      </c>
      <c r="M41" s="42">
        <v>1838570</v>
      </c>
      <c r="N41" s="42">
        <v>46756</v>
      </c>
      <c r="O41" s="42">
        <v>3279503</v>
      </c>
      <c r="P41" s="42">
        <v>49679</v>
      </c>
      <c r="Q41" s="42">
        <v>0</v>
      </c>
      <c r="R41" s="42">
        <v>0</v>
      </c>
      <c r="S41" s="42">
        <v>1004821</v>
      </c>
      <c r="T41" s="42">
        <v>38078671</v>
      </c>
      <c r="U41" s="42">
        <v>3283672</v>
      </c>
      <c r="V41" s="42">
        <v>58225</v>
      </c>
      <c r="W41" s="42">
        <v>0</v>
      </c>
      <c r="X41" s="42">
        <f>IFERROR(VLOOKUP(A41,'Trans 21-23'!$A$2:$J$229,8,0),0)</f>
        <v>0</v>
      </c>
      <c r="Y41" s="42">
        <v>3914186</v>
      </c>
      <c r="Z41" s="42">
        <v>0</v>
      </c>
      <c r="AA41" s="42">
        <v>18273767</v>
      </c>
      <c r="AB41" s="42">
        <v>32861437</v>
      </c>
      <c r="AC41" s="42">
        <v>7188</v>
      </c>
      <c r="AD41" s="42">
        <v>56875415</v>
      </c>
      <c r="AE41" s="42">
        <v>0</v>
      </c>
      <c r="AF41" s="42">
        <v>391257481</v>
      </c>
      <c r="AG41" s="42">
        <v>240211</v>
      </c>
      <c r="AH41" s="42">
        <v>61741</v>
      </c>
      <c r="AI41" s="42">
        <v>4287693</v>
      </c>
      <c r="AJ41" s="42">
        <v>14766</v>
      </c>
      <c r="AK41" s="42">
        <v>0</v>
      </c>
      <c r="AL41" s="42">
        <v>1714751</v>
      </c>
      <c r="AM41" s="42">
        <v>1825086</v>
      </c>
      <c r="AN41" s="42">
        <v>360652</v>
      </c>
      <c r="AO41" s="42">
        <v>15240</v>
      </c>
      <c r="AP41" s="42">
        <v>105257</v>
      </c>
      <c r="AQ41" s="42">
        <v>4020986</v>
      </c>
      <c r="AR41" s="42">
        <v>190200</v>
      </c>
      <c r="AS41" s="42">
        <v>4211186</v>
      </c>
      <c r="AT41" s="42">
        <v>0</v>
      </c>
      <c r="AU41" s="42">
        <v>1454</v>
      </c>
      <c r="AV41" s="42">
        <v>0</v>
      </c>
      <c r="AW41" s="42">
        <v>245035630</v>
      </c>
      <c r="AX41" s="42">
        <v>43745904</v>
      </c>
      <c r="AY41" s="42">
        <v>170975239</v>
      </c>
      <c r="AZ41" s="42">
        <v>43123016</v>
      </c>
      <c r="BA41" s="42">
        <v>20478838</v>
      </c>
      <c r="BB41" s="42">
        <v>1192498364</v>
      </c>
      <c r="BC41" s="42">
        <v>1667297886</v>
      </c>
      <c r="BD41" s="42">
        <v>75293904</v>
      </c>
      <c r="BE41" s="42">
        <v>380706123</v>
      </c>
      <c r="BF41" s="42">
        <v>33490014</v>
      </c>
      <c r="BG41" s="42">
        <v>0</v>
      </c>
      <c r="BH41" s="42">
        <v>34953597</v>
      </c>
      <c r="BI41" s="42">
        <v>8462892</v>
      </c>
      <c r="BJ41" s="42">
        <v>969188</v>
      </c>
      <c r="BK41" s="42">
        <v>0</v>
      </c>
      <c r="BL41" s="42">
        <v>0</v>
      </c>
      <c r="BM41" s="42">
        <v>9513382</v>
      </c>
      <c r="BN41" s="42">
        <v>61596960</v>
      </c>
      <c r="BO41" s="42">
        <v>0</v>
      </c>
      <c r="BP41" s="42">
        <v>0</v>
      </c>
      <c r="BQ41" s="42">
        <v>128293044</v>
      </c>
      <c r="BR41" s="42">
        <v>0</v>
      </c>
      <c r="BS41" s="42">
        <f>IFERROR(VLOOKUP(A41,'Trans 21-23'!$A$2:$J$229,7,0),0)</f>
        <v>0</v>
      </c>
      <c r="BT41" s="63"/>
      <c r="BU41" s="32">
        <f t="shared" si="0"/>
        <v>1192498364</v>
      </c>
      <c r="BV41" s="32">
        <f t="shared" si="1"/>
        <v>1454</v>
      </c>
      <c r="BW41" s="32">
        <f t="shared" si="2"/>
        <v>240211</v>
      </c>
      <c r="BX41" s="32">
        <f t="shared" si="3"/>
        <v>59416033</v>
      </c>
      <c r="BY41" s="32">
        <f t="shared" si="4"/>
        <v>55056578</v>
      </c>
      <c r="BZ41" s="32">
        <f t="shared" si="5"/>
        <v>43123016</v>
      </c>
      <c r="CA41" s="32">
        <f t="shared" si="6"/>
        <v>56875415</v>
      </c>
      <c r="CB41" s="32">
        <f t="shared" si="7"/>
        <v>61741</v>
      </c>
      <c r="CC41" s="32">
        <f t="shared" si="8"/>
        <v>4020986</v>
      </c>
      <c r="CD41" s="41">
        <f t="shared" si="9"/>
        <v>1</v>
      </c>
      <c r="CE41" s="44">
        <f t="shared" si="10"/>
        <v>20</v>
      </c>
      <c r="CF41" s="27"/>
      <c r="CG41" s="28">
        <f t="shared" si="11"/>
        <v>820.15018156808799</v>
      </c>
      <c r="CH41" s="28">
        <f t="shared" si="12"/>
        <v>6.0530117271898458</v>
      </c>
      <c r="CI41" s="28">
        <f t="shared" si="13"/>
        <v>247.34934286939398</v>
      </c>
      <c r="CJ41" s="28">
        <f t="shared" si="14"/>
        <v>179.5214040988964</v>
      </c>
      <c r="CK41" s="23">
        <f t="shared" si="15"/>
        <v>1.5354691610465692E-2</v>
      </c>
      <c r="CL41" s="29" t="str">
        <f t="shared" si="16"/>
        <v/>
      </c>
      <c r="CM41" s="29" t="str">
        <f t="shared" si="17"/>
        <v/>
      </c>
      <c r="CN41" s="29" t="str">
        <f t="shared" si="18"/>
        <v/>
      </c>
      <c r="CO41" s="29" t="str">
        <f t="shared" si="19"/>
        <v/>
      </c>
      <c r="CP41" s="29" t="str">
        <f t="shared" si="20"/>
        <v/>
      </c>
      <c r="CQ41" s="29">
        <f t="shared" si="21"/>
        <v>0</v>
      </c>
      <c r="CR41" s="30"/>
      <c r="CS41" s="7">
        <f>VLOOKUP(A41,'Empresas 21-23'!$A$2:$M$228,13,0)</f>
        <v>1</v>
      </c>
      <c r="CT41" s="30"/>
      <c r="CU41" s="6">
        <f t="shared" si="22"/>
        <v>1000063824.2</v>
      </c>
      <c r="CV41" s="6">
        <f t="shared" si="23"/>
        <v>43123016</v>
      </c>
      <c r="CW41" s="6">
        <f t="shared" si="24"/>
        <v>75293904</v>
      </c>
      <c r="CX41" s="23">
        <f t="shared" si="25"/>
        <v>0.62817922285825034</v>
      </c>
      <c r="CY41" s="23">
        <f t="shared" si="26"/>
        <v>2.7087253855876348E-2</v>
      </c>
      <c r="CZ41" s="6">
        <f t="shared" si="27"/>
        <v>1047361890.3006837</v>
      </c>
      <c r="DA41" s="6">
        <f t="shared" si="28"/>
        <v>45162521.091447987</v>
      </c>
      <c r="DB41" s="6">
        <f t="shared" si="29"/>
        <v>59416033</v>
      </c>
      <c r="DC41" s="6">
        <f t="shared" si="30"/>
        <v>59416033</v>
      </c>
      <c r="DD41" s="6">
        <f t="shared" si="31"/>
        <v>55056578</v>
      </c>
      <c r="DE41" s="6">
        <f t="shared" si="32"/>
        <v>56875415</v>
      </c>
      <c r="DF41" s="6">
        <f t="shared" si="33"/>
        <v>49462156.571831457</v>
      </c>
      <c r="DG41" s="30"/>
      <c r="DH41" s="32">
        <f>VLOOKUP(A41,'T_med_comp-USA'!$A$7:$Q$233,17,0)</f>
        <v>11.32383839288137</v>
      </c>
      <c r="DI41" s="6" t="str">
        <f t="shared" si="34"/>
        <v>9_2011</v>
      </c>
      <c r="DJ41" s="32">
        <f>IF(DI41="","",VLOOKUP(DI41,'CPI USA'!$T:$U,2,FALSE))</f>
        <v>224.93899999999999</v>
      </c>
      <c r="DK41" s="32">
        <f>IF(DI41="","",VLOOKUP(DI41,'PPI USA'!$S:$T,2,FALSE))</f>
        <v>169.6</v>
      </c>
      <c r="DL41" s="32">
        <f>IF(DI41="","",VLOOKUP(DI41,'CPI USA'!$T:$V,3,FALSE))</f>
        <v>0.6684022975047168</v>
      </c>
      <c r="DM41" s="32">
        <f>IF(DI41="","",VLOOKUP(DI41,'CPI USA'!$T:$X,5,FALSE))</f>
        <v>0.49636791791307899</v>
      </c>
      <c r="DN41" s="32">
        <f t="shared" si="35"/>
        <v>1.4208751760332547</v>
      </c>
      <c r="DO41" s="32">
        <f t="shared" si="36"/>
        <v>1.4334111417560953</v>
      </c>
      <c r="DP41" s="32">
        <f t="shared" si="37"/>
        <v>0.58828560634467131</v>
      </c>
      <c r="DQ41" s="32">
        <f>IF(DP41="","",DP41*$DO$1/'CPI USA'!$U$520+(1-DP41)*AVERAGE($DO$1,$DQ$1)/AVERAGE('CPI USA'!$U$520,'PPI USA'!$T$526))</f>
        <v>1.0724014933596506</v>
      </c>
      <c r="DR41" s="6">
        <f t="shared" si="38"/>
        <v>9432080</v>
      </c>
      <c r="DS41" s="32">
        <f t="shared" si="39"/>
        <v>0.2</v>
      </c>
      <c r="DT41" s="28">
        <f>IF(DS41="","",DS41*$DO$1/'CPI USA'!$U$520+(1-DS41)*AVERAGE($DO$1,$DQ$1)/AVERAGE('CPI USA'!$U$520,'PPI USA'!$T$526))</f>
        <v>1.0854630593748538</v>
      </c>
      <c r="DU41" s="6">
        <f t="shared" si="40"/>
        <v>9513382</v>
      </c>
      <c r="DV41" s="6">
        <f t="shared" si="57"/>
        <v>0</v>
      </c>
      <c r="DW41" s="6">
        <f t="shared" si="41"/>
        <v>6855174.3564879503</v>
      </c>
      <c r="DX41" s="16">
        <f t="shared" si="42"/>
        <v>0.2</v>
      </c>
      <c r="DY41" s="28">
        <f>IF(DX41="","",DX41*$DO$1/'CPI USA'!$U$520+(1-DX41)*AVERAGE($DO$1,$DQ$1)/AVERAGE('CPI USA'!$U$520,'PPI USA'!$T$526))</f>
        <v>1.0854630593748538</v>
      </c>
      <c r="DZ41" s="30"/>
      <c r="EA41" s="29" t="str">
        <f t="shared" si="43"/>
        <v>C000507</v>
      </c>
      <c r="EB41" s="29">
        <f t="shared" si="44"/>
        <v>1488170510.2515066</v>
      </c>
      <c r="EC41" s="29">
        <f t="shared" si="45"/>
        <v>64736460.922276191</v>
      </c>
      <c r="ED41" s="29">
        <f t="shared" si="46"/>
        <v>63717842.518706284</v>
      </c>
      <c r="EE41" s="29">
        <f t="shared" si="47"/>
        <v>59761881.594590269</v>
      </c>
      <c r="EF41" s="29">
        <f t="shared" si="48"/>
        <v>53689343.795738205</v>
      </c>
      <c r="EG41" s="29">
        <f t="shared" si="49"/>
        <v>1454</v>
      </c>
      <c r="EH41" s="29">
        <f t="shared" si="50"/>
        <v>240211</v>
      </c>
      <c r="EI41" s="29">
        <f t="shared" si="51"/>
        <v>61741</v>
      </c>
      <c r="EJ41" s="29">
        <f t="shared" si="52"/>
        <v>4020986</v>
      </c>
      <c r="EK41" s="29">
        <f t="shared" si="53"/>
        <v>4079830.5532994922</v>
      </c>
      <c r="EL41" s="29">
        <f>IF(CD41=1,VLOOKUP(EA41,'EIA 2022'!$A$2:$J$213,4,0)*EH41,"")</f>
        <v>23571184.796999998</v>
      </c>
      <c r="EM41" s="29">
        <f>IF(CD41=1,VLOOKUP(EA41,'EIA 2022'!$A$2:$J$213,7,0)*EH41,"")</f>
        <v>240211</v>
      </c>
      <c r="EN41" s="29">
        <f>IF(CD41=1,VLOOKUP(EA41,'EIA 2022'!$A$2:$J$213,10,0),"")</f>
        <v>240752</v>
      </c>
      <c r="EO41" s="28">
        <f>IF(CD41=1,VLOOKUP(EA41,'EIA 2022'!$A$2:$Z$213,26,0),"")</f>
        <v>0</v>
      </c>
      <c r="EP41" s="23">
        <f t="shared" si="54"/>
        <v>1.4423283646401162E-2</v>
      </c>
      <c r="EQ41" s="32">
        <f t="shared" si="55"/>
        <v>2896.4467005076294</v>
      </c>
      <c r="ER41" s="32">
        <f t="shared" si="56"/>
        <v>58844.553299492371</v>
      </c>
      <c r="ES41" s="32"/>
      <c r="ET41" s="32"/>
    </row>
    <row r="42" spans="1:150" ht="15.75" customHeight="1">
      <c r="A42" s="7" t="s">
        <v>327</v>
      </c>
      <c r="B42" s="7" t="s">
        <v>328</v>
      </c>
      <c r="C42" s="32" t="s">
        <v>911</v>
      </c>
      <c r="D42" s="42">
        <v>0</v>
      </c>
      <c r="E42" s="42">
        <v>0</v>
      </c>
      <c r="F42" s="42">
        <v>0</v>
      </c>
      <c r="G42" s="42">
        <v>101833591</v>
      </c>
      <c r="H42" s="42">
        <v>101833591</v>
      </c>
      <c r="I42" s="42">
        <v>1970474</v>
      </c>
      <c r="J42" s="42">
        <v>608527</v>
      </c>
      <c r="K42" s="42">
        <v>0</v>
      </c>
      <c r="L42" s="42">
        <v>282958</v>
      </c>
      <c r="M42" s="42">
        <v>377963</v>
      </c>
      <c r="N42" s="42">
        <v>497</v>
      </c>
      <c r="O42" s="42">
        <v>2828431</v>
      </c>
      <c r="P42" s="42">
        <v>8929</v>
      </c>
      <c r="Q42" s="42">
        <v>0</v>
      </c>
      <c r="R42" s="42">
        <v>0</v>
      </c>
      <c r="S42" s="42">
        <v>90868</v>
      </c>
      <c r="T42" s="42">
        <v>0</v>
      </c>
      <c r="U42" s="42">
        <v>16004046</v>
      </c>
      <c r="V42" s="42">
        <v>1070208</v>
      </c>
      <c r="W42" s="42">
        <v>0</v>
      </c>
      <c r="X42" s="42">
        <f>IFERROR(VLOOKUP(A42,'Trans 21-23'!$A$2:$J$229,8,0),0)</f>
        <v>0</v>
      </c>
      <c r="Y42" s="42">
        <v>561273</v>
      </c>
      <c r="Z42" s="42">
        <v>144972</v>
      </c>
      <c r="AA42" s="42">
        <v>7219097</v>
      </c>
      <c r="AB42" s="42">
        <v>9740470</v>
      </c>
      <c r="AC42" s="42">
        <v>676</v>
      </c>
      <c r="AD42" s="42">
        <v>17341889</v>
      </c>
      <c r="AE42" s="42">
        <v>0</v>
      </c>
      <c r="AF42" s="42">
        <v>163173498</v>
      </c>
      <c r="AG42" s="42">
        <v>74786</v>
      </c>
      <c r="AH42" s="42">
        <v>7700</v>
      </c>
      <c r="AI42" s="42">
        <v>1541425</v>
      </c>
      <c r="AJ42" s="42">
        <v>1391</v>
      </c>
      <c r="AK42" s="42">
        <v>0</v>
      </c>
      <c r="AL42" s="42">
        <v>741979</v>
      </c>
      <c r="AM42" s="42">
        <v>769112</v>
      </c>
      <c r="AN42" s="42">
        <v>14760</v>
      </c>
      <c r="AO42" s="42">
        <v>6483</v>
      </c>
      <c r="AP42" s="42">
        <v>0</v>
      </c>
      <c r="AQ42" s="42">
        <v>1532334</v>
      </c>
      <c r="AR42" s="42">
        <v>0</v>
      </c>
      <c r="AS42" s="42">
        <v>1532334</v>
      </c>
      <c r="AT42" s="42">
        <v>0</v>
      </c>
      <c r="AU42" s="42">
        <v>405</v>
      </c>
      <c r="AV42" s="42">
        <v>0</v>
      </c>
      <c r="AW42" s="42">
        <v>80330413</v>
      </c>
      <c r="AX42" s="42">
        <v>38800676</v>
      </c>
      <c r="AY42" s="42">
        <v>71893478</v>
      </c>
      <c r="AZ42" s="42">
        <v>12669913</v>
      </c>
      <c r="BA42" s="42">
        <v>7590154</v>
      </c>
      <c r="BB42" s="42">
        <v>417372961</v>
      </c>
      <c r="BC42" s="42">
        <v>502793334</v>
      </c>
      <c r="BD42" s="42">
        <v>11648851</v>
      </c>
      <c r="BE42" s="42">
        <v>94056575</v>
      </c>
      <c r="BF42" s="42">
        <v>7329766</v>
      </c>
      <c r="BG42" s="42">
        <v>0</v>
      </c>
      <c r="BH42" s="42">
        <v>5786262</v>
      </c>
      <c r="BI42" s="42">
        <v>162276</v>
      </c>
      <c r="BJ42" s="42">
        <v>0</v>
      </c>
      <c r="BK42" s="42">
        <v>0</v>
      </c>
      <c r="BL42" s="42">
        <v>0</v>
      </c>
      <c r="BM42" s="42">
        <v>2658298</v>
      </c>
      <c r="BN42" s="42">
        <v>14256893</v>
      </c>
      <c r="BO42" s="42">
        <v>0</v>
      </c>
      <c r="BP42" s="42">
        <v>0</v>
      </c>
      <c r="BQ42" s="42">
        <v>21491750</v>
      </c>
      <c r="BR42" s="42">
        <v>0</v>
      </c>
      <c r="BS42" s="42">
        <f>IFERROR(VLOOKUP(A42,'Trans 21-23'!$A$2:$J$229,7,0),0)</f>
        <v>0</v>
      </c>
      <c r="BT42" s="63"/>
      <c r="BU42" s="32">
        <f t="shared" si="0"/>
        <v>417372961</v>
      </c>
      <c r="BV42" s="32">
        <f t="shared" si="1"/>
        <v>405</v>
      </c>
      <c r="BW42" s="32">
        <f t="shared" si="2"/>
        <v>74786</v>
      </c>
      <c r="BX42" s="32">
        <f t="shared" si="3"/>
        <v>23242901</v>
      </c>
      <c r="BY42" s="32">
        <f t="shared" si="4"/>
        <v>17666488</v>
      </c>
      <c r="BZ42" s="32">
        <f t="shared" si="5"/>
        <v>12669913</v>
      </c>
      <c r="CA42" s="32">
        <f t="shared" si="6"/>
        <v>17341889</v>
      </c>
      <c r="CB42" s="32">
        <f t="shared" si="7"/>
        <v>7700</v>
      </c>
      <c r="CC42" s="32">
        <f t="shared" si="8"/>
        <v>1532334</v>
      </c>
      <c r="CD42" s="41">
        <f t="shared" si="9"/>
        <v>1</v>
      </c>
      <c r="CE42" s="44">
        <f t="shared" si="10"/>
        <v>23</v>
      </c>
      <c r="CF42" s="27"/>
      <c r="CG42" s="28">
        <f t="shared" si="11"/>
        <v>1030.5505209876544</v>
      </c>
      <c r="CH42" s="28">
        <f t="shared" si="12"/>
        <v>5.4154520899633622</v>
      </c>
      <c r="CI42" s="28">
        <f t="shared" si="13"/>
        <v>310.79214024015192</v>
      </c>
      <c r="CJ42" s="28">
        <f t="shared" si="14"/>
        <v>169.41557243334313</v>
      </c>
      <c r="CK42" s="23">
        <f t="shared" si="15"/>
        <v>5.0250141287734923E-3</v>
      </c>
      <c r="CL42" s="29" t="str">
        <f t="shared" si="16"/>
        <v/>
      </c>
      <c r="CM42" s="29" t="str">
        <f t="shared" si="17"/>
        <v/>
      </c>
      <c r="CN42" s="29" t="str">
        <f t="shared" si="18"/>
        <v/>
      </c>
      <c r="CO42" s="29" t="str">
        <f t="shared" si="19"/>
        <v/>
      </c>
      <c r="CP42" s="29" t="str">
        <f t="shared" si="20"/>
        <v/>
      </c>
      <c r="CQ42" s="29">
        <f t="shared" si="21"/>
        <v>0</v>
      </c>
      <c r="CR42" s="30"/>
      <c r="CS42" s="7">
        <f>VLOOKUP(A42,'Empresas 21-23'!$A$2:$M$228,13,0)</f>
        <v>1</v>
      </c>
      <c r="CT42" s="30"/>
      <c r="CU42" s="6">
        <f t="shared" si="22"/>
        <v>330696401.60000002</v>
      </c>
      <c r="CV42" s="6">
        <f t="shared" si="23"/>
        <v>12669913</v>
      </c>
      <c r="CW42" s="6">
        <f t="shared" si="24"/>
        <v>11648851</v>
      </c>
      <c r="CX42" s="23">
        <f t="shared" si="25"/>
        <v>0.67331796049106796</v>
      </c>
      <c r="CY42" s="23">
        <f t="shared" si="26"/>
        <v>2.5796712451313434E-2</v>
      </c>
      <c r="CZ42" s="6">
        <f t="shared" si="27"/>
        <v>338539782.19738436</v>
      </c>
      <c r="DA42" s="6">
        <f t="shared" si="28"/>
        <v>12970415.059635196</v>
      </c>
      <c r="DB42" s="6">
        <f t="shared" si="29"/>
        <v>23242901</v>
      </c>
      <c r="DC42" s="6">
        <f t="shared" si="30"/>
        <v>23242901</v>
      </c>
      <c r="DD42" s="6">
        <f t="shared" si="31"/>
        <v>17666488</v>
      </c>
      <c r="DE42" s="6">
        <f t="shared" si="32"/>
        <v>17341889</v>
      </c>
      <c r="DF42" s="6">
        <f t="shared" si="33"/>
        <v>16124500.951288784</v>
      </c>
      <c r="DG42" s="30"/>
      <c r="DH42" s="32">
        <f>VLOOKUP(A42,'T_med_comp-USA'!$A$7:$Q$233,17,0)</f>
        <v>12.236553383879</v>
      </c>
      <c r="DI42" s="6" t="str">
        <f t="shared" si="34"/>
        <v>10_2010</v>
      </c>
      <c r="DJ42" s="32">
        <f>IF(DI42="","",VLOOKUP(DI42,'CPI USA'!$T:$U,2,FALSE))</f>
        <v>218.05600000000001</v>
      </c>
      <c r="DK42" s="32">
        <f>IF(DI42="","",VLOOKUP(DI42,'PPI USA'!$S:$T,2,FALSE))</f>
        <v>160.80000000000001</v>
      </c>
      <c r="DL42" s="32">
        <f>IF(DI42="","",VLOOKUP(DI42,'CPI USA'!$T:$V,3,FALSE))</f>
        <v>0.67050107279443949</v>
      </c>
      <c r="DM42" s="32">
        <f>IF(DI42="","",VLOOKUP(DI42,'CPI USA'!$T:$X,5,FALSE))</f>
        <v>0.4987389730136107</v>
      </c>
      <c r="DN42" s="32">
        <f t="shared" si="35"/>
        <v>1.4703278680244813</v>
      </c>
      <c r="DO42" s="32">
        <f t="shared" si="36"/>
        <v>1.4857204383544427</v>
      </c>
      <c r="DP42" s="32">
        <f t="shared" si="37"/>
        <v>0.24894749583969747</v>
      </c>
      <c r="DQ42" s="32">
        <f>IF(DP42="","",DP42*$DO$1/'CPI USA'!$U$520+(1-DP42)*AVERAGE($DO$1,$DQ$1)/AVERAGE('CPI USA'!$U$520,'PPI USA'!$T$526))</f>
        <v>1.0838165112212723</v>
      </c>
      <c r="DR42" s="6">
        <f t="shared" si="38"/>
        <v>162276</v>
      </c>
      <c r="DS42" s="32">
        <f t="shared" si="39"/>
        <v>0.2</v>
      </c>
      <c r="DT42" s="28">
        <f>IF(DS42="","",DS42*$DO$1/'CPI USA'!$U$520+(1-DS42)*AVERAGE($DO$1,$DQ$1)/AVERAGE('CPI USA'!$U$520,'PPI USA'!$T$526))</f>
        <v>1.0854630593748538</v>
      </c>
      <c r="DU42" s="6">
        <f t="shared" si="40"/>
        <v>2658298</v>
      </c>
      <c r="DV42" s="6">
        <f t="shared" si="57"/>
        <v>0</v>
      </c>
      <c r="DW42" s="6">
        <f t="shared" si="41"/>
        <v>1109146.759278056</v>
      </c>
      <c r="DX42" s="16">
        <f t="shared" si="42"/>
        <v>0.2</v>
      </c>
      <c r="DY42" s="28">
        <f>IF(DX42="","",DX42*$DO$1/'CPI USA'!$U$520+(1-DX42)*AVERAGE($DO$1,$DQ$1)/AVERAGE('CPI USA'!$U$520,'PPI USA'!$T$526))</f>
        <v>1.0854630593748538</v>
      </c>
      <c r="DZ42" s="30"/>
      <c r="EA42" s="29" t="str">
        <f t="shared" si="43"/>
        <v>C000509</v>
      </c>
      <c r="EB42" s="29">
        <f t="shared" si="44"/>
        <v>497764476.19975239</v>
      </c>
      <c r="EC42" s="29">
        <f t="shared" si="45"/>
        <v>19270410.748040266</v>
      </c>
      <c r="ED42" s="29">
        <f t="shared" si="46"/>
        <v>25191039.872481421</v>
      </c>
      <c r="EE42" s="29">
        <f t="shared" si="47"/>
        <v>19176320.112889141</v>
      </c>
      <c r="EF42" s="29">
        <f t="shared" si="48"/>
        <v>17502550.133478664</v>
      </c>
      <c r="EG42" s="29">
        <f t="shared" si="49"/>
        <v>405</v>
      </c>
      <c r="EH42" s="29">
        <f t="shared" si="50"/>
        <v>74786</v>
      </c>
      <c r="EI42" s="29">
        <f t="shared" si="51"/>
        <v>7700</v>
      </c>
      <c r="EJ42" s="29">
        <f t="shared" si="52"/>
        <v>1532334</v>
      </c>
      <c r="EK42" s="29">
        <f t="shared" si="53"/>
        <v>1540034</v>
      </c>
      <c r="EL42" s="29">
        <f>IF(CD42=1,VLOOKUP(EA42,'EIA 2022'!$A$2:$J$213,4,0)*EH42,"")</f>
        <v>6901476.4380000001</v>
      </c>
      <c r="EM42" s="29">
        <f>IF(CD42=1,VLOOKUP(EA42,'EIA 2022'!$A$2:$J$213,7,0)*EH42,"")</f>
        <v>62969.811999999998</v>
      </c>
      <c r="EN42" s="29">
        <f>IF(CD42=1,VLOOKUP(EA42,'EIA 2022'!$A$2:$J$213,10,0),"")</f>
        <v>73609</v>
      </c>
      <c r="EO42" s="28">
        <f>IF(CD42=1,VLOOKUP(EA42,'EIA 2022'!$A$2:$Z$213,26,0),"")</f>
        <v>0</v>
      </c>
      <c r="EP42" s="23">
        <f t="shared" si="54"/>
        <v>4.9998896128267299E-3</v>
      </c>
      <c r="EQ42" s="32">
        <f t="shared" si="55"/>
        <v>0</v>
      </c>
      <c r="ER42" s="32">
        <f t="shared" si="56"/>
        <v>7700</v>
      </c>
      <c r="ES42" s="32"/>
      <c r="ET42" s="32"/>
    </row>
    <row r="43" spans="1:150" ht="15.75" customHeight="1">
      <c r="A43" s="7" t="s">
        <v>330</v>
      </c>
      <c r="B43" s="7" t="s">
        <v>331</v>
      </c>
      <c r="C43" s="32" t="s">
        <v>912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f>IFERROR(VLOOKUP(A43,'Trans 21-23'!$A$2:$J$229,8,0),0)</f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10920526</v>
      </c>
      <c r="AE43" s="42">
        <v>0</v>
      </c>
      <c r="AF43" s="42">
        <v>36213290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3439350193</v>
      </c>
      <c r="BD43" s="42">
        <v>58460769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>
        <v>0</v>
      </c>
      <c r="BP43" s="42">
        <v>0</v>
      </c>
      <c r="BQ43" s="42">
        <v>0</v>
      </c>
      <c r="BR43" s="42">
        <v>0</v>
      </c>
      <c r="BS43" s="42">
        <f>IFERROR(VLOOKUP(A43,'Trans 21-23'!$A$2:$J$229,7,0),0)</f>
        <v>0</v>
      </c>
      <c r="BT43" s="63"/>
      <c r="BU43" s="32">
        <f t="shared" si="0"/>
        <v>0</v>
      </c>
      <c r="BV43" s="32">
        <f t="shared" si="1"/>
        <v>0</v>
      </c>
      <c r="BW43" s="32">
        <f t="shared" si="2"/>
        <v>0</v>
      </c>
      <c r="BX43" s="32">
        <f t="shared" si="3"/>
        <v>0</v>
      </c>
      <c r="BY43" s="32">
        <f t="shared" si="4"/>
        <v>0</v>
      </c>
      <c r="BZ43" s="32">
        <f t="shared" si="5"/>
        <v>0</v>
      </c>
      <c r="CA43" s="32">
        <f t="shared" si="6"/>
        <v>10920526</v>
      </c>
      <c r="CB43" s="32">
        <f t="shared" si="7"/>
        <v>0</v>
      </c>
      <c r="CC43" s="32">
        <f t="shared" si="8"/>
        <v>0</v>
      </c>
      <c r="CD43" s="41">
        <f t="shared" si="9"/>
        <v>0</v>
      </c>
      <c r="CE43" s="44">
        <f t="shared" si="10"/>
        <v>64</v>
      </c>
      <c r="CF43" s="27"/>
      <c r="CG43" s="28" t="str">
        <f t="shared" si="11"/>
        <v/>
      </c>
      <c r="CH43" s="28" t="str">
        <f t="shared" si="12"/>
        <v/>
      </c>
      <c r="CI43" s="28" t="str">
        <f t="shared" si="13"/>
        <v/>
      </c>
      <c r="CJ43" s="28" t="str">
        <f t="shared" si="14"/>
        <v/>
      </c>
      <c r="CK43" s="23" t="str">
        <f t="shared" si="15"/>
        <v/>
      </c>
      <c r="CL43" s="29" t="str">
        <f t="shared" si="16"/>
        <v/>
      </c>
      <c r="CM43" s="29" t="str">
        <f t="shared" si="17"/>
        <v/>
      </c>
      <c r="CN43" s="29" t="str">
        <f t="shared" si="18"/>
        <v/>
      </c>
      <c r="CO43" s="29" t="str">
        <f t="shared" si="19"/>
        <v/>
      </c>
      <c r="CP43" s="29" t="str">
        <f t="shared" si="20"/>
        <v/>
      </c>
      <c r="CQ43" s="29" t="str">
        <f t="shared" si="21"/>
        <v/>
      </c>
      <c r="CR43" s="30"/>
      <c r="CS43" s="7" t="str">
        <f>VLOOKUP(A43,'Empresas 21-23'!$A$2:$M$228,13,0)</f>
        <v/>
      </c>
      <c r="CT43" s="30"/>
      <c r="CU43" s="6">
        <f t="shared" si="22"/>
        <v>0</v>
      </c>
      <c r="CV43" s="6">
        <f t="shared" si="23"/>
        <v>0</v>
      </c>
      <c r="CW43" s="6">
        <f t="shared" si="24"/>
        <v>58460769</v>
      </c>
      <c r="CX43" s="23">
        <f t="shared" si="25"/>
        <v>0</v>
      </c>
      <c r="CY43" s="23">
        <f t="shared" si="26"/>
        <v>0</v>
      </c>
      <c r="CZ43" s="6">
        <f t="shared" si="27"/>
        <v>0</v>
      </c>
      <c r="DA43" s="6">
        <f t="shared" si="28"/>
        <v>0</v>
      </c>
      <c r="DB43" s="6">
        <f t="shared" si="29"/>
        <v>0</v>
      </c>
      <c r="DC43" s="6">
        <f t="shared" si="30"/>
        <v>0</v>
      </c>
      <c r="DD43" s="6">
        <f t="shared" si="31"/>
        <v>0</v>
      </c>
      <c r="DE43" s="6">
        <f t="shared" si="32"/>
        <v>10920526</v>
      </c>
      <c r="DF43" s="6">
        <f t="shared" si="33"/>
        <v>0</v>
      </c>
      <c r="DG43" s="30"/>
      <c r="DH43" s="32" t="str">
        <f>VLOOKUP(A43,'T_med_comp-USA'!$A$7:$Q$233,17,0)</f>
        <v>-</v>
      </c>
      <c r="DI43" s="6" t="str">
        <f t="shared" si="34"/>
        <v/>
      </c>
      <c r="DJ43" s="32" t="str">
        <f>IF(DI43="","",VLOOKUP(DI43,'CPI USA'!$T:$U,2,FALSE))</f>
        <v/>
      </c>
      <c r="DK43" s="32" t="str">
        <f>IF(DI43="","",VLOOKUP(DI43,'PPI USA'!$S:$T,2,FALSE))</f>
        <v/>
      </c>
      <c r="DL43" s="32" t="str">
        <f>IF(DI43="","",VLOOKUP(DI43,'CPI USA'!$T:$V,3,FALSE))</f>
        <v/>
      </c>
      <c r="DM43" s="32" t="str">
        <f>IF(DI43="","",VLOOKUP(DI43,'CPI USA'!$T:$X,5,FALSE))</f>
        <v/>
      </c>
      <c r="DN43" s="32" t="str">
        <f t="shared" si="35"/>
        <v/>
      </c>
      <c r="DO43" s="32" t="str">
        <f t="shared" si="36"/>
        <v/>
      </c>
      <c r="DP43" s="32" t="str">
        <f t="shared" si="37"/>
        <v/>
      </c>
      <c r="DQ43" s="32" t="str">
        <f>IF(DP43="","",DP43*$DO$1/'CPI USA'!$U$520+(1-DP43)*AVERAGE($DO$1,$DQ$1)/AVERAGE('CPI USA'!$U$520,'PPI USA'!$T$526))</f>
        <v/>
      </c>
      <c r="DR43" s="6">
        <f t="shared" si="38"/>
        <v>0</v>
      </c>
      <c r="DS43" s="32" t="str">
        <f t="shared" si="39"/>
        <v/>
      </c>
      <c r="DT43" s="28" t="str">
        <f>IF(DS43="","",DS43*$DO$1/'CPI USA'!$U$520+(1-DS43)*AVERAGE($DO$1,$DQ$1)/AVERAGE('CPI USA'!$U$520,'PPI USA'!$T$526))</f>
        <v/>
      </c>
      <c r="DU43" s="6" t="str">
        <f t="shared" si="40"/>
        <v/>
      </c>
      <c r="DV43" s="6" t="str">
        <f t="shared" si="57"/>
        <v/>
      </c>
      <c r="DW43" s="6">
        <f t="shared" si="41"/>
        <v>0</v>
      </c>
      <c r="DX43" s="16" t="str">
        <f t="shared" si="42"/>
        <v/>
      </c>
      <c r="DY43" s="28" t="str">
        <f>IF(DX43="","",DX43*$DO$1/'CPI USA'!$U$520+(1-DX43)*AVERAGE($DO$1,$DQ$1)/AVERAGE('CPI USA'!$U$520,'PPI USA'!$T$526))</f>
        <v/>
      </c>
      <c r="DZ43" s="30"/>
      <c r="EA43" s="29" t="str">
        <f t="shared" si="43"/>
        <v>C000522</v>
      </c>
      <c r="EB43" s="29" t="str">
        <f t="shared" si="44"/>
        <v/>
      </c>
      <c r="EC43" s="29" t="str">
        <f t="shared" si="45"/>
        <v/>
      </c>
      <c r="ED43" s="29" t="str">
        <f t="shared" si="46"/>
        <v/>
      </c>
      <c r="EE43" s="29" t="str">
        <f t="shared" si="47"/>
        <v/>
      </c>
      <c r="EF43" s="29" t="str">
        <f t="shared" si="48"/>
        <v/>
      </c>
      <c r="EG43" s="29" t="str">
        <f t="shared" si="49"/>
        <v/>
      </c>
      <c r="EH43" s="29" t="str">
        <f t="shared" si="50"/>
        <v/>
      </c>
      <c r="EI43" s="29" t="str">
        <f t="shared" si="51"/>
        <v/>
      </c>
      <c r="EJ43" s="29" t="str">
        <f t="shared" si="52"/>
        <v/>
      </c>
      <c r="EK43" s="29" t="str">
        <f t="shared" si="53"/>
        <v/>
      </c>
      <c r="EL43" s="29" t="str">
        <f>IF(CD43=1,VLOOKUP(EA43,'EIA 2022'!$A$2:$J$213,4,0)*EH43,"")</f>
        <v/>
      </c>
      <c r="EM43" s="29" t="str">
        <f>IF(CD43=1,VLOOKUP(EA43,'EIA 2022'!$A$2:$J$213,7,0)*EH43,"")</f>
        <v/>
      </c>
      <c r="EN43" s="29" t="str">
        <f>IF(CD43=1,VLOOKUP(EA43,'EIA 2022'!$A$2:$J$213,10,0),"")</f>
        <v/>
      </c>
      <c r="EO43" s="28" t="str">
        <f>IF(CD43=1,VLOOKUP(EA43,'EIA 2022'!$A$2:$Z$213,26,0),"")</f>
        <v/>
      </c>
      <c r="EP43" s="23" t="str">
        <f t="shared" si="54"/>
        <v/>
      </c>
      <c r="EQ43" s="32" t="str">
        <f t="shared" si="55"/>
        <v/>
      </c>
      <c r="ER43" s="32" t="str">
        <f t="shared" si="56"/>
        <v/>
      </c>
      <c r="ES43" s="32"/>
      <c r="ET43" s="32"/>
    </row>
    <row r="44" spans="1:150" ht="15.75" customHeight="1">
      <c r="A44" s="7" t="s">
        <v>333</v>
      </c>
      <c r="B44" s="7" t="s">
        <v>334</v>
      </c>
      <c r="C44" s="32" t="s">
        <v>913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f>IFERROR(VLOOKUP(A44,'Trans 21-23'!$A$2:$J$229,8,0),0)</f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785645</v>
      </c>
      <c r="AE44" s="42">
        <v>0</v>
      </c>
      <c r="AF44" s="42">
        <v>2651009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177084220</v>
      </c>
      <c r="BD44" s="42">
        <v>22872052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f>IFERROR(VLOOKUP(A44,'Trans 21-23'!$A$2:$J$229,7,0),0)</f>
        <v>0</v>
      </c>
      <c r="BT44" s="63"/>
      <c r="BU44" s="32">
        <f t="shared" si="0"/>
        <v>0</v>
      </c>
      <c r="BV44" s="32">
        <f t="shared" si="1"/>
        <v>0</v>
      </c>
      <c r="BW44" s="32">
        <f t="shared" si="2"/>
        <v>0</v>
      </c>
      <c r="BX44" s="32">
        <f t="shared" si="3"/>
        <v>0</v>
      </c>
      <c r="BY44" s="32">
        <f t="shared" si="4"/>
        <v>0</v>
      </c>
      <c r="BZ44" s="32">
        <f t="shared" si="5"/>
        <v>0</v>
      </c>
      <c r="CA44" s="32">
        <f t="shared" si="6"/>
        <v>785645</v>
      </c>
      <c r="CB44" s="32">
        <f t="shared" si="7"/>
        <v>0</v>
      </c>
      <c r="CC44" s="32">
        <f t="shared" si="8"/>
        <v>0</v>
      </c>
      <c r="CD44" s="41">
        <f t="shared" si="9"/>
        <v>0</v>
      </c>
      <c r="CE44" s="44">
        <f t="shared" si="10"/>
        <v>64</v>
      </c>
      <c r="CF44" s="27"/>
      <c r="CG44" s="28" t="str">
        <f t="shared" si="11"/>
        <v/>
      </c>
      <c r="CH44" s="28" t="str">
        <f t="shared" si="12"/>
        <v/>
      </c>
      <c r="CI44" s="28" t="str">
        <f t="shared" si="13"/>
        <v/>
      </c>
      <c r="CJ44" s="28" t="str">
        <f t="shared" si="14"/>
        <v/>
      </c>
      <c r="CK44" s="23" t="str">
        <f t="shared" si="15"/>
        <v/>
      </c>
      <c r="CL44" s="29" t="str">
        <f t="shared" si="16"/>
        <v/>
      </c>
      <c r="CM44" s="29" t="str">
        <f t="shared" si="17"/>
        <v/>
      </c>
      <c r="CN44" s="29" t="str">
        <f t="shared" si="18"/>
        <v/>
      </c>
      <c r="CO44" s="29" t="str">
        <f t="shared" si="19"/>
        <v/>
      </c>
      <c r="CP44" s="29" t="str">
        <f t="shared" si="20"/>
        <v/>
      </c>
      <c r="CQ44" s="29" t="str">
        <f t="shared" si="21"/>
        <v/>
      </c>
      <c r="CR44" s="30"/>
      <c r="CS44" s="7" t="str">
        <f>VLOOKUP(A44,'Empresas 21-23'!$A$2:$M$228,13,0)</f>
        <v/>
      </c>
      <c r="CT44" s="30"/>
      <c r="CU44" s="6">
        <f t="shared" si="22"/>
        <v>0</v>
      </c>
      <c r="CV44" s="6">
        <f t="shared" si="23"/>
        <v>0</v>
      </c>
      <c r="CW44" s="6">
        <f t="shared" si="24"/>
        <v>22872052</v>
      </c>
      <c r="CX44" s="23">
        <f t="shared" si="25"/>
        <v>0</v>
      </c>
      <c r="CY44" s="23">
        <f t="shared" si="26"/>
        <v>0</v>
      </c>
      <c r="CZ44" s="6">
        <f t="shared" si="27"/>
        <v>0</v>
      </c>
      <c r="DA44" s="6">
        <f t="shared" si="28"/>
        <v>0</v>
      </c>
      <c r="DB44" s="6">
        <f t="shared" si="29"/>
        <v>0</v>
      </c>
      <c r="DC44" s="6">
        <f t="shared" si="30"/>
        <v>0</v>
      </c>
      <c r="DD44" s="6">
        <f t="shared" si="31"/>
        <v>0</v>
      </c>
      <c r="DE44" s="6">
        <f t="shared" si="32"/>
        <v>785645</v>
      </c>
      <c r="DF44" s="6">
        <f t="shared" si="33"/>
        <v>0</v>
      </c>
      <c r="DG44" s="30"/>
      <c r="DH44" s="32" t="str">
        <f>VLOOKUP(A44,'T_med_comp-USA'!$A$7:$Q$233,17,0)</f>
        <v>-</v>
      </c>
      <c r="DI44" s="6" t="str">
        <f t="shared" si="34"/>
        <v/>
      </c>
      <c r="DJ44" s="32" t="str">
        <f>IF(DI44="","",VLOOKUP(DI44,'CPI USA'!$T:$U,2,FALSE))</f>
        <v/>
      </c>
      <c r="DK44" s="32" t="str">
        <f>IF(DI44="","",VLOOKUP(DI44,'PPI USA'!$S:$T,2,FALSE))</f>
        <v/>
      </c>
      <c r="DL44" s="32" t="str">
        <f>IF(DI44="","",VLOOKUP(DI44,'CPI USA'!$T:$V,3,FALSE))</f>
        <v/>
      </c>
      <c r="DM44" s="32" t="str">
        <f>IF(DI44="","",VLOOKUP(DI44,'CPI USA'!$T:$X,5,FALSE))</f>
        <v/>
      </c>
      <c r="DN44" s="32" t="str">
        <f t="shared" si="35"/>
        <v/>
      </c>
      <c r="DO44" s="32" t="str">
        <f t="shared" si="36"/>
        <v/>
      </c>
      <c r="DP44" s="32" t="str">
        <f t="shared" si="37"/>
        <v/>
      </c>
      <c r="DQ44" s="32" t="str">
        <f>IF(DP44="","",DP44*$DO$1/'CPI USA'!$U$520+(1-DP44)*AVERAGE($DO$1,$DQ$1)/AVERAGE('CPI USA'!$U$520,'PPI USA'!$T$526))</f>
        <v/>
      </c>
      <c r="DR44" s="6">
        <f t="shared" si="38"/>
        <v>0</v>
      </c>
      <c r="DS44" s="32" t="str">
        <f t="shared" si="39"/>
        <v/>
      </c>
      <c r="DT44" s="28" t="str">
        <f>IF(DS44="","",DS44*$DO$1/'CPI USA'!$U$520+(1-DS44)*AVERAGE($DO$1,$DQ$1)/AVERAGE('CPI USA'!$U$520,'PPI USA'!$T$526))</f>
        <v/>
      </c>
      <c r="DU44" s="6" t="str">
        <f t="shared" si="40"/>
        <v/>
      </c>
      <c r="DV44" s="6" t="str">
        <f t="shared" si="57"/>
        <v/>
      </c>
      <c r="DW44" s="6">
        <f t="shared" si="41"/>
        <v>0</v>
      </c>
      <c r="DX44" s="16" t="str">
        <f t="shared" si="42"/>
        <v/>
      </c>
      <c r="DY44" s="28" t="str">
        <f>IF(DX44="","",DX44*$DO$1/'CPI USA'!$U$520+(1-DX44)*AVERAGE($DO$1,$DQ$1)/AVERAGE('CPI USA'!$U$520,'PPI USA'!$T$526))</f>
        <v/>
      </c>
      <c r="DZ44" s="30"/>
      <c r="EA44" s="29" t="str">
        <f t="shared" si="43"/>
        <v>C000523</v>
      </c>
      <c r="EB44" s="29" t="str">
        <f t="shared" si="44"/>
        <v/>
      </c>
      <c r="EC44" s="29" t="str">
        <f t="shared" si="45"/>
        <v/>
      </c>
      <c r="ED44" s="29" t="str">
        <f t="shared" si="46"/>
        <v/>
      </c>
      <c r="EE44" s="29" t="str">
        <f t="shared" si="47"/>
        <v/>
      </c>
      <c r="EF44" s="29" t="str">
        <f t="shared" si="48"/>
        <v/>
      </c>
      <c r="EG44" s="29" t="str">
        <f t="shared" si="49"/>
        <v/>
      </c>
      <c r="EH44" s="29" t="str">
        <f t="shared" si="50"/>
        <v/>
      </c>
      <c r="EI44" s="29" t="str">
        <f t="shared" si="51"/>
        <v/>
      </c>
      <c r="EJ44" s="29" t="str">
        <f t="shared" si="52"/>
        <v/>
      </c>
      <c r="EK44" s="29" t="str">
        <f t="shared" si="53"/>
        <v/>
      </c>
      <c r="EL44" s="29" t="str">
        <f>IF(CD44=1,VLOOKUP(EA44,'EIA 2022'!$A$2:$J$213,4,0)*EH44,"")</f>
        <v/>
      </c>
      <c r="EM44" s="29" t="str">
        <f>IF(CD44=1,VLOOKUP(EA44,'EIA 2022'!$A$2:$J$213,7,0)*EH44,"")</f>
        <v/>
      </c>
      <c r="EN44" s="29" t="str">
        <f>IF(CD44=1,VLOOKUP(EA44,'EIA 2022'!$A$2:$J$213,10,0),"")</f>
        <v/>
      </c>
      <c r="EO44" s="28" t="str">
        <f>IF(CD44=1,VLOOKUP(EA44,'EIA 2022'!$A$2:$Z$213,26,0),"")</f>
        <v/>
      </c>
      <c r="EP44" s="23" t="str">
        <f t="shared" si="54"/>
        <v/>
      </c>
      <c r="EQ44" s="32" t="str">
        <f t="shared" si="55"/>
        <v/>
      </c>
      <c r="ER44" s="32" t="str">
        <f t="shared" si="56"/>
        <v/>
      </c>
      <c r="ES44" s="32"/>
      <c r="ET44" s="32"/>
    </row>
    <row r="45" spans="1:150" ht="15.75" customHeight="1">
      <c r="A45" s="7" t="s">
        <v>336</v>
      </c>
      <c r="B45" s="7" t="s">
        <v>337</v>
      </c>
      <c r="C45" s="32" t="s">
        <v>914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f>IFERROR(VLOOKUP(A45,'Trans 21-23'!$A$2:$J$229,8,0),0)</f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19578261</v>
      </c>
      <c r="AE45" s="42">
        <v>0</v>
      </c>
      <c r="AF45" s="42">
        <v>59332398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0</v>
      </c>
      <c r="AY45" s="42">
        <v>0</v>
      </c>
      <c r="AZ45" s="42">
        <v>0</v>
      </c>
      <c r="BA45" s="42">
        <v>0</v>
      </c>
      <c r="BB45" s="42">
        <v>0</v>
      </c>
      <c r="BC45" s="42">
        <v>5330759850</v>
      </c>
      <c r="BD45" s="42">
        <v>180883621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v>0</v>
      </c>
      <c r="BS45" s="42">
        <f>IFERROR(VLOOKUP(A45,'Trans 21-23'!$A$2:$J$229,7,0),0)</f>
        <v>0</v>
      </c>
      <c r="BT45" s="63"/>
      <c r="BU45" s="32">
        <f t="shared" si="0"/>
        <v>0</v>
      </c>
      <c r="BV45" s="32">
        <f t="shared" si="1"/>
        <v>0</v>
      </c>
      <c r="BW45" s="32">
        <f t="shared" si="2"/>
        <v>0</v>
      </c>
      <c r="BX45" s="32">
        <f t="shared" si="3"/>
        <v>0</v>
      </c>
      <c r="BY45" s="32">
        <f t="shared" si="4"/>
        <v>0</v>
      </c>
      <c r="BZ45" s="32">
        <f t="shared" si="5"/>
        <v>0</v>
      </c>
      <c r="CA45" s="32">
        <f t="shared" si="6"/>
        <v>19578261</v>
      </c>
      <c r="CB45" s="32">
        <f t="shared" si="7"/>
        <v>0</v>
      </c>
      <c r="CC45" s="32">
        <f t="shared" si="8"/>
        <v>0</v>
      </c>
      <c r="CD45" s="41">
        <f t="shared" si="9"/>
        <v>0</v>
      </c>
      <c r="CE45" s="44">
        <f t="shared" si="10"/>
        <v>64</v>
      </c>
      <c r="CF45" s="27"/>
      <c r="CG45" s="28" t="str">
        <f t="shared" si="11"/>
        <v/>
      </c>
      <c r="CH45" s="28" t="str">
        <f t="shared" si="12"/>
        <v/>
      </c>
      <c r="CI45" s="28" t="str">
        <f t="shared" si="13"/>
        <v/>
      </c>
      <c r="CJ45" s="28" t="str">
        <f t="shared" si="14"/>
        <v/>
      </c>
      <c r="CK45" s="23" t="str">
        <f t="shared" si="15"/>
        <v/>
      </c>
      <c r="CL45" s="29" t="str">
        <f t="shared" si="16"/>
        <v/>
      </c>
      <c r="CM45" s="29" t="str">
        <f t="shared" si="17"/>
        <v/>
      </c>
      <c r="CN45" s="29" t="str">
        <f t="shared" si="18"/>
        <v/>
      </c>
      <c r="CO45" s="29" t="str">
        <f t="shared" si="19"/>
        <v/>
      </c>
      <c r="CP45" s="29" t="str">
        <f t="shared" si="20"/>
        <v/>
      </c>
      <c r="CQ45" s="29" t="str">
        <f t="shared" si="21"/>
        <v/>
      </c>
      <c r="CR45" s="30"/>
      <c r="CS45" s="7" t="str">
        <f>VLOOKUP(A45,'Empresas 21-23'!$A$2:$M$228,13,0)</f>
        <v/>
      </c>
      <c r="CT45" s="30"/>
      <c r="CU45" s="6">
        <f t="shared" si="22"/>
        <v>0</v>
      </c>
      <c r="CV45" s="6">
        <f t="shared" si="23"/>
        <v>0</v>
      </c>
      <c r="CW45" s="6">
        <f t="shared" si="24"/>
        <v>180883621</v>
      </c>
      <c r="CX45" s="23">
        <f t="shared" si="25"/>
        <v>0</v>
      </c>
      <c r="CY45" s="23">
        <f t="shared" si="26"/>
        <v>0</v>
      </c>
      <c r="CZ45" s="6">
        <f t="shared" si="27"/>
        <v>0</v>
      </c>
      <c r="DA45" s="6">
        <f t="shared" si="28"/>
        <v>0</v>
      </c>
      <c r="DB45" s="6">
        <f t="shared" si="29"/>
        <v>0</v>
      </c>
      <c r="DC45" s="6">
        <f t="shared" si="30"/>
        <v>0</v>
      </c>
      <c r="DD45" s="6">
        <f t="shared" si="31"/>
        <v>0</v>
      </c>
      <c r="DE45" s="6">
        <f t="shared" si="32"/>
        <v>19578261</v>
      </c>
      <c r="DF45" s="6">
        <f t="shared" si="33"/>
        <v>0</v>
      </c>
      <c r="DG45" s="30"/>
      <c r="DH45" s="32" t="str">
        <f>VLOOKUP(A45,'T_med_comp-USA'!$A$7:$Q$233,17,0)</f>
        <v>-</v>
      </c>
      <c r="DI45" s="6" t="str">
        <f t="shared" si="34"/>
        <v/>
      </c>
      <c r="DJ45" s="32" t="str">
        <f>IF(DI45="","",VLOOKUP(DI45,'CPI USA'!$T:$U,2,FALSE))</f>
        <v/>
      </c>
      <c r="DK45" s="32" t="str">
        <f>IF(DI45="","",VLOOKUP(DI45,'PPI USA'!$S:$T,2,FALSE))</f>
        <v/>
      </c>
      <c r="DL45" s="32" t="str">
        <f>IF(DI45="","",VLOOKUP(DI45,'CPI USA'!$T:$V,3,FALSE))</f>
        <v/>
      </c>
      <c r="DM45" s="32" t="str">
        <f>IF(DI45="","",VLOOKUP(DI45,'CPI USA'!$T:$X,5,FALSE))</f>
        <v/>
      </c>
      <c r="DN45" s="32" t="str">
        <f t="shared" si="35"/>
        <v/>
      </c>
      <c r="DO45" s="32" t="str">
        <f t="shared" si="36"/>
        <v/>
      </c>
      <c r="DP45" s="32" t="str">
        <f t="shared" si="37"/>
        <v/>
      </c>
      <c r="DQ45" s="32" t="str">
        <f>IF(DP45="","",DP45*$DO$1/'CPI USA'!$U$520+(1-DP45)*AVERAGE($DO$1,$DQ$1)/AVERAGE('CPI USA'!$U$520,'PPI USA'!$T$526))</f>
        <v/>
      </c>
      <c r="DR45" s="6">
        <f t="shared" si="38"/>
        <v>0</v>
      </c>
      <c r="DS45" s="32" t="str">
        <f t="shared" si="39"/>
        <v/>
      </c>
      <c r="DT45" s="28" t="str">
        <f>IF(DS45="","",DS45*$DO$1/'CPI USA'!$U$520+(1-DS45)*AVERAGE($DO$1,$DQ$1)/AVERAGE('CPI USA'!$U$520,'PPI USA'!$T$526))</f>
        <v/>
      </c>
      <c r="DU45" s="6" t="str">
        <f t="shared" si="40"/>
        <v/>
      </c>
      <c r="DV45" s="6" t="str">
        <f t="shared" si="57"/>
        <v/>
      </c>
      <c r="DW45" s="6">
        <f t="shared" si="41"/>
        <v>0</v>
      </c>
      <c r="DX45" s="16" t="str">
        <f t="shared" si="42"/>
        <v/>
      </c>
      <c r="DY45" s="28" t="str">
        <f>IF(DX45="","",DX45*$DO$1/'CPI USA'!$U$520+(1-DX45)*AVERAGE($DO$1,$DQ$1)/AVERAGE('CPI USA'!$U$520,'PPI USA'!$T$526))</f>
        <v/>
      </c>
      <c r="DZ45" s="30"/>
      <c r="EA45" s="29" t="str">
        <f t="shared" si="43"/>
        <v>C000524</v>
      </c>
      <c r="EB45" s="29" t="str">
        <f t="shared" si="44"/>
        <v/>
      </c>
      <c r="EC45" s="29" t="str">
        <f t="shared" si="45"/>
        <v/>
      </c>
      <c r="ED45" s="29" t="str">
        <f t="shared" si="46"/>
        <v/>
      </c>
      <c r="EE45" s="29" t="str">
        <f t="shared" si="47"/>
        <v/>
      </c>
      <c r="EF45" s="29" t="str">
        <f t="shared" si="48"/>
        <v/>
      </c>
      <c r="EG45" s="29" t="str">
        <f t="shared" si="49"/>
        <v/>
      </c>
      <c r="EH45" s="29" t="str">
        <f t="shared" si="50"/>
        <v/>
      </c>
      <c r="EI45" s="29" t="str">
        <f t="shared" si="51"/>
        <v/>
      </c>
      <c r="EJ45" s="29" t="str">
        <f t="shared" si="52"/>
        <v/>
      </c>
      <c r="EK45" s="29" t="str">
        <f t="shared" si="53"/>
        <v/>
      </c>
      <c r="EL45" s="29" t="str">
        <f>IF(CD45=1,VLOOKUP(EA45,'EIA 2022'!$A$2:$J$213,4,0)*EH45,"")</f>
        <v/>
      </c>
      <c r="EM45" s="29" t="str">
        <f>IF(CD45=1,VLOOKUP(EA45,'EIA 2022'!$A$2:$J$213,7,0)*EH45,"")</f>
        <v/>
      </c>
      <c r="EN45" s="29" t="str">
        <f>IF(CD45=1,VLOOKUP(EA45,'EIA 2022'!$A$2:$J$213,10,0),"")</f>
        <v/>
      </c>
      <c r="EO45" s="28" t="str">
        <f>IF(CD45=1,VLOOKUP(EA45,'EIA 2022'!$A$2:$Z$213,26,0),"")</f>
        <v/>
      </c>
      <c r="EP45" s="23" t="str">
        <f t="shared" si="54"/>
        <v/>
      </c>
      <c r="EQ45" s="32" t="str">
        <f t="shared" si="55"/>
        <v/>
      </c>
      <c r="ER45" s="32" t="str">
        <f t="shared" si="56"/>
        <v/>
      </c>
      <c r="ES45" s="32"/>
      <c r="ET45" s="32"/>
    </row>
    <row r="46" spans="1:150" ht="15.75" customHeight="1">
      <c r="A46" s="7" t="s">
        <v>339</v>
      </c>
      <c r="B46" s="7" t="s">
        <v>340</v>
      </c>
      <c r="C46" s="32" t="s">
        <v>915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f>IFERROR(VLOOKUP(A46,'Trans 21-23'!$A$2:$J$229,8,0),0)</f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4519548</v>
      </c>
      <c r="AE46" s="42">
        <v>0</v>
      </c>
      <c r="AF46" s="42">
        <v>15616357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1513071343</v>
      </c>
      <c r="BD46" s="42">
        <v>20712712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f>IFERROR(VLOOKUP(A46,'Trans 21-23'!$A$2:$J$229,7,0),0)</f>
        <v>0</v>
      </c>
      <c r="BT46" s="63"/>
      <c r="BU46" s="32">
        <f t="shared" si="0"/>
        <v>0</v>
      </c>
      <c r="BV46" s="32">
        <f t="shared" si="1"/>
        <v>0</v>
      </c>
      <c r="BW46" s="32">
        <f t="shared" si="2"/>
        <v>0</v>
      </c>
      <c r="BX46" s="32">
        <f t="shared" si="3"/>
        <v>0</v>
      </c>
      <c r="BY46" s="32">
        <f t="shared" si="4"/>
        <v>0</v>
      </c>
      <c r="BZ46" s="32">
        <f t="shared" si="5"/>
        <v>0</v>
      </c>
      <c r="CA46" s="32">
        <f t="shared" si="6"/>
        <v>4519548</v>
      </c>
      <c r="CB46" s="32">
        <f t="shared" si="7"/>
        <v>0</v>
      </c>
      <c r="CC46" s="32">
        <f t="shared" si="8"/>
        <v>0</v>
      </c>
      <c r="CD46" s="41">
        <f t="shared" si="9"/>
        <v>0</v>
      </c>
      <c r="CE46" s="44">
        <f t="shared" si="10"/>
        <v>64</v>
      </c>
      <c r="CF46" s="27"/>
      <c r="CG46" s="28" t="str">
        <f t="shared" si="11"/>
        <v/>
      </c>
      <c r="CH46" s="28" t="str">
        <f t="shared" si="12"/>
        <v/>
      </c>
      <c r="CI46" s="28" t="str">
        <f t="shared" si="13"/>
        <v/>
      </c>
      <c r="CJ46" s="28" t="str">
        <f t="shared" si="14"/>
        <v/>
      </c>
      <c r="CK46" s="23" t="str">
        <f t="shared" si="15"/>
        <v/>
      </c>
      <c r="CL46" s="29" t="str">
        <f t="shared" si="16"/>
        <v/>
      </c>
      <c r="CM46" s="29" t="str">
        <f t="shared" si="17"/>
        <v/>
      </c>
      <c r="CN46" s="29" t="str">
        <f t="shared" si="18"/>
        <v/>
      </c>
      <c r="CO46" s="29" t="str">
        <f t="shared" si="19"/>
        <v/>
      </c>
      <c r="CP46" s="29" t="str">
        <f t="shared" si="20"/>
        <v/>
      </c>
      <c r="CQ46" s="29" t="str">
        <f t="shared" si="21"/>
        <v/>
      </c>
      <c r="CR46" s="30"/>
      <c r="CS46" s="7" t="str">
        <f>VLOOKUP(A46,'Empresas 21-23'!$A$2:$M$228,13,0)</f>
        <v/>
      </c>
      <c r="CT46" s="30"/>
      <c r="CU46" s="6">
        <f t="shared" si="22"/>
        <v>0</v>
      </c>
      <c r="CV46" s="6">
        <f t="shared" si="23"/>
        <v>0</v>
      </c>
      <c r="CW46" s="6">
        <f t="shared" si="24"/>
        <v>20712712</v>
      </c>
      <c r="CX46" s="23">
        <f t="shared" si="25"/>
        <v>0</v>
      </c>
      <c r="CY46" s="23">
        <f t="shared" si="26"/>
        <v>0</v>
      </c>
      <c r="CZ46" s="6">
        <f t="shared" si="27"/>
        <v>0</v>
      </c>
      <c r="DA46" s="6">
        <f t="shared" si="28"/>
        <v>0</v>
      </c>
      <c r="DB46" s="6">
        <f t="shared" si="29"/>
        <v>0</v>
      </c>
      <c r="DC46" s="6">
        <f t="shared" si="30"/>
        <v>0</v>
      </c>
      <c r="DD46" s="6">
        <f t="shared" si="31"/>
        <v>0</v>
      </c>
      <c r="DE46" s="6">
        <f t="shared" si="32"/>
        <v>4519548</v>
      </c>
      <c r="DF46" s="6">
        <f t="shared" si="33"/>
        <v>0</v>
      </c>
      <c r="DG46" s="30"/>
      <c r="DH46" s="32" t="str">
        <f>VLOOKUP(A46,'T_med_comp-USA'!$A$7:$Q$233,17,0)</f>
        <v>-</v>
      </c>
      <c r="DI46" s="6" t="str">
        <f t="shared" si="34"/>
        <v/>
      </c>
      <c r="DJ46" s="32" t="str">
        <f>IF(DI46="","",VLOOKUP(DI46,'CPI USA'!$T:$U,2,FALSE))</f>
        <v/>
      </c>
      <c r="DK46" s="32" t="str">
        <f>IF(DI46="","",VLOOKUP(DI46,'PPI USA'!$S:$T,2,FALSE))</f>
        <v/>
      </c>
      <c r="DL46" s="32" t="str">
        <f>IF(DI46="","",VLOOKUP(DI46,'CPI USA'!$T:$V,3,FALSE))</f>
        <v/>
      </c>
      <c r="DM46" s="32" t="str">
        <f>IF(DI46="","",VLOOKUP(DI46,'CPI USA'!$T:$X,5,FALSE))</f>
        <v/>
      </c>
      <c r="DN46" s="32" t="str">
        <f t="shared" si="35"/>
        <v/>
      </c>
      <c r="DO46" s="32" t="str">
        <f t="shared" si="36"/>
        <v/>
      </c>
      <c r="DP46" s="32" t="str">
        <f t="shared" si="37"/>
        <v/>
      </c>
      <c r="DQ46" s="32" t="str">
        <f>IF(DP46="","",DP46*$DO$1/'CPI USA'!$U$520+(1-DP46)*AVERAGE($DO$1,$DQ$1)/AVERAGE('CPI USA'!$U$520,'PPI USA'!$T$526))</f>
        <v/>
      </c>
      <c r="DR46" s="6">
        <f t="shared" si="38"/>
        <v>0</v>
      </c>
      <c r="DS46" s="32" t="str">
        <f t="shared" si="39"/>
        <v/>
      </c>
      <c r="DT46" s="28" t="str">
        <f>IF(DS46="","",DS46*$DO$1/'CPI USA'!$U$520+(1-DS46)*AVERAGE($DO$1,$DQ$1)/AVERAGE('CPI USA'!$U$520,'PPI USA'!$T$526))</f>
        <v/>
      </c>
      <c r="DU46" s="6" t="str">
        <f t="shared" si="40"/>
        <v/>
      </c>
      <c r="DV46" s="6" t="str">
        <f t="shared" si="57"/>
        <v/>
      </c>
      <c r="DW46" s="6">
        <f t="shared" si="41"/>
        <v>0</v>
      </c>
      <c r="DX46" s="16" t="str">
        <f t="shared" si="42"/>
        <v/>
      </c>
      <c r="DY46" s="28" t="str">
        <f>IF(DX46="","",DX46*$DO$1/'CPI USA'!$U$520+(1-DX46)*AVERAGE($DO$1,$DQ$1)/AVERAGE('CPI USA'!$U$520,'PPI USA'!$T$526))</f>
        <v/>
      </c>
      <c r="DZ46" s="30"/>
      <c r="EA46" s="29" t="str">
        <f t="shared" si="43"/>
        <v>C000525</v>
      </c>
      <c r="EB46" s="29" t="str">
        <f t="shared" si="44"/>
        <v/>
      </c>
      <c r="EC46" s="29" t="str">
        <f t="shared" si="45"/>
        <v/>
      </c>
      <c r="ED46" s="29" t="str">
        <f t="shared" si="46"/>
        <v/>
      </c>
      <c r="EE46" s="29" t="str">
        <f t="shared" si="47"/>
        <v/>
      </c>
      <c r="EF46" s="29" t="str">
        <f t="shared" si="48"/>
        <v/>
      </c>
      <c r="EG46" s="29" t="str">
        <f t="shared" si="49"/>
        <v/>
      </c>
      <c r="EH46" s="29" t="str">
        <f t="shared" si="50"/>
        <v/>
      </c>
      <c r="EI46" s="29" t="str">
        <f t="shared" si="51"/>
        <v/>
      </c>
      <c r="EJ46" s="29" t="str">
        <f t="shared" si="52"/>
        <v/>
      </c>
      <c r="EK46" s="29" t="str">
        <f t="shared" si="53"/>
        <v/>
      </c>
      <c r="EL46" s="29" t="str">
        <f>IF(CD46=1,VLOOKUP(EA46,'EIA 2022'!$A$2:$J$213,4,0)*EH46,"")</f>
        <v/>
      </c>
      <c r="EM46" s="29" t="str">
        <f>IF(CD46=1,VLOOKUP(EA46,'EIA 2022'!$A$2:$J$213,7,0)*EH46,"")</f>
        <v/>
      </c>
      <c r="EN46" s="29" t="str">
        <f>IF(CD46=1,VLOOKUP(EA46,'EIA 2022'!$A$2:$J$213,10,0),"")</f>
        <v/>
      </c>
      <c r="EO46" s="28" t="str">
        <f>IF(CD46=1,VLOOKUP(EA46,'EIA 2022'!$A$2:$Z$213,26,0),"")</f>
        <v/>
      </c>
      <c r="EP46" s="23" t="str">
        <f t="shared" si="54"/>
        <v/>
      </c>
      <c r="EQ46" s="32" t="str">
        <f t="shared" si="55"/>
        <v/>
      </c>
      <c r="ER46" s="32" t="str">
        <f t="shared" si="56"/>
        <v/>
      </c>
      <c r="ES46" s="32"/>
      <c r="ET46" s="32"/>
    </row>
    <row r="47" spans="1:150" ht="15.75" customHeight="1">
      <c r="A47" s="7" t="s">
        <v>342</v>
      </c>
      <c r="B47" s="7" t="s">
        <v>343</v>
      </c>
      <c r="C47" s="32" t="s">
        <v>916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f>IFERROR(VLOOKUP(A47,'Trans 21-23'!$A$2:$J$229,8,0),0)</f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90371</v>
      </c>
      <c r="AE47" s="42">
        <v>0</v>
      </c>
      <c r="AF47" s="42">
        <v>93411</v>
      </c>
      <c r="AG47" s="42">
        <v>0</v>
      </c>
      <c r="AH47" s="42">
        <v>0</v>
      </c>
      <c r="AI47" s="42">
        <v>0</v>
      </c>
      <c r="AJ47" s="42">
        <v>0</v>
      </c>
      <c r="AK47" s="42">
        <v>0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f>IFERROR(VLOOKUP(A47,'Trans 21-23'!$A$2:$J$229,7,0),0)</f>
        <v>0</v>
      </c>
      <c r="BT47" s="63"/>
      <c r="BU47" s="32">
        <f t="shared" si="0"/>
        <v>0</v>
      </c>
      <c r="BV47" s="32">
        <f t="shared" si="1"/>
        <v>0</v>
      </c>
      <c r="BW47" s="32">
        <f t="shared" si="2"/>
        <v>0</v>
      </c>
      <c r="BX47" s="32">
        <f t="shared" si="3"/>
        <v>0</v>
      </c>
      <c r="BY47" s="32">
        <f t="shared" si="4"/>
        <v>0</v>
      </c>
      <c r="BZ47" s="32">
        <f t="shared" si="5"/>
        <v>0</v>
      </c>
      <c r="CA47" s="32">
        <f t="shared" si="6"/>
        <v>90371</v>
      </c>
      <c r="CB47" s="32">
        <f t="shared" si="7"/>
        <v>0</v>
      </c>
      <c r="CC47" s="32">
        <f t="shared" si="8"/>
        <v>0</v>
      </c>
      <c r="CD47" s="41">
        <f t="shared" si="9"/>
        <v>0</v>
      </c>
      <c r="CE47" s="44">
        <f t="shared" si="10"/>
        <v>66</v>
      </c>
      <c r="CF47" s="27"/>
      <c r="CG47" s="28" t="str">
        <f t="shared" si="11"/>
        <v/>
      </c>
      <c r="CH47" s="28" t="str">
        <f t="shared" si="12"/>
        <v/>
      </c>
      <c r="CI47" s="28" t="str">
        <f t="shared" si="13"/>
        <v/>
      </c>
      <c r="CJ47" s="28" t="str">
        <f t="shared" si="14"/>
        <v/>
      </c>
      <c r="CK47" s="23" t="str">
        <f t="shared" si="15"/>
        <v/>
      </c>
      <c r="CL47" s="29" t="str">
        <f t="shared" si="16"/>
        <v/>
      </c>
      <c r="CM47" s="29" t="str">
        <f t="shared" si="17"/>
        <v/>
      </c>
      <c r="CN47" s="29" t="str">
        <f t="shared" si="18"/>
        <v/>
      </c>
      <c r="CO47" s="29" t="str">
        <f t="shared" si="19"/>
        <v/>
      </c>
      <c r="CP47" s="29" t="str">
        <f t="shared" si="20"/>
        <v/>
      </c>
      <c r="CQ47" s="29" t="str">
        <f t="shared" si="21"/>
        <v/>
      </c>
      <c r="CR47" s="30"/>
      <c r="CS47" s="7" t="str">
        <f>VLOOKUP(A47,'Empresas 21-23'!$A$2:$M$228,13,0)</f>
        <v/>
      </c>
      <c r="CT47" s="30"/>
      <c r="CU47" s="6">
        <f t="shared" si="22"/>
        <v>0</v>
      </c>
      <c r="CV47" s="6">
        <f t="shared" si="23"/>
        <v>0</v>
      </c>
      <c r="CW47" s="6">
        <f t="shared" si="24"/>
        <v>0</v>
      </c>
      <c r="CX47" s="23" t="str">
        <f>IFERROR(CU47/(BC47-BD47),"")</f>
        <v/>
      </c>
      <c r="CY47" s="23" t="str">
        <f>IFERROR(CV47/(BC47-BD47),"")</f>
        <v/>
      </c>
      <c r="CZ47" s="6" t="e">
        <f t="shared" si="27"/>
        <v>#VALUE!</v>
      </c>
      <c r="DA47" s="6" t="e">
        <f t="shared" si="28"/>
        <v>#VALUE!</v>
      </c>
      <c r="DB47" s="6">
        <f t="shared" si="29"/>
        <v>0</v>
      </c>
      <c r="DC47" s="6">
        <f t="shared" si="30"/>
        <v>0</v>
      </c>
      <c r="DD47" s="6">
        <f t="shared" si="31"/>
        <v>0</v>
      </c>
      <c r="DE47" s="6">
        <f t="shared" si="32"/>
        <v>90371</v>
      </c>
      <c r="DF47" s="6">
        <f t="shared" si="33"/>
        <v>0</v>
      </c>
      <c r="DG47" s="30"/>
      <c r="DH47" s="32" t="str">
        <f>VLOOKUP(A47,'T_med_comp-USA'!$A$7:$Q$233,17,0)</f>
        <v>-</v>
      </c>
      <c r="DI47" s="6" t="str">
        <f t="shared" si="34"/>
        <v/>
      </c>
      <c r="DJ47" s="32" t="str">
        <f>IF(DI47="","",VLOOKUP(DI47,'CPI USA'!$T:$U,2,FALSE))</f>
        <v/>
      </c>
      <c r="DK47" s="32" t="str">
        <f>IF(DI47="","",VLOOKUP(DI47,'PPI USA'!$S:$T,2,FALSE))</f>
        <v/>
      </c>
      <c r="DL47" s="32" t="str">
        <f>IF(DI47="","",VLOOKUP(DI47,'CPI USA'!$T:$V,3,FALSE))</f>
        <v/>
      </c>
      <c r="DM47" s="32" t="str">
        <f>IF(DI47="","",VLOOKUP(DI47,'CPI USA'!$T:$X,5,FALSE))</f>
        <v/>
      </c>
      <c r="DN47" s="32" t="str">
        <f t="shared" si="35"/>
        <v/>
      </c>
      <c r="DO47" s="32" t="str">
        <f t="shared" si="36"/>
        <v/>
      </c>
      <c r="DP47" s="32" t="str">
        <f t="shared" si="37"/>
        <v/>
      </c>
      <c r="DQ47" s="32" t="str">
        <f>IF(DP47="","",DP47*$DO$1/'CPI USA'!$U$520+(1-DP47)*AVERAGE($DO$1,$DQ$1)/AVERAGE('CPI USA'!$U$520,'PPI USA'!$T$526))</f>
        <v/>
      </c>
      <c r="DR47" s="6">
        <f t="shared" si="38"/>
        <v>0</v>
      </c>
      <c r="DS47" s="32" t="str">
        <f t="shared" si="39"/>
        <v/>
      </c>
      <c r="DT47" s="28" t="str">
        <f>IF(DS47="","",DS47*$DO$1/'CPI USA'!$U$520+(1-DS47)*AVERAGE($DO$1,$DQ$1)/AVERAGE('CPI USA'!$U$520,'PPI USA'!$T$526))</f>
        <v/>
      </c>
      <c r="DU47" s="6" t="str">
        <f t="shared" si="40"/>
        <v/>
      </c>
      <c r="DV47" s="6" t="str">
        <f t="shared" si="57"/>
        <v/>
      </c>
      <c r="DW47" s="6">
        <f t="shared" si="41"/>
        <v>0</v>
      </c>
      <c r="DX47" s="16" t="e">
        <f t="shared" si="42"/>
        <v>#VALUE!</v>
      </c>
      <c r="DY47" s="28" t="e">
        <f>IF(DX47="","",DX47*$DO$1/'CPI USA'!$U$520+(1-DX47)*AVERAGE($DO$1,$DQ$1)/AVERAGE('CPI USA'!$U$520,'PPI USA'!$T$526))</f>
        <v>#VALUE!</v>
      </c>
      <c r="DZ47" s="30"/>
      <c r="EA47" s="29" t="str">
        <f t="shared" si="43"/>
        <v>C000526</v>
      </c>
      <c r="EB47" s="29" t="str">
        <f t="shared" si="44"/>
        <v/>
      </c>
      <c r="EC47" s="29" t="str">
        <f t="shared" si="45"/>
        <v/>
      </c>
      <c r="ED47" s="29" t="str">
        <f t="shared" si="46"/>
        <v/>
      </c>
      <c r="EE47" s="29" t="str">
        <f t="shared" si="47"/>
        <v/>
      </c>
      <c r="EF47" s="29" t="str">
        <f t="shared" si="48"/>
        <v/>
      </c>
      <c r="EG47" s="29" t="str">
        <f t="shared" si="49"/>
        <v/>
      </c>
      <c r="EH47" s="29" t="str">
        <f t="shared" si="50"/>
        <v/>
      </c>
      <c r="EI47" s="29" t="str">
        <f t="shared" si="51"/>
        <v/>
      </c>
      <c r="EJ47" s="29" t="str">
        <f t="shared" si="52"/>
        <v/>
      </c>
      <c r="EK47" s="29" t="str">
        <f t="shared" si="53"/>
        <v/>
      </c>
      <c r="EL47" s="29" t="str">
        <f>IF(CD47=1,VLOOKUP(EA47,'EIA 2022'!$A$2:$J$213,4,0)*EH47,"")</f>
        <v/>
      </c>
      <c r="EM47" s="29" t="str">
        <f>IF(CD47=1,VLOOKUP(EA47,'EIA 2022'!$A$2:$J$213,7,0)*EH47,"")</f>
        <v/>
      </c>
      <c r="EN47" s="29" t="str">
        <f>IF(CD47=1,VLOOKUP(EA47,'EIA 2022'!$A$2:$J$213,10,0),"")</f>
        <v/>
      </c>
      <c r="EO47" s="28" t="str">
        <f>IF(CD47=1,VLOOKUP(EA47,'EIA 2022'!$A$2:$Z$213,26,0),"")</f>
        <v/>
      </c>
      <c r="EP47" s="23" t="str">
        <f t="shared" si="54"/>
        <v/>
      </c>
      <c r="EQ47" s="32" t="str">
        <f t="shared" si="55"/>
        <v/>
      </c>
      <c r="ER47" s="32" t="str">
        <f t="shared" si="56"/>
        <v/>
      </c>
      <c r="ES47" s="32"/>
      <c r="ET47" s="32"/>
    </row>
    <row r="48" spans="1:150" ht="15.75" customHeight="1">
      <c r="A48" s="7" t="s">
        <v>345</v>
      </c>
      <c r="B48" s="7" t="s">
        <v>346</v>
      </c>
      <c r="C48" s="32" t="s">
        <v>917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f>IFERROR(VLOOKUP(A48,'Trans 21-23'!$A$2:$J$229,8,0),0)</f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6667550</v>
      </c>
      <c r="AE48" s="42">
        <v>0</v>
      </c>
      <c r="AF48" s="42">
        <v>23247088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2247044794</v>
      </c>
      <c r="BD48" s="42">
        <v>53381262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f>IFERROR(VLOOKUP(A48,'Trans 21-23'!$A$2:$J$229,7,0),0)</f>
        <v>0</v>
      </c>
      <c r="BT48" s="63"/>
      <c r="BU48" s="32">
        <f t="shared" si="0"/>
        <v>0</v>
      </c>
      <c r="BV48" s="32">
        <f t="shared" si="1"/>
        <v>0</v>
      </c>
      <c r="BW48" s="32">
        <f t="shared" si="2"/>
        <v>0</v>
      </c>
      <c r="BX48" s="32">
        <f t="shared" si="3"/>
        <v>0</v>
      </c>
      <c r="BY48" s="32">
        <f t="shared" si="4"/>
        <v>0</v>
      </c>
      <c r="BZ48" s="32">
        <f t="shared" si="5"/>
        <v>0</v>
      </c>
      <c r="CA48" s="32">
        <f t="shared" si="6"/>
        <v>6667550</v>
      </c>
      <c r="CB48" s="32">
        <f t="shared" si="7"/>
        <v>0</v>
      </c>
      <c r="CC48" s="32">
        <f t="shared" si="8"/>
        <v>0</v>
      </c>
      <c r="CD48" s="41">
        <f t="shared" si="9"/>
        <v>0</v>
      </c>
      <c r="CE48" s="44">
        <f t="shared" si="10"/>
        <v>64</v>
      </c>
      <c r="CF48" s="27"/>
      <c r="CG48" s="28" t="str">
        <f t="shared" si="11"/>
        <v/>
      </c>
      <c r="CH48" s="28" t="str">
        <f t="shared" si="12"/>
        <v/>
      </c>
      <c r="CI48" s="28" t="str">
        <f t="shared" si="13"/>
        <v/>
      </c>
      <c r="CJ48" s="28" t="str">
        <f t="shared" si="14"/>
        <v/>
      </c>
      <c r="CK48" s="23" t="str">
        <f t="shared" si="15"/>
        <v/>
      </c>
      <c r="CL48" s="29" t="str">
        <f t="shared" si="16"/>
        <v/>
      </c>
      <c r="CM48" s="29" t="str">
        <f t="shared" si="17"/>
        <v/>
      </c>
      <c r="CN48" s="29" t="str">
        <f t="shared" si="18"/>
        <v/>
      </c>
      <c r="CO48" s="29" t="str">
        <f t="shared" si="19"/>
        <v/>
      </c>
      <c r="CP48" s="29" t="str">
        <f t="shared" si="20"/>
        <v/>
      </c>
      <c r="CQ48" s="29" t="str">
        <f t="shared" si="21"/>
        <v/>
      </c>
      <c r="CR48" s="30"/>
      <c r="CS48" s="7" t="str">
        <f>VLOOKUP(A48,'Empresas 21-23'!$A$2:$M$228,13,0)</f>
        <v/>
      </c>
      <c r="CT48" s="30"/>
      <c r="CU48" s="6">
        <f t="shared" si="22"/>
        <v>0</v>
      </c>
      <c r="CV48" s="6">
        <f t="shared" si="23"/>
        <v>0</v>
      </c>
      <c r="CW48" s="6">
        <f t="shared" si="24"/>
        <v>53381262</v>
      </c>
      <c r="CX48" s="23">
        <f t="shared" ref="CX48:CX59" si="58">CU48/(BC48-BD48)</f>
        <v>0</v>
      </c>
      <c r="CY48" s="23">
        <f t="shared" ref="CY48:CY59" si="59">CV48/(BC48-BD48)</f>
        <v>0</v>
      </c>
      <c r="CZ48" s="6">
        <f t="shared" si="27"/>
        <v>0</v>
      </c>
      <c r="DA48" s="6">
        <f t="shared" si="28"/>
        <v>0</v>
      </c>
      <c r="DB48" s="6">
        <f t="shared" si="29"/>
        <v>0</v>
      </c>
      <c r="DC48" s="6">
        <f t="shared" si="30"/>
        <v>0</v>
      </c>
      <c r="DD48" s="6">
        <f t="shared" si="31"/>
        <v>0</v>
      </c>
      <c r="DE48" s="6">
        <f t="shared" si="32"/>
        <v>6667550</v>
      </c>
      <c r="DF48" s="6">
        <f t="shared" si="33"/>
        <v>0</v>
      </c>
      <c r="DG48" s="30"/>
      <c r="DH48" s="32" t="str">
        <f>VLOOKUP(A48,'T_med_comp-USA'!$A$7:$Q$233,17,0)</f>
        <v>-</v>
      </c>
      <c r="DI48" s="6" t="str">
        <f t="shared" si="34"/>
        <v/>
      </c>
      <c r="DJ48" s="32" t="str">
        <f>IF(DI48="","",VLOOKUP(DI48,'CPI USA'!$T:$U,2,FALSE))</f>
        <v/>
      </c>
      <c r="DK48" s="32" t="str">
        <f>IF(DI48="","",VLOOKUP(DI48,'PPI USA'!$S:$T,2,FALSE))</f>
        <v/>
      </c>
      <c r="DL48" s="32" t="str">
        <f>IF(DI48="","",VLOOKUP(DI48,'CPI USA'!$T:$V,3,FALSE))</f>
        <v/>
      </c>
      <c r="DM48" s="32" t="str">
        <f>IF(DI48="","",VLOOKUP(DI48,'CPI USA'!$T:$X,5,FALSE))</f>
        <v/>
      </c>
      <c r="DN48" s="32" t="str">
        <f t="shared" si="35"/>
        <v/>
      </c>
      <c r="DO48" s="32" t="str">
        <f t="shared" si="36"/>
        <v/>
      </c>
      <c r="DP48" s="32" t="str">
        <f t="shared" si="37"/>
        <v/>
      </c>
      <c r="DQ48" s="32" t="str">
        <f>IF(DP48="","",DP48*$DO$1/'CPI USA'!$U$520+(1-DP48)*AVERAGE($DO$1,$DQ$1)/AVERAGE('CPI USA'!$U$520,'PPI USA'!$T$526))</f>
        <v/>
      </c>
      <c r="DR48" s="6">
        <f t="shared" si="38"/>
        <v>0</v>
      </c>
      <c r="DS48" s="32" t="str">
        <f t="shared" si="39"/>
        <v/>
      </c>
      <c r="DT48" s="28" t="str">
        <f>IF(DS48="","",DS48*$DO$1/'CPI USA'!$U$520+(1-DS48)*AVERAGE($DO$1,$DQ$1)/AVERAGE('CPI USA'!$U$520,'PPI USA'!$T$526))</f>
        <v/>
      </c>
      <c r="DU48" s="6" t="str">
        <f t="shared" si="40"/>
        <v/>
      </c>
      <c r="DV48" s="6" t="str">
        <f t="shared" si="57"/>
        <v/>
      </c>
      <c r="DW48" s="6">
        <f t="shared" si="41"/>
        <v>0</v>
      </c>
      <c r="DX48" s="16" t="str">
        <f t="shared" si="42"/>
        <v/>
      </c>
      <c r="DY48" s="28" t="str">
        <f>IF(DX48="","",DX48*$DO$1/'CPI USA'!$U$520+(1-DX48)*AVERAGE($DO$1,$DQ$1)/AVERAGE('CPI USA'!$U$520,'PPI USA'!$T$526))</f>
        <v/>
      </c>
      <c r="DZ48" s="30"/>
      <c r="EA48" s="29" t="str">
        <f t="shared" si="43"/>
        <v>C000527</v>
      </c>
      <c r="EB48" s="29" t="str">
        <f t="shared" si="44"/>
        <v/>
      </c>
      <c r="EC48" s="29" t="str">
        <f t="shared" si="45"/>
        <v/>
      </c>
      <c r="ED48" s="29" t="str">
        <f t="shared" si="46"/>
        <v/>
      </c>
      <c r="EE48" s="29" t="str">
        <f t="shared" si="47"/>
        <v/>
      </c>
      <c r="EF48" s="29" t="str">
        <f t="shared" si="48"/>
        <v/>
      </c>
      <c r="EG48" s="29" t="str">
        <f t="shared" si="49"/>
        <v/>
      </c>
      <c r="EH48" s="29" t="str">
        <f t="shared" si="50"/>
        <v/>
      </c>
      <c r="EI48" s="29" t="str">
        <f t="shared" si="51"/>
        <v/>
      </c>
      <c r="EJ48" s="29" t="str">
        <f t="shared" si="52"/>
        <v/>
      </c>
      <c r="EK48" s="29" t="str">
        <f t="shared" si="53"/>
        <v/>
      </c>
      <c r="EL48" s="29" t="str">
        <f>IF(CD48=1,VLOOKUP(EA48,'EIA 2022'!$A$2:$J$213,4,0)*EH48,"")</f>
        <v/>
      </c>
      <c r="EM48" s="29" t="str">
        <f>IF(CD48=1,VLOOKUP(EA48,'EIA 2022'!$A$2:$J$213,7,0)*EH48,"")</f>
        <v/>
      </c>
      <c r="EN48" s="29" t="str">
        <f>IF(CD48=1,VLOOKUP(EA48,'EIA 2022'!$A$2:$J$213,10,0),"")</f>
        <v/>
      </c>
      <c r="EO48" s="28" t="str">
        <f>IF(CD48=1,VLOOKUP(EA48,'EIA 2022'!$A$2:$Z$213,26,0),"")</f>
        <v/>
      </c>
      <c r="EP48" s="23" t="str">
        <f t="shared" si="54"/>
        <v/>
      </c>
      <c r="EQ48" s="32" t="str">
        <f t="shared" si="55"/>
        <v/>
      </c>
      <c r="ER48" s="32" t="str">
        <f t="shared" si="56"/>
        <v/>
      </c>
      <c r="ES48" s="32"/>
      <c r="ET48" s="32"/>
    </row>
    <row r="49" spans="1:150" ht="15.75" customHeight="1">
      <c r="A49" s="7" t="s">
        <v>348</v>
      </c>
      <c r="B49" s="7" t="s">
        <v>349</v>
      </c>
      <c r="C49" s="32" t="s">
        <v>918</v>
      </c>
      <c r="D49" s="42">
        <v>137379824</v>
      </c>
      <c r="E49" s="42">
        <v>0</v>
      </c>
      <c r="F49" s="42">
        <v>34170944</v>
      </c>
      <c r="G49" s="42">
        <v>1079588594</v>
      </c>
      <c r="H49" s="42">
        <v>1094705772</v>
      </c>
      <c r="I49" s="42">
        <v>5837523</v>
      </c>
      <c r="J49" s="42">
        <v>1776130</v>
      </c>
      <c r="K49" s="42">
        <v>21112</v>
      </c>
      <c r="L49" s="42">
        <v>3127806</v>
      </c>
      <c r="M49" s="42">
        <v>2604693</v>
      </c>
      <c r="N49" s="42">
        <v>740288</v>
      </c>
      <c r="O49" s="42">
        <v>17624429</v>
      </c>
      <c r="P49" s="42">
        <v>2848171</v>
      </c>
      <c r="Q49" s="42">
        <v>166004</v>
      </c>
      <c r="R49" s="42">
        <v>163169</v>
      </c>
      <c r="S49" s="42">
        <v>1579014</v>
      </c>
      <c r="T49" s="42">
        <v>140844272</v>
      </c>
      <c r="U49" s="42">
        <v>2582506</v>
      </c>
      <c r="V49" s="42">
        <v>2386920</v>
      </c>
      <c r="W49" s="42">
        <v>5525168</v>
      </c>
      <c r="X49" s="42">
        <f>IFERROR(VLOOKUP(A49,'Trans 21-23'!$A$2:$J$229,8,0),0)</f>
        <v>3448101</v>
      </c>
      <c r="Y49" s="42">
        <v>2228048</v>
      </c>
      <c r="Z49" s="42">
        <v>440068</v>
      </c>
      <c r="AA49" s="42">
        <v>36122844</v>
      </c>
      <c r="AB49" s="42">
        <v>21412810</v>
      </c>
      <c r="AC49" s="42">
        <v>155789</v>
      </c>
      <c r="AD49" s="42">
        <v>91771904</v>
      </c>
      <c r="AE49" s="42">
        <v>0</v>
      </c>
      <c r="AF49" s="42">
        <v>2245689219</v>
      </c>
      <c r="AG49" s="42">
        <v>963764</v>
      </c>
      <c r="AH49" s="42">
        <v>2043880</v>
      </c>
      <c r="AI49" s="42">
        <v>33513257</v>
      </c>
      <c r="AJ49" s="42">
        <v>0</v>
      </c>
      <c r="AK49" s="42">
        <v>342194</v>
      </c>
      <c r="AL49" s="42">
        <v>11159403</v>
      </c>
      <c r="AM49" s="42">
        <v>6065671</v>
      </c>
      <c r="AN49" s="42">
        <v>8848569</v>
      </c>
      <c r="AO49" s="42">
        <v>63099</v>
      </c>
      <c r="AP49" s="42">
        <v>779972</v>
      </c>
      <c r="AQ49" s="42">
        <v>26916714</v>
      </c>
      <c r="AR49" s="42">
        <v>4894856</v>
      </c>
      <c r="AS49" s="42">
        <v>31811570</v>
      </c>
      <c r="AT49" s="42">
        <v>0</v>
      </c>
      <c r="AU49" s="42">
        <v>7395</v>
      </c>
      <c r="AV49" s="42">
        <v>0</v>
      </c>
      <c r="AW49" s="42">
        <v>1244374864</v>
      </c>
      <c r="AX49" s="42">
        <v>150196348</v>
      </c>
      <c r="AY49" s="42">
        <v>334789032</v>
      </c>
      <c r="AZ49" s="42">
        <v>220376605</v>
      </c>
      <c r="BA49" s="42">
        <v>33676795</v>
      </c>
      <c r="BB49" s="42">
        <v>4931835811</v>
      </c>
      <c r="BC49" s="42">
        <v>16982075009</v>
      </c>
      <c r="BD49" s="42">
        <v>535060043</v>
      </c>
      <c r="BE49" s="42">
        <v>1717284254</v>
      </c>
      <c r="BF49" s="42">
        <v>176084952</v>
      </c>
      <c r="BG49" s="42">
        <v>0</v>
      </c>
      <c r="BH49" s="42">
        <v>39743529</v>
      </c>
      <c r="BI49" s="42">
        <v>6258744</v>
      </c>
      <c r="BJ49" s="42">
        <v>2663269</v>
      </c>
      <c r="BK49" s="42">
        <v>0</v>
      </c>
      <c r="BL49" s="42">
        <v>0</v>
      </c>
      <c r="BM49" s="42">
        <v>4258709</v>
      </c>
      <c r="BN49" s="42">
        <v>104533984</v>
      </c>
      <c r="BO49" s="42">
        <v>7893774</v>
      </c>
      <c r="BP49" s="42">
        <v>22151142</v>
      </c>
      <c r="BQ49" s="42">
        <v>191879532</v>
      </c>
      <c r="BR49" s="42">
        <v>0</v>
      </c>
      <c r="BS49" s="42">
        <f>IFERROR(VLOOKUP(A49,'Trans 21-23'!$A$2:$J$229,7,0),0)</f>
        <v>312272505</v>
      </c>
      <c r="BT49" s="63"/>
      <c r="BU49" s="32">
        <f t="shared" si="0"/>
        <v>4931835811</v>
      </c>
      <c r="BV49" s="32">
        <f t="shared" si="1"/>
        <v>7395</v>
      </c>
      <c r="BW49" s="32">
        <f t="shared" si="2"/>
        <v>963764</v>
      </c>
      <c r="BX49" s="32">
        <f t="shared" si="3"/>
        <v>187827205</v>
      </c>
      <c r="BY49" s="32">
        <f t="shared" si="4"/>
        <v>60359559</v>
      </c>
      <c r="BZ49" s="32">
        <f t="shared" si="5"/>
        <v>220376605</v>
      </c>
      <c r="CA49" s="32">
        <f t="shared" si="6"/>
        <v>91771904</v>
      </c>
      <c r="CB49" s="32">
        <f t="shared" si="7"/>
        <v>2043880</v>
      </c>
      <c r="CC49" s="32">
        <f t="shared" si="8"/>
        <v>26916714</v>
      </c>
      <c r="CD49" s="41">
        <f t="shared" si="9"/>
        <v>1</v>
      </c>
      <c r="CE49" s="44">
        <f t="shared" si="10"/>
        <v>9</v>
      </c>
      <c r="CF49" s="27"/>
      <c r="CG49" s="28">
        <f t="shared" si="11"/>
        <v>666.91491697092636</v>
      </c>
      <c r="CH49" s="28">
        <f t="shared" si="12"/>
        <v>7.6730402878713049</v>
      </c>
      <c r="CI49" s="28">
        <f t="shared" si="13"/>
        <v>194.8892104291092</v>
      </c>
      <c r="CJ49" s="28">
        <f t="shared" si="14"/>
        <v>228.66241631768773</v>
      </c>
      <c r="CK49" s="23">
        <f t="shared" si="15"/>
        <v>7.593348876092379E-2</v>
      </c>
      <c r="CL49" s="29" t="str">
        <f t="shared" si="16"/>
        <v/>
      </c>
      <c r="CM49" s="29" t="str">
        <f t="shared" si="17"/>
        <v/>
      </c>
      <c r="CN49" s="29" t="str">
        <f t="shared" si="18"/>
        <v/>
      </c>
      <c r="CO49" s="29" t="str">
        <f t="shared" si="19"/>
        <v/>
      </c>
      <c r="CP49" s="29" t="str">
        <f t="shared" si="20"/>
        <v/>
      </c>
      <c r="CQ49" s="29">
        <f t="shared" si="21"/>
        <v>0</v>
      </c>
      <c r="CR49" s="30"/>
      <c r="CS49" s="7">
        <f>VLOOKUP(A49,'Empresas 21-23'!$A$2:$M$228,13,0)</f>
        <v>1</v>
      </c>
      <c r="CT49" s="30"/>
      <c r="CU49" s="6">
        <f t="shared" si="22"/>
        <v>4699063688</v>
      </c>
      <c r="CV49" s="6">
        <f t="shared" si="23"/>
        <v>220376605</v>
      </c>
      <c r="CW49" s="6">
        <f t="shared" si="24"/>
        <v>535060043</v>
      </c>
      <c r="CX49" s="23">
        <f t="shared" si="58"/>
        <v>0.28570921214056855</v>
      </c>
      <c r="CY49" s="23">
        <f t="shared" si="59"/>
        <v>1.3399185533397537E-2</v>
      </c>
      <c r="CZ49" s="6">
        <f t="shared" si="27"/>
        <v>4851935271.3334284</v>
      </c>
      <c r="DA49" s="6">
        <f t="shared" si="28"/>
        <v>227545973.78766465</v>
      </c>
      <c r="DB49" s="6">
        <f t="shared" si="29"/>
        <v>187827205</v>
      </c>
      <c r="DC49" s="6">
        <f t="shared" si="30"/>
        <v>191275306</v>
      </c>
      <c r="DD49" s="6">
        <f t="shared" si="31"/>
        <v>60359559</v>
      </c>
      <c r="DE49" s="6">
        <f t="shared" si="32"/>
        <v>91771904</v>
      </c>
      <c r="DF49" s="6">
        <f t="shared" si="33"/>
        <v>26015580.866275139</v>
      </c>
      <c r="DG49" s="30"/>
      <c r="DH49" s="32">
        <f>VLOOKUP(A49,'T_med_comp-USA'!$A$7:$Q$233,17,0)</f>
        <v>9.9793273012488459</v>
      </c>
      <c r="DI49" s="6" t="str">
        <f t="shared" si="34"/>
        <v>1_2013</v>
      </c>
      <c r="DJ49" s="32">
        <f>IF(DI49="","",VLOOKUP(DI49,'CPI USA'!$T:$U,2,FALSE))</f>
        <v>230.28</v>
      </c>
      <c r="DK49" s="32">
        <f>IF(DI49="","",VLOOKUP(DI49,'PPI USA'!$S:$T,2,FALSE))</f>
        <v>166.2</v>
      </c>
      <c r="DL49" s="32">
        <f>IF(DI49="","",VLOOKUP(DI49,'CPI USA'!$T:$V,3,FALSE))</f>
        <v>0.67305131835944076</v>
      </c>
      <c r="DM49" s="32">
        <f>IF(DI49="","",VLOOKUP(DI49,'CPI USA'!$T:$X,5,FALSE))</f>
        <v>0.50163050295255052</v>
      </c>
      <c r="DN49" s="32">
        <f t="shared" si="35"/>
        <v>1.3963809315743387</v>
      </c>
      <c r="DO49" s="32">
        <f t="shared" si="36"/>
        <v>1.4131920249632246</v>
      </c>
      <c r="DP49" s="32">
        <f t="shared" si="37"/>
        <v>0.22757470008730774</v>
      </c>
      <c r="DQ49" s="32">
        <f>IF(DP49="","",DP49*$DO$1/'CPI USA'!$U$520+(1-DP49)*AVERAGE($DO$1,$DQ$1)/AVERAGE('CPI USA'!$U$520,'PPI USA'!$T$526))</f>
        <v>1.0845354721564389</v>
      </c>
      <c r="DR49" s="6">
        <f t="shared" si="38"/>
        <v>8922013</v>
      </c>
      <c r="DS49" s="32">
        <f t="shared" si="39"/>
        <v>0.2</v>
      </c>
      <c r="DT49" s="28">
        <f>IF(DS49="","",DS49*$DO$1/'CPI USA'!$U$520+(1-DS49)*AVERAGE($DO$1,$DQ$1)/AVERAGE('CPI USA'!$U$520,'PPI USA'!$T$526))</f>
        <v>1.0854630593748538</v>
      </c>
      <c r="DU49" s="6">
        <f t="shared" si="40"/>
        <v>4580300.9368170835</v>
      </c>
      <c r="DV49" s="6">
        <f t="shared" si="57"/>
        <v>555801.34705618781</v>
      </c>
      <c r="DW49" s="6">
        <f t="shared" si="41"/>
        <v>2391099.9260501792</v>
      </c>
      <c r="DX49" s="16">
        <f t="shared" si="42"/>
        <v>0.2</v>
      </c>
      <c r="DY49" s="28">
        <f>IF(DX49="","",DX49*$DO$1/'CPI USA'!$U$520+(1-DX49)*AVERAGE($DO$1,$DQ$1)/AVERAGE('CPI USA'!$U$520,'PPI USA'!$T$526))</f>
        <v>1.0854630593748538</v>
      </c>
      <c r="DZ49" s="30"/>
      <c r="EA49" s="29" t="str">
        <f t="shared" si="43"/>
        <v>C000530</v>
      </c>
      <c r="EB49" s="29">
        <f t="shared" si="44"/>
        <v>6775149894.1229649</v>
      </c>
      <c r="EC49" s="29">
        <f t="shared" si="45"/>
        <v>321566155.46921861</v>
      </c>
      <c r="ED49" s="29">
        <f t="shared" si="46"/>
        <v>207444854.30457732</v>
      </c>
      <c r="EE49" s="29">
        <f t="shared" si="47"/>
        <v>65518071.574656986</v>
      </c>
      <c r="EF49" s="29">
        <f t="shared" si="48"/>
        <v>28238951.998520922</v>
      </c>
      <c r="EG49" s="29">
        <f t="shared" si="49"/>
        <v>7395</v>
      </c>
      <c r="EH49" s="29">
        <f t="shared" si="50"/>
        <v>963764</v>
      </c>
      <c r="EI49" s="29">
        <f t="shared" si="51"/>
        <v>2043880</v>
      </c>
      <c r="EJ49" s="29">
        <f t="shared" si="52"/>
        <v>26916714</v>
      </c>
      <c r="EK49" s="29">
        <f t="shared" si="53"/>
        <v>28886053.04568528</v>
      </c>
      <c r="EL49" s="29">
        <f>IF(CD49=1,VLOOKUP(EA49,'EIA 2022'!$A$2:$J$213,4,0)*EH49,"")</f>
        <v>453547338.40000004</v>
      </c>
      <c r="EM49" s="29">
        <f>IF(CD49=1,VLOOKUP(EA49,'EIA 2022'!$A$2:$J$213,7,0)*EH49,"")</f>
        <v>2130882.2039999999</v>
      </c>
      <c r="EN49" s="29">
        <f>IF(CD49=1,VLOOKUP(EA49,'EIA 2022'!$A$2:$J$213,10,0),"")</f>
        <v>566911</v>
      </c>
      <c r="EO49" s="28">
        <f>IF(CD49=1,VLOOKUP(EA49,'EIA 2022'!$A$2:$Z$213,26,0),"")</f>
        <v>0</v>
      </c>
      <c r="EP49" s="23">
        <f t="shared" si="54"/>
        <v>6.8176120931808651E-2</v>
      </c>
      <c r="EQ49" s="32">
        <f t="shared" si="55"/>
        <v>74540.954314720817</v>
      </c>
      <c r="ER49" s="32">
        <f t="shared" si="56"/>
        <v>1969339.0456852792</v>
      </c>
      <c r="ES49" s="32"/>
      <c r="ET49" s="32"/>
    </row>
    <row r="50" spans="1:150" ht="15.75" customHeight="1">
      <c r="A50" s="7" t="s">
        <v>351</v>
      </c>
      <c r="B50" s="7" t="s">
        <v>352</v>
      </c>
      <c r="C50" s="32" t="s">
        <v>919</v>
      </c>
      <c r="D50" s="42">
        <v>104980675</v>
      </c>
      <c r="E50" s="42">
        <v>86277041</v>
      </c>
      <c r="F50" s="42">
        <v>0</v>
      </c>
      <c r="G50" s="42">
        <v>700037070</v>
      </c>
      <c r="H50" s="42">
        <v>704632971</v>
      </c>
      <c r="I50" s="42">
        <v>2774673</v>
      </c>
      <c r="J50" s="42">
        <v>1731458</v>
      </c>
      <c r="K50" s="42">
        <v>314897</v>
      </c>
      <c r="L50" s="42">
        <v>1709069</v>
      </c>
      <c r="M50" s="42">
        <v>4528651</v>
      </c>
      <c r="N50" s="42">
        <v>411040</v>
      </c>
      <c r="O50" s="42">
        <v>14410723</v>
      </c>
      <c r="P50" s="42">
        <v>1345964</v>
      </c>
      <c r="Q50" s="42">
        <v>66897</v>
      </c>
      <c r="R50" s="42">
        <v>82245</v>
      </c>
      <c r="S50" s="42">
        <v>1291895</v>
      </c>
      <c r="T50" s="42">
        <v>52656226</v>
      </c>
      <c r="U50" s="42">
        <v>1482024</v>
      </c>
      <c r="V50" s="42">
        <v>339024</v>
      </c>
      <c r="W50" s="42">
        <v>409576</v>
      </c>
      <c r="X50" s="42">
        <f>IFERROR(VLOOKUP(A50,'Trans 21-23'!$A$2:$J$229,8,0),0)</f>
        <v>0</v>
      </c>
      <c r="Y50" s="42">
        <v>1299275</v>
      </c>
      <c r="Z50" s="42">
        <v>60357</v>
      </c>
      <c r="AA50" s="42">
        <v>16301854</v>
      </c>
      <c r="AB50" s="42">
        <v>7086379</v>
      </c>
      <c r="AC50" s="42">
        <v>594564</v>
      </c>
      <c r="AD50" s="42">
        <v>97738822</v>
      </c>
      <c r="AE50" s="42">
        <v>0</v>
      </c>
      <c r="AF50" s="42">
        <v>1706988919</v>
      </c>
      <c r="AG50" s="42">
        <v>607743</v>
      </c>
      <c r="AH50" s="42">
        <v>1469180</v>
      </c>
      <c r="AI50" s="42">
        <v>27183716</v>
      </c>
      <c r="AJ50" s="42">
        <v>0</v>
      </c>
      <c r="AK50" s="42">
        <v>46</v>
      </c>
      <c r="AL50" s="42">
        <v>5507591</v>
      </c>
      <c r="AM50" s="42">
        <v>4739785</v>
      </c>
      <c r="AN50" s="42">
        <v>7492111</v>
      </c>
      <c r="AO50" s="42">
        <v>55614</v>
      </c>
      <c r="AP50" s="42">
        <v>0</v>
      </c>
      <c r="AQ50" s="42">
        <v>17795101</v>
      </c>
      <c r="AR50" s="42">
        <v>7919389</v>
      </c>
      <c r="AS50" s="42">
        <v>25714490</v>
      </c>
      <c r="AT50" s="42">
        <v>0</v>
      </c>
      <c r="AU50" s="42">
        <v>3850</v>
      </c>
      <c r="AV50" s="42">
        <v>0</v>
      </c>
      <c r="AW50" s="42">
        <v>639764014</v>
      </c>
      <c r="AX50" s="42">
        <v>184903947</v>
      </c>
      <c r="AY50" s="42">
        <v>321778596</v>
      </c>
      <c r="AZ50" s="42">
        <v>161951901</v>
      </c>
      <c r="BA50" s="42">
        <v>32046702</v>
      </c>
      <c r="BB50" s="42">
        <v>3024511663</v>
      </c>
      <c r="BC50" s="42">
        <v>10952358416</v>
      </c>
      <c r="BD50" s="42">
        <v>211400070</v>
      </c>
      <c r="BE50" s="42">
        <v>779464365</v>
      </c>
      <c r="BF50" s="42">
        <v>89094325</v>
      </c>
      <c r="BG50" s="42">
        <v>0</v>
      </c>
      <c r="BH50" s="42">
        <v>19208488</v>
      </c>
      <c r="BI50" s="42">
        <v>2212261</v>
      </c>
      <c r="BJ50" s="42">
        <v>3433470</v>
      </c>
      <c r="BK50" s="42">
        <v>0</v>
      </c>
      <c r="BL50" s="42">
        <v>0</v>
      </c>
      <c r="BM50" s="42">
        <v>3367018</v>
      </c>
      <c r="BN50" s="42">
        <v>168401656</v>
      </c>
      <c r="BO50" s="42">
        <v>8009778</v>
      </c>
      <c r="BP50" s="42">
        <v>23564800</v>
      </c>
      <c r="BQ50" s="42">
        <v>258427215</v>
      </c>
      <c r="BR50" s="42">
        <v>0</v>
      </c>
      <c r="BS50" s="42">
        <f>IFERROR(VLOOKUP(A50,'Trans 21-23'!$A$2:$J$229,7,0),0)</f>
        <v>0</v>
      </c>
      <c r="BT50" s="63"/>
      <c r="BU50" s="32">
        <f t="shared" si="0"/>
        <v>3024511663</v>
      </c>
      <c r="BV50" s="32">
        <f t="shared" si="1"/>
        <v>3850</v>
      </c>
      <c r="BW50" s="32">
        <f t="shared" si="2"/>
        <v>607743</v>
      </c>
      <c r="BX50" s="32">
        <f t="shared" si="3"/>
        <v>83554362</v>
      </c>
      <c r="BY50" s="32">
        <f t="shared" si="4"/>
        <v>25342429</v>
      </c>
      <c r="BZ50" s="32">
        <f t="shared" si="5"/>
        <v>161951901</v>
      </c>
      <c r="CA50" s="32">
        <f t="shared" si="6"/>
        <v>97738822</v>
      </c>
      <c r="CB50" s="32">
        <f t="shared" si="7"/>
        <v>1469180</v>
      </c>
      <c r="CC50" s="32">
        <f t="shared" si="8"/>
        <v>17795101</v>
      </c>
      <c r="CD50" s="41">
        <f t="shared" si="9"/>
        <v>1</v>
      </c>
      <c r="CE50" s="44">
        <f t="shared" si="10"/>
        <v>12</v>
      </c>
      <c r="CF50" s="27"/>
      <c r="CG50" s="28">
        <f t="shared" si="11"/>
        <v>785.58744493506492</v>
      </c>
      <c r="CH50" s="28">
        <f t="shared" si="12"/>
        <v>6.3349145938332487</v>
      </c>
      <c r="CI50" s="28">
        <f t="shared" si="13"/>
        <v>137.48305122395487</v>
      </c>
      <c r="CJ50" s="28">
        <f t="shared" si="14"/>
        <v>266.48089899842535</v>
      </c>
      <c r="CK50" s="23">
        <f t="shared" si="15"/>
        <v>8.2560925054597889E-2</v>
      </c>
      <c r="CL50" s="29" t="str">
        <f t="shared" si="16"/>
        <v/>
      </c>
      <c r="CM50" s="29" t="str">
        <f t="shared" si="17"/>
        <v/>
      </c>
      <c r="CN50" s="29" t="str">
        <f t="shared" si="18"/>
        <v/>
      </c>
      <c r="CO50" s="29" t="str">
        <f t="shared" si="19"/>
        <v/>
      </c>
      <c r="CP50" s="29" t="str">
        <f t="shared" si="20"/>
        <v/>
      </c>
      <c r="CQ50" s="29">
        <f t="shared" si="21"/>
        <v>0</v>
      </c>
      <c r="CR50" s="30"/>
      <c r="CS50" s="7">
        <f>VLOOKUP(A50,'Empresas 21-23'!$A$2:$M$228,13,0)</f>
        <v>1</v>
      </c>
      <c r="CT50" s="30"/>
      <c r="CU50" s="6">
        <f t="shared" si="22"/>
        <v>2526503534.1999998</v>
      </c>
      <c r="CV50" s="6">
        <f t="shared" si="23"/>
        <v>161951901</v>
      </c>
      <c r="CW50" s="6">
        <f t="shared" si="24"/>
        <v>211400070</v>
      </c>
      <c r="CX50" s="23">
        <f t="shared" si="58"/>
        <v>0.23522142557613451</v>
      </c>
      <c r="CY50" s="23">
        <f t="shared" si="59"/>
        <v>1.5077974961173916E-2</v>
      </c>
      <c r="CZ50" s="6">
        <f t="shared" si="27"/>
        <v>2576229360.0322943</v>
      </c>
      <c r="DA50" s="6">
        <f t="shared" si="28"/>
        <v>165139385.96225041</v>
      </c>
      <c r="DB50" s="6">
        <f t="shared" si="29"/>
        <v>83554362</v>
      </c>
      <c r="DC50" s="6">
        <f t="shared" si="30"/>
        <v>83554362</v>
      </c>
      <c r="DD50" s="6">
        <f t="shared" si="31"/>
        <v>25342429</v>
      </c>
      <c r="DE50" s="6">
        <f t="shared" si="32"/>
        <v>97738822</v>
      </c>
      <c r="DF50" s="6">
        <f t="shared" si="33"/>
        <v>14920170.565802449</v>
      </c>
      <c r="DG50" s="30"/>
      <c r="DH50" s="32">
        <f>VLOOKUP(A50,'T_med_comp-USA'!$A$7:$Q$233,17,0)</f>
        <v>8.3802091462703405</v>
      </c>
      <c r="DI50" s="6" t="str">
        <f t="shared" si="34"/>
        <v>8_2014</v>
      </c>
      <c r="DJ50" s="32">
        <f>IF(DI50="","",VLOOKUP(DI50,'CPI USA'!$T:$U,2,FALSE))</f>
        <v>237.852</v>
      </c>
      <c r="DK50" s="32">
        <f>IF(DI50="","",VLOOKUP(DI50,'PPI USA'!$S:$T,2,FALSE))</f>
        <v>190</v>
      </c>
      <c r="DL50" s="32">
        <f>IF(DI50="","",VLOOKUP(DI50,'CPI USA'!$T:$V,3,FALSE))</f>
        <v>0.66756601812039096</v>
      </c>
      <c r="DM50" s="32">
        <f>IF(DI50="","",VLOOKUP(DI50,'CPI USA'!$T:$X,5,FALSE))</f>
        <v>0.49542529667095003</v>
      </c>
      <c r="DN50" s="32">
        <f t="shared" si="35"/>
        <v>1.3322780725835981</v>
      </c>
      <c r="DO50" s="32">
        <f t="shared" si="36"/>
        <v>1.3381779277547703</v>
      </c>
      <c r="DP50" s="32">
        <f t="shared" si="37"/>
        <v>0.24082658406907503</v>
      </c>
      <c r="DQ50" s="32">
        <f>IF(DP50="","",DP50*$DO$1/'CPI USA'!$U$520+(1-DP50)*AVERAGE($DO$1,$DQ$1)/AVERAGE('CPI USA'!$U$520,'PPI USA'!$T$526))</f>
        <v>1.0840896911266367</v>
      </c>
      <c r="DR50" s="6">
        <f t="shared" si="38"/>
        <v>5645731</v>
      </c>
      <c r="DS50" s="32">
        <f t="shared" si="39"/>
        <v>0.23337391700037571</v>
      </c>
      <c r="DT50" s="28">
        <f>IF(DS50="","",DS50*$DO$1/'CPI USA'!$U$520+(1-DS50)*AVERAGE($DO$1,$DQ$1)/AVERAGE('CPI USA'!$U$520,'PPI USA'!$T$526))</f>
        <v>1.0843403919028605</v>
      </c>
      <c r="DU50" s="6">
        <f t="shared" si="40"/>
        <v>3527165.2773047076</v>
      </c>
      <c r="DV50" s="6">
        <f t="shared" si="57"/>
        <v>337828.0248306226</v>
      </c>
      <c r="DW50" s="6">
        <f t="shared" si="41"/>
        <v>570430.1979358485</v>
      </c>
      <c r="DX50" s="16">
        <f t="shared" si="42"/>
        <v>0.2</v>
      </c>
      <c r="DY50" s="28">
        <f>IF(DX50="","",DX50*$DO$1/'CPI USA'!$U$520+(1-DX50)*AVERAGE($DO$1,$DQ$1)/AVERAGE('CPI USA'!$U$520,'PPI USA'!$T$526))</f>
        <v>1.0854630593748538</v>
      </c>
      <c r="DZ50" s="30"/>
      <c r="EA50" s="29" t="str">
        <f t="shared" si="43"/>
        <v>C000532</v>
      </c>
      <c r="EB50" s="29">
        <f t="shared" si="44"/>
        <v>3432253886.3171015</v>
      </c>
      <c r="EC50" s="29">
        <f t="shared" si="45"/>
        <v>220985881.29765946</v>
      </c>
      <c r="ED50" s="29">
        <f t="shared" si="46"/>
        <v>90580422.492863193</v>
      </c>
      <c r="EE50" s="29">
        <f t="shared" si="47"/>
        <v>27479819.393630415</v>
      </c>
      <c r="EF50" s="29">
        <f t="shared" si="48"/>
        <v>16195293.98875057</v>
      </c>
      <c r="EG50" s="29">
        <f t="shared" si="49"/>
        <v>3850</v>
      </c>
      <c r="EH50" s="29">
        <f t="shared" si="50"/>
        <v>607743</v>
      </c>
      <c r="EI50" s="29">
        <f t="shared" si="51"/>
        <v>1469180</v>
      </c>
      <c r="EJ50" s="29">
        <f t="shared" si="52"/>
        <v>17795101</v>
      </c>
      <c r="EK50" s="29">
        <f t="shared" si="53"/>
        <v>19143681.167512693</v>
      </c>
      <c r="EL50" s="29">
        <f>IF(CD50=1,VLOOKUP(EA50,'EIA 2022'!$A$2:$J$213,4,0)*EH50,"")</f>
        <v>73354580.100000009</v>
      </c>
      <c r="EM50" s="29">
        <f>IF(CD50=1,VLOOKUP(EA50,'EIA 2022'!$A$2:$J$213,7,0)*EH50,"")</f>
        <v>636914.66399999999</v>
      </c>
      <c r="EN50" s="29">
        <f>IF(CD50=1,VLOOKUP(EA50,'EIA 2022'!$A$2:$J$213,10,0),"")</f>
        <v>492662</v>
      </c>
      <c r="EO50" s="28">
        <f>IF(CD50=1,VLOOKUP(EA50,'EIA 2022'!$A$2:$Z$213,26,0),"")</f>
        <v>0</v>
      </c>
      <c r="EP50" s="23">
        <f t="shared" si="54"/>
        <v>7.0445185317924389E-2</v>
      </c>
      <c r="EQ50" s="32">
        <f t="shared" si="55"/>
        <v>120599.83248730935</v>
      </c>
      <c r="ER50" s="32">
        <f t="shared" si="56"/>
        <v>1348580.1675126906</v>
      </c>
      <c r="ES50" s="32"/>
      <c r="ET50" s="32"/>
    </row>
    <row r="51" spans="1:150" ht="15.75" customHeight="1">
      <c r="A51" s="7" t="s">
        <v>354</v>
      </c>
      <c r="B51" s="7" t="s">
        <v>355</v>
      </c>
      <c r="C51" s="32" t="s">
        <v>920</v>
      </c>
      <c r="D51" s="42">
        <v>76868710</v>
      </c>
      <c r="E51" s="42">
        <v>0</v>
      </c>
      <c r="F51" s="42">
        <v>0</v>
      </c>
      <c r="G51" s="42">
        <v>319873795</v>
      </c>
      <c r="H51" s="42">
        <v>320916247</v>
      </c>
      <c r="I51" s="42">
        <v>805659</v>
      </c>
      <c r="J51" s="42">
        <v>388479</v>
      </c>
      <c r="K51" s="42">
        <v>1964</v>
      </c>
      <c r="L51" s="42">
        <v>351141</v>
      </c>
      <c r="M51" s="42">
        <v>238861</v>
      </c>
      <c r="N51" s="42">
        <v>200910</v>
      </c>
      <c r="O51" s="42">
        <v>3192387</v>
      </c>
      <c r="P51" s="42">
        <v>933528</v>
      </c>
      <c r="Q51" s="42">
        <v>5110</v>
      </c>
      <c r="R51" s="42">
        <v>20773</v>
      </c>
      <c r="S51" s="42">
        <v>337440</v>
      </c>
      <c r="T51" s="42">
        <v>33194092</v>
      </c>
      <c r="U51" s="42">
        <v>48395</v>
      </c>
      <c r="V51" s="42">
        <v>23586</v>
      </c>
      <c r="W51" s="42">
        <v>25517</v>
      </c>
      <c r="X51" s="42">
        <f>IFERROR(VLOOKUP(A51,'Trans 21-23'!$A$2:$J$229,8,0),0)</f>
        <v>1062964</v>
      </c>
      <c r="Y51" s="42">
        <v>1229732</v>
      </c>
      <c r="Z51" s="42">
        <v>33477</v>
      </c>
      <c r="AA51" s="42">
        <v>8973225</v>
      </c>
      <c r="AB51" s="42">
        <v>1537824</v>
      </c>
      <c r="AC51" s="42">
        <v>48529</v>
      </c>
      <c r="AD51" s="42">
        <v>19092184</v>
      </c>
      <c r="AE51" s="42">
        <v>0</v>
      </c>
      <c r="AF51" s="42">
        <v>588563493</v>
      </c>
      <c r="AG51" s="42">
        <v>164194</v>
      </c>
      <c r="AH51" s="42">
        <v>431301</v>
      </c>
      <c r="AI51" s="42">
        <v>6433073</v>
      </c>
      <c r="AJ51" s="42">
        <v>0</v>
      </c>
      <c r="AK51" s="42">
        <v>0</v>
      </c>
      <c r="AL51" s="42">
        <v>1968490</v>
      </c>
      <c r="AM51" s="42">
        <v>1344936</v>
      </c>
      <c r="AN51" s="42">
        <v>2068484</v>
      </c>
      <c r="AO51" s="42">
        <v>9388</v>
      </c>
      <c r="AP51" s="42">
        <v>0</v>
      </c>
      <c r="AQ51" s="42">
        <v>5391298</v>
      </c>
      <c r="AR51" s="42">
        <v>610474</v>
      </c>
      <c r="AS51" s="42">
        <v>6001772</v>
      </c>
      <c r="AT51" s="42">
        <v>0</v>
      </c>
      <c r="AU51" s="42">
        <v>1359</v>
      </c>
      <c r="AV51" s="42">
        <v>0</v>
      </c>
      <c r="AW51" s="42">
        <v>309840643</v>
      </c>
      <c r="AX51" s="42">
        <v>9683026</v>
      </c>
      <c r="AY51" s="42">
        <v>12753563</v>
      </c>
      <c r="AZ51" s="42">
        <v>25390690</v>
      </c>
      <c r="BA51" s="42">
        <v>4943637</v>
      </c>
      <c r="BB51" s="42">
        <v>1060799274</v>
      </c>
      <c r="BC51" s="42">
        <v>3266149067</v>
      </c>
      <c r="BD51" s="42">
        <v>105159225</v>
      </c>
      <c r="BE51" s="42">
        <v>324534110</v>
      </c>
      <c r="BF51" s="42">
        <v>36408097</v>
      </c>
      <c r="BG51" s="42">
        <v>0</v>
      </c>
      <c r="BH51" s="42">
        <v>8627192</v>
      </c>
      <c r="BI51" s="42">
        <v>999859</v>
      </c>
      <c r="BJ51" s="42">
        <v>180454</v>
      </c>
      <c r="BK51" s="42">
        <v>0</v>
      </c>
      <c r="BL51" s="42">
        <v>0</v>
      </c>
      <c r="BM51" s="42">
        <v>2760786</v>
      </c>
      <c r="BN51" s="42">
        <v>24446020</v>
      </c>
      <c r="BO51" s="42">
        <v>1612638</v>
      </c>
      <c r="BP51" s="42">
        <v>4619375</v>
      </c>
      <c r="BQ51" s="42">
        <v>44897022</v>
      </c>
      <c r="BR51" s="42">
        <v>0</v>
      </c>
      <c r="BS51" s="42">
        <f>IFERROR(VLOOKUP(A51,'Trans 21-23'!$A$2:$J$229,7,0),0)</f>
        <v>96265820</v>
      </c>
      <c r="BT51" s="63"/>
      <c r="BU51" s="32">
        <f t="shared" si="0"/>
        <v>1060799274</v>
      </c>
      <c r="BV51" s="32">
        <f t="shared" si="1"/>
        <v>1359</v>
      </c>
      <c r="BW51" s="32">
        <f t="shared" si="2"/>
        <v>164194</v>
      </c>
      <c r="BX51" s="32">
        <f t="shared" si="3"/>
        <v>39767842</v>
      </c>
      <c r="BY51" s="32">
        <f t="shared" si="4"/>
        <v>11822787</v>
      </c>
      <c r="BZ51" s="32">
        <f t="shared" si="5"/>
        <v>25390690</v>
      </c>
      <c r="CA51" s="32">
        <f t="shared" si="6"/>
        <v>19092184</v>
      </c>
      <c r="CB51" s="32">
        <f t="shared" si="7"/>
        <v>431301</v>
      </c>
      <c r="CC51" s="32">
        <f t="shared" si="8"/>
        <v>5391298</v>
      </c>
      <c r="CD51" s="41">
        <f t="shared" si="9"/>
        <v>1</v>
      </c>
      <c r="CE51" s="44">
        <f t="shared" si="10"/>
        <v>12</v>
      </c>
      <c r="CF51" s="27"/>
      <c r="CG51" s="28">
        <f t="shared" si="11"/>
        <v>780.573417218543</v>
      </c>
      <c r="CH51" s="28">
        <f t="shared" si="12"/>
        <v>8.2767945235514091</v>
      </c>
      <c r="CI51" s="28">
        <f t="shared" si="13"/>
        <v>242.20033618768042</v>
      </c>
      <c r="CJ51" s="28">
        <f t="shared" si="14"/>
        <v>154.63835462928</v>
      </c>
      <c r="CK51" s="23">
        <f t="shared" si="15"/>
        <v>7.9999473225186218E-2</v>
      </c>
      <c r="CL51" s="29" t="str">
        <f t="shared" si="16"/>
        <v/>
      </c>
      <c r="CM51" s="29" t="str">
        <f t="shared" si="17"/>
        <v/>
      </c>
      <c r="CN51" s="29" t="str">
        <f t="shared" si="18"/>
        <v/>
      </c>
      <c r="CO51" s="29" t="str">
        <f t="shared" si="19"/>
        <v/>
      </c>
      <c r="CP51" s="29" t="str">
        <f t="shared" si="20"/>
        <v/>
      </c>
      <c r="CQ51" s="29">
        <f t="shared" si="21"/>
        <v>0</v>
      </c>
      <c r="CR51" s="30"/>
      <c r="CS51" s="7">
        <f>VLOOKUP(A51,'Empresas 21-23'!$A$2:$M$228,13,0)</f>
        <v>1</v>
      </c>
      <c r="CT51" s="30"/>
      <c r="CU51" s="6">
        <f t="shared" si="22"/>
        <v>1113268813.5999999</v>
      </c>
      <c r="CV51" s="6">
        <f t="shared" si="23"/>
        <v>25390690</v>
      </c>
      <c r="CW51" s="6">
        <f t="shared" si="24"/>
        <v>105159225</v>
      </c>
      <c r="CX51" s="23">
        <f t="shared" si="58"/>
        <v>0.35218993709123092</v>
      </c>
      <c r="CY51" s="23">
        <f t="shared" si="59"/>
        <v>8.0325123676876411E-3</v>
      </c>
      <c r="CZ51" s="6">
        <f t="shared" si="27"/>
        <v>1150304834.4373126</v>
      </c>
      <c r="DA51" s="6">
        <f t="shared" si="28"/>
        <v>26235382.775388949</v>
      </c>
      <c r="DB51" s="6">
        <f t="shared" si="29"/>
        <v>39767842</v>
      </c>
      <c r="DC51" s="6">
        <f t="shared" si="30"/>
        <v>40830806</v>
      </c>
      <c r="DD51" s="6">
        <f t="shared" si="31"/>
        <v>11822787</v>
      </c>
      <c r="DE51" s="6">
        <f t="shared" si="32"/>
        <v>19092184</v>
      </c>
      <c r="DF51" s="6">
        <f t="shared" si="33"/>
        <v>5855282.4619228439</v>
      </c>
      <c r="DG51" s="30"/>
      <c r="DH51" s="32">
        <f>VLOOKUP(A51,'T_med_comp-USA'!$A$7:$Q$233,17,0)</f>
        <v>8.9477469822084732</v>
      </c>
      <c r="DI51" s="6" t="str">
        <f t="shared" si="34"/>
        <v>1_2014</v>
      </c>
      <c r="DJ51" s="32">
        <f>IF(DI51="","",VLOOKUP(DI51,'CPI USA'!$T:$U,2,FALSE))</f>
        <v>233.916</v>
      </c>
      <c r="DK51" s="32">
        <f>IF(DI51="","",VLOOKUP(DI51,'PPI USA'!$S:$T,2,FALSE))</f>
        <v>179.5</v>
      </c>
      <c r="DL51" s="32">
        <f>IF(DI51="","",VLOOKUP(DI51,'CPI USA'!$T:$V,3,FALSE))</f>
        <v>0.66756601812039096</v>
      </c>
      <c r="DM51" s="32">
        <f>IF(DI51="","",VLOOKUP(DI51,'CPI USA'!$T:$X,5,FALSE))</f>
        <v>0.49542529667095003</v>
      </c>
      <c r="DN51" s="32">
        <f t="shared" si="35"/>
        <v>1.3628462972447253</v>
      </c>
      <c r="DO51" s="32">
        <f t="shared" si="36"/>
        <v>1.3730659524137003</v>
      </c>
      <c r="DP51" s="32">
        <f t="shared" si="37"/>
        <v>0.23124977678469663</v>
      </c>
      <c r="DQ51" s="32">
        <f>IF(DP51="","",DP51*$DO$1/'CPI USA'!$U$520+(1-DP51)*AVERAGE($DO$1,$DQ$1)/AVERAGE('CPI USA'!$U$520,'PPI USA'!$T$526))</f>
        <v>1.0844118460005643</v>
      </c>
      <c r="DR51" s="6">
        <f t="shared" si="38"/>
        <v>1180313</v>
      </c>
      <c r="DS51" s="32">
        <f t="shared" si="39"/>
        <v>0.2</v>
      </c>
      <c r="DT51" s="28">
        <f>IF(DS51="","",DS51*$DO$1/'CPI USA'!$U$520+(1-DS51)*AVERAGE($DO$1,$DQ$1)/AVERAGE('CPI USA'!$U$520,'PPI USA'!$T$526))</f>
        <v>1.0854630593748538</v>
      </c>
      <c r="DU51" s="6">
        <f t="shared" si="40"/>
        <v>2942907.6056220196</v>
      </c>
      <c r="DV51" s="6">
        <f t="shared" si="57"/>
        <v>316629.86243337399</v>
      </c>
      <c r="DW51" s="6">
        <f t="shared" si="41"/>
        <v>1307694.6683198579</v>
      </c>
      <c r="DX51" s="16">
        <f t="shared" si="42"/>
        <v>0.22333588120194936</v>
      </c>
      <c r="DY51" s="28">
        <f>IF(DX51="","",DX51*$DO$1/'CPI USA'!$U$520+(1-DX51)*AVERAGE($DO$1,$DQ$1)/AVERAGE('CPI USA'!$U$520,'PPI USA'!$T$526))</f>
        <v>1.0846780620742544</v>
      </c>
      <c r="DZ51" s="30"/>
      <c r="EA51" s="29" t="str">
        <f t="shared" si="43"/>
        <v>C000533</v>
      </c>
      <c r="EB51" s="29">
        <f t="shared" si="44"/>
        <v>1567688684.3155982</v>
      </c>
      <c r="EC51" s="29">
        <f t="shared" si="45"/>
        <v>36022910.837427415</v>
      </c>
      <c r="ED51" s="29">
        <f t="shared" si="46"/>
        <v>44277409.708150916</v>
      </c>
      <c r="EE51" s="29">
        <f t="shared" si="47"/>
        <v>12833198.54735725</v>
      </c>
      <c r="EF51" s="29">
        <f t="shared" si="48"/>
        <v>6351096.4336958397</v>
      </c>
      <c r="EG51" s="29">
        <f t="shared" si="49"/>
        <v>1359</v>
      </c>
      <c r="EH51" s="29">
        <f t="shared" si="50"/>
        <v>164194</v>
      </c>
      <c r="EI51" s="29">
        <f t="shared" si="51"/>
        <v>431301</v>
      </c>
      <c r="EJ51" s="29">
        <f t="shared" si="52"/>
        <v>5391298</v>
      </c>
      <c r="EK51" s="29">
        <f t="shared" si="53"/>
        <v>5813302.4416243657</v>
      </c>
      <c r="EL51" s="29">
        <f>IF(CD51=1,VLOOKUP(EA51,'EIA 2022'!$A$2:$J$213,4,0)*EH51,"")</f>
        <v>80553576.400000006</v>
      </c>
      <c r="EM51" s="29">
        <f>IF(CD51=1,VLOOKUP(EA51,'EIA 2022'!$A$2:$J$213,7,0)*EH51,"")</f>
        <v>465818.37800000003</v>
      </c>
      <c r="EN51" s="29">
        <f>IF(CD51=1,VLOOKUP(EA51,'EIA 2022'!$A$2:$J$213,10,0),"")</f>
        <v>170506</v>
      </c>
      <c r="EO51" s="28">
        <f>IF(CD51=1,VLOOKUP(EA51,'EIA 2022'!$A$2:$Z$213,26,0),"")</f>
        <v>0</v>
      </c>
      <c r="EP51" s="23">
        <f t="shared" si="54"/>
        <v>7.2592892914487367E-2</v>
      </c>
      <c r="EQ51" s="32">
        <f t="shared" si="55"/>
        <v>9296.5583756344859</v>
      </c>
      <c r="ER51" s="32">
        <f t="shared" si="56"/>
        <v>422004.44162436551</v>
      </c>
      <c r="ES51" s="32"/>
      <c r="ET51" s="32"/>
    </row>
    <row r="52" spans="1:150" ht="15.75" customHeight="1">
      <c r="A52" s="7" t="s">
        <v>357</v>
      </c>
      <c r="B52" s="7" t="s">
        <v>358</v>
      </c>
      <c r="C52" s="32" t="s">
        <v>921</v>
      </c>
      <c r="D52" s="42">
        <v>0</v>
      </c>
      <c r="E52" s="42">
        <v>0</v>
      </c>
      <c r="F52" s="42">
        <v>0</v>
      </c>
      <c r="G52" s="42">
        <v>145111949</v>
      </c>
      <c r="H52" s="42">
        <v>145111969</v>
      </c>
      <c r="I52" s="42">
        <v>361095</v>
      </c>
      <c r="J52" s="42">
        <v>61859</v>
      </c>
      <c r="K52" s="42">
        <v>1</v>
      </c>
      <c r="L52" s="42">
        <v>151227</v>
      </c>
      <c r="M52" s="42">
        <v>140570</v>
      </c>
      <c r="N52" s="42">
        <v>42379</v>
      </c>
      <c r="O52" s="42">
        <v>677218</v>
      </c>
      <c r="P52" s="42">
        <v>202098</v>
      </c>
      <c r="Q52" s="42">
        <v>1867</v>
      </c>
      <c r="R52" s="42">
        <v>2421</v>
      </c>
      <c r="S52" s="42">
        <v>70333</v>
      </c>
      <c r="T52" s="42">
        <v>9835765</v>
      </c>
      <c r="U52" s="42">
        <v>56373</v>
      </c>
      <c r="V52" s="42">
        <v>9672</v>
      </c>
      <c r="W52" s="42">
        <v>239782</v>
      </c>
      <c r="X52" s="42">
        <f>IFERROR(VLOOKUP(A52,'Trans 21-23'!$A$2:$J$229,8,0),0)</f>
        <v>100879</v>
      </c>
      <c r="Y52" s="42">
        <v>73221</v>
      </c>
      <c r="Z52" s="42">
        <v>12388</v>
      </c>
      <c r="AA52" s="42">
        <v>1255261</v>
      </c>
      <c r="AB52" s="42">
        <v>170661</v>
      </c>
      <c r="AC52" s="42">
        <v>4716</v>
      </c>
      <c r="AD52" s="42">
        <v>2370928</v>
      </c>
      <c r="AE52" s="42">
        <v>0</v>
      </c>
      <c r="AF52" s="42">
        <v>161816340</v>
      </c>
      <c r="AG52" s="42">
        <v>48820</v>
      </c>
      <c r="AH52" s="42">
        <v>72100</v>
      </c>
      <c r="AI52" s="42">
        <v>1938878</v>
      </c>
      <c r="AJ52" s="42">
        <v>0</v>
      </c>
      <c r="AK52" s="42">
        <v>0</v>
      </c>
      <c r="AL52" s="42">
        <v>655536</v>
      </c>
      <c r="AM52" s="42">
        <v>357752</v>
      </c>
      <c r="AN52" s="42">
        <v>821973</v>
      </c>
      <c r="AO52" s="42">
        <v>8664</v>
      </c>
      <c r="AP52" s="42">
        <v>22854</v>
      </c>
      <c r="AQ52" s="42">
        <v>1866778</v>
      </c>
      <c r="AR52" s="42">
        <v>0</v>
      </c>
      <c r="AS52" s="42">
        <v>1866778</v>
      </c>
      <c r="AT52" s="42">
        <v>0</v>
      </c>
      <c r="AU52" s="42">
        <v>498</v>
      </c>
      <c r="AV52" s="42">
        <v>0</v>
      </c>
      <c r="AW52" s="42">
        <v>49939749</v>
      </c>
      <c r="AX52" s="42">
        <v>7782793</v>
      </c>
      <c r="AY52" s="42">
        <v>11140618</v>
      </c>
      <c r="AZ52" s="42">
        <v>6713799</v>
      </c>
      <c r="BA52" s="42">
        <v>9414499</v>
      </c>
      <c r="BB52" s="42">
        <v>213157702</v>
      </c>
      <c r="BC52" s="42">
        <v>287118340</v>
      </c>
      <c r="BD52" s="42">
        <v>12286883</v>
      </c>
      <c r="BE52" s="42">
        <v>78535961</v>
      </c>
      <c r="BF52" s="42">
        <v>7058301</v>
      </c>
      <c r="BG52" s="42">
        <v>0</v>
      </c>
      <c r="BH52" s="42">
        <v>2034915</v>
      </c>
      <c r="BI52" s="42">
        <v>261008</v>
      </c>
      <c r="BJ52" s="42">
        <v>78809</v>
      </c>
      <c r="BK52" s="42">
        <v>0</v>
      </c>
      <c r="BL52" s="42">
        <v>0</v>
      </c>
      <c r="BM52" s="42">
        <v>148317</v>
      </c>
      <c r="BN52" s="42">
        <v>2228023</v>
      </c>
      <c r="BO52" s="42">
        <v>148108</v>
      </c>
      <c r="BP52" s="42">
        <v>394717</v>
      </c>
      <c r="BQ52" s="42">
        <v>5727783</v>
      </c>
      <c r="BR52" s="42">
        <v>0</v>
      </c>
      <c r="BS52" s="42">
        <f>IFERROR(VLOOKUP(A52,'Trans 21-23'!$A$2:$J$229,7,0),0)</f>
        <v>9136005</v>
      </c>
      <c r="BT52" s="63"/>
      <c r="BU52" s="32">
        <f t="shared" si="0"/>
        <v>213157702</v>
      </c>
      <c r="BV52" s="32">
        <f t="shared" si="1"/>
        <v>498</v>
      </c>
      <c r="BW52" s="32">
        <f t="shared" si="2"/>
        <v>48820</v>
      </c>
      <c r="BX52" s="32">
        <f t="shared" si="3"/>
        <v>11852660</v>
      </c>
      <c r="BY52" s="32">
        <f t="shared" si="4"/>
        <v>1516247</v>
      </c>
      <c r="BZ52" s="32">
        <f t="shared" si="5"/>
        <v>6713799</v>
      </c>
      <c r="CA52" s="32">
        <f t="shared" si="6"/>
        <v>2370928</v>
      </c>
      <c r="CB52" s="32">
        <f t="shared" si="7"/>
        <v>72100</v>
      </c>
      <c r="CC52" s="32">
        <f t="shared" si="8"/>
        <v>1866778</v>
      </c>
      <c r="CD52" s="41">
        <f t="shared" si="9"/>
        <v>1</v>
      </c>
      <c r="CE52" s="44">
        <f t="shared" si="10"/>
        <v>13</v>
      </c>
      <c r="CF52" s="27"/>
      <c r="CG52" s="28">
        <f t="shared" si="11"/>
        <v>428.0275140562249</v>
      </c>
      <c r="CH52" s="28">
        <f t="shared" si="12"/>
        <v>10.20073740270381</v>
      </c>
      <c r="CI52" s="28">
        <f t="shared" si="13"/>
        <v>242.78287587054487</v>
      </c>
      <c r="CJ52" s="28">
        <f t="shared" si="14"/>
        <v>137.52148709545267</v>
      </c>
      <c r="CK52" s="23">
        <f t="shared" si="15"/>
        <v>3.8622696432034233E-2</v>
      </c>
      <c r="CL52" s="29" t="str">
        <f t="shared" si="16"/>
        <v/>
      </c>
      <c r="CM52" s="29" t="str">
        <f t="shared" si="17"/>
        <v/>
      </c>
      <c r="CN52" s="29" t="str">
        <f t="shared" si="18"/>
        <v/>
      </c>
      <c r="CO52" s="29" t="str">
        <f t="shared" si="19"/>
        <v/>
      </c>
      <c r="CP52" s="29" t="str">
        <f t="shared" si="20"/>
        <v/>
      </c>
      <c r="CQ52" s="29">
        <f t="shared" si="21"/>
        <v>0</v>
      </c>
      <c r="CR52" s="30"/>
      <c r="CS52" s="7">
        <f>VLOOKUP(A52,'Empresas 21-23'!$A$2:$M$228,13,0)</f>
        <v>1</v>
      </c>
      <c r="CT52" s="30"/>
      <c r="CU52" s="6">
        <f t="shared" si="22"/>
        <v>194811362.40000001</v>
      </c>
      <c r="CV52" s="6">
        <f t="shared" si="23"/>
        <v>6713799</v>
      </c>
      <c r="CW52" s="6">
        <f t="shared" si="24"/>
        <v>12286883</v>
      </c>
      <c r="CX52" s="23">
        <f t="shared" si="58"/>
        <v>0.70883939024490927</v>
      </c>
      <c r="CY52" s="23">
        <f t="shared" si="59"/>
        <v>2.4428786548986638E-2</v>
      </c>
      <c r="CZ52" s="6">
        <f t="shared" si="27"/>
        <v>203520789.05373055</v>
      </c>
      <c r="DA52" s="6">
        <f t="shared" si="28"/>
        <v>7013952.6421593726</v>
      </c>
      <c r="DB52" s="6">
        <f t="shared" si="29"/>
        <v>11852660</v>
      </c>
      <c r="DC52" s="6">
        <f t="shared" si="30"/>
        <v>11953539</v>
      </c>
      <c r="DD52" s="6">
        <f t="shared" si="31"/>
        <v>1516247</v>
      </c>
      <c r="DE52" s="6">
        <f t="shared" si="32"/>
        <v>2370928</v>
      </c>
      <c r="DF52" s="6">
        <f t="shared" si="33"/>
        <v>2228068.4955741619</v>
      </c>
      <c r="DG52" s="30"/>
      <c r="DH52" s="32">
        <f>VLOOKUP(A52,'T_med_comp-USA'!$A$7:$Q$233,17,0)</f>
        <v>11.027134065289319</v>
      </c>
      <c r="DI52" s="6" t="str">
        <f t="shared" si="34"/>
        <v>12_2011</v>
      </c>
      <c r="DJ52" s="32">
        <f>IF(DI52="","",VLOOKUP(DI52,'CPI USA'!$T:$U,2,FALSE))</f>
        <v>224.93899999999999</v>
      </c>
      <c r="DK52" s="32">
        <f>IF(DI52="","",VLOOKUP(DI52,'PPI USA'!$S:$T,2,FALSE))</f>
        <v>169.6</v>
      </c>
      <c r="DL52" s="32">
        <f>IF(DI52="","",VLOOKUP(DI52,'CPI USA'!$T:$V,3,FALSE))</f>
        <v>0.6684022975047168</v>
      </c>
      <c r="DM52" s="32">
        <f>IF(DI52="","",VLOOKUP(DI52,'CPI USA'!$T:$X,5,FALSE))</f>
        <v>0.49636791791307899</v>
      </c>
      <c r="DN52" s="32">
        <f t="shared" si="35"/>
        <v>1.4208751760332547</v>
      </c>
      <c r="DO52" s="32">
        <f t="shared" si="36"/>
        <v>1.4334111417560953</v>
      </c>
      <c r="DP52" s="32">
        <f t="shared" si="37"/>
        <v>0.2</v>
      </c>
      <c r="DQ52" s="32">
        <f>IF(DP52="","",DP52*$DO$1/'CPI USA'!$U$520+(1-DP52)*AVERAGE($DO$1,$DQ$1)/AVERAGE('CPI USA'!$U$520,'PPI USA'!$T$526))</f>
        <v>1.0854630593748538</v>
      </c>
      <c r="DR52" s="6">
        <f t="shared" si="38"/>
        <v>339817</v>
      </c>
      <c r="DS52" s="32">
        <f t="shared" si="39"/>
        <v>0.23901538546640289</v>
      </c>
      <c r="DT52" s="28">
        <f>IF(DS52="","",DS52*$DO$1/'CPI USA'!$U$520+(1-DS52)*AVERAGE($DO$1,$DQ$1)/AVERAGE('CPI USA'!$U$520,'PPI USA'!$T$526))</f>
        <v>1.0841506181600598</v>
      </c>
      <c r="DU52" s="6">
        <f t="shared" si="40"/>
        <v>158176.38396327148</v>
      </c>
      <c r="DV52" s="6">
        <f t="shared" si="57"/>
        <v>10977.407984262712</v>
      </c>
      <c r="DW52" s="6">
        <f t="shared" si="41"/>
        <v>180292.08974016504</v>
      </c>
      <c r="DX52" s="16">
        <f t="shared" si="42"/>
        <v>0.2</v>
      </c>
      <c r="DY52" s="28">
        <f>IF(DX52="","",DX52*$DO$1/'CPI USA'!$U$520+(1-DX52)*AVERAGE($DO$1,$DQ$1)/AVERAGE('CPI USA'!$U$520,'PPI USA'!$T$526))</f>
        <v>1.0854630593748538</v>
      </c>
      <c r="DZ52" s="30"/>
      <c r="EA52" s="29" t="str">
        <f t="shared" si="43"/>
        <v>C000534</v>
      </c>
      <c r="EB52" s="29">
        <f t="shared" si="44"/>
        <v>289177636.97314632</v>
      </c>
      <c r="EC52" s="29">
        <f t="shared" si="45"/>
        <v>10053877.865020847</v>
      </c>
      <c r="ED52" s="29">
        <f t="shared" si="46"/>
        <v>12975125.01329663</v>
      </c>
      <c r="EE52" s="29">
        <f t="shared" si="47"/>
        <v>1643840.1223333362</v>
      </c>
      <c r="EF52" s="29">
        <f t="shared" si="48"/>
        <v>2418486.0457026577</v>
      </c>
      <c r="EG52" s="29">
        <f t="shared" si="49"/>
        <v>498</v>
      </c>
      <c r="EH52" s="29">
        <f t="shared" si="50"/>
        <v>48820</v>
      </c>
      <c r="EI52" s="29">
        <f t="shared" si="51"/>
        <v>72100</v>
      </c>
      <c r="EJ52" s="29">
        <f t="shared" si="52"/>
        <v>1866778</v>
      </c>
      <c r="EK52" s="29">
        <f t="shared" si="53"/>
        <v>1938878</v>
      </c>
      <c r="EL52" s="29">
        <f>IF(CD52=1,VLOOKUP(EA52,'EIA 2022'!$A$2:$J$213,4,0)*EH52,"")</f>
        <v>14187092.000000002</v>
      </c>
      <c r="EM52" s="29">
        <f>IF(CD52=1,VLOOKUP(EA52,'EIA 2022'!$A$2:$J$213,7,0)*EH52,"")</f>
        <v>97102.98000000001</v>
      </c>
      <c r="EN52" s="29">
        <f>IF(CD52=1,VLOOKUP(EA52,'EIA 2022'!$A$2:$J$213,10,0),"")</f>
        <v>51032</v>
      </c>
      <c r="EO52" s="28">
        <f>IF(CD52=1,VLOOKUP(EA52,'EIA 2022'!$A$2:$Z$213,26,0),"")</f>
        <v>0</v>
      </c>
      <c r="EP52" s="23">
        <f t="shared" si="54"/>
        <v>3.7186455259175667E-2</v>
      </c>
      <c r="EQ52" s="32">
        <f t="shared" si="55"/>
        <v>0</v>
      </c>
      <c r="ER52" s="32">
        <f t="shared" si="56"/>
        <v>72100</v>
      </c>
      <c r="ES52" s="32"/>
      <c r="ET52" s="32"/>
    </row>
    <row r="53" spans="1:150" ht="15.75" customHeight="1">
      <c r="A53" s="7" t="s">
        <v>360</v>
      </c>
      <c r="B53" s="7" t="s">
        <v>361</v>
      </c>
      <c r="C53" s="32" t="s">
        <v>922</v>
      </c>
      <c r="D53" s="42">
        <v>0</v>
      </c>
      <c r="E53" s="42">
        <v>0</v>
      </c>
      <c r="F53" s="42">
        <v>0</v>
      </c>
      <c r="G53" s="42">
        <v>1254476855</v>
      </c>
      <c r="H53" s="42">
        <v>1304555687</v>
      </c>
      <c r="I53" s="42">
        <v>6937963</v>
      </c>
      <c r="J53" s="42">
        <v>4573871</v>
      </c>
      <c r="K53" s="42">
        <v>205</v>
      </c>
      <c r="L53" s="42">
        <v>4053596</v>
      </c>
      <c r="M53" s="42">
        <v>9871535</v>
      </c>
      <c r="N53" s="42">
        <v>118830</v>
      </c>
      <c r="O53" s="42">
        <v>39355079</v>
      </c>
      <c r="P53" s="42">
        <v>6701550</v>
      </c>
      <c r="Q53" s="42">
        <v>320301</v>
      </c>
      <c r="R53" s="42">
        <v>53126</v>
      </c>
      <c r="S53" s="42">
        <v>5943961</v>
      </c>
      <c r="T53" s="42">
        <v>115739850</v>
      </c>
      <c r="U53" s="42">
        <v>7297361</v>
      </c>
      <c r="V53" s="42">
        <v>2001789</v>
      </c>
      <c r="W53" s="42">
        <v>5225905</v>
      </c>
      <c r="X53" s="42">
        <f>IFERROR(VLOOKUP(A53,'Trans 21-23'!$A$2:$J$229,8,0),0)</f>
        <v>0</v>
      </c>
      <c r="Y53" s="42">
        <v>4983027</v>
      </c>
      <c r="Z53" s="42">
        <v>667167</v>
      </c>
      <c r="AA53" s="42">
        <v>120300081</v>
      </c>
      <c r="AB53" s="42">
        <v>9622815</v>
      </c>
      <c r="AC53" s="42">
        <v>239314</v>
      </c>
      <c r="AD53" s="42">
        <v>84323305</v>
      </c>
      <c r="AE53" s="42">
        <v>0</v>
      </c>
      <c r="AF53" s="42">
        <v>2406033988</v>
      </c>
      <c r="AG53" s="42">
        <v>1519060</v>
      </c>
      <c r="AH53" s="42">
        <v>665308</v>
      </c>
      <c r="AI53" s="42">
        <v>19867121</v>
      </c>
      <c r="AJ53" s="42">
        <v>0</v>
      </c>
      <c r="AK53" s="42">
        <v>28190076</v>
      </c>
      <c r="AL53" s="42">
        <v>14430135</v>
      </c>
      <c r="AM53" s="42">
        <v>16013323</v>
      </c>
      <c r="AN53" s="42">
        <v>14088721</v>
      </c>
      <c r="AO53" s="42">
        <v>109753</v>
      </c>
      <c r="AP53" s="42">
        <v>561</v>
      </c>
      <c r="AQ53" s="42">
        <v>44642493</v>
      </c>
      <c r="AR53" s="42">
        <v>2749396</v>
      </c>
      <c r="AS53" s="42">
        <v>47391888</v>
      </c>
      <c r="AT53" s="42">
        <v>0</v>
      </c>
      <c r="AU53" s="42">
        <v>3872</v>
      </c>
      <c r="AV53" s="42">
        <v>0</v>
      </c>
      <c r="AW53" s="42">
        <v>1184948076</v>
      </c>
      <c r="AX53" s="42">
        <v>486657761</v>
      </c>
      <c r="AY53" s="42">
        <v>835542186</v>
      </c>
      <c r="AZ53" s="42">
        <v>275093109</v>
      </c>
      <c r="BA53" s="42">
        <v>56226444</v>
      </c>
      <c r="BB53" s="42">
        <v>6447761252</v>
      </c>
      <c r="BC53" s="42">
        <v>10657418516</v>
      </c>
      <c r="BD53" s="42">
        <v>744884547</v>
      </c>
      <c r="BE53" s="42">
        <v>1833253170</v>
      </c>
      <c r="BF53" s="42">
        <v>164726559</v>
      </c>
      <c r="BG53" s="42">
        <v>0</v>
      </c>
      <c r="BH53" s="42">
        <v>62104833</v>
      </c>
      <c r="BI53" s="42">
        <v>8249947</v>
      </c>
      <c r="BJ53" s="42">
        <v>4375310</v>
      </c>
      <c r="BK53" s="42">
        <v>11165</v>
      </c>
      <c r="BL53" s="42">
        <v>0</v>
      </c>
      <c r="BM53" s="42">
        <v>3160987</v>
      </c>
      <c r="BN53" s="42">
        <v>78017470</v>
      </c>
      <c r="BO53" s="42">
        <v>5910833</v>
      </c>
      <c r="BP53" s="42">
        <v>14996741</v>
      </c>
      <c r="BQ53" s="42">
        <v>187992165</v>
      </c>
      <c r="BR53" s="42">
        <v>0</v>
      </c>
      <c r="BS53" s="42">
        <f>IFERROR(VLOOKUP(A53,'Trans 21-23'!$A$2:$J$229,7,0),0)</f>
        <v>0</v>
      </c>
      <c r="BT53" s="63"/>
      <c r="BU53" s="32">
        <f t="shared" si="0"/>
        <v>6447761252</v>
      </c>
      <c r="BV53" s="32">
        <f t="shared" si="1"/>
        <v>3872</v>
      </c>
      <c r="BW53" s="32">
        <f t="shared" si="2"/>
        <v>1519060</v>
      </c>
      <c r="BX53" s="32">
        <f t="shared" si="3"/>
        <v>208194922</v>
      </c>
      <c r="BY53" s="32">
        <f t="shared" si="4"/>
        <v>135812404</v>
      </c>
      <c r="BZ53" s="32">
        <f t="shared" si="5"/>
        <v>275093109</v>
      </c>
      <c r="CA53" s="32">
        <f t="shared" si="6"/>
        <v>84323305</v>
      </c>
      <c r="CB53" s="32">
        <f t="shared" si="7"/>
        <v>665308</v>
      </c>
      <c r="CC53" s="32">
        <f t="shared" si="8"/>
        <v>44642493</v>
      </c>
      <c r="CD53" s="41">
        <f t="shared" si="9"/>
        <v>1</v>
      </c>
      <c r="CE53" s="44">
        <f t="shared" si="10"/>
        <v>12</v>
      </c>
      <c r="CF53" s="27"/>
      <c r="CG53" s="28">
        <f t="shared" si="11"/>
        <v>1665.2275960743802</v>
      </c>
      <c r="CH53" s="28">
        <f t="shared" si="12"/>
        <v>2.5489447421431675</v>
      </c>
      <c r="CI53" s="28">
        <f t="shared" si="13"/>
        <v>137.05510118099352</v>
      </c>
      <c r="CJ53" s="28">
        <f t="shared" si="14"/>
        <v>181.09430108093161</v>
      </c>
      <c r="CK53" s="23">
        <f t="shared" si="15"/>
        <v>1.4903020760959743E-2</v>
      </c>
      <c r="CL53" s="29" t="str">
        <f t="shared" si="16"/>
        <v/>
      </c>
      <c r="CM53" s="29" t="str">
        <f t="shared" si="17"/>
        <v/>
      </c>
      <c r="CN53" s="29" t="str">
        <f t="shared" si="18"/>
        <v/>
      </c>
      <c r="CO53" s="29" t="str">
        <f t="shared" si="19"/>
        <v/>
      </c>
      <c r="CP53" s="29" t="str">
        <f t="shared" si="20"/>
        <v/>
      </c>
      <c r="CQ53" s="29">
        <f t="shared" si="21"/>
        <v>0</v>
      </c>
      <c r="CR53" s="30"/>
      <c r="CS53" s="7">
        <f>VLOOKUP(A53,'Empresas 21-23'!$A$2:$M$228,13,0)</f>
        <v>1</v>
      </c>
      <c r="CT53" s="30"/>
      <c r="CU53" s="6">
        <f t="shared" si="22"/>
        <v>5323121730.8000002</v>
      </c>
      <c r="CV53" s="6">
        <f t="shared" si="23"/>
        <v>275093109</v>
      </c>
      <c r="CW53" s="6">
        <f t="shared" si="24"/>
        <v>744884547</v>
      </c>
      <c r="CX53" s="23">
        <f t="shared" si="58"/>
        <v>0.53700917923179736</v>
      </c>
      <c r="CY53" s="23">
        <f t="shared" si="59"/>
        <v>2.7752047040677335E-2</v>
      </c>
      <c r="CZ53" s="6">
        <f t="shared" si="27"/>
        <v>5723131570.0069199</v>
      </c>
      <c r="DA53" s="6">
        <f t="shared" si="28"/>
        <v>295765179.98821765</v>
      </c>
      <c r="DB53" s="6">
        <f t="shared" si="29"/>
        <v>208194922</v>
      </c>
      <c r="DC53" s="6">
        <f t="shared" si="30"/>
        <v>208194922</v>
      </c>
      <c r="DD53" s="6">
        <f t="shared" si="31"/>
        <v>135812404</v>
      </c>
      <c r="DE53" s="6">
        <f t="shared" si="32"/>
        <v>84323305</v>
      </c>
      <c r="DF53" s="6">
        <f t="shared" si="33"/>
        <v>28518598.233904198</v>
      </c>
      <c r="DG53" s="30"/>
      <c r="DH53" s="32">
        <f>VLOOKUP(A53,'T_med_comp-USA'!$A$7:$Q$233,17,0)</f>
        <v>10.729629606155994</v>
      </c>
      <c r="DI53" s="6" t="str">
        <f t="shared" si="34"/>
        <v>4_2012</v>
      </c>
      <c r="DJ53" s="32">
        <f>IF(DI53="","",VLOOKUP(DI53,'CPI USA'!$T:$U,2,FALSE))</f>
        <v>229.59399999999999</v>
      </c>
      <c r="DK53" s="32">
        <f>IF(DI53="","",VLOOKUP(DI53,'PPI USA'!$S:$T,2,FALSE))</f>
        <v>175.1</v>
      </c>
      <c r="DL53" s="32">
        <f>IF(DI53="","",VLOOKUP(DI53,'CPI USA'!$T:$V,3,FALSE))</f>
        <v>0.66730871354337351</v>
      </c>
      <c r="DM53" s="32">
        <f>IF(DI53="","",VLOOKUP(DI53,'CPI USA'!$T:$X,5,FALSE))</f>
        <v>0.49513551903851311</v>
      </c>
      <c r="DN53" s="32">
        <f t="shared" si="35"/>
        <v>1.3897894616766442</v>
      </c>
      <c r="DO53" s="32">
        <f t="shared" si="36"/>
        <v>1.4008620811189902</v>
      </c>
      <c r="DP53" s="32">
        <f t="shared" si="37"/>
        <v>0.32090157231134403</v>
      </c>
      <c r="DQ53" s="32">
        <f>IF(DP53="","",DP53*$DO$1/'CPI USA'!$U$520+(1-DP53)*AVERAGE($DO$1,$DQ$1)/AVERAGE('CPI USA'!$U$520,'PPI USA'!$T$526))</f>
        <v>1.0813960431314429</v>
      </c>
      <c r="DR53" s="6">
        <f t="shared" si="38"/>
        <v>12636422</v>
      </c>
      <c r="DS53" s="32">
        <f t="shared" si="39"/>
        <v>0.2</v>
      </c>
      <c r="DT53" s="28">
        <f>IF(DS53="","",DS53*$DO$1/'CPI USA'!$U$520+(1-DS53)*AVERAGE($DO$1,$DQ$1)/AVERAGE('CPI USA'!$U$520,'PPI USA'!$T$526))</f>
        <v>1.0854630593748538</v>
      </c>
      <c r="DU53" s="6">
        <f t="shared" si="40"/>
        <v>3400472.6725316904</v>
      </c>
      <c r="DV53" s="6">
        <f t="shared" si="57"/>
        <v>274021.71830491308</v>
      </c>
      <c r="DW53" s="6">
        <f t="shared" si="41"/>
        <v>3520190.0582214245</v>
      </c>
      <c r="DX53" s="16">
        <f t="shared" si="42"/>
        <v>0.2</v>
      </c>
      <c r="DY53" s="28">
        <f>IF(DX53="","",DX53*$DO$1/'CPI USA'!$U$520+(1-DX53)*AVERAGE($DO$1,$DQ$1)/AVERAGE('CPI USA'!$U$520,'PPI USA'!$T$526))</f>
        <v>1.0854630593748538</v>
      </c>
      <c r="DZ53" s="30"/>
      <c r="EA53" s="29" t="str">
        <f t="shared" si="43"/>
        <v>C000535</v>
      </c>
      <c r="EB53" s="29">
        <f t="shared" si="44"/>
        <v>7953947943.7845249</v>
      </c>
      <c r="EC53" s="29">
        <f t="shared" si="45"/>
        <v>414326225.56082731</v>
      </c>
      <c r="ED53" s="29">
        <f t="shared" si="46"/>
        <v>225141164.85085937</v>
      </c>
      <c r="EE53" s="29">
        <f t="shared" si="47"/>
        <v>147419347.54689363</v>
      </c>
      <c r="EF53" s="29">
        <f t="shared" si="48"/>
        <v>30955884.88805595</v>
      </c>
      <c r="EG53" s="29">
        <f t="shared" si="49"/>
        <v>3872</v>
      </c>
      <c r="EH53" s="29">
        <f t="shared" si="50"/>
        <v>1519060</v>
      </c>
      <c r="EI53" s="29">
        <f t="shared" si="51"/>
        <v>665308</v>
      </c>
      <c r="EJ53" s="29">
        <f t="shared" si="52"/>
        <v>44642493</v>
      </c>
      <c r="EK53" s="29">
        <f t="shared" si="53"/>
        <v>45265931.025380708</v>
      </c>
      <c r="EL53" s="29">
        <f>IF(CD53=1,VLOOKUP(EA53,'EIA 2022'!$A$2:$J$213,4,0)*EH53,"")</f>
        <v>272519364</v>
      </c>
      <c r="EM53" s="29">
        <f>IF(CD53=1,VLOOKUP(EA53,'EIA 2022'!$A$2:$J$213,7,0)*EH53,"")</f>
        <v>2637088.16</v>
      </c>
      <c r="EN53" s="29">
        <f>IF(CD53=1,VLOOKUP(EA53,'EIA 2022'!$A$2:$J$213,10,0),"")</f>
        <v>1557997</v>
      </c>
      <c r="EO53" s="28">
        <f>IF(CD53=1,VLOOKUP(EA53,'EIA 2022'!$A$2:$Z$213,26,0),"")</f>
        <v>0</v>
      </c>
      <c r="EP53" s="23">
        <f t="shared" si="54"/>
        <v>1.377280906983106E-2</v>
      </c>
      <c r="EQ53" s="32">
        <f t="shared" si="55"/>
        <v>41868.974619289394</v>
      </c>
      <c r="ER53" s="32">
        <f t="shared" si="56"/>
        <v>623439.02538071061</v>
      </c>
      <c r="ES53" s="32"/>
      <c r="ET53" s="32"/>
    </row>
    <row r="54" spans="1:150" ht="15.75" customHeight="1">
      <c r="A54" s="7" t="s">
        <v>363</v>
      </c>
      <c r="B54" s="7" t="s">
        <v>364</v>
      </c>
      <c r="C54" s="32" t="s">
        <v>923</v>
      </c>
      <c r="D54" s="42">
        <v>129840662</v>
      </c>
      <c r="E54" s="42">
        <v>0</v>
      </c>
      <c r="F54" s="42">
        <v>22853449</v>
      </c>
      <c r="G54" s="42">
        <v>754763953</v>
      </c>
      <c r="H54" s="42">
        <v>758087398</v>
      </c>
      <c r="I54" s="42">
        <v>3448164</v>
      </c>
      <c r="J54" s="42">
        <v>1453101</v>
      </c>
      <c r="K54" s="42">
        <v>2320346</v>
      </c>
      <c r="L54" s="42">
        <v>2137452</v>
      </c>
      <c r="M54" s="42">
        <v>4637451</v>
      </c>
      <c r="N54" s="42">
        <v>493161</v>
      </c>
      <c r="O54" s="42">
        <v>8821694</v>
      </c>
      <c r="P54" s="42">
        <v>804441</v>
      </c>
      <c r="Q54" s="42">
        <v>73849</v>
      </c>
      <c r="R54" s="42">
        <v>124545</v>
      </c>
      <c r="S54" s="42">
        <v>2674073</v>
      </c>
      <c r="T54" s="42">
        <v>57693154</v>
      </c>
      <c r="U54" s="42">
        <v>845481</v>
      </c>
      <c r="V54" s="42">
        <v>67842</v>
      </c>
      <c r="W54" s="42">
        <v>139869</v>
      </c>
      <c r="X54" s="42">
        <f>IFERROR(VLOOKUP(A54,'Trans 21-23'!$A$2:$J$229,8,0),0)</f>
        <v>0</v>
      </c>
      <c r="Y54" s="42">
        <v>4926625</v>
      </c>
      <c r="Z54" s="42">
        <v>328335</v>
      </c>
      <c r="AA54" s="42">
        <v>15787801</v>
      </c>
      <c r="AB54" s="42">
        <v>38119354</v>
      </c>
      <c r="AC54" s="42">
        <v>111846</v>
      </c>
      <c r="AD54" s="42">
        <v>52350742</v>
      </c>
      <c r="AE54" s="42">
        <v>0</v>
      </c>
      <c r="AF54" s="42">
        <v>1388689626</v>
      </c>
      <c r="AG54" s="42">
        <v>572735</v>
      </c>
      <c r="AH54" s="42">
        <v>1173775</v>
      </c>
      <c r="AI54" s="42">
        <v>20936697</v>
      </c>
      <c r="AJ54" s="42">
        <v>18</v>
      </c>
      <c r="AK54" s="42">
        <v>0</v>
      </c>
      <c r="AL54" s="42">
        <v>6618174</v>
      </c>
      <c r="AM54" s="42">
        <v>5152894</v>
      </c>
      <c r="AN54" s="42">
        <v>6073176</v>
      </c>
      <c r="AO54" s="42">
        <v>42392</v>
      </c>
      <c r="AP54" s="42">
        <v>1254128</v>
      </c>
      <c r="AQ54" s="42">
        <v>19140765</v>
      </c>
      <c r="AR54" s="42">
        <v>622139</v>
      </c>
      <c r="AS54" s="42">
        <v>19762904</v>
      </c>
      <c r="AT54" s="42">
        <v>0</v>
      </c>
      <c r="AU54" s="42">
        <v>4285</v>
      </c>
      <c r="AV54" s="42">
        <v>0</v>
      </c>
      <c r="AW54" s="42">
        <v>560234164</v>
      </c>
      <c r="AX54" s="42">
        <v>113994455</v>
      </c>
      <c r="AY54" s="42">
        <v>431263146</v>
      </c>
      <c r="AZ54" s="42">
        <v>121211761</v>
      </c>
      <c r="BA54" s="42">
        <v>84415068</v>
      </c>
      <c r="BB54" s="42">
        <v>3215843365</v>
      </c>
      <c r="BC54" s="42">
        <v>7214316310</v>
      </c>
      <c r="BD54" s="42">
        <v>245918551</v>
      </c>
      <c r="BE54" s="42">
        <v>767587667</v>
      </c>
      <c r="BF54" s="42">
        <v>92833459</v>
      </c>
      <c r="BG54" s="42">
        <v>0</v>
      </c>
      <c r="BH54" s="42">
        <v>21548526</v>
      </c>
      <c r="BI54" s="42">
        <v>2213196</v>
      </c>
      <c r="BJ54" s="42">
        <v>3242720</v>
      </c>
      <c r="BK54" s="42">
        <v>0</v>
      </c>
      <c r="BL54" s="42">
        <v>0</v>
      </c>
      <c r="BM54" s="42">
        <v>3253758</v>
      </c>
      <c r="BN54" s="42">
        <v>60176108</v>
      </c>
      <c r="BO54" s="42">
        <v>3759798</v>
      </c>
      <c r="BP54" s="42">
        <v>9823275</v>
      </c>
      <c r="BQ54" s="42">
        <v>116296451</v>
      </c>
      <c r="BR54" s="42">
        <v>0</v>
      </c>
      <c r="BS54" s="42">
        <f>IFERROR(VLOOKUP(A54,'Trans 21-23'!$A$2:$J$229,7,0),0)</f>
        <v>0</v>
      </c>
      <c r="BT54" s="63"/>
      <c r="BU54" s="32">
        <f t="shared" si="0"/>
        <v>3215843365</v>
      </c>
      <c r="BV54" s="32">
        <f t="shared" si="1"/>
        <v>4285</v>
      </c>
      <c r="BW54" s="32">
        <f t="shared" si="2"/>
        <v>572735</v>
      </c>
      <c r="BX54" s="32">
        <f t="shared" si="3"/>
        <v>85734623</v>
      </c>
      <c r="BY54" s="32">
        <f t="shared" si="4"/>
        <v>59273961</v>
      </c>
      <c r="BZ54" s="32">
        <f t="shared" si="5"/>
        <v>121211761</v>
      </c>
      <c r="CA54" s="32">
        <f t="shared" si="6"/>
        <v>52350742</v>
      </c>
      <c r="CB54" s="32">
        <f t="shared" si="7"/>
        <v>1173775</v>
      </c>
      <c r="CC54" s="32">
        <f t="shared" si="8"/>
        <v>19140765</v>
      </c>
      <c r="CD54" s="41">
        <f t="shared" si="9"/>
        <v>1</v>
      </c>
      <c r="CE54" s="44">
        <f t="shared" si="10"/>
        <v>11</v>
      </c>
      <c r="CF54" s="27"/>
      <c r="CG54" s="28">
        <f t="shared" si="11"/>
        <v>750.48853325554262</v>
      </c>
      <c r="CH54" s="28">
        <f t="shared" si="12"/>
        <v>7.4816450889154673</v>
      </c>
      <c r="CI54" s="28">
        <f t="shared" si="13"/>
        <v>149.69335381982941</v>
      </c>
      <c r="CJ54" s="28">
        <f t="shared" si="14"/>
        <v>211.63672728225094</v>
      </c>
      <c r="CK54" s="23">
        <f t="shared" si="15"/>
        <v>6.1323306565855648E-2</v>
      </c>
      <c r="CL54" s="29" t="str">
        <f t="shared" si="16"/>
        <v/>
      </c>
      <c r="CM54" s="29" t="str">
        <f t="shared" si="17"/>
        <v/>
      </c>
      <c r="CN54" s="29" t="str">
        <f t="shared" si="18"/>
        <v/>
      </c>
      <c r="CO54" s="29" t="str">
        <f t="shared" si="19"/>
        <v/>
      </c>
      <c r="CP54" s="29" t="str">
        <f t="shared" si="20"/>
        <v/>
      </c>
      <c r="CQ54" s="29">
        <f t="shared" si="21"/>
        <v>0</v>
      </c>
      <c r="CR54" s="30"/>
      <c r="CS54" s="7">
        <f>VLOOKUP(A54,'Empresas 21-23'!$A$2:$M$228,13,0)</f>
        <v>1</v>
      </c>
      <c r="CT54" s="30"/>
      <c r="CU54" s="6">
        <f t="shared" si="22"/>
        <v>2683061975.4000001</v>
      </c>
      <c r="CV54" s="6">
        <f t="shared" si="23"/>
        <v>121211761</v>
      </c>
      <c r="CW54" s="6">
        <f t="shared" si="24"/>
        <v>245918551</v>
      </c>
      <c r="CX54" s="23">
        <f t="shared" si="58"/>
        <v>0.3850328394263523</v>
      </c>
      <c r="CY54" s="23">
        <f t="shared" si="59"/>
        <v>1.7394495146814709E-2</v>
      </c>
      <c r="CZ54" s="6">
        <f t="shared" si="27"/>
        <v>2777748693.3591442</v>
      </c>
      <c r="DA54" s="6">
        <f t="shared" si="28"/>
        <v>125489390.0418812</v>
      </c>
      <c r="DB54" s="6">
        <f t="shared" si="29"/>
        <v>85734623</v>
      </c>
      <c r="DC54" s="6">
        <f t="shared" si="30"/>
        <v>85734623</v>
      </c>
      <c r="DD54" s="6">
        <f t="shared" si="31"/>
        <v>59273961</v>
      </c>
      <c r="DE54" s="6">
        <f t="shared" si="32"/>
        <v>52350742</v>
      </c>
      <c r="DF54" s="6">
        <f t="shared" si="33"/>
        <v>17838504.076610886</v>
      </c>
      <c r="DG54" s="30"/>
      <c r="DH54" s="32">
        <f>VLOOKUP(A54,'T_med_comp-USA'!$A$7:$Q$233,17,0)</f>
        <v>8.3844850962185049</v>
      </c>
      <c r="DI54" s="6" t="str">
        <f t="shared" si="34"/>
        <v>8_2014</v>
      </c>
      <c r="DJ54" s="32">
        <f>IF(DI54="","",VLOOKUP(DI54,'CPI USA'!$T:$U,2,FALSE))</f>
        <v>237.852</v>
      </c>
      <c r="DK54" s="32">
        <f>IF(DI54="","",VLOOKUP(DI54,'PPI USA'!$S:$T,2,FALSE))</f>
        <v>190</v>
      </c>
      <c r="DL54" s="32">
        <f>IF(DI54="","",VLOOKUP(DI54,'CPI USA'!$T:$V,3,FALSE))</f>
        <v>0.66756601812039096</v>
      </c>
      <c r="DM54" s="32">
        <f>IF(DI54="","",VLOOKUP(DI54,'CPI USA'!$T:$X,5,FALSE))</f>
        <v>0.49542529667095003</v>
      </c>
      <c r="DN54" s="32">
        <f t="shared" si="35"/>
        <v>1.3322780725835981</v>
      </c>
      <c r="DO54" s="32">
        <f t="shared" si="36"/>
        <v>1.3381779277547703</v>
      </c>
      <c r="DP54" s="32">
        <f t="shared" si="37"/>
        <v>0.26704352607274262</v>
      </c>
      <c r="DQ54" s="32">
        <f>IF(DP54="","",DP54*$DO$1/'CPI USA'!$U$520+(1-DP54)*AVERAGE($DO$1,$DQ$1)/AVERAGE('CPI USA'!$U$520,'PPI USA'!$T$526))</f>
        <v>1.0832077776250744</v>
      </c>
      <c r="DR54" s="6">
        <f t="shared" si="38"/>
        <v>5455916</v>
      </c>
      <c r="DS54" s="32">
        <f t="shared" si="39"/>
        <v>0.2</v>
      </c>
      <c r="DT54" s="28">
        <f>IF(DS54="","",DS54*$DO$1/'CPI USA'!$U$520+(1-DS54)*AVERAGE($DO$1,$DQ$1)/AVERAGE('CPI USA'!$U$520,'PPI USA'!$T$526))</f>
        <v>1.0854630593748538</v>
      </c>
      <c r="DU54" s="6">
        <f t="shared" si="40"/>
        <v>3457052.5171675775</v>
      </c>
      <c r="DV54" s="6">
        <f t="shared" si="57"/>
        <v>300193.53999029764</v>
      </c>
      <c r="DW54" s="6">
        <f t="shared" si="41"/>
        <v>1686089.9882433161</v>
      </c>
      <c r="DX54" s="16">
        <f t="shared" si="42"/>
        <v>0.2</v>
      </c>
      <c r="DY54" s="28">
        <f>IF(DX54="","",DX54*$DO$1/'CPI USA'!$U$520+(1-DX54)*AVERAGE($DO$1,$DQ$1)/AVERAGE('CPI USA'!$U$520,'PPI USA'!$T$526))</f>
        <v>1.0854630593748538</v>
      </c>
      <c r="DZ54" s="30"/>
      <c r="EA54" s="29" t="str">
        <f t="shared" si="43"/>
        <v>C000536</v>
      </c>
      <c r="EB54" s="29">
        <f t="shared" si="44"/>
        <v>3700733675.3101287</v>
      </c>
      <c r="EC54" s="29">
        <f t="shared" si="45"/>
        <v>167927131.9214547</v>
      </c>
      <c r="ED54" s="29">
        <f t="shared" si="46"/>
        <v>92868410.445353583</v>
      </c>
      <c r="EE54" s="29">
        <f t="shared" si="47"/>
        <v>64339695.04832577</v>
      </c>
      <c r="EF54" s="29">
        <f t="shared" si="48"/>
        <v>19363037.209668852</v>
      </c>
      <c r="EG54" s="29">
        <f t="shared" si="49"/>
        <v>4285</v>
      </c>
      <c r="EH54" s="29">
        <f t="shared" si="50"/>
        <v>572735</v>
      </c>
      <c r="EI54" s="29">
        <f t="shared" si="51"/>
        <v>1173775</v>
      </c>
      <c r="EJ54" s="29">
        <f t="shared" si="52"/>
        <v>19140765</v>
      </c>
      <c r="EK54" s="29">
        <f t="shared" si="53"/>
        <v>20305065.802030455</v>
      </c>
      <c r="EL54" s="29">
        <f>IF(CD54=1,VLOOKUP(EA54,'EIA 2022'!$A$2:$J$213,4,0)*EH54,"")</f>
        <v>62886303</v>
      </c>
      <c r="EM54" s="29">
        <f>IF(CD54=1,VLOOKUP(EA54,'EIA 2022'!$A$2:$J$213,7,0)*EH54,"")</f>
        <v>780065.07000000007</v>
      </c>
      <c r="EN54" s="29">
        <f>IF(CD54=1,VLOOKUP(EA54,'EIA 2022'!$A$2:$J$213,10,0),"")</f>
        <v>601904</v>
      </c>
      <c r="EO54" s="28">
        <f>IF(CD54=1,VLOOKUP(EA54,'EIA 2022'!$A$2:$Z$213,26,0),"")</f>
        <v>0</v>
      </c>
      <c r="EP54" s="23">
        <f t="shared" si="54"/>
        <v>5.7340410190349127E-2</v>
      </c>
      <c r="EQ54" s="32">
        <f t="shared" si="55"/>
        <v>9474.1979695431655</v>
      </c>
      <c r="ER54" s="32">
        <f t="shared" si="56"/>
        <v>1164300.8020304567</v>
      </c>
      <c r="ES54" s="32"/>
      <c r="ET54" s="32"/>
    </row>
    <row r="55" spans="1:150" ht="15.75" customHeight="1">
      <c r="A55" s="7" t="s">
        <v>366</v>
      </c>
      <c r="B55" s="7" t="s">
        <v>367</v>
      </c>
      <c r="C55" s="32" t="s">
        <v>924</v>
      </c>
      <c r="D55" s="42">
        <v>617230019</v>
      </c>
      <c r="E55" s="42">
        <v>0</v>
      </c>
      <c r="F55" s="42">
        <v>21068588</v>
      </c>
      <c r="G55" s="42">
        <v>353323157</v>
      </c>
      <c r="H55" s="42">
        <v>403774601</v>
      </c>
      <c r="I55" s="42">
        <v>2669139</v>
      </c>
      <c r="J55" s="42">
        <v>1422024</v>
      </c>
      <c r="K55" s="42">
        <v>65381</v>
      </c>
      <c r="L55" s="42">
        <v>705194</v>
      </c>
      <c r="M55" s="42">
        <v>1941154</v>
      </c>
      <c r="N55" s="42">
        <v>484464</v>
      </c>
      <c r="O55" s="42">
        <v>20264368</v>
      </c>
      <c r="P55" s="42">
        <v>913687</v>
      </c>
      <c r="Q55" s="42">
        <v>108073</v>
      </c>
      <c r="R55" s="42">
        <v>54172</v>
      </c>
      <c r="S55" s="42">
        <v>1354609</v>
      </c>
      <c r="T55" s="42">
        <v>61354854</v>
      </c>
      <c r="U55" s="42">
        <v>710492</v>
      </c>
      <c r="V55" s="42">
        <v>133220</v>
      </c>
      <c r="W55" s="42">
        <v>306759</v>
      </c>
      <c r="X55" s="42">
        <f>IFERROR(VLOOKUP(A55,'Trans 21-23'!$A$2:$J$229,8,0),0)</f>
        <v>0</v>
      </c>
      <c r="Y55" s="42">
        <v>4135070</v>
      </c>
      <c r="Z55" s="42">
        <v>440759</v>
      </c>
      <c r="AA55" s="42">
        <v>21190193</v>
      </c>
      <c r="AB55" s="42">
        <v>23810359</v>
      </c>
      <c r="AC55" s="42">
        <v>185684</v>
      </c>
      <c r="AD55" s="42">
        <v>77928256</v>
      </c>
      <c r="AE55" s="42">
        <v>0</v>
      </c>
      <c r="AF55" s="42">
        <v>1572511178</v>
      </c>
      <c r="AG55" s="42">
        <v>549651</v>
      </c>
      <c r="AH55" s="42">
        <v>598009</v>
      </c>
      <c r="AI55" s="42">
        <v>25089503</v>
      </c>
      <c r="AJ55" s="42">
        <v>21108</v>
      </c>
      <c r="AK55" s="42">
        <v>0</v>
      </c>
      <c r="AL55" s="42">
        <v>6538269</v>
      </c>
      <c r="AM55" s="42">
        <v>5731850</v>
      </c>
      <c r="AN55" s="42">
        <v>5174144</v>
      </c>
      <c r="AO55" s="42">
        <v>74572</v>
      </c>
      <c r="AP55" s="42">
        <v>0</v>
      </c>
      <c r="AQ55" s="42">
        <v>17518835</v>
      </c>
      <c r="AR55" s="42">
        <v>6951551</v>
      </c>
      <c r="AS55" s="42">
        <v>24470386</v>
      </c>
      <c r="AT55" s="42">
        <v>0</v>
      </c>
      <c r="AU55" s="42">
        <v>4918</v>
      </c>
      <c r="AV55" s="42">
        <v>0</v>
      </c>
      <c r="AW55" s="42">
        <v>548979262</v>
      </c>
      <c r="AX55" s="42">
        <v>84804717</v>
      </c>
      <c r="AY55" s="42">
        <v>266677543</v>
      </c>
      <c r="AZ55" s="42">
        <v>106861945</v>
      </c>
      <c r="BA55" s="42">
        <v>51308846</v>
      </c>
      <c r="BB55" s="42">
        <v>2671538976</v>
      </c>
      <c r="BC55" s="42">
        <v>11233706192</v>
      </c>
      <c r="BD55" s="42">
        <v>361414471</v>
      </c>
      <c r="BE55" s="42">
        <v>836056809</v>
      </c>
      <c r="BF55" s="42">
        <v>72938279</v>
      </c>
      <c r="BG55" s="42">
        <v>0</v>
      </c>
      <c r="BH55" s="42">
        <v>29146745</v>
      </c>
      <c r="BI55" s="42">
        <v>4520453</v>
      </c>
      <c r="BJ55" s="42">
        <v>3769997</v>
      </c>
      <c r="BK55" s="42">
        <v>0</v>
      </c>
      <c r="BL55" s="42">
        <v>0</v>
      </c>
      <c r="BM55" s="42">
        <v>4174971</v>
      </c>
      <c r="BN55" s="42">
        <v>89319998</v>
      </c>
      <c r="BO55" s="42">
        <v>4275081</v>
      </c>
      <c r="BP55" s="42">
        <v>13473241</v>
      </c>
      <c r="BQ55" s="42">
        <v>155311065</v>
      </c>
      <c r="BR55" s="42">
        <v>0</v>
      </c>
      <c r="BS55" s="42">
        <f>IFERROR(VLOOKUP(A55,'Trans 21-23'!$A$2:$J$229,7,0),0)</f>
        <v>0</v>
      </c>
      <c r="BT55" s="63"/>
      <c r="BU55" s="32">
        <f t="shared" si="0"/>
        <v>2671538976</v>
      </c>
      <c r="BV55" s="32">
        <f t="shared" si="1"/>
        <v>4918</v>
      </c>
      <c r="BW55" s="32">
        <f t="shared" si="2"/>
        <v>549651</v>
      </c>
      <c r="BX55" s="32">
        <f t="shared" si="3"/>
        <v>92487590</v>
      </c>
      <c r="BY55" s="32">
        <f t="shared" si="4"/>
        <v>49762065</v>
      </c>
      <c r="BZ55" s="32">
        <f t="shared" si="5"/>
        <v>106861945</v>
      </c>
      <c r="CA55" s="32">
        <f t="shared" si="6"/>
        <v>77928256</v>
      </c>
      <c r="CB55" s="32">
        <f t="shared" si="7"/>
        <v>598009</v>
      </c>
      <c r="CC55" s="32">
        <f t="shared" si="8"/>
        <v>17518835</v>
      </c>
      <c r="CD55" s="41">
        <f t="shared" si="9"/>
        <v>1</v>
      </c>
      <c r="CE55" s="44">
        <f t="shared" si="10"/>
        <v>12</v>
      </c>
      <c r="CF55" s="27"/>
      <c r="CG55" s="28">
        <f t="shared" si="11"/>
        <v>543.21654656364376</v>
      </c>
      <c r="CH55" s="28">
        <f t="shared" si="12"/>
        <v>8.9474957745915127</v>
      </c>
      <c r="CI55" s="28">
        <f t="shared" si="13"/>
        <v>168.26602698803421</v>
      </c>
      <c r="CJ55" s="28">
        <f t="shared" si="14"/>
        <v>194.41781239368254</v>
      </c>
      <c r="CK55" s="23">
        <f t="shared" si="15"/>
        <v>3.4135203625126898E-2</v>
      </c>
      <c r="CL55" s="29" t="str">
        <f t="shared" si="16"/>
        <v/>
      </c>
      <c r="CM55" s="29" t="str">
        <f t="shared" si="17"/>
        <v/>
      </c>
      <c r="CN55" s="29" t="str">
        <f t="shared" si="18"/>
        <v/>
      </c>
      <c r="CO55" s="29" t="str">
        <f t="shared" si="19"/>
        <v/>
      </c>
      <c r="CP55" s="29" t="str">
        <f t="shared" si="20"/>
        <v/>
      </c>
      <c r="CQ55" s="29">
        <f t="shared" si="21"/>
        <v>0</v>
      </c>
      <c r="CR55" s="30"/>
      <c r="CS55" s="7">
        <f>VLOOKUP(A55,'Empresas 21-23'!$A$2:$M$228,13,0)</f>
        <v>1</v>
      </c>
      <c r="CT55" s="30"/>
      <c r="CU55" s="6">
        <f t="shared" si="22"/>
        <v>2302478829</v>
      </c>
      <c r="CV55" s="6">
        <f t="shared" si="23"/>
        <v>106861945</v>
      </c>
      <c r="CW55" s="6">
        <f t="shared" si="24"/>
        <v>361414471</v>
      </c>
      <c r="CX55" s="23">
        <f t="shared" si="58"/>
        <v>0.21177493099754915</v>
      </c>
      <c r="CY55" s="23">
        <f t="shared" si="59"/>
        <v>9.8288334918014107E-3</v>
      </c>
      <c r="CZ55" s="6">
        <f t="shared" si="27"/>
        <v>2379017353.6575408</v>
      </c>
      <c r="DA55" s="6">
        <f t="shared" si="28"/>
        <v>110414227.65698649</v>
      </c>
      <c r="DB55" s="6">
        <f t="shared" si="29"/>
        <v>92487590</v>
      </c>
      <c r="DC55" s="6">
        <f t="shared" si="30"/>
        <v>92487590</v>
      </c>
      <c r="DD55" s="6">
        <f t="shared" si="31"/>
        <v>49762065</v>
      </c>
      <c r="DE55" s="6">
        <f t="shared" si="32"/>
        <v>77928256</v>
      </c>
      <c r="DF55" s="6">
        <f t="shared" si="33"/>
        <v>24497302.903759718</v>
      </c>
      <c r="DG55" s="30"/>
      <c r="DH55" s="32">
        <f>VLOOKUP(A55,'T_med_comp-USA'!$A$7:$Q$233,17,0)</f>
        <v>11.033614909800562</v>
      </c>
      <c r="DI55" s="6" t="str">
        <f t="shared" si="34"/>
        <v>12_2011</v>
      </c>
      <c r="DJ55" s="32">
        <f>IF(DI55="","",VLOOKUP(DI55,'CPI USA'!$T:$U,2,FALSE))</f>
        <v>224.93899999999999</v>
      </c>
      <c r="DK55" s="32">
        <f>IF(DI55="","",VLOOKUP(DI55,'PPI USA'!$S:$T,2,FALSE))</f>
        <v>169.6</v>
      </c>
      <c r="DL55" s="32">
        <f>IF(DI55="","",VLOOKUP(DI55,'CPI USA'!$T:$V,3,FALSE))</f>
        <v>0.6684022975047168</v>
      </c>
      <c r="DM55" s="32">
        <f>IF(DI55="","",VLOOKUP(DI55,'CPI USA'!$T:$X,5,FALSE))</f>
        <v>0.49636791791307899</v>
      </c>
      <c r="DN55" s="32">
        <f t="shared" si="35"/>
        <v>1.4208751760332547</v>
      </c>
      <c r="DO55" s="32">
        <f t="shared" si="36"/>
        <v>1.4334111417560953</v>
      </c>
      <c r="DP55" s="32">
        <f t="shared" si="37"/>
        <v>0.33022573006383804</v>
      </c>
      <c r="DQ55" s="32">
        <f>IF(DP55="","",DP55*$DO$1/'CPI USA'!$U$520+(1-DP55)*AVERAGE($DO$1,$DQ$1)/AVERAGE('CPI USA'!$U$520,'PPI USA'!$T$526))</f>
        <v>1.0810823871523636</v>
      </c>
      <c r="DR55" s="6">
        <f t="shared" si="38"/>
        <v>8290450</v>
      </c>
      <c r="DS55" s="32">
        <f t="shared" si="39"/>
        <v>0.2</v>
      </c>
      <c r="DT55" s="28">
        <f>IF(DS55="","",DS55*$DO$1/'CPI USA'!$U$520+(1-DS55)*AVERAGE($DO$1,$DQ$1)/AVERAGE('CPI USA'!$U$520,'PPI USA'!$T$526))</f>
        <v>1.0854630593748538</v>
      </c>
      <c r="DU55" s="6">
        <f t="shared" si="40"/>
        <v>4374795.6708161701</v>
      </c>
      <c r="DV55" s="6">
        <f t="shared" si="57"/>
        <v>396582.44087988121</v>
      </c>
      <c r="DW55" s="6">
        <f t="shared" si="41"/>
        <v>1999854.6438200418</v>
      </c>
      <c r="DX55" s="16">
        <f t="shared" si="42"/>
        <v>0.2</v>
      </c>
      <c r="DY55" s="28">
        <f>IF(DX55="","",DX55*$DO$1/'CPI USA'!$U$520+(1-DX55)*AVERAGE($DO$1,$DQ$1)/AVERAGE('CPI USA'!$U$520,'PPI USA'!$T$526))</f>
        <v>1.0854630593748538</v>
      </c>
      <c r="DZ55" s="30"/>
      <c r="EA55" s="29" t="str">
        <f t="shared" si="43"/>
        <v>C000537</v>
      </c>
      <c r="EB55" s="29">
        <f t="shared" si="44"/>
        <v>3380286701.1643262</v>
      </c>
      <c r="EC55" s="29">
        <f t="shared" si="45"/>
        <v>158268984.13191843</v>
      </c>
      <c r="ED55" s="29">
        <f t="shared" si="46"/>
        <v>99986704.579169065</v>
      </c>
      <c r="EE55" s="29">
        <f t="shared" si="47"/>
        <v>54014883.315710336</v>
      </c>
      <c r="EF55" s="29">
        <f t="shared" si="48"/>
        <v>26590917.356347512</v>
      </c>
      <c r="EG55" s="29">
        <f t="shared" si="49"/>
        <v>4918</v>
      </c>
      <c r="EH55" s="29">
        <f t="shared" si="50"/>
        <v>549651</v>
      </c>
      <c r="EI55" s="29">
        <f t="shared" si="51"/>
        <v>598009</v>
      </c>
      <c r="EJ55" s="29">
        <f t="shared" si="52"/>
        <v>17518835</v>
      </c>
      <c r="EK55" s="29">
        <f t="shared" si="53"/>
        <v>18010982.817258883</v>
      </c>
      <c r="EL55" s="29">
        <f>IF(CD55=1,VLOOKUP(EA55,'EIA 2022'!$A$2:$J$213,4,0)*EH55,"")</f>
        <v>127793857.5</v>
      </c>
      <c r="EM55" s="29">
        <f>IF(CD55=1,VLOOKUP(EA55,'EIA 2022'!$A$2:$J$213,7,0)*EH55,"")</f>
        <v>974531.223</v>
      </c>
      <c r="EN55" s="29">
        <f>IF(CD55=1,VLOOKUP(EA55,'EIA 2022'!$A$2:$J$213,10,0),"")</f>
        <v>121700</v>
      </c>
      <c r="EO55" s="28">
        <f>IF(CD55=1,VLOOKUP(EA55,'EIA 2022'!$A$2:$Z$213,26,0),"")</f>
        <v>0</v>
      </c>
      <c r="EP55" s="23">
        <f t="shared" si="54"/>
        <v>2.7324872954033717E-2</v>
      </c>
      <c r="EQ55" s="32">
        <f t="shared" si="55"/>
        <v>105861.18274111673</v>
      </c>
      <c r="ER55" s="32">
        <f t="shared" si="56"/>
        <v>492147.81725888327</v>
      </c>
      <c r="ES55" s="32"/>
      <c r="ET55" s="32"/>
    </row>
    <row r="56" spans="1:150" ht="15.75" customHeight="1">
      <c r="A56" s="7" t="s">
        <v>369</v>
      </c>
      <c r="B56" s="7" t="s">
        <v>370</v>
      </c>
      <c r="C56" s="32" t="s">
        <v>925</v>
      </c>
      <c r="D56" s="42">
        <v>72814397</v>
      </c>
      <c r="E56" s="42">
        <v>0</v>
      </c>
      <c r="F56" s="42">
        <v>0</v>
      </c>
      <c r="G56" s="42">
        <v>223231299</v>
      </c>
      <c r="H56" s="42">
        <f>223918706-45859666</f>
        <v>178059040</v>
      </c>
      <c r="I56" s="42">
        <v>191950</v>
      </c>
      <c r="J56" s="42">
        <v>72693</v>
      </c>
      <c r="K56" s="42">
        <v>0</v>
      </c>
      <c r="L56" s="42">
        <v>201076</v>
      </c>
      <c r="M56" s="42">
        <v>79125</v>
      </c>
      <c r="N56" s="42">
        <v>54183</v>
      </c>
      <c r="O56" s="42">
        <v>896889</v>
      </c>
      <c r="P56" s="42">
        <v>345817</v>
      </c>
      <c r="Q56" s="42">
        <v>1445</v>
      </c>
      <c r="R56" s="42">
        <v>4688</v>
      </c>
      <c r="S56" s="42">
        <v>232553</v>
      </c>
      <c r="T56" s="42">
        <v>14634664</v>
      </c>
      <c r="U56" s="42">
        <v>261477</v>
      </c>
      <c r="V56" s="42">
        <v>9208</v>
      </c>
      <c r="W56" s="42">
        <v>160826</v>
      </c>
      <c r="X56" s="42">
        <f>IFERROR(VLOOKUP(A56,'Trans 21-23'!$A$2:$J$229,8,0),0)</f>
        <v>0</v>
      </c>
      <c r="Y56" s="42">
        <v>28348</v>
      </c>
      <c r="Z56" s="42">
        <v>9467</v>
      </c>
      <c r="AA56" s="42">
        <v>1450648</v>
      </c>
      <c r="AB56" s="42">
        <v>1360846</v>
      </c>
      <c r="AC56" s="42">
        <v>4130</v>
      </c>
      <c r="AD56" s="42">
        <v>9428211</v>
      </c>
      <c r="AE56" s="42">
        <v>0</v>
      </c>
      <c r="AF56" s="42">
        <v>283342889</v>
      </c>
      <c r="AG56" s="42">
        <v>41563</v>
      </c>
      <c r="AH56" s="42">
        <v>134011</v>
      </c>
      <c r="AI56" s="42">
        <v>5249208</v>
      </c>
      <c r="AJ56" s="42">
        <v>0</v>
      </c>
      <c r="AK56" s="42">
        <v>0</v>
      </c>
      <c r="AL56" s="42">
        <v>387427</v>
      </c>
      <c r="AM56" s="42">
        <v>377028</v>
      </c>
      <c r="AN56" s="42">
        <v>4053870</v>
      </c>
      <c r="AO56" s="42">
        <v>5606</v>
      </c>
      <c r="AP56" s="42">
        <v>0</v>
      </c>
      <c r="AQ56" s="42">
        <v>4823931</v>
      </c>
      <c r="AR56" s="42">
        <v>291266</v>
      </c>
      <c r="AS56" s="42">
        <v>5115198</v>
      </c>
      <c r="AT56" s="42">
        <v>0</v>
      </c>
      <c r="AU56" s="42">
        <v>736</v>
      </c>
      <c r="AV56" s="42">
        <v>0</v>
      </c>
      <c r="AW56" s="42">
        <v>49576798</v>
      </c>
      <c r="AX56" s="42">
        <v>23357237</v>
      </c>
      <c r="AY56" s="42">
        <v>32801421</v>
      </c>
      <c r="AZ56" s="42">
        <v>15399454</v>
      </c>
      <c r="BA56" s="42">
        <v>1673661</v>
      </c>
      <c r="BB56" s="42">
        <v>267384336</v>
      </c>
      <c r="BC56" s="42">
        <v>1511385144</v>
      </c>
      <c r="BD56" s="42">
        <v>11864395</v>
      </c>
      <c r="BE56" s="42">
        <v>77094548</v>
      </c>
      <c r="BF56" s="42">
        <v>9459212</v>
      </c>
      <c r="BG56" s="42">
        <v>0</v>
      </c>
      <c r="BH56" s="42">
        <v>1714716</v>
      </c>
      <c r="BI56" s="42">
        <v>201633</v>
      </c>
      <c r="BJ56" s="42">
        <v>0</v>
      </c>
      <c r="BK56" s="42">
        <v>0</v>
      </c>
      <c r="BL56" s="42">
        <v>0</v>
      </c>
      <c r="BM56" s="42">
        <v>94733</v>
      </c>
      <c r="BN56" s="42">
        <v>10639098</v>
      </c>
      <c r="BO56" s="42">
        <v>311982</v>
      </c>
      <c r="BP56" s="42">
        <v>1518991</v>
      </c>
      <c r="BQ56" s="42">
        <v>14871801</v>
      </c>
      <c r="BR56" s="42">
        <v>0</v>
      </c>
      <c r="BS56" s="42">
        <f>IFERROR(VLOOKUP(A56,'Trans 21-23'!$A$2:$J$229,7,0),0)</f>
        <v>0</v>
      </c>
      <c r="BT56" s="63"/>
      <c r="BU56" s="32">
        <f t="shared" si="0"/>
        <v>267384336</v>
      </c>
      <c r="BV56" s="32">
        <f t="shared" si="1"/>
        <v>736</v>
      </c>
      <c r="BW56" s="32">
        <f t="shared" si="2"/>
        <v>41563</v>
      </c>
      <c r="BX56" s="32">
        <f t="shared" si="3"/>
        <v>17146594</v>
      </c>
      <c r="BY56" s="32">
        <f t="shared" si="4"/>
        <v>2853439</v>
      </c>
      <c r="BZ56" s="32">
        <f t="shared" si="5"/>
        <v>15399454</v>
      </c>
      <c r="CA56" s="32">
        <f t="shared" si="6"/>
        <v>9428211</v>
      </c>
      <c r="CB56" s="32">
        <f t="shared" si="7"/>
        <v>134011</v>
      </c>
      <c r="CC56" s="32">
        <f t="shared" si="8"/>
        <v>4823931</v>
      </c>
      <c r="CD56" s="41">
        <f t="shared" si="9"/>
        <v>1</v>
      </c>
      <c r="CE56" s="44">
        <f t="shared" si="10"/>
        <v>16</v>
      </c>
      <c r="CF56" s="27"/>
      <c r="CG56" s="28">
        <f t="shared" si="11"/>
        <v>363.29393478260869</v>
      </c>
      <c r="CH56" s="28">
        <f t="shared" si="12"/>
        <v>17.708057647426799</v>
      </c>
      <c r="CI56" s="28">
        <f t="shared" si="13"/>
        <v>412.54466713182399</v>
      </c>
      <c r="CJ56" s="28">
        <f t="shared" si="14"/>
        <v>370.50872169958859</v>
      </c>
      <c r="CK56" s="23">
        <f t="shared" si="15"/>
        <v>2.7780455400377824E-2</v>
      </c>
      <c r="CL56" s="29" t="str">
        <f t="shared" si="16"/>
        <v/>
      </c>
      <c r="CM56" s="29" t="str">
        <f t="shared" si="17"/>
        <v/>
      </c>
      <c r="CN56" s="29" t="str">
        <f t="shared" si="18"/>
        <v/>
      </c>
      <c r="CO56" s="29" t="str">
        <f t="shared" si="19"/>
        <v/>
      </c>
      <c r="CP56" s="29" t="str">
        <f t="shared" si="20"/>
        <v/>
      </c>
      <c r="CQ56" s="29">
        <f t="shared" si="21"/>
        <v>0</v>
      </c>
      <c r="CR56" s="30"/>
      <c r="CS56" s="7" t="str">
        <f>VLOOKUP(A56,'Empresas 21-23'!$A$2:$M$228,13,0)</f>
        <v/>
      </c>
      <c r="CT56" s="30"/>
      <c r="CU56" s="6">
        <f t="shared" si="22"/>
        <v>216616026.19999999</v>
      </c>
      <c r="CV56" s="6">
        <f t="shared" si="23"/>
        <v>15399454</v>
      </c>
      <c r="CW56" s="6">
        <f t="shared" si="24"/>
        <v>11864395</v>
      </c>
      <c r="CX56" s="23">
        <f t="shared" si="58"/>
        <v>0.14445683818943941</v>
      </c>
      <c r="CY56" s="23">
        <f t="shared" si="59"/>
        <v>1.0269583805538926E-2</v>
      </c>
      <c r="CZ56" s="6">
        <f t="shared" si="27"/>
        <v>218329919.18873057</v>
      </c>
      <c r="DA56" s="6">
        <f t="shared" si="28"/>
        <v>15521296.398754517</v>
      </c>
      <c r="DB56" s="6">
        <f t="shared" si="29"/>
        <v>17146594</v>
      </c>
      <c r="DC56" s="6">
        <f t="shared" si="30"/>
        <v>17146594</v>
      </c>
      <c r="DD56" s="6">
        <f t="shared" si="31"/>
        <v>2853439</v>
      </c>
      <c r="DE56" s="6">
        <f t="shared" si="32"/>
        <v>9428211</v>
      </c>
      <c r="DF56" s="6">
        <f t="shared" si="33"/>
        <v>8183783.6395601695</v>
      </c>
      <c r="DG56" s="30"/>
      <c r="DH56" s="32">
        <f>VLOOKUP(A56,'T_med_comp-USA'!$A$7:$Q$233,17,0)</f>
        <v>8.0656661752939076</v>
      </c>
      <c r="DI56" s="6" t="str">
        <f t="shared" si="34"/>
        <v>12_2014</v>
      </c>
      <c r="DJ56" s="32">
        <f>IF(DI56="","",VLOOKUP(DI56,'CPI USA'!$T:$U,2,FALSE))</f>
        <v>234.81200000000001</v>
      </c>
      <c r="DK56" s="32">
        <f>IF(DI56="","",VLOOKUP(DI56,'PPI USA'!$S:$T,2,FALSE))</f>
        <v>178.6</v>
      </c>
      <c r="DL56" s="32">
        <f>IF(DI56="","",VLOOKUP(DI56,'CPI USA'!$T:$V,3,FALSE))</f>
        <v>0.66756601812039096</v>
      </c>
      <c r="DM56" s="32">
        <f>IF(DI56="","",VLOOKUP(DI56,'CPI USA'!$T:$X,5,FALSE))</f>
        <v>0.49542529667095003</v>
      </c>
      <c r="DN56" s="32">
        <f t="shared" si="35"/>
        <v>1.3594294887607781</v>
      </c>
      <c r="DO56" s="32">
        <f t="shared" si="36"/>
        <v>1.3705337123090227</v>
      </c>
      <c r="DP56" s="32">
        <f t="shared" si="37"/>
        <v>0.2</v>
      </c>
      <c r="DQ56" s="32">
        <f>IF(DP56="","",DP56*$DO$1/'CPI USA'!$U$520+(1-DP56)*AVERAGE($DO$1,$DQ$1)/AVERAGE('CPI USA'!$U$520,'PPI USA'!$T$526))</f>
        <v>1.0854630593748538</v>
      </c>
      <c r="DR56" s="6">
        <f t="shared" si="38"/>
        <v>201633</v>
      </c>
      <c r="DS56" s="32">
        <f t="shared" si="39"/>
        <v>0.2</v>
      </c>
      <c r="DT56" s="28">
        <f>IF(DS56="","",DS56*$DO$1/'CPI USA'!$U$520+(1-DS56)*AVERAGE($DO$1,$DQ$1)/AVERAGE('CPI USA'!$U$520,'PPI USA'!$T$526))</f>
        <v>1.0854630593748538</v>
      </c>
      <c r="DU56" s="6">
        <f t="shared" si="40"/>
        <v>97510.960199821449</v>
      </c>
      <c r="DV56" s="6">
        <f t="shared" si="57"/>
        <v>10776.651087149447</v>
      </c>
      <c r="DW56" s="6">
        <f t="shared" si="41"/>
        <v>19505.117407714017</v>
      </c>
      <c r="DX56" s="16">
        <f t="shared" si="42"/>
        <v>0.2</v>
      </c>
      <c r="DY56" s="28">
        <f>IF(DX56="","",DX56*$DO$1/'CPI USA'!$U$520+(1-DX56)*AVERAGE($DO$1,$DQ$1)/AVERAGE('CPI USA'!$U$520,'PPI USA'!$T$526))</f>
        <v>1.0854630593748538</v>
      </c>
      <c r="DZ56" s="30"/>
      <c r="EA56" s="29" t="str">
        <f t="shared" si="43"/>
        <v>C000538</v>
      </c>
      <c r="EB56" s="29">
        <f t="shared" si="44"/>
        <v>296804130.42391801</v>
      </c>
      <c r="EC56" s="29">
        <f t="shared" si="45"/>
        <v>21272459.973233692</v>
      </c>
      <c r="ED56" s="29">
        <f t="shared" si="46"/>
        <v>18611994.381098513</v>
      </c>
      <c r="EE56" s="29">
        <f t="shared" si="47"/>
        <v>3097302.6266795234</v>
      </c>
      <c r="EF56" s="29">
        <f t="shared" si="48"/>
        <v>8883194.826658858</v>
      </c>
      <c r="EG56" s="29">
        <f t="shared" si="49"/>
        <v>736</v>
      </c>
      <c r="EH56" s="29">
        <f t="shared" si="50"/>
        <v>41563</v>
      </c>
      <c r="EI56" s="29">
        <f t="shared" si="51"/>
        <v>134011</v>
      </c>
      <c r="EJ56" s="29">
        <f t="shared" si="52"/>
        <v>4823931</v>
      </c>
      <c r="EK56" s="29">
        <f t="shared" si="53"/>
        <v>4953507.4771573599</v>
      </c>
      <c r="EL56" s="29">
        <f>IF(CD56=1,VLOOKUP(EA56,'EIA 2022'!$A$2:$J$213,4,0)*EH56,"")</f>
        <v>38591245.5</v>
      </c>
      <c r="EM56" s="29">
        <f>IF(CD56=1,VLOOKUP(EA56,'EIA 2022'!$A$2:$J$213,7,0)*EH56,"")</f>
        <v>133999.11200000002</v>
      </c>
      <c r="EN56" s="29">
        <f>IF(CD56=1,VLOOKUP(EA56,'EIA 2022'!$A$2:$J$213,10,0),"")</f>
        <v>42940</v>
      </c>
      <c r="EO56" s="28">
        <f>IF(CD56=1,VLOOKUP(EA56,'EIA 2022'!$A$2:$Z$213,26,0),"")</f>
        <v>0</v>
      </c>
      <c r="EP56" s="23">
        <f t="shared" si="54"/>
        <v>2.6158328771054791E-2</v>
      </c>
      <c r="EQ56" s="32">
        <f t="shared" si="55"/>
        <v>4435.5228426395915</v>
      </c>
      <c r="ER56" s="32">
        <f t="shared" si="56"/>
        <v>129575.47715736041</v>
      </c>
      <c r="ES56" s="32"/>
      <c r="ET56" s="32"/>
    </row>
    <row r="57" spans="1:150" ht="15.75" customHeight="1">
      <c r="A57" s="7" t="s">
        <v>372</v>
      </c>
      <c r="B57" s="7" t="s">
        <v>373</v>
      </c>
      <c r="C57" s="32" t="s">
        <v>926</v>
      </c>
      <c r="D57" s="42">
        <v>138462173</v>
      </c>
      <c r="E57" s="42">
        <v>0</v>
      </c>
      <c r="F57" s="42">
        <v>145662693</v>
      </c>
      <c r="G57" s="42">
        <v>327008013</v>
      </c>
      <c r="H57" s="42">
        <v>330158175</v>
      </c>
      <c r="I57" s="42">
        <v>3042745</v>
      </c>
      <c r="J57" s="42">
        <v>942168</v>
      </c>
      <c r="K57" s="42">
        <v>0</v>
      </c>
      <c r="L57" s="42">
        <v>1264672</v>
      </c>
      <c r="M57" s="42">
        <v>3490481</v>
      </c>
      <c r="N57" s="42">
        <v>3034952</v>
      </c>
      <c r="O57" s="42">
        <v>4562125</v>
      </c>
      <c r="P57" s="42">
        <v>0</v>
      </c>
      <c r="Q57" s="42">
        <v>2213746</v>
      </c>
      <c r="R57" s="42">
        <v>59677</v>
      </c>
      <c r="S57" s="42">
        <v>2923699</v>
      </c>
      <c r="T57" s="42">
        <v>41036495</v>
      </c>
      <c r="U57" s="42">
        <v>1860064</v>
      </c>
      <c r="V57" s="42">
        <v>71545</v>
      </c>
      <c r="W57" s="42">
        <v>405892</v>
      </c>
      <c r="X57" s="42">
        <f>IFERROR(VLOOKUP(A57,'Trans 21-23'!$A$2:$J$229,8,0),0)</f>
        <v>3695350</v>
      </c>
      <c r="Y57" s="42">
        <v>2145156</v>
      </c>
      <c r="Z57" s="42">
        <v>687838</v>
      </c>
      <c r="AA57" s="42">
        <v>17648468</v>
      </c>
      <c r="AB57" s="42">
        <v>479493</v>
      </c>
      <c r="AC57" s="42">
        <v>850829</v>
      </c>
      <c r="AD57" s="42">
        <v>196339740</v>
      </c>
      <c r="AE57" s="42">
        <v>0</v>
      </c>
      <c r="AF57" s="42">
        <v>1071500624</v>
      </c>
      <c r="AG57" s="42">
        <v>484589</v>
      </c>
      <c r="AH57" s="42">
        <v>1271195</v>
      </c>
      <c r="AI57" s="42">
        <v>16491310</v>
      </c>
      <c r="AJ57" s="42">
        <v>0</v>
      </c>
      <c r="AK57" s="42">
        <v>0</v>
      </c>
      <c r="AL57" s="42">
        <v>3482939</v>
      </c>
      <c r="AM57" s="42">
        <v>3682376</v>
      </c>
      <c r="AN57" s="42">
        <v>7915344</v>
      </c>
      <c r="AO57" s="42">
        <v>40607</v>
      </c>
      <c r="AP57" s="42">
        <v>16794</v>
      </c>
      <c r="AQ57" s="42">
        <v>15170142</v>
      </c>
      <c r="AR57" s="42">
        <v>49973</v>
      </c>
      <c r="AS57" s="42">
        <v>15220115</v>
      </c>
      <c r="AT57" s="42">
        <v>12518</v>
      </c>
      <c r="AU57" s="42">
        <v>2980</v>
      </c>
      <c r="AV57" s="42">
        <v>0</v>
      </c>
      <c r="AW57" s="42">
        <v>365899770</v>
      </c>
      <c r="AX57" s="42">
        <v>4896600</v>
      </c>
      <c r="AY57" s="42">
        <v>548994401</v>
      </c>
      <c r="AZ57" s="42">
        <v>86099335</v>
      </c>
      <c r="BA57" s="42">
        <v>58811484</v>
      </c>
      <c r="BB57" s="42">
        <v>2849732086</v>
      </c>
      <c r="BC57" s="42">
        <v>8230761690</v>
      </c>
      <c r="BD57" s="42">
        <v>119931051</v>
      </c>
      <c r="BE57" s="42">
        <v>1129640320</v>
      </c>
      <c r="BF57" s="42">
        <v>82535517</v>
      </c>
      <c r="BG57" s="42">
        <v>0</v>
      </c>
      <c r="BH57" s="42">
        <v>22302643</v>
      </c>
      <c r="BI57" s="42">
        <v>6411238</v>
      </c>
      <c r="BJ57" s="42">
        <v>143364</v>
      </c>
      <c r="BK57" s="42">
        <v>0</v>
      </c>
      <c r="BL57" s="42">
        <v>0</v>
      </c>
      <c r="BM57" s="42">
        <v>21749955</v>
      </c>
      <c r="BN57" s="42">
        <v>95672138</v>
      </c>
      <c r="BO57" s="42">
        <v>30118614</v>
      </c>
      <c r="BP57" s="42">
        <v>96070944</v>
      </c>
      <c r="BQ57" s="42">
        <v>332374563</v>
      </c>
      <c r="BR57" s="42">
        <v>19564</v>
      </c>
      <c r="BS57" s="42">
        <f>IFERROR(VLOOKUP(A57,'Trans 21-23'!$A$2:$J$229,7,0),0)</f>
        <v>334664256</v>
      </c>
      <c r="BT57" s="63"/>
      <c r="BU57" s="32">
        <f t="shared" si="0"/>
        <v>2849732086</v>
      </c>
      <c r="BV57" s="32">
        <f t="shared" si="1"/>
        <v>2980</v>
      </c>
      <c r="BW57" s="32">
        <f t="shared" si="2"/>
        <v>484589</v>
      </c>
      <c r="BX57" s="32">
        <f t="shared" si="3"/>
        <v>64908261</v>
      </c>
      <c r="BY57" s="32">
        <f t="shared" si="4"/>
        <v>21811784</v>
      </c>
      <c r="BZ57" s="32">
        <f t="shared" si="5"/>
        <v>86099335</v>
      </c>
      <c r="CA57" s="32">
        <f t="shared" si="6"/>
        <v>196339740</v>
      </c>
      <c r="CB57" s="32">
        <f t="shared" si="7"/>
        <v>1271195</v>
      </c>
      <c r="CC57" s="32">
        <f t="shared" si="8"/>
        <v>15170142</v>
      </c>
      <c r="CD57" s="41">
        <f t="shared" si="9"/>
        <v>1</v>
      </c>
      <c r="CE57" s="44">
        <f t="shared" si="10"/>
        <v>10</v>
      </c>
      <c r="CF57" s="27"/>
      <c r="CG57" s="28">
        <f t="shared" si="11"/>
        <v>956.28593489932882</v>
      </c>
      <c r="CH57" s="28">
        <f t="shared" si="12"/>
        <v>6.1495411575582608</v>
      </c>
      <c r="CI57" s="28">
        <f t="shared" si="13"/>
        <v>133.94497398826636</v>
      </c>
      <c r="CJ57" s="28">
        <f t="shared" si="14"/>
        <v>177.67496785936123</v>
      </c>
      <c r="CK57" s="23">
        <f t="shared" si="15"/>
        <v>8.3795853723715966E-2</v>
      </c>
      <c r="CL57" s="29" t="str">
        <f t="shared" si="16"/>
        <v/>
      </c>
      <c r="CM57" s="29" t="str">
        <f t="shared" si="17"/>
        <v/>
      </c>
      <c r="CN57" s="29" t="str">
        <f t="shared" si="18"/>
        <v/>
      </c>
      <c r="CO57" s="29" t="str">
        <f t="shared" si="19"/>
        <v/>
      </c>
      <c r="CP57" s="29" t="str">
        <f t="shared" si="20"/>
        <v/>
      </c>
      <c r="CQ57" s="29">
        <f t="shared" si="21"/>
        <v>0</v>
      </c>
      <c r="CR57" s="30"/>
      <c r="CS57" s="7">
        <f>VLOOKUP(A57,'Empresas 21-23'!$A$2:$M$228,13,0)</f>
        <v>1</v>
      </c>
      <c r="CT57" s="30"/>
      <c r="CU57" s="6">
        <f t="shared" si="22"/>
        <v>2707150922.4000001</v>
      </c>
      <c r="CV57" s="6">
        <f t="shared" si="23"/>
        <v>86099335</v>
      </c>
      <c r="CW57" s="6">
        <f t="shared" si="24"/>
        <v>119931051</v>
      </c>
      <c r="CX57" s="23">
        <f t="shared" si="58"/>
        <v>0.33376987424481225</v>
      </c>
      <c r="CY57" s="23">
        <f t="shared" si="59"/>
        <v>1.0615353572543016E-2</v>
      </c>
      <c r="CZ57" s="6">
        <f t="shared" si="27"/>
        <v>2747180294.2103181</v>
      </c>
      <c r="DA57" s="6">
        <f t="shared" si="28"/>
        <v>87372445.510691687</v>
      </c>
      <c r="DB57" s="6">
        <f t="shared" si="29"/>
        <v>64908261</v>
      </c>
      <c r="DC57" s="6">
        <f t="shared" si="30"/>
        <v>68603611</v>
      </c>
      <c r="DD57" s="6">
        <f t="shared" si="31"/>
        <v>21811784</v>
      </c>
      <c r="DE57" s="6">
        <f t="shared" si="32"/>
        <v>196339740</v>
      </c>
      <c r="DF57" s="6">
        <f t="shared" si="33"/>
        <v>68047692.138796553</v>
      </c>
      <c r="DG57" s="30"/>
      <c r="DH57" s="32">
        <f>VLOOKUP(A57,'T_med_comp-USA'!$A$7:$Q$233,17,0)</f>
        <v>13.853946087478489</v>
      </c>
      <c r="DI57" s="6" t="str">
        <f t="shared" si="34"/>
        <v>2_2009</v>
      </c>
      <c r="DJ57" s="32">
        <f>IF(DI57="","",VLOOKUP(DI57,'CPI USA'!$T:$U,2,FALSE))</f>
        <v>214.53700000000001</v>
      </c>
      <c r="DK57" s="32">
        <f>IF(DI57="","",VLOOKUP(DI57,'PPI USA'!$S:$T,2,FALSE))</f>
        <v>159.1</v>
      </c>
      <c r="DL57" s="32">
        <f>IF(DI57="","",VLOOKUP(DI57,'CPI USA'!$T:$V,3,FALSE))</f>
        <v>0.66997101349938215</v>
      </c>
      <c r="DM57" s="32">
        <f>IF(DI57="","",VLOOKUP(DI57,'CPI USA'!$T:$X,5,FALSE))</f>
        <v>0.49813941766071862</v>
      </c>
      <c r="DN57" s="32">
        <f t="shared" si="35"/>
        <v>1.4932638886873792</v>
      </c>
      <c r="DO57" s="32">
        <f t="shared" si="36"/>
        <v>1.5082750176818205</v>
      </c>
      <c r="DP57" s="32">
        <f t="shared" si="37"/>
        <v>0.45177229366443267</v>
      </c>
      <c r="DQ57" s="32">
        <f>IF(DP57="","",DP57*$DO$1/'CPI USA'!$U$520+(1-DP57)*AVERAGE($DO$1,$DQ$1)/AVERAGE('CPI USA'!$U$520,'PPI USA'!$T$526))</f>
        <v>1.0769936740029482</v>
      </c>
      <c r="DR57" s="6">
        <f t="shared" si="38"/>
        <v>6554602</v>
      </c>
      <c r="DS57" s="32">
        <f t="shared" si="39"/>
        <v>0.39511031883304382</v>
      </c>
      <c r="DT57" s="28">
        <f>IF(DS57="","",DS57*$DO$1/'CPI USA'!$U$520+(1-DS57)*AVERAGE($DO$1,$DQ$1)/AVERAGE('CPI USA'!$U$520,'PPI USA'!$T$526))</f>
        <v>1.0788997300419017</v>
      </c>
      <c r="DU57" s="6">
        <f t="shared" si="40"/>
        <v>28597073.846266087</v>
      </c>
      <c r="DV57" s="6">
        <f t="shared" si="57"/>
        <v>8842601.3856669702</v>
      </c>
      <c r="DW57" s="6">
        <f t="shared" si="41"/>
        <v>11292795.410178082</v>
      </c>
      <c r="DX57" s="16">
        <f t="shared" si="42"/>
        <v>0.2</v>
      </c>
      <c r="DY57" s="28">
        <f>IF(DX57="","",DX57*$DO$1/'CPI USA'!$U$520+(1-DX57)*AVERAGE($DO$1,$DQ$1)/AVERAGE('CPI USA'!$U$520,'PPI USA'!$T$526))</f>
        <v>1.0854630593748538</v>
      </c>
      <c r="DZ57" s="30"/>
      <c r="EA57" s="29" t="str">
        <f t="shared" si="43"/>
        <v>C000542</v>
      </c>
      <c r="EB57" s="29">
        <f t="shared" si="44"/>
        <v>4102265129.0578384</v>
      </c>
      <c r="EC57" s="29">
        <f t="shared" si="45"/>
        <v>131781676.79754241</v>
      </c>
      <c r="ED57" s="29">
        <f t="shared" si="46"/>
        <v>73885655.060759068</v>
      </c>
      <c r="EE57" s="29">
        <f t="shared" si="47"/>
        <v>23532727.869332269</v>
      </c>
      <c r="EF57" s="29">
        <f t="shared" si="48"/>
        <v>73863256.092376292</v>
      </c>
      <c r="EG57" s="29">
        <f t="shared" si="49"/>
        <v>2980</v>
      </c>
      <c r="EH57" s="29">
        <f t="shared" si="50"/>
        <v>484589</v>
      </c>
      <c r="EI57" s="29">
        <f t="shared" si="51"/>
        <v>1271195</v>
      </c>
      <c r="EJ57" s="29">
        <f t="shared" si="52"/>
        <v>15170142</v>
      </c>
      <c r="EK57" s="29">
        <f t="shared" si="53"/>
        <v>16440575.989847716</v>
      </c>
      <c r="EL57" s="29">
        <f>IF(CD57=1,VLOOKUP(EA57,'EIA 2022'!$A$2:$J$213,4,0)*EH57,"")</f>
        <v>69296227</v>
      </c>
      <c r="EM57" s="29">
        <f>IF(CD57=1,VLOOKUP(EA57,'EIA 2022'!$A$2:$J$213,7,0)*EH57,"")</f>
        <v>696838.98199999996</v>
      </c>
      <c r="EN57" s="29">
        <f>IF(CD57=1,VLOOKUP(EA57,'EIA 2022'!$A$2:$J$213,10,0),"")</f>
        <v>484446</v>
      </c>
      <c r="EO57" s="28">
        <f>IF(CD57=1,VLOOKUP(EA57,'EIA 2022'!$A$2:$Z$213,26,0),"")</f>
        <v>0</v>
      </c>
      <c r="EP57" s="23">
        <f t="shared" si="54"/>
        <v>7.7274299308748448E-2</v>
      </c>
      <c r="EQ57" s="32">
        <f t="shared" si="55"/>
        <v>761.01015228426695</v>
      </c>
      <c r="ER57" s="32">
        <f t="shared" si="56"/>
        <v>1270433.9898477157</v>
      </c>
      <c r="ES57" s="32"/>
      <c r="ET57" s="32"/>
    </row>
    <row r="58" spans="1:150" ht="15.75" customHeight="1">
      <c r="A58" s="7" t="s">
        <v>375</v>
      </c>
      <c r="B58" s="7" t="s">
        <v>376</v>
      </c>
      <c r="C58" s="32" t="s">
        <v>927</v>
      </c>
      <c r="D58" s="42">
        <v>245633427</v>
      </c>
      <c r="E58" s="42">
        <v>0</v>
      </c>
      <c r="F58" s="42">
        <v>103158790</v>
      </c>
      <c r="G58" s="42">
        <v>68250432</v>
      </c>
      <c r="H58" s="42">
        <v>69996785</v>
      </c>
      <c r="I58" s="42">
        <v>2699932</v>
      </c>
      <c r="J58" s="42">
        <v>1943127</v>
      </c>
      <c r="K58" s="42">
        <v>148207</v>
      </c>
      <c r="L58" s="42">
        <v>8045944</v>
      </c>
      <c r="M58" s="42">
        <v>6860932</v>
      </c>
      <c r="N58" s="42">
        <v>0</v>
      </c>
      <c r="O58" s="42">
        <v>7508329</v>
      </c>
      <c r="P58" s="42">
        <v>14641</v>
      </c>
      <c r="Q58" s="42">
        <v>38234</v>
      </c>
      <c r="R58" s="42">
        <v>0</v>
      </c>
      <c r="S58" s="42">
        <v>990222</v>
      </c>
      <c r="T58" s="42">
        <v>17280572</v>
      </c>
      <c r="U58" s="42">
        <v>1785597</v>
      </c>
      <c r="V58" s="42">
        <v>31797</v>
      </c>
      <c r="W58" s="42">
        <v>903082</v>
      </c>
      <c r="X58" s="42">
        <f>IFERROR(VLOOKUP(A58,'Trans 21-23'!$A$2:$J$229,8,0),0)</f>
        <v>1352779</v>
      </c>
      <c r="Y58" s="42">
        <v>5057584</v>
      </c>
      <c r="Z58" s="42">
        <v>0</v>
      </c>
      <c r="AA58" s="42">
        <v>16522604</v>
      </c>
      <c r="AB58" s="42">
        <v>9656235</v>
      </c>
      <c r="AC58" s="42">
        <v>1642491</v>
      </c>
      <c r="AD58" s="42">
        <v>74109155</v>
      </c>
      <c r="AE58" s="42">
        <v>0</v>
      </c>
      <c r="AF58" s="42">
        <v>713986373</v>
      </c>
      <c r="AG58" s="42">
        <v>430408</v>
      </c>
      <c r="AH58" s="42">
        <v>552735</v>
      </c>
      <c r="AI58" s="42">
        <v>13669815</v>
      </c>
      <c r="AJ58" s="42">
        <v>23085</v>
      </c>
      <c r="AK58" s="42">
        <v>1231</v>
      </c>
      <c r="AL58" s="42">
        <v>4230691</v>
      </c>
      <c r="AM58" s="42">
        <v>3634181</v>
      </c>
      <c r="AN58" s="42">
        <v>2440382</v>
      </c>
      <c r="AO58" s="42">
        <v>7857</v>
      </c>
      <c r="AP58" s="42">
        <v>1041591</v>
      </c>
      <c r="AQ58" s="42">
        <v>11354702</v>
      </c>
      <c r="AR58" s="42">
        <v>1738062</v>
      </c>
      <c r="AS58" s="42">
        <v>13092764</v>
      </c>
      <c r="AT58" s="42">
        <v>0</v>
      </c>
      <c r="AU58" s="42">
        <v>2572</v>
      </c>
      <c r="AV58" s="42">
        <v>0</v>
      </c>
      <c r="AW58" s="42">
        <v>423743394</v>
      </c>
      <c r="AX58" s="42">
        <v>93618183</v>
      </c>
      <c r="AY58" s="42">
        <v>407073189</v>
      </c>
      <c r="AZ58" s="42">
        <v>45289487</v>
      </c>
      <c r="BA58" s="42">
        <v>144733502</v>
      </c>
      <c r="BB58" s="42">
        <v>1848167442</v>
      </c>
      <c r="BC58" s="42">
        <v>6576516516</v>
      </c>
      <c r="BD58" s="42">
        <v>28506047</v>
      </c>
      <c r="BE58" s="42">
        <v>585327427</v>
      </c>
      <c r="BF58" s="42">
        <v>43439783</v>
      </c>
      <c r="BG58" s="42">
        <v>0</v>
      </c>
      <c r="BH58" s="42">
        <v>11244861</v>
      </c>
      <c r="BI58" s="42">
        <v>4382202</v>
      </c>
      <c r="BJ58" s="42">
        <v>1007587</v>
      </c>
      <c r="BK58" s="42">
        <v>0</v>
      </c>
      <c r="BL58" s="42">
        <v>0</v>
      </c>
      <c r="BM58" s="42">
        <v>16767336</v>
      </c>
      <c r="BN58" s="42">
        <v>68270523</v>
      </c>
      <c r="BO58" s="42">
        <v>16076989</v>
      </c>
      <c r="BP58" s="42">
        <v>4292385</v>
      </c>
      <c r="BQ58" s="42">
        <v>127352053</v>
      </c>
      <c r="BR58" s="42">
        <v>0</v>
      </c>
      <c r="BS58" s="42">
        <f>IFERROR(VLOOKUP(A58,'Trans 21-23'!$A$2:$J$229,7,0),0)</f>
        <v>122512548</v>
      </c>
      <c r="BT58" s="63"/>
      <c r="BU58" s="32">
        <f t="shared" si="0"/>
        <v>1848167442</v>
      </c>
      <c r="BV58" s="32">
        <f t="shared" si="1"/>
        <v>2572</v>
      </c>
      <c r="BW58" s="32">
        <f t="shared" si="2"/>
        <v>430408</v>
      </c>
      <c r="BX58" s="32">
        <f t="shared" si="3"/>
        <v>48250616</v>
      </c>
      <c r="BY58" s="32">
        <f t="shared" si="4"/>
        <v>32878914</v>
      </c>
      <c r="BZ58" s="32">
        <f t="shared" si="5"/>
        <v>45289487</v>
      </c>
      <c r="CA58" s="32">
        <f t="shared" si="6"/>
        <v>74109155</v>
      </c>
      <c r="CB58" s="32">
        <f t="shared" si="7"/>
        <v>552735</v>
      </c>
      <c r="CC58" s="32">
        <f t="shared" si="8"/>
        <v>11354702</v>
      </c>
      <c r="CD58" s="41">
        <f t="shared" si="9"/>
        <v>1</v>
      </c>
      <c r="CE58" s="44">
        <f t="shared" si="10"/>
        <v>11</v>
      </c>
      <c r="CF58" s="27"/>
      <c r="CG58" s="28">
        <f t="shared" si="11"/>
        <v>718.57210031104205</v>
      </c>
      <c r="CH58" s="28">
        <f t="shared" si="12"/>
        <v>5.9757253582647163</v>
      </c>
      <c r="CI58" s="28">
        <f t="shared" si="13"/>
        <v>112.10436608984963</v>
      </c>
      <c r="CJ58" s="28">
        <f t="shared" si="14"/>
        <v>105.22454740618204</v>
      </c>
      <c r="CK58" s="23">
        <f t="shared" si="15"/>
        <v>4.8678952560798162E-2</v>
      </c>
      <c r="CL58" s="29" t="str">
        <f t="shared" si="16"/>
        <v/>
      </c>
      <c r="CM58" s="29" t="str">
        <f t="shared" si="17"/>
        <v/>
      </c>
      <c r="CN58" s="29" t="str">
        <f t="shared" si="18"/>
        <v/>
      </c>
      <c r="CO58" s="29" t="str">
        <f t="shared" si="19"/>
        <v/>
      </c>
      <c r="CP58" s="29" t="str">
        <f t="shared" si="20"/>
        <v/>
      </c>
      <c r="CQ58" s="29">
        <f t="shared" si="21"/>
        <v>0</v>
      </c>
      <c r="CR58" s="30"/>
      <c r="CS58" s="7">
        <f>VLOOKUP(A58,'Empresas 21-23'!$A$2:$M$228,13,0)</f>
        <v>1</v>
      </c>
      <c r="CT58" s="30"/>
      <c r="CU58" s="6">
        <f t="shared" si="22"/>
        <v>1480242177.8</v>
      </c>
      <c r="CV58" s="6">
        <f t="shared" si="23"/>
        <v>45289487</v>
      </c>
      <c r="CW58" s="6">
        <f t="shared" si="24"/>
        <v>28506047</v>
      </c>
      <c r="CX58" s="23">
        <f t="shared" si="58"/>
        <v>0.22605983677146743</v>
      </c>
      <c r="CY58" s="23">
        <f t="shared" si="59"/>
        <v>6.9165263578017042E-3</v>
      </c>
      <c r="CZ58" s="6">
        <f t="shared" si="27"/>
        <v>1486686250.1318197</v>
      </c>
      <c r="DA58" s="6">
        <f t="shared" si="28"/>
        <v>45486649.825432234</v>
      </c>
      <c r="DB58" s="6">
        <f t="shared" si="29"/>
        <v>48250616</v>
      </c>
      <c r="DC58" s="6">
        <f t="shared" si="30"/>
        <v>49603395</v>
      </c>
      <c r="DD58" s="6">
        <f t="shared" si="31"/>
        <v>32878914</v>
      </c>
      <c r="DE58" s="6">
        <f t="shared" si="32"/>
        <v>74109155</v>
      </c>
      <c r="DF58" s="6">
        <f t="shared" si="33"/>
        <v>27648213.609172616</v>
      </c>
      <c r="DG58" s="30"/>
      <c r="DH58" s="32">
        <f>VLOOKUP(A58,'T_med_comp-USA'!$A$7:$Q$233,17,0)</f>
        <v>13.535161028803008</v>
      </c>
      <c r="DI58" s="6" t="str">
        <f t="shared" si="34"/>
        <v>6_2009</v>
      </c>
      <c r="DJ58" s="32">
        <f>IF(DI58="","",VLOOKUP(DI58,'CPI USA'!$T:$U,2,FALSE))</f>
        <v>214.53700000000001</v>
      </c>
      <c r="DK58" s="32">
        <f>IF(DI58="","",VLOOKUP(DI58,'PPI USA'!$S:$T,2,FALSE))</f>
        <v>159.1</v>
      </c>
      <c r="DL58" s="32">
        <f>IF(DI58="","",VLOOKUP(DI58,'CPI USA'!$T:$V,3,FALSE))</f>
        <v>0.66997101349938215</v>
      </c>
      <c r="DM58" s="32">
        <f>IF(DI58="","",VLOOKUP(DI58,'CPI USA'!$T:$X,5,FALSE))</f>
        <v>0.49813941766071862</v>
      </c>
      <c r="DN58" s="32">
        <f t="shared" si="35"/>
        <v>1.4932638886873792</v>
      </c>
      <c r="DO58" s="32">
        <f t="shared" si="36"/>
        <v>1.5082750176818205</v>
      </c>
      <c r="DP58" s="32">
        <f t="shared" si="37"/>
        <v>0.28793222684124598</v>
      </c>
      <c r="DQ58" s="32">
        <f>IF(DP58="","",DP58*$DO$1/'CPI USA'!$U$520+(1-DP58)*AVERAGE($DO$1,$DQ$1)/AVERAGE('CPI USA'!$U$520,'PPI USA'!$T$526))</f>
        <v>1.0825051011941138</v>
      </c>
      <c r="DR58" s="6">
        <f t="shared" si="38"/>
        <v>5389789</v>
      </c>
      <c r="DS58" s="32">
        <f t="shared" si="39"/>
        <v>0.20253185774575402</v>
      </c>
      <c r="DT58" s="28">
        <f>IF(DS58="","",DS58*$DO$1/'CPI USA'!$U$520+(1-DS58)*AVERAGE($DO$1,$DQ$1)/AVERAGE('CPI USA'!$U$520,'PPI USA'!$T$526))</f>
        <v>1.0853778900393263</v>
      </c>
      <c r="DU58" s="6">
        <f t="shared" si="40"/>
        <v>20715866.999701057</v>
      </c>
      <c r="DV58" s="6">
        <f t="shared" si="57"/>
        <v>584853.36996326037</v>
      </c>
      <c r="DW58" s="6">
        <f t="shared" si="41"/>
        <v>5190088.0867316127</v>
      </c>
      <c r="DX58" s="16">
        <f t="shared" si="42"/>
        <v>0.2</v>
      </c>
      <c r="DY58" s="28">
        <f>IF(DX58="","",DX58*$DO$1/'CPI USA'!$U$520+(1-DX58)*AVERAGE($DO$1,$DQ$1)/AVERAGE('CPI USA'!$U$520,'PPI USA'!$T$526))</f>
        <v>1.0854630593748538</v>
      </c>
      <c r="DZ58" s="30"/>
      <c r="EA58" s="29" t="str">
        <f t="shared" si="43"/>
        <v>C000553</v>
      </c>
      <c r="EB58" s="29">
        <f t="shared" si="44"/>
        <v>2220014891.129899</v>
      </c>
      <c r="EC58" s="29">
        <f t="shared" si="45"/>
        <v>68606377.569740579</v>
      </c>
      <c r="ED58" s="29">
        <f t="shared" si="46"/>
        <v>53695928.124046601</v>
      </c>
      <c r="EE58" s="29">
        <f t="shared" si="47"/>
        <v>35686046.304104462</v>
      </c>
      <c r="EF58" s="29">
        <f t="shared" si="48"/>
        <v>30011114.530461974</v>
      </c>
      <c r="EG58" s="29">
        <f t="shared" si="49"/>
        <v>2572</v>
      </c>
      <c r="EH58" s="29">
        <f t="shared" si="50"/>
        <v>430408</v>
      </c>
      <c r="EI58" s="29">
        <f t="shared" si="51"/>
        <v>552735</v>
      </c>
      <c r="EJ58" s="29">
        <f t="shared" si="52"/>
        <v>11354702</v>
      </c>
      <c r="EK58" s="29">
        <f t="shared" si="53"/>
        <v>11880969.05076142</v>
      </c>
      <c r="EL58" s="29">
        <f>IF(CD58=1,VLOOKUP(EA58,'EIA 2022'!$A$2:$J$213,4,0)*EH58,"")</f>
        <v>33571824</v>
      </c>
      <c r="EM58" s="29">
        <f>IF(CD58=1,VLOOKUP(EA58,'EIA 2022'!$A$2:$J$213,7,0)*EH58,"")</f>
        <v>528541.02399999998</v>
      </c>
      <c r="EN58" s="29">
        <f>IF(CD58=1,VLOOKUP(EA58,'EIA 2022'!$A$2:$J$213,10,0),"")</f>
        <v>50469</v>
      </c>
      <c r="EO58" s="28">
        <f>IF(CD58=1,VLOOKUP(EA58,'EIA 2022'!$A$2:$Z$213,26,0),"")</f>
        <v>0</v>
      </c>
      <c r="EP58" s="23">
        <f t="shared" si="54"/>
        <v>4.4294960159642377E-2</v>
      </c>
      <c r="EQ58" s="32">
        <f t="shared" si="55"/>
        <v>26467.949238578789</v>
      </c>
      <c r="ER58" s="32">
        <f t="shared" si="56"/>
        <v>526267.05076142121</v>
      </c>
      <c r="ES58" s="32"/>
      <c r="ET58" s="32"/>
    </row>
    <row r="59" spans="1:150" ht="15.75" customHeight="1">
      <c r="A59" s="7" t="s">
        <v>378</v>
      </c>
      <c r="B59" s="7" t="s">
        <v>379</v>
      </c>
      <c r="C59" s="32" t="s">
        <v>928</v>
      </c>
      <c r="D59" s="42">
        <v>337728136</v>
      </c>
      <c r="E59" s="42">
        <v>0</v>
      </c>
      <c r="F59" s="42">
        <v>251677687</v>
      </c>
      <c r="G59" s="42">
        <v>60273298</v>
      </c>
      <c r="H59" s="42">
        <v>62917287</v>
      </c>
      <c r="I59" s="42">
        <v>3097081</v>
      </c>
      <c r="J59" s="42">
        <v>1633510</v>
      </c>
      <c r="K59" s="42">
        <v>271332</v>
      </c>
      <c r="L59" s="42">
        <v>7689711</v>
      </c>
      <c r="M59" s="42">
        <v>1558512</v>
      </c>
      <c r="N59" s="42">
        <v>62</v>
      </c>
      <c r="O59" s="42">
        <v>8804366</v>
      </c>
      <c r="P59" s="42">
        <v>0</v>
      </c>
      <c r="Q59" s="42">
        <v>43357</v>
      </c>
      <c r="R59" s="42">
        <v>424</v>
      </c>
      <c r="S59" s="42">
        <v>1347755</v>
      </c>
      <c r="T59" s="42">
        <v>36968788</v>
      </c>
      <c r="U59" s="42">
        <v>418743</v>
      </c>
      <c r="V59" s="42">
        <v>31469</v>
      </c>
      <c r="W59" s="42">
        <v>927658</v>
      </c>
      <c r="X59" s="42">
        <f>IFERROR(VLOOKUP(A59,'Trans 21-23'!$A$2:$J$229,8,0),0)</f>
        <v>6524458</v>
      </c>
      <c r="Y59" s="42">
        <v>10168611</v>
      </c>
      <c r="Z59" s="42">
        <v>89</v>
      </c>
      <c r="AA59" s="42">
        <v>39121484</v>
      </c>
      <c r="AB59" s="42">
        <v>10700511</v>
      </c>
      <c r="AC59" s="42">
        <v>2218886</v>
      </c>
      <c r="AD59" s="42">
        <v>102199552</v>
      </c>
      <c r="AE59" s="42">
        <v>0</v>
      </c>
      <c r="AF59" s="42">
        <v>1116328185</v>
      </c>
      <c r="AG59" s="42">
        <v>566751</v>
      </c>
      <c r="AH59" s="42">
        <v>1178128</v>
      </c>
      <c r="AI59" s="42">
        <v>21093057</v>
      </c>
      <c r="AJ59" s="42">
        <v>28844</v>
      </c>
      <c r="AK59" s="42">
        <v>51</v>
      </c>
      <c r="AL59" s="42">
        <v>6517813</v>
      </c>
      <c r="AM59" s="42">
        <v>4083054</v>
      </c>
      <c r="AN59" s="42">
        <v>6229893</v>
      </c>
      <c r="AO59" s="42">
        <v>22597</v>
      </c>
      <c r="AP59" s="42">
        <v>1603519</v>
      </c>
      <c r="AQ59" s="42">
        <v>18456876</v>
      </c>
      <c r="AR59" s="42">
        <v>1429158</v>
      </c>
      <c r="AS59" s="42">
        <v>19886034</v>
      </c>
      <c r="AT59" s="42">
        <v>0</v>
      </c>
      <c r="AU59" s="42">
        <v>4429</v>
      </c>
      <c r="AV59" s="42">
        <v>0</v>
      </c>
      <c r="AW59" s="42">
        <v>505254740</v>
      </c>
      <c r="AX59" s="42">
        <v>2516285</v>
      </c>
      <c r="AY59" s="42">
        <v>242396222</v>
      </c>
      <c r="AZ59" s="42">
        <v>79442874</v>
      </c>
      <c r="BA59" s="42">
        <v>155366079</v>
      </c>
      <c r="BB59" s="42">
        <v>2367433725</v>
      </c>
      <c r="BC59" s="42">
        <v>11023230586</v>
      </c>
      <c r="BD59" s="42">
        <v>278595780</v>
      </c>
      <c r="BE59" s="42">
        <v>731699275</v>
      </c>
      <c r="BF59" s="42">
        <v>42490635</v>
      </c>
      <c r="BG59" s="42">
        <v>0</v>
      </c>
      <c r="BH59" s="42">
        <v>17000912</v>
      </c>
      <c r="BI59" s="42">
        <v>12993937</v>
      </c>
      <c r="BJ59" s="42">
        <v>1402311</v>
      </c>
      <c r="BK59" s="42">
        <v>0</v>
      </c>
      <c r="BL59" s="42">
        <v>0</v>
      </c>
      <c r="BM59" s="42">
        <v>23198932</v>
      </c>
      <c r="BN59" s="42">
        <v>106445166</v>
      </c>
      <c r="BO59" s="42">
        <v>26020712</v>
      </c>
      <c r="BP59" s="42">
        <v>3877348</v>
      </c>
      <c r="BQ59" s="42">
        <v>143150507</v>
      </c>
      <c r="BR59" s="42">
        <v>0</v>
      </c>
      <c r="BS59" s="42">
        <f>IFERROR(VLOOKUP(A59,'Trans 21-23'!$A$2:$J$229,7,0),0)</f>
        <v>590878491</v>
      </c>
      <c r="BT59" s="63"/>
      <c r="BU59" s="32">
        <f t="shared" si="0"/>
        <v>2367433725</v>
      </c>
      <c r="BV59" s="32">
        <f t="shared" si="1"/>
        <v>4429</v>
      </c>
      <c r="BW59" s="32">
        <f t="shared" si="2"/>
        <v>566751</v>
      </c>
      <c r="BX59" s="32">
        <f t="shared" si="3"/>
        <v>62792768</v>
      </c>
      <c r="BY59" s="32">
        <f t="shared" si="4"/>
        <v>62209581</v>
      </c>
      <c r="BZ59" s="32">
        <f t="shared" si="5"/>
        <v>79442874</v>
      </c>
      <c r="CA59" s="32">
        <f t="shared" si="6"/>
        <v>102199552</v>
      </c>
      <c r="CB59" s="32">
        <f t="shared" si="7"/>
        <v>1178128</v>
      </c>
      <c r="CC59" s="32">
        <f t="shared" si="8"/>
        <v>18456876</v>
      </c>
      <c r="CD59" s="41">
        <f t="shared" si="9"/>
        <v>1</v>
      </c>
      <c r="CE59" s="44">
        <f t="shared" si="10"/>
        <v>9</v>
      </c>
      <c r="CF59" s="27"/>
      <c r="CG59" s="28">
        <f t="shared" si="11"/>
        <v>534.5300801535335</v>
      </c>
      <c r="CH59" s="28">
        <f t="shared" si="12"/>
        <v>7.8147193388278096</v>
      </c>
      <c r="CI59" s="28">
        <f t="shared" si="13"/>
        <v>110.79427826329376</v>
      </c>
      <c r="CJ59" s="28">
        <f t="shared" si="14"/>
        <v>140.17244610066854</v>
      </c>
      <c r="CK59" s="23">
        <f t="shared" si="15"/>
        <v>6.3831387283525123E-2</v>
      </c>
      <c r="CL59" s="29" t="str">
        <f t="shared" si="16"/>
        <v/>
      </c>
      <c r="CM59" s="29" t="str">
        <f t="shared" si="17"/>
        <v/>
      </c>
      <c r="CN59" s="29" t="str">
        <f t="shared" si="18"/>
        <v/>
      </c>
      <c r="CO59" s="29" t="str">
        <f t="shared" si="19"/>
        <v/>
      </c>
      <c r="CP59" s="29" t="str">
        <f t="shared" si="20"/>
        <v/>
      </c>
      <c r="CQ59" s="29">
        <f t="shared" si="21"/>
        <v>0</v>
      </c>
      <c r="CR59" s="30"/>
      <c r="CS59" s="7">
        <f>VLOOKUP(A59,'Empresas 21-23'!$A$2:$M$228,13,0)</f>
        <v>1</v>
      </c>
      <c r="CT59" s="30"/>
      <c r="CU59" s="6">
        <f t="shared" si="22"/>
        <v>2576555758.8000002</v>
      </c>
      <c r="CV59" s="6">
        <f t="shared" si="23"/>
        <v>79442874</v>
      </c>
      <c r="CW59" s="6">
        <f t="shared" si="24"/>
        <v>278595780</v>
      </c>
      <c r="CX59" s="23">
        <f t="shared" si="58"/>
        <v>0.23979928637139017</v>
      </c>
      <c r="CY59" s="23">
        <f t="shared" si="59"/>
        <v>7.393724908699331E-3</v>
      </c>
      <c r="CZ59" s="6">
        <f t="shared" si="27"/>
        <v>2643362828.0300808</v>
      </c>
      <c r="DA59" s="6">
        <f t="shared" si="28"/>
        <v>81502734.558044523</v>
      </c>
      <c r="DB59" s="6">
        <f t="shared" si="29"/>
        <v>62792768</v>
      </c>
      <c r="DC59" s="6">
        <f t="shared" si="30"/>
        <v>69317226</v>
      </c>
      <c r="DD59" s="6">
        <f t="shared" si="31"/>
        <v>62209581</v>
      </c>
      <c r="DE59" s="6">
        <f t="shared" si="32"/>
        <v>102199552</v>
      </c>
      <c r="DF59" s="6">
        <f t="shared" si="33"/>
        <v>37152502.924590416</v>
      </c>
      <c r="DG59" s="30"/>
      <c r="DH59" s="32">
        <f>VLOOKUP(A59,'T_med_comp-USA'!$A$7:$Q$233,17,0)</f>
        <v>17.183348409152249</v>
      </c>
      <c r="DI59" s="6" t="str">
        <f t="shared" si="34"/>
        <v>10_2005</v>
      </c>
      <c r="DJ59" s="32">
        <f>IF(DI59="","",VLOOKUP(DI59,'CPI USA'!$T:$U,2,FALSE))</f>
        <v>195.3</v>
      </c>
      <c r="DK59" s="32">
        <f>IF(DI59="","",VLOOKUP(DI59,'PPI USA'!$S:$T,2,FALSE))</f>
        <v>131.30000000000001</v>
      </c>
      <c r="DL59" s="32">
        <f>IF(DI59="","",VLOOKUP(DI59,'CPI USA'!$T:$V,3,FALSE))</f>
        <v>0.67888602568792966</v>
      </c>
      <c r="DM59" s="32">
        <f>IF(DI59="","",VLOOKUP(DI59,'CPI USA'!$T:$X,5,FALSE))</f>
        <v>0.50828944385363772</v>
      </c>
      <c r="DN59" s="32">
        <f t="shared" si="35"/>
        <v>1.6621774217199745</v>
      </c>
      <c r="DO59" s="32">
        <f t="shared" si="36"/>
        <v>1.6905992787819408</v>
      </c>
      <c r="DP59" s="32">
        <f t="shared" si="37"/>
        <v>0.33693076679410361</v>
      </c>
      <c r="DQ59" s="32">
        <f>IF(DP59="","",DP59*$DO$1/'CPI USA'!$U$520+(1-DP59)*AVERAGE($DO$1,$DQ$1)/AVERAGE('CPI USA'!$U$520,'PPI USA'!$T$526))</f>
        <v>1.0808568359641257</v>
      </c>
      <c r="DR59" s="6">
        <f t="shared" si="38"/>
        <v>14396248</v>
      </c>
      <c r="DS59" s="32">
        <f t="shared" si="39"/>
        <v>0.28798516869436758</v>
      </c>
      <c r="DT59" s="28">
        <f>IF(DS59="","",DS59*$DO$1/'CPI USA'!$U$520+(1-DS59)*AVERAGE($DO$1,$DQ$1)/AVERAGE('CPI USA'!$U$520,'PPI USA'!$T$526))</f>
        <v>1.0825033202795031</v>
      </c>
      <c r="DU59" s="6">
        <f t="shared" si="40"/>
        <v>28869952.591762561</v>
      </c>
      <c r="DV59" s="6">
        <f t="shared" si="57"/>
        <v>645855.47738122311</v>
      </c>
      <c r="DW59" s="6">
        <f t="shared" si="41"/>
        <v>8706008.7677086107</v>
      </c>
      <c r="DX59" s="16">
        <f t="shared" si="42"/>
        <v>0.23433168918334965</v>
      </c>
      <c r="DY59" s="28">
        <f>IF(DX59="","",DX59*$DO$1/'CPI USA'!$U$520+(1-DX59)*AVERAGE($DO$1,$DQ$1)/AVERAGE('CPI USA'!$U$520,'PPI USA'!$T$526))</f>
        <v>1.0843081733390223</v>
      </c>
      <c r="DZ59" s="30"/>
      <c r="EA59" s="29" t="str">
        <f t="shared" si="43"/>
        <v>C000555</v>
      </c>
      <c r="EB59" s="29">
        <f t="shared" si="44"/>
        <v>4393738010.1654596</v>
      </c>
      <c r="EC59" s="29">
        <f t="shared" si="45"/>
        <v>137788464.26258603</v>
      </c>
      <c r="ED59" s="29">
        <f t="shared" si="46"/>
        <v>74921997.572170228</v>
      </c>
      <c r="EE59" s="29">
        <f t="shared" si="47"/>
        <v>67342077.985696688</v>
      </c>
      <c r="EF59" s="29">
        <f t="shared" si="48"/>
        <v>40284762.581135318</v>
      </c>
      <c r="EG59" s="29">
        <f t="shared" si="49"/>
        <v>4429</v>
      </c>
      <c r="EH59" s="29">
        <f t="shared" si="50"/>
        <v>566751</v>
      </c>
      <c r="EI59" s="29">
        <f t="shared" si="51"/>
        <v>1178128</v>
      </c>
      <c r="EJ59" s="29">
        <f t="shared" si="52"/>
        <v>18456876</v>
      </c>
      <c r="EK59" s="29">
        <f t="shared" si="53"/>
        <v>19613240.172588833</v>
      </c>
      <c r="EL59" s="29">
        <f>IF(CD59=1,VLOOKUP(EA59,'EIA 2022'!$A$2:$J$213,4,0)*EH59,"")</f>
        <v>44506956.030000001</v>
      </c>
      <c r="EM59" s="29">
        <f>IF(CD59=1,VLOOKUP(EA59,'EIA 2022'!$A$2:$J$213,7,0)*EH59,"")</f>
        <v>646662.89100000006</v>
      </c>
      <c r="EN59" s="29">
        <f>IF(CD59=1,VLOOKUP(EA59,'EIA 2022'!$A$2:$J$213,10,0),"")</f>
        <v>42524</v>
      </c>
      <c r="EO59" s="28">
        <f>IF(CD59=1,VLOOKUP(EA59,'EIA 2022'!$A$2:$Z$213,26,0),"")</f>
        <v>0</v>
      </c>
      <c r="EP59" s="23">
        <f t="shared" si="54"/>
        <v>5.8958344588312825E-2</v>
      </c>
      <c r="EQ59" s="32">
        <f t="shared" si="55"/>
        <v>21763.827411167556</v>
      </c>
      <c r="ER59" s="32">
        <f t="shared" si="56"/>
        <v>1156364.1725888324</v>
      </c>
      <c r="ES59" s="32"/>
      <c r="ET59" s="32"/>
    </row>
    <row r="60" spans="1:150" ht="15.75" customHeight="1">
      <c r="A60" s="7" t="s">
        <v>381</v>
      </c>
      <c r="B60" s="7" t="s">
        <v>382</v>
      </c>
      <c r="C60" s="32" t="s">
        <v>929</v>
      </c>
      <c r="D60" s="42">
        <v>0</v>
      </c>
      <c r="E60" s="42">
        <v>0</v>
      </c>
      <c r="F60" s="42">
        <v>0</v>
      </c>
      <c r="G60" s="42">
        <v>396556483</v>
      </c>
      <c r="H60" s="42">
        <v>398316704</v>
      </c>
      <c r="I60" s="42">
        <v>8571586</v>
      </c>
      <c r="J60" s="42">
        <v>80833</v>
      </c>
      <c r="K60" s="42">
        <v>376160</v>
      </c>
      <c r="L60" s="42">
        <v>473183</v>
      </c>
      <c r="M60" s="42">
        <v>160337</v>
      </c>
      <c r="N60" s="42">
        <v>535641</v>
      </c>
      <c r="O60" s="42">
        <v>273991</v>
      </c>
      <c r="P60" s="42">
        <v>25371</v>
      </c>
      <c r="Q60" s="42">
        <v>2546340</v>
      </c>
      <c r="R60" s="42">
        <v>0</v>
      </c>
      <c r="S60" s="42">
        <v>3304462</v>
      </c>
      <c r="T60" s="42">
        <v>36492112</v>
      </c>
      <c r="U60" s="42">
        <v>437246</v>
      </c>
      <c r="V60" s="42">
        <v>271840</v>
      </c>
      <c r="W60" s="42">
        <v>66690</v>
      </c>
      <c r="X60" s="42">
        <f>IFERROR(VLOOKUP(A60,'Trans 21-23'!$A$2:$J$229,8,0),0)</f>
        <v>1741850</v>
      </c>
      <c r="Y60" s="42">
        <v>723324</v>
      </c>
      <c r="Z60" s="42">
        <v>264146</v>
      </c>
      <c r="AA60" s="42">
        <v>34568400</v>
      </c>
      <c r="AB60" s="42">
        <v>3322739</v>
      </c>
      <c r="AC60" s="42">
        <v>0</v>
      </c>
      <c r="AD60" s="42">
        <v>74962621</v>
      </c>
      <c r="AE60" s="42">
        <v>0</v>
      </c>
      <c r="AF60" s="42">
        <v>655186901</v>
      </c>
      <c r="AG60" s="42">
        <v>536318</v>
      </c>
      <c r="AH60" s="42">
        <v>169068</v>
      </c>
      <c r="AI60" s="42">
        <v>4815326</v>
      </c>
      <c r="AJ60" s="42">
        <v>3671</v>
      </c>
      <c r="AK60" s="42">
        <v>0</v>
      </c>
      <c r="AL60" s="42">
        <v>2945538</v>
      </c>
      <c r="AM60" s="42">
        <v>834727</v>
      </c>
      <c r="AN60" s="42">
        <v>294409</v>
      </c>
      <c r="AO60" s="42">
        <v>1267</v>
      </c>
      <c r="AP60" s="42">
        <v>22505</v>
      </c>
      <c r="AQ60" s="42">
        <v>4101251</v>
      </c>
      <c r="AR60" s="42">
        <v>541336</v>
      </c>
      <c r="AS60" s="42">
        <v>4642587</v>
      </c>
      <c r="AT60" s="42">
        <v>2805</v>
      </c>
      <c r="AU60" s="42">
        <v>3348</v>
      </c>
      <c r="AV60" s="42">
        <v>0</v>
      </c>
      <c r="AW60" s="42">
        <v>197132933</v>
      </c>
      <c r="AX60" s="42">
        <v>21273203</v>
      </c>
      <c r="AY60" s="42">
        <v>280523808</v>
      </c>
      <c r="AZ60" s="42">
        <v>67641983</v>
      </c>
      <c r="BA60" s="42">
        <v>0</v>
      </c>
      <c r="BB60" s="42">
        <v>2140907246</v>
      </c>
      <c r="BC60" s="42">
        <v>0</v>
      </c>
      <c r="BD60" s="42">
        <v>35827127</v>
      </c>
      <c r="BE60" s="42">
        <v>970629382</v>
      </c>
      <c r="BF60" s="42">
        <v>64683274</v>
      </c>
      <c r="BG60" s="42">
        <v>0</v>
      </c>
      <c r="BH60" s="42">
        <v>20698683</v>
      </c>
      <c r="BI60" s="42">
        <v>10295500</v>
      </c>
      <c r="BJ60" s="42">
        <v>409745</v>
      </c>
      <c r="BK60" s="42">
        <v>0</v>
      </c>
      <c r="BL60" s="42">
        <v>0</v>
      </c>
      <c r="BM60" s="42">
        <v>14168528</v>
      </c>
      <c r="BN60" s="42">
        <v>50062304</v>
      </c>
      <c r="BO60" s="42">
        <v>202686</v>
      </c>
      <c r="BP60" s="42">
        <v>334542</v>
      </c>
      <c r="BQ60" s="42">
        <v>76696666</v>
      </c>
      <c r="BR60" s="42">
        <v>0</v>
      </c>
      <c r="BS60" s="42">
        <f>IFERROR(VLOOKUP(A60,'Trans 21-23'!$A$2:$J$229,7,0),0)</f>
        <v>157748225</v>
      </c>
      <c r="BT60" s="63"/>
      <c r="BU60" s="32">
        <f t="shared" si="0"/>
        <v>2140907246</v>
      </c>
      <c r="BV60" s="32">
        <f t="shared" si="1"/>
        <v>3348</v>
      </c>
      <c r="BW60" s="32">
        <f t="shared" si="2"/>
        <v>536318</v>
      </c>
      <c r="BX60" s="32">
        <f t="shared" si="3"/>
        <v>53615792</v>
      </c>
      <c r="BY60" s="32">
        <f t="shared" si="4"/>
        <v>38878609</v>
      </c>
      <c r="BZ60" s="32">
        <f t="shared" si="5"/>
        <v>67641983</v>
      </c>
      <c r="CA60" s="32">
        <f t="shared" si="6"/>
        <v>74962621</v>
      </c>
      <c r="CB60" s="32">
        <f t="shared" si="7"/>
        <v>169068</v>
      </c>
      <c r="CC60" s="32">
        <f t="shared" si="8"/>
        <v>4101251</v>
      </c>
      <c r="CD60" s="41">
        <f t="shared" si="9"/>
        <v>1</v>
      </c>
      <c r="CE60" s="44">
        <f t="shared" si="10"/>
        <v>14</v>
      </c>
      <c r="CF60" s="27"/>
      <c r="CG60" s="28">
        <f t="shared" si="11"/>
        <v>639.45855615292714</v>
      </c>
      <c r="CH60" s="28">
        <f t="shared" si="12"/>
        <v>6.2425650453648771</v>
      </c>
      <c r="CI60" s="28">
        <f t="shared" si="13"/>
        <v>99.970152036664814</v>
      </c>
      <c r="CJ60" s="28">
        <f t="shared" si="14"/>
        <v>126.1229028300374</v>
      </c>
      <c r="CK60" s="23">
        <f t="shared" si="15"/>
        <v>4.1223519360312259E-2</v>
      </c>
      <c r="CL60" s="29" t="str">
        <f t="shared" si="16"/>
        <v/>
      </c>
      <c r="CM60" s="29" t="str">
        <f t="shared" si="17"/>
        <v/>
      </c>
      <c r="CN60" s="29" t="str">
        <f t="shared" si="18"/>
        <v/>
      </c>
      <c r="CO60" s="29" t="str">
        <f t="shared" si="19"/>
        <v/>
      </c>
      <c r="CP60" s="29" t="str">
        <f t="shared" si="20"/>
        <v/>
      </c>
      <c r="CQ60" s="29">
        <f t="shared" si="21"/>
        <v>0</v>
      </c>
      <c r="CR60" s="30"/>
      <c r="CS60" s="7">
        <f>VLOOKUP(A60,'Empresas 21-23'!$A$2:$M$228,13,0)</f>
        <v>1</v>
      </c>
      <c r="CT60" s="30"/>
      <c r="CU60" s="6">
        <f t="shared" si="22"/>
        <v>2049935281.4000001</v>
      </c>
      <c r="CV60" s="6">
        <f t="shared" si="23"/>
        <v>67641983</v>
      </c>
      <c r="CW60" s="6">
        <f t="shared" si="24"/>
        <v>35827127</v>
      </c>
      <c r="CX60" s="23">
        <v>0.75447075286337995</v>
      </c>
      <c r="CY60" s="23">
        <v>2.3905668178422691E-2</v>
      </c>
      <c r="CZ60" s="6">
        <f t="shared" si="27"/>
        <v>2076965800.8806219</v>
      </c>
      <c r="DA60" s="6">
        <f t="shared" si="28"/>
        <v>68498454.409848213</v>
      </c>
      <c r="DB60" s="6">
        <f t="shared" si="29"/>
        <v>53615792</v>
      </c>
      <c r="DC60" s="6">
        <f t="shared" si="30"/>
        <v>55357642</v>
      </c>
      <c r="DD60" s="6">
        <f t="shared" si="31"/>
        <v>38878609</v>
      </c>
      <c r="DE60" s="6">
        <f t="shared" si="32"/>
        <v>74962621</v>
      </c>
      <c r="DF60" s="6">
        <f t="shared" si="33"/>
        <v>38833986.596434392</v>
      </c>
      <c r="DG60" s="30"/>
      <c r="DH60" s="32">
        <f>VLOOKUP(A60,'T_med_comp-USA'!$A$7:$Q$233,17,0)</f>
        <v>15.225034598435256</v>
      </c>
      <c r="DI60" s="6" t="str">
        <f t="shared" si="34"/>
        <v>10_2007</v>
      </c>
      <c r="DJ60" s="32">
        <f>IF(DI60="","",VLOOKUP(DI60,'CPI USA'!$T:$U,2,FALSE))</f>
        <v>207.34200000000001</v>
      </c>
      <c r="DK60" s="32">
        <f>IF(DI60="","",VLOOKUP(DI60,'PPI USA'!$S:$T,2,FALSE))</f>
        <v>151.69999999999999</v>
      </c>
      <c r="DL60" s="32">
        <f>IF(DI60="","",VLOOKUP(DI60,'CPI USA'!$T:$V,3,FALSE))</f>
        <v>0.67123734379962852</v>
      </c>
      <c r="DM60" s="32">
        <f>IF(DI60="","",VLOOKUP(DI60,'CPI USA'!$T:$X,5,FALSE))</f>
        <v>0.49957259686190569</v>
      </c>
      <c r="DN60" s="32">
        <f t="shared" si="35"/>
        <v>1.5480022216582647</v>
      </c>
      <c r="DO60" s="32">
        <f t="shared" si="36"/>
        <v>1.5651038394149617</v>
      </c>
      <c r="DP60" s="32">
        <f t="shared" si="37"/>
        <v>0.38761873070819042</v>
      </c>
      <c r="DQ60" s="32">
        <f>IF(DP60="","",DP60*$DO$1/'CPI USA'!$U$520+(1-DP60)*AVERAGE($DO$1,$DQ$1)/AVERAGE('CPI USA'!$U$520,'PPI USA'!$T$526))</f>
        <v>1.0791517400861901</v>
      </c>
      <c r="DR60" s="6">
        <f t="shared" si="38"/>
        <v>10705245</v>
      </c>
      <c r="DS60" s="32">
        <f t="shared" si="39"/>
        <v>0.27646531947914227</v>
      </c>
      <c r="DT60" s="28">
        <f>IF(DS60="","",DS60*$DO$1/'CPI USA'!$U$520+(1-DS60)*AVERAGE($DO$1,$DQ$1)/AVERAGE('CPI USA'!$U$520,'PPI USA'!$T$526))</f>
        <v>1.0828908372735693</v>
      </c>
      <c r="DU60" s="6">
        <f t="shared" si="40"/>
        <v>14225891.765483266</v>
      </c>
      <c r="DV60" s="6">
        <f t="shared" si="57"/>
        <v>62072.234844803432</v>
      </c>
      <c r="DW60" s="6">
        <f t="shared" si="41"/>
        <v>8962795.4944481719</v>
      </c>
      <c r="DX60" s="16">
        <f t="shared" si="42"/>
        <v>0.23079771818407915</v>
      </c>
      <c r="DY60" s="28">
        <f>IF(DX60="","",DX60*$DO$1/'CPI USA'!$U$520+(1-DX60)*AVERAGE($DO$1,$DQ$1)/AVERAGE('CPI USA'!$U$520,'PPI USA'!$T$526))</f>
        <v>1.0844270528306867</v>
      </c>
      <c r="DZ60" s="30"/>
      <c r="EA60" s="29" t="str">
        <f t="shared" si="43"/>
        <v>C000602</v>
      </c>
      <c r="EB60" s="29">
        <f t="shared" si="44"/>
        <v>3215147674.0714397</v>
      </c>
      <c r="EC60" s="29">
        <f t="shared" si="45"/>
        <v>107207193.99084415</v>
      </c>
      <c r="ED60" s="29">
        <f t="shared" si="46"/>
        <v>59739295.691368356</v>
      </c>
      <c r="EE60" s="29">
        <f t="shared" si="47"/>
        <v>42101289.452041723</v>
      </c>
      <c r="EF60" s="29">
        <f t="shared" si="48"/>
        <v>42112625.63443774</v>
      </c>
      <c r="EG60" s="29">
        <f t="shared" si="49"/>
        <v>3348</v>
      </c>
      <c r="EH60" s="29">
        <f t="shared" si="50"/>
        <v>536318</v>
      </c>
      <c r="EI60" s="29">
        <f t="shared" si="51"/>
        <v>169068</v>
      </c>
      <c r="EJ60" s="29">
        <f t="shared" si="52"/>
        <v>4101251</v>
      </c>
      <c r="EK60" s="29">
        <f t="shared" si="53"/>
        <v>4262075.3045685282</v>
      </c>
      <c r="EL60" s="29">
        <f>IF(CD60=1,VLOOKUP(EA60,'EIA 2022'!$A$2:$J$213,4,0)*EH60,"")</f>
        <v>58378214.299999997</v>
      </c>
      <c r="EM60" s="29">
        <f>IF(CD60=1,VLOOKUP(EA60,'EIA 2022'!$A$2:$J$213,7,0)*EH60,"")</f>
        <v>563133.9</v>
      </c>
      <c r="EN60" s="29">
        <f>IF(CD60=1,VLOOKUP(EA60,'EIA 2022'!$A$2:$J$213,10,0),"")</f>
        <v>421500</v>
      </c>
      <c r="EO60" s="28">
        <f>IF(CD60=1,VLOOKUP(EA60,'EIA 2022'!$A$2:$Z$213,26,0),"")</f>
        <v>0</v>
      </c>
      <c r="EP60" s="23">
        <f t="shared" si="54"/>
        <v>3.7733801745863105E-2</v>
      </c>
      <c r="EQ60" s="32">
        <f t="shared" si="55"/>
        <v>8243.6954314720351</v>
      </c>
      <c r="ER60" s="32">
        <f t="shared" si="56"/>
        <v>160824.30456852796</v>
      </c>
      <c r="ES60" s="32"/>
      <c r="ET60" s="32"/>
    </row>
    <row r="61" spans="1:150" ht="15.75" customHeight="1">
      <c r="A61" s="7" t="s">
        <v>384</v>
      </c>
      <c r="B61" s="7" t="s">
        <v>385</v>
      </c>
      <c r="C61" s="32" t="s">
        <v>930</v>
      </c>
      <c r="D61" s="42">
        <v>0</v>
      </c>
      <c r="E61" s="42">
        <v>0</v>
      </c>
      <c r="F61" s="42">
        <v>0</v>
      </c>
      <c r="G61" s="42">
        <v>50371626</v>
      </c>
      <c r="H61" s="42">
        <v>55071576</v>
      </c>
      <c r="I61" s="42">
        <v>3364078</v>
      </c>
      <c r="J61" s="42">
        <v>2124798</v>
      </c>
      <c r="K61" s="42">
        <v>1380935</v>
      </c>
      <c r="L61" s="42">
        <v>5543590</v>
      </c>
      <c r="M61" s="42">
        <v>190255</v>
      </c>
      <c r="N61" s="42">
        <v>3109284</v>
      </c>
      <c r="O61" s="42">
        <v>8758138</v>
      </c>
      <c r="P61" s="42">
        <v>5103024</v>
      </c>
      <c r="Q61" s="42">
        <v>165906</v>
      </c>
      <c r="R61" s="42">
        <v>1379</v>
      </c>
      <c r="S61" s="42">
        <v>1467627</v>
      </c>
      <c r="T61" s="42">
        <v>159185320</v>
      </c>
      <c r="U61" s="42">
        <v>1158981</v>
      </c>
      <c r="V61" s="42">
        <v>0</v>
      </c>
      <c r="W61" s="42">
        <v>37649550</v>
      </c>
      <c r="X61" s="42">
        <f>IFERROR(VLOOKUP(A61,'Trans 21-23'!$A$2:$J$229,8,0),0)</f>
        <v>11247700</v>
      </c>
      <c r="Y61" s="42">
        <v>3462770</v>
      </c>
      <c r="Z61" s="42">
        <v>0</v>
      </c>
      <c r="AA61" s="42">
        <v>54001344</v>
      </c>
      <c r="AB61" s="42">
        <v>38895611</v>
      </c>
      <c r="AC61" s="42">
        <v>1027346</v>
      </c>
      <c r="AD61" s="42">
        <v>67249036</v>
      </c>
      <c r="AE61" s="42">
        <v>0</v>
      </c>
      <c r="AF61" s="42">
        <v>613324418</v>
      </c>
      <c r="AG61" s="42">
        <v>654808</v>
      </c>
      <c r="AH61" s="42">
        <v>200</v>
      </c>
      <c r="AI61" s="42">
        <v>679212</v>
      </c>
      <c r="AJ61" s="42">
        <v>0</v>
      </c>
      <c r="AK61" s="42">
        <v>0</v>
      </c>
      <c r="AL61" s="42">
        <v>136</v>
      </c>
      <c r="AM61" s="42">
        <v>182</v>
      </c>
      <c r="AN61" s="42">
        <v>0</v>
      </c>
      <c r="AO61" s="42">
        <v>1</v>
      </c>
      <c r="AP61" s="42">
        <v>0</v>
      </c>
      <c r="AQ61" s="42">
        <v>319</v>
      </c>
      <c r="AR61" s="42">
        <v>678693</v>
      </c>
      <c r="AS61" s="42">
        <v>679012</v>
      </c>
      <c r="AT61" s="42">
        <v>0</v>
      </c>
      <c r="AU61" s="42">
        <v>1600</v>
      </c>
      <c r="AV61" s="42">
        <v>0</v>
      </c>
      <c r="AW61" s="42">
        <v>457099974</v>
      </c>
      <c r="AX61" s="42">
        <v>8410617</v>
      </c>
      <c r="AY61" s="42">
        <v>66189312</v>
      </c>
      <c r="AZ61" s="42">
        <v>83397669</v>
      </c>
      <c r="BA61" s="42">
        <v>14995802</v>
      </c>
      <c r="BB61" s="42">
        <v>1816459492</v>
      </c>
      <c r="BC61" s="42">
        <v>4980695868</v>
      </c>
      <c r="BD61" s="42">
        <v>454222023</v>
      </c>
      <c r="BE61" s="42">
        <v>507476136</v>
      </c>
      <c r="BF61" s="42">
        <v>37872202</v>
      </c>
      <c r="BG61" s="42">
        <v>0</v>
      </c>
      <c r="BH61" s="42">
        <v>31832578</v>
      </c>
      <c r="BI61" s="42">
        <v>14057588</v>
      </c>
      <c r="BJ61" s="42">
        <v>258503</v>
      </c>
      <c r="BK61" s="42">
        <v>633385</v>
      </c>
      <c r="BL61" s="42">
        <v>0</v>
      </c>
      <c r="BM61" s="42">
        <v>9815437</v>
      </c>
      <c r="BN61" s="42">
        <v>64372408</v>
      </c>
      <c r="BO61" s="42">
        <v>28922025</v>
      </c>
      <c r="BP61" s="42">
        <v>355698</v>
      </c>
      <c r="BQ61" s="42">
        <v>98062714</v>
      </c>
      <c r="BR61" s="42">
        <v>0</v>
      </c>
      <c r="BS61" s="42">
        <f>IFERROR(VLOOKUP(A61,'Trans 21-23'!$A$2:$J$229,7,0),0)</f>
        <v>1018632397</v>
      </c>
      <c r="BT61" s="63"/>
      <c r="BU61" s="32">
        <f t="shared" si="0"/>
        <v>1816459492</v>
      </c>
      <c r="BV61" s="32">
        <f t="shared" si="1"/>
        <v>1600</v>
      </c>
      <c r="BW61" s="32">
        <f t="shared" si="2"/>
        <v>654808</v>
      </c>
      <c r="BX61" s="32">
        <f t="shared" si="3"/>
        <v>229202865</v>
      </c>
      <c r="BY61" s="32">
        <f t="shared" si="4"/>
        <v>97387071</v>
      </c>
      <c r="BZ61" s="32">
        <f t="shared" si="5"/>
        <v>83397669</v>
      </c>
      <c r="CA61" s="32">
        <f t="shared" si="6"/>
        <v>67249036</v>
      </c>
      <c r="CB61" s="32">
        <f t="shared" si="7"/>
        <v>200</v>
      </c>
      <c r="CC61" s="32">
        <f t="shared" si="8"/>
        <v>319</v>
      </c>
      <c r="CD61" s="41">
        <v>0</v>
      </c>
      <c r="CE61" s="44">
        <f t="shared" si="10"/>
        <v>15</v>
      </c>
      <c r="CF61" s="27"/>
      <c r="CG61" s="28" t="str">
        <f t="shared" si="11"/>
        <v/>
      </c>
      <c r="CH61" s="28" t="str">
        <f t="shared" si="12"/>
        <v/>
      </c>
      <c r="CI61" s="28" t="str">
        <f t="shared" si="13"/>
        <v/>
      </c>
      <c r="CJ61" s="28" t="str">
        <f t="shared" si="14"/>
        <v/>
      </c>
      <c r="CK61" s="23" t="str">
        <f t="shared" si="15"/>
        <v/>
      </c>
      <c r="CL61" s="29" t="str">
        <f t="shared" si="16"/>
        <v/>
      </c>
      <c r="CM61" s="29" t="str">
        <f t="shared" si="17"/>
        <v/>
      </c>
      <c r="CN61" s="29" t="str">
        <f t="shared" si="18"/>
        <v/>
      </c>
      <c r="CO61" s="29" t="str">
        <f t="shared" si="19"/>
        <v/>
      </c>
      <c r="CP61" s="29" t="str">
        <f t="shared" si="20"/>
        <v/>
      </c>
      <c r="CQ61" s="29" t="str">
        <f t="shared" si="21"/>
        <v/>
      </c>
      <c r="CR61" s="30"/>
      <c r="CS61" s="7" t="str">
        <f>VLOOKUP(A61,'Empresas 21-23'!$A$2:$M$228,13,0)</f>
        <v/>
      </c>
      <c r="CT61" s="30"/>
      <c r="CU61" s="6">
        <f t="shared" si="22"/>
        <v>2691938460.5999999</v>
      </c>
      <c r="CV61" s="6">
        <f t="shared" si="23"/>
        <v>83397669</v>
      </c>
      <c r="CW61" s="6">
        <f t="shared" si="24"/>
        <v>454222023</v>
      </c>
      <c r="CX61" s="23">
        <f t="shared" ref="CX61:CX79" si="60">CU61/(BC61-BD61)</f>
        <v>0.59470982331501798</v>
      </c>
      <c r="CY61" s="23">
        <f t="shared" ref="CY61:CY79" si="61">CV61/(BC61-BD61)</f>
        <v>1.8424423040049622E-2</v>
      </c>
      <c r="CZ61" s="6">
        <f t="shared" si="27"/>
        <v>2962068759.6441197</v>
      </c>
      <c r="DA61" s="6">
        <f t="shared" si="28"/>
        <v>91766447.705859154</v>
      </c>
      <c r="DB61" s="6">
        <f t="shared" si="29"/>
        <v>229202865</v>
      </c>
      <c r="DC61" s="6">
        <f t="shared" si="30"/>
        <v>240450565</v>
      </c>
      <c r="DD61" s="6">
        <f t="shared" si="31"/>
        <v>97387071</v>
      </c>
      <c r="DE61" s="6">
        <f t="shared" si="32"/>
        <v>67249036</v>
      </c>
      <c r="DF61" s="6">
        <f t="shared" si="33"/>
        <v>46271037.144504122</v>
      </c>
      <c r="DG61" s="30"/>
      <c r="DH61" s="32">
        <f>VLOOKUP(A61,'T_med_comp-USA'!$A$7:$Q$233,17,0)</f>
        <v>13.253804205895468</v>
      </c>
      <c r="DI61" s="6" t="str">
        <f t="shared" si="34"/>
        <v>10_2009</v>
      </c>
      <c r="DJ61" s="32">
        <f>IF(DI61="","",VLOOKUP(DI61,'CPI USA'!$T:$U,2,FALSE))</f>
        <v>214.53700000000001</v>
      </c>
      <c r="DK61" s="32">
        <f>IF(DI61="","",VLOOKUP(DI61,'PPI USA'!$S:$T,2,FALSE))</f>
        <v>159.1</v>
      </c>
      <c r="DL61" s="32">
        <f>IF(DI61="","",VLOOKUP(DI61,'CPI USA'!$T:$V,3,FALSE))</f>
        <v>0.66997101349938215</v>
      </c>
      <c r="DM61" s="32">
        <f>IF(DI61="","",VLOOKUP(DI61,'CPI USA'!$T:$X,5,FALSE))</f>
        <v>0.49813941766071862</v>
      </c>
      <c r="DN61" s="32">
        <f t="shared" si="35"/>
        <v>1.4932638886873792</v>
      </c>
      <c r="DO61" s="32">
        <f t="shared" si="36"/>
        <v>1.5082750176818205</v>
      </c>
      <c r="DP61" s="32">
        <f t="shared" si="37"/>
        <v>0.20128330016059437</v>
      </c>
      <c r="DQ61" s="32">
        <f>IF(DP61="","",DP61*$DO$1/'CPI USA'!$U$520+(1-DP61)*AVERAGE($DO$1,$DQ$1)/AVERAGE('CPI USA'!$U$520,'PPI USA'!$T$526))</f>
        <v>1.0854198903531567</v>
      </c>
      <c r="DR61" s="6">
        <f t="shared" si="38"/>
        <v>14949476</v>
      </c>
      <c r="DS61" s="32">
        <f t="shared" si="39"/>
        <v>0.22247470543638581</v>
      </c>
      <c r="DT61" s="28">
        <f>IF(DS61="","",DS61*$DO$1/'CPI USA'!$U$520+(1-DS61)*AVERAGE($DO$1,$DQ$1)/AVERAGE('CPI USA'!$U$520,'PPI USA'!$T$526))</f>
        <v>1.0847070312246136</v>
      </c>
      <c r="DU61" s="6">
        <f t="shared" si="40"/>
        <v>14225436.922636498</v>
      </c>
      <c r="DV61" s="6">
        <f t="shared" si="57"/>
        <v>35732.657212927268</v>
      </c>
      <c r="DW61" s="6">
        <f t="shared" si="41"/>
        <v>10364173.504083816</v>
      </c>
      <c r="DX61" s="16">
        <f t="shared" si="42"/>
        <v>0.22398835521487395</v>
      </c>
      <c r="DY61" s="28">
        <f>IF(DX61="","",DX61*$DO$1/'CPI USA'!$U$520+(1-DX61)*AVERAGE($DO$1,$DQ$1)/AVERAGE('CPI USA'!$U$520,'PPI USA'!$T$526))</f>
        <v>1.0846561134563972</v>
      </c>
      <c r="DZ61" s="30"/>
      <c r="EA61" s="29" t="str">
        <f t="shared" si="43"/>
        <v>C000615</v>
      </c>
      <c r="EB61" s="29" t="str">
        <f t="shared" si="44"/>
        <v/>
      </c>
      <c r="EC61" s="29" t="str">
        <f t="shared" si="45"/>
        <v/>
      </c>
      <c r="ED61" s="29" t="str">
        <f t="shared" si="46"/>
        <v/>
      </c>
      <c r="EE61" s="29" t="str">
        <f t="shared" si="47"/>
        <v/>
      </c>
      <c r="EF61" s="29" t="str">
        <f t="shared" si="48"/>
        <v/>
      </c>
      <c r="EG61" s="29" t="str">
        <f t="shared" si="49"/>
        <v/>
      </c>
      <c r="EH61" s="29" t="str">
        <f t="shared" si="50"/>
        <v/>
      </c>
      <c r="EI61" s="29" t="str">
        <f t="shared" si="51"/>
        <v/>
      </c>
      <c r="EJ61" s="29" t="str">
        <f t="shared" si="52"/>
        <v/>
      </c>
      <c r="EK61" s="29" t="str">
        <f t="shared" si="53"/>
        <v/>
      </c>
      <c r="EL61" s="29" t="str">
        <f>IF(CD61=1,VLOOKUP(EA61,'EIA 2022'!$A$2:$J$213,4,0)*EH61,"")</f>
        <v/>
      </c>
      <c r="EM61" s="29" t="str">
        <f>IF(CD61=1,VLOOKUP(EA61,'EIA 2022'!$A$2:$J$213,7,0)*EH61,"")</f>
        <v/>
      </c>
      <c r="EN61" s="29" t="str">
        <f>IF(CD61=1,VLOOKUP(EA61,'EIA 2022'!$A$2:$J$213,10,0),"")</f>
        <v/>
      </c>
      <c r="EO61" s="28" t="str">
        <f>IF(CD61=1,VLOOKUP(EA61,'EIA 2022'!$A$2:$Z$213,26,0),"")</f>
        <v/>
      </c>
      <c r="EP61" s="23" t="str">
        <f t="shared" si="54"/>
        <v/>
      </c>
      <c r="EQ61" s="32" t="str">
        <f t="shared" si="55"/>
        <v/>
      </c>
      <c r="ER61" s="32" t="str">
        <f t="shared" si="56"/>
        <v/>
      </c>
      <c r="ES61" s="32"/>
      <c r="ET61" s="32"/>
    </row>
    <row r="62" spans="1:150" ht="15.75" customHeight="1">
      <c r="A62" s="7" t="s">
        <v>387</v>
      </c>
      <c r="B62" s="7" t="s">
        <v>388</v>
      </c>
      <c r="C62" s="32" t="s">
        <v>931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2">
        <v>0</v>
      </c>
      <c r="O62" s="42">
        <v>0</v>
      </c>
      <c r="P62" s="42">
        <v>0</v>
      </c>
      <c r="Q62" s="42">
        <v>0</v>
      </c>
      <c r="R62" s="42">
        <v>0</v>
      </c>
      <c r="S62" s="42">
        <v>0</v>
      </c>
      <c r="T62" s="42">
        <v>0</v>
      </c>
      <c r="U62" s="42">
        <v>0</v>
      </c>
      <c r="V62" s="42">
        <v>0</v>
      </c>
      <c r="W62" s="42">
        <v>0</v>
      </c>
      <c r="X62" s="42">
        <f>IFERROR(VLOOKUP(A62,'Trans 21-23'!$A$2:$J$229,8,0),0)</f>
        <v>0</v>
      </c>
      <c r="Y62" s="42">
        <v>0</v>
      </c>
      <c r="Z62" s="42">
        <v>0</v>
      </c>
      <c r="AA62" s="42">
        <v>1377</v>
      </c>
      <c r="AB62" s="42">
        <v>0</v>
      </c>
      <c r="AC62" s="42">
        <v>0</v>
      </c>
      <c r="AD62" s="42">
        <v>478906</v>
      </c>
      <c r="AE62" s="42">
        <v>0</v>
      </c>
      <c r="AF62" s="42">
        <v>1243679</v>
      </c>
      <c r="AG62" s="42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2">
        <v>0</v>
      </c>
      <c r="AO62" s="42">
        <v>0</v>
      </c>
      <c r="AP62" s="42">
        <v>0</v>
      </c>
      <c r="AQ62" s="42">
        <v>0</v>
      </c>
      <c r="AR62" s="42">
        <v>0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159183306</v>
      </c>
      <c r="BD62" s="42">
        <v>781989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2">
        <v>0</v>
      </c>
      <c r="BL62" s="42">
        <v>0</v>
      </c>
      <c r="BM62" s="42">
        <v>0</v>
      </c>
      <c r="BN62" s="42">
        <v>0</v>
      </c>
      <c r="BO62" s="42">
        <v>0</v>
      </c>
      <c r="BP62" s="42">
        <v>0</v>
      </c>
      <c r="BQ62" s="42">
        <v>0</v>
      </c>
      <c r="BR62" s="42">
        <v>0</v>
      </c>
      <c r="BS62" s="42">
        <f>IFERROR(VLOOKUP(A62,'Trans 21-23'!$A$2:$J$229,7,0),0)</f>
        <v>0</v>
      </c>
      <c r="BT62" s="63"/>
      <c r="BU62" s="32">
        <f t="shared" si="0"/>
        <v>0</v>
      </c>
      <c r="BV62" s="32">
        <f t="shared" si="1"/>
        <v>0</v>
      </c>
      <c r="BW62" s="32">
        <f t="shared" si="2"/>
        <v>0</v>
      </c>
      <c r="BX62" s="32">
        <f t="shared" si="3"/>
        <v>0</v>
      </c>
      <c r="BY62" s="32">
        <f t="shared" si="4"/>
        <v>1377</v>
      </c>
      <c r="BZ62" s="32">
        <f t="shared" si="5"/>
        <v>0</v>
      </c>
      <c r="CA62" s="32">
        <f t="shared" si="6"/>
        <v>478906</v>
      </c>
      <c r="CB62" s="32">
        <f t="shared" si="7"/>
        <v>0</v>
      </c>
      <c r="CC62" s="32">
        <f t="shared" si="8"/>
        <v>0</v>
      </c>
      <c r="CD62" s="41">
        <f t="shared" ref="CD62:CD94" si="62">IF(OR(BU62&lt;=0,BV62&lt;=0,BW62&lt;=0,BX62&lt;=0,BY62&lt;=0,BZ62&lt;=0,CA62&lt;=0,CB62&lt;=0,CC62&lt;=0,DH62="-"),0,1)</f>
        <v>0</v>
      </c>
      <c r="CE62" s="44">
        <f t="shared" si="10"/>
        <v>63</v>
      </c>
      <c r="CF62" s="27"/>
      <c r="CG62" s="28" t="str">
        <f t="shared" si="11"/>
        <v/>
      </c>
      <c r="CH62" s="28" t="str">
        <f t="shared" si="12"/>
        <v/>
      </c>
      <c r="CI62" s="28" t="str">
        <f t="shared" si="13"/>
        <v/>
      </c>
      <c r="CJ62" s="28" t="str">
        <f t="shared" si="14"/>
        <v/>
      </c>
      <c r="CK62" s="23" t="str">
        <f t="shared" si="15"/>
        <v/>
      </c>
      <c r="CL62" s="29" t="str">
        <f t="shared" si="16"/>
        <v/>
      </c>
      <c r="CM62" s="29" t="str">
        <f t="shared" si="17"/>
        <v/>
      </c>
      <c r="CN62" s="29" t="str">
        <f t="shared" si="18"/>
        <v/>
      </c>
      <c r="CO62" s="29" t="str">
        <f t="shared" si="19"/>
        <v/>
      </c>
      <c r="CP62" s="29" t="str">
        <f t="shared" si="20"/>
        <v/>
      </c>
      <c r="CQ62" s="29" t="str">
        <f t="shared" si="21"/>
        <v/>
      </c>
      <c r="CR62" s="30"/>
      <c r="CS62" s="7" t="str">
        <f>VLOOKUP(A62,'Empresas 21-23'!$A$2:$M$228,13,0)</f>
        <v/>
      </c>
      <c r="CT62" s="30"/>
      <c r="CU62" s="6">
        <f t="shared" si="22"/>
        <v>0</v>
      </c>
      <c r="CV62" s="6">
        <f t="shared" si="23"/>
        <v>0</v>
      </c>
      <c r="CW62" s="6">
        <f t="shared" si="24"/>
        <v>781989</v>
      </c>
      <c r="CX62" s="23">
        <f t="shared" si="60"/>
        <v>0</v>
      </c>
      <c r="CY62" s="23">
        <f t="shared" si="61"/>
        <v>0</v>
      </c>
      <c r="CZ62" s="6">
        <f t="shared" si="27"/>
        <v>0</v>
      </c>
      <c r="DA62" s="6">
        <f t="shared" si="28"/>
        <v>0</v>
      </c>
      <c r="DB62" s="6">
        <f t="shared" si="29"/>
        <v>0</v>
      </c>
      <c r="DC62" s="6">
        <f t="shared" si="30"/>
        <v>0</v>
      </c>
      <c r="DD62" s="6">
        <f t="shared" si="31"/>
        <v>1377</v>
      </c>
      <c r="DE62" s="6">
        <f t="shared" si="32"/>
        <v>478906</v>
      </c>
      <c r="DF62" s="6">
        <f t="shared" si="33"/>
        <v>862.28666807013326</v>
      </c>
      <c r="DG62" s="30"/>
      <c r="DH62" s="32" t="str">
        <f>VLOOKUP(A62,'T_med_comp-USA'!$A$7:$Q$233,17,0)</f>
        <v>-</v>
      </c>
      <c r="DI62" s="6" t="str">
        <f t="shared" si="34"/>
        <v/>
      </c>
      <c r="DJ62" s="32" t="str">
        <f>IF(DI62="","",VLOOKUP(DI62,'CPI USA'!$T:$U,2,FALSE))</f>
        <v/>
      </c>
      <c r="DK62" s="32" t="str">
        <f>IF(DI62="","",VLOOKUP(DI62,'PPI USA'!$S:$T,2,FALSE))</f>
        <v/>
      </c>
      <c r="DL62" s="32" t="str">
        <f>IF(DI62="","",VLOOKUP(DI62,'CPI USA'!$T:$V,3,FALSE))</f>
        <v/>
      </c>
      <c r="DM62" s="32" t="str">
        <f>IF(DI62="","",VLOOKUP(DI62,'CPI USA'!$T:$X,5,FALSE))</f>
        <v/>
      </c>
      <c r="DN62" s="32" t="str">
        <f t="shared" si="35"/>
        <v/>
      </c>
      <c r="DO62" s="32" t="str">
        <f t="shared" si="36"/>
        <v/>
      </c>
      <c r="DP62" s="32" t="str">
        <f t="shared" si="37"/>
        <v/>
      </c>
      <c r="DQ62" s="32" t="str">
        <f>IF(DP62="","",DP62*$DO$1/'CPI USA'!$U$520+(1-DP62)*AVERAGE($DO$1,$DQ$1)/AVERAGE('CPI USA'!$U$520,'PPI USA'!$T$526))</f>
        <v/>
      </c>
      <c r="DR62" s="6">
        <f t="shared" si="38"/>
        <v>0</v>
      </c>
      <c r="DS62" s="32">
        <f t="shared" si="39"/>
        <v>0.2</v>
      </c>
      <c r="DT62" s="28">
        <f>IF(DS62="","",DS62*$DO$1/'CPI USA'!$U$520+(1-DS62)*AVERAGE($DO$1,$DQ$1)/AVERAGE('CPI USA'!$U$520,'PPI USA'!$T$526))</f>
        <v>1.0854630593748538</v>
      </c>
      <c r="DU62" s="6" t="str">
        <f t="shared" si="40"/>
        <v/>
      </c>
      <c r="DV62" s="6" t="str">
        <f t="shared" si="57"/>
        <v/>
      </c>
      <c r="DW62" s="6">
        <f t="shared" si="41"/>
        <v>0</v>
      </c>
      <c r="DX62" s="16" t="str">
        <f t="shared" si="42"/>
        <v/>
      </c>
      <c r="DY62" s="28" t="str">
        <f>IF(DX62="","",DX62*$DO$1/'CPI USA'!$U$520+(1-DX62)*AVERAGE($DO$1,$DQ$1)/AVERAGE('CPI USA'!$U$520,'PPI USA'!$T$526))</f>
        <v/>
      </c>
      <c r="DZ62" s="30"/>
      <c r="EA62" s="29" t="str">
        <f t="shared" si="43"/>
        <v>C000616</v>
      </c>
      <c r="EB62" s="29" t="str">
        <f t="shared" si="44"/>
        <v/>
      </c>
      <c r="EC62" s="29" t="str">
        <f t="shared" si="45"/>
        <v/>
      </c>
      <c r="ED62" s="29" t="str">
        <f t="shared" si="46"/>
        <v/>
      </c>
      <c r="EE62" s="29" t="str">
        <f t="shared" si="47"/>
        <v/>
      </c>
      <c r="EF62" s="29" t="str">
        <f t="shared" si="48"/>
        <v/>
      </c>
      <c r="EG62" s="29" t="str">
        <f t="shared" si="49"/>
        <v/>
      </c>
      <c r="EH62" s="29" t="str">
        <f t="shared" si="50"/>
        <v/>
      </c>
      <c r="EI62" s="29" t="str">
        <f t="shared" si="51"/>
        <v/>
      </c>
      <c r="EJ62" s="29" t="str">
        <f t="shared" si="52"/>
        <v/>
      </c>
      <c r="EK62" s="29" t="str">
        <f t="shared" si="53"/>
        <v/>
      </c>
      <c r="EL62" s="29" t="str">
        <f>IF(CD62=1,VLOOKUP(EA62,'EIA 2022'!$A$2:$J$213,4,0)*EH62,"")</f>
        <v/>
      </c>
      <c r="EM62" s="29" t="str">
        <f>IF(CD62=1,VLOOKUP(EA62,'EIA 2022'!$A$2:$J$213,7,0)*EH62,"")</f>
        <v/>
      </c>
      <c r="EN62" s="29" t="str">
        <f>IF(CD62=1,VLOOKUP(EA62,'EIA 2022'!$A$2:$J$213,10,0),"")</f>
        <v/>
      </c>
      <c r="EO62" s="28" t="str">
        <f>IF(CD62=1,VLOOKUP(EA62,'EIA 2022'!$A$2:$Z$213,26,0),"")</f>
        <v/>
      </c>
      <c r="EP62" s="23" t="str">
        <f t="shared" si="54"/>
        <v/>
      </c>
      <c r="EQ62" s="32" t="str">
        <f t="shared" si="55"/>
        <v/>
      </c>
      <c r="ER62" s="32" t="str">
        <f t="shared" si="56"/>
        <v/>
      </c>
      <c r="ES62" s="32"/>
      <c r="ET62" s="32"/>
    </row>
    <row r="63" spans="1:150" ht="15.75" customHeight="1">
      <c r="A63" s="7" t="s">
        <v>390</v>
      </c>
      <c r="B63" s="7" t="s">
        <v>391</v>
      </c>
      <c r="C63" s="32" t="s">
        <v>932</v>
      </c>
      <c r="D63" s="42">
        <v>0</v>
      </c>
      <c r="E63" s="42">
        <v>0</v>
      </c>
      <c r="F63" s="42">
        <v>0</v>
      </c>
      <c r="G63" s="42">
        <v>202553106</v>
      </c>
      <c r="H63" s="42">
        <v>215930618</v>
      </c>
      <c r="I63" s="42">
        <v>3541783</v>
      </c>
      <c r="J63" s="42">
        <v>1465954</v>
      </c>
      <c r="K63" s="42">
        <v>1454623</v>
      </c>
      <c r="L63" s="42">
        <v>137744</v>
      </c>
      <c r="M63" s="42">
        <v>677891</v>
      </c>
      <c r="N63" s="42">
        <v>495371</v>
      </c>
      <c r="O63" s="42">
        <v>6599813</v>
      </c>
      <c r="P63" s="42">
        <v>111460</v>
      </c>
      <c r="Q63" s="42">
        <v>4069610</v>
      </c>
      <c r="R63" s="42">
        <v>0</v>
      </c>
      <c r="S63" s="42">
        <v>5266567</v>
      </c>
      <c r="T63" s="42">
        <v>70746940</v>
      </c>
      <c r="U63" s="42">
        <v>3057684</v>
      </c>
      <c r="V63" s="42">
        <v>0</v>
      </c>
      <c r="W63" s="42">
        <v>6339720</v>
      </c>
      <c r="X63" s="42">
        <f>IFERROR(VLOOKUP(A63,'Trans 21-23'!$A$2:$J$229,8,0),0)</f>
        <v>0</v>
      </c>
      <c r="Y63" s="42">
        <v>1495272</v>
      </c>
      <c r="Z63" s="42">
        <v>0</v>
      </c>
      <c r="AA63" s="42">
        <v>55307406</v>
      </c>
      <c r="AB63" s="42">
        <v>52411535</v>
      </c>
      <c r="AC63" s="42">
        <v>8836341</v>
      </c>
      <c r="AD63" s="42">
        <v>42193784</v>
      </c>
      <c r="AE63" s="42">
        <v>0</v>
      </c>
      <c r="AF63" s="42">
        <v>481671124</v>
      </c>
      <c r="AG63" s="42">
        <v>390454</v>
      </c>
      <c r="AH63" s="42">
        <v>393990</v>
      </c>
      <c r="AI63" s="42">
        <v>7678861</v>
      </c>
      <c r="AJ63" s="42">
        <v>12922</v>
      </c>
      <c r="AK63" s="42">
        <v>0</v>
      </c>
      <c r="AL63" s="42">
        <v>2858073</v>
      </c>
      <c r="AM63" s="42">
        <v>2537751</v>
      </c>
      <c r="AN63" s="42">
        <v>1079599</v>
      </c>
      <c r="AO63" s="42">
        <v>32323</v>
      </c>
      <c r="AP63" s="42">
        <v>516688</v>
      </c>
      <c r="AQ63" s="42">
        <v>7024457</v>
      </c>
      <c r="AR63" s="42">
        <v>247492</v>
      </c>
      <c r="AS63" s="42">
        <v>7271949</v>
      </c>
      <c r="AT63" s="42">
        <v>0</v>
      </c>
      <c r="AU63" s="42">
        <v>1532</v>
      </c>
      <c r="AV63" s="42">
        <v>0</v>
      </c>
      <c r="AW63" s="42">
        <v>290469281</v>
      </c>
      <c r="AX63" s="42">
        <v>181754054</v>
      </c>
      <c r="AY63" s="42">
        <v>281996963</v>
      </c>
      <c r="AZ63" s="42">
        <v>54928735</v>
      </c>
      <c r="BA63" s="42">
        <v>16200345</v>
      </c>
      <c r="BB63" s="42">
        <v>1765150036</v>
      </c>
      <c r="BC63" s="42">
        <v>3388842953</v>
      </c>
      <c r="BD63" s="42">
        <v>42778404</v>
      </c>
      <c r="BE63" s="42">
        <v>493361861</v>
      </c>
      <c r="BF63" s="42">
        <v>35401211</v>
      </c>
      <c r="BG63" s="42">
        <v>0</v>
      </c>
      <c r="BH63" s="42">
        <v>24596518</v>
      </c>
      <c r="BI63" s="42">
        <v>5323313</v>
      </c>
      <c r="BJ63" s="42">
        <v>729664</v>
      </c>
      <c r="BK63" s="42">
        <v>219170</v>
      </c>
      <c r="BL63" s="42">
        <v>0</v>
      </c>
      <c r="BM63" s="42">
        <v>4645717</v>
      </c>
      <c r="BN63" s="42">
        <v>40827190</v>
      </c>
      <c r="BO63" s="42">
        <v>14748255</v>
      </c>
      <c r="BP63" s="42">
        <v>95722</v>
      </c>
      <c r="BQ63" s="42">
        <v>88271668</v>
      </c>
      <c r="BR63" s="42">
        <v>23</v>
      </c>
      <c r="BS63" s="42">
        <f>IFERROR(VLOOKUP(A63,'Trans 21-23'!$A$2:$J$229,7,0),0)</f>
        <v>0</v>
      </c>
      <c r="BT63" s="63"/>
      <c r="BU63" s="32">
        <f t="shared" si="0"/>
        <v>1765150036</v>
      </c>
      <c r="BV63" s="32">
        <f t="shared" si="1"/>
        <v>1532</v>
      </c>
      <c r="BW63" s="32">
        <f t="shared" si="2"/>
        <v>390454</v>
      </c>
      <c r="BX63" s="32">
        <f t="shared" si="3"/>
        <v>103965160</v>
      </c>
      <c r="BY63" s="32">
        <f t="shared" si="4"/>
        <v>118050554</v>
      </c>
      <c r="BZ63" s="32">
        <f t="shared" si="5"/>
        <v>54928735</v>
      </c>
      <c r="CA63" s="32">
        <f t="shared" si="6"/>
        <v>42193784</v>
      </c>
      <c r="CB63" s="32">
        <f t="shared" si="7"/>
        <v>393990</v>
      </c>
      <c r="CC63" s="32">
        <f t="shared" si="8"/>
        <v>7024457</v>
      </c>
      <c r="CD63" s="41">
        <f t="shared" si="62"/>
        <v>1</v>
      </c>
      <c r="CE63" s="44">
        <f t="shared" si="10"/>
        <v>14</v>
      </c>
      <c r="CF63" s="27"/>
      <c r="CG63" s="28">
        <f t="shared" si="11"/>
        <v>1152.1867075718014</v>
      </c>
      <c r="CH63" s="28">
        <f t="shared" si="12"/>
        <v>3.9236376116008542</v>
      </c>
      <c r="CI63" s="28">
        <f t="shared" si="13"/>
        <v>266.26737080424328</v>
      </c>
      <c r="CJ63" s="28">
        <f t="shared" si="14"/>
        <v>140.6791453026477</v>
      </c>
      <c r="CK63" s="23">
        <f t="shared" si="15"/>
        <v>5.6088321132864792E-2</v>
      </c>
      <c r="CL63" s="29" t="str">
        <f t="shared" si="16"/>
        <v/>
      </c>
      <c r="CM63" s="29" t="str">
        <f t="shared" si="17"/>
        <v/>
      </c>
      <c r="CN63" s="29" t="str">
        <f t="shared" si="18"/>
        <v/>
      </c>
      <c r="CO63" s="29" t="str">
        <f t="shared" si="19"/>
        <v/>
      </c>
      <c r="CP63" s="29" t="str">
        <f t="shared" si="20"/>
        <v/>
      </c>
      <c r="CQ63" s="29">
        <f t="shared" si="21"/>
        <v>0</v>
      </c>
      <c r="CR63" s="30"/>
      <c r="CS63" s="7">
        <f>VLOOKUP(A63,'Empresas 21-23'!$A$2:$M$228,13,0)</f>
        <v>1</v>
      </c>
      <c r="CT63" s="30"/>
      <c r="CU63" s="6">
        <f t="shared" si="22"/>
        <v>1415770345.8</v>
      </c>
      <c r="CV63" s="6">
        <f t="shared" si="23"/>
        <v>54928735</v>
      </c>
      <c r="CW63" s="6">
        <f t="shared" si="24"/>
        <v>42778404</v>
      </c>
      <c r="CX63" s="23">
        <f t="shared" si="60"/>
        <v>0.42311507296627465</v>
      </c>
      <c r="CY63" s="23">
        <f t="shared" si="61"/>
        <v>1.6415922106588147E-2</v>
      </c>
      <c r="CZ63" s="6">
        <f t="shared" si="27"/>
        <v>1433870533.3298407</v>
      </c>
      <c r="DA63" s="6">
        <f t="shared" si="28"/>
        <v>55630981.947908156</v>
      </c>
      <c r="DB63" s="6">
        <f t="shared" si="29"/>
        <v>103965160</v>
      </c>
      <c r="DC63" s="6">
        <f t="shared" si="30"/>
        <v>103965160</v>
      </c>
      <c r="DD63" s="6">
        <f t="shared" si="31"/>
        <v>118050554</v>
      </c>
      <c r="DE63" s="6">
        <f t="shared" si="32"/>
        <v>42193784</v>
      </c>
      <c r="DF63" s="6">
        <f t="shared" si="33"/>
        <v>41904810.758628689</v>
      </c>
      <c r="DG63" s="30"/>
      <c r="DH63" s="32">
        <f>VLOOKUP(A63,'T_med_comp-USA'!$A$7:$Q$233,17,0)</f>
        <v>13.765181674941019</v>
      </c>
      <c r="DI63" s="6" t="str">
        <f t="shared" si="34"/>
        <v>3_2009</v>
      </c>
      <c r="DJ63" s="32">
        <f>IF(DI63="","",VLOOKUP(DI63,'CPI USA'!$T:$U,2,FALSE))</f>
        <v>214.53700000000001</v>
      </c>
      <c r="DK63" s="32">
        <f>IF(DI63="","",VLOOKUP(DI63,'PPI USA'!$S:$T,2,FALSE))</f>
        <v>159.1</v>
      </c>
      <c r="DL63" s="32">
        <f>IF(DI63="","",VLOOKUP(DI63,'CPI USA'!$T:$V,3,FALSE))</f>
        <v>0.66997101349938215</v>
      </c>
      <c r="DM63" s="32">
        <f>IF(DI63="","",VLOOKUP(DI63,'CPI USA'!$T:$X,5,FALSE))</f>
        <v>0.49813941766071862</v>
      </c>
      <c r="DN63" s="32">
        <f t="shared" si="35"/>
        <v>1.4932638886873792</v>
      </c>
      <c r="DO63" s="32">
        <f t="shared" si="36"/>
        <v>1.5082750176818205</v>
      </c>
      <c r="DP63" s="32">
        <f t="shared" si="37"/>
        <v>0.32204700403900172</v>
      </c>
      <c r="DQ63" s="32">
        <f>IF(DP63="","",DP63*$DO$1/'CPI USA'!$U$520+(1-DP63)*AVERAGE($DO$1,$DQ$1)/AVERAGE('CPI USA'!$U$520,'PPI USA'!$T$526))</f>
        <v>1.0813575118753718</v>
      </c>
      <c r="DR63" s="6">
        <f t="shared" si="38"/>
        <v>6272147</v>
      </c>
      <c r="DS63" s="32">
        <f t="shared" si="39"/>
        <v>0.2</v>
      </c>
      <c r="DT63" s="28">
        <f>IF(DS63="","",DS63*$DO$1/'CPI USA'!$U$520+(1-DS63)*AVERAGE($DO$1,$DQ$1)/AVERAGE('CPI USA'!$U$520,'PPI USA'!$T$526))</f>
        <v>1.0854630593748538</v>
      </c>
      <c r="DU63" s="6">
        <f t="shared" si="40"/>
        <v>6323917.7033507572</v>
      </c>
      <c r="DV63" s="6">
        <f t="shared" si="57"/>
        <v>5043.2951711569949</v>
      </c>
      <c r="DW63" s="6">
        <f t="shared" si="41"/>
        <v>4785207.5261961082</v>
      </c>
      <c r="DX63" s="16">
        <f t="shared" si="42"/>
        <v>0.2</v>
      </c>
      <c r="DY63" s="28">
        <f>IF(DX63="","",DX63*$DO$1/'CPI USA'!$U$520+(1-DX63)*AVERAGE($DO$1,$DQ$1)/AVERAGE('CPI USA'!$U$520,'PPI USA'!$T$526))</f>
        <v>1.0854630593748538</v>
      </c>
      <c r="DZ63" s="30"/>
      <c r="EA63" s="29" t="str">
        <f t="shared" si="43"/>
        <v>C000617</v>
      </c>
      <c r="EB63" s="29">
        <f t="shared" si="44"/>
        <v>2141147088.4743643</v>
      </c>
      <c r="EC63" s="29">
        <f t="shared" si="45"/>
        <v>83906820.281138211</v>
      </c>
      <c r="ED63" s="29">
        <f t="shared" si="46"/>
        <v>112423506.73932493</v>
      </c>
      <c r="EE63" s="29">
        <f t="shared" si="47"/>
        <v>128139515.50573638</v>
      </c>
      <c r="EF63" s="29">
        <f t="shared" si="48"/>
        <v>45486124.088585384</v>
      </c>
      <c r="EG63" s="29">
        <f t="shared" si="49"/>
        <v>1532</v>
      </c>
      <c r="EH63" s="29">
        <f t="shared" si="50"/>
        <v>390454</v>
      </c>
      <c r="EI63" s="29">
        <f t="shared" si="51"/>
        <v>393990</v>
      </c>
      <c r="EJ63" s="29">
        <f t="shared" si="52"/>
        <v>7024457</v>
      </c>
      <c r="EK63" s="29">
        <f t="shared" si="53"/>
        <v>7414678.0862944163</v>
      </c>
      <c r="EL63" s="29">
        <f>IF(CD63=1,VLOOKUP(EA63,'EIA 2022'!$A$2:$J$213,4,0)*EH63,"")</f>
        <v>31740005.660000004</v>
      </c>
      <c r="EM63" s="29">
        <f>IF(CD63=1,VLOOKUP(EA63,'EIA 2022'!$A$2:$J$213,7,0)*EH63,"")</f>
        <v>460735.72</v>
      </c>
      <c r="EN63" s="29">
        <f>IF(CD63=1,VLOOKUP(EA63,'EIA 2022'!$A$2:$J$213,10,0),"")</f>
        <v>114</v>
      </c>
      <c r="EO63" s="28">
        <f>IF(CD63=1,VLOOKUP(EA63,'EIA 2022'!$A$2:$Z$213,26,0),"")</f>
        <v>0</v>
      </c>
      <c r="EP63" s="23">
        <f t="shared" si="54"/>
        <v>5.2628189889418975E-2</v>
      </c>
      <c r="EQ63" s="32">
        <f t="shared" si="55"/>
        <v>3768.9137055837491</v>
      </c>
      <c r="ER63" s="32">
        <f t="shared" si="56"/>
        <v>390221.08629441622</v>
      </c>
      <c r="ES63" s="32"/>
      <c r="ET63" s="32"/>
    </row>
    <row r="64" spans="1:150" ht="15.75" customHeight="1">
      <c r="A64" s="7" t="s">
        <v>393</v>
      </c>
      <c r="B64" s="7" t="s">
        <v>394</v>
      </c>
      <c r="C64" s="32" t="s">
        <v>933</v>
      </c>
      <c r="D64" s="42">
        <v>0</v>
      </c>
      <c r="E64" s="42">
        <v>0</v>
      </c>
      <c r="F64" s="42">
        <v>0</v>
      </c>
      <c r="G64" s="42">
        <v>675964181</v>
      </c>
      <c r="H64" s="42">
        <v>712074436</v>
      </c>
      <c r="I64" s="42">
        <v>8044148</v>
      </c>
      <c r="J64" s="42">
        <v>2875437</v>
      </c>
      <c r="K64" s="42">
        <v>1628699</v>
      </c>
      <c r="L64" s="42">
        <v>14534186</v>
      </c>
      <c r="M64" s="42">
        <v>881903</v>
      </c>
      <c r="N64" s="42">
        <v>2011583</v>
      </c>
      <c r="O64" s="42">
        <v>18979735</v>
      </c>
      <c r="P64" s="42">
        <v>1043402</v>
      </c>
      <c r="Q64" s="42">
        <v>12921933</v>
      </c>
      <c r="R64" s="42">
        <v>13277</v>
      </c>
      <c r="S64" s="42">
        <v>8700377</v>
      </c>
      <c r="T64" s="42">
        <v>307659630</v>
      </c>
      <c r="U64" s="42">
        <v>1187636</v>
      </c>
      <c r="V64" s="42">
        <v>0</v>
      </c>
      <c r="W64" s="42">
        <v>-119251580</v>
      </c>
      <c r="X64" s="42">
        <f>IFERROR(VLOOKUP(A64,'Trans 21-23'!$A$2:$J$229,8,0),0)</f>
        <v>0</v>
      </c>
      <c r="Y64" s="42">
        <v>9108217</v>
      </c>
      <c r="Z64" s="42">
        <v>0</v>
      </c>
      <c r="AA64" s="42">
        <v>90539146</v>
      </c>
      <c r="AB64" s="42">
        <v>108866381</v>
      </c>
      <c r="AC64" s="42">
        <v>7115897</v>
      </c>
      <c r="AD64" s="42">
        <v>133538572</v>
      </c>
      <c r="AE64" s="42">
        <v>0</v>
      </c>
      <c r="AF64" s="42">
        <v>1374938905</v>
      </c>
      <c r="AG64" s="42">
        <v>916521</v>
      </c>
      <c r="AH64" s="42">
        <v>959978</v>
      </c>
      <c r="AI64" s="42">
        <v>17490070</v>
      </c>
      <c r="AJ64" s="42">
        <v>30899</v>
      </c>
      <c r="AK64" s="42">
        <v>0</v>
      </c>
      <c r="AL64" s="42">
        <v>7038103</v>
      </c>
      <c r="AM64" s="42">
        <v>4341001</v>
      </c>
      <c r="AN64" s="42">
        <v>2767138</v>
      </c>
      <c r="AO64" s="42">
        <v>37095</v>
      </c>
      <c r="AP64" s="42">
        <v>1268765</v>
      </c>
      <c r="AQ64" s="42">
        <v>15452380</v>
      </c>
      <c r="AR64" s="42">
        <v>1046813</v>
      </c>
      <c r="AS64" s="42">
        <v>16499193</v>
      </c>
      <c r="AT64" s="42">
        <v>0</v>
      </c>
      <c r="AU64" s="42">
        <v>3033</v>
      </c>
      <c r="AV64" s="42">
        <v>0</v>
      </c>
      <c r="AW64" s="42">
        <v>824185766</v>
      </c>
      <c r="AX64" s="42">
        <v>40990033</v>
      </c>
      <c r="AY64" s="42">
        <v>180513575</v>
      </c>
      <c r="AZ64" s="42">
        <v>130307350</v>
      </c>
      <c r="BA64" s="42">
        <v>51985929</v>
      </c>
      <c r="BB64" s="42">
        <v>3576780549</v>
      </c>
      <c r="BC64" s="42">
        <v>5671814551</v>
      </c>
      <c r="BD64" s="42">
        <v>201939480</v>
      </c>
      <c r="BE64" s="42">
        <v>1266531921</v>
      </c>
      <c r="BF64" s="42">
        <v>73327882</v>
      </c>
      <c r="BG64" s="42">
        <v>0</v>
      </c>
      <c r="BH64" s="42">
        <v>68012567</v>
      </c>
      <c r="BI64" s="42">
        <v>24129349</v>
      </c>
      <c r="BJ64" s="42">
        <v>435182</v>
      </c>
      <c r="BK64" s="42">
        <v>1475052</v>
      </c>
      <c r="BL64" s="42">
        <v>0</v>
      </c>
      <c r="BM64" s="42">
        <v>14566375</v>
      </c>
      <c r="BN64" s="42">
        <v>124791600</v>
      </c>
      <c r="BO64" s="42">
        <v>49886719</v>
      </c>
      <c r="BP64" s="42">
        <v>1430276</v>
      </c>
      <c r="BQ64" s="42">
        <v>226823136</v>
      </c>
      <c r="BR64" s="42">
        <v>278</v>
      </c>
      <c r="BS64" s="42">
        <f>IFERROR(VLOOKUP(A64,'Trans 21-23'!$A$2:$J$229,7,0),0)</f>
        <v>0</v>
      </c>
      <c r="BT64" s="63"/>
      <c r="BU64" s="32">
        <f t="shared" si="0"/>
        <v>3576780549</v>
      </c>
      <c r="BV64" s="32">
        <f t="shared" si="1"/>
        <v>3033</v>
      </c>
      <c r="BW64" s="32">
        <f t="shared" si="2"/>
        <v>916521</v>
      </c>
      <c r="BX64" s="32">
        <f t="shared" si="3"/>
        <v>261230366</v>
      </c>
      <c r="BY64" s="32">
        <f t="shared" si="4"/>
        <v>215629641</v>
      </c>
      <c r="BZ64" s="32">
        <f t="shared" si="5"/>
        <v>130307350</v>
      </c>
      <c r="CA64" s="32">
        <f t="shared" si="6"/>
        <v>133538572</v>
      </c>
      <c r="CB64" s="32">
        <f t="shared" si="7"/>
        <v>959978</v>
      </c>
      <c r="CC64" s="32">
        <f t="shared" si="8"/>
        <v>15452380</v>
      </c>
      <c r="CD64" s="41">
        <f t="shared" si="62"/>
        <v>1</v>
      </c>
      <c r="CE64" s="44">
        <f t="shared" si="10"/>
        <v>13</v>
      </c>
      <c r="CF64" s="27"/>
      <c r="CG64" s="28">
        <f t="shared" si="11"/>
        <v>1179.2880148367951</v>
      </c>
      <c r="CH64" s="28">
        <f t="shared" si="12"/>
        <v>3.3092531431358365</v>
      </c>
      <c r="CI64" s="28">
        <f t="shared" si="13"/>
        <v>285.02387397560994</v>
      </c>
      <c r="CJ64" s="28">
        <f t="shared" si="14"/>
        <v>142.17606579663749</v>
      </c>
      <c r="CK64" s="23">
        <f t="shared" si="15"/>
        <v>6.2124928328192809E-2</v>
      </c>
      <c r="CL64" s="29" t="str">
        <f t="shared" si="16"/>
        <v/>
      </c>
      <c r="CM64" s="29" t="str">
        <f t="shared" si="17"/>
        <v/>
      </c>
      <c r="CN64" s="29" t="str">
        <f t="shared" si="18"/>
        <v/>
      </c>
      <c r="CO64" s="29" t="str">
        <f t="shared" si="19"/>
        <v/>
      </c>
      <c r="CP64" s="29" t="str">
        <f t="shared" si="20"/>
        <v/>
      </c>
      <c r="CQ64" s="29">
        <f t="shared" si="21"/>
        <v>0</v>
      </c>
      <c r="CR64" s="30"/>
      <c r="CS64" s="7">
        <f>VLOOKUP(A64,'Empresas 21-23'!$A$2:$M$228,13,0)</f>
        <v>1</v>
      </c>
      <c r="CT64" s="30"/>
      <c r="CU64" s="6">
        <f t="shared" si="22"/>
        <v>3261585105.1999998</v>
      </c>
      <c r="CV64" s="6">
        <f t="shared" si="23"/>
        <v>130307350</v>
      </c>
      <c r="CW64" s="6">
        <f t="shared" si="24"/>
        <v>201939480</v>
      </c>
      <c r="CX64" s="23">
        <f t="shared" si="60"/>
        <v>0.59628146216577449</v>
      </c>
      <c r="CY64" s="23">
        <f t="shared" si="61"/>
        <v>2.3822728729374302E-2</v>
      </c>
      <c r="CZ64" s="6">
        <f t="shared" si="27"/>
        <v>3381997873.6033959</v>
      </c>
      <c r="DA64" s="6">
        <f t="shared" si="28"/>
        <v>135118099.4517909</v>
      </c>
      <c r="DB64" s="6">
        <f t="shared" si="29"/>
        <v>261230366</v>
      </c>
      <c r="DC64" s="6">
        <f t="shared" si="30"/>
        <v>261230366</v>
      </c>
      <c r="DD64" s="6">
        <f t="shared" si="31"/>
        <v>215629641</v>
      </c>
      <c r="DE64" s="6">
        <f t="shared" si="32"/>
        <v>133538572</v>
      </c>
      <c r="DF64" s="6">
        <f t="shared" si="33"/>
        <v>120302454.00725217</v>
      </c>
      <c r="DG64" s="30"/>
      <c r="DH64" s="32">
        <f>VLOOKUP(A64,'T_med_comp-USA'!$A$7:$Q$233,17,0)</f>
        <v>17.175025864341666</v>
      </c>
      <c r="DI64" s="6" t="str">
        <f t="shared" si="34"/>
        <v>11_2005</v>
      </c>
      <c r="DJ64" s="32">
        <f>IF(DI64="","",VLOOKUP(DI64,'CPI USA'!$T:$U,2,FALSE))</f>
        <v>195.3</v>
      </c>
      <c r="DK64" s="32">
        <f>IF(DI64="","",VLOOKUP(DI64,'PPI USA'!$S:$T,2,FALSE))</f>
        <v>131.30000000000001</v>
      </c>
      <c r="DL64" s="32">
        <f>IF(DI64="","",VLOOKUP(DI64,'CPI USA'!$T:$V,3,FALSE))</f>
        <v>0.67888602568792966</v>
      </c>
      <c r="DM64" s="32">
        <f>IF(DI64="","",VLOOKUP(DI64,'CPI USA'!$T:$X,5,FALSE))</f>
        <v>0.50828944385363772</v>
      </c>
      <c r="DN64" s="32">
        <f t="shared" si="35"/>
        <v>1.6621774217199745</v>
      </c>
      <c r="DO64" s="32">
        <f t="shared" si="36"/>
        <v>1.6905992787819408</v>
      </c>
      <c r="DP64" s="32">
        <f t="shared" si="37"/>
        <v>0.36443422729984593</v>
      </c>
      <c r="DQ64" s="32">
        <f>IF(DP64="","",DP64*$DO$1/'CPI USA'!$U$520+(1-DP64)*AVERAGE($DO$1,$DQ$1)/AVERAGE('CPI USA'!$U$520,'PPI USA'!$T$526))</f>
        <v>1.0799316451788576</v>
      </c>
      <c r="DR64" s="6">
        <f t="shared" si="38"/>
        <v>26039583</v>
      </c>
      <c r="DS64" s="32">
        <f t="shared" si="39"/>
        <v>0.2</v>
      </c>
      <c r="DT64" s="28">
        <f>IF(DS64="","",DS64*$DO$1/'CPI USA'!$U$520+(1-DS64)*AVERAGE($DO$1,$DQ$1)/AVERAGE('CPI USA'!$U$520,'PPI USA'!$T$526))</f>
        <v>1.0854630593748538</v>
      </c>
      <c r="DU64" s="6">
        <f t="shared" si="40"/>
        <v>20389432.453174934</v>
      </c>
      <c r="DV64" s="6">
        <f t="shared" si="57"/>
        <v>92433.879979605379</v>
      </c>
      <c r="DW64" s="6">
        <f t="shared" si="41"/>
        <v>15436644.49086157</v>
      </c>
      <c r="DX64" s="16">
        <f t="shared" si="42"/>
        <v>0.2</v>
      </c>
      <c r="DY64" s="28">
        <f>IF(DX64="","",DX64*$DO$1/'CPI USA'!$U$520+(1-DX64)*AVERAGE($DO$1,$DQ$1)/AVERAGE('CPI USA'!$U$520,'PPI USA'!$T$526))</f>
        <v>1.0854630593748538</v>
      </c>
      <c r="DZ64" s="30"/>
      <c r="EA64" s="29" t="str">
        <f t="shared" si="43"/>
        <v>C000618</v>
      </c>
      <c r="EB64" s="29">
        <f t="shared" si="44"/>
        <v>5621480505.8085289</v>
      </c>
      <c r="EC64" s="29">
        <f t="shared" si="45"/>
        <v>228430561.48358425</v>
      </c>
      <c r="ED64" s="29">
        <f t="shared" si="46"/>
        <v>282110938.92505515</v>
      </c>
      <c r="EE64" s="29">
        <f t="shared" si="47"/>
        <v>234058009.81176141</v>
      </c>
      <c r="EF64" s="29">
        <f t="shared" si="48"/>
        <v>130583869.77701458</v>
      </c>
      <c r="EG64" s="29">
        <f t="shared" si="49"/>
        <v>3033</v>
      </c>
      <c r="EH64" s="29">
        <f t="shared" si="50"/>
        <v>916521</v>
      </c>
      <c r="EI64" s="29">
        <f t="shared" si="51"/>
        <v>959978</v>
      </c>
      <c r="EJ64" s="29">
        <f t="shared" si="52"/>
        <v>15452380</v>
      </c>
      <c r="EK64" s="29">
        <f t="shared" si="53"/>
        <v>16396416.685279187</v>
      </c>
      <c r="EL64" s="29">
        <f>IF(CD64=1,VLOOKUP(EA64,'EIA 2022'!$A$2:$J$213,4,0)*EH64,"")</f>
        <v>149328766.53</v>
      </c>
      <c r="EM64" s="29">
        <f>IF(CD64=1,VLOOKUP(EA64,'EIA 2022'!$A$2:$J$213,7,0)*EH64,"")</f>
        <v>2089667.88</v>
      </c>
      <c r="EN64" s="29">
        <f>IF(CD64=1,VLOOKUP(EA64,'EIA 2022'!$A$2:$J$213,10,0),"")</f>
        <v>1655</v>
      </c>
      <c r="EO64" s="28">
        <f>IF(CD64=1,VLOOKUP(EA64,'EIA 2022'!$A$2:$Z$213,26,0),"")</f>
        <v>0</v>
      </c>
      <c r="EP64" s="23">
        <f t="shared" si="54"/>
        <v>5.7575792528299807E-2</v>
      </c>
      <c r="EQ64" s="32">
        <f t="shared" si="55"/>
        <v>15941.314720812254</v>
      </c>
      <c r="ER64" s="32">
        <f t="shared" si="56"/>
        <v>944036.68527918775</v>
      </c>
      <c r="ES64" s="32"/>
      <c r="ET64" s="32"/>
    </row>
    <row r="65" spans="1:150" ht="15.75" customHeight="1">
      <c r="A65" s="7" t="s">
        <v>396</v>
      </c>
      <c r="B65" s="7" t="s">
        <v>397</v>
      </c>
      <c r="C65" s="32" t="s">
        <v>934</v>
      </c>
      <c r="D65" s="42">
        <v>105551917</v>
      </c>
      <c r="E65" s="42">
        <v>0</v>
      </c>
      <c r="F65" s="42">
        <v>124658377</v>
      </c>
      <c r="G65" s="42">
        <v>533032204</v>
      </c>
      <c r="H65" s="42">
        <v>438516499</v>
      </c>
      <c r="I65" s="42">
        <v>5911141</v>
      </c>
      <c r="J65" s="42">
        <v>1862473</v>
      </c>
      <c r="K65" s="42">
        <v>5170071</v>
      </c>
      <c r="L65" s="42">
        <v>5421238</v>
      </c>
      <c r="M65" s="42">
        <v>4717552</v>
      </c>
      <c r="N65" s="42">
        <v>1095297</v>
      </c>
      <c r="O65" s="42">
        <v>4687903</v>
      </c>
      <c r="P65" s="42">
        <v>741341</v>
      </c>
      <c r="Q65" s="42">
        <v>11968</v>
      </c>
      <c r="R65" s="42">
        <v>0</v>
      </c>
      <c r="S65" s="42">
        <v>4120742</v>
      </c>
      <c r="T65" s="42">
        <v>21931803</v>
      </c>
      <c r="U65" s="42">
        <v>751577</v>
      </c>
      <c r="V65" s="42">
        <v>94087</v>
      </c>
      <c r="W65" s="42">
        <v>123766</v>
      </c>
      <c r="X65" s="42">
        <f>IFERROR(VLOOKUP(A65,'Trans 21-23'!$A$2:$J$229,8,0),0)</f>
        <v>1471041</v>
      </c>
      <c r="Y65" s="42">
        <v>5719569</v>
      </c>
      <c r="Z65" s="42">
        <v>862000</v>
      </c>
      <c r="AA65" s="42">
        <v>20773771</v>
      </c>
      <c r="AB65" s="42">
        <v>42534700</v>
      </c>
      <c r="AC65" s="42">
        <v>0</v>
      </c>
      <c r="AD65" s="42">
        <v>168736643</v>
      </c>
      <c r="AE65" s="42">
        <v>0</v>
      </c>
      <c r="AF65" s="42">
        <v>1103041646</v>
      </c>
      <c r="AG65" s="42">
        <v>611597</v>
      </c>
      <c r="AH65" s="42">
        <v>1238736</v>
      </c>
      <c r="AI65" s="42">
        <v>18379323</v>
      </c>
      <c r="AJ65" s="42">
        <v>0</v>
      </c>
      <c r="AK65" s="42">
        <v>0</v>
      </c>
      <c r="AL65" s="42">
        <v>6056124</v>
      </c>
      <c r="AM65" s="42">
        <v>6230687</v>
      </c>
      <c r="AN65" s="42">
        <v>3509694</v>
      </c>
      <c r="AO65" s="42">
        <v>25950</v>
      </c>
      <c r="AP65" s="42">
        <v>0</v>
      </c>
      <c r="AQ65" s="42">
        <v>15822455</v>
      </c>
      <c r="AR65" s="42">
        <v>1318132</v>
      </c>
      <c r="AS65" s="42">
        <v>17140587</v>
      </c>
      <c r="AT65" s="42">
        <v>0</v>
      </c>
      <c r="AU65" s="42">
        <v>3568</v>
      </c>
      <c r="AV65" s="42">
        <v>0</v>
      </c>
      <c r="AW65" s="42">
        <v>159600980</v>
      </c>
      <c r="AX65" s="42">
        <v>54625690</v>
      </c>
      <c r="AY65" s="42">
        <v>331603490</v>
      </c>
      <c r="AZ65" s="42">
        <v>113345257</v>
      </c>
      <c r="BA65" s="42">
        <v>6028622</v>
      </c>
      <c r="BB65" s="42">
        <v>2192135271</v>
      </c>
      <c r="BC65" s="42">
        <v>6829781143</v>
      </c>
      <c r="BD65" s="42">
        <v>488409652</v>
      </c>
      <c r="BE65" s="42">
        <v>698514955</v>
      </c>
      <c r="BF65" s="42">
        <v>45595429</v>
      </c>
      <c r="BG65" s="42">
        <v>0</v>
      </c>
      <c r="BH65" s="42">
        <v>27911764</v>
      </c>
      <c r="BI65" s="42">
        <v>9882085</v>
      </c>
      <c r="BJ65" s="42">
        <v>5115494</v>
      </c>
      <c r="BK65" s="42">
        <v>0</v>
      </c>
      <c r="BL65" s="42">
        <v>0</v>
      </c>
      <c r="BM65" s="42">
        <v>84829700</v>
      </c>
      <c r="BN65" s="42">
        <v>166352527</v>
      </c>
      <c r="BO65" s="42">
        <v>0</v>
      </c>
      <c r="BP65" s="42">
        <v>97945028</v>
      </c>
      <c r="BQ65" s="42">
        <v>264297555</v>
      </c>
      <c r="BR65" s="42">
        <v>0</v>
      </c>
      <c r="BS65" s="42">
        <f>IFERROR(VLOOKUP(A65,'Trans 21-23'!$A$2:$J$229,7,0),0)</f>
        <v>133222814</v>
      </c>
      <c r="BT65" s="63"/>
      <c r="BU65" s="32">
        <f t="shared" si="0"/>
        <v>2192135271</v>
      </c>
      <c r="BV65" s="32">
        <f t="shared" si="1"/>
        <v>3568</v>
      </c>
      <c r="BW65" s="32">
        <f t="shared" si="2"/>
        <v>611597</v>
      </c>
      <c r="BX65" s="32">
        <f t="shared" si="3"/>
        <v>56640959</v>
      </c>
      <c r="BY65" s="32">
        <f t="shared" si="4"/>
        <v>69890040</v>
      </c>
      <c r="BZ65" s="32">
        <f t="shared" si="5"/>
        <v>113345257</v>
      </c>
      <c r="CA65" s="32">
        <f t="shared" si="6"/>
        <v>168736643</v>
      </c>
      <c r="CB65" s="32">
        <f t="shared" si="7"/>
        <v>1238736</v>
      </c>
      <c r="CC65" s="32">
        <f t="shared" si="8"/>
        <v>15822455</v>
      </c>
      <c r="CD65" s="41">
        <f t="shared" si="62"/>
        <v>1</v>
      </c>
      <c r="CE65" s="44">
        <f t="shared" si="10"/>
        <v>14</v>
      </c>
      <c r="CF65" s="27"/>
      <c r="CG65" s="28">
        <f t="shared" si="11"/>
        <v>614.38768806053815</v>
      </c>
      <c r="CH65" s="28">
        <f t="shared" si="12"/>
        <v>5.833906968150596</v>
      </c>
      <c r="CI65" s="28">
        <f t="shared" si="13"/>
        <v>92.611571018170466</v>
      </c>
      <c r="CJ65" s="28">
        <f t="shared" si="14"/>
        <v>185.32670533047087</v>
      </c>
      <c r="CK65" s="23">
        <f t="shared" si="15"/>
        <v>7.8289747071487961E-2</v>
      </c>
      <c r="CL65" s="29" t="str">
        <f t="shared" si="16"/>
        <v/>
      </c>
      <c r="CM65" s="29" t="str">
        <f t="shared" si="17"/>
        <v/>
      </c>
      <c r="CN65" s="29" t="str">
        <f t="shared" si="18"/>
        <v/>
      </c>
      <c r="CO65" s="29" t="str">
        <f t="shared" si="19"/>
        <v/>
      </c>
      <c r="CP65" s="29" t="str">
        <f t="shared" si="20"/>
        <v/>
      </c>
      <c r="CQ65" s="29">
        <f t="shared" si="21"/>
        <v>0</v>
      </c>
      <c r="CR65" s="30"/>
      <c r="CS65" s="7">
        <f>VLOOKUP(A65,'Empresas 21-23'!$A$2:$M$228,13,0)</f>
        <v>1</v>
      </c>
      <c r="CT65" s="30"/>
      <c r="CU65" s="6">
        <f t="shared" si="22"/>
        <v>1974246698</v>
      </c>
      <c r="CV65" s="6">
        <f t="shared" si="23"/>
        <v>113345257</v>
      </c>
      <c r="CW65" s="6">
        <f t="shared" si="24"/>
        <v>488409652</v>
      </c>
      <c r="CX65" s="23">
        <f t="shared" si="60"/>
        <v>0.31132803066370618</v>
      </c>
      <c r="CY65" s="23">
        <f t="shared" si="61"/>
        <v>1.7873934236602509E-2</v>
      </c>
      <c r="CZ65" s="6">
        <f t="shared" si="27"/>
        <v>2126302313.114306</v>
      </c>
      <c r="DA65" s="6">
        <f t="shared" si="28"/>
        <v>122075059.00036992</v>
      </c>
      <c r="DB65" s="6">
        <f t="shared" si="29"/>
        <v>56640959</v>
      </c>
      <c r="DC65" s="6">
        <f t="shared" si="30"/>
        <v>58112000</v>
      </c>
      <c r="DD65" s="6">
        <f t="shared" si="31"/>
        <v>69890040</v>
      </c>
      <c r="DE65" s="6">
        <f t="shared" si="32"/>
        <v>168736643</v>
      </c>
      <c r="DF65" s="6">
        <f t="shared" si="33"/>
        <v>81326832.222988933</v>
      </c>
      <c r="DG65" s="30"/>
      <c r="DH65" s="32">
        <f>VLOOKUP(A65,'T_med_comp-USA'!$A$7:$Q$233,17,0)</f>
        <v>14.93315132486731</v>
      </c>
      <c r="DI65" s="6" t="str">
        <f t="shared" si="34"/>
        <v>1_2008</v>
      </c>
      <c r="DJ65" s="32">
        <f>IF(DI65="","",VLOOKUP(DI65,'CPI USA'!$T:$U,2,FALSE))</f>
        <v>215.303</v>
      </c>
      <c r="DK65" s="32">
        <f>IF(DI65="","",VLOOKUP(DI65,'PPI USA'!$S:$T,2,FALSE))</f>
        <v>159.30000000000001</v>
      </c>
      <c r="DL65" s="32">
        <f>IF(DI65="","",VLOOKUP(DI65,'CPI USA'!$T:$V,3,FALSE))</f>
        <v>0.67018812038291731</v>
      </c>
      <c r="DM65" s="32">
        <f>IF(DI65="","",VLOOKUP(DI65,'CPI USA'!$T:$X,5,FALSE))</f>
        <v>0.49838492968660258</v>
      </c>
      <c r="DN65" s="32">
        <f t="shared" si="35"/>
        <v>1.4884333659448254</v>
      </c>
      <c r="DO65" s="32">
        <f t="shared" si="36"/>
        <v>1.5036496327119213</v>
      </c>
      <c r="DP65" s="32">
        <f t="shared" si="37"/>
        <v>0.49278409993022892</v>
      </c>
      <c r="DQ65" s="32">
        <f>IF(DP65="","",DP65*$DO$1/'CPI USA'!$U$520+(1-DP65)*AVERAGE($DO$1,$DQ$1)/AVERAGE('CPI USA'!$U$520,'PPI USA'!$T$526))</f>
        <v>1.0756140750526131</v>
      </c>
      <c r="DR65" s="6">
        <f t="shared" si="38"/>
        <v>14997579</v>
      </c>
      <c r="DS65" s="32">
        <f t="shared" si="39"/>
        <v>0.21458821600331035</v>
      </c>
      <c r="DT65" s="28">
        <f>IF(DS65="","",DS65*$DO$1/'CPI USA'!$U$520+(1-DS65)*AVERAGE($DO$1,$DQ$1)/AVERAGE('CPI USA'!$U$520,'PPI USA'!$T$526))</f>
        <v>1.0849723253809644</v>
      </c>
      <c r="DU65" s="6">
        <f t="shared" si="40"/>
        <v>84829700</v>
      </c>
      <c r="DV65" s="6">
        <f t="shared" si="57"/>
        <v>49946024.214778535</v>
      </c>
      <c r="DW65" s="6">
        <f t="shared" si="41"/>
        <v>34764351.841828875</v>
      </c>
      <c r="DX65" s="16">
        <f t="shared" si="42"/>
        <v>0.42746472340775515</v>
      </c>
      <c r="DY65" s="28">
        <f>IF(DX65="","",DX65*$DO$1/'CPI USA'!$U$520+(1-DX65)*AVERAGE($DO$1,$DQ$1)/AVERAGE('CPI USA'!$U$520,'PPI USA'!$T$526))</f>
        <v>1.0778113580179847</v>
      </c>
      <c r="DZ65" s="30"/>
      <c r="EA65" s="29" t="str">
        <f t="shared" si="43"/>
        <v>C000620</v>
      </c>
      <c r="EB65" s="29">
        <f t="shared" si="44"/>
        <v>3164859308.9249945</v>
      </c>
      <c r="EC65" s="29">
        <f t="shared" si="45"/>
        <v>183558117.62919235</v>
      </c>
      <c r="ED65" s="29">
        <f t="shared" si="46"/>
        <v>62506085.129457451</v>
      </c>
      <c r="EE65" s="29">
        <f t="shared" si="47"/>
        <v>75828759.219768614</v>
      </c>
      <c r="EF65" s="29">
        <f t="shared" si="48"/>
        <v>87654983.481560498</v>
      </c>
      <c r="EG65" s="29">
        <f t="shared" si="49"/>
        <v>3568</v>
      </c>
      <c r="EH65" s="29">
        <f t="shared" si="50"/>
        <v>611597</v>
      </c>
      <c r="EI65" s="29">
        <f t="shared" si="51"/>
        <v>1238736</v>
      </c>
      <c r="EJ65" s="29">
        <f t="shared" si="52"/>
        <v>15822455</v>
      </c>
      <c r="EK65" s="29">
        <f t="shared" si="53"/>
        <v>17041117.923857868</v>
      </c>
      <c r="EL65" s="29">
        <f>IF(CD65=1,VLOOKUP(EA65,'EIA 2022'!$A$2:$J$213,4,0)*EH65,"")</f>
        <v>92767032.960000008</v>
      </c>
      <c r="EM65" s="29">
        <f>IF(CD65=1,VLOOKUP(EA65,'EIA 2022'!$A$2:$J$213,7,0)*EH65,"")</f>
        <v>715568.49</v>
      </c>
      <c r="EN65" s="29">
        <f>IF(CD65=1,VLOOKUP(EA65,'EIA 2022'!$A$2:$J$213,10,0),"")</f>
        <v>591216</v>
      </c>
      <c r="EO65" s="28">
        <f>IF(CD65=1,VLOOKUP(EA65,'EIA 2022'!$A$2:$Z$213,26,0),"")</f>
        <v>0</v>
      </c>
      <c r="EP65" s="23">
        <f t="shared" si="54"/>
        <v>7.1513085544212929E-2</v>
      </c>
      <c r="EQ65" s="32">
        <f t="shared" si="55"/>
        <v>20073.076142132049</v>
      </c>
      <c r="ER65" s="32">
        <f t="shared" si="56"/>
        <v>1218662.923857868</v>
      </c>
      <c r="ES65" s="32"/>
      <c r="ET65" s="32"/>
    </row>
    <row r="66" spans="1:150" ht="15.75" customHeight="1">
      <c r="A66" s="7" t="s">
        <v>399</v>
      </c>
      <c r="B66" s="7" t="s">
        <v>400</v>
      </c>
      <c r="C66" s="32" t="s">
        <v>935</v>
      </c>
      <c r="D66" s="42">
        <v>159911082</v>
      </c>
      <c r="E66" s="42">
        <v>0</v>
      </c>
      <c r="F66" s="42">
        <v>0</v>
      </c>
      <c r="G66" s="42">
        <v>309169320</v>
      </c>
      <c r="H66" s="42">
        <v>309566562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2">
        <v>0</v>
      </c>
      <c r="O66" s="42">
        <v>0</v>
      </c>
      <c r="P66" s="42">
        <v>0</v>
      </c>
      <c r="Q66" s="42">
        <v>0</v>
      </c>
      <c r="R66" s="42">
        <v>0</v>
      </c>
      <c r="S66" s="42">
        <v>0</v>
      </c>
      <c r="T66" s="42">
        <v>0</v>
      </c>
      <c r="U66" s="42">
        <v>0</v>
      </c>
      <c r="V66" s="42">
        <v>0</v>
      </c>
      <c r="W66" s="42">
        <v>0</v>
      </c>
      <c r="X66" s="42">
        <f>IFERROR(VLOOKUP(A66,'Trans 21-23'!$A$2:$J$229,8,0),0)</f>
        <v>0</v>
      </c>
      <c r="Y66" s="42">
        <v>0</v>
      </c>
      <c r="Z66" s="42">
        <v>0</v>
      </c>
      <c r="AA66" s="42">
        <v>0</v>
      </c>
      <c r="AB66" s="42">
        <v>0</v>
      </c>
      <c r="AC66" s="42">
        <v>0</v>
      </c>
      <c r="AD66" s="42">
        <v>35239867</v>
      </c>
      <c r="AE66" s="42">
        <v>0</v>
      </c>
      <c r="AF66" s="42">
        <v>583670332</v>
      </c>
      <c r="AG66" s="42">
        <v>14</v>
      </c>
      <c r="AH66" s="42">
        <v>31154</v>
      </c>
      <c r="AI66" s="42">
        <v>11129034</v>
      </c>
      <c r="AJ66" s="42">
        <v>0</v>
      </c>
      <c r="AK66" s="42">
        <v>0</v>
      </c>
      <c r="AL66" s="42">
        <v>0</v>
      </c>
      <c r="AM66" s="42">
        <v>0</v>
      </c>
      <c r="AN66" s="42">
        <v>112480</v>
      </c>
      <c r="AO66" s="42">
        <v>0</v>
      </c>
      <c r="AP66" s="42">
        <v>0</v>
      </c>
      <c r="AQ66" s="42">
        <v>112480</v>
      </c>
      <c r="AR66" s="42">
        <v>11047708</v>
      </c>
      <c r="AS66" s="42">
        <v>11160188</v>
      </c>
      <c r="AT66" s="42">
        <v>0</v>
      </c>
      <c r="AU66" s="42">
        <v>1008</v>
      </c>
      <c r="AV66" s="42">
        <v>0</v>
      </c>
      <c r="AW66" s="42">
        <v>0</v>
      </c>
      <c r="AX66" s="42">
        <v>0</v>
      </c>
      <c r="AY66" s="42">
        <v>0</v>
      </c>
      <c r="AZ66" s="42">
        <v>0</v>
      </c>
      <c r="BA66" s="42">
        <v>0</v>
      </c>
      <c r="BB66" s="42">
        <v>0</v>
      </c>
      <c r="BC66" s="42">
        <v>1474821799</v>
      </c>
      <c r="BD66" s="42">
        <v>12090319</v>
      </c>
      <c r="BE66" s="42">
        <v>0</v>
      </c>
      <c r="BF66" s="42">
        <v>0</v>
      </c>
      <c r="BG66" s="42">
        <v>0</v>
      </c>
      <c r="BH66" s="42">
        <v>0</v>
      </c>
      <c r="BI66" s="42">
        <v>0</v>
      </c>
      <c r="BJ66" s="42">
        <v>0</v>
      </c>
      <c r="BK66" s="42">
        <v>0</v>
      </c>
      <c r="BL66" s="42">
        <v>0</v>
      </c>
      <c r="BM66" s="42">
        <v>5419564</v>
      </c>
      <c r="BN66" s="42">
        <v>31330752</v>
      </c>
      <c r="BO66" s="42">
        <v>0</v>
      </c>
      <c r="BP66" s="42">
        <v>0</v>
      </c>
      <c r="BQ66" s="42">
        <v>31516168</v>
      </c>
      <c r="BR66" s="42">
        <v>0</v>
      </c>
      <c r="BS66" s="42">
        <f>IFERROR(VLOOKUP(A66,'Trans 21-23'!$A$2:$J$229,7,0),0)</f>
        <v>0</v>
      </c>
      <c r="BT66" s="63"/>
      <c r="BU66" s="32">
        <f t="shared" si="0"/>
        <v>0</v>
      </c>
      <c r="BV66" s="32">
        <f t="shared" si="1"/>
        <v>1008</v>
      </c>
      <c r="BW66" s="32">
        <f t="shared" si="2"/>
        <v>14</v>
      </c>
      <c r="BX66" s="32">
        <f t="shared" si="3"/>
        <v>0</v>
      </c>
      <c r="BY66" s="32">
        <f t="shared" si="4"/>
        <v>0</v>
      </c>
      <c r="BZ66" s="32">
        <f t="shared" si="5"/>
        <v>0</v>
      </c>
      <c r="CA66" s="32">
        <f t="shared" si="6"/>
        <v>35239867</v>
      </c>
      <c r="CB66" s="32">
        <f t="shared" si="7"/>
        <v>31154</v>
      </c>
      <c r="CC66" s="32">
        <f t="shared" si="8"/>
        <v>112480</v>
      </c>
      <c r="CD66" s="41">
        <f t="shared" si="62"/>
        <v>0</v>
      </c>
      <c r="CE66" s="44">
        <f t="shared" si="10"/>
        <v>50</v>
      </c>
      <c r="CF66" s="27"/>
      <c r="CG66" s="28" t="str">
        <f t="shared" si="11"/>
        <v/>
      </c>
      <c r="CH66" s="28" t="str">
        <f t="shared" si="12"/>
        <v/>
      </c>
      <c r="CI66" s="28" t="str">
        <f t="shared" si="13"/>
        <v/>
      </c>
      <c r="CJ66" s="28" t="str">
        <f t="shared" si="14"/>
        <v/>
      </c>
      <c r="CK66" s="23" t="str">
        <f t="shared" si="15"/>
        <v/>
      </c>
      <c r="CL66" s="29" t="str">
        <f t="shared" si="16"/>
        <v/>
      </c>
      <c r="CM66" s="29" t="str">
        <f t="shared" si="17"/>
        <v/>
      </c>
      <c r="CN66" s="29" t="str">
        <f t="shared" si="18"/>
        <v/>
      </c>
      <c r="CO66" s="29" t="str">
        <f t="shared" si="19"/>
        <v/>
      </c>
      <c r="CP66" s="29" t="str">
        <f t="shared" si="20"/>
        <v/>
      </c>
      <c r="CQ66" s="29" t="str">
        <f t="shared" si="21"/>
        <v/>
      </c>
      <c r="CR66" s="30"/>
      <c r="CS66" s="7" t="str">
        <f>VLOOKUP(A66,'Empresas 21-23'!$A$2:$M$228,13,0)</f>
        <v/>
      </c>
      <c r="CT66" s="30"/>
      <c r="CU66" s="6">
        <f t="shared" si="22"/>
        <v>0</v>
      </c>
      <c r="CV66" s="6">
        <f t="shared" si="23"/>
        <v>0</v>
      </c>
      <c r="CW66" s="6">
        <f t="shared" si="24"/>
        <v>12090319</v>
      </c>
      <c r="CX66" s="23">
        <f t="shared" si="60"/>
        <v>0</v>
      </c>
      <c r="CY66" s="23">
        <f t="shared" si="61"/>
        <v>0</v>
      </c>
      <c r="CZ66" s="6">
        <f t="shared" si="27"/>
        <v>0</v>
      </c>
      <c r="DA66" s="6">
        <f t="shared" si="28"/>
        <v>0</v>
      </c>
      <c r="DB66" s="6">
        <f t="shared" si="29"/>
        <v>0</v>
      </c>
      <c r="DC66" s="6">
        <f t="shared" si="30"/>
        <v>0</v>
      </c>
      <c r="DD66" s="6">
        <f t="shared" si="31"/>
        <v>0</v>
      </c>
      <c r="DE66" s="6">
        <f t="shared" si="32"/>
        <v>35239867</v>
      </c>
      <c r="DF66" s="6">
        <f t="shared" si="33"/>
        <v>0</v>
      </c>
      <c r="DG66" s="30"/>
      <c r="DH66" s="32" t="str">
        <f>VLOOKUP(A66,'T_med_comp-USA'!$A$7:$Q$233,17,0)</f>
        <v>-</v>
      </c>
      <c r="DI66" s="6" t="str">
        <f t="shared" si="34"/>
        <v/>
      </c>
      <c r="DJ66" s="32" t="str">
        <f>IF(DI66="","",VLOOKUP(DI66,'CPI USA'!$T:$U,2,FALSE))</f>
        <v/>
      </c>
      <c r="DK66" s="32" t="str">
        <f>IF(DI66="","",VLOOKUP(DI66,'PPI USA'!$S:$T,2,FALSE))</f>
        <v/>
      </c>
      <c r="DL66" s="32" t="str">
        <f>IF(DI66="","",VLOOKUP(DI66,'CPI USA'!$T:$V,3,FALSE))</f>
        <v/>
      </c>
      <c r="DM66" s="32" t="str">
        <f>IF(DI66="","",VLOOKUP(DI66,'CPI USA'!$T:$X,5,FALSE))</f>
        <v/>
      </c>
      <c r="DN66" s="32" t="str">
        <f t="shared" si="35"/>
        <v/>
      </c>
      <c r="DO66" s="32" t="str">
        <f t="shared" si="36"/>
        <v/>
      </c>
      <c r="DP66" s="32" t="str">
        <f t="shared" si="37"/>
        <v/>
      </c>
      <c r="DQ66" s="32" t="str">
        <f>IF(DP66="","",DP66*$DO$1/'CPI USA'!$U$520+(1-DP66)*AVERAGE($DO$1,$DQ$1)/AVERAGE('CPI USA'!$U$520,'PPI USA'!$T$526))</f>
        <v/>
      </c>
      <c r="DR66" s="6">
        <f t="shared" si="38"/>
        <v>0</v>
      </c>
      <c r="DS66" s="32" t="str">
        <f t="shared" si="39"/>
        <v/>
      </c>
      <c r="DT66" s="28" t="str">
        <f>IF(DS66="","",DS66*$DO$1/'CPI USA'!$U$520+(1-DS66)*AVERAGE($DO$1,$DQ$1)/AVERAGE('CPI USA'!$U$520,'PPI USA'!$T$526))</f>
        <v/>
      </c>
      <c r="DU66" s="6" t="str">
        <f t="shared" si="40"/>
        <v/>
      </c>
      <c r="DV66" s="6">
        <f t="shared" si="57"/>
        <v>0</v>
      </c>
      <c r="DW66" s="6">
        <f t="shared" si="41"/>
        <v>0</v>
      </c>
      <c r="DX66" s="16" t="str">
        <f t="shared" si="42"/>
        <v/>
      </c>
      <c r="DY66" s="28" t="str">
        <f>IF(DX66="","",DX66*$DO$1/'CPI USA'!$U$520+(1-DX66)*AVERAGE($DO$1,$DQ$1)/AVERAGE('CPI USA'!$U$520,'PPI USA'!$T$526))</f>
        <v/>
      </c>
      <c r="DZ66" s="30"/>
      <c r="EA66" s="29" t="str">
        <f t="shared" si="43"/>
        <v>C000622</v>
      </c>
      <c r="EB66" s="29" t="str">
        <f t="shared" si="44"/>
        <v/>
      </c>
      <c r="EC66" s="29" t="str">
        <f t="shared" si="45"/>
        <v/>
      </c>
      <c r="ED66" s="29" t="str">
        <f t="shared" si="46"/>
        <v/>
      </c>
      <c r="EE66" s="29" t="str">
        <f t="shared" si="47"/>
        <v/>
      </c>
      <c r="EF66" s="29" t="str">
        <f t="shared" si="48"/>
        <v/>
      </c>
      <c r="EG66" s="29" t="str">
        <f t="shared" si="49"/>
        <v/>
      </c>
      <c r="EH66" s="29" t="str">
        <f t="shared" si="50"/>
        <v/>
      </c>
      <c r="EI66" s="29" t="str">
        <f t="shared" si="51"/>
        <v/>
      </c>
      <c r="EJ66" s="29" t="str">
        <f t="shared" si="52"/>
        <v/>
      </c>
      <c r="EK66" s="29" t="str">
        <f t="shared" si="53"/>
        <v/>
      </c>
      <c r="EL66" s="29" t="str">
        <f>IF(CD66=1,VLOOKUP(EA66,'EIA 2022'!$A$2:$J$213,4,0)*EH66,"")</f>
        <v/>
      </c>
      <c r="EM66" s="29" t="str">
        <f>IF(CD66=1,VLOOKUP(EA66,'EIA 2022'!$A$2:$J$213,7,0)*EH66,"")</f>
        <v/>
      </c>
      <c r="EN66" s="29" t="str">
        <f>IF(CD66=1,VLOOKUP(EA66,'EIA 2022'!$A$2:$J$213,10,0),"")</f>
        <v/>
      </c>
      <c r="EO66" s="28" t="str">
        <f>IF(CD66=1,VLOOKUP(EA66,'EIA 2022'!$A$2:$Z$213,26,0),"")</f>
        <v/>
      </c>
      <c r="EP66" s="23" t="str">
        <f t="shared" si="54"/>
        <v/>
      </c>
      <c r="EQ66" s="32" t="str">
        <f t="shared" si="55"/>
        <v/>
      </c>
      <c r="ER66" s="32" t="str">
        <f t="shared" si="56"/>
        <v/>
      </c>
      <c r="ES66" s="32"/>
      <c r="ET66" s="32"/>
    </row>
    <row r="67" spans="1:150" ht="15.75" customHeight="1">
      <c r="A67" s="7" t="s">
        <v>402</v>
      </c>
      <c r="B67" s="7" t="s">
        <v>403</v>
      </c>
      <c r="C67" s="32" t="s">
        <v>936</v>
      </c>
      <c r="D67" s="42">
        <v>324385249</v>
      </c>
      <c r="E67" s="42">
        <v>0</v>
      </c>
      <c r="F67" s="42">
        <v>3217502</v>
      </c>
      <c r="G67" s="42">
        <v>1889131843</v>
      </c>
      <c r="H67" s="42">
        <v>1898427109</v>
      </c>
      <c r="I67" s="42">
        <v>26619927</v>
      </c>
      <c r="J67" s="42">
        <v>5744860</v>
      </c>
      <c r="K67" s="42">
        <v>1943130</v>
      </c>
      <c r="L67" s="42">
        <v>5148721</v>
      </c>
      <c r="M67" s="42">
        <v>6592023</v>
      </c>
      <c r="N67" s="42">
        <v>4382846</v>
      </c>
      <c r="O67" s="42">
        <v>92180160</v>
      </c>
      <c r="P67" s="42">
        <v>649730</v>
      </c>
      <c r="Q67" s="42">
        <v>351171</v>
      </c>
      <c r="R67" s="42">
        <v>31</v>
      </c>
      <c r="S67" s="42">
        <v>7611857</v>
      </c>
      <c r="T67" s="42">
        <v>148384437</v>
      </c>
      <c r="U67" s="42">
        <v>16829313</v>
      </c>
      <c r="V67" s="42">
        <v>96750</v>
      </c>
      <c r="W67" s="42">
        <v>5759613</v>
      </c>
      <c r="X67" s="42">
        <f>IFERROR(VLOOKUP(A67,'Trans 21-23'!$A$2:$J$229,8,0),0)</f>
        <v>0</v>
      </c>
      <c r="Y67" s="42">
        <v>12703426</v>
      </c>
      <c r="Z67" s="42">
        <v>1838743</v>
      </c>
      <c r="AA67" s="42">
        <v>58259861</v>
      </c>
      <c r="AB67" s="42">
        <v>213862773</v>
      </c>
      <c r="AC67" s="42">
        <v>0</v>
      </c>
      <c r="AD67" s="42">
        <v>655210335</v>
      </c>
      <c r="AE67" s="42">
        <v>0</v>
      </c>
      <c r="AF67" s="42">
        <v>3652910776</v>
      </c>
      <c r="AG67" s="42">
        <v>914421</v>
      </c>
      <c r="AH67" s="42">
        <v>94140</v>
      </c>
      <c r="AI67" s="42">
        <v>19355412</v>
      </c>
      <c r="AJ67" s="42">
        <v>76777</v>
      </c>
      <c r="AK67" s="42">
        <v>0</v>
      </c>
      <c r="AL67" s="42">
        <v>3939825</v>
      </c>
      <c r="AM67" s="42">
        <v>2849673</v>
      </c>
      <c r="AN67" s="42">
        <v>909217</v>
      </c>
      <c r="AO67" s="42">
        <v>101297</v>
      </c>
      <c r="AP67" s="42">
        <v>0</v>
      </c>
      <c r="AQ67" s="42">
        <v>7800012</v>
      </c>
      <c r="AR67" s="42">
        <v>11384483</v>
      </c>
      <c r="AS67" s="42">
        <v>19184495</v>
      </c>
      <c r="AT67" s="42">
        <v>0</v>
      </c>
      <c r="AU67" s="42">
        <v>4816</v>
      </c>
      <c r="AV67" s="42">
        <v>0</v>
      </c>
      <c r="AW67" s="42">
        <v>1334753527</v>
      </c>
      <c r="AX67" s="42">
        <v>1841340855</v>
      </c>
      <c r="AY67" s="42">
        <v>2189759586</v>
      </c>
      <c r="AZ67" s="42">
        <v>301310883</v>
      </c>
      <c r="BA67" s="42">
        <v>38827332</v>
      </c>
      <c r="BB67" s="42">
        <v>9597634746</v>
      </c>
      <c r="BC67" s="42">
        <v>19397295139</v>
      </c>
      <c r="BD67" s="42">
        <v>571823009</v>
      </c>
      <c r="BE67" s="42">
        <v>3709959102</v>
      </c>
      <c r="BF67" s="42">
        <v>353103729</v>
      </c>
      <c r="BG67" s="42">
        <v>0</v>
      </c>
      <c r="BH67" s="42">
        <v>74338204</v>
      </c>
      <c r="BI67" s="42">
        <v>18524105</v>
      </c>
      <c r="BJ67" s="42">
        <v>17194041</v>
      </c>
      <c r="BK67" s="42">
        <v>0</v>
      </c>
      <c r="BL67" s="42">
        <v>0</v>
      </c>
      <c r="BM67" s="42">
        <v>52625631</v>
      </c>
      <c r="BN67" s="42">
        <v>206595221</v>
      </c>
      <c r="BO67" s="42">
        <v>53258995</v>
      </c>
      <c r="BP67" s="42">
        <v>872369</v>
      </c>
      <c r="BQ67" s="42">
        <v>402557586</v>
      </c>
      <c r="BR67" s="42">
        <v>0</v>
      </c>
      <c r="BS67" s="42">
        <f>IFERROR(VLOOKUP(A67,'Trans 21-23'!$A$2:$J$229,7,0),0)</f>
        <v>0</v>
      </c>
      <c r="BT67" s="63"/>
      <c r="BU67" s="32">
        <f t="shared" si="0"/>
        <v>9597634746</v>
      </c>
      <c r="BV67" s="32">
        <f t="shared" si="1"/>
        <v>4816</v>
      </c>
      <c r="BW67" s="32">
        <f t="shared" si="2"/>
        <v>914421</v>
      </c>
      <c r="BX67" s="32">
        <f t="shared" si="3"/>
        <v>322294569</v>
      </c>
      <c r="BY67" s="32">
        <f t="shared" si="4"/>
        <v>286664803</v>
      </c>
      <c r="BZ67" s="32">
        <f t="shared" si="5"/>
        <v>301310883</v>
      </c>
      <c r="CA67" s="32">
        <f t="shared" si="6"/>
        <v>655210335</v>
      </c>
      <c r="CB67" s="32">
        <f t="shared" si="7"/>
        <v>94140</v>
      </c>
      <c r="CC67" s="32">
        <f t="shared" si="8"/>
        <v>7800012</v>
      </c>
      <c r="CD67" s="41">
        <f t="shared" si="62"/>
        <v>1</v>
      </c>
      <c r="CE67" s="44">
        <f t="shared" si="10"/>
        <v>13</v>
      </c>
      <c r="CF67" s="27"/>
      <c r="CG67" s="28">
        <f t="shared" si="11"/>
        <v>1992.8643575581395</v>
      </c>
      <c r="CH67" s="28">
        <f t="shared" si="12"/>
        <v>5.2667206899229129</v>
      </c>
      <c r="CI67" s="28">
        <f t="shared" si="13"/>
        <v>352.45753214329068</v>
      </c>
      <c r="CJ67" s="28">
        <f t="shared" si="14"/>
        <v>329.51002109531606</v>
      </c>
      <c r="CK67" s="23">
        <f t="shared" si="15"/>
        <v>1.2069212201211998E-2</v>
      </c>
      <c r="CL67" s="29" t="str">
        <f t="shared" si="16"/>
        <v/>
      </c>
      <c r="CM67" s="29" t="str">
        <f t="shared" si="17"/>
        <v/>
      </c>
      <c r="CN67" s="29" t="str">
        <f t="shared" si="18"/>
        <v/>
      </c>
      <c r="CO67" s="29" t="str">
        <f t="shared" si="19"/>
        <v/>
      </c>
      <c r="CP67" s="29" t="str">
        <f t="shared" si="20"/>
        <v/>
      </c>
      <c r="CQ67" s="29">
        <f t="shared" si="21"/>
        <v>0</v>
      </c>
      <c r="CR67" s="30"/>
      <c r="CS67" s="7">
        <f>VLOOKUP(A67,'Empresas 21-23'!$A$2:$M$228,13,0)</f>
        <v>1</v>
      </c>
      <c r="CT67" s="30"/>
      <c r="CU67" s="6">
        <f t="shared" si="22"/>
        <v>6838836266.3999996</v>
      </c>
      <c r="CV67" s="6">
        <f t="shared" si="23"/>
        <v>301310883</v>
      </c>
      <c r="CW67" s="6">
        <f t="shared" si="24"/>
        <v>571823009</v>
      </c>
      <c r="CX67" s="23">
        <f t="shared" si="60"/>
        <v>0.36327568409302891</v>
      </c>
      <c r="CY67" s="23">
        <f t="shared" si="61"/>
        <v>1.6005488782394751E-2</v>
      </c>
      <c r="CZ67" s="6">
        <f t="shared" si="27"/>
        <v>7046565661.1746092</v>
      </c>
      <c r="DA67" s="6">
        <f t="shared" si="28"/>
        <v>310463189.75606471</v>
      </c>
      <c r="DB67" s="6">
        <f t="shared" si="29"/>
        <v>322294569</v>
      </c>
      <c r="DC67" s="6">
        <f t="shared" si="30"/>
        <v>322294569</v>
      </c>
      <c r="DD67" s="6">
        <f t="shared" si="31"/>
        <v>286664803</v>
      </c>
      <c r="DE67" s="6">
        <f t="shared" si="32"/>
        <v>655210335</v>
      </c>
      <c r="DF67" s="6">
        <f t="shared" si="33"/>
        <v>517055443.02654922</v>
      </c>
      <c r="DG67" s="30"/>
      <c r="DH67" s="32">
        <f>VLOOKUP(A67,'T_med_comp-USA'!$A$7:$Q$233,17,0)</f>
        <v>10.464831168647338</v>
      </c>
      <c r="DI67" s="6" t="str">
        <f t="shared" si="34"/>
        <v>7_2012</v>
      </c>
      <c r="DJ67" s="32">
        <f>IF(DI67="","",VLOOKUP(DI67,'CPI USA'!$T:$U,2,FALSE))</f>
        <v>229.59399999999999</v>
      </c>
      <c r="DK67" s="32">
        <f>IF(DI67="","",VLOOKUP(DI67,'PPI USA'!$S:$T,2,FALSE))</f>
        <v>175.1</v>
      </c>
      <c r="DL67" s="32">
        <f>IF(DI67="","",VLOOKUP(DI67,'CPI USA'!$T:$V,3,FALSE))</f>
        <v>0.66730871354337351</v>
      </c>
      <c r="DM67" s="32">
        <f>IF(DI67="","",VLOOKUP(DI67,'CPI USA'!$T:$X,5,FALSE))</f>
        <v>0.49513551903851311</v>
      </c>
      <c r="DN67" s="32">
        <f t="shared" si="35"/>
        <v>1.3897894616766442</v>
      </c>
      <c r="DO67" s="32">
        <f t="shared" si="36"/>
        <v>1.4008620811189902</v>
      </c>
      <c r="DP67" s="32">
        <f t="shared" si="37"/>
        <v>0.29011392413325371</v>
      </c>
      <c r="DQ67" s="32">
        <f>IF(DP67="","",DP67*$DO$1/'CPI USA'!$U$520+(1-DP67)*AVERAGE($DO$1,$DQ$1)/AVERAGE('CPI USA'!$U$520,'PPI USA'!$T$526))</f>
        <v>1.082431710929991</v>
      </c>
      <c r="DR67" s="6">
        <f t="shared" si="38"/>
        <v>35718146</v>
      </c>
      <c r="DS67" s="32">
        <f t="shared" si="39"/>
        <v>0.2</v>
      </c>
      <c r="DT67" s="28">
        <f>IF(DS67="","",DS67*$DO$1/'CPI USA'!$U$520+(1-DS67)*AVERAGE($DO$1,$DQ$1)/AVERAGE('CPI USA'!$U$520,'PPI USA'!$T$526))</f>
        <v>1.0854630593748538</v>
      </c>
      <c r="DU67" s="6">
        <f t="shared" si="40"/>
        <v>66192199.50402578</v>
      </c>
      <c r="DV67" s="6">
        <f t="shared" si="57"/>
        <v>114290.91026229876</v>
      </c>
      <c r="DW67" s="6">
        <f t="shared" si="41"/>
        <v>35322454.609472953</v>
      </c>
      <c r="DX67" s="16">
        <f t="shared" si="42"/>
        <v>0.2</v>
      </c>
      <c r="DY67" s="28">
        <f>IF(DX67="","",DX67*$DO$1/'CPI USA'!$U$520+(1-DX67)*AVERAGE($DO$1,$DQ$1)/AVERAGE('CPI USA'!$U$520,'PPI USA'!$T$526))</f>
        <v>1.0854630593748538</v>
      </c>
      <c r="DZ67" s="30"/>
      <c r="EA67" s="29" t="str">
        <f t="shared" si="43"/>
        <v>C000685</v>
      </c>
      <c r="EB67" s="29">
        <f t="shared" si="44"/>
        <v>9793242696.9129868</v>
      </c>
      <c r="EC67" s="29">
        <f t="shared" si="45"/>
        <v>434916110.11252081</v>
      </c>
      <c r="ED67" s="29">
        <f t="shared" si="46"/>
        <v>348861861.74611402</v>
      </c>
      <c r="EE67" s="29">
        <f t="shared" si="47"/>
        <v>311164054.07946974</v>
      </c>
      <c r="EF67" s="29">
        <f t="shared" si="48"/>
        <v>561244583.0540185</v>
      </c>
      <c r="EG67" s="29">
        <f t="shared" si="49"/>
        <v>4816</v>
      </c>
      <c r="EH67" s="29">
        <f t="shared" si="50"/>
        <v>914421</v>
      </c>
      <c r="EI67" s="29">
        <f t="shared" si="51"/>
        <v>94140</v>
      </c>
      <c r="EJ67" s="29">
        <f t="shared" si="52"/>
        <v>7800012</v>
      </c>
      <c r="EK67" s="29">
        <f t="shared" si="53"/>
        <v>7720784.2385786809</v>
      </c>
      <c r="EL67" s="29">
        <f>IF(CD67=1,VLOOKUP(EA67,'EIA 2022'!$A$2:$J$213,4,0)*EH67,"")</f>
        <v>64366094.189999998</v>
      </c>
      <c r="EM67" s="29">
        <f>IF(CD67=1,VLOOKUP(EA67,'EIA 2022'!$A$2:$J$213,7,0)*EH67,"")</f>
        <v>540422.81099999999</v>
      </c>
      <c r="EN67" s="29">
        <f>IF(CD67=1,VLOOKUP(EA67,'EIA 2022'!$A$2:$J$213,10,0),"")</f>
        <v>1506841</v>
      </c>
      <c r="EO67" s="28">
        <f>IF(CD67=1,VLOOKUP(EA67,'EIA 2022'!$A$2:$Z$213,26,0),"")</f>
        <v>0</v>
      </c>
      <c r="EP67" s="23">
        <f t="shared" si="54"/>
        <v>-1.0261620966616227E-2</v>
      </c>
      <c r="EQ67" s="32">
        <f t="shared" si="55"/>
        <v>173367.7614213191</v>
      </c>
      <c r="ER67" s="32">
        <f t="shared" si="56"/>
        <v>-79227.761421319097</v>
      </c>
      <c r="ES67" s="32"/>
      <c r="ET67" s="32"/>
    </row>
    <row r="68" spans="1:150" ht="15.75" customHeight="1">
      <c r="A68" s="7" t="s">
        <v>405</v>
      </c>
      <c r="B68" s="7" t="s">
        <v>406</v>
      </c>
      <c r="C68" s="32" t="s">
        <v>937</v>
      </c>
      <c r="D68" s="42">
        <v>14059652</v>
      </c>
      <c r="E68" s="42">
        <v>0</v>
      </c>
      <c r="F68" s="42">
        <v>279466763</v>
      </c>
      <c r="G68" s="42">
        <v>237311051</v>
      </c>
      <c r="H68" s="42">
        <v>241148669</v>
      </c>
      <c r="I68" s="42">
        <v>1999232</v>
      </c>
      <c r="J68" s="42">
        <v>454357</v>
      </c>
      <c r="K68" s="42">
        <v>1608357</v>
      </c>
      <c r="L68" s="42">
        <v>2536872</v>
      </c>
      <c r="M68" s="42">
        <v>5148240</v>
      </c>
      <c r="N68" s="42">
        <v>0</v>
      </c>
      <c r="O68" s="42">
        <v>6836141</v>
      </c>
      <c r="P68" s="42">
        <v>384822</v>
      </c>
      <c r="Q68" s="42">
        <v>0</v>
      </c>
      <c r="R68" s="42">
        <v>15790</v>
      </c>
      <c r="S68" s="42">
        <v>2014503</v>
      </c>
      <c r="T68" s="42">
        <v>12723022</v>
      </c>
      <c r="U68" s="42">
        <v>159660</v>
      </c>
      <c r="V68" s="42">
        <v>0</v>
      </c>
      <c r="W68" s="42">
        <v>0</v>
      </c>
      <c r="X68" s="42">
        <f>IFERROR(VLOOKUP(A68,'Trans 21-23'!$A$2:$J$229,8,0),0)</f>
        <v>0</v>
      </c>
      <c r="Y68" s="42">
        <v>1026021</v>
      </c>
      <c r="Z68" s="42">
        <v>0</v>
      </c>
      <c r="AA68" s="42">
        <v>13543998</v>
      </c>
      <c r="AB68" s="42">
        <v>21729791</v>
      </c>
      <c r="AC68" s="42">
        <v>1009</v>
      </c>
      <c r="AD68" s="42">
        <v>89863945</v>
      </c>
      <c r="AE68" s="42">
        <v>0</v>
      </c>
      <c r="AF68" s="42">
        <v>922086723</v>
      </c>
      <c r="AG68" s="42">
        <v>490671</v>
      </c>
      <c r="AH68" s="42">
        <v>403080</v>
      </c>
      <c r="AI68" s="42">
        <v>16968911</v>
      </c>
      <c r="AJ68" s="42">
        <v>25135</v>
      </c>
      <c r="AK68" s="42">
        <v>0</v>
      </c>
      <c r="AL68" s="42">
        <v>3686150</v>
      </c>
      <c r="AM68" s="42">
        <v>2387200</v>
      </c>
      <c r="AN68" s="42">
        <v>5066089</v>
      </c>
      <c r="AO68" s="42">
        <v>29226</v>
      </c>
      <c r="AP68" s="42">
        <v>0</v>
      </c>
      <c r="AQ68" s="42">
        <v>11168665</v>
      </c>
      <c r="AR68" s="42">
        <v>5372031</v>
      </c>
      <c r="AS68" s="42">
        <v>16540695</v>
      </c>
      <c r="AT68" s="42">
        <v>0</v>
      </c>
      <c r="AU68" s="42">
        <v>2800</v>
      </c>
      <c r="AV68" s="42">
        <v>0</v>
      </c>
      <c r="AW68" s="42">
        <v>561136580</v>
      </c>
      <c r="AX68" s="42">
        <v>65404675</v>
      </c>
      <c r="AY68" s="42">
        <v>705365686</v>
      </c>
      <c r="AZ68" s="42">
        <v>122900814</v>
      </c>
      <c r="BA68" s="42">
        <v>30590382</v>
      </c>
      <c r="BB68" s="42">
        <v>3038290907</v>
      </c>
      <c r="BC68" s="42">
        <v>8029794797</v>
      </c>
      <c r="BD68" s="42">
        <v>154863422</v>
      </c>
      <c r="BE68" s="42">
        <v>817886377</v>
      </c>
      <c r="BF68" s="42">
        <v>61898675</v>
      </c>
      <c r="BG68" s="42">
        <v>0</v>
      </c>
      <c r="BH68" s="42">
        <v>15326112</v>
      </c>
      <c r="BI68" s="42">
        <v>1896760</v>
      </c>
      <c r="BJ68" s="42">
        <v>3164261</v>
      </c>
      <c r="BK68" s="42">
        <v>0</v>
      </c>
      <c r="BL68" s="42">
        <v>0</v>
      </c>
      <c r="BM68" s="42">
        <v>19966562</v>
      </c>
      <c r="BN68" s="42">
        <v>75167956</v>
      </c>
      <c r="BO68" s="42">
        <v>12419680</v>
      </c>
      <c r="BP68" s="42">
        <v>5514975</v>
      </c>
      <c r="BQ68" s="42">
        <v>133259602</v>
      </c>
      <c r="BR68" s="42">
        <v>0</v>
      </c>
      <c r="BS68" s="42">
        <f>IFERROR(VLOOKUP(A68,'Trans 21-23'!$A$2:$J$229,7,0),0)</f>
        <v>0</v>
      </c>
      <c r="BT68" s="63"/>
      <c r="BU68" s="32">
        <f t="shared" si="0"/>
        <v>3038290907</v>
      </c>
      <c r="BV68" s="32">
        <f t="shared" si="1"/>
        <v>2800</v>
      </c>
      <c r="BW68" s="32">
        <f t="shared" si="2"/>
        <v>490671</v>
      </c>
      <c r="BX68" s="32">
        <f t="shared" si="3"/>
        <v>33880996</v>
      </c>
      <c r="BY68" s="32">
        <f t="shared" si="4"/>
        <v>36300819</v>
      </c>
      <c r="BZ68" s="32">
        <f t="shared" si="5"/>
        <v>122900814</v>
      </c>
      <c r="CA68" s="32">
        <f t="shared" si="6"/>
        <v>89863945</v>
      </c>
      <c r="CB68" s="32">
        <f t="shared" si="7"/>
        <v>403080</v>
      </c>
      <c r="CC68" s="32">
        <f t="shared" si="8"/>
        <v>11168665</v>
      </c>
      <c r="CD68" s="41">
        <f t="shared" si="62"/>
        <v>1</v>
      </c>
      <c r="CE68" s="44">
        <f t="shared" si="10"/>
        <v>17</v>
      </c>
      <c r="CF68" s="27"/>
      <c r="CG68" s="28">
        <f t="shared" si="11"/>
        <v>1085.1038953571428</v>
      </c>
      <c r="CH68" s="28">
        <f t="shared" si="12"/>
        <v>5.7064713423047211</v>
      </c>
      <c r="CI68" s="28">
        <f t="shared" si="13"/>
        <v>69.050333115264607</v>
      </c>
      <c r="CJ68" s="28">
        <f t="shared" si="14"/>
        <v>250.47499037032961</v>
      </c>
      <c r="CK68" s="23">
        <f t="shared" si="15"/>
        <v>3.6090257877732027E-2</v>
      </c>
      <c r="CL68" s="29" t="str">
        <f t="shared" si="16"/>
        <v/>
      </c>
      <c r="CM68" s="29" t="str">
        <f t="shared" si="17"/>
        <v/>
      </c>
      <c r="CN68" s="29" t="str">
        <f t="shared" si="18"/>
        <v/>
      </c>
      <c r="CO68" s="29" t="str">
        <f t="shared" si="19"/>
        <v/>
      </c>
      <c r="CP68" s="29" t="str">
        <f t="shared" si="20"/>
        <v/>
      </c>
      <c r="CQ68" s="29">
        <f t="shared" si="21"/>
        <v>0</v>
      </c>
      <c r="CR68" s="30"/>
      <c r="CS68" s="7">
        <f>VLOOKUP(A68,'Empresas 21-23'!$A$2:$M$228,13,0)</f>
        <v>1</v>
      </c>
      <c r="CT68" s="30"/>
      <c r="CU68" s="6">
        <f t="shared" si="22"/>
        <v>2422337494.4000001</v>
      </c>
      <c r="CV68" s="6">
        <f t="shared" si="23"/>
        <v>122900814</v>
      </c>
      <c r="CW68" s="6">
        <f t="shared" si="24"/>
        <v>154863422</v>
      </c>
      <c r="CX68" s="23">
        <f t="shared" si="60"/>
        <v>0.30760109251110779</v>
      </c>
      <c r="CY68" s="23">
        <f t="shared" si="61"/>
        <v>1.560658857170041E-2</v>
      </c>
      <c r="CZ68" s="6">
        <f t="shared" si="27"/>
        <v>2469973652.1972089</v>
      </c>
      <c r="DA68" s="6">
        <f t="shared" si="28"/>
        <v>125317703.71195962</v>
      </c>
      <c r="DB68" s="6">
        <f t="shared" si="29"/>
        <v>33880996</v>
      </c>
      <c r="DC68" s="6">
        <f t="shared" si="30"/>
        <v>33880996</v>
      </c>
      <c r="DD68" s="6">
        <f t="shared" si="31"/>
        <v>36300819</v>
      </c>
      <c r="DE68" s="6">
        <f t="shared" si="32"/>
        <v>89863945</v>
      </c>
      <c r="DF68" s="6">
        <f t="shared" si="33"/>
        <v>21195979.301255062</v>
      </c>
      <c r="DG68" s="30"/>
      <c r="DH68" s="32">
        <f>VLOOKUP(A68,'T_med_comp-USA'!$A$7:$Q$233,17,0)</f>
        <v>13.043523345608422</v>
      </c>
      <c r="DI68" s="6" t="str">
        <f t="shared" si="34"/>
        <v>12_2009</v>
      </c>
      <c r="DJ68" s="32">
        <f>IF(DI68="","",VLOOKUP(DI68,'CPI USA'!$T:$U,2,FALSE))</f>
        <v>214.53700000000001</v>
      </c>
      <c r="DK68" s="32">
        <f>IF(DI68="","",VLOOKUP(DI68,'PPI USA'!$S:$T,2,FALSE))</f>
        <v>159.1</v>
      </c>
      <c r="DL68" s="32">
        <f>IF(DI68="","",VLOOKUP(DI68,'CPI USA'!$T:$V,3,FALSE))</f>
        <v>0.66997101349938215</v>
      </c>
      <c r="DM68" s="32">
        <f>IF(DI68="","",VLOOKUP(DI68,'CPI USA'!$T:$X,5,FALSE))</f>
        <v>0.49813941766071862</v>
      </c>
      <c r="DN68" s="32">
        <f t="shared" si="35"/>
        <v>1.4932638886873792</v>
      </c>
      <c r="DO68" s="32">
        <f t="shared" si="36"/>
        <v>1.5082750176818205</v>
      </c>
      <c r="DP68" s="32">
        <f t="shared" si="37"/>
        <v>0.52709135118557382</v>
      </c>
      <c r="DQ68" s="32">
        <f>IF(DP68="","",DP68*$DO$1/'CPI USA'!$U$520+(1-DP68)*AVERAGE($DO$1,$DQ$1)/AVERAGE('CPI USA'!$U$520,'PPI USA'!$T$526))</f>
        <v>1.0744600110859097</v>
      </c>
      <c r="DR68" s="6">
        <f t="shared" si="38"/>
        <v>5061021</v>
      </c>
      <c r="DS68" s="32">
        <f t="shared" si="39"/>
        <v>0.2</v>
      </c>
      <c r="DT68" s="28">
        <f>IF(DS68="","",DS68*$DO$1/'CPI USA'!$U$520+(1-DS68)*AVERAGE($DO$1,$DQ$1)/AVERAGE('CPI USA'!$U$520,'PPI USA'!$T$526))</f>
        <v>1.0854630593748538</v>
      </c>
      <c r="DU68" s="6">
        <f t="shared" si="40"/>
        <v>23265551.675070584</v>
      </c>
      <c r="DV68" s="6">
        <f t="shared" si="57"/>
        <v>861993.90809564141</v>
      </c>
      <c r="DW68" s="6">
        <f t="shared" si="41"/>
        <v>6543898.5831618523</v>
      </c>
      <c r="DX68" s="16">
        <f t="shared" si="42"/>
        <v>0.30873301441535062</v>
      </c>
      <c r="DY68" s="28">
        <f>IF(DX68="","",DX68*$DO$1/'CPI USA'!$U$520+(1-DX68)*AVERAGE($DO$1,$DQ$1)/AVERAGE('CPI USA'!$U$520,'PPI USA'!$T$526))</f>
        <v>1.0818053820811004</v>
      </c>
      <c r="DZ68" s="30"/>
      <c r="EA68" s="29" t="str">
        <f t="shared" si="43"/>
        <v>C000691</v>
      </c>
      <c r="EB68" s="29">
        <f t="shared" si="44"/>
        <v>3688322460.8353724</v>
      </c>
      <c r="EC68" s="29">
        <f t="shared" si="45"/>
        <v>189013561.78200102</v>
      </c>
      <c r="ED68" s="29">
        <f t="shared" si="46"/>
        <v>36403775.337761663</v>
      </c>
      <c r="EE68" s="29">
        <f t="shared" si="47"/>
        <v>39403198.049552821</v>
      </c>
      <c r="EF68" s="29">
        <f t="shared" si="48"/>
        <v>22929924.486577328</v>
      </c>
      <c r="EG68" s="29">
        <f t="shared" si="49"/>
        <v>2800</v>
      </c>
      <c r="EH68" s="29">
        <f t="shared" si="50"/>
        <v>490671</v>
      </c>
      <c r="EI68" s="29">
        <f t="shared" si="51"/>
        <v>403080</v>
      </c>
      <c r="EJ68" s="29">
        <f t="shared" si="52"/>
        <v>11168665</v>
      </c>
      <c r="EK68" s="29">
        <f t="shared" si="53"/>
        <v>11489936.421319798</v>
      </c>
      <c r="EL68" s="29">
        <f>IF(CD68=1,VLOOKUP(EA68,'EIA 2022'!$A$2:$J$213,4,0)*EH68,"")</f>
        <v>40627558.799999997</v>
      </c>
      <c r="EM68" s="29">
        <f>IF(CD68=1,VLOOKUP(EA68,'EIA 2022'!$A$2:$J$213,7,0)*EH68,"")</f>
        <v>426883.77</v>
      </c>
      <c r="EN68" s="29">
        <f>IF(CD68=1,VLOOKUP(EA68,'EIA 2022'!$A$2:$J$213,10,0),"")</f>
        <v>492344</v>
      </c>
      <c r="EO68" s="28">
        <f>IF(CD68=1,VLOOKUP(EA68,'EIA 2022'!$A$2:$Z$213,26,0),"")</f>
        <v>0</v>
      </c>
      <c r="EP68" s="23">
        <f t="shared" si="54"/>
        <v>2.7961200962232442E-2</v>
      </c>
      <c r="EQ68" s="32">
        <f t="shared" si="55"/>
        <v>81807.578680203296</v>
      </c>
      <c r="ER68" s="32">
        <f t="shared" si="56"/>
        <v>321272.4213197967</v>
      </c>
      <c r="ES68" s="32"/>
      <c r="ET68" s="32"/>
    </row>
    <row r="69" spans="1:150" ht="15.75" customHeight="1">
      <c r="A69" s="7" t="s">
        <v>408</v>
      </c>
      <c r="B69" s="7" t="s">
        <v>409</v>
      </c>
      <c r="C69" s="32" t="s">
        <v>938</v>
      </c>
      <c r="D69" s="42">
        <v>108252949</v>
      </c>
      <c r="E69" s="42">
        <v>0</v>
      </c>
      <c r="F69" s="42">
        <v>172876687</v>
      </c>
      <c r="G69" s="42">
        <v>145773707</v>
      </c>
      <c r="H69" s="42">
        <v>169047835</v>
      </c>
      <c r="I69" s="42">
        <v>2483119</v>
      </c>
      <c r="J69" s="42">
        <v>865544</v>
      </c>
      <c r="K69" s="42">
        <v>2038352</v>
      </c>
      <c r="L69" s="42">
        <v>1258967</v>
      </c>
      <c r="M69" s="42">
        <v>3995554</v>
      </c>
      <c r="N69" s="42">
        <v>0</v>
      </c>
      <c r="O69" s="42">
        <v>5916472</v>
      </c>
      <c r="P69" s="42">
        <v>492357</v>
      </c>
      <c r="Q69" s="42">
        <v>0</v>
      </c>
      <c r="R69" s="42">
        <v>0</v>
      </c>
      <c r="S69" s="42">
        <v>1969297</v>
      </c>
      <c r="T69" s="42">
        <v>19641047</v>
      </c>
      <c r="U69" s="42">
        <v>1178554</v>
      </c>
      <c r="V69" s="42">
        <v>0</v>
      </c>
      <c r="W69" s="42">
        <v>0</v>
      </c>
      <c r="X69" s="42">
        <f>IFERROR(VLOOKUP(A69,'Trans 21-23'!$A$2:$J$229,8,0),0)</f>
        <v>0</v>
      </c>
      <c r="Y69" s="42">
        <v>412618</v>
      </c>
      <c r="Z69" s="42">
        <v>0</v>
      </c>
      <c r="AA69" s="42">
        <v>14340859</v>
      </c>
      <c r="AB69" s="42">
        <v>25303343</v>
      </c>
      <c r="AC69" s="42">
        <v>1305</v>
      </c>
      <c r="AD69" s="42">
        <v>115171781</v>
      </c>
      <c r="AE69" s="42">
        <v>0</v>
      </c>
      <c r="AF69" s="42">
        <v>1131123673</v>
      </c>
      <c r="AG69" s="42">
        <v>498046</v>
      </c>
      <c r="AH69" s="42">
        <v>257297</v>
      </c>
      <c r="AI69" s="42">
        <v>17849899</v>
      </c>
      <c r="AJ69" s="42">
        <v>22820</v>
      </c>
      <c r="AK69" s="42">
        <v>0</v>
      </c>
      <c r="AL69" s="42">
        <v>3792663</v>
      </c>
      <c r="AM69" s="42">
        <v>4048980</v>
      </c>
      <c r="AN69" s="42">
        <v>6428251</v>
      </c>
      <c r="AO69" s="42">
        <v>33372</v>
      </c>
      <c r="AP69" s="42">
        <v>0</v>
      </c>
      <c r="AQ69" s="42">
        <v>14303266</v>
      </c>
      <c r="AR69" s="42">
        <v>3266516</v>
      </c>
      <c r="AS69" s="42">
        <v>17569782</v>
      </c>
      <c r="AT69" s="42">
        <v>0</v>
      </c>
      <c r="AU69" s="42">
        <v>2895</v>
      </c>
      <c r="AV69" s="42">
        <v>0</v>
      </c>
      <c r="AW69" s="42">
        <v>797377339</v>
      </c>
      <c r="AX69" s="42">
        <v>130314322</v>
      </c>
      <c r="AY69" s="42">
        <v>790515005</v>
      </c>
      <c r="AZ69" s="42">
        <v>125792859</v>
      </c>
      <c r="BA69" s="42">
        <v>74117094</v>
      </c>
      <c r="BB69" s="42">
        <v>3848430519</v>
      </c>
      <c r="BC69" s="42">
        <v>9657278088</v>
      </c>
      <c r="BD69" s="42">
        <v>281389002</v>
      </c>
      <c r="BE69" s="42">
        <v>935612261</v>
      </c>
      <c r="BF69" s="42">
        <v>76501108</v>
      </c>
      <c r="BG69" s="42">
        <v>0</v>
      </c>
      <c r="BH69" s="42">
        <v>19226506</v>
      </c>
      <c r="BI69" s="42">
        <v>2115365</v>
      </c>
      <c r="BJ69" s="42">
        <v>3715928</v>
      </c>
      <c r="BK69" s="42">
        <v>0</v>
      </c>
      <c r="BL69" s="42">
        <v>0</v>
      </c>
      <c r="BM69" s="42">
        <v>23561843</v>
      </c>
      <c r="BN69" s="42">
        <v>70910154</v>
      </c>
      <c r="BO69" s="42">
        <v>14646206</v>
      </c>
      <c r="BP69" s="42">
        <v>5717512</v>
      </c>
      <c r="BQ69" s="42">
        <v>135782149</v>
      </c>
      <c r="BR69" s="42">
        <v>0</v>
      </c>
      <c r="BS69" s="42">
        <f>IFERROR(VLOOKUP(A69,'Trans 21-23'!$A$2:$J$229,7,0),0)</f>
        <v>0</v>
      </c>
      <c r="BT69" s="63"/>
      <c r="BU69" s="32">
        <f t="shared" si="0"/>
        <v>3848430519</v>
      </c>
      <c r="BV69" s="32">
        <f t="shared" si="1"/>
        <v>2895</v>
      </c>
      <c r="BW69" s="32">
        <f t="shared" si="2"/>
        <v>498046</v>
      </c>
      <c r="BX69" s="32">
        <f t="shared" si="3"/>
        <v>39839263</v>
      </c>
      <c r="BY69" s="32">
        <f t="shared" si="4"/>
        <v>40058125</v>
      </c>
      <c r="BZ69" s="32">
        <f t="shared" si="5"/>
        <v>125792859</v>
      </c>
      <c r="CA69" s="32">
        <f t="shared" si="6"/>
        <v>115171781</v>
      </c>
      <c r="CB69" s="32">
        <f t="shared" si="7"/>
        <v>257297</v>
      </c>
      <c r="CC69" s="32">
        <f t="shared" si="8"/>
        <v>14303266</v>
      </c>
      <c r="CD69" s="41">
        <f t="shared" si="62"/>
        <v>1</v>
      </c>
      <c r="CE69" s="44">
        <f t="shared" si="10"/>
        <v>18</v>
      </c>
      <c r="CF69" s="27"/>
      <c r="CG69" s="28">
        <f t="shared" si="11"/>
        <v>1329.3369668393782</v>
      </c>
      <c r="CH69" s="28">
        <f t="shared" si="12"/>
        <v>5.8127160944972953</v>
      </c>
      <c r="CI69" s="28">
        <f t="shared" si="13"/>
        <v>79.991131341281729</v>
      </c>
      <c r="CJ69" s="28">
        <f t="shared" si="14"/>
        <v>252.57277239451778</v>
      </c>
      <c r="CK69" s="23">
        <f t="shared" si="15"/>
        <v>1.7988688737243647E-2</v>
      </c>
      <c r="CL69" s="29" t="str">
        <f t="shared" si="16"/>
        <v/>
      </c>
      <c r="CM69" s="29" t="str">
        <f t="shared" si="17"/>
        <v/>
      </c>
      <c r="CN69" s="29" t="str">
        <f t="shared" si="18"/>
        <v/>
      </c>
      <c r="CO69" s="29" t="str">
        <f t="shared" si="19"/>
        <v/>
      </c>
      <c r="CP69" s="29" t="str">
        <f t="shared" si="20"/>
        <v/>
      </c>
      <c r="CQ69" s="29">
        <f t="shared" si="21"/>
        <v>0</v>
      </c>
      <c r="CR69" s="30"/>
      <c r="CS69" s="7">
        <f>VLOOKUP(A69,'Empresas 21-23'!$A$2:$M$228,13,0)</f>
        <v>1</v>
      </c>
      <c r="CT69" s="30"/>
      <c r="CU69" s="6">
        <f t="shared" si="22"/>
        <v>3096022969.8000002</v>
      </c>
      <c r="CV69" s="6">
        <f t="shared" si="23"/>
        <v>125792859</v>
      </c>
      <c r="CW69" s="6">
        <f t="shared" si="24"/>
        <v>281389002</v>
      </c>
      <c r="CX69" s="23">
        <f t="shared" si="60"/>
        <v>0.33021113426170495</v>
      </c>
      <c r="CY69" s="23">
        <f t="shared" si="61"/>
        <v>1.3416632582379079E-2</v>
      </c>
      <c r="CZ69" s="6">
        <f t="shared" si="27"/>
        <v>3188940751.3191895</v>
      </c>
      <c r="DA69" s="6">
        <f t="shared" si="28"/>
        <v>129568151.85255633</v>
      </c>
      <c r="DB69" s="6">
        <f t="shared" si="29"/>
        <v>39839263</v>
      </c>
      <c r="DC69" s="6">
        <f t="shared" si="30"/>
        <v>39839263</v>
      </c>
      <c r="DD69" s="6">
        <f t="shared" si="31"/>
        <v>40058125</v>
      </c>
      <c r="DE69" s="6">
        <f t="shared" si="32"/>
        <v>115171781</v>
      </c>
      <c r="DF69" s="6">
        <f t="shared" si="33"/>
        <v>16264299.21830635</v>
      </c>
      <c r="DG69" s="30"/>
      <c r="DH69" s="32">
        <f>VLOOKUP(A69,'T_med_comp-USA'!$A$7:$Q$233,17,0)</f>
        <v>12.196453259044141</v>
      </c>
      <c r="DI69" s="6" t="str">
        <f t="shared" si="34"/>
        <v>10_2010</v>
      </c>
      <c r="DJ69" s="32">
        <f>IF(DI69="","",VLOOKUP(DI69,'CPI USA'!$T:$U,2,FALSE))</f>
        <v>218.05600000000001</v>
      </c>
      <c r="DK69" s="32">
        <f>IF(DI69="","",VLOOKUP(DI69,'PPI USA'!$S:$T,2,FALSE))</f>
        <v>160.80000000000001</v>
      </c>
      <c r="DL69" s="32">
        <f>IF(DI69="","",VLOOKUP(DI69,'CPI USA'!$T:$V,3,FALSE))</f>
        <v>0.67050107279443949</v>
      </c>
      <c r="DM69" s="32">
        <f>IF(DI69="","",VLOOKUP(DI69,'CPI USA'!$T:$X,5,FALSE))</f>
        <v>0.4987389730136107</v>
      </c>
      <c r="DN69" s="32">
        <f t="shared" si="35"/>
        <v>1.4703278680244813</v>
      </c>
      <c r="DO69" s="32">
        <f t="shared" si="36"/>
        <v>1.4857204383544427</v>
      </c>
      <c r="DP69" s="32">
        <f t="shared" si="37"/>
        <v>0.58228143389235021</v>
      </c>
      <c r="DQ69" s="32">
        <f>IF(DP69="","",DP69*$DO$1/'CPI USA'!$U$520+(1-DP69)*AVERAGE($DO$1,$DQ$1)/AVERAGE('CPI USA'!$U$520,'PPI USA'!$T$526))</f>
        <v>1.0726034681266037</v>
      </c>
      <c r="DR69" s="6">
        <f t="shared" si="38"/>
        <v>5831293</v>
      </c>
      <c r="DS69" s="32">
        <f t="shared" si="39"/>
        <v>0.2</v>
      </c>
      <c r="DT69" s="28">
        <f>IF(DS69="","",DS69*$DO$1/'CPI USA'!$U$520+(1-DS69)*AVERAGE($DO$1,$DQ$1)/AVERAGE('CPI USA'!$U$520,'PPI USA'!$T$526))</f>
        <v>1.0854630593748538</v>
      </c>
      <c r="DU69" s="6">
        <f t="shared" si="40"/>
        <v>28428446.537733935</v>
      </c>
      <c r="DV69" s="6">
        <f t="shared" si="57"/>
        <v>1035755.169136527</v>
      </c>
      <c r="DW69" s="6">
        <f t="shared" si="41"/>
        <v>10411880.420767624</v>
      </c>
      <c r="DX69" s="16">
        <f t="shared" si="42"/>
        <v>0.64016778595959967</v>
      </c>
      <c r="DY69" s="28">
        <f>IF(DX69="","",DX69*$DO$1/'CPI USA'!$U$520+(1-DX69)*AVERAGE($DO$1,$DQ$1)/AVERAGE('CPI USA'!$U$520,'PPI USA'!$T$526))</f>
        <v>1.0706562251782403</v>
      </c>
      <c r="DZ69" s="30"/>
      <c r="EA69" s="29" t="str">
        <f t="shared" si="43"/>
        <v>C000692</v>
      </c>
      <c r="EB69" s="29">
        <f t="shared" si="44"/>
        <v>4688788456.1435318</v>
      </c>
      <c r="EC69" s="29">
        <f t="shared" si="45"/>
        <v>192502051.36715499</v>
      </c>
      <c r="ED69" s="29">
        <f t="shared" si="46"/>
        <v>42731731.66140788</v>
      </c>
      <c r="EE69" s="29">
        <f t="shared" si="47"/>
        <v>43481614.915320314</v>
      </c>
      <c r="EF69" s="29">
        <f t="shared" si="48"/>
        <v>17413473.20624128</v>
      </c>
      <c r="EG69" s="29">
        <f t="shared" si="49"/>
        <v>2895</v>
      </c>
      <c r="EH69" s="29">
        <f t="shared" si="50"/>
        <v>498046</v>
      </c>
      <c r="EI69" s="29">
        <f t="shared" si="51"/>
        <v>257297</v>
      </c>
      <c r="EJ69" s="29">
        <f t="shared" si="52"/>
        <v>14303266</v>
      </c>
      <c r="EK69" s="29">
        <f t="shared" si="53"/>
        <v>14510819.101522842</v>
      </c>
      <c r="EL69" s="29">
        <f>IF(CD69=1,VLOOKUP(EA69,'EIA 2022'!$A$2:$J$213,4,0)*EH69,"")</f>
        <v>34165955.599999994</v>
      </c>
      <c r="EM69" s="29">
        <f>IF(CD69=1,VLOOKUP(EA69,'EIA 2022'!$A$2:$J$213,7,0)*EH69,"")</f>
        <v>368554.04</v>
      </c>
      <c r="EN69" s="29">
        <f>IF(CD69=1,VLOOKUP(EA69,'EIA 2022'!$A$2:$J$213,10,0),"")</f>
        <v>488270</v>
      </c>
      <c r="EO69" s="28">
        <f>IF(CD69=1,VLOOKUP(EA69,'EIA 2022'!$A$2:$Z$213,26,0),"")</f>
        <v>0</v>
      </c>
      <c r="EP69" s="23">
        <f t="shared" si="54"/>
        <v>1.4303334640913599E-2</v>
      </c>
      <c r="EQ69" s="32">
        <f t="shared" si="55"/>
        <v>49743.898477157578</v>
      </c>
      <c r="ER69" s="32">
        <f t="shared" si="56"/>
        <v>207553.10152284242</v>
      </c>
      <c r="ES69" s="32"/>
      <c r="ET69" s="32"/>
    </row>
    <row r="70" spans="1:150" ht="15.75" customHeight="1">
      <c r="A70" s="7" t="s">
        <v>411</v>
      </c>
      <c r="B70" s="7" t="s">
        <v>412</v>
      </c>
      <c r="C70" s="32" t="s">
        <v>939</v>
      </c>
      <c r="D70" s="42">
        <v>465535447</v>
      </c>
      <c r="E70" s="42">
        <v>64640363</v>
      </c>
      <c r="F70" s="42">
        <v>46050175</v>
      </c>
      <c r="G70" s="42">
        <v>573405159</v>
      </c>
      <c r="H70" s="42">
        <v>504227710</v>
      </c>
      <c r="I70" s="42">
        <v>6534788</v>
      </c>
      <c r="J70" s="42">
        <v>2272325</v>
      </c>
      <c r="K70" s="42">
        <v>1877091</v>
      </c>
      <c r="L70" s="42">
        <v>11974258</v>
      </c>
      <c r="M70" s="42">
        <v>5511509</v>
      </c>
      <c r="N70" s="42">
        <v>1113006</v>
      </c>
      <c r="O70" s="42">
        <v>29573477</v>
      </c>
      <c r="P70" s="42">
        <v>422276</v>
      </c>
      <c r="Q70" s="42">
        <v>1538144</v>
      </c>
      <c r="R70" s="42">
        <v>562267</v>
      </c>
      <c r="S70" s="42">
        <v>11985993</v>
      </c>
      <c r="T70" s="42">
        <v>58489030</v>
      </c>
      <c r="U70" s="42">
        <v>3746289</v>
      </c>
      <c r="V70" s="42">
        <v>751016</v>
      </c>
      <c r="W70" s="42">
        <v>3166100</v>
      </c>
      <c r="X70" s="42">
        <f>IFERROR(VLOOKUP(A70,'Trans 21-23'!$A$2:$J$229,8,0),0)</f>
        <v>0</v>
      </c>
      <c r="Y70" s="42">
        <v>7222989</v>
      </c>
      <c r="Z70" s="42">
        <v>622972</v>
      </c>
      <c r="AA70" s="42">
        <v>52750751</v>
      </c>
      <c r="AB70" s="42">
        <v>89352560</v>
      </c>
      <c r="AC70" s="42">
        <v>586001</v>
      </c>
      <c r="AD70" s="42">
        <v>230619235</v>
      </c>
      <c r="AE70" s="42">
        <v>0</v>
      </c>
      <c r="AF70" s="42">
        <v>2054276697</v>
      </c>
      <c r="AG70" s="42">
        <v>1250565</v>
      </c>
      <c r="AH70" s="42">
        <v>1402100</v>
      </c>
      <c r="AI70" s="42">
        <v>40912739</v>
      </c>
      <c r="AJ70" s="42">
        <v>0</v>
      </c>
      <c r="AK70" s="42">
        <v>0</v>
      </c>
      <c r="AL70" s="42">
        <v>13887796</v>
      </c>
      <c r="AM70" s="42">
        <v>13813214</v>
      </c>
      <c r="AN70" s="42">
        <v>4089439</v>
      </c>
      <c r="AO70" s="42">
        <v>75602</v>
      </c>
      <c r="AP70" s="42">
        <v>191</v>
      </c>
      <c r="AQ70" s="42">
        <v>31866242</v>
      </c>
      <c r="AR70" s="42">
        <v>7644397</v>
      </c>
      <c r="AS70" s="42">
        <v>39510639</v>
      </c>
      <c r="AT70" s="42">
        <v>0</v>
      </c>
      <c r="AU70" s="42">
        <v>7167</v>
      </c>
      <c r="AV70" s="42">
        <v>0</v>
      </c>
      <c r="AW70" s="42">
        <v>1660412413</v>
      </c>
      <c r="AX70" s="42">
        <v>720164487</v>
      </c>
      <c r="AY70" s="42">
        <v>1184464714</v>
      </c>
      <c r="AZ70" s="42">
        <v>246970418</v>
      </c>
      <c r="BA70" s="42">
        <v>226146976</v>
      </c>
      <c r="BB70" s="42">
        <v>7993431658</v>
      </c>
      <c r="BC70" s="42">
        <v>22936805138</v>
      </c>
      <c r="BD70" s="42">
        <v>1105975347</v>
      </c>
      <c r="BE70" s="42">
        <v>3284133869</v>
      </c>
      <c r="BF70" s="42">
        <v>193470414</v>
      </c>
      <c r="BG70" s="42">
        <v>0</v>
      </c>
      <c r="BH70" s="42">
        <v>59681915</v>
      </c>
      <c r="BI70" s="42">
        <v>19218877</v>
      </c>
      <c r="BJ70" s="42">
        <v>6942719</v>
      </c>
      <c r="BK70" s="42">
        <v>276405</v>
      </c>
      <c r="BL70" s="42">
        <v>0</v>
      </c>
      <c r="BM70" s="42">
        <v>69373732</v>
      </c>
      <c r="BN70" s="42">
        <v>361181531</v>
      </c>
      <c r="BO70" s="42">
        <v>8434132</v>
      </c>
      <c r="BP70" s="42">
        <v>4615920</v>
      </c>
      <c r="BQ70" s="42">
        <v>650092352</v>
      </c>
      <c r="BR70" s="42">
        <v>0</v>
      </c>
      <c r="BS70" s="42">
        <f>IFERROR(VLOOKUP(A70,'Trans 21-23'!$A$2:$J$229,7,0),0)</f>
        <v>0</v>
      </c>
      <c r="BT70" s="63"/>
      <c r="BU70" s="32">
        <f t="shared" si="0"/>
        <v>7993431658</v>
      </c>
      <c r="BV70" s="32">
        <f t="shared" si="1"/>
        <v>7167</v>
      </c>
      <c r="BW70" s="32">
        <f t="shared" si="2"/>
        <v>1250565</v>
      </c>
      <c r="BX70" s="32">
        <f t="shared" si="3"/>
        <v>139517569</v>
      </c>
      <c r="BY70" s="32">
        <f t="shared" si="4"/>
        <v>150535273</v>
      </c>
      <c r="BZ70" s="32">
        <f t="shared" si="5"/>
        <v>246970418</v>
      </c>
      <c r="CA70" s="32">
        <f t="shared" si="6"/>
        <v>230619235</v>
      </c>
      <c r="CB70" s="32">
        <f t="shared" si="7"/>
        <v>1402100</v>
      </c>
      <c r="CC70" s="32">
        <f t="shared" si="8"/>
        <v>31866242</v>
      </c>
      <c r="CD70" s="41">
        <f t="shared" si="62"/>
        <v>1</v>
      </c>
      <c r="CE70" s="44">
        <f t="shared" si="10"/>
        <v>10</v>
      </c>
      <c r="CF70" s="27"/>
      <c r="CG70" s="28">
        <f t="shared" si="11"/>
        <v>1115.3106820147898</v>
      </c>
      <c r="CH70" s="28">
        <f t="shared" si="12"/>
        <v>5.7310095836681816</v>
      </c>
      <c r="CI70" s="28">
        <f t="shared" si="13"/>
        <v>111.56362843994515</v>
      </c>
      <c r="CJ70" s="28">
        <f t="shared" si="14"/>
        <v>197.48707024424959</v>
      </c>
      <c r="CK70" s="23">
        <f t="shared" si="15"/>
        <v>4.3999540328602288E-2</v>
      </c>
      <c r="CL70" s="29" t="str">
        <f t="shared" si="16"/>
        <v/>
      </c>
      <c r="CM70" s="29" t="str">
        <f t="shared" si="17"/>
        <v/>
      </c>
      <c r="CN70" s="29" t="str">
        <f t="shared" si="18"/>
        <v/>
      </c>
      <c r="CO70" s="29" t="str">
        <f t="shared" si="19"/>
        <v/>
      </c>
      <c r="CP70" s="29" t="str">
        <f t="shared" si="20"/>
        <v/>
      </c>
      <c r="CQ70" s="29">
        <f t="shared" si="21"/>
        <v>0</v>
      </c>
      <c r="CR70" s="30"/>
      <c r="CS70" s="7">
        <f>VLOOKUP(A70,'Empresas 21-23'!$A$2:$M$228,13,0)</f>
        <v>1</v>
      </c>
      <c r="CT70" s="30"/>
      <c r="CU70" s="6">
        <f t="shared" si="22"/>
        <v>6377536743.3999996</v>
      </c>
      <c r="CV70" s="6">
        <f t="shared" si="23"/>
        <v>246970418</v>
      </c>
      <c r="CW70" s="6">
        <f t="shared" si="24"/>
        <v>1105975347</v>
      </c>
      <c r="CX70" s="23">
        <f t="shared" si="60"/>
        <v>0.29213441744798951</v>
      </c>
      <c r="CY70" s="23">
        <f t="shared" si="61"/>
        <v>1.13129194063808E-2</v>
      </c>
      <c r="CZ70" s="6">
        <f t="shared" si="27"/>
        <v>6700630207.1076832</v>
      </c>
      <c r="DA70" s="6">
        <f t="shared" si="28"/>
        <v>259482227.96605504</v>
      </c>
      <c r="DB70" s="6">
        <f t="shared" si="29"/>
        <v>139517569</v>
      </c>
      <c r="DC70" s="6">
        <f t="shared" si="30"/>
        <v>139517569</v>
      </c>
      <c r="DD70" s="6">
        <f t="shared" si="31"/>
        <v>150535273</v>
      </c>
      <c r="DE70" s="6">
        <f t="shared" si="32"/>
        <v>230619235</v>
      </c>
      <c r="DF70" s="6">
        <f t="shared" si="33"/>
        <v>90004609.101525009</v>
      </c>
      <c r="DG70" s="30"/>
      <c r="DH70" s="32">
        <f>VLOOKUP(A70,'T_med_comp-USA'!$A$7:$Q$233,17,0)</f>
        <v>16.463784284588034</v>
      </c>
      <c r="DI70" s="6" t="str">
        <f t="shared" si="34"/>
        <v>7_2006</v>
      </c>
      <c r="DJ70" s="32">
        <f>IF(DI70="","",VLOOKUP(DI70,'CPI USA'!$T:$U,2,FALSE))</f>
        <v>201.6</v>
      </c>
      <c r="DK70" s="32">
        <f>IF(DI70="","",VLOOKUP(DI70,'PPI USA'!$S:$T,2,FALSE))</f>
        <v>145.30000000000001</v>
      </c>
      <c r="DL70" s="32">
        <f>IF(DI70="","",VLOOKUP(DI70,'CPI USA'!$T:$V,3,FALSE))</f>
        <v>0.67263024008352756</v>
      </c>
      <c r="DM70" s="32">
        <f>IF(DI70="","",VLOOKUP(DI70,'CPI USA'!$T:$X,5,FALSE))</f>
        <v>0.50115228263529643</v>
      </c>
      <c r="DN70" s="32">
        <f t="shared" si="35"/>
        <v>1.595396421204319</v>
      </c>
      <c r="DO70" s="32">
        <f t="shared" si="36"/>
        <v>1.6147712829199015</v>
      </c>
      <c r="DP70" s="32">
        <f t="shared" si="37"/>
        <v>0.43776262674480365</v>
      </c>
      <c r="DQ70" s="32">
        <f>IF(DP70="","",DP70*$DO$1/'CPI USA'!$U$520+(1-DP70)*AVERAGE($DO$1,$DQ$1)/AVERAGE('CPI USA'!$U$520,'PPI USA'!$T$526))</f>
        <v>1.0774649461447214</v>
      </c>
      <c r="DR70" s="6">
        <f t="shared" si="38"/>
        <v>26438001</v>
      </c>
      <c r="DS70" s="32">
        <f t="shared" si="39"/>
        <v>0.2</v>
      </c>
      <c r="DT70" s="28">
        <f>IF(DS70="","",DS70*$DO$1/'CPI USA'!$U$520+(1-DS70)*AVERAGE($DO$1,$DQ$1)/AVERAGE('CPI USA'!$U$520,'PPI USA'!$T$526))</f>
        <v>1.0854630593748538</v>
      </c>
      <c r="DU70" s="6">
        <f t="shared" si="40"/>
        <v>70993712.986847922</v>
      </c>
      <c r="DV70" s="6">
        <f t="shared" si="57"/>
        <v>496104.24352943688</v>
      </c>
      <c r="DW70" s="6">
        <f t="shared" si="41"/>
        <v>17045990.800497081</v>
      </c>
      <c r="DX70" s="16">
        <f t="shared" si="42"/>
        <v>0.2</v>
      </c>
      <c r="DY70" s="28">
        <f>IF(DX70="","",DX70*$DO$1/'CPI USA'!$U$520+(1-DX70)*AVERAGE($DO$1,$DQ$1)/AVERAGE('CPI USA'!$U$520,'PPI USA'!$T$526))</f>
        <v>1.0854630593748538</v>
      </c>
      <c r="DZ70" s="30"/>
      <c r="EA70" s="29" t="str">
        <f t="shared" si="43"/>
        <v>C000744</v>
      </c>
      <c r="EB70" s="29">
        <f t="shared" si="44"/>
        <v>10690161452.233152</v>
      </c>
      <c r="EC70" s="29">
        <f t="shared" si="45"/>
        <v>419004450.14766103</v>
      </c>
      <c r="ED70" s="29">
        <f t="shared" si="46"/>
        <v>150325289.96882746</v>
      </c>
      <c r="EE70" s="29">
        <f t="shared" si="47"/>
        <v>163400477.97440884</v>
      </c>
      <c r="EF70" s="29">
        <f t="shared" si="48"/>
        <v>97696678.353179142</v>
      </c>
      <c r="EG70" s="29">
        <f t="shared" si="49"/>
        <v>7167</v>
      </c>
      <c r="EH70" s="29">
        <f t="shared" si="50"/>
        <v>1250565</v>
      </c>
      <c r="EI70" s="29">
        <f t="shared" si="51"/>
        <v>1402100</v>
      </c>
      <c r="EJ70" s="29">
        <f t="shared" si="52"/>
        <v>31866242</v>
      </c>
      <c r="EK70" s="29">
        <f t="shared" si="53"/>
        <v>33151929.862944163</v>
      </c>
      <c r="EL70" s="29">
        <f>IF(CD70=1,VLOOKUP(EA70,'EIA 2022'!$A$2:$J$213,4,0)*EH70,"")</f>
        <v>115051980</v>
      </c>
      <c r="EM70" s="29">
        <f>IF(CD70=1,VLOOKUP(EA70,'EIA 2022'!$A$2:$J$213,7,0)*EH70,"")</f>
        <v>1150519.8</v>
      </c>
      <c r="EN70" s="29">
        <f>IF(CD70=1,VLOOKUP(EA70,'EIA 2022'!$A$2:$J$213,10,0),"")</f>
        <v>1243182</v>
      </c>
      <c r="EO70" s="28">
        <f>IF(CD70=1,VLOOKUP(EA70,'EIA 2022'!$A$2:$Z$213,26,0),"")</f>
        <v>0</v>
      </c>
      <c r="EP70" s="23">
        <f t="shared" si="54"/>
        <v>3.8781689882290998E-2</v>
      </c>
      <c r="EQ70" s="32">
        <f t="shared" si="55"/>
        <v>116412.13705583755</v>
      </c>
      <c r="ER70" s="32">
        <f t="shared" si="56"/>
        <v>1285687.8629441625</v>
      </c>
      <c r="ES70" s="32"/>
      <c r="ET70" s="32"/>
    </row>
    <row r="71" spans="1:150" ht="15.75" customHeight="1">
      <c r="A71" s="7" t="s">
        <v>414</v>
      </c>
      <c r="B71" s="7" t="s">
        <v>415</v>
      </c>
      <c r="C71" s="32" t="s">
        <v>940</v>
      </c>
      <c r="D71" s="42">
        <v>0</v>
      </c>
      <c r="E71" s="42">
        <v>0</v>
      </c>
      <c r="F71" s="42">
        <v>0</v>
      </c>
      <c r="G71" s="42">
        <v>789620771</v>
      </c>
      <c r="H71" s="42">
        <v>763689686</v>
      </c>
      <c r="I71" s="42">
        <v>9740299</v>
      </c>
      <c r="J71" s="42">
        <v>6476093</v>
      </c>
      <c r="K71" s="42">
        <v>4393764</v>
      </c>
      <c r="L71" s="42">
        <v>32163485</v>
      </c>
      <c r="M71" s="42">
        <v>4637810</v>
      </c>
      <c r="N71" s="42">
        <v>2464496</v>
      </c>
      <c r="O71" s="42">
        <v>34179934</v>
      </c>
      <c r="P71" s="42">
        <v>646146</v>
      </c>
      <c r="Q71" s="42">
        <v>1561388</v>
      </c>
      <c r="R71" s="42">
        <v>1784505</v>
      </c>
      <c r="S71" s="42">
        <v>34542945</v>
      </c>
      <c r="T71" s="42">
        <v>107451001</v>
      </c>
      <c r="U71" s="42">
        <v>5711065</v>
      </c>
      <c r="V71" s="42">
        <v>1181605</v>
      </c>
      <c r="W71" s="42">
        <v>3628551</v>
      </c>
      <c r="X71" s="42">
        <f>IFERROR(VLOOKUP(A71,'Trans 21-23'!$A$2:$J$229,8,0),0)</f>
        <v>0</v>
      </c>
      <c r="Y71" s="42">
        <v>17052404</v>
      </c>
      <c r="Z71" s="42">
        <v>602074</v>
      </c>
      <c r="AA71" s="42">
        <v>45789791</v>
      </c>
      <c r="AB71" s="42">
        <v>48774378</v>
      </c>
      <c r="AC71" s="42">
        <v>56996</v>
      </c>
      <c r="AD71" s="42">
        <v>127478237</v>
      </c>
      <c r="AE71" s="42">
        <v>0</v>
      </c>
      <c r="AF71" s="42">
        <v>1412537737</v>
      </c>
      <c r="AG71" s="42">
        <v>1229379</v>
      </c>
      <c r="AH71" s="42">
        <v>551630</v>
      </c>
      <c r="AI71" s="42">
        <v>10535756</v>
      </c>
      <c r="AJ71" s="42">
        <v>0</v>
      </c>
      <c r="AK71" s="42">
        <v>0</v>
      </c>
      <c r="AL71" s="42">
        <v>6057959</v>
      </c>
      <c r="AM71" s="42">
        <v>2928173</v>
      </c>
      <c r="AN71" s="42">
        <v>570152</v>
      </c>
      <c r="AO71" s="42">
        <v>56206</v>
      </c>
      <c r="AP71" s="42">
        <v>67216</v>
      </c>
      <c r="AQ71" s="42">
        <v>9679706</v>
      </c>
      <c r="AR71" s="42">
        <v>304420</v>
      </c>
      <c r="AS71" s="42">
        <v>9984126</v>
      </c>
      <c r="AT71" s="42">
        <v>0</v>
      </c>
      <c r="AU71" s="42">
        <v>2766</v>
      </c>
      <c r="AV71" s="42">
        <v>0</v>
      </c>
      <c r="AW71" s="42">
        <v>1516565690</v>
      </c>
      <c r="AX71" s="42">
        <v>148706501</v>
      </c>
      <c r="AY71" s="42">
        <v>824624706</v>
      </c>
      <c r="AZ71" s="42">
        <v>298615947</v>
      </c>
      <c r="BA71" s="42">
        <v>339367137</v>
      </c>
      <c r="BB71" s="42">
        <v>7733431024</v>
      </c>
      <c r="BC71" s="42">
        <v>13860283958</v>
      </c>
      <c r="BD71" s="42">
        <v>862066851</v>
      </c>
      <c r="BE71" s="42">
        <v>3535955792</v>
      </c>
      <c r="BF71" s="42">
        <v>255506170</v>
      </c>
      <c r="BG71" s="42">
        <v>0</v>
      </c>
      <c r="BH71" s="42">
        <v>104936198</v>
      </c>
      <c r="BI71" s="42">
        <v>14845453</v>
      </c>
      <c r="BJ71" s="42">
        <v>815755</v>
      </c>
      <c r="BK71" s="42">
        <v>0</v>
      </c>
      <c r="BL71" s="42">
        <v>0</v>
      </c>
      <c r="BM71" s="42">
        <v>62993469</v>
      </c>
      <c r="BN71" s="42">
        <v>197400971</v>
      </c>
      <c r="BO71" s="42">
        <v>4716038</v>
      </c>
      <c r="BP71" s="42">
        <v>2205142</v>
      </c>
      <c r="BQ71" s="42">
        <v>514936946</v>
      </c>
      <c r="BR71" s="42">
        <v>0</v>
      </c>
      <c r="BS71" s="42">
        <f>IFERROR(VLOOKUP(A71,'Trans 21-23'!$A$2:$J$229,7,0),0)</f>
        <v>0</v>
      </c>
      <c r="BT71" s="63"/>
      <c r="BU71" s="32">
        <f t="shared" si="0"/>
        <v>7733431024</v>
      </c>
      <c r="BV71" s="32">
        <f t="shared" si="1"/>
        <v>2766</v>
      </c>
      <c r="BW71" s="32">
        <f t="shared" si="2"/>
        <v>1229379</v>
      </c>
      <c r="BX71" s="32">
        <f t="shared" si="3"/>
        <v>250563087</v>
      </c>
      <c r="BY71" s="32">
        <f t="shared" si="4"/>
        <v>112275643</v>
      </c>
      <c r="BZ71" s="32">
        <f t="shared" si="5"/>
        <v>298615947</v>
      </c>
      <c r="CA71" s="32">
        <f t="shared" si="6"/>
        <v>127478237</v>
      </c>
      <c r="CB71" s="32">
        <f t="shared" si="7"/>
        <v>551630</v>
      </c>
      <c r="CC71" s="32">
        <f t="shared" si="8"/>
        <v>9679706</v>
      </c>
      <c r="CD71" s="41">
        <f t="shared" si="62"/>
        <v>1</v>
      </c>
      <c r="CE71" s="44">
        <f t="shared" si="10"/>
        <v>14</v>
      </c>
      <c r="CF71" s="27"/>
      <c r="CG71" s="28">
        <f t="shared" si="11"/>
        <v>2795.8897411424437</v>
      </c>
      <c r="CH71" s="28">
        <f t="shared" si="12"/>
        <v>2.2499164212175415</v>
      </c>
      <c r="CI71" s="28">
        <f t="shared" si="13"/>
        <v>203.81272740139534</v>
      </c>
      <c r="CJ71" s="28">
        <f t="shared" si="14"/>
        <v>242.89982747387094</v>
      </c>
      <c r="CK71" s="23">
        <f t="shared" si="15"/>
        <v>5.6988301090962888E-2</v>
      </c>
      <c r="CL71" s="29" t="str">
        <f t="shared" si="16"/>
        <v/>
      </c>
      <c r="CM71" s="29" t="str">
        <f t="shared" si="17"/>
        <v/>
      </c>
      <c r="CN71" s="29" t="str">
        <f t="shared" si="18"/>
        <v/>
      </c>
      <c r="CO71" s="29" t="str">
        <f t="shared" si="19"/>
        <v/>
      </c>
      <c r="CP71" s="29" t="str">
        <f t="shared" si="20"/>
        <v/>
      </c>
      <c r="CQ71" s="29">
        <f t="shared" si="21"/>
        <v>0</v>
      </c>
      <c r="CR71" s="30"/>
      <c r="CS71" s="7">
        <f>VLOOKUP(A71,'Empresas 21-23'!$A$2:$M$228,13,0)</f>
        <v>1</v>
      </c>
      <c r="CT71" s="30"/>
      <c r="CU71" s="6">
        <f t="shared" si="22"/>
        <v>6511449215.8000002</v>
      </c>
      <c r="CV71" s="6">
        <f t="shared" si="23"/>
        <v>298615947</v>
      </c>
      <c r="CW71" s="6">
        <f t="shared" si="24"/>
        <v>862066851</v>
      </c>
      <c r="CX71" s="23">
        <f t="shared" si="60"/>
        <v>0.50094941192306708</v>
      </c>
      <c r="CY71" s="23">
        <f t="shared" si="61"/>
        <v>2.2973608191171446E-2</v>
      </c>
      <c r="CZ71" s="6">
        <f t="shared" si="27"/>
        <v>6943301097.8468208</v>
      </c>
      <c r="DA71" s="6">
        <f t="shared" si="28"/>
        <v>318420733.069471</v>
      </c>
      <c r="DB71" s="6">
        <f t="shared" si="29"/>
        <v>250563087</v>
      </c>
      <c r="DC71" s="6">
        <f t="shared" si="30"/>
        <v>250563087</v>
      </c>
      <c r="DD71" s="6">
        <f t="shared" si="31"/>
        <v>112275643</v>
      </c>
      <c r="DE71" s="6">
        <f t="shared" si="32"/>
        <v>127478237</v>
      </c>
      <c r="DF71" s="6">
        <f t="shared" si="33"/>
        <v>88716378.228446901</v>
      </c>
      <c r="DG71" s="30"/>
      <c r="DH71" s="32">
        <f>VLOOKUP(A71,'T_med_comp-USA'!$A$7:$Q$233,17,0)</f>
        <v>14.001655633406864</v>
      </c>
      <c r="DI71" s="6" t="str">
        <f t="shared" si="34"/>
        <v>1_2009</v>
      </c>
      <c r="DJ71" s="32">
        <f>IF(DI71="","",VLOOKUP(DI71,'CPI USA'!$T:$U,2,FALSE))</f>
        <v>214.53700000000001</v>
      </c>
      <c r="DK71" s="32">
        <f>IF(DI71="","",VLOOKUP(DI71,'PPI USA'!$S:$T,2,FALSE))</f>
        <v>159.1</v>
      </c>
      <c r="DL71" s="32">
        <f>IF(DI71="","",VLOOKUP(DI71,'CPI USA'!$T:$V,3,FALSE))</f>
        <v>0.66997101349938215</v>
      </c>
      <c r="DM71" s="32">
        <f>IF(DI71="","",VLOOKUP(DI71,'CPI USA'!$T:$X,5,FALSE))</f>
        <v>0.49813941766071862</v>
      </c>
      <c r="DN71" s="32">
        <f t="shared" si="35"/>
        <v>1.4932638886873792</v>
      </c>
      <c r="DO71" s="32">
        <f t="shared" si="36"/>
        <v>1.5082750176818205</v>
      </c>
      <c r="DP71" s="32">
        <f t="shared" si="37"/>
        <v>0.42880694649322226</v>
      </c>
      <c r="DQ71" s="32">
        <f>IF(DP71="","",DP71*$DO$1/'CPI USA'!$U$520+(1-DP71)*AVERAGE($DO$1,$DQ$1)/AVERAGE('CPI USA'!$U$520,'PPI USA'!$T$526))</f>
        <v>1.0777662068839959</v>
      </c>
      <c r="DR71" s="6">
        <f t="shared" si="38"/>
        <v>15661208</v>
      </c>
      <c r="DS71" s="32">
        <f t="shared" si="39"/>
        <v>0.2</v>
      </c>
      <c r="DT71" s="28">
        <f>IF(DS71="","",DS71*$DO$1/'CPI USA'!$U$520+(1-DS71)*AVERAGE($DO$1,$DQ$1)/AVERAGE('CPI USA'!$U$520,'PPI USA'!$T$526))</f>
        <v>1.0854630593748538</v>
      </c>
      <c r="DU71" s="6">
        <f t="shared" si="40"/>
        <v>64498424.077226147</v>
      </c>
      <c r="DV71" s="6">
        <f t="shared" si="57"/>
        <v>270920.47564421804</v>
      </c>
      <c r="DW71" s="6">
        <f t="shared" si="41"/>
        <v>39569283.280761547</v>
      </c>
      <c r="DX71" s="16">
        <f t="shared" si="42"/>
        <v>0.44602004805549716</v>
      </c>
      <c r="DY71" s="28">
        <f>IF(DX71="","",DX71*$DO$1/'CPI USA'!$U$520+(1-DX71)*AVERAGE($DO$1,$DQ$1)/AVERAGE('CPI USA'!$U$520,'PPI USA'!$T$526))</f>
        <v>1.0771871741856205</v>
      </c>
      <c r="DZ71" s="30"/>
      <c r="EA71" s="29" t="str">
        <f t="shared" si="43"/>
        <v>C000746</v>
      </c>
      <c r="EB71" s="29">
        <f t="shared" si="44"/>
        <v>10368180797.698093</v>
      </c>
      <c r="EC71" s="29">
        <f t="shared" si="45"/>
        <v>480266036.8006146</v>
      </c>
      <c r="ED71" s="29">
        <f t="shared" si="46"/>
        <v>270048427.86113465</v>
      </c>
      <c r="EE71" s="29">
        <f t="shared" si="47"/>
        <v>121871062.94405888</v>
      </c>
      <c r="EF71" s="29">
        <f t="shared" si="48"/>
        <v>95564144.76788342</v>
      </c>
      <c r="EG71" s="29">
        <f t="shared" si="49"/>
        <v>2766</v>
      </c>
      <c r="EH71" s="29">
        <f t="shared" si="50"/>
        <v>1229379</v>
      </c>
      <c r="EI71" s="29">
        <f t="shared" si="51"/>
        <v>551630</v>
      </c>
      <c r="EJ71" s="29">
        <f t="shared" si="52"/>
        <v>9679706</v>
      </c>
      <c r="EK71" s="29">
        <f t="shared" si="53"/>
        <v>10226700.162436549</v>
      </c>
      <c r="EL71" s="29">
        <f>IF(CD71=1,VLOOKUP(EA71,'EIA 2022'!$A$2:$J$213,4,0)*EH71,"")</f>
        <v>141255647.09999999</v>
      </c>
      <c r="EM71" s="29">
        <f>IF(CD71=1,VLOOKUP(EA71,'EIA 2022'!$A$2:$J$213,7,0)*EH71,"")</f>
        <v>1253966.58</v>
      </c>
      <c r="EN71" s="29">
        <f>IF(CD71=1,VLOOKUP(EA71,'EIA 2022'!$A$2:$J$213,10,0),"")</f>
        <v>1222097</v>
      </c>
      <c r="EO71" s="28">
        <f>IF(CD71=1,VLOOKUP(EA71,'EIA 2022'!$A$2:$Z$213,26,0),"")</f>
        <v>0</v>
      </c>
      <c r="EP71" s="23">
        <f t="shared" si="54"/>
        <v>5.3486868075559656E-2</v>
      </c>
      <c r="EQ71" s="32">
        <f t="shared" si="55"/>
        <v>4635.837563451787</v>
      </c>
      <c r="ER71" s="32">
        <f t="shared" si="56"/>
        <v>546994.16243654815</v>
      </c>
      <c r="ES71" s="32"/>
      <c r="ET71" s="32"/>
    </row>
    <row r="72" spans="1:150" ht="15.75" customHeight="1">
      <c r="A72" s="7" t="s">
        <v>417</v>
      </c>
      <c r="B72" s="7" t="s">
        <v>418</v>
      </c>
      <c r="C72" s="32" t="s">
        <v>941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f>IFERROR(VLOOKUP(A72,'Trans 21-23'!$A$2:$J$229,8,0),0)</f>
        <v>0</v>
      </c>
      <c r="Y72" s="42">
        <v>0</v>
      </c>
      <c r="Z72" s="42">
        <v>0</v>
      </c>
      <c r="AA72" s="42">
        <v>5042935</v>
      </c>
      <c r="AB72" s="42">
        <v>2388831</v>
      </c>
      <c r="AC72" s="42">
        <v>0</v>
      </c>
      <c r="AD72" s="42">
        <v>125101771</v>
      </c>
      <c r="AE72" s="42">
        <v>0</v>
      </c>
      <c r="AF72" s="42">
        <v>187151749</v>
      </c>
      <c r="AG72" s="42">
        <v>0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2">
        <v>0</v>
      </c>
      <c r="AO72" s="42">
        <v>0</v>
      </c>
      <c r="AP72" s="42">
        <v>0</v>
      </c>
      <c r="AQ72" s="42">
        <v>0</v>
      </c>
      <c r="AR72" s="42">
        <v>0</v>
      </c>
      <c r="AS72" s="42">
        <v>0</v>
      </c>
      <c r="AT72" s="42">
        <v>0</v>
      </c>
      <c r="AU72" s="42">
        <v>53243</v>
      </c>
      <c r="AV72" s="42">
        <v>0</v>
      </c>
      <c r="AW72" s="42">
        <v>0</v>
      </c>
      <c r="AX72" s="42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327150944</v>
      </c>
      <c r="BD72" s="42">
        <v>114129684</v>
      </c>
      <c r="BE72" s="42">
        <v>0</v>
      </c>
      <c r="BF72" s="42">
        <v>0</v>
      </c>
      <c r="BG72" s="42">
        <v>0</v>
      </c>
      <c r="BH72" s="42">
        <v>0</v>
      </c>
      <c r="BI72" s="42">
        <v>5042935</v>
      </c>
      <c r="BJ72" s="42">
        <v>2388831</v>
      </c>
      <c r="BK72" s="42">
        <v>0</v>
      </c>
      <c r="BL72" s="42">
        <v>0</v>
      </c>
      <c r="BM72" s="42">
        <v>50656498</v>
      </c>
      <c r="BN72" s="42">
        <v>95482882</v>
      </c>
      <c r="BO72" s="42">
        <v>0</v>
      </c>
      <c r="BP72" s="42">
        <v>0</v>
      </c>
      <c r="BQ72" s="42">
        <v>95482882</v>
      </c>
      <c r="BR72" s="42">
        <v>0</v>
      </c>
      <c r="BS72" s="42">
        <f>IFERROR(VLOOKUP(A72,'Trans 21-23'!$A$2:$J$229,7,0),0)</f>
        <v>0</v>
      </c>
      <c r="BT72" s="63"/>
      <c r="BU72" s="32">
        <f t="shared" si="0"/>
        <v>0</v>
      </c>
      <c r="BV72" s="32">
        <f t="shared" si="1"/>
        <v>53243</v>
      </c>
      <c r="BW72" s="32">
        <f t="shared" si="2"/>
        <v>0</v>
      </c>
      <c r="BX72" s="32">
        <f t="shared" si="3"/>
        <v>0</v>
      </c>
      <c r="BY72" s="32">
        <f t="shared" si="4"/>
        <v>7431766</v>
      </c>
      <c r="BZ72" s="32">
        <f t="shared" si="5"/>
        <v>0</v>
      </c>
      <c r="CA72" s="32">
        <f t="shared" si="6"/>
        <v>125101771</v>
      </c>
      <c r="CB72" s="32">
        <f t="shared" si="7"/>
        <v>0</v>
      </c>
      <c r="CC72" s="32">
        <f t="shared" si="8"/>
        <v>0</v>
      </c>
      <c r="CD72" s="41">
        <f t="shared" si="62"/>
        <v>0</v>
      </c>
      <c r="CE72" s="44">
        <f t="shared" si="10"/>
        <v>56</v>
      </c>
      <c r="CF72" s="27"/>
      <c r="CG72" s="28" t="str">
        <f t="shared" si="11"/>
        <v/>
      </c>
      <c r="CH72" s="28" t="str">
        <f t="shared" si="12"/>
        <v/>
      </c>
      <c r="CI72" s="28" t="str">
        <f t="shared" si="13"/>
        <v/>
      </c>
      <c r="CJ72" s="28" t="str">
        <f t="shared" si="14"/>
        <v/>
      </c>
      <c r="CK72" s="23" t="str">
        <f t="shared" si="15"/>
        <v/>
      </c>
      <c r="CL72" s="29" t="str">
        <f t="shared" si="16"/>
        <v/>
      </c>
      <c r="CM72" s="29" t="str">
        <f t="shared" si="17"/>
        <v/>
      </c>
      <c r="CN72" s="29" t="str">
        <f t="shared" si="18"/>
        <v/>
      </c>
      <c r="CO72" s="29" t="str">
        <f t="shared" si="19"/>
        <v/>
      </c>
      <c r="CP72" s="29" t="str">
        <f t="shared" si="20"/>
        <v/>
      </c>
      <c r="CQ72" s="29" t="str">
        <f t="shared" si="21"/>
        <v/>
      </c>
      <c r="CR72" s="30"/>
      <c r="CS72" s="7" t="str">
        <f>VLOOKUP(A72,'Empresas 21-23'!$A$2:$M$228,13,0)</f>
        <v/>
      </c>
      <c r="CT72" s="30"/>
      <c r="CU72" s="6">
        <f t="shared" si="22"/>
        <v>0</v>
      </c>
      <c r="CV72" s="6">
        <f t="shared" si="23"/>
        <v>0</v>
      </c>
      <c r="CW72" s="6">
        <f t="shared" si="24"/>
        <v>114129684</v>
      </c>
      <c r="CX72" s="23">
        <f t="shared" si="60"/>
        <v>0</v>
      </c>
      <c r="CY72" s="23">
        <f t="shared" si="61"/>
        <v>0</v>
      </c>
      <c r="CZ72" s="6">
        <f t="shared" si="27"/>
        <v>0</v>
      </c>
      <c r="DA72" s="6">
        <f t="shared" si="28"/>
        <v>0</v>
      </c>
      <c r="DB72" s="6">
        <f t="shared" si="29"/>
        <v>0</v>
      </c>
      <c r="DC72" s="6">
        <f t="shared" si="30"/>
        <v>0</v>
      </c>
      <c r="DD72" s="6">
        <f t="shared" si="31"/>
        <v>7431766</v>
      </c>
      <c r="DE72" s="6">
        <f t="shared" si="32"/>
        <v>125101771</v>
      </c>
      <c r="DF72" s="6">
        <f t="shared" si="33"/>
        <v>14983520.030540317</v>
      </c>
      <c r="DG72" s="30"/>
      <c r="DH72" s="32" t="str">
        <f>VLOOKUP(A72,'T_med_comp-USA'!$A$7:$Q$233,17,0)</f>
        <v>-</v>
      </c>
      <c r="DI72" s="6" t="str">
        <f t="shared" si="34"/>
        <v/>
      </c>
      <c r="DJ72" s="32" t="str">
        <f>IF(DI72="","",VLOOKUP(DI72,'CPI USA'!$T:$U,2,FALSE))</f>
        <v/>
      </c>
      <c r="DK72" s="32" t="str">
        <f>IF(DI72="","",VLOOKUP(DI72,'PPI USA'!$S:$T,2,FALSE))</f>
        <v/>
      </c>
      <c r="DL72" s="32" t="str">
        <f>IF(DI72="","",VLOOKUP(DI72,'CPI USA'!$T:$V,3,FALSE))</f>
        <v/>
      </c>
      <c r="DM72" s="32" t="str">
        <f>IF(DI72="","",VLOOKUP(DI72,'CPI USA'!$T:$X,5,FALSE))</f>
        <v/>
      </c>
      <c r="DN72" s="32" t="str">
        <f t="shared" si="35"/>
        <v/>
      </c>
      <c r="DO72" s="32" t="str">
        <f t="shared" si="36"/>
        <v/>
      </c>
      <c r="DP72" s="32" t="str">
        <f t="shared" si="37"/>
        <v/>
      </c>
      <c r="DQ72" s="32" t="str">
        <f>IF(DP72="","",DP72*$DO$1/'CPI USA'!$U$520+(1-DP72)*AVERAGE($DO$1,$DQ$1)/AVERAGE('CPI USA'!$U$520,'PPI USA'!$T$526))</f>
        <v/>
      </c>
      <c r="DR72" s="6">
        <f t="shared" si="38"/>
        <v>7431766</v>
      </c>
      <c r="DS72" s="32">
        <f t="shared" si="39"/>
        <v>0.8</v>
      </c>
      <c r="DT72" s="28">
        <f>IF(DS72="","",DS72*$DO$1/'CPI USA'!$U$520+(1-DS72)*AVERAGE($DO$1,$DQ$1)/AVERAGE('CPI USA'!$U$520,'PPI USA'!$T$526))</f>
        <v>1.0652796184204005</v>
      </c>
      <c r="DU72" s="6" t="str">
        <f t="shared" si="40"/>
        <v/>
      </c>
      <c r="DV72" s="6">
        <f t="shared" si="57"/>
        <v>0</v>
      </c>
      <c r="DW72" s="6">
        <f t="shared" si="41"/>
        <v>0</v>
      </c>
      <c r="DX72" s="16" t="str">
        <f t="shared" si="42"/>
        <v/>
      </c>
      <c r="DY72" s="28" t="str">
        <f>IF(DX72="","",DX72*$DO$1/'CPI USA'!$U$520+(1-DX72)*AVERAGE($DO$1,$DQ$1)/AVERAGE('CPI USA'!$U$520,'PPI USA'!$T$526))</f>
        <v/>
      </c>
      <c r="DZ72" s="30"/>
      <c r="EA72" s="29" t="str">
        <f t="shared" si="43"/>
        <v>C000771</v>
      </c>
      <c r="EB72" s="29" t="str">
        <f t="shared" si="44"/>
        <v/>
      </c>
      <c r="EC72" s="29" t="str">
        <f t="shared" si="45"/>
        <v/>
      </c>
      <c r="ED72" s="29" t="str">
        <f t="shared" si="46"/>
        <v/>
      </c>
      <c r="EE72" s="29" t="str">
        <f t="shared" si="47"/>
        <v/>
      </c>
      <c r="EF72" s="29" t="str">
        <f t="shared" si="48"/>
        <v/>
      </c>
      <c r="EG72" s="29" t="str">
        <f t="shared" si="49"/>
        <v/>
      </c>
      <c r="EH72" s="29" t="str">
        <f t="shared" si="50"/>
        <v/>
      </c>
      <c r="EI72" s="29" t="str">
        <f t="shared" si="51"/>
        <v/>
      </c>
      <c r="EJ72" s="29" t="str">
        <f t="shared" si="52"/>
        <v/>
      </c>
      <c r="EK72" s="29" t="str">
        <f t="shared" si="53"/>
        <v/>
      </c>
      <c r="EL72" s="29" t="str">
        <f>IF(CD72=1,VLOOKUP(EA72,'EIA 2022'!$A$2:$J$213,4,0)*EH72,"")</f>
        <v/>
      </c>
      <c r="EM72" s="29" t="str">
        <f>IF(CD72=1,VLOOKUP(EA72,'EIA 2022'!$A$2:$J$213,7,0)*EH72,"")</f>
        <v/>
      </c>
      <c r="EN72" s="29" t="str">
        <f>IF(CD72=1,VLOOKUP(EA72,'EIA 2022'!$A$2:$J$213,10,0),"")</f>
        <v/>
      </c>
      <c r="EO72" s="28" t="str">
        <f>IF(CD72=1,VLOOKUP(EA72,'EIA 2022'!$A$2:$Z$213,26,0),"")</f>
        <v/>
      </c>
      <c r="EP72" s="23" t="str">
        <f t="shared" si="54"/>
        <v/>
      </c>
      <c r="EQ72" s="32" t="str">
        <f t="shared" si="55"/>
        <v/>
      </c>
      <c r="ER72" s="32" t="str">
        <f t="shared" si="56"/>
        <v/>
      </c>
      <c r="ES72" s="32"/>
      <c r="ET72" s="32"/>
    </row>
    <row r="73" spans="1:150" ht="15.75" customHeight="1">
      <c r="A73" s="7" t="s">
        <v>420</v>
      </c>
      <c r="B73" s="7" t="s">
        <v>421</v>
      </c>
      <c r="C73" s="32" t="s">
        <v>942</v>
      </c>
      <c r="D73" s="42">
        <v>249278875</v>
      </c>
      <c r="E73" s="42">
        <v>0</v>
      </c>
      <c r="F73" s="42">
        <v>75101356</v>
      </c>
      <c r="G73" s="42">
        <v>254908242</v>
      </c>
      <c r="H73" s="42">
        <v>256065056</v>
      </c>
      <c r="I73" s="42">
        <v>1299117</v>
      </c>
      <c r="J73" s="42">
        <v>228226</v>
      </c>
      <c r="K73" s="42">
        <v>2149</v>
      </c>
      <c r="L73" s="42">
        <v>562566</v>
      </c>
      <c r="M73" s="42">
        <v>742754</v>
      </c>
      <c r="N73" s="42">
        <v>31288</v>
      </c>
      <c r="O73" s="42">
        <v>5006956</v>
      </c>
      <c r="P73" s="42">
        <v>117860</v>
      </c>
      <c r="Q73" s="42">
        <v>429824</v>
      </c>
      <c r="R73" s="42">
        <v>38068</v>
      </c>
      <c r="S73" s="42">
        <v>2232654</v>
      </c>
      <c r="T73" s="42">
        <v>13313884</v>
      </c>
      <c r="U73" s="42">
        <v>1744611</v>
      </c>
      <c r="V73" s="42">
        <v>59365</v>
      </c>
      <c r="W73" s="42">
        <v>2780100</v>
      </c>
      <c r="X73" s="42">
        <f>IFERROR(VLOOKUP(A73,'Trans 21-23'!$A$2:$J$229,8,0),0)</f>
        <v>6190125</v>
      </c>
      <c r="Y73" s="42">
        <v>1975309</v>
      </c>
      <c r="Z73" s="42">
        <v>219815</v>
      </c>
      <c r="AA73" s="42">
        <v>23098071</v>
      </c>
      <c r="AB73" s="42">
        <v>2697628</v>
      </c>
      <c r="AC73" s="42">
        <v>1017666</v>
      </c>
      <c r="AD73" s="42">
        <v>94756050</v>
      </c>
      <c r="AE73" s="42">
        <v>0</v>
      </c>
      <c r="AF73" s="42">
        <v>984046484</v>
      </c>
      <c r="AG73" s="42">
        <v>394011</v>
      </c>
      <c r="AH73" s="42">
        <v>314789</v>
      </c>
      <c r="AI73" s="42">
        <v>18512589</v>
      </c>
      <c r="AJ73" s="42">
        <v>12613</v>
      </c>
      <c r="AK73" s="42">
        <v>0</v>
      </c>
      <c r="AL73" s="42">
        <v>3623878</v>
      </c>
      <c r="AM73" s="42">
        <v>4152351</v>
      </c>
      <c r="AN73" s="42">
        <v>2049707</v>
      </c>
      <c r="AO73" s="42">
        <v>22943</v>
      </c>
      <c r="AP73" s="42">
        <v>0</v>
      </c>
      <c r="AQ73" s="42">
        <v>9848879</v>
      </c>
      <c r="AR73" s="42">
        <v>8336308</v>
      </c>
      <c r="AS73" s="42">
        <v>18185187</v>
      </c>
      <c r="AT73" s="42">
        <v>0</v>
      </c>
      <c r="AU73" s="42">
        <v>2710</v>
      </c>
      <c r="AV73" s="42">
        <v>0</v>
      </c>
      <c r="AW73" s="42">
        <v>229210587</v>
      </c>
      <c r="AX73" s="42">
        <v>54620085</v>
      </c>
      <c r="AY73" s="42">
        <v>177919710</v>
      </c>
      <c r="AZ73" s="42">
        <v>84610608</v>
      </c>
      <c r="BA73" s="42">
        <v>50460234</v>
      </c>
      <c r="BB73" s="42">
        <v>1725811240</v>
      </c>
      <c r="BC73" s="42">
        <v>8057028578</v>
      </c>
      <c r="BD73" s="42">
        <v>310646114</v>
      </c>
      <c r="BE73" s="42">
        <v>366804352</v>
      </c>
      <c r="BF73" s="42">
        <v>42817355</v>
      </c>
      <c r="BG73" s="42">
        <v>0</v>
      </c>
      <c r="BH73" s="42">
        <v>11921211</v>
      </c>
      <c r="BI73" s="42">
        <v>6092693</v>
      </c>
      <c r="BJ73" s="42">
        <v>1036333</v>
      </c>
      <c r="BK73" s="42">
        <v>945980</v>
      </c>
      <c r="BL73" s="42">
        <v>0</v>
      </c>
      <c r="BM73" s="42">
        <v>24658808</v>
      </c>
      <c r="BN73" s="42">
        <v>80052408</v>
      </c>
      <c r="BO73" s="42">
        <v>5593575</v>
      </c>
      <c r="BP73" s="42">
        <v>11923374</v>
      </c>
      <c r="BQ73" s="42">
        <v>120691793</v>
      </c>
      <c r="BR73" s="42">
        <v>0</v>
      </c>
      <c r="BS73" s="42">
        <f>IFERROR(VLOOKUP(A73,'Trans 21-23'!$A$2:$J$229,7,0),0)</f>
        <v>560600088</v>
      </c>
      <c r="BT73" s="63"/>
      <c r="BU73" s="32">
        <f t="shared" si="0"/>
        <v>1725811240</v>
      </c>
      <c r="BV73" s="32">
        <f t="shared" si="1"/>
        <v>2710</v>
      </c>
      <c r="BW73" s="32">
        <f t="shared" si="2"/>
        <v>394011</v>
      </c>
      <c r="BX73" s="32">
        <f t="shared" si="3"/>
        <v>28589422</v>
      </c>
      <c r="BY73" s="32">
        <f t="shared" si="4"/>
        <v>29008489</v>
      </c>
      <c r="BZ73" s="32">
        <f t="shared" si="5"/>
        <v>84610608</v>
      </c>
      <c r="CA73" s="32">
        <f t="shared" si="6"/>
        <v>94756050</v>
      </c>
      <c r="CB73" s="32">
        <f t="shared" si="7"/>
        <v>314789</v>
      </c>
      <c r="CC73" s="32">
        <f t="shared" si="8"/>
        <v>9848879</v>
      </c>
      <c r="CD73" s="41">
        <f t="shared" si="62"/>
        <v>1</v>
      </c>
      <c r="CE73" s="44">
        <f t="shared" si="10"/>
        <v>9</v>
      </c>
      <c r="CF73" s="27"/>
      <c r="CG73" s="28">
        <f t="shared" si="11"/>
        <v>636.83071586715869</v>
      </c>
      <c r="CH73" s="28">
        <f t="shared" si="12"/>
        <v>6.8779805639944058</v>
      </c>
      <c r="CI73" s="28">
        <f t="shared" si="13"/>
        <v>72.559958985916637</v>
      </c>
      <c r="CJ73" s="28">
        <f t="shared" si="14"/>
        <v>214.74174071282275</v>
      </c>
      <c r="CK73" s="23">
        <f t="shared" si="15"/>
        <v>3.1961911604356193E-2</v>
      </c>
      <c r="CL73" s="29" t="str">
        <f t="shared" si="16"/>
        <v/>
      </c>
      <c r="CM73" s="29" t="str">
        <f t="shared" si="17"/>
        <v/>
      </c>
      <c r="CN73" s="29" t="str">
        <f t="shared" si="18"/>
        <v/>
      </c>
      <c r="CO73" s="29" t="str">
        <f t="shared" si="19"/>
        <v/>
      </c>
      <c r="CP73" s="29" t="str">
        <f t="shared" si="20"/>
        <v/>
      </c>
      <c r="CQ73" s="29">
        <f t="shared" si="21"/>
        <v>0</v>
      </c>
      <c r="CR73" s="30"/>
      <c r="CS73" s="7">
        <f>VLOOKUP(A73,'Empresas 21-23'!$A$2:$M$228,13,0)</f>
        <v>1</v>
      </c>
      <c r="CT73" s="30"/>
      <c r="CU73" s="6">
        <f t="shared" si="22"/>
        <v>2011816609</v>
      </c>
      <c r="CV73" s="6">
        <f t="shared" si="23"/>
        <v>84610608</v>
      </c>
      <c r="CW73" s="6">
        <f t="shared" si="24"/>
        <v>310646114</v>
      </c>
      <c r="CX73" s="23">
        <f t="shared" si="60"/>
        <v>0.25971046722125801</v>
      </c>
      <c r="CY73" s="23">
        <f t="shared" si="61"/>
        <v>1.0922596243241729E-2</v>
      </c>
      <c r="CZ73" s="6">
        <f t="shared" si="27"/>
        <v>2092494656.4074082</v>
      </c>
      <c r="DA73" s="6">
        <f t="shared" si="28"/>
        <v>88003670.077754036</v>
      </c>
      <c r="DB73" s="6">
        <f t="shared" si="29"/>
        <v>28589422</v>
      </c>
      <c r="DC73" s="6">
        <f t="shared" si="30"/>
        <v>34779547</v>
      </c>
      <c r="DD73" s="6">
        <f t="shared" si="31"/>
        <v>29008489</v>
      </c>
      <c r="DE73" s="6">
        <f t="shared" si="32"/>
        <v>94756050</v>
      </c>
      <c r="DF73" s="6">
        <f t="shared" si="33"/>
        <v>19570656.645667806</v>
      </c>
      <c r="DG73" s="30"/>
      <c r="DH73" s="32">
        <f>VLOOKUP(A73,'T_med_comp-USA'!$A$7:$Q$233,17,0)</f>
        <v>8.553637953351247</v>
      </c>
      <c r="DI73" s="6" t="str">
        <f t="shared" si="34"/>
        <v>6_2014</v>
      </c>
      <c r="DJ73" s="32">
        <f>IF(DI73="","",VLOOKUP(DI73,'CPI USA'!$T:$U,2,FALSE))</f>
        <v>238.34299999999999</v>
      </c>
      <c r="DK73" s="32">
        <f>IF(DI73="","",VLOOKUP(DI73,'PPI USA'!$S:$T,2,FALSE))</f>
        <v>186.8</v>
      </c>
      <c r="DL73" s="32">
        <f>IF(DI73="","",VLOOKUP(DI73,'CPI USA'!$T:$V,3,FALSE))</f>
        <v>0.66756601812039096</v>
      </c>
      <c r="DM73" s="32">
        <f>IF(DI73="","",VLOOKUP(DI73,'CPI USA'!$T:$X,5,FALSE))</f>
        <v>0.49542529667095003</v>
      </c>
      <c r="DN73" s="32">
        <f t="shared" si="35"/>
        <v>1.3333321386506967</v>
      </c>
      <c r="DO73" s="32">
        <f t="shared" si="36"/>
        <v>1.3411868456226204</v>
      </c>
      <c r="DP73" s="32">
        <f t="shared" si="37"/>
        <v>0.44611579280809327</v>
      </c>
      <c r="DQ73" s="32">
        <f>IF(DP73="","",DP73*$DO$1/'CPI USA'!$U$520+(1-DP73)*AVERAGE($DO$1,$DQ$1)/AVERAGE('CPI USA'!$U$520,'PPI USA'!$T$526))</f>
        <v>1.0771839534213528</v>
      </c>
      <c r="DR73" s="6">
        <f t="shared" si="38"/>
        <v>8075006</v>
      </c>
      <c r="DS73" s="32">
        <f t="shared" si="39"/>
        <v>0.2978175894484601</v>
      </c>
      <c r="DT73" s="28">
        <f>IF(DS73="","",DS73*$DO$1/'CPI USA'!$U$520+(1-DS73)*AVERAGE($DO$1,$DQ$1)/AVERAGE('CPI USA'!$U$520,'PPI USA'!$T$526))</f>
        <v>1.0821725668066207</v>
      </c>
      <c r="DU73" s="6">
        <f t="shared" si="40"/>
        <v>26381815.407329958</v>
      </c>
      <c r="DV73" s="6">
        <f t="shared" si="57"/>
        <v>2703139.3200464924</v>
      </c>
      <c r="DW73" s="6">
        <f t="shared" si="41"/>
        <v>7265103.9574449202</v>
      </c>
      <c r="DX73" s="16">
        <f t="shared" si="42"/>
        <v>0.37122433288681378</v>
      </c>
      <c r="DY73" s="28">
        <f>IF(DX73="","",DX73*$DO$1/'CPI USA'!$U$520+(1-DX73)*AVERAGE($DO$1,$DQ$1)/AVERAGE('CPI USA'!$U$520,'PPI USA'!$T$526))</f>
        <v>1.0797032323535427</v>
      </c>
      <c r="DZ73" s="30"/>
      <c r="EA73" s="29" t="str">
        <f t="shared" si="43"/>
        <v>C000772</v>
      </c>
      <c r="EB73" s="29">
        <f t="shared" si="44"/>
        <v>2789990375.3428445</v>
      </c>
      <c r="EC73" s="29">
        <f t="shared" si="45"/>
        <v>118029364.67479672</v>
      </c>
      <c r="ED73" s="29">
        <f t="shared" si="46"/>
        <v>37463969.935663752</v>
      </c>
      <c r="EE73" s="29">
        <f t="shared" si="47"/>
        <v>31392191.000311621</v>
      </c>
      <c r="EF73" s="29">
        <f t="shared" si="48"/>
        <v>21130501.239608873</v>
      </c>
      <c r="EG73" s="29">
        <f t="shared" si="49"/>
        <v>2710</v>
      </c>
      <c r="EH73" s="29">
        <f t="shared" si="50"/>
        <v>394011</v>
      </c>
      <c r="EI73" s="29">
        <f t="shared" si="51"/>
        <v>314789</v>
      </c>
      <c r="EJ73" s="29">
        <f t="shared" si="52"/>
        <v>9848879</v>
      </c>
      <c r="EK73" s="29">
        <f t="shared" si="53"/>
        <v>10036719.147208123</v>
      </c>
      <c r="EL73" s="29">
        <f>IF(CD73=1,VLOOKUP(EA73,'EIA 2022'!$A$2:$J$213,4,0)*EH73,"")</f>
        <v>41891249.519999996</v>
      </c>
      <c r="EM73" s="29">
        <f>IF(CD73=1,VLOOKUP(EA73,'EIA 2022'!$A$2:$J$213,7,0)*EH73,"")</f>
        <v>538219.02600000007</v>
      </c>
      <c r="EN73" s="29">
        <f>IF(CD73=1,VLOOKUP(EA73,'EIA 2022'!$A$2:$J$213,10,0),"")</f>
        <v>393977</v>
      </c>
      <c r="EO73" s="28">
        <f>IF(CD73=1,VLOOKUP(EA73,'EIA 2022'!$A$2:$Z$213,26,0),"")</f>
        <v>0</v>
      </c>
      <c r="EP73" s="23">
        <f t="shared" si="54"/>
        <v>1.871529375815735E-2</v>
      </c>
      <c r="EQ73" s="32">
        <f t="shared" si="55"/>
        <v>126948.85279187746</v>
      </c>
      <c r="ER73" s="32">
        <f t="shared" si="56"/>
        <v>187840.14720812254</v>
      </c>
      <c r="ES73" s="32"/>
      <c r="ET73" s="32"/>
    </row>
    <row r="74" spans="1:150" ht="15.75" customHeight="1">
      <c r="A74" s="7" t="s">
        <v>423</v>
      </c>
      <c r="B74" s="7" t="s">
        <v>424</v>
      </c>
      <c r="C74" s="32" t="s">
        <v>943</v>
      </c>
      <c r="D74" s="42">
        <v>276913122</v>
      </c>
      <c r="E74" s="42">
        <v>0</v>
      </c>
      <c r="F74" s="42">
        <v>460294896</v>
      </c>
      <c r="G74" s="42">
        <v>938921303</v>
      </c>
      <c r="H74" s="42">
        <v>903510878</v>
      </c>
      <c r="I74" s="42">
        <v>15188461</v>
      </c>
      <c r="J74" s="42">
        <v>1145002</v>
      </c>
      <c r="K74" s="42">
        <v>1743527</v>
      </c>
      <c r="L74" s="42">
        <v>5442789</v>
      </c>
      <c r="M74" s="42">
        <v>12119669</v>
      </c>
      <c r="N74" s="42">
        <v>439799</v>
      </c>
      <c r="O74" s="42">
        <v>23701825</v>
      </c>
      <c r="P74" s="42">
        <v>4830453</v>
      </c>
      <c r="Q74" s="42">
        <v>680099</v>
      </c>
      <c r="R74" s="42">
        <v>0</v>
      </c>
      <c r="S74" s="42">
        <v>793106</v>
      </c>
      <c r="T74" s="42">
        <v>45221314</v>
      </c>
      <c r="U74" s="42">
        <v>6869640</v>
      </c>
      <c r="V74" s="42">
        <v>201</v>
      </c>
      <c r="W74" s="42">
        <v>2419845</v>
      </c>
      <c r="X74" s="42">
        <f>IFERROR(VLOOKUP(A74,'Trans 21-23'!$A$2:$J$229,8,0),0)</f>
        <v>5574158</v>
      </c>
      <c r="Y74" s="42">
        <v>4567162</v>
      </c>
      <c r="Z74" s="42">
        <v>374698</v>
      </c>
      <c r="AA74" s="42">
        <v>69758751</v>
      </c>
      <c r="AB74" s="42">
        <v>115867455</v>
      </c>
      <c r="AC74" s="42">
        <v>9853502</v>
      </c>
      <c r="AD74" s="42">
        <v>172450007</v>
      </c>
      <c r="AE74" s="42">
        <v>0</v>
      </c>
      <c r="AF74" s="42">
        <v>2390845190</v>
      </c>
      <c r="AG74" s="42">
        <v>1551784</v>
      </c>
      <c r="AH74" s="42">
        <v>1622725</v>
      </c>
      <c r="AI74" s="42">
        <v>37855270</v>
      </c>
      <c r="AJ74" s="42">
        <v>20404</v>
      </c>
      <c r="AK74" s="42">
        <v>0</v>
      </c>
      <c r="AL74" s="42">
        <v>9847574</v>
      </c>
      <c r="AM74" s="42">
        <v>12726276</v>
      </c>
      <c r="AN74" s="42">
        <v>5972809</v>
      </c>
      <c r="AO74" s="42">
        <v>152069</v>
      </c>
      <c r="AP74" s="42">
        <v>91545</v>
      </c>
      <c r="AQ74" s="42">
        <v>28793711</v>
      </c>
      <c r="AR74" s="42">
        <v>7418430</v>
      </c>
      <c r="AS74" s="42">
        <v>36212141</v>
      </c>
      <c r="AT74" s="42">
        <v>0</v>
      </c>
      <c r="AU74" s="42">
        <v>6768</v>
      </c>
      <c r="AV74" s="42">
        <v>0</v>
      </c>
      <c r="AW74" s="42">
        <v>596033222</v>
      </c>
      <c r="AX74" s="42">
        <v>573285178</v>
      </c>
      <c r="AY74" s="42">
        <v>2185421546</v>
      </c>
      <c r="AZ74" s="42">
        <v>284824903</v>
      </c>
      <c r="BA74" s="42">
        <v>196983161</v>
      </c>
      <c r="BB74" s="42">
        <v>6605438477</v>
      </c>
      <c r="BC74" s="42">
        <v>17744385971</v>
      </c>
      <c r="BD74" s="42">
        <v>544274346</v>
      </c>
      <c r="BE74" s="42">
        <v>1649791644</v>
      </c>
      <c r="BF74" s="42">
        <v>147607096</v>
      </c>
      <c r="BG74" s="42">
        <v>0</v>
      </c>
      <c r="BH74" s="42">
        <v>48102190</v>
      </c>
      <c r="BI74" s="42">
        <v>14254924</v>
      </c>
      <c r="BJ74" s="42">
        <v>829756</v>
      </c>
      <c r="BK74" s="42">
        <v>3612282</v>
      </c>
      <c r="BL74" s="42">
        <v>0</v>
      </c>
      <c r="BM74" s="42">
        <v>55303822</v>
      </c>
      <c r="BN74" s="42">
        <v>207013311</v>
      </c>
      <c r="BO74" s="42">
        <v>3908310</v>
      </c>
      <c r="BP74" s="42">
        <v>15389474</v>
      </c>
      <c r="BQ74" s="42">
        <v>441789991</v>
      </c>
      <c r="BR74" s="42">
        <v>3438</v>
      </c>
      <c r="BS74" s="42">
        <f>IFERROR(VLOOKUP(A74,'Trans 21-23'!$A$2:$J$229,7,0),0)</f>
        <v>504815871</v>
      </c>
      <c r="BT74" s="63"/>
      <c r="BU74" s="32">
        <f t="shared" si="0"/>
        <v>6605438477</v>
      </c>
      <c r="BV74" s="32">
        <f t="shared" si="1"/>
        <v>6768</v>
      </c>
      <c r="BW74" s="32">
        <f t="shared" si="2"/>
        <v>1551784</v>
      </c>
      <c r="BX74" s="32">
        <f t="shared" si="3"/>
        <v>120595730</v>
      </c>
      <c r="BY74" s="32">
        <f t="shared" si="4"/>
        <v>200421568</v>
      </c>
      <c r="BZ74" s="32">
        <f t="shared" si="5"/>
        <v>284824903</v>
      </c>
      <c r="CA74" s="32">
        <f t="shared" si="6"/>
        <v>172450007</v>
      </c>
      <c r="CB74" s="32">
        <f t="shared" si="7"/>
        <v>1622725</v>
      </c>
      <c r="CC74" s="32">
        <f t="shared" si="8"/>
        <v>28793711</v>
      </c>
      <c r="CD74" s="41">
        <f t="shared" si="62"/>
        <v>1</v>
      </c>
      <c r="CE74" s="44">
        <f t="shared" si="10"/>
        <v>8</v>
      </c>
      <c r="CF74" s="27"/>
      <c r="CG74" s="28">
        <f t="shared" si="11"/>
        <v>975.98086244089836</v>
      </c>
      <c r="CH74" s="28">
        <f t="shared" si="12"/>
        <v>4.3614317456553229</v>
      </c>
      <c r="CI74" s="28">
        <f t="shared" si="13"/>
        <v>77.71425017914865</v>
      </c>
      <c r="CJ74" s="28">
        <f t="shared" si="14"/>
        <v>183.54674555221604</v>
      </c>
      <c r="CK74" s="23">
        <f t="shared" si="15"/>
        <v>5.635692460759921E-2</v>
      </c>
      <c r="CL74" s="29" t="str">
        <f t="shared" si="16"/>
        <v/>
      </c>
      <c r="CM74" s="29" t="str">
        <f t="shared" si="17"/>
        <v/>
      </c>
      <c r="CN74" s="29" t="str">
        <f t="shared" si="18"/>
        <v/>
      </c>
      <c r="CO74" s="29" t="str">
        <f t="shared" si="19"/>
        <v/>
      </c>
      <c r="CP74" s="29" t="str">
        <f t="shared" si="20"/>
        <v/>
      </c>
      <c r="CQ74" s="29">
        <f t="shared" si="21"/>
        <v>0</v>
      </c>
      <c r="CR74" s="30"/>
      <c r="CS74" s="7">
        <f>VLOOKUP(A74,'Empresas 21-23'!$A$2:$M$228,13,0)</f>
        <v>1</v>
      </c>
      <c r="CT74" s="30"/>
      <c r="CU74" s="6">
        <f t="shared" si="22"/>
        <v>4973222249.6000004</v>
      </c>
      <c r="CV74" s="6">
        <f t="shared" si="23"/>
        <v>284824903</v>
      </c>
      <c r="CW74" s="6">
        <f t="shared" si="24"/>
        <v>544274346</v>
      </c>
      <c r="CX74" s="23">
        <f t="shared" si="60"/>
        <v>0.28913895200374901</v>
      </c>
      <c r="CY74" s="23">
        <f t="shared" si="61"/>
        <v>1.6559479915584558E-2</v>
      </c>
      <c r="CZ74" s="6">
        <f t="shared" si="27"/>
        <v>5130593163.6049662</v>
      </c>
      <c r="DA74" s="6">
        <f t="shared" si="28"/>
        <v>293837803.10115492</v>
      </c>
      <c r="DB74" s="6">
        <f t="shared" si="29"/>
        <v>120595730</v>
      </c>
      <c r="DC74" s="6">
        <f t="shared" si="30"/>
        <v>126169888</v>
      </c>
      <c r="DD74" s="6">
        <f t="shared" si="31"/>
        <v>200421568</v>
      </c>
      <c r="DE74" s="6">
        <f t="shared" si="32"/>
        <v>172450007</v>
      </c>
      <c r="DF74" s="6">
        <f t="shared" si="33"/>
        <v>97495258.401250929</v>
      </c>
      <c r="DG74" s="30"/>
      <c r="DH74" s="32">
        <f>VLOOKUP(A74,'T_med_comp-USA'!$A$7:$Q$233,17,0)</f>
        <v>11.397196883502778</v>
      </c>
      <c r="DI74" s="6" t="str">
        <f t="shared" si="34"/>
        <v>8_2011</v>
      </c>
      <c r="DJ74" s="32">
        <f>IF(DI74="","",VLOOKUP(DI74,'CPI USA'!$T:$U,2,FALSE))</f>
        <v>224.93899999999999</v>
      </c>
      <c r="DK74" s="32">
        <f>IF(DI74="","",VLOOKUP(DI74,'PPI USA'!$S:$T,2,FALSE))</f>
        <v>169.6</v>
      </c>
      <c r="DL74" s="32">
        <f>IF(DI74="","",VLOOKUP(DI74,'CPI USA'!$T:$V,3,FALSE))</f>
        <v>0.6684022975047168</v>
      </c>
      <c r="DM74" s="32">
        <f>IF(DI74="","",VLOOKUP(DI74,'CPI USA'!$T:$X,5,FALSE))</f>
        <v>0.49636791791307899</v>
      </c>
      <c r="DN74" s="32">
        <f t="shared" si="35"/>
        <v>1.4208751760332547</v>
      </c>
      <c r="DO74" s="32">
        <f t="shared" si="36"/>
        <v>1.4334111417560953</v>
      </c>
      <c r="DP74" s="32">
        <f t="shared" si="37"/>
        <v>0.40640191660298108</v>
      </c>
      <c r="DQ74" s="32">
        <f>IF(DP74="","",DP74*$DO$1/'CPI USA'!$U$520+(1-DP74)*AVERAGE($DO$1,$DQ$1)/AVERAGE('CPI USA'!$U$520,'PPI USA'!$T$526))</f>
        <v>1.0785198912137832</v>
      </c>
      <c r="DR74" s="6">
        <f t="shared" si="38"/>
        <v>18696962</v>
      </c>
      <c r="DS74" s="32">
        <f t="shared" si="39"/>
        <v>0.2</v>
      </c>
      <c r="DT74" s="28">
        <f>IF(DS74="","",DS74*$DO$1/'CPI USA'!$U$520+(1-DS74)*AVERAGE($DO$1,$DQ$1)/AVERAGE('CPI USA'!$U$520,'PPI USA'!$T$526))</f>
        <v>1.0854630593748538</v>
      </c>
      <c r="DU74" s="6">
        <f t="shared" si="40"/>
        <v>56347931.093838997</v>
      </c>
      <c r="DV74" s="6">
        <f t="shared" si="57"/>
        <v>1996003.0460507814</v>
      </c>
      <c r="DW74" s="6">
        <f t="shared" si="41"/>
        <v>18826447.951883085</v>
      </c>
      <c r="DX74" s="16">
        <f t="shared" si="42"/>
        <v>0.2</v>
      </c>
      <c r="DY74" s="28">
        <f>IF(DX74="","",DX74*$DO$1/'CPI USA'!$U$520+(1-DX74)*AVERAGE($DO$1,$DQ$1)/AVERAGE('CPI USA'!$U$520,'PPI USA'!$T$526))</f>
        <v>1.0854630593748538</v>
      </c>
      <c r="DZ74" s="30"/>
      <c r="EA74" s="29" t="str">
        <f t="shared" si="43"/>
        <v>C000822</v>
      </c>
      <c r="EB74" s="29">
        <f t="shared" si="44"/>
        <v>7289932464.4922199</v>
      </c>
      <c r="EC74" s="29">
        <f t="shared" si="45"/>
        <v>421190380.83432919</v>
      </c>
      <c r="ED74" s="29">
        <f t="shared" si="46"/>
        <v>136076733.88021523</v>
      </c>
      <c r="EE74" s="29">
        <f t="shared" si="47"/>
        <v>217550208.3659853</v>
      </c>
      <c r="EF74" s="29">
        <f t="shared" si="48"/>
        <v>105827501.45876375</v>
      </c>
      <c r="EG74" s="29">
        <f t="shared" si="49"/>
        <v>6768</v>
      </c>
      <c r="EH74" s="29">
        <f t="shared" si="50"/>
        <v>1551784</v>
      </c>
      <c r="EI74" s="29">
        <f t="shared" si="51"/>
        <v>1622725</v>
      </c>
      <c r="EJ74" s="29">
        <f t="shared" si="52"/>
        <v>28793711</v>
      </c>
      <c r="EK74" s="29">
        <f t="shared" si="53"/>
        <v>30303464.984771572</v>
      </c>
      <c r="EL74" s="29">
        <f>IF(CD74=1,VLOOKUP(EA74,'EIA 2022'!$A$2:$J$213,4,0)*EH74,"")</f>
        <v>173498761.90399998</v>
      </c>
      <c r="EM74" s="29">
        <f>IF(CD74=1,VLOOKUP(EA74,'EIA 2022'!$A$2:$J$213,7,0)*EH74,"")</f>
        <v>1817139.064</v>
      </c>
      <c r="EN74" s="29">
        <f>IF(CD74=1,VLOOKUP(EA74,'EIA 2022'!$A$2:$J$213,10,0),"")</f>
        <v>1408934</v>
      </c>
      <c r="EO74" s="28">
        <f>IF(CD74=1,VLOOKUP(EA74,'EIA 2022'!$A$2:$Z$213,26,0),"")</f>
        <v>0</v>
      </c>
      <c r="EP74" s="23">
        <f t="shared" si="54"/>
        <v>4.9821166837860684E-2</v>
      </c>
      <c r="EQ74" s="32">
        <f t="shared" si="55"/>
        <v>112971.01522842608</v>
      </c>
      <c r="ER74" s="32">
        <f t="shared" si="56"/>
        <v>1509753.9847715739</v>
      </c>
      <c r="ES74" s="32"/>
      <c r="ET74" s="32"/>
    </row>
    <row r="75" spans="1:150" ht="15.75" customHeight="1">
      <c r="A75" s="7" t="s">
        <v>426</v>
      </c>
      <c r="B75" s="7" t="s">
        <v>427</v>
      </c>
      <c r="C75" s="32" t="s">
        <v>944</v>
      </c>
      <c r="D75" s="42">
        <v>9355901</v>
      </c>
      <c r="E75" s="42">
        <v>0</v>
      </c>
      <c r="F75" s="42">
        <v>8618922</v>
      </c>
      <c r="G75" s="42">
        <v>1937942</v>
      </c>
      <c r="H75" s="42">
        <v>450454929</v>
      </c>
      <c r="I75" s="42">
        <v>2826902</v>
      </c>
      <c r="J75" s="42">
        <v>905483</v>
      </c>
      <c r="K75" s="42">
        <v>266903</v>
      </c>
      <c r="L75" s="42">
        <v>2090229</v>
      </c>
      <c r="M75" s="42">
        <v>681461</v>
      </c>
      <c r="N75" s="42">
        <v>610137</v>
      </c>
      <c r="O75" s="42">
        <v>5027750</v>
      </c>
      <c r="P75" s="42">
        <v>565433</v>
      </c>
      <c r="Q75" s="42">
        <v>36573</v>
      </c>
      <c r="R75" s="42">
        <v>0</v>
      </c>
      <c r="S75" s="42">
        <v>327802</v>
      </c>
      <c r="T75" s="42">
        <v>15771638</v>
      </c>
      <c r="U75" s="42">
        <v>579152</v>
      </c>
      <c r="V75" s="42">
        <v>0</v>
      </c>
      <c r="W75" s="42">
        <v>324004</v>
      </c>
      <c r="X75" s="42">
        <f>IFERROR(VLOOKUP(A75,'Trans 21-23'!$A$2:$J$229,8,0),0)</f>
        <v>6140414</v>
      </c>
      <c r="Y75" s="42">
        <v>38238</v>
      </c>
      <c r="Z75" s="42">
        <v>156742</v>
      </c>
      <c r="AA75" s="42">
        <v>12173623</v>
      </c>
      <c r="AB75" s="42">
        <v>12781626</v>
      </c>
      <c r="AC75" s="42">
        <v>351293</v>
      </c>
      <c r="AD75" s="42">
        <v>50449437</v>
      </c>
      <c r="AE75" s="42">
        <v>0</v>
      </c>
      <c r="AF75" s="42">
        <v>671989935</v>
      </c>
      <c r="AG75" s="42">
        <v>266952</v>
      </c>
      <c r="AH75" s="42">
        <v>527543</v>
      </c>
      <c r="AI75" s="42">
        <v>7500272</v>
      </c>
      <c r="AJ75" s="42">
        <v>5935</v>
      </c>
      <c r="AK75" s="42">
        <v>0</v>
      </c>
      <c r="AL75" s="42">
        <v>2000865</v>
      </c>
      <c r="AM75" s="42">
        <v>2748547</v>
      </c>
      <c r="AN75" s="42">
        <v>2189836</v>
      </c>
      <c r="AO75" s="42">
        <v>14437</v>
      </c>
      <c r="AP75" s="42">
        <v>11034</v>
      </c>
      <c r="AQ75" s="42">
        <v>6966794</v>
      </c>
      <c r="AR75" s="42">
        <v>0</v>
      </c>
      <c r="AS75" s="42">
        <v>6966794</v>
      </c>
      <c r="AT75" s="42">
        <v>0</v>
      </c>
      <c r="AU75" s="42">
        <v>1362</v>
      </c>
      <c r="AV75" s="42">
        <v>0</v>
      </c>
      <c r="AW75" s="42">
        <v>195350724</v>
      </c>
      <c r="AX75" s="42">
        <v>32418477</v>
      </c>
      <c r="AY75" s="42">
        <v>155505739</v>
      </c>
      <c r="AZ75" s="42">
        <v>40303345</v>
      </c>
      <c r="BA75" s="42">
        <v>19982214</v>
      </c>
      <c r="BB75" s="42">
        <v>1255516395</v>
      </c>
      <c r="BC75" s="42">
        <v>3588865927</v>
      </c>
      <c r="BD75" s="42">
        <v>179900786</v>
      </c>
      <c r="BE75" s="42">
        <v>565862013</v>
      </c>
      <c r="BF75" s="42">
        <v>38215317</v>
      </c>
      <c r="BG75" s="42">
        <v>0</v>
      </c>
      <c r="BH75" s="42">
        <v>11815809</v>
      </c>
      <c r="BI75" s="42">
        <v>2349780</v>
      </c>
      <c r="BJ75" s="42">
        <v>1423220</v>
      </c>
      <c r="BK75" s="42">
        <v>107583</v>
      </c>
      <c r="BL75" s="42">
        <v>0</v>
      </c>
      <c r="BM75" s="42">
        <v>15424446</v>
      </c>
      <c r="BN75" s="42">
        <v>49045817</v>
      </c>
      <c r="BO75" s="42">
        <v>1071396</v>
      </c>
      <c r="BP75" s="42">
        <v>2399899</v>
      </c>
      <c r="BQ75" s="42">
        <v>103763093</v>
      </c>
      <c r="BR75" s="42">
        <v>2075</v>
      </c>
      <c r="BS75" s="42">
        <f>IFERROR(VLOOKUP(A75,'Trans 21-23'!$A$2:$J$229,7,0),0)</f>
        <v>556098042</v>
      </c>
      <c r="BT75" s="63"/>
      <c r="BU75" s="32">
        <f t="shared" si="0"/>
        <v>1255516395</v>
      </c>
      <c r="BV75" s="32">
        <f t="shared" si="1"/>
        <v>1362</v>
      </c>
      <c r="BW75" s="32">
        <f t="shared" si="2"/>
        <v>266952</v>
      </c>
      <c r="BX75" s="32">
        <f t="shared" si="3"/>
        <v>30013467</v>
      </c>
      <c r="BY75" s="32">
        <f t="shared" si="4"/>
        <v>25501522</v>
      </c>
      <c r="BZ75" s="32">
        <f t="shared" si="5"/>
        <v>40303345</v>
      </c>
      <c r="CA75" s="32">
        <f t="shared" si="6"/>
        <v>50449437</v>
      </c>
      <c r="CB75" s="32">
        <f t="shared" si="7"/>
        <v>527543</v>
      </c>
      <c r="CC75" s="32">
        <f t="shared" si="8"/>
        <v>6966794</v>
      </c>
      <c r="CD75" s="41">
        <f t="shared" si="62"/>
        <v>1</v>
      </c>
      <c r="CE75" s="44">
        <f t="shared" si="10"/>
        <v>10</v>
      </c>
      <c r="CF75" s="27"/>
      <c r="CG75" s="28">
        <f t="shared" si="11"/>
        <v>921.81820484581499</v>
      </c>
      <c r="CH75" s="28">
        <f t="shared" si="12"/>
        <v>5.1020408163265305</v>
      </c>
      <c r="CI75" s="28">
        <f t="shared" si="13"/>
        <v>112.43020093499955</v>
      </c>
      <c r="CJ75" s="28">
        <f t="shared" si="14"/>
        <v>150.97599943060925</v>
      </c>
      <c r="CK75" s="23">
        <f t="shared" si="15"/>
        <v>7.5722491579340509E-2</v>
      </c>
      <c r="CL75" s="29" t="str">
        <f t="shared" si="16"/>
        <v/>
      </c>
      <c r="CM75" s="29" t="str">
        <f t="shared" si="17"/>
        <v/>
      </c>
      <c r="CN75" s="29" t="str">
        <f t="shared" si="18"/>
        <v/>
      </c>
      <c r="CO75" s="29" t="str">
        <f t="shared" si="19"/>
        <v/>
      </c>
      <c r="CP75" s="29" t="str">
        <f t="shared" si="20"/>
        <v/>
      </c>
      <c r="CQ75" s="29">
        <f t="shared" si="21"/>
        <v>0</v>
      </c>
      <c r="CR75" s="30"/>
      <c r="CS75" s="7">
        <f>VLOOKUP(A75,'Empresas 21-23'!$A$2:$M$228,13,0)</f>
        <v>1</v>
      </c>
      <c r="CT75" s="30"/>
      <c r="CU75" s="6">
        <f t="shared" si="22"/>
        <v>1638574348.4000001</v>
      </c>
      <c r="CV75" s="6">
        <f t="shared" si="23"/>
        <v>40303345</v>
      </c>
      <c r="CW75" s="6">
        <f t="shared" si="24"/>
        <v>179900786</v>
      </c>
      <c r="CX75" s="23">
        <f t="shared" si="60"/>
        <v>0.48066620825560391</v>
      </c>
      <c r="CY75" s="23">
        <f t="shared" si="61"/>
        <v>1.1822750697936809E-2</v>
      </c>
      <c r="CZ75" s="6">
        <f t="shared" si="27"/>
        <v>1725046577.0688229</v>
      </c>
      <c r="DA75" s="6">
        <f t="shared" si="28"/>
        <v>42430267.143240884</v>
      </c>
      <c r="DB75" s="6">
        <f t="shared" si="29"/>
        <v>30013467</v>
      </c>
      <c r="DC75" s="6">
        <f t="shared" si="30"/>
        <v>36153881</v>
      </c>
      <c r="DD75" s="6">
        <f t="shared" si="31"/>
        <v>25501522</v>
      </c>
      <c r="DE75" s="6">
        <f t="shared" si="32"/>
        <v>50449437</v>
      </c>
      <c r="DF75" s="6">
        <f t="shared" si="33"/>
        <v>20315232.278720077</v>
      </c>
      <c r="DG75" s="30"/>
      <c r="DH75" s="32">
        <f>VLOOKUP(A75,'T_med_comp-USA'!$A$7:$Q$233,17,0)</f>
        <v>14.322873235005426</v>
      </c>
      <c r="DI75" s="6" t="str">
        <f t="shared" si="34"/>
        <v>9_2008</v>
      </c>
      <c r="DJ75" s="32">
        <f>IF(DI75="","",VLOOKUP(DI75,'CPI USA'!$T:$U,2,FALSE))</f>
        <v>215.303</v>
      </c>
      <c r="DK75" s="32">
        <f>IF(DI75="","",VLOOKUP(DI75,'PPI USA'!$S:$T,2,FALSE))</f>
        <v>159.30000000000001</v>
      </c>
      <c r="DL75" s="32">
        <f>IF(DI75="","",VLOOKUP(DI75,'CPI USA'!$T:$V,3,FALSE))</f>
        <v>0.67018812038291731</v>
      </c>
      <c r="DM75" s="32">
        <f>IF(DI75="","",VLOOKUP(DI75,'CPI USA'!$T:$X,5,FALSE))</f>
        <v>0.49838492968660258</v>
      </c>
      <c r="DN75" s="32">
        <f t="shared" si="35"/>
        <v>1.4884333659448254</v>
      </c>
      <c r="DO75" s="32">
        <f t="shared" si="36"/>
        <v>1.5036496327119213</v>
      </c>
      <c r="DP75" s="32">
        <f t="shared" si="37"/>
        <v>0.40228351390451056</v>
      </c>
      <c r="DQ75" s="32">
        <f>IF(DP75="","",DP75*$DO$1/'CPI USA'!$U$520+(1-DP75)*AVERAGE($DO$1,$DQ$1)/AVERAGE('CPI USA'!$U$520,'PPI USA'!$T$526))</f>
        <v>1.0786584304432687</v>
      </c>
      <c r="DR75" s="6">
        <f t="shared" si="38"/>
        <v>3880583</v>
      </c>
      <c r="DS75" s="32">
        <f t="shared" si="39"/>
        <v>0.2</v>
      </c>
      <c r="DT75" s="28">
        <f>IF(DS75="","",DS75*$DO$1/'CPI USA'!$U$520+(1-DS75)*AVERAGE($DO$1,$DQ$1)/AVERAGE('CPI USA'!$U$520,'PPI USA'!$T$526))</f>
        <v>1.0854630593748538</v>
      </c>
      <c r="DU75" s="6">
        <f t="shared" si="40"/>
        <v>15761389.918104494</v>
      </c>
      <c r="DV75" s="6">
        <f t="shared" si="57"/>
        <v>365192.83844739542</v>
      </c>
      <c r="DW75" s="6">
        <f t="shared" si="41"/>
        <v>5161075.5014495738</v>
      </c>
      <c r="DX75" s="16">
        <f t="shared" si="42"/>
        <v>0.25404954423561915</v>
      </c>
      <c r="DY75" s="28">
        <f>IF(DX75="","",DX75*$DO$1/'CPI USA'!$U$520+(1-DX75)*AVERAGE($DO$1,$DQ$1)/AVERAGE('CPI USA'!$U$520,'PPI USA'!$T$526))</f>
        <v>1.0836448830670291</v>
      </c>
      <c r="DZ75" s="30"/>
      <c r="EA75" s="29" t="str">
        <f t="shared" si="43"/>
        <v>C000823</v>
      </c>
      <c r="EB75" s="29">
        <f t="shared" si="44"/>
        <v>2567616883.1181479</v>
      </c>
      <c r="EC75" s="29">
        <f t="shared" si="45"/>
        <v>63800255.605802856</v>
      </c>
      <c r="ED75" s="29">
        <f t="shared" si="46"/>
        <v>38997688.533892713</v>
      </c>
      <c r="EE75" s="29">
        <f t="shared" si="47"/>
        <v>27680960.088835139</v>
      </c>
      <c r="EF75" s="29">
        <f t="shared" si="48"/>
        <v>22014497.507153153</v>
      </c>
      <c r="EG75" s="29">
        <f t="shared" si="49"/>
        <v>1362</v>
      </c>
      <c r="EH75" s="29">
        <f t="shared" si="50"/>
        <v>266952</v>
      </c>
      <c r="EI75" s="29">
        <f t="shared" si="51"/>
        <v>527543</v>
      </c>
      <c r="EJ75" s="29">
        <f t="shared" si="52"/>
        <v>6966794</v>
      </c>
      <c r="EK75" s="29">
        <f t="shared" si="53"/>
        <v>7494337</v>
      </c>
      <c r="EL75" s="29">
        <f>IF(CD75=1,VLOOKUP(EA75,'EIA 2022'!$A$2:$J$213,4,0)*EH75,"")</f>
        <v>56547641.303999998</v>
      </c>
      <c r="EM75" s="29">
        <f>IF(CD75=1,VLOOKUP(EA75,'EIA 2022'!$A$2:$J$213,7,0)*EH75,"")</f>
        <v>526429.34400000004</v>
      </c>
      <c r="EN75" s="29">
        <f>IF(CD75=1,VLOOKUP(EA75,'EIA 2022'!$A$2:$J$213,10,0),"")</f>
        <v>9141</v>
      </c>
      <c r="EO75" s="28">
        <f>IF(CD75=1,VLOOKUP(EA75,'EIA 2022'!$A$2:$Z$213,26,0),"")</f>
        <v>0</v>
      </c>
      <c r="EP75" s="23">
        <f t="shared" si="54"/>
        <v>7.0392217483681352E-2</v>
      </c>
      <c r="EQ75" s="32">
        <f t="shared" si="55"/>
        <v>0</v>
      </c>
      <c r="ER75" s="32">
        <f t="shared" si="56"/>
        <v>527543</v>
      </c>
      <c r="ES75" s="32"/>
      <c r="ET75" s="32"/>
    </row>
    <row r="76" spans="1:150" ht="15.75" customHeight="1">
      <c r="A76" s="7" t="s">
        <v>429</v>
      </c>
      <c r="B76" s="7" t="s">
        <v>430</v>
      </c>
      <c r="C76" s="32" t="s">
        <v>945</v>
      </c>
      <c r="D76" s="42">
        <v>284472170</v>
      </c>
      <c r="E76" s="42">
        <v>118153272</v>
      </c>
      <c r="F76" s="42">
        <v>240473124</v>
      </c>
      <c r="G76" s="42">
        <v>1062214692</v>
      </c>
      <c r="H76" s="42">
        <v>1206686677</v>
      </c>
      <c r="I76" s="42">
        <v>16333026</v>
      </c>
      <c r="J76" s="42">
        <v>3025752</v>
      </c>
      <c r="K76" s="42">
        <v>1145333</v>
      </c>
      <c r="L76" s="42">
        <v>4933639</v>
      </c>
      <c r="M76" s="42">
        <v>7386712</v>
      </c>
      <c r="N76" s="42">
        <v>1347236</v>
      </c>
      <c r="O76" s="42">
        <v>16968169</v>
      </c>
      <c r="P76" s="42">
        <v>2901539</v>
      </c>
      <c r="Q76" s="42">
        <v>83913</v>
      </c>
      <c r="R76" s="42">
        <v>0</v>
      </c>
      <c r="S76" s="42">
        <v>1716010</v>
      </c>
      <c r="T76" s="42">
        <v>51441608</v>
      </c>
      <c r="U76" s="42">
        <v>5239674</v>
      </c>
      <c r="V76" s="42">
        <v>0</v>
      </c>
      <c r="W76" s="42">
        <v>540792</v>
      </c>
      <c r="X76" s="42">
        <f>IFERROR(VLOOKUP(A76,'Trans 21-23'!$A$2:$J$229,8,0),0)</f>
        <v>12713151</v>
      </c>
      <c r="Y76" s="42">
        <v>1145078</v>
      </c>
      <c r="Z76" s="42">
        <v>314597</v>
      </c>
      <c r="AA76" s="42">
        <v>61688848</v>
      </c>
      <c r="AB76" s="42">
        <v>142127068</v>
      </c>
      <c r="AC76" s="42">
        <v>7691538</v>
      </c>
      <c r="AD76" s="42">
        <v>289200391</v>
      </c>
      <c r="AE76" s="42">
        <v>0</v>
      </c>
      <c r="AF76" s="42">
        <v>3358932723</v>
      </c>
      <c r="AG76" s="42">
        <v>1538707</v>
      </c>
      <c r="AH76" s="42">
        <v>1564326</v>
      </c>
      <c r="AI76" s="42">
        <v>57595651</v>
      </c>
      <c r="AJ76" s="42">
        <v>49813</v>
      </c>
      <c r="AK76" s="42">
        <v>319</v>
      </c>
      <c r="AL76" s="42">
        <v>10721559</v>
      </c>
      <c r="AM76" s="42">
        <v>14505025</v>
      </c>
      <c r="AN76" s="42">
        <v>7972062</v>
      </c>
      <c r="AO76" s="42">
        <v>113345</v>
      </c>
      <c r="AP76" s="42">
        <v>79606</v>
      </c>
      <c r="AQ76" s="42">
        <v>33396282</v>
      </c>
      <c r="AR76" s="42">
        <v>16157437</v>
      </c>
      <c r="AS76" s="42">
        <v>49553719</v>
      </c>
      <c r="AT76" s="42">
        <v>0</v>
      </c>
      <c r="AU76" s="42">
        <v>7882</v>
      </c>
      <c r="AV76" s="42">
        <v>0</v>
      </c>
      <c r="AW76" s="42">
        <v>655121856</v>
      </c>
      <c r="AX76" s="42">
        <v>397655482</v>
      </c>
      <c r="AY76" s="42">
        <v>1430081925</v>
      </c>
      <c r="AZ76" s="42">
        <v>118182797</v>
      </c>
      <c r="BA76" s="42">
        <v>93662402</v>
      </c>
      <c r="BB76" s="42">
        <v>5162167854</v>
      </c>
      <c r="BC76" s="42">
        <v>22572043792</v>
      </c>
      <c r="BD76" s="42">
        <v>837282706</v>
      </c>
      <c r="BE76" s="42">
        <v>1880626988</v>
      </c>
      <c r="BF76" s="42">
        <v>139806785</v>
      </c>
      <c r="BG76" s="42">
        <v>0</v>
      </c>
      <c r="BH76" s="42">
        <v>50411889</v>
      </c>
      <c r="BI76" s="42">
        <v>15333320</v>
      </c>
      <c r="BJ76" s="42">
        <v>1385875</v>
      </c>
      <c r="BK76" s="42">
        <v>2457345</v>
      </c>
      <c r="BL76" s="42">
        <v>0</v>
      </c>
      <c r="BM76" s="42">
        <v>90745537</v>
      </c>
      <c r="BN76" s="42">
        <v>421016764</v>
      </c>
      <c r="BO76" s="42">
        <v>11539059</v>
      </c>
      <c r="BP76" s="42">
        <v>15221166</v>
      </c>
      <c r="BQ76" s="42">
        <v>662304554</v>
      </c>
      <c r="BR76" s="42">
        <v>4685</v>
      </c>
      <c r="BS76" s="42">
        <f>IFERROR(VLOOKUP(A76,'Trans 21-23'!$A$2:$J$229,7,0),0)</f>
        <v>1151348915</v>
      </c>
      <c r="BT76" s="63"/>
      <c r="BU76" s="32">
        <f t="shared" si="0"/>
        <v>5162167854</v>
      </c>
      <c r="BV76" s="32">
        <f t="shared" si="1"/>
        <v>7882</v>
      </c>
      <c r="BW76" s="32">
        <f t="shared" si="2"/>
        <v>1538707</v>
      </c>
      <c r="BX76" s="32">
        <f t="shared" si="3"/>
        <v>113063403</v>
      </c>
      <c r="BY76" s="32">
        <f t="shared" si="4"/>
        <v>212967129</v>
      </c>
      <c r="BZ76" s="32">
        <f t="shared" si="5"/>
        <v>118182797</v>
      </c>
      <c r="CA76" s="32">
        <f t="shared" si="6"/>
        <v>289200391</v>
      </c>
      <c r="CB76" s="32">
        <f t="shared" si="7"/>
        <v>1564326</v>
      </c>
      <c r="CC76" s="32">
        <f t="shared" si="8"/>
        <v>33396282</v>
      </c>
      <c r="CD76" s="41">
        <f t="shared" si="62"/>
        <v>1</v>
      </c>
      <c r="CE76" s="44">
        <f t="shared" si="10"/>
        <v>7</v>
      </c>
      <c r="CF76" s="27"/>
      <c r="CG76" s="28">
        <f t="shared" si="11"/>
        <v>654.93121720375541</v>
      </c>
      <c r="CH76" s="28">
        <f t="shared" si="12"/>
        <v>5.1224827078839574</v>
      </c>
      <c r="CI76" s="28">
        <f t="shared" si="13"/>
        <v>73.479488297642106</v>
      </c>
      <c r="CJ76" s="28">
        <f t="shared" si="14"/>
        <v>76.806563562783552</v>
      </c>
      <c r="CK76" s="23">
        <f t="shared" si="15"/>
        <v>4.684132203698603E-2</v>
      </c>
      <c r="CL76" s="29" t="str">
        <f t="shared" si="16"/>
        <v/>
      </c>
      <c r="CM76" s="29" t="str">
        <f t="shared" si="17"/>
        <v/>
      </c>
      <c r="CN76" s="29" t="str">
        <f t="shared" si="18"/>
        <v/>
      </c>
      <c r="CO76" s="29" t="str">
        <f t="shared" si="19"/>
        <v/>
      </c>
      <c r="CP76" s="29" t="str">
        <f t="shared" si="20"/>
        <v/>
      </c>
      <c r="CQ76" s="29">
        <f t="shared" si="21"/>
        <v>0</v>
      </c>
      <c r="CR76" s="30"/>
      <c r="CS76" s="7">
        <f>VLOOKUP(A76,'Empresas 21-23'!$A$2:$M$228,13,0)</f>
        <v>1</v>
      </c>
      <c r="CT76" s="30"/>
      <c r="CU76" s="6">
        <f t="shared" si="22"/>
        <v>5005029125.8000002</v>
      </c>
      <c r="CV76" s="6">
        <f t="shared" si="23"/>
        <v>118182797</v>
      </c>
      <c r="CW76" s="6">
        <f t="shared" si="24"/>
        <v>837282706</v>
      </c>
      <c r="CX76" s="23">
        <f t="shared" si="60"/>
        <v>0.23027762329643858</v>
      </c>
      <c r="CY76" s="23">
        <f t="shared" si="61"/>
        <v>5.4375015456749149E-3</v>
      </c>
      <c r="CZ76" s="6">
        <f t="shared" si="27"/>
        <v>5197836597.3648911</v>
      </c>
      <c r="DA76" s="6">
        <f t="shared" si="28"/>
        <v>122735523.00804187</v>
      </c>
      <c r="DB76" s="6">
        <f t="shared" si="29"/>
        <v>113063403</v>
      </c>
      <c r="DC76" s="6">
        <f t="shared" si="30"/>
        <v>125776554</v>
      </c>
      <c r="DD76" s="6">
        <f t="shared" si="31"/>
        <v>212967129</v>
      </c>
      <c r="DE76" s="6">
        <f t="shared" si="32"/>
        <v>289200391</v>
      </c>
      <c r="DF76" s="6">
        <f t="shared" si="33"/>
        <v>80302503.654222041</v>
      </c>
      <c r="DG76" s="30"/>
      <c r="DH76" s="32">
        <f>VLOOKUP(A76,'T_med_comp-USA'!$A$7:$Q$233,17,0)</f>
        <v>13.00134785928905</v>
      </c>
      <c r="DI76" s="6" t="str">
        <f t="shared" si="34"/>
        <v>1_2010</v>
      </c>
      <c r="DJ76" s="32">
        <f>IF(DI76="","",VLOOKUP(DI76,'CPI USA'!$T:$U,2,FALSE))</f>
        <v>218.05600000000001</v>
      </c>
      <c r="DK76" s="32">
        <f>IF(DI76="","",VLOOKUP(DI76,'PPI USA'!$S:$T,2,FALSE))</f>
        <v>160.80000000000001</v>
      </c>
      <c r="DL76" s="32">
        <f>IF(DI76="","",VLOOKUP(DI76,'CPI USA'!$T:$V,3,FALSE))</f>
        <v>0.67050107279443949</v>
      </c>
      <c r="DM76" s="32">
        <f>IF(DI76="","",VLOOKUP(DI76,'CPI USA'!$T:$X,5,FALSE))</f>
        <v>0.4987389730136107</v>
      </c>
      <c r="DN76" s="32">
        <f t="shared" si="35"/>
        <v>1.4703278680244813</v>
      </c>
      <c r="DO76" s="32">
        <f t="shared" si="36"/>
        <v>1.4857204383544427</v>
      </c>
      <c r="DP76" s="32">
        <f t="shared" si="37"/>
        <v>0.45809303901503468</v>
      </c>
      <c r="DQ76" s="32">
        <f>IF(DP76="","",DP76*$DO$1/'CPI USA'!$U$520+(1-DP76)*AVERAGE($DO$1,$DQ$1)/AVERAGE('CPI USA'!$U$520,'PPI USA'!$T$526))</f>
        <v>1.0767810500186614</v>
      </c>
      <c r="DR76" s="6">
        <f t="shared" si="38"/>
        <v>19176540</v>
      </c>
      <c r="DS76" s="32">
        <f t="shared" si="39"/>
        <v>0.2</v>
      </c>
      <c r="DT76" s="28">
        <f>IF(DS76="","",DS76*$DO$1/'CPI USA'!$U$520+(1-DS76)*AVERAGE($DO$1,$DQ$1)/AVERAGE('CPI USA'!$U$520,'PPI USA'!$T$526))</f>
        <v>1.0854630593748538</v>
      </c>
      <c r="DU76" s="6">
        <f t="shared" si="40"/>
        <v>93232654.366731942</v>
      </c>
      <c r="DV76" s="6">
        <f t="shared" si="57"/>
        <v>2134582.5098451483</v>
      </c>
      <c r="DW76" s="6">
        <f t="shared" si="41"/>
        <v>15762926.229493007</v>
      </c>
      <c r="DX76" s="16">
        <f t="shared" si="42"/>
        <v>0.2</v>
      </c>
      <c r="DY76" s="28">
        <f>IF(DX76="","",DX76*$DO$1/'CPI USA'!$U$520+(1-DX76)*AVERAGE($DO$1,$DQ$1)/AVERAGE('CPI USA'!$U$520,'PPI USA'!$T$526))</f>
        <v>1.0854630593748538</v>
      </c>
      <c r="DZ76" s="30"/>
      <c r="EA76" s="29" t="str">
        <f t="shared" si="43"/>
        <v>C000824</v>
      </c>
      <c r="EB76" s="29">
        <f t="shared" si="44"/>
        <v>7642524002.5431442</v>
      </c>
      <c r="EC76" s="29">
        <f t="shared" si="45"/>
        <v>182350675.04516977</v>
      </c>
      <c r="ED76" s="29">
        <f t="shared" si="46"/>
        <v>135433809.88384888</v>
      </c>
      <c r="EE76" s="29">
        <f t="shared" si="47"/>
        <v>231167951.39061913</v>
      </c>
      <c r="EF76" s="29">
        <f t="shared" si="48"/>
        <v>87165401.291972235</v>
      </c>
      <c r="EG76" s="29">
        <f t="shared" si="49"/>
        <v>7882</v>
      </c>
      <c r="EH76" s="29">
        <f t="shared" si="50"/>
        <v>1538707</v>
      </c>
      <c r="EI76" s="29">
        <f t="shared" si="51"/>
        <v>1564326</v>
      </c>
      <c r="EJ76" s="29">
        <f t="shared" si="52"/>
        <v>33396282</v>
      </c>
      <c r="EK76" s="29">
        <f t="shared" si="53"/>
        <v>34714555.659898475</v>
      </c>
      <c r="EL76" s="29">
        <f>IF(CD76=1,VLOOKUP(EA76,'EIA 2022'!$A$2:$J$213,4,0)*EH76,"")</f>
        <v>138466704.22300002</v>
      </c>
      <c r="EM76" s="29">
        <f>IF(CD76=1,VLOOKUP(EA76,'EIA 2022'!$A$2:$J$213,7,0)*EH76,"")</f>
        <v>1666419.6809999999</v>
      </c>
      <c r="EN76" s="29">
        <f>IF(CD76=1,VLOOKUP(EA76,'EIA 2022'!$A$2:$J$213,10,0),"")</f>
        <v>1380908</v>
      </c>
      <c r="EO76" s="28">
        <f>IF(CD76=1,VLOOKUP(EA76,'EIA 2022'!$A$2:$Z$213,26,0),"")</f>
        <v>0</v>
      </c>
      <c r="EP76" s="23">
        <f t="shared" si="54"/>
        <v>3.7974666097233635E-2</v>
      </c>
      <c r="EQ76" s="32">
        <f t="shared" si="55"/>
        <v>246052.34010152332</v>
      </c>
      <c r="ER76" s="32">
        <f t="shared" si="56"/>
        <v>1318273.6598984767</v>
      </c>
      <c r="ES76" s="32"/>
      <c r="ET76" s="32"/>
    </row>
    <row r="77" spans="1:150" ht="15.75" customHeight="1">
      <c r="A77" s="7" t="s">
        <v>432</v>
      </c>
      <c r="B77" s="7" t="s">
        <v>433</v>
      </c>
      <c r="C77" s="32" t="s">
        <v>946</v>
      </c>
      <c r="D77" s="42">
        <v>401099768</v>
      </c>
      <c r="E77" s="42">
        <v>0</v>
      </c>
      <c r="F77" s="42">
        <v>80212094</v>
      </c>
      <c r="G77" s="42">
        <v>509992389</v>
      </c>
      <c r="H77" s="42">
        <v>372618339</v>
      </c>
      <c r="I77" s="42">
        <v>6033586</v>
      </c>
      <c r="J77" s="42">
        <v>1073926</v>
      </c>
      <c r="K77" s="42">
        <v>476824</v>
      </c>
      <c r="L77" s="42">
        <v>4488663</v>
      </c>
      <c r="M77" s="42">
        <v>297309</v>
      </c>
      <c r="N77" s="42">
        <v>606553</v>
      </c>
      <c r="O77" s="42">
        <v>7207736</v>
      </c>
      <c r="P77" s="42">
        <v>2494032</v>
      </c>
      <c r="Q77" s="42">
        <v>17867</v>
      </c>
      <c r="R77" s="42">
        <v>0</v>
      </c>
      <c r="S77" s="42">
        <v>503510</v>
      </c>
      <c r="T77" s="42">
        <v>6578104</v>
      </c>
      <c r="U77" s="42">
        <v>78574</v>
      </c>
      <c r="V77" s="42">
        <v>0</v>
      </c>
      <c r="W77" s="42">
        <v>176201</v>
      </c>
      <c r="X77" s="42">
        <f>IFERROR(VLOOKUP(A77,'Trans 21-23'!$A$2:$J$229,8,0),0)</f>
        <v>12832958</v>
      </c>
      <c r="Y77" s="42">
        <v>965912</v>
      </c>
      <c r="Z77" s="42">
        <v>93957</v>
      </c>
      <c r="AA77" s="42">
        <v>24930352</v>
      </c>
      <c r="AB77" s="42">
        <v>25813667</v>
      </c>
      <c r="AC77" s="42">
        <v>698638</v>
      </c>
      <c r="AD77" s="42">
        <v>119005746</v>
      </c>
      <c r="AE77" s="42">
        <v>0</v>
      </c>
      <c r="AF77" s="42">
        <v>1326179796</v>
      </c>
      <c r="AG77" s="42">
        <v>403682</v>
      </c>
      <c r="AH77" s="42">
        <v>793034</v>
      </c>
      <c r="AI77" s="42">
        <v>29667647</v>
      </c>
      <c r="AJ77" s="42">
        <v>15446</v>
      </c>
      <c r="AK77" s="42">
        <v>0</v>
      </c>
      <c r="AL77" s="42">
        <v>3844224</v>
      </c>
      <c r="AM77" s="42">
        <v>5419161</v>
      </c>
      <c r="AN77" s="42">
        <v>12817363</v>
      </c>
      <c r="AO77" s="42">
        <v>22066</v>
      </c>
      <c r="AP77" s="42">
        <v>508757</v>
      </c>
      <c r="AQ77" s="42">
        <v>22611571</v>
      </c>
      <c r="AR77" s="42">
        <v>6247596</v>
      </c>
      <c r="AS77" s="42">
        <v>28859167</v>
      </c>
      <c r="AT77" s="42">
        <v>0</v>
      </c>
      <c r="AU77" s="42">
        <v>4255</v>
      </c>
      <c r="AV77" s="42">
        <v>0</v>
      </c>
      <c r="AW77" s="42">
        <v>352824651</v>
      </c>
      <c r="AX77" s="42">
        <v>27823088</v>
      </c>
      <c r="AY77" s="42">
        <v>58204171</v>
      </c>
      <c r="AZ77" s="42">
        <v>72207178</v>
      </c>
      <c r="BA77" s="42">
        <v>38317439</v>
      </c>
      <c r="BB77" s="42">
        <v>1926282563</v>
      </c>
      <c r="BC77" s="42">
        <v>10919126185</v>
      </c>
      <c r="BD77" s="42">
        <v>627215719</v>
      </c>
      <c r="BE77" s="42">
        <v>426427779</v>
      </c>
      <c r="BF77" s="42">
        <v>46134179</v>
      </c>
      <c r="BG77" s="42">
        <v>0</v>
      </c>
      <c r="BH77" s="42">
        <v>16356939</v>
      </c>
      <c r="BI77" s="42">
        <v>8252764</v>
      </c>
      <c r="BJ77" s="42">
        <v>2241863</v>
      </c>
      <c r="BK77" s="42">
        <v>310696</v>
      </c>
      <c r="BL77" s="42">
        <v>0</v>
      </c>
      <c r="BM77" s="42">
        <v>36477932</v>
      </c>
      <c r="BN77" s="42">
        <v>123629343</v>
      </c>
      <c r="BO77" s="42">
        <v>1869221</v>
      </c>
      <c r="BP77" s="42">
        <v>1587279</v>
      </c>
      <c r="BQ77" s="42">
        <v>180408546</v>
      </c>
      <c r="BR77" s="42">
        <v>0</v>
      </c>
      <c r="BS77" s="42">
        <f>IFERROR(VLOOKUP(A77,'Trans 21-23'!$A$2:$J$229,7,0),0)</f>
        <v>1162199055</v>
      </c>
      <c r="BT77" s="63"/>
      <c r="BU77" s="32">
        <f t="shared" si="0"/>
        <v>1926282563</v>
      </c>
      <c r="BV77" s="32">
        <f t="shared" si="1"/>
        <v>4255</v>
      </c>
      <c r="BW77" s="32">
        <f t="shared" si="2"/>
        <v>403682</v>
      </c>
      <c r="BX77" s="32">
        <f t="shared" si="3"/>
        <v>30032885</v>
      </c>
      <c r="BY77" s="32">
        <f t="shared" si="4"/>
        <v>52502526</v>
      </c>
      <c r="BZ77" s="32">
        <f t="shared" si="5"/>
        <v>72207178</v>
      </c>
      <c r="CA77" s="32">
        <f t="shared" si="6"/>
        <v>119005746</v>
      </c>
      <c r="CB77" s="32">
        <f t="shared" si="7"/>
        <v>793034</v>
      </c>
      <c r="CC77" s="32">
        <f t="shared" si="8"/>
        <v>22611571</v>
      </c>
      <c r="CD77" s="41">
        <f t="shared" si="62"/>
        <v>1</v>
      </c>
      <c r="CE77" s="44">
        <f t="shared" si="10"/>
        <v>10</v>
      </c>
      <c r="CF77" s="27"/>
      <c r="CG77" s="28">
        <f t="shared" si="11"/>
        <v>452.71035558166864</v>
      </c>
      <c r="CH77" s="28">
        <f t="shared" si="12"/>
        <v>10.540474928285136</v>
      </c>
      <c r="CI77" s="28">
        <f t="shared" si="13"/>
        <v>74.397384574987242</v>
      </c>
      <c r="CJ77" s="28">
        <f t="shared" si="14"/>
        <v>178.87143345504629</v>
      </c>
      <c r="CK77" s="23">
        <f t="shared" si="15"/>
        <v>3.5072043424138909E-2</v>
      </c>
      <c r="CL77" s="29" t="str">
        <f t="shared" si="16"/>
        <v/>
      </c>
      <c r="CM77" s="29" t="str">
        <f t="shared" si="17"/>
        <v/>
      </c>
      <c r="CN77" s="29" t="str">
        <f t="shared" si="18"/>
        <v/>
      </c>
      <c r="CO77" s="29" t="str">
        <f t="shared" si="19"/>
        <v/>
      </c>
      <c r="CP77" s="29" t="str">
        <f t="shared" si="20"/>
        <v/>
      </c>
      <c r="CQ77" s="29">
        <f t="shared" si="21"/>
        <v>0</v>
      </c>
      <c r="CR77" s="30"/>
      <c r="CS77" s="7">
        <f>VLOOKUP(A77,'Empresas 21-23'!$A$2:$M$228,13,0)</f>
        <v>1</v>
      </c>
      <c r="CT77" s="30"/>
      <c r="CU77" s="6">
        <f t="shared" si="22"/>
        <v>2926340645.5999999</v>
      </c>
      <c r="CV77" s="6">
        <f t="shared" si="23"/>
        <v>72207178</v>
      </c>
      <c r="CW77" s="6">
        <f t="shared" si="24"/>
        <v>627215719</v>
      </c>
      <c r="CX77" s="23">
        <f t="shared" si="60"/>
        <v>0.28433405588470262</v>
      </c>
      <c r="CY77" s="23">
        <f t="shared" si="61"/>
        <v>7.0159158728149785E-3</v>
      </c>
      <c r="CZ77" s="6">
        <f t="shared" si="27"/>
        <v>3104679434.8979096</v>
      </c>
      <c r="DA77" s="6">
        <f t="shared" si="28"/>
        <v>76607670.718611166</v>
      </c>
      <c r="DB77" s="6">
        <f t="shared" si="29"/>
        <v>30032885</v>
      </c>
      <c r="DC77" s="6">
        <f t="shared" si="30"/>
        <v>42865843</v>
      </c>
      <c r="DD77" s="6">
        <f t="shared" si="31"/>
        <v>52502526</v>
      </c>
      <c r="DE77" s="6">
        <f t="shared" si="32"/>
        <v>119005746</v>
      </c>
      <c r="DF77" s="6">
        <f t="shared" si="33"/>
        <v>32129034.744065065</v>
      </c>
      <c r="DG77" s="30"/>
      <c r="DH77" s="32">
        <f>VLOOKUP(A77,'T_med_comp-USA'!$A$7:$Q$233,17,0)</f>
        <v>9.1717557883961334</v>
      </c>
      <c r="DI77" s="6" t="str">
        <f t="shared" si="34"/>
        <v>10_2013</v>
      </c>
      <c r="DJ77" s="32">
        <f>IF(DI77="","",VLOOKUP(DI77,'CPI USA'!$T:$U,2,FALSE))</f>
        <v>233.54599999999999</v>
      </c>
      <c r="DK77" s="32">
        <f>IF(DI77="","",VLOOKUP(DI77,'PPI USA'!$S:$T,2,FALSE))</f>
        <v>167.8</v>
      </c>
      <c r="DL77" s="32">
        <f>IF(DI77="","",VLOOKUP(DI77,'CPI USA'!$T:$V,3,FALSE))</f>
        <v>0.67305131835944076</v>
      </c>
      <c r="DM77" s="32">
        <f>IF(DI77="","",VLOOKUP(DI77,'CPI USA'!$T:$X,5,FALSE))</f>
        <v>0.50163050295255052</v>
      </c>
      <c r="DN77" s="32">
        <f t="shared" si="35"/>
        <v>1.3777427925278192</v>
      </c>
      <c r="DO77" s="32">
        <f t="shared" si="36"/>
        <v>1.3947851130840843</v>
      </c>
      <c r="DP77" s="32">
        <f t="shared" si="37"/>
        <v>0.55286891968598739</v>
      </c>
      <c r="DQ77" s="32">
        <f>IF(DP77="","",DP77*$DO$1/'CPI USA'!$U$520+(1-DP77)*AVERAGE($DO$1,$DQ$1)/AVERAGE('CPI USA'!$U$520,'PPI USA'!$T$526))</f>
        <v>1.073592877699614</v>
      </c>
      <c r="DR77" s="6">
        <f t="shared" si="38"/>
        <v>10805323</v>
      </c>
      <c r="DS77" s="32">
        <f t="shared" si="39"/>
        <v>0.20891746629267421</v>
      </c>
      <c r="DT77" s="28">
        <f>IF(DS77="","",DS77*$DO$1/'CPI USA'!$U$520+(1-DS77)*AVERAGE($DO$1,$DQ$1)/AVERAGE('CPI USA'!$U$520,'PPI USA'!$T$526))</f>
        <v>1.0851630841175512</v>
      </c>
      <c r="DU77" s="6">
        <f t="shared" si="40"/>
        <v>37029462.202105597</v>
      </c>
      <c r="DV77" s="6">
        <f t="shared" si="57"/>
        <v>323790.65643812937</v>
      </c>
      <c r="DW77" s="6">
        <f t="shared" si="41"/>
        <v>8206780.1710797213</v>
      </c>
      <c r="DX77" s="16">
        <f t="shared" si="42"/>
        <v>0.2554318931911172</v>
      </c>
      <c r="DY77" s="28">
        <f>IF(DX77="","",DX77*$DO$1/'CPI USA'!$U$520+(1-DX77)*AVERAGE($DO$1,$DQ$1)/AVERAGE('CPI USA'!$U$520,'PPI USA'!$T$526))</f>
        <v>1.0835983821361594</v>
      </c>
      <c r="DZ77" s="30"/>
      <c r="EA77" s="29" t="str">
        <f t="shared" si="43"/>
        <v>C000825</v>
      </c>
      <c r="EB77" s="29">
        <f t="shared" si="44"/>
        <v>4277449714.5399375</v>
      </c>
      <c r="EC77" s="29">
        <f t="shared" si="45"/>
        <v>106851238.66636637</v>
      </c>
      <c r="ED77" s="29">
        <f t="shared" si="46"/>
        <v>46020463.741389856</v>
      </c>
      <c r="EE77" s="29">
        <f t="shared" si="47"/>
        <v>56973803.038121924</v>
      </c>
      <c r="EF77" s="29">
        <f t="shared" si="48"/>
        <v>34814970.068265364</v>
      </c>
      <c r="EG77" s="29">
        <f t="shared" si="49"/>
        <v>4255</v>
      </c>
      <c r="EH77" s="29">
        <f t="shared" si="50"/>
        <v>403682</v>
      </c>
      <c r="EI77" s="29">
        <f t="shared" si="51"/>
        <v>793034</v>
      </c>
      <c r="EJ77" s="29">
        <f t="shared" si="52"/>
        <v>22611571</v>
      </c>
      <c r="EK77" s="29">
        <f t="shared" si="53"/>
        <v>23309463.944162436</v>
      </c>
      <c r="EL77" s="29">
        <f>IF(CD77=1,VLOOKUP(EA77,'EIA 2022'!$A$2:$J$213,4,0)*EH77,"")</f>
        <v>42959434.758000001</v>
      </c>
      <c r="EM77" s="29">
        <f>IF(CD77=1,VLOOKUP(EA77,'EIA 2022'!$A$2:$J$213,7,0)*EH77,"")</f>
        <v>375827.94200000004</v>
      </c>
      <c r="EN77" s="29">
        <f>IF(CD77=1,VLOOKUP(EA77,'EIA 2022'!$A$2:$J$213,10,0),"")</f>
        <v>7871</v>
      </c>
      <c r="EO77" s="28">
        <f>IF(CD77=1,VLOOKUP(EA77,'EIA 2022'!$A$2:$Z$213,26,0),"")</f>
        <v>0</v>
      </c>
      <c r="EP77" s="23">
        <f t="shared" si="54"/>
        <v>2.9940325776441346E-2</v>
      </c>
      <c r="EQ77" s="32">
        <f t="shared" si="55"/>
        <v>95141.055837563239</v>
      </c>
      <c r="ER77" s="32">
        <f t="shared" si="56"/>
        <v>697892.94416243676</v>
      </c>
      <c r="ES77" s="32"/>
      <c r="ET77" s="32"/>
    </row>
    <row r="78" spans="1:150" ht="15.75" customHeight="1">
      <c r="A78" s="7" t="s">
        <v>435</v>
      </c>
      <c r="B78" s="7" t="s">
        <v>436</v>
      </c>
      <c r="C78" s="32" t="s">
        <v>947</v>
      </c>
      <c r="D78" s="42">
        <v>652104104</v>
      </c>
      <c r="E78" s="42">
        <v>0</v>
      </c>
      <c r="F78" s="42">
        <v>0</v>
      </c>
      <c r="G78" s="42">
        <v>717006204</v>
      </c>
      <c r="H78" s="42">
        <v>509760099</v>
      </c>
      <c r="I78" s="42">
        <v>12750894</v>
      </c>
      <c r="J78" s="42">
        <v>454455</v>
      </c>
      <c r="K78" s="42">
        <v>843266</v>
      </c>
      <c r="L78" s="42">
        <v>4523412</v>
      </c>
      <c r="M78" s="42">
        <v>1709719</v>
      </c>
      <c r="N78" s="42">
        <v>751898</v>
      </c>
      <c r="O78" s="42">
        <v>5833580</v>
      </c>
      <c r="P78" s="42">
        <v>1166354</v>
      </c>
      <c r="Q78" s="42">
        <v>3504245</v>
      </c>
      <c r="R78" s="42">
        <v>1239514</v>
      </c>
      <c r="S78" s="42">
        <v>1838773</v>
      </c>
      <c r="T78" s="42">
        <v>25330413</v>
      </c>
      <c r="U78" s="42">
        <v>2391354</v>
      </c>
      <c r="V78" s="42">
        <v>122062</v>
      </c>
      <c r="W78" s="42">
        <v>1060566</v>
      </c>
      <c r="X78" s="42">
        <f>IFERROR(VLOOKUP(A78,'Trans 21-23'!$A$2:$J$229,8,0),0)</f>
        <v>1900179</v>
      </c>
      <c r="Y78" s="42">
        <v>2646979</v>
      </c>
      <c r="Z78" s="42">
        <v>217131</v>
      </c>
      <c r="AA78" s="42">
        <v>24373576</v>
      </c>
      <c r="AB78" s="42">
        <v>15205000</v>
      </c>
      <c r="AC78" s="42">
        <v>1232142</v>
      </c>
      <c r="AD78" s="42">
        <v>93499607</v>
      </c>
      <c r="AE78" s="42">
        <v>0</v>
      </c>
      <c r="AF78" s="42">
        <v>1472823635</v>
      </c>
      <c r="AG78" s="42">
        <v>493592</v>
      </c>
      <c r="AH78" s="42">
        <v>756787</v>
      </c>
      <c r="AI78" s="42">
        <v>23121922</v>
      </c>
      <c r="AJ78" s="42">
        <v>7453</v>
      </c>
      <c r="AK78" s="42">
        <v>0</v>
      </c>
      <c r="AL78" s="42">
        <v>6678156</v>
      </c>
      <c r="AM78" s="42">
        <v>4751030</v>
      </c>
      <c r="AN78" s="42">
        <v>9566505</v>
      </c>
      <c r="AO78" s="42">
        <v>36520</v>
      </c>
      <c r="AP78" s="42">
        <v>233342</v>
      </c>
      <c r="AQ78" s="42">
        <v>21265553</v>
      </c>
      <c r="AR78" s="42">
        <v>1092129</v>
      </c>
      <c r="AS78" s="42">
        <v>22357682</v>
      </c>
      <c r="AT78" s="42">
        <v>0</v>
      </c>
      <c r="AU78" s="42">
        <v>3950</v>
      </c>
      <c r="AV78" s="42">
        <v>0</v>
      </c>
      <c r="AW78" s="42">
        <v>423602198</v>
      </c>
      <c r="AX78" s="42">
        <v>83161019</v>
      </c>
      <c r="AY78" s="42">
        <v>200200916</v>
      </c>
      <c r="AZ78" s="42">
        <v>140797439</v>
      </c>
      <c r="BA78" s="42">
        <v>43749358</v>
      </c>
      <c r="BB78" s="42">
        <v>2535676185</v>
      </c>
      <c r="BC78" s="42">
        <v>7377471714</v>
      </c>
      <c r="BD78" s="42">
        <v>170318205</v>
      </c>
      <c r="BE78" s="42">
        <v>593875779</v>
      </c>
      <c r="BF78" s="42">
        <v>83189191</v>
      </c>
      <c r="BG78" s="42">
        <v>0</v>
      </c>
      <c r="BH78" s="42">
        <v>14909397</v>
      </c>
      <c r="BI78" s="42">
        <v>1768371</v>
      </c>
      <c r="BJ78" s="42">
        <v>2281004</v>
      </c>
      <c r="BK78" s="42">
        <v>420794</v>
      </c>
      <c r="BL78" s="42">
        <v>0</v>
      </c>
      <c r="BM78" s="42">
        <v>4124106</v>
      </c>
      <c r="BN78" s="42">
        <v>43842424</v>
      </c>
      <c r="BO78" s="42">
        <v>0</v>
      </c>
      <c r="BP78" s="42">
        <v>8195060</v>
      </c>
      <c r="BQ78" s="42">
        <v>85595889</v>
      </c>
      <c r="BR78" s="42">
        <v>0</v>
      </c>
      <c r="BS78" s="42">
        <f>IFERROR(VLOOKUP(A78,'Trans 21-23'!$A$2:$J$229,7,0),0)</f>
        <v>172087048</v>
      </c>
      <c r="BT78" s="63"/>
      <c r="BU78" s="32">
        <f t="shared" si="0"/>
        <v>2535676185</v>
      </c>
      <c r="BV78" s="32">
        <f t="shared" si="1"/>
        <v>3950</v>
      </c>
      <c r="BW78" s="32">
        <f t="shared" si="2"/>
        <v>493592</v>
      </c>
      <c r="BX78" s="32">
        <f t="shared" si="3"/>
        <v>63520505</v>
      </c>
      <c r="BY78" s="32">
        <f t="shared" si="4"/>
        <v>43674828</v>
      </c>
      <c r="BZ78" s="32">
        <f t="shared" si="5"/>
        <v>140797439</v>
      </c>
      <c r="CA78" s="32">
        <f t="shared" si="6"/>
        <v>93499607</v>
      </c>
      <c r="CB78" s="32">
        <f t="shared" si="7"/>
        <v>756787</v>
      </c>
      <c r="CC78" s="32">
        <f t="shared" si="8"/>
        <v>21265553</v>
      </c>
      <c r="CD78" s="41">
        <f t="shared" si="62"/>
        <v>1</v>
      </c>
      <c r="CE78" s="44">
        <f t="shared" si="10"/>
        <v>10</v>
      </c>
      <c r="CF78" s="27"/>
      <c r="CG78" s="28">
        <f t="shared" si="11"/>
        <v>641.94333797468346</v>
      </c>
      <c r="CH78" s="28">
        <f t="shared" si="12"/>
        <v>8.0025608194622286</v>
      </c>
      <c r="CI78" s="28">
        <f t="shared" si="13"/>
        <v>128.69030494821635</v>
      </c>
      <c r="CJ78" s="28">
        <f t="shared" si="14"/>
        <v>285.2506503346894</v>
      </c>
      <c r="CK78" s="23">
        <f t="shared" si="15"/>
        <v>3.5587459211617961E-2</v>
      </c>
      <c r="CL78" s="29" t="str">
        <f t="shared" si="16"/>
        <v/>
      </c>
      <c r="CM78" s="29" t="str">
        <f t="shared" si="17"/>
        <v/>
      </c>
      <c r="CN78" s="29" t="str">
        <f t="shared" si="18"/>
        <v/>
      </c>
      <c r="CO78" s="29" t="str">
        <f t="shared" si="19"/>
        <v/>
      </c>
      <c r="CP78" s="29" t="str">
        <f t="shared" si="20"/>
        <v/>
      </c>
      <c r="CQ78" s="29">
        <f t="shared" si="21"/>
        <v>0</v>
      </c>
      <c r="CR78" s="30"/>
      <c r="CS78" s="7">
        <f>VLOOKUP(A78,'Empresas 21-23'!$A$2:$M$228,13,0)</f>
        <v>1</v>
      </c>
      <c r="CT78" s="30"/>
      <c r="CU78" s="6">
        <f t="shared" si="22"/>
        <v>2353199275</v>
      </c>
      <c r="CV78" s="6">
        <f t="shared" si="23"/>
        <v>140797439</v>
      </c>
      <c r="CW78" s="6">
        <f t="shared" si="24"/>
        <v>170318205</v>
      </c>
      <c r="CX78" s="23">
        <f t="shared" si="60"/>
        <v>0.32650883210152531</v>
      </c>
      <c r="CY78" s="23">
        <f t="shared" si="61"/>
        <v>1.953579021512139E-2</v>
      </c>
      <c r="CZ78" s="6">
        <f t="shared" si="27"/>
        <v>2408809673.2001781</v>
      </c>
      <c r="DA78" s="6">
        <f t="shared" si="28"/>
        <v>144124739.72269604</v>
      </c>
      <c r="DB78" s="6">
        <f t="shared" si="29"/>
        <v>63520505</v>
      </c>
      <c r="DC78" s="6">
        <f t="shared" si="30"/>
        <v>65420684</v>
      </c>
      <c r="DD78" s="6">
        <f t="shared" si="31"/>
        <v>43674828</v>
      </c>
      <c r="DE78" s="6">
        <f t="shared" si="32"/>
        <v>93499607</v>
      </c>
      <c r="DF78" s="6">
        <f t="shared" si="33"/>
        <v>46906997.637213148</v>
      </c>
      <c r="DG78" s="30"/>
      <c r="DH78" s="32">
        <f>VLOOKUP(A78,'T_med_comp-USA'!$A$7:$Q$233,17,0)</f>
        <v>6.9758211040944182</v>
      </c>
      <c r="DI78" s="6" t="str">
        <f t="shared" si="34"/>
        <v>1_2016</v>
      </c>
      <c r="DJ78" s="32">
        <f>IF(DI78="","",VLOOKUP(DI78,'CPI USA'!$T:$U,2,FALSE))</f>
        <v>236.916</v>
      </c>
      <c r="DK78" s="32">
        <f>IF(DI78="","",VLOOKUP(DI78,'PPI USA'!$S:$T,2,FALSE))</f>
        <v>171</v>
      </c>
      <c r="DL78" s="32">
        <f>IF(DI78="","",VLOOKUP(DI78,'CPI USA'!$T:$V,3,FALSE))</f>
        <v>0.67131212484522451</v>
      </c>
      <c r="DM78" s="32">
        <f>IF(DI78="","",VLOOKUP(DI78,'CPI USA'!$T:$X,5,FALSE))</f>
        <v>0.49965731919331663</v>
      </c>
      <c r="DN78" s="32">
        <f t="shared" si="35"/>
        <v>1.3574220468024145</v>
      </c>
      <c r="DO78" s="32">
        <f t="shared" si="36"/>
        <v>1.3737782272163577</v>
      </c>
      <c r="DP78" s="32">
        <f t="shared" si="37"/>
        <v>0.23471786000441905</v>
      </c>
      <c r="DQ78" s="32">
        <f>IF(DP78="","",DP78*$DO$1/'CPI USA'!$U$520+(1-DP78)*AVERAGE($DO$1,$DQ$1)/AVERAGE('CPI USA'!$U$520,'PPI USA'!$T$526))</f>
        <v>1.0842951829124134</v>
      </c>
      <c r="DR78" s="6">
        <f t="shared" si="38"/>
        <v>4470169</v>
      </c>
      <c r="DS78" s="32">
        <f t="shared" si="39"/>
        <v>0.2</v>
      </c>
      <c r="DT78" s="28">
        <f>IF(DS78="","",DS78*$DO$1/'CPI USA'!$U$520+(1-DS78)*AVERAGE($DO$1,$DQ$1)/AVERAGE('CPI USA'!$U$520,'PPI USA'!$T$526))</f>
        <v>1.0854630593748538</v>
      </c>
      <c r="DU78" s="6">
        <f t="shared" si="40"/>
        <v>4124106</v>
      </c>
      <c r="DV78" s="6">
        <f t="shared" si="57"/>
        <v>436652.89575076773</v>
      </c>
      <c r="DW78" s="6">
        <f t="shared" si="41"/>
        <v>2015981.7812602953</v>
      </c>
      <c r="DX78" s="16">
        <f t="shared" si="42"/>
        <v>0.2</v>
      </c>
      <c r="DY78" s="28">
        <f>IF(DX78="","",DX78*$DO$1/'CPI USA'!$U$520+(1-DX78)*AVERAGE($DO$1,$DQ$1)/AVERAGE('CPI USA'!$U$520,'PPI USA'!$T$526))</f>
        <v>1.0854630593748538</v>
      </c>
      <c r="DZ78" s="30"/>
      <c r="EA78" s="29" t="str">
        <f t="shared" si="43"/>
        <v>C000851</v>
      </c>
      <c r="EB78" s="29">
        <f t="shared" si="44"/>
        <v>3269771356.9528408</v>
      </c>
      <c r="EC78" s="29">
        <f t="shared" si="45"/>
        <v>197995429.43426433</v>
      </c>
      <c r="ED78" s="29">
        <f t="shared" si="46"/>
        <v>70935332.5240352</v>
      </c>
      <c r="EE78" s="29">
        <f t="shared" si="47"/>
        <v>47407412.418550529</v>
      </c>
      <c r="EF78" s="29">
        <f t="shared" si="48"/>
        <v>50915813.161378421</v>
      </c>
      <c r="EG78" s="29">
        <f t="shared" si="49"/>
        <v>3950</v>
      </c>
      <c r="EH78" s="29">
        <f t="shared" si="50"/>
        <v>493592</v>
      </c>
      <c r="EI78" s="29">
        <f t="shared" si="51"/>
        <v>756787</v>
      </c>
      <c r="EJ78" s="29">
        <f t="shared" si="52"/>
        <v>21265553</v>
      </c>
      <c r="EK78" s="29">
        <f t="shared" si="53"/>
        <v>22005708.59390863</v>
      </c>
      <c r="EL78" s="29">
        <f>IF(CD78=1,VLOOKUP(EA78,'EIA 2022'!$A$2:$J$213,4,0)*EH78,"")</f>
        <v>178334789.59999999</v>
      </c>
      <c r="EM78" s="29">
        <f>IF(CD78=1,VLOOKUP(EA78,'EIA 2022'!$A$2:$J$213,7,0)*EH78,"")</f>
        <v>1231018.4480000001</v>
      </c>
      <c r="EN78" s="29">
        <f>IF(CD78=1,VLOOKUP(EA78,'EIA 2022'!$A$2:$J$213,10,0),"")</f>
        <v>500080</v>
      </c>
      <c r="EO78" s="28">
        <f>IF(CD78=1,VLOOKUP(EA78,'EIA 2022'!$A$2:$Z$213,26,0),"")</f>
        <v>0</v>
      </c>
      <c r="EP78" s="23">
        <f t="shared" si="54"/>
        <v>3.3634708500752883E-2</v>
      </c>
      <c r="EQ78" s="32">
        <f t="shared" si="55"/>
        <v>16631.40609137062</v>
      </c>
      <c r="ER78" s="32">
        <f t="shared" si="56"/>
        <v>740155.59390862938</v>
      </c>
      <c r="ES78" s="32"/>
      <c r="ET78" s="32"/>
    </row>
    <row r="79" spans="1:150" ht="15.75" customHeight="1">
      <c r="A79" s="7" t="s">
        <v>438</v>
      </c>
      <c r="B79" s="7" t="s">
        <v>439</v>
      </c>
      <c r="C79" s="32" t="s">
        <v>948</v>
      </c>
      <c r="D79" s="42">
        <v>0</v>
      </c>
      <c r="E79" s="42">
        <v>50215932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f>IFERROR(VLOOKUP(A79,'Trans 21-23'!$A$2:$J$229,8,0),0)</f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94621985</v>
      </c>
      <c r="AE79" s="42">
        <v>0</v>
      </c>
      <c r="AF79" s="42">
        <v>336926194</v>
      </c>
      <c r="AG79" s="42">
        <v>0</v>
      </c>
      <c r="AH79" s="42">
        <v>0</v>
      </c>
      <c r="AI79" s="42">
        <v>7739058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7739058</v>
      </c>
      <c r="AS79" s="42">
        <v>7739058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5427256794</v>
      </c>
      <c r="BD79" s="42">
        <v>6071392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22042</v>
      </c>
      <c r="BN79" s="42">
        <v>93062846</v>
      </c>
      <c r="BO79" s="42">
        <v>0</v>
      </c>
      <c r="BP79" s="42">
        <v>22700361</v>
      </c>
      <c r="BQ79" s="42">
        <v>115715546</v>
      </c>
      <c r="BR79" s="42">
        <v>0</v>
      </c>
      <c r="BS79" s="42">
        <f>IFERROR(VLOOKUP(A79,'Trans 21-23'!$A$2:$J$229,7,0),0)</f>
        <v>0</v>
      </c>
      <c r="BT79" s="63"/>
      <c r="BU79" s="32">
        <f t="shared" si="0"/>
        <v>0</v>
      </c>
      <c r="BV79" s="32">
        <f t="shared" si="1"/>
        <v>0</v>
      </c>
      <c r="BW79" s="32">
        <f t="shared" si="2"/>
        <v>0</v>
      </c>
      <c r="BX79" s="32">
        <f t="shared" si="3"/>
        <v>0</v>
      </c>
      <c r="BY79" s="32">
        <f t="shared" si="4"/>
        <v>0</v>
      </c>
      <c r="BZ79" s="32">
        <f t="shared" si="5"/>
        <v>0</v>
      </c>
      <c r="CA79" s="32">
        <f t="shared" si="6"/>
        <v>94621985</v>
      </c>
      <c r="CB79" s="32">
        <f t="shared" si="7"/>
        <v>0</v>
      </c>
      <c r="CC79" s="32">
        <f t="shared" si="8"/>
        <v>0</v>
      </c>
      <c r="CD79" s="41">
        <f t="shared" si="62"/>
        <v>0</v>
      </c>
      <c r="CE79" s="44">
        <f t="shared" si="10"/>
        <v>56</v>
      </c>
      <c r="CF79" s="27"/>
      <c r="CG79" s="28" t="str">
        <f t="shared" si="11"/>
        <v/>
      </c>
      <c r="CH79" s="28" t="str">
        <f t="shared" si="12"/>
        <v/>
      </c>
      <c r="CI79" s="28" t="str">
        <f t="shared" si="13"/>
        <v/>
      </c>
      <c r="CJ79" s="28" t="str">
        <f t="shared" si="14"/>
        <v/>
      </c>
      <c r="CK79" s="23" t="str">
        <f t="shared" si="15"/>
        <v/>
      </c>
      <c r="CL79" s="29" t="str">
        <f t="shared" si="16"/>
        <v/>
      </c>
      <c r="CM79" s="29" t="str">
        <f t="shared" si="17"/>
        <v/>
      </c>
      <c r="CN79" s="29" t="str">
        <f t="shared" si="18"/>
        <v/>
      </c>
      <c r="CO79" s="29" t="str">
        <f t="shared" si="19"/>
        <v/>
      </c>
      <c r="CP79" s="29" t="str">
        <f t="shared" si="20"/>
        <v/>
      </c>
      <c r="CQ79" s="29" t="str">
        <f t="shared" si="21"/>
        <v/>
      </c>
      <c r="CR79" s="30"/>
      <c r="CS79" s="7" t="str">
        <f>VLOOKUP(A79,'Empresas 21-23'!$A$2:$M$228,13,0)</f>
        <v/>
      </c>
      <c r="CT79" s="30"/>
      <c r="CU79" s="6">
        <f t="shared" si="22"/>
        <v>0</v>
      </c>
      <c r="CV79" s="6">
        <f t="shared" si="23"/>
        <v>0</v>
      </c>
      <c r="CW79" s="6">
        <f t="shared" si="24"/>
        <v>6071392</v>
      </c>
      <c r="CX79" s="23">
        <f t="shared" si="60"/>
        <v>0</v>
      </c>
      <c r="CY79" s="23">
        <f t="shared" si="61"/>
        <v>0</v>
      </c>
      <c r="CZ79" s="6">
        <f t="shared" si="27"/>
        <v>0</v>
      </c>
      <c r="DA79" s="6">
        <f t="shared" si="28"/>
        <v>0</v>
      </c>
      <c r="DB79" s="6">
        <f t="shared" si="29"/>
        <v>0</v>
      </c>
      <c r="DC79" s="6">
        <f t="shared" si="30"/>
        <v>0</v>
      </c>
      <c r="DD79" s="6">
        <f t="shared" si="31"/>
        <v>0</v>
      </c>
      <c r="DE79" s="6">
        <f t="shared" si="32"/>
        <v>94621985</v>
      </c>
      <c r="DF79" s="6">
        <f t="shared" si="33"/>
        <v>0</v>
      </c>
      <c r="DG79" s="30"/>
      <c r="DH79" s="32" t="str">
        <f>VLOOKUP(A79,'T_med_comp-USA'!$A$7:$Q$233,17,0)</f>
        <v>-</v>
      </c>
      <c r="DI79" s="6" t="str">
        <f t="shared" si="34"/>
        <v/>
      </c>
      <c r="DJ79" s="32" t="str">
        <f>IF(DI79="","",VLOOKUP(DI79,'CPI USA'!$T:$U,2,FALSE))</f>
        <v/>
      </c>
      <c r="DK79" s="32" t="str">
        <f>IF(DI79="","",VLOOKUP(DI79,'PPI USA'!$S:$T,2,FALSE))</f>
        <v/>
      </c>
      <c r="DL79" s="32" t="str">
        <f>IF(DI79="","",VLOOKUP(DI79,'CPI USA'!$T:$V,3,FALSE))</f>
        <v/>
      </c>
      <c r="DM79" s="32" t="str">
        <f>IF(DI79="","",VLOOKUP(DI79,'CPI USA'!$T:$X,5,FALSE))</f>
        <v/>
      </c>
      <c r="DN79" s="32" t="str">
        <f t="shared" si="35"/>
        <v/>
      </c>
      <c r="DO79" s="32" t="str">
        <f t="shared" si="36"/>
        <v/>
      </c>
      <c r="DP79" s="32" t="str">
        <f t="shared" si="37"/>
        <v/>
      </c>
      <c r="DQ79" s="32" t="str">
        <f>IF(DP79="","",DP79*$DO$1/'CPI USA'!$U$520+(1-DP79)*AVERAGE($DO$1,$DQ$1)/AVERAGE('CPI USA'!$U$520,'PPI USA'!$T$526))</f>
        <v/>
      </c>
      <c r="DR79" s="6">
        <f t="shared" si="38"/>
        <v>0</v>
      </c>
      <c r="DS79" s="32" t="str">
        <f t="shared" si="39"/>
        <v/>
      </c>
      <c r="DT79" s="28" t="str">
        <f>IF(DS79="","",DS79*$DO$1/'CPI USA'!$U$520+(1-DS79)*AVERAGE($DO$1,$DQ$1)/AVERAGE('CPI USA'!$U$520,'PPI USA'!$T$526))</f>
        <v/>
      </c>
      <c r="DU79" s="6" t="str">
        <f t="shared" si="40"/>
        <v/>
      </c>
      <c r="DV79" s="6">
        <f t="shared" si="57"/>
        <v>5379.3513087352349</v>
      </c>
      <c r="DW79" s="6">
        <f t="shared" si="41"/>
        <v>0</v>
      </c>
      <c r="DX79" s="16" t="str">
        <f t="shared" si="42"/>
        <v/>
      </c>
      <c r="DY79" s="28" t="str">
        <f>IF(DX79="","",DX79*$DO$1/'CPI USA'!$U$520+(1-DX79)*AVERAGE($DO$1,$DQ$1)/AVERAGE('CPI USA'!$U$520,'PPI USA'!$T$526))</f>
        <v/>
      </c>
      <c r="DZ79" s="30"/>
      <c r="EA79" s="29" t="str">
        <f t="shared" si="43"/>
        <v>C000852</v>
      </c>
      <c r="EB79" s="29" t="str">
        <f t="shared" si="44"/>
        <v/>
      </c>
      <c r="EC79" s="29" t="str">
        <f t="shared" si="45"/>
        <v/>
      </c>
      <c r="ED79" s="29" t="str">
        <f t="shared" si="46"/>
        <v/>
      </c>
      <c r="EE79" s="29" t="str">
        <f t="shared" si="47"/>
        <v/>
      </c>
      <c r="EF79" s="29" t="str">
        <f t="shared" si="48"/>
        <v/>
      </c>
      <c r="EG79" s="29" t="str">
        <f t="shared" si="49"/>
        <v/>
      </c>
      <c r="EH79" s="29" t="str">
        <f t="shared" si="50"/>
        <v/>
      </c>
      <c r="EI79" s="29" t="str">
        <f t="shared" si="51"/>
        <v/>
      </c>
      <c r="EJ79" s="29" t="str">
        <f t="shared" si="52"/>
        <v/>
      </c>
      <c r="EK79" s="29" t="str">
        <f t="shared" si="53"/>
        <v/>
      </c>
      <c r="EL79" s="29" t="str">
        <f>IF(CD79=1,VLOOKUP(EA79,'EIA 2022'!$A$2:$J$213,4,0)*EH79,"")</f>
        <v/>
      </c>
      <c r="EM79" s="29" t="str">
        <f>IF(CD79=1,VLOOKUP(EA79,'EIA 2022'!$A$2:$J$213,7,0)*EH79,"")</f>
        <v/>
      </c>
      <c r="EN79" s="29" t="str">
        <f>IF(CD79=1,VLOOKUP(EA79,'EIA 2022'!$A$2:$J$213,10,0),"")</f>
        <v/>
      </c>
      <c r="EO79" s="28" t="str">
        <f>IF(CD79=1,VLOOKUP(EA79,'EIA 2022'!$A$2:$Z$213,26,0),"")</f>
        <v/>
      </c>
      <c r="EP79" s="23" t="str">
        <f t="shared" si="54"/>
        <v/>
      </c>
      <c r="EQ79" s="32" t="str">
        <f t="shared" si="55"/>
        <v/>
      </c>
      <c r="ER79" s="32" t="str">
        <f t="shared" si="56"/>
        <v/>
      </c>
      <c r="ES79" s="32"/>
      <c r="ET79" s="32"/>
    </row>
    <row r="80" spans="1:150" ht="15.75" customHeight="1">
      <c r="A80" s="7" t="s">
        <v>441</v>
      </c>
      <c r="B80" s="7" t="s">
        <v>442</v>
      </c>
      <c r="C80" s="32" t="s">
        <v>949</v>
      </c>
      <c r="D80" s="42">
        <v>0</v>
      </c>
      <c r="E80" s="42">
        <v>0</v>
      </c>
      <c r="F80" s="42">
        <v>71975494</v>
      </c>
      <c r="G80" s="42">
        <v>96748260</v>
      </c>
      <c r="H80" s="42">
        <v>96748260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f>IFERROR(VLOOKUP(A80,'Trans 21-23'!$A$2:$J$229,8,0),0)</f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856206</v>
      </c>
      <c r="AE80" s="42">
        <v>0</v>
      </c>
      <c r="AF80" s="42">
        <v>174441245</v>
      </c>
      <c r="AG80" s="42">
        <v>0</v>
      </c>
      <c r="AH80" s="42">
        <v>0</v>
      </c>
      <c r="AI80" s="42">
        <v>2376599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2">
        <v>0</v>
      </c>
      <c r="AR80" s="42">
        <v>2376599</v>
      </c>
      <c r="AS80" s="42">
        <v>2376599</v>
      </c>
      <c r="AT80" s="42">
        <v>0</v>
      </c>
      <c r="AU80" s="42">
        <v>0</v>
      </c>
      <c r="AV80" s="42">
        <v>0</v>
      </c>
      <c r="AW80" s="42">
        <v>0</v>
      </c>
      <c r="AX80" s="42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2">
        <v>0</v>
      </c>
      <c r="BL80" s="42">
        <v>0</v>
      </c>
      <c r="BM80" s="42">
        <v>0</v>
      </c>
      <c r="BN80" s="42">
        <v>0</v>
      </c>
      <c r="BO80" s="42">
        <v>0</v>
      </c>
      <c r="BP80" s="42">
        <v>0</v>
      </c>
      <c r="BQ80" s="42">
        <v>0</v>
      </c>
      <c r="BR80" s="42">
        <v>0</v>
      </c>
      <c r="BS80" s="42">
        <f>IFERROR(VLOOKUP(A80,'Trans 21-23'!$A$2:$J$229,7,0),0)</f>
        <v>0</v>
      </c>
      <c r="BT80" s="63"/>
      <c r="BU80" s="32">
        <f t="shared" si="0"/>
        <v>0</v>
      </c>
      <c r="BV80" s="32">
        <f t="shared" si="1"/>
        <v>0</v>
      </c>
      <c r="BW80" s="32">
        <f t="shared" si="2"/>
        <v>0</v>
      </c>
      <c r="BX80" s="32">
        <f t="shared" si="3"/>
        <v>0</v>
      </c>
      <c r="BY80" s="32">
        <f t="shared" si="4"/>
        <v>0</v>
      </c>
      <c r="BZ80" s="32">
        <f t="shared" si="5"/>
        <v>0</v>
      </c>
      <c r="CA80" s="32">
        <f t="shared" si="6"/>
        <v>856206</v>
      </c>
      <c r="CB80" s="32">
        <f t="shared" si="7"/>
        <v>0</v>
      </c>
      <c r="CC80" s="32">
        <f t="shared" si="8"/>
        <v>0</v>
      </c>
      <c r="CD80" s="41">
        <f t="shared" si="62"/>
        <v>0</v>
      </c>
      <c r="CE80" s="44">
        <f t="shared" si="10"/>
        <v>60</v>
      </c>
      <c r="CF80" s="27"/>
      <c r="CG80" s="28" t="str">
        <f t="shared" si="11"/>
        <v/>
      </c>
      <c r="CH80" s="28" t="str">
        <f t="shared" si="12"/>
        <v/>
      </c>
      <c r="CI80" s="28" t="str">
        <f t="shared" si="13"/>
        <v/>
      </c>
      <c r="CJ80" s="28" t="str">
        <f t="shared" si="14"/>
        <v/>
      </c>
      <c r="CK80" s="23" t="str">
        <f t="shared" si="15"/>
        <v/>
      </c>
      <c r="CL80" s="29" t="str">
        <f t="shared" si="16"/>
        <v/>
      </c>
      <c r="CM80" s="29" t="str">
        <f t="shared" si="17"/>
        <v/>
      </c>
      <c r="CN80" s="29" t="str">
        <f t="shared" si="18"/>
        <v/>
      </c>
      <c r="CO80" s="29" t="str">
        <f t="shared" si="19"/>
        <v/>
      </c>
      <c r="CP80" s="29" t="str">
        <f t="shared" si="20"/>
        <v/>
      </c>
      <c r="CQ80" s="29" t="str">
        <f t="shared" si="21"/>
        <v/>
      </c>
      <c r="CR80" s="30"/>
      <c r="CS80" s="7" t="str">
        <f>VLOOKUP(A80,'Empresas 21-23'!$A$2:$M$228,13,0)</f>
        <v/>
      </c>
      <c r="CT80" s="30"/>
      <c r="CU80" s="6">
        <f t="shared" si="22"/>
        <v>0</v>
      </c>
      <c r="CV80" s="6">
        <f t="shared" si="23"/>
        <v>0</v>
      </c>
      <c r="CW80" s="6">
        <f t="shared" si="24"/>
        <v>0</v>
      </c>
      <c r="CX80" s="23" t="str">
        <f>IFERROR(CU80/(BC80-BD80),"")</f>
        <v/>
      </c>
      <c r="CY80" s="23" t="str">
        <f>IFERROR(CV80/(BC80-BD80),"")</f>
        <v/>
      </c>
      <c r="CZ80" s="6" t="e">
        <f t="shared" si="27"/>
        <v>#VALUE!</v>
      </c>
      <c r="DA80" s="6" t="e">
        <f t="shared" si="28"/>
        <v>#VALUE!</v>
      </c>
      <c r="DB80" s="6">
        <f t="shared" si="29"/>
        <v>0</v>
      </c>
      <c r="DC80" s="6">
        <f t="shared" si="30"/>
        <v>0</v>
      </c>
      <c r="DD80" s="6">
        <f t="shared" si="31"/>
        <v>0</v>
      </c>
      <c r="DE80" s="6">
        <f t="shared" si="32"/>
        <v>856206</v>
      </c>
      <c r="DF80" s="6">
        <f t="shared" si="33"/>
        <v>0</v>
      </c>
      <c r="DG80" s="30"/>
      <c r="DH80" s="32" t="str">
        <f>VLOOKUP(A80,'T_med_comp-USA'!$A$7:$Q$233,17,0)</f>
        <v>-</v>
      </c>
      <c r="DI80" s="6" t="str">
        <f t="shared" si="34"/>
        <v/>
      </c>
      <c r="DJ80" s="32" t="str">
        <f>IF(DI80="","",VLOOKUP(DI80,'CPI USA'!$T:$U,2,FALSE))</f>
        <v/>
      </c>
      <c r="DK80" s="32" t="str">
        <f>IF(DI80="","",VLOOKUP(DI80,'PPI USA'!$S:$T,2,FALSE))</f>
        <v/>
      </c>
      <c r="DL80" s="32" t="str">
        <f>IF(DI80="","",VLOOKUP(DI80,'CPI USA'!$T:$V,3,FALSE))</f>
        <v/>
      </c>
      <c r="DM80" s="32" t="str">
        <f>IF(DI80="","",VLOOKUP(DI80,'CPI USA'!$T:$X,5,FALSE))</f>
        <v/>
      </c>
      <c r="DN80" s="32" t="str">
        <f t="shared" si="35"/>
        <v/>
      </c>
      <c r="DO80" s="32" t="str">
        <f t="shared" si="36"/>
        <v/>
      </c>
      <c r="DP80" s="32" t="str">
        <f t="shared" si="37"/>
        <v/>
      </c>
      <c r="DQ80" s="32" t="str">
        <f>IF(DP80="","",DP80*$DO$1/'CPI USA'!$U$520+(1-DP80)*AVERAGE($DO$1,$DQ$1)/AVERAGE('CPI USA'!$U$520,'PPI USA'!$T$526))</f>
        <v/>
      </c>
      <c r="DR80" s="6">
        <f t="shared" si="38"/>
        <v>0</v>
      </c>
      <c r="DS80" s="32" t="str">
        <f t="shared" si="39"/>
        <v/>
      </c>
      <c r="DT80" s="28" t="str">
        <f>IF(DS80="","",DS80*$DO$1/'CPI USA'!$U$520+(1-DS80)*AVERAGE($DO$1,$DQ$1)/AVERAGE('CPI USA'!$U$520,'PPI USA'!$T$526))</f>
        <v/>
      </c>
      <c r="DU80" s="6" t="str">
        <f t="shared" si="40"/>
        <v/>
      </c>
      <c r="DV80" s="6" t="str">
        <f t="shared" si="57"/>
        <v/>
      </c>
      <c r="DW80" s="6">
        <f t="shared" si="41"/>
        <v>0</v>
      </c>
      <c r="DX80" s="16" t="e">
        <f t="shared" si="42"/>
        <v>#VALUE!</v>
      </c>
      <c r="DY80" s="28" t="e">
        <f>IF(DX80="","",DX80*$DO$1/'CPI USA'!$U$520+(1-DX80)*AVERAGE($DO$1,$DQ$1)/AVERAGE('CPI USA'!$U$520,'PPI USA'!$T$526))</f>
        <v>#VALUE!</v>
      </c>
      <c r="DZ80" s="30"/>
      <c r="EA80" s="29" t="str">
        <f t="shared" si="43"/>
        <v>C000862</v>
      </c>
      <c r="EB80" s="29" t="str">
        <f t="shared" si="44"/>
        <v/>
      </c>
      <c r="EC80" s="29" t="str">
        <f t="shared" si="45"/>
        <v/>
      </c>
      <c r="ED80" s="29" t="str">
        <f t="shared" si="46"/>
        <v/>
      </c>
      <c r="EE80" s="29" t="str">
        <f t="shared" si="47"/>
        <v/>
      </c>
      <c r="EF80" s="29" t="str">
        <f t="shared" si="48"/>
        <v/>
      </c>
      <c r="EG80" s="29" t="str">
        <f t="shared" si="49"/>
        <v/>
      </c>
      <c r="EH80" s="29" t="str">
        <f t="shared" si="50"/>
        <v/>
      </c>
      <c r="EI80" s="29" t="str">
        <f t="shared" si="51"/>
        <v/>
      </c>
      <c r="EJ80" s="29" t="str">
        <f t="shared" si="52"/>
        <v/>
      </c>
      <c r="EK80" s="29" t="str">
        <f t="shared" si="53"/>
        <v/>
      </c>
      <c r="EL80" s="29" t="str">
        <f>IF(CD80=1,VLOOKUP(EA80,'EIA 2022'!$A$2:$J$213,4,0)*EH80,"")</f>
        <v/>
      </c>
      <c r="EM80" s="29" t="str">
        <f>IF(CD80=1,VLOOKUP(EA80,'EIA 2022'!$A$2:$J$213,7,0)*EH80,"")</f>
        <v/>
      </c>
      <c r="EN80" s="29" t="str">
        <f>IF(CD80=1,VLOOKUP(EA80,'EIA 2022'!$A$2:$J$213,10,0),"")</f>
        <v/>
      </c>
      <c r="EO80" s="28" t="str">
        <f>IF(CD80=1,VLOOKUP(EA80,'EIA 2022'!$A$2:$Z$213,26,0),"")</f>
        <v/>
      </c>
      <c r="EP80" s="23" t="str">
        <f t="shared" si="54"/>
        <v/>
      </c>
      <c r="EQ80" s="32" t="str">
        <f t="shared" si="55"/>
        <v/>
      </c>
      <c r="ER80" s="32" t="str">
        <f t="shared" si="56"/>
        <v/>
      </c>
      <c r="ES80" s="32"/>
      <c r="ET80" s="32"/>
    </row>
    <row r="81" spans="1:150" ht="15.75" customHeight="1">
      <c r="A81" s="7" t="s">
        <v>444</v>
      </c>
      <c r="B81" s="7" t="s">
        <v>445</v>
      </c>
      <c r="C81" s="32" t="s">
        <v>950</v>
      </c>
      <c r="D81" s="42">
        <v>0</v>
      </c>
      <c r="E81" s="42">
        <v>0</v>
      </c>
      <c r="F81" s="42">
        <v>0</v>
      </c>
      <c r="G81" s="42">
        <v>553403767</v>
      </c>
      <c r="H81" s="42">
        <v>553404043</v>
      </c>
      <c r="I81" s="42">
        <v>981200</v>
      </c>
      <c r="J81" s="42">
        <v>1685915</v>
      </c>
      <c r="K81" s="42">
        <v>277633</v>
      </c>
      <c r="L81" s="42">
        <v>1080285</v>
      </c>
      <c r="M81" s="42">
        <v>2034515</v>
      </c>
      <c r="N81" s="42">
        <v>0</v>
      </c>
      <c r="O81" s="42">
        <v>17505525</v>
      </c>
      <c r="P81" s="42">
        <v>0</v>
      </c>
      <c r="Q81" s="42">
        <v>1169748</v>
      </c>
      <c r="R81" s="42">
        <v>0</v>
      </c>
      <c r="S81" s="42">
        <v>8345030</v>
      </c>
      <c r="T81" s="42">
        <v>74031069</v>
      </c>
      <c r="U81" s="42">
        <v>1422659</v>
      </c>
      <c r="V81" s="42">
        <v>290192</v>
      </c>
      <c r="W81" s="42">
        <v>170448</v>
      </c>
      <c r="X81" s="42">
        <f>IFERROR(VLOOKUP(A81,'Trans 21-23'!$A$2:$J$229,8,0),0)</f>
        <v>1694915</v>
      </c>
      <c r="Y81" s="42">
        <v>1158892</v>
      </c>
      <c r="Z81" s="42">
        <v>1661464</v>
      </c>
      <c r="AA81" s="42">
        <v>20418543</v>
      </c>
      <c r="AB81" s="42">
        <v>52152792</v>
      </c>
      <c r="AC81" s="42">
        <v>3</v>
      </c>
      <c r="AD81" s="42">
        <v>29645087</v>
      </c>
      <c r="AE81" s="42">
        <v>0</v>
      </c>
      <c r="AF81" s="42">
        <v>874073730</v>
      </c>
      <c r="AG81" s="42">
        <v>735514</v>
      </c>
      <c r="AH81" s="42">
        <v>328285</v>
      </c>
      <c r="AI81" s="42">
        <v>8258305</v>
      </c>
      <c r="AJ81" s="42">
        <v>8799</v>
      </c>
      <c r="AK81" s="42">
        <v>11711095</v>
      </c>
      <c r="AL81" s="42">
        <v>7280755</v>
      </c>
      <c r="AM81" s="42">
        <v>2719370</v>
      </c>
      <c r="AN81" s="42">
        <v>9554137</v>
      </c>
      <c r="AO81" s="42">
        <v>21664</v>
      </c>
      <c r="AP81" s="42">
        <v>0</v>
      </c>
      <c r="AQ81" s="42">
        <v>19575926</v>
      </c>
      <c r="AR81" s="42">
        <v>56390</v>
      </c>
      <c r="AS81" s="42">
        <v>19632316</v>
      </c>
      <c r="AT81" s="42">
        <v>0</v>
      </c>
      <c r="AU81" s="42">
        <v>3827</v>
      </c>
      <c r="AV81" s="42">
        <v>0</v>
      </c>
      <c r="AW81" s="42">
        <v>786766155</v>
      </c>
      <c r="AX81" s="42">
        <v>23792617</v>
      </c>
      <c r="AY81" s="42">
        <v>208111184</v>
      </c>
      <c r="AZ81" s="42">
        <v>183829567</v>
      </c>
      <c r="BA81" s="42">
        <v>43053155</v>
      </c>
      <c r="BB81" s="42">
        <v>2649969385</v>
      </c>
      <c r="BC81" s="42">
        <v>3846351099</v>
      </c>
      <c r="BD81" s="42">
        <v>258078080</v>
      </c>
      <c r="BE81" s="42">
        <v>785925155</v>
      </c>
      <c r="BF81" s="42">
        <v>70945704</v>
      </c>
      <c r="BG81" s="42">
        <v>0</v>
      </c>
      <c r="BH81" s="42">
        <v>27734794</v>
      </c>
      <c r="BI81" s="42">
        <v>986084</v>
      </c>
      <c r="BJ81" s="42">
        <v>213096</v>
      </c>
      <c r="BK81" s="42">
        <v>0</v>
      </c>
      <c r="BL81" s="42">
        <v>0</v>
      </c>
      <c r="BM81" s="42">
        <v>582604</v>
      </c>
      <c r="BN81" s="42">
        <v>32495016</v>
      </c>
      <c r="BO81" s="42">
        <v>0</v>
      </c>
      <c r="BP81" s="42">
        <v>1343363</v>
      </c>
      <c r="BQ81" s="42">
        <v>64571768</v>
      </c>
      <c r="BR81" s="42">
        <v>0</v>
      </c>
      <c r="BS81" s="42">
        <f>IFERROR(VLOOKUP(A81,'Trans 21-23'!$A$2:$J$229,7,0),0)</f>
        <v>153497615</v>
      </c>
      <c r="BT81" s="63"/>
      <c r="BU81" s="32">
        <f t="shared" si="0"/>
        <v>2649969385</v>
      </c>
      <c r="BV81" s="32">
        <f t="shared" si="1"/>
        <v>3827</v>
      </c>
      <c r="BW81" s="32">
        <f t="shared" si="2"/>
        <v>735514</v>
      </c>
      <c r="BX81" s="32">
        <f t="shared" si="3"/>
        <v>108994219</v>
      </c>
      <c r="BY81" s="32">
        <f t="shared" si="4"/>
        <v>75391694</v>
      </c>
      <c r="BZ81" s="32">
        <f t="shared" si="5"/>
        <v>183829567</v>
      </c>
      <c r="CA81" s="32">
        <f t="shared" si="6"/>
        <v>29645087</v>
      </c>
      <c r="CB81" s="32">
        <f t="shared" si="7"/>
        <v>328285</v>
      </c>
      <c r="CC81" s="32">
        <f t="shared" si="8"/>
        <v>19575926</v>
      </c>
      <c r="CD81" s="41">
        <f t="shared" si="62"/>
        <v>1</v>
      </c>
      <c r="CE81" s="44">
        <f t="shared" si="10"/>
        <v>15</v>
      </c>
      <c r="CF81" s="27"/>
      <c r="CG81" s="28">
        <f t="shared" si="11"/>
        <v>692.44039325842687</v>
      </c>
      <c r="CH81" s="28">
        <f t="shared" si="12"/>
        <v>5.2031640458237369</v>
      </c>
      <c r="CI81" s="28">
        <f t="shared" si="13"/>
        <v>148.18782375318486</v>
      </c>
      <c r="CJ81" s="28">
        <f t="shared" si="14"/>
        <v>249.93347101482772</v>
      </c>
      <c r="CK81" s="23">
        <f t="shared" si="15"/>
        <v>1.6769832497323497E-2</v>
      </c>
      <c r="CL81" s="29" t="str">
        <f t="shared" si="16"/>
        <v/>
      </c>
      <c r="CM81" s="29" t="str">
        <f t="shared" si="17"/>
        <v/>
      </c>
      <c r="CN81" s="29" t="str">
        <f t="shared" si="18"/>
        <v/>
      </c>
      <c r="CO81" s="29" t="str">
        <f t="shared" si="19"/>
        <v/>
      </c>
      <c r="CP81" s="29" t="str">
        <f t="shared" si="20"/>
        <v/>
      </c>
      <c r="CQ81" s="29">
        <f t="shared" si="21"/>
        <v>0</v>
      </c>
      <c r="CR81" s="30"/>
      <c r="CS81" s="7">
        <f>VLOOKUP(A81,'Empresas 21-23'!$A$2:$M$228,13,0)</f>
        <v>1</v>
      </c>
      <c r="CT81" s="30"/>
      <c r="CU81" s="6">
        <f t="shared" si="22"/>
        <v>2437441997.4000001</v>
      </c>
      <c r="CV81" s="6">
        <f t="shared" si="23"/>
        <v>183829567</v>
      </c>
      <c r="CW81" s="6">
        <f t="shared" si="24"/>
        <v>258078080</v>
      </c>
      <c r="CX81" s="23">
        <f t="shared" ref="CX81:CX91" si="63">CU81/(BC81-BD81)</f>
        <v>0.67927997242508598</v>
      </c>
      <c r="CY81" s="23">
        <f t="shared" ref="CY81:CY91" si="64">CV81/(BC81-BD81)</f>
        <v>5.1230652190236807E-2</v>
      </c>
      <c r="CZ81" s="6">
        <f t="shared" si="27"/>
        <v>2612749268.465919</v>
      </c>
      <c r="DA81" s="6">
        <f t="shared" si="28"/>
        <v>197051075.35440412</v>
      </c>
      <c r="DB81" s="6">
        <f t="shared" si="29"/>
        <v>108994219</v>
      </c>
      <c r="DC81" s="6">
        <f t="shared" si="30"/>
        <v>110689134</v>
      </c>
      <c r="DD81" s="6">
        <f t="shared" si="31"/>
        <v>75391694</v>
      </c>
      <c r="DE81" s="6">
        <f t="shared" si="32"/>
        <v>29645087</v>
      </c>
      <c r="DF81" s="6">
        <f t="shared" si="33"/>
        <v>18955037.94212598</v>
      </c>
      <c r="DG81" s="30"/>
      <c r="DH81" s="32">
        <f>VLOOKUP(A81,'T_med_comp-USA'!$A$7:$Q$233,17,0)</f>
        <v>11.171653046066682</v>
      </c>
      <c r="DI81" s="6" t="str">
        <f t="shared" si="34"/>
        <v>11_2011</v>
      </c>
      <c r="DJ81" s="32">
        <f>IF(DI81="","",VLOOKUP(DI81,'CPI USA'!$T:$U,2,FALSE))</f>
        <v>224.93899999999999</v>
      </c>
      <c r="DK81" s="32">
        <f>IF(DI81="","",VLOOKUP(DI81,'PPI USA'!$S:$T,2,FALSE))</f>
        <v>169.6</v>
      </c>
      <c r="DL81" s="32">
        <f>IF(DI81="","",VLOOKUP(DI81,'CPI USA'!$T:$V,3,FALSE))</f>
        <v>0.6684022975047168</v>
      </c>
      <c r="DM81" s="32">
        <f>IF(DI81="","",VLOOKUP(DI81,'CPI USA'!$T:$X,5,FALSE))</f>
        <v>0.49636791791307899</v>
      </c>
      <c r="DN81" s="32">
        <f t="shared" si="35"/>
        <v>1.4208751760332547</v>
      </c>
      <c r="DO81" s="32">
        <f t="shared" si="36"/>
        <v>1.4334111417560953</v>
      </c>
      <c r="DP81" s="32">
        <f t="shared" si="37"/>
        <v>0.25446114715496976</v>
      </c>
      <c r="DQ81" s="32">
        <f>IF(DP81="","",DP81*$DO$1/'CPI USA'!$U$520+(1-DP81)*AVERAGE($DO$1,$DQ$1)/AVERAGE('CPI USA'!$U$520,'PPI USA'!$T$526))</f>
        <v>1.0836310371283302</v>
      </c>
      <c r="DR81" s="6">
        <f t="shared" si="38"/>
        <v>1199180</v>
      </c>
      <c r="DS81" s="32">
        <f t="shared" si="39"/>
        <v>0.2</v>
      </c>
      <c r="DT81" s="28">
        <f>IF(DS81="","",DS81*$DO$1/'CPI USA'!$U$520+(1-DS81)*AVERAGE($DO$1,$DQ$1)/AVERAGE('CPI USA'!$U$520,'PPI USA'!$T$526))</f>
        <v>1.0854630593748538</v>
      </c>
      <c r="DU81" s="6">
        <f t="shared" si="40"/>
        <v>582604</v>
      </c>
      <c r="DV81" s="6">
        <f t="shared" si="57"/>
        <v>12378.117987508936</v>
      </c>
      <c r="DW81" s="6">
        <f t="shared" si="41"/>
        <v>529779.61704390345</v>
      </c>
      <c r="DX81" s="16">
        <f t="shared" si="42"/>
        <v>0.2</v>
      </c>
      <c r="DY81" s="28">
        <f>IF(DX81="","",DX81*$DO$1/'CPI USA'!$U$520+(1-DX81)*AVERAGE($DO$1,$DQ$1)/AVERAGE('CPI USA'!$U$520,'PPI USA'!$T$526))</f>
        <v>1.0854630593748538</v>
      </c>
      <c r="DZ81" s="30"/>
      <c r="EA81" s="29" t="str">
        <f t="shared" si="43"/>
        <v>C000905</v>
      </c>
      <c r="EB81" s="29">
        <f t="shared" si="44"/>
        <v>3712390576.7622705</v>
      </c>
      <c r="EC81" s="29">
        <f t="shared" si="45"/>
        <v>282455206.90802276</v>
      </c>
      <c r="ED81" s="29">
        <f t="shared" si="46"/>
        <v>119946181.07525672</v>
      </c>
      <c r="EE81" s="29">
        <f t="shared" si="47"/>
        <v>81834898.820692807</v>
      </c>
      <c r="EF81" s="29">
        <f t="shared" si="48"/>
        <v>20574993.475226499</v>
      </c>
      <c r="EG81" s="29">
        <f t="shared" si="49"/>
        <v>3827</v>
      </c>
      <c r="EH81" s="29">
        <f t="shared" si="50"/>
        <v>735514</v>
      </c>
      <c r="EI81" s="29">
        <f t="shared" si="51"/>
        <v>328285</v>
      </c>
      <c r="EJ81" s="29">
        <f t="shared" si="52"/>
        <v>19575926</v>
      </c>
      <c r="EK81" s="29">
        <f t="shared" si="53"/>
        <v>19903352.269035533</v>
      </c>
      <c r="EL81" s="29">
        <f>IF(CD81=1,VLOOKUP(EA81,'EIA 2022'!$A$2:$J$213,4,0)*EH81,"")</f>
        <v>117285062.44000001</v>
      </c>
      <c r="EM81" s="29">
        <f>IF(CD81=1,VLOOKUP(EA81,'EIA 2022'!$A$2:$J$213,7,0)*EH81,"")</f>
        <v>1084147.6359999999</v>
      </c>
      <c r="EN81" s="29">
        <f>IF(CD81=1,VLOOKUP(EA81,'EIA 2022'!$A$2:$J$213,10,0),"")</f>
        <v>746875</v>
      </c>
      <c r="EO81" s="28">
        <f>IF(CD81=1,VLOOKUP(EA81,'EIA 2022'!$A$2:$Z$213,26,0),"")</f>
        <v>0</v>
      </c>
      <c r="EP81" s="23">
        <f t="shared" si="54"/>
        <v>1.6450810125333691E-2</v>
      </c>
      <c r="EQ81" s="32">
        <f t="shared" si="55"/>
        <v>858.73096446700947</v>
      </c>
      <c r="ER81" s="32">
        <f t="shared" si="56"/>
        <v>327426.26903553301</v>
      </c>
      <c r="ES81" s="32"/>
      <c r="ET81" s="32"/>
    </row>
    <row r="82" spans="1:150" ht="15.75" customHeight="1">
      <c r="A82" s="7" t="s">
        <v>447</v>
      </c>
      <c r="B82" s="7" t="s">
        <v>448</v>
      </c>
      <c r="C82" s="32" t="s">
        <v>951</v>
      </c>
      <c r="D82" s="42">
        <v>681952471</v>
      </c>
      <c r="E82" s="42">
        <v>0</v>
      </c>
      <c r="F82" s="42">
        <v>0</v>
      </c>
      <c r="G82" s="42">
        <v>306565144</v>
      </c>
      <c r="H82" s="42">
        <v>152720360</v>
      </c>
      <c r="I82" s="42">
        <v>321097</v>
      </c>
      <c r="J82" s="42">
        <v>126620</v>
      </c>
      <c r="K82" s="42">
        <v>181823</v>
      </c>
      <c r="L82" s="42">
        <v>337354</v>
      </c>
      <c r="M82" s="42">
        <v>1922238</v>
      </c>
      <c r="N82" s="42">
        <v>0</v>
      </c>
      <c r="O82" s="42">
        <v>11703082</v>
      </c>
      <c r="P82" s="42">
        <v>0</v>
      </c>
      <c r="Q82" s="42">
        <v>868341</v>
      </c>
      <c r="R82" s="42">
        <v>0</v>
      </c>
      <c r="S82" s="42">
        <v>5892939</v>
      </c>
      <c r="T82" s="42">
        <v>54408052</v>
      </c>
      <c r="U82" s="42">
        <v>584032</v>
      </c>
      <c r="V82" s="42">
        <v>156490</v>
      </c>
      <c r="W82" s="42">
        <v>1091559</v>
      </c>
      <c r="X82" s="42">
        <f>IFERROR(VLOOKUP(A82,'Trans 21-23'!$A$2:$J$229,8,0),0)</f>
        <v>0</v>
      </c>
      <c r="Y82" s="42">
        <v>1651557</v>
      </c>
      <c r="Z82" s="42">
        <v>1871571</v>
      </c>
      <c r="AA82" s="42">
        <v>14892961</v>
      </c>
      <c r="AB82" s="42">
        <v>3646934</v>
      </c>
      <c r="AC82" s="42">
        <v>2</v>
      </c>
      <c r="AD82" s="42">
        <v>38383093</v>
      </c>
      <c r="AE82" s="42">
        <v>0</v>
      </c>
      <c r="AF82" s="42">
        <v>1310387482</v>
      </c>
      <c r="AG82" s="42">
        <v>395816</v>
      </c>
      <c r="AH82" s="42">
        <v>618740</v>
      </c>
      <c r="AI82" s="42">
        <v>15733328</v>
      </c>
      <c r="AJ82" s="42">
        <v>587</v>
      </c>
      <c r="AK82" s="42">
        <v>0</v>
      </c>
      <c r="AL82" s="42">
        <v>3700797</v>
      </c>
      <c r="AM82" s="42">
        <v>2822272</v>
      </c>
      <c r="AN82" s="42">
        <v>5745115</v>
      </c>
      <c r="AO82" s="42">
        <v>22429</v>
      </c>
      <c r="AP82" s="42">
        <v>0</v>
      </c>
      <c r="AQ82" s="42">
        <v>12290613</v>
      </c>
      <c r="AR82" s="42">
        <v>2823388</v>
      </c>
      <c r="AS82" s="42">
        <v>15114001</v>
      </c>
      <c r="AT82" s="42">
        <v>0</v>
      </c>
      <c r="AU82" s="42">
        <v>2124</v>
      </c>
      <c r="AV82" s="42">
        <v>0</v>
      </c>
      <c r="AW82" s="42">
        <v>785976890</v>
      </c>
      <c r="AX82" s="42">
        <v>14731515</v>
      </c>
      <c r="AY82" s="42">
        <v>103649215</v>
      </c>
      <c r="AZ82" s="42">
        <v>101652002</v>
      </c>
      <c r="BA82" s="42">
        <v>17499141</v>
      </c>
      <c r="BB82" s="42">
        <v>2209810049</v>
      </c>
      <c r="BC82" s="42">
        <v>6102304497</v>
      </c>
      <c r="BD82" s="42">
        <v>140518528</v>
      </c>
      <c r="BE82" s="42">
        <v>724689618</v>
      </c>
      <c r="BF82" s="42">
        <v>51603993</v>
      </c>
      <c r="BG82" s="42">
        <v>0</v>
      </c>
      <c r="BH82" s="42">
        <v>18882536</v>
      </c>
      <c r="BI82" s="42">
        <v>7928763</v>
      </c>
      <c r="BJ82" s="42">
        <v>214479</v>
      </c>
      <c r="BK82" s="42">
        <v>0</v>
      </c>
      <c r="BL82" s="42">
        <v>0</v>
      </c>
      <c r="BM82" s="42">
        <v>403472</v>
      </c>
      <c r="BN82" s="42">
        <v>67294401</v>
      </c>
      <c r="BO82" s="42">
        <v>0</v>
      </c>
      <c r="BP82" s="42">
        <v>10597365</v>
      </c>
      <c r="BQ82" s="42">
        <v>106041455</v>
      </c>
      <c r="BR82" s="42">
        <v>0</v>
      </c>
      <c r="BS82" s="42">
        <f>IFERROR(VLOOKUP(A82,'Trans 21-23'!$A$2:$J$229,7,0),0)</f>
        <v>0</v>
      </c>
      <c r="BT82" s="63"/>
      <c r="BU82" s="32">
        <f t="shared" si="0"/>
        <v>2209810049</v>
      </c>
      <c r="BV82" s="32">
        <f t="shared" si="1"/>
        <v>2124</v>
      </c>
      <c r="BW82" s="32">
        <f t="shared" si="2"/>
        <v>395816</v>
      </c>
      <c r="BX82" s="32">
        <f t="shared" si="3"/>
        <v>77593627</v>
      </c>
      <c r="BY82" s="32">
        <f t="shared" si="4"/>
        <v>22063025</v>
      </c>
      <c r="BZ82" s="32">
        <f t="shared" si="5"/>
        <v>101652002</v>
      </c>
      <c r="CA82" s="32">
        <f t="shared" si="6"/>
        <v>38383093</v>
      </c>
      <c r="CB82" s="32">
        <f t="shared" si="7"/>
        <v>618740</v>
      </c>
      <c r="CC82" s="32">
        <f t="shared" si="8"/>
        <v>12290613</v>
      </c>
      <c r="CD82" s="41">
        <f t="shared" si="62"/>
        <v>1</v>
      </c>
      <c r="CE82" s="44">
        <f t="shared" si="10"/>
        <v>17</v>
      </c>
      <c r="CF82" s="27"/>
      <c r="CG82" s="28">
        <f t="shared" si="11"/>
        <v>1040.4002113935969</v>
      </c>
      <c r="CH82" s="28">
        <f t="shared" si="12"/>
        <v>5.3661297168381266</v>
      </c>
      <c r="CI82" s="28">
        <f t="shared" si="13"/>
        <v>196.03458930412111</v>
      </c>
      <c r="CJ82" s="28">
        <f t="shared" si="14"/>
        <v>256.81630353497587</v>
      </c>
      <c r="CK82" s="23">
        <f t="shared" si="15"/>
        <v>5.0342484951726982E-2</v>
      </c>
      <c r="CL82" s="29" t="str">
        <f t="shared" si="16"/>
        <v/>
      </c>
      <c r="CM82" s="29" t="str">
        <f t="shared" si="17"/>
        <v/>
      </c>
      <c r="CN82" s="29" t="str">
        <f t="shared" si="18"/>
        <v/>
      </c>
      <c r="CO82" s="29" t="str">
        <f t="shared" si="19"/>
        <v/>
      </c>
      <c r="CP82" s="29" t="str">
        <f t="shared" si="20"/>
        <v/>
      </c>
      <c r="CQ82" s="29">
        <f t="shared" si="21"/>
        <v>0</v>
      </c>
      <c r="CR82" s="30"/>
      <c r="CS82" s="7">
        <f>VLOOKUP(A82,'Empresas 21-23'!$A$2:$M$228,13,0)</f>
        <v>1</v>
      </c>
      <c r="CT82" s="30"/>
      <c r="CU82" s="6">
        <f t="shared" si="22"/>
        <v>2019630468</v>
      </c>
      <c r="CV82" s="6">
        <f t="shared" si="23"/>
        <v>101652002</v>
      </c>
      <c r="CW82" s="6">
        <f t="shared" si="24"/>
        <v>140518528</v>
      </c>
      <c r="CX82" s="23">
        <f t="shared" si="63"/>
        <v>0.33876265912624881</v>
      </c>
      <c r="CY82" s="23">
        <f t="shared" si="64"/>
        <v>1.7050595665219864E-2</v>
      </c>
      <c r="CZ82" s="6">
        <f t="shared" si="27"/>
        <v>2067232898.2017863</v>
      </c>
      <c r="DA82" s="6">
        <f t="shared" si="28"/>
        <v>104047926.60439987</v>
      </c>
      <c r="DB82" s="6">
        <f t="shared" si="29"/>
        <v>77593627</v>
      </c>
      <c r="DC82" s="6">
        <f t="shared" si="30"/>
        <v>77593627</v>
      </c>
      <c r="DD82" s="6">
        <f t="shared" si="31"/>
        <v>22063025</v>
      </c>
      <c r="DE82" s="6">
        <f t="shared" si="32"/>
        <v>38383093</v>
      </c>
      <c r="DF82" s="6">
        <f t="shared" si="33"/>
        <v>8746523.0254081879</v>
      </c>
      <c r="DG82" s="30"/>
      <c r="DH82" s="32">
        <f>VLOOKUP(A82,'T_med_comp-USA'!$A$7:$Q$233,17,0)</f>
        <v>14.056824095496557</v>
      </c>
      <c r="DI82" s="6" t="str">
        <f t="shared" si="34"/>
        <v>12_2008</v>
      </c>
      <c r="DJ82" s="32">
        <f>IF(DI82="","",VLOOKUP(DI82,'CPI USA'!$T:$U,2,FALSE))</f>
        <v>215.303</v>
      </c>
      <c r="DK82" s="32">
        <f>IF(DI82="","",VLOOKUP(DI82,'PPI USA'!$S:$T,2,FALSE))</f>
        <v>159.30000000000001</v>
      </c>
      <c r="DL82" s="32">
        <f>IF(DI82="","",VLOOKUP(DI82,'CPI USA'!$T:$V,3,FALSE))</f>
        <v>0.67018812038291731</v>
      </c>
      <c r="DM82" s="32">
        <f>IF(DI82="","",VLOOKUP(DI82,'CPI USA'!$T:$X,5,FALSE))</f>
        <v>0.49838492968660258</v>
      </c>
      <c r="DN82" s="32">
        <f t="shared" si="35"/>
        <v>1.4884333659448254</v>
      </c>
      <c r="DO82" s="32">
        <f t="shared" si="36"/>
        <v>1.5036496327119213</v>
      </c>
      <c r="DP82" s="32">
        <f t="shared" si="37"/>
        <v>0.24335163505116214</v>
      </c>
      <c r="DQ82" s="32">
        <f>IF(DP82="","",DP82*$DO$1/'CPI USA'!$U$520+(1-DP82)*AVERAGE($DO$1,$DQ$1)/AVERAGE('CPI USA'!$U$520,'PPI USA'!$T$526))</f>
        <v>1.0840047507642967</v>
      </c>
      <c r="DR82" s="6">
        <f t="shared" si="38"/>
        <v>8143242</v>
      </c>
      <c r="DS82" s="32">
        <f t="shared" si="39"/>
        <v>0.369090004657113</v>
      </c>
      <c r="DT82" s="28">
        <f>IF(DS82="","",DS82*$DO$1/'CPI USA'!$U$520+(1-DS82)*AVERAGE($DO$1,$DQ$1)/AVERAGE('CPI USA'!$U$520,'PPI USA'!$T$526))</f>
        <v>1.0797750291665451</v>
      </c>
      <c r="DU82" s="6">
        <f t="shared" si="40"/>
        <v>403472</v>
      </c>
      <c r="DV82" s="6">
        <f t="shared" si="57"/>
        <v>44798.374119130895</v>
      </c>
      <c r="DW82" s="6">
        <f t="shared" si="41"/>
        <v>180027.69078694345</v>
      </c>
      <c r="DX82" s="16">
        <f t="shared" si="42"/>
        <v>0.2</v>
      </c>
      <c r="DY82" s="28">
        <f>IF(DX82="","",DX82*$DO$1/'CPI USA'!$U$520+(1-DX82)*AVERAGE($DO$1,$DQ$1)/AVERAGE('CPI USA'!$U$520,'PPI USA'!$T$526))</f>
        <v>1.0854630593748538</v>
      </c>
      <c r="DZ82" s="30"/>
      <c r="EA82" s="29" t="str">
        <f t="shared" si="43"/>
        <v>C000906</v>
      </c>
      <c r="EB82" s="29">
        <f t="shared" si="44"/>
        <v>3076938420.8623614</v>
      </c>
      <c r="EC82" s="29">
        <f t="shared" si="45"/>
        <v>156451626.62314281</v>
      </c>
      <c r="ED82" s="29">
        <f t="shared" si="46"/>
        <v>84111860.297032803</v>
      </c>
      <c r="EE82" s="29">
        <f t="shared" si="47"/>
        <v>23823103.462877214</v>
      </c>
      <c r="EF82" s="29">
        <f t="shared" si="48"/>
        <v>9494027.6420521736</v>
      </c>
      <c r="EG82" s="29">
        <f t="shared" si="49"/>
        <v>2124</v>
      </c>
      <c r="EH82" s="29">
        <f t="shared" si="50"/>
        <v>395816</v>
      </c>
      <c r="EI82" s="29">
        <f t="shared" si="51"/>
        <v>618740</v>
      </c>
      <c r="EJ82" s="29">
        <f t="shared" si="52"/>
        <v>12290613</v>
      </c>
      <c r="EK82" s="29">
        <f t="shared" si="53"/>
        <v>12866357.243654823</v>
      </c>
      <c r="EL82" s="29">
        <f>IF(CD82=1,VLOOKUP(EA82,'EIA 2022'!$A$2:$J$213,4,0)*EH82,"")</f>
        <v>161357163.11199999</v>
      </c>
      <c r="EM82" s="29">
        <f>IF(CD82=1,VLOOKUP(EA82,'EIA 2022'!$A$2:$J$213,7,0)*EH82,"")</f>
        <v>1010518.248</v>
      </c>
      <c r="EN82" s="29">
        <f>IF(CD82=1,VLOOKUP(EA82,'EIA 2022'!$A$2:$J$213,10,0),"")</f>
        <v>91638</v>
      </c>
      <c r="EO82" s="28">
        <f>IF(CD82=1,VLOOKUP(EA82,'EIA 2022'!$A$2:$Z$213,26,0),"")</f>
        <v>0</v>
      </c>
      <c r="EP82" s="23">
        <f t="shared" si="54"/>
        <v>4.4748038061725413E-2</v>
      </c>
      <c r="EQ82" s="32">
        <f t="shared" si="55"/>
        <v>42995.756345177535</v>
      </c>
      <c r="ER82" s="32">
        <f t="shared" si="56"/>
        <v>575744.24365482247</v>
      </c>
      <c r="ES82" s="32"/>
      <c r="ET82" s="32"/>
    </row>
    <row r="83" spans="1:150" ht="15.75" customHeight="1">
      <c r="A83" s="7" t="s">
        <v>450</v>
      </c>
      <c r="B83" s="7" t="s">
        <v>451</v>
      </c>
      <c r="C83" s="32" t="s">
        <v>952</v>
      </c>
      <c r="D83" s="42">
        <v>0</v>
      </c>
      <c r="E83" s="42">
        <v>0</v>
      </c>
      <c r="F83" s="42">
        <v>0</v>
      </c>
      <c r="G83" s="42">
        <v>0</v>
      </c>
      <c r="H83" s="42">
        <v>54552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2">
        <v>0</v>
      </c>
      <c r="O83" s="42">
        <v>0</v>
      </c>
      <c r="P83" s="42">
        <v>0</v>
      </c>
      <c r="Q83" s="42">
        <v>0</v>
      </c>
      <c r="R83" s="42">
        <v>0</v>
      </c>
      <c r="S83" s="42">
        <v>0</v>
      </c>
      <c r="T83" s="42">
        <v>0</v>
      </c>
      <c r="U83" s="42">
        <v>0</v>
      </c>
      <c r="V83" s="42">
        <v>0</v>
      </c>
      <c r="W83" s="42">
        <v>0</v>
      </c>
      <c r="X83" s="42">
        <f>IFERROR(VLOOKUP(A83,'Trans 21-23'!$A$2:$J$229,8,0),0)</f>
        <v>0</v>
      </c>
      <c r="Y83" s="42">
        <v>0</v>
      </c>
      <c r="Z83" s="42">
        <v>0</v>
      </c>
      <c r="AA83" s="42">
        <v>0</v>
      </c>
      <c r="AB83" s="42">
        <v>0</v>
      </c>
      <c r="AC83" s="42">
        <v>0</v>
      </c>
      <c r="AD83" s="42">
        <v>769371</v>
      </c>
      <c r="AE83" s="42">
        <v>0</v>
      </c>
      <c r="AF83" s="42">
        <v>6968613</v>
      </c>
      <c r="AG83" s="42">
        <v>0</v>
      </c>
      <c r="AH83" s="42">
        <v>0</v>
      </c>
      <c r="AI83" s="42">
        <v>0</v>
      </c>
      <c r="AJ83" s="42">
        <v>0</v>
      </c>
      <c r="AK83" s="42">
        <v>0</v>
      </c>
      <c r="AL83" s="42">
        <v>0</v>
      </c>
      <c r="AM83" s="42">
        <v>0</v>
      </c>
      <c r="AN83" s="42">
        <v>0</v>
      </c>
      <c r="AO83" s="42">
        <v>0</v>
      </c>
      <c r="AP83" s="42">
        <v>0</v>
      </c>
      <c r="AQ83" s="42">
        <v>0</v>
      </c>
      <c r="AR83" s="42">
        <v>0</v>
      </c>
      <c r="AS83" s="42">
        <v>0</v>
      </c>
      <c r="AT83" s="42">
        <v>0</v>
      </c>
      <c r="AU83" s="42">
        <v>0</v>
      </c>
      <c r="AV83" s="42">
        <v>0</v>
      </c>
      <c r="AW83" s="42">
        <v>0</v>
      </c>
      <c r="AX83" s="42">
        <v>0</v>
      </c>
      <c r="AY83" s="42">
        <v>0</v>
      </c>
      <c r="AZ83" s="42">
        <v>0</v>
      </c>
      <c r="BA83" s="42">
        <v>0</v>
      </c>
      <c r="BB83" s="42">
        <v>0</v>
      </c>
      <c r="BC83" s="42">
        <v>343380550</v>
      </c>
      <c r="BD83" s="42">
        <v>1399619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2">
        <v>0</v>
      </c>
      <c r="BL83" s="42">
        <v>0</v>
      </c>
      <c r="BM83" s="42">
        <v>0</v>
      </c>
      <c r="BN83" s="42">
        <v>0</v>
      </c>
      <c r="BO83" s="42">
        <v>0</v>
      </c>
      <c r="BP83" s="42">
        <v>0</v>
      </c>
      <c r="BQ83" s="42">
        <v>0</v>
      </c>
      <c r="BR83" s="42">
        <v>0</v>
      </c>
      <c r="BS83" s="42">
        <f>IFERROR(VLOOKUP(A83,'Trans 21-23'!$A$2:$J$229,7,0),0)</f>
        <v>0</v>
      </c>
      <c r="BT83" s="63"/>
      <c r="BU83" s="32">
        <f t="shared" si="0"/>
        <v>0</v>
      </c>
      <c r="BV83" s="32">
        <f t="shared" si="1"/>
        <v>0</v>
      </c>
      <c r="BW83" s="32">
        <f t="shared" si="2"/>
        <v>0</v>
      </c>
      <c r="BX83" s="32">
        <f t="shared" si="3"/>
        <v>0</v>
      </c>
      <c r="BY83" s="32">
        <f t="shared" si="4"/>
        <v>0</v>
      </c>
      <c r="BZ83" s="32">
        <f t="shared" si="5"/>
        <v>0</v>
      </c>
      <c r="CA83" s="32">
        <f t="shared" si="6"/>
        <v>769371</v>
      </c>
      <c r="CB83" s="32">
        <f t="shared" si="7"/>
        <v>0</v>
      </c>
      <c r="CC83" s="32">
        <f t="shared" si="8"/>
        <v>0</v>
      </c>
      <c r="CD83" s="41">
        <f t="shared" si="62"/>
        <v>0</v>
      </c>
      <c r="CE83" s="44">
        <f t="shared" si="10"/>
        <v>63</v>
      </c>
      <c r="CF83" s="27"/>
      <c r="CG83" s="28" t="str">
        <f t="shared" si="11"/>
        <v/>
      </c>
      <c r="CH83" s="28" t="str">
        <f t="shared" si="12"/>
        <v/>
      </c>
      <c r="CI83" s="28" t="str">
        <f t="shared" si="13"/>
        <v/>
      </c>
      <c r="CJ83" s="28" t="str">
        <f t="shared" si="14"/>
        <v/>
      </c>
      <c r="CK83" s="23" t="str">
        <f t="shared" si="15"/>
        <v/>
      </c>
      <c r="CL83" s="29" t="str">
        <f t="shared" si="16"/>
        <v/>
      </c>
      <c r="CM83" s="29" t="str">
        <f t="shared" si="17"/>
        <v/>
      </c>
      <c r="CN83" s="29" t="str">
        <f t="shared" si="18"/>
        <v/>
      </c>
      <c r="CO83" s="29" t="str">
        <f t="shared" si="19"/>
        <v/>
      </c>
      <c r="CP83" s="29" t="str">
        <f t="shared" si="20"/>
        <v/>
      </c>
      <c r="CQ83" s="29" t="str">
        <f t="shared" si="21"/>
        <v/>
      </c>
      <c r="CR83" s="30"/>
      <c r="CS83" s="7" t="str">
        <f>VLOOKUP(A83,'Empresas 21-23'!$A$2:$M$228,13,0)</f>
        <v/>
      </c>
      <c r="CT83" s="30"/>
      <c r="CU83" s="6">
        <f t="shared" si="22"/>
        <v>0</v>
      </c>
      <c r="CV83" s="6">
        <f t="shared" si="23"/>
        <v>0</v>
      </c>
      <c r="CW83" s="6">
        <f t="shared" si="24"/>
        <v>1399619</v>
      </c>
      <c r="CX83" s="23">
        <f t="shared" si="63"/>
        <v>0</v>
      </c>
      <c r="CY83" s="23">
        <f t="shared" si="64"/>
        <v>0</v>
      </c>
      <c r="CZ83" s="6">
        <f t="shared" si="27"/>
        <v>0</v>
      </c>
      <c r="DA83" s="6">
        <f t="shared" si="28"/>
        <v>0</v>
      </c>
      <c r="DB83" s="6">
        <f t="shared" si="29"/>
        <v>0</v>
      </c>
      <c r="DC83" s="6">
        <f t="shared" si="30"/>
        <v>0</v>
      </c>
      <c r="DD83" s="6">
        <f t="shared" si="31"/>
        <v>0</v>
      </c>
      <c r="DE83" s="6">
        <f t="shared" si="32"/>
        <v>769371</v>
      </c>
      <c r="DF83" s="6">
        <f t="shared" si="33"/>
        <v>0</v>
      </c>
      <c r="DG83" s="30"/>
      <c r="DH83" s="32" t="str">
        <f>VLOOKUP(A83,'T_med_comp-USA'!$A$7:$Q$233,17,0)</f>
        <v>-</v>
      </c>
      <c r="DI83" s="6" t="str">
        <f t="shared" si="34"/>
        <v/>
      </c>
      <c r="DJ83" s="32" t="str">
        <f>IF(DI83="","",VLOOKUP(DI83,'CPI USA'!$T:$U,2,FALSE))</f>
        <v/>
      </c>
      <c r="DK83" s="32" t="str">
        <f>IF(DI83="","",VLOOKUP(DI83,'PPI USA'!$S:$T,2,FALSE))</f>
        <v/>
      </c>
      <c r="DL83" s="32" t="str">
        <f>IF(DI83="","",VLOOKUP(DI83,'CPI USA'!$T:$V,3,FALSE))</f>
        <v/>
      </c>
      <c r="DM83" s="32" t="str">
        <f>IF(DI83="","",VLOOKUP(DI83,'CPI USA'!$T:$X,5,FALSE))</f>
        <v/>
      </c>
      <c r="DN83" s="32" t="str">
        <f t="shared" si="35"/>
        <v/>
      </c>
      <c r="DO83" s="32" t="str">
        <f t="shared" si="36"/>
        <v/>
      </c>
      <c r="DP83" s="32" t="str">
        <f t="shared" si="37"/>
        <v/>
      </c>
      <c r="DQ83" s="32" t="str">
        <f>IF(DP83="","",DP83*$DO$1/'CPI USA'!$U$520+(1-DP83)*AVERAGE($DO$1,$DQ$1)/AVERAGE('CPI USA'!$U$520,'PPI USA'!$T$526))</f>
        <v/>
      </c>
      <c r="DR83" s="6">
        <f t="shared" si="38"/>
        <v>0</v>
      </c>
      <c r="DS83" s="32" t="str">
        <f t="shared" si="39"/>
        <v/>
      </c>
      <c r="DT83" s="28" t="str">
        <f>IF(DS83="","",DS83*$DO$1/'CPI USA'!$U$520+(1-DS83)*AVERAGE($DO$1,$DQ$1)/AVERAGE('CPI USA'!$U$520,'PPI USA'!$T$526))</f>
        <v/>
      </c>
      <c r="DU83" s="6" t="str">
        <f t="shared" si="40"/>
        <v/>
      </c>
      <c r="DV83" s="6" t="str">
        <f t="shared" si="57"/>
        <v/>
      </c>
      <c r="DW83" s="6">
        <f t="shared" si="41"/>
        <v>0</v>
      </c>
      <c r="DX83" s="16" t="str">
        <f t="shared" si="42"/>
        <v/>
      </c>
      <c r="DY83" s="28" t="str">
        <f>IF(DX83="","",DX83*$DO$1/'CPI USA'!$U$520+(1-DX83)*AVERAGE($DO$1,$DQ$1)/AVERAGE('CPI USA'!$U$520,'PPI USA'!$T$526))</f>
        <v/>
      </c>
      <c r="DZ83" s="30"/>
      <c r="EA83" s="29" t="str">
        <f t="shared" si="43"/>
        <v>C000911</v>
      </c>
      <c r="EB83" s="29" t="str">
        <f t="shared" si="44"/>
        <v/>
      </c>
      <c r="EC83" s="29" t="str">
        <f t="shared" si="45"/>
        <v/>
      </c>
      <c r="ED83" s="29" t="str">
        <f t="shared" si="46"/>
        <v/>
      </c>
      <c r="EE83" s="29" t="str">
        <f t="shared" si="47"/>
        <v/>
      </c>
      <c r="EF83" s="29" t="str">
        <f t="shared" si="48"/>
        <v/>
      </c>
      <c r="EG83" s="29" t="str">
        <f t="shared" si="49"/>
        <v/>
      </c>
      <c r="EH83" s="29" t="str">
        <f t="shared" si="50"/>
        <v/>
      </c>
      <c r="EI83" s="29" t="str">
        <f t="shared" si="51"/>
        <v/>
      </c>
      <c r="EJ83" s="29" t="str">
        <f t="shared" si="52"/>
        <v/>
      </c>
      <c r="EK83" s="29" t="str">
        <f t="shared" si="53"/>
        <v/>
      </c>
      <c r="EL83" s="29" t="str">
        <f>IF(CD83=1,VLOOKUP(EA83,'EIA 2022'!$A$2:$J$213,4,0)*EH83,"")</f>
        <v/>
      </c>
      <c r="EM83" s="29" t="str">
        <f>IF(CD83=1,VLOOKUP(EA83,'EIA 2022'!$A$2:$J$213,7,0)*EH83,"")</f>
        <v/>
      </c>
      <c r="EN83" s="29" t="str">
        <f>IF(CD83=1,VLOOKUP(EA83,'EIA 2022'!$A$2:$J$213,10,0),"")</f>
        <v/>
      </c>
      <c r="EO83" s="28" t="str">
        <f>IF(CD83=1,VLOOKUP(EA83,'EIA 2022'!$A$2:$Z$213,26,0),"")</f>
        <v/>
      </c>
      <c r="EP83" s="23" t="str">
        <f t="shared" si="54"/>
        <v/>
      </c>
      <c r="EQ83" s="32" t="str">
        <f t="shared" si="55"/>
        <v/>
      </c>
      <c r="ER83" s="32" t="str">
        <f t="shared" si="56"/>
        <v/>
      </c>
      <c r="ES83" s="32"/>
      <c r="ET83" s="32"/>
    </row>
    <row r="84" spans="1:150" ht="15.75" customHeight="1">
      <c r="A84" s="7" t="s">
        <v>453</v>
      </c>
      <c r="B84" s="7" t="s">
        <v>454</v>
      </c>
      <c r="C84" s="32" t="s">
        <v>953</v>
      </c>
      <c r="D84" s="42">
        <v>0</v>
      </c>
      <c r="E84" s="42">
        <v>0</v>
      </c>
      <c r="F84" s="42">
        <v>0</v>
      </c>
      <c r="G84" s="42">
        <v>359335443</v>
      </c>
      <c r="H84" s="42">
        <v>324732366</v>
      </c>
      <c r="I84" s="42">
        <v>104211</v>
      </c>
      <c r="J84" s="42">
        <v>71061</v>
      </c>
      <c r="K84" s="42">
        <v>176734</v>
      </c>
      <c r="L84" s="42">
        <v>1804130</v>
      </c>
      <c r="M84" s="42">
        <v>1774542</v>
      </c>
      <c r="N84" s="42">
        <v>0</v>
      </c>
      <c r="O84" s="42">
        <v>6721247</v>
      </c>
      <c r="P84" s="42">
        <v>0</v>
      </c>
      <c r="Q84" s="42">
        <v>1595464</v>
      </c>
      <c r="R84" s="42">
        <v>0</v>
      </c>
      <c r="S84" s="42">
        <v>3359148</v>
      </c>
      <c r="T84" s="42">
        <v>39421555</v>
      </c>
      <c r="U84" s="42">
        <v>1457505</v>
      </c>
      <c r="V84" s="42">
        <v>157759</v>
      </c>
      <c r="W84" s="42">
        <v>290506</v>
      </c>
      <c r="X84" s="42">
        <f>IFERROR(VLOOKUP(A84,'Trans 21-23'!$A$2:$J$229,8,0),0)</f>
        <v>345376</v>
      </c>
      <c r="Y84" s="42">
        <v>1364466</v>
      </c>
      <c r="Z84" s="42">
        <v>1483696</v>
      </c>
      <c r="AA84" s="42">
        <v>13695539</v>
      </c>
      <c r="AB84" s="42">
        <v>7883861</v>
      </c>
      <c r="AC84" s="42">
        <v>2</v>
      </c>
      <c r="AD84" s="42">
        <v>26467570</v>
      </c>
      <c r="AE84" s="42">
        <v>0</v>
      </c>
      <c r="AF84" s="42">
        <v>717381346</v>
      </c>
      <c r="AG84" s="42">
        <v>436094</v>
      </c>
      <c r="AH84" s="42">
        <v>219115</v>
      </c>
      <c r="AI84" s="42">
        <v>8716664</v>
      </c>
      <c r="AJ84" s="42">
        <v>4873</v>
      </c>
      <c r="AK84" s="42">
        <v>3065256</v>
      </c>
      <c r="AL84" s="42">
        <v>5420802</v>
      </c>
      <c r="AM84" s="42">
        <v>2848315</v>
      </c>
      <c r="AN84" s="42">
        <v>2407507</v>
      </c>
      <c r="AO84" s="42">
        <v>22176</v>
      </c>
      <c r="AP84" s="42">
        <v>0</v>
      </c>
      <c r="AQ84" s="42">
        <v>10698800</v>
      </c>
      <c r="AR84" s="42">
        <v>1297362</v>
      </c>
      <c r="AS84" s="42">
        <v>11996162</v>
      </c>
      <c r="AT84" s="42">
        <v>0</v>
      </c>
      <c r="AU84" s="42">
        <v>3514</v>
      </c>
      <c r="AV84" s="42">
        <v>0</v>
      </c>
      <c r="AW84" s="42">
        <v>454160318</v>
      </c>
      <c r="AX84" s="42">
        <v>79447571</v>
      </c>
      <c r="AY84" s="42">
        <v>377227077</v>
      </c>
      <c r="AZ84" s="42">
        <v>87641716</v>
      </c>
      <c r="BA84" s="42">
        <v>41198913</v>
      </c>
      <c r="BB84" s="42">
        <v>2058442709</v>
      </c>
      <c r="BC84" s="42">
        <v>2762300940</v>
      </c>
      <c r="BD84" s="42">
        <v>107464307</v>
      </c>
      <c r="BE84" s="42">
        <v>798932714</v>
      </c>
      <c r="BF84" s="42">
        <v>42277310</v>
      </c>
      <c r="BG84" s="42">
        <v>0</v>
      </c>
      <c r="BH84" s="42">
        <v>12825099</v>
      </c>
      <c r="BI84" s="42">
        <v>4678219</v>
      </c>
      <c r="BJ84" s="42">
        <v>104661</v>
      </c>
      <c r="BK84" s="42">
        <v>0</v>
      </c>
      <c r="BL84" s="42">
        <v>0</v>
      </c>
      <c r="BM84" s="42">
        <v>304490</v>
      </c>
      <c r="BN84" s="42">
        <v>19954112</v>
      </c>
      <c r="BO84" s="42">
        <v>0</v>
      </c>
      <c r="BP84" s="42">
        <v>710719</v>
      </c>
      <c r="BQ84" s="42">
        <v>43673535</v>
      </c>
      <c r="BR84" s="42">
        <v>0</v>
      </c>
      <c r="BS84" s="42">
        <f>IFERROR(VLOOKUP(A84,'Trans 21-23'!$A$2:$J$229,7,0),0)</f>
        <v>31278501</v>
      </c>
      <c r="BT84" s="63"/>
      <c r="BU84" s="32">
        <f t="shared" si="0"/>
        <v>2058442709</v>
      </c>
      <c r="BV84" s="32">
        <f t="shared" si="1"/>
        <v>3514</v>
      </c>
      <c r="BW84" s="32">
        <f t="shared" si="2"/>
        <v>436094</v>
      </c>
      <c r="BX84" s="32">
        <f t="shared" si="3"/>
        <v>56933862</v>
      </c>
      <c r="BY84" s="32">
        <f t="shared" si="4"/>
        <v>24427564</v>
      </c>
      <c r="BZ84" s="32">
        <f t="shared" si="5"/>
        <v>87641716</v>
      </c>
      <c r="CA84" s="32">
        <f t="shared" si="6"/>
        <v>26467570</v>
      </c>
      <c r="CB84" s="32">
        <f t="shared" si="7"/>
        <v>219115</v>
      </c>
      <c r="CC84" s="32">
        <f t="shared" si="8"/>
        <v>10698800</v>
      </c>
      <c r="CD84" s="41">
        <f t="shared" si="62"/>
        <v>1</v>
      </c>
      <c r="CE84" s="44">
        <f t="shared" si="10"/>
        <v>15</v>
      </c>
      <c r="CF84" s="27"/>
      <c r="CG84" s="28">
        <f t="shared" si="11"/>
        <v>585.78335486624928</v>
      </c>
      <c r="CH84" s="28">
        <f t="shared" si="12"/>
        <v>8.0578957747641571</v>
      </c>
      <c r="CI84" s="28">
        <f t="shared" si="13"/>
        <v>130.55410530757129</v>
      </c>
      <c r="CJ84" s="28">
        <f t="shared" si="14"/>
        <v>200.96978174430282</v>
      </c>
      <c r="CK84" s="23">
        <f t="shared" si="15"/>
        <v>2.0480334243092684E-2</v>
      </c>
      <c r="CL84" s="29" t="str">
        <f t="shared" si="16"/>
        <v/>
      </c>
      <c r="CM84" s="29" t="str">
        <f t="shared" si="17"/>
        <v/>
      </c>
      <c r="CN84" s="29" t="str">
        <f t="shared" si="18"/>
        <v/>
      </c>
      <c r="CO84" s="29" t="str">
        <f t="shared" si="19"/>
        <v/>
      </c>
      <c r="CP84" s="29" t="str">
        <f t="shared" si="20"/>
        <v/>
      </c>
      <c r="CQ84" s="29">
        <f t="shared" si="21"/>
        <v>0</v>
      </c>
      <c r="CR84" s="30"/>
      <c r="CS84" s="7">
        <f>VLOOKUP(A84,'Empresas 21-23'!$A$2:$M$228,13,0)</f>
        <v>1</v>
      </c>
      <c r="CT84" s="30"/>
      <c r="CU84" s="6">
        <f t="shared" si="22"/>
        <v>1686875792.2</v>
      </c>
      <c r="CV84" s="6">
        <f t="shared" si="23"/>
        <v>87641716</v>
      </c>
      <c r="CW84" s="6">
        <f t="shared" si="24"/>
        <v>107464307</v>
      </c>
      <c r="CX84" s="23">
        <f t="shared" si="63"/>
        <v>0.63539721097407353</v>
      </c>
      <c r="CY84" s="23">
        <f t="shared" si="64"/>
        <v>3.3012093817977685E-2</v>
      </c>
      <c r="CZ84" s="6">
        <f t="shared" si="27"/>
        <v>1755158313.1470616</v>
      </c>
      <c r="DA84" s="6">
        <f t="shared" si="28"/>
        <v>91189337.784767956</v>
      </c>
      <c r="DB84" s="6">
        <f t="shared" si="29"/>
        <v>56933862</v>
      </c>
      <c r="DC84" s="6">
        <f t="shared" si="30"/>
        <v>57279238</v>
      </c>
      <c r="DD84" s="6">
        <f t="shared" si="31"/>
        <v>24427564</v>
      </c>
      <c r="DE84" s="6">
        <f t="shared" si="32"/>
        <v>26467570</v>
      </c>
      <c r="DF84" s="6">
        <f t="shared" si="33"/>
        <v>5905762.6694133384</v>
      </c>
      <c r="DG84" s="30"/>
      <c r="DH84" s="32">
        <f>VLOOKUP(A84,'T_med_comp-USA'!$A$7:$Q$233,17,0)</f>
        <v>17.79253095365932</v>
      </c>
      <c r="DI84" s="6" t="str">
        <f t="shared" si="34"/>
        <v>3_2005</v>
      </c>
      <c r="DJ84" s="32">
        <f>IF(DI84="","",VLOOKUP(DI84,'CPI USA'!$T:$U,2,FALSE))</f>
        <v>195.3</v>
      </c>
      <c r="DK84" s="32">
        <f>IF(DI84="","",VLOOKUP(DI84,'PPI USA'!$S:$T,2,FALSE))</f>
        <v>131.30000000000001</v>
      </c>
      <c r="DL84" s="32">
        <f>IF(DI84="","",VLOOKUP(DI84,'CPI USA'!$T:$V,3,FALSE))</f>
        <v>0.67888602568792966</v>
      </c>
      <c r="DM84" s="32">
        <f>IF(DI84="","",VLOOKUP(DI84,'CPI USA'!$T:$X,5,FALSE))</f>
        <v>0.50828944385363772</v>
      </c>
      <c r="DN84" s="32">
        <f t="shared" si="35"/>
        <v>1.6621774217199745</v>
      </c>
      <c r="DO84" s="32">
        <f t="shared" si="36"/>
        <v>1.6905992787819408</v>
      </c>
      <c r="DP84" s="32">
        <f t="shared" si="37"/>
        <v>0.22526311318912459</v>
      </c>
      <c r="DQ84" s="32">
        <f>IF(DP84="","",DP84*$DO$1/'CPI USA'!$U$520+(1-DP84)*AVERAGE($DO$1,$DQ$1)/AVERAGE('CPI USA'!$U$520,'PPI USA'!$T$526))</f>
        <v>1.0846132317858899</v>
      </c>
      <c r="DR84" s="6">
        <f t="shared" si="38"/>
        <v>4782880</v>
      </c>
      <c r="DS84" s="32">
        <f t="shared" si="39"/>
        <v>0.2</v>
      </c>
      <c r="DT84" s="28">
        <f>IF(DS84="","",DS84*$DO$1/'CPI USA'!$U$520+(1-DS84)*AVERAGE($DO$1,$DQ$1)/AVERAGE('CPI USA'!$U$520,'PPI USA'!$T$526))</f>
        <v>1.0854630593748538</v>
      </c>
      <c r="DU84" s="6">
        <f t="shared" si="40"/>
        <v>304490</v>
      </c>
      <c r="DV84" s="6">
        <f t="shared" si="57"/>
        <v>5037.0727167883961</v>
      </c>
      <c r="DW84" s="6">
        <f t="shared" si="41"/>
        <v>273133.98843950976</v>
      </c>
      <c r="DX84" s="16">
        <f t="shared" si="42"/>
        <v>0.2</v>
      </c>
      <c r="DY84" s="28">
        <f>IF(DX84="","",DX84*$DO$1/'CPI USA'!$U$520+(1-DX84)*AVERAGE($DO$1,$DQ$1)/AVERAGE('CPI USA'!$U$520,'PPI USA'!$T$526))</f>
        <v>1.0854630593748538</v>
      </c>
      <c r="DZ84" s="30"/>
      <c r="EA84" s="29" t="str">
        <f t="shared" si="43"/>
        <v>C000913</v>
      </c>
      <c r="EB84" s="29">
        <f t="shared" si="44"/>
        <v>2917384519.6571627</v>
      </c>
      <c r="EC84" s="29">
        <f t="shared" si="45"/>
        <v>154164628.69153148</v>
      </c>
      <c r="ED84" s="29">
        <f t="shared" si="46"/>
        <v>62125819.441413149</v>
      </c>
      <c r="EE84" s="29">
        <f t="shared" si="47"/>
        <v>26515218.352515042</v>
      </c>
      <c r="EF84" s="29">
        <f t="shared" si="48"/>
        <v>6410487.2150832051</v>
      </c>
      <c r="EG84" s="29">
        <f t="shared" si="49"/>
        <v>3514</v>
      </c>
      <c r="EH84" s="29">
        <f t="shared" si="50"/>
        <v>436094</v>
      </c>
      <c r="EI84" s="29">
        <f t="shared" si="51"/>
        <v>219115</v>
      </c>
      <c r="EJ84" s="29">
        <f t="shared" si="52"/>
        <v>10698800</v>
      </c>
      <c r="EK84" s="29">
        <f t="shared" si="53"/>
        <v>10898158.218274111</v>
      </c>
      <c r="EL84" s="29">
        <f>IF(CD84=1,VLOOKUP(EA84,'EIA 2022'!$A$2:$J$213,4,0)*EH84,"")</f>
        <v>58340655.32</v>
      </c>
      <c r="EM84" s="29">
        <f>IF(CD84=1,VLOOKUP(EA84,'EIA 2022'!$A$2:$J$213,7,0)*EH84,"")</f>
        <v>512846.54399999999</v>
      </c>
      <c r="EN84" s="29">
        <f>IF(CD84=1,VLOOKUP(EA84,'EIA 2022'!$A$2:$J$213,10,0),"")</f>
        <v>35136</v>
      </c>
      <c r="EO84" s="28">
        <f>IF(CD84=1,VLOOKUP(EA84,'EIA 2022'!$A$2:$Z$213,26,0),"")</f>
        <v>0</v>
      </c>
      <c r="EP84" s="23">
        <f t="shared" si="54"/>
        <v>1.8292835750891037E-2</v>
      </c>
      <c r="EQ84" s="32">
        <f t="shared" si="55"/>
        <v>19756.781725888373</v>
      </c>
      <c r="ER84" s="32">
        <f t="shared" si="56"/>
        <v>199358.21827411163</v>
      </c>
      <c r="ES84" s="32"/>
      <c r="ET84" s="32"/>
    </row>
    <row r="85" spans="1:150" ht="15.75" customHeight="1">
      <c r="A85" s="7" t="s">
        <v>456</v>
      </c>
      <c r="B85" s="7" t="s">
        <v>457</v>
      </c>
      <c r="C85" s="32" t="s">
        <v>954</v>
      </c>
      <c r="D85" s="42">
        <v>0</v>
      </c>
      <c r="E85" s="42">
        <v>0</v>
      </c>
      <c r="F85" s="42">
        <v>8233</v>
      </c>
      <c r="G85" s="42">
        <v>45699514</v>
      </c>
      <c r="H85" s="42">
        <v>27856042</v>
      </c>
      <c r="I85" s="42">
        <v>199998</v>
      </c>
      <c r="J85" s="42">
        <v>20118</v>
      </c>
      <c r="K85" s="42">
        <v>595005</v>
      </c>
      <c r="L85" s="42">
        <v>481538</v>
      </c>
      <c r="M85" s="42">
        <v>44827</v>
      </c>
      <c r="N85" s="42">
        <v>0</v>
      </c>
      <c r="O85" s="42">
        <v>2388823</v>
      </c>
      <c r="P85" s="42">
        <v>0</v>
      </c>
      <c r="Q85" s="42">
        <v>0</v>
      </c>
      <c r="R85" s="42">
        <v>7104</v>
      </c>
      <c r="S85" s="42">
        <v>496504</v>
      </c>
      <c r="T85" s="42">
        <v>3416041</v>
      </c>
      <c r="U85" s="42">
        <v>417278</v>
      </c>
      <c r="V85" s="42">
        <v>19176</v>
      </c>
      <c r="W85" s="42">
        <v>1080870</v>
      </c>
      <c r="X85" s="42">
        <f>IFERROR(VLOOKUP(A85,'Trans 21-23'!$A$2:$J$229,8,0),0)</f>
        <v>0</v>
      </c>
      <c r="Y85" s="42">
        <v>29237</v>
      </c>
      <c r="Z85" s="42">
        <v>92988</v>
      </c>
      <c r="AA85" s="42">
        <v>2915393</v>
      </c>
      <c r="AB85" s="42">
        <v>2136629</v>
      </c>
      <c r="AC85" s="42">
        <v>767</v>
      </c>
      <c r="AD85" s="42">
        <v>13756545</v>
      </c>
      <c r="AE85" s="42">
        <v>0</v>
      </c>
      <c r="AF85" s="42">
        <v>56970694</v>
      </c>
      <c r="AG85" s="42">
        <v>0</v>
      </c>
      <c r="AH85" s="42">
        <v>49319</v>
      </c>
      <c r="AI85" s="42">
        <v>608342</v>
      </c>
      <c r="AJ85" s="42">
        <v>754</v>
      </c>
      <c r="AK85" s="42">
        <v>0</v>
      </c>
      <c r="AL85" s="42">
        <v>290173</v>
      </c>
      <c r="AM85" s="42">
        <v>155307</v>
      </c>
      <c r="AN85" s="42">
        <v>109189</v>
      </c>
      <c r="AO85" s="42">
        <v>324</v>
      </c>
      <c r="AP85" s="42">
        <v>0</v>
      </c>
      <c r="AQ85" s="42">
        <v>554993</v>
      </c>
      <c r="AR85" s="42">
        <v>3276</v>
      </c>
      <c r="AS85" s="42">
        <v>558269</v>
      </c>
      <c r="AT85" s="42">
        <v>0</v>
      </c>
      <c r="AU85" s="42">
        <v>122</v>
      </c>
      <c r="AV85" s="42">
        <v>0</v>
      </c>
      <c r="AW85" s="42">
        <v>67491189</v>
      </c>
      <c r="AX85" s="42">
        <v>15942860</v>
      </c>
      <c r="AY85" s="42">
        <v>67630653</v>
      </c>
      <c r="AZ85" s="42">
        <v>3960532</v>
      </c>
      <c r="BA85" s="42">
        <v>712255</v>
      </c>
      <c r="BB85" s="42">
        <v>368634873</v>
      </c>
      <c r="BC85" s="42">
        <v>563711743</v>
      </c>
      <c r="BD85" s="42">
        <v>29481637</v>
      </c>
      <c r="BE85" s="42">
        <v>92107317</v>
      </c>
      <c r="BF85" s="42">
        <v>8870153</v>
      </c>
      <c r="BG85" s="42">
        <v>0</v>
      </c>
      <c r="BH85" s="42">
        <v>1983603</v>
      </c>
      <c r="BI85" s="42">
        <v>1261372</v>
      </c>
      <c r="BJ85" s="42">
        <v>2102530</v>
      </c>
      <c r="BK85" s="42">
        <v>0</v>
      </c>
      <c r="BL85" s="42">
        <v>0</v>
      </c>
      <c r="BM85" s="42">
        <v>11689677</v>
      </c>
      <c r="BN85" s="42">
        <v>20128611</v>
      </c>
      <c r="BO85" s="42">
        <v>194456</v>
      </c>
      <c r="BP85" s="42">
        <v>0</v>
      </c>
      <c r="BQ85" s="42">
        <v>27285009</v>
      </c>
      <c r="BR85" s="42">
        <v>0</v>
      </c>
      <c r="BS85" s="42">
        <f>IFERROR(VLOOKUP(A85,'Trans 21-23'!$A$2:$J$229,7,0),0)</f>
        <v>0</v>
      </c>
      <c r="BT85" s="63"/>
      <c r="BU85" s="32">
        <f t="shared" si="0"/>
        <v>368634873</v>
      </c>
      <c r="BV85" s="32">
        <f t="shared" si="1"/>
        <v>122</v>
      </c>
      <c r="BW85" s="32">
        <f t="shared" si="2"/>
        <v>0</v>
      </c>
      <c r="BX85" s="32">
        <f t="shared" si="3"/>
        <v>9167282</v>
      </c>
      <c r="BY85" s="32">
        <f t="shared" si="4"/>
        <v>5175014</v>
      </c>
      <c r="BZ85" s="32">
        <f t="shared" si="5"/>
        <v>3960532</v>
      </c>
      <c r="CA85" s="32">
        <f t="shared" si="6"/>
        <v>13756545</v>
      </c>
      <c r="CB85" s="32">
        <f t="shared" si="7"/>
        <v>49319</v>
      </c>
      <c r="CC85" s="32">
        <f t="shared" si="8"/>
        <v>554993</v>
      </c>
      <c r="CD85" s="41">
        <f t="shared" si="62"/>
        <v>0</v>
      </c>
      <c r="CE85" s="44">
        <f t="shared" si="10"/>
        <v>18</v>
      </c>
      <c r="CF85" s="27"/>
      <c r="CG85" s="28" t="str">
        <f t="shared" si="11"/>
        <v/>
      </c>
      <c r="CH85" s="28" t="str">
        <f t="shared" si="12"/>
        <v/>
      </c>
      <c r="CI85" s="28" t="str">
        <f t="shared" si="13"/>
        <v/>
      </c>
      <c r="CJ85" s="28" t="str">
        <f t="shared" si="14"/>
        <v/>
      </c>
      <c r="CK85" s="23" t="str">
        <f t="shared" si="15"/>
        <v/>
      </c>
      <c r="CL85" s="29" t="str">
        <f t="shared" si="16"/>
        <v/>
      </c>
      <c r="CM85" s="29" t="str">
        <f t="shared" si="17"/>
        <v/>
      </c>
      <c r="CN85" s="29" t="str">
        <f t="shared" si="18"/>
        <v/>
      </c>
      <c r="CO85" s="29" t="str">
        <f t="shared" si="19"/>
        <v/>
      </c>
      <c r="CP85" s="29" t="str">
        <f t="shared" si="20"/>
        <v/>
      </c>
      <c r="CQ85" s="29" t="str">
        <f t="shared" si="21"/>
        <v/>
      </c>
      <c r="CR85" s="30"/>
      <c r="CS85" s="7" t="str">
        <f>VLOOKUP(A85,'Empresas 21-23'!$A$2:$M$228,13,0)</f>
        <v/>
      </c>
      <c r="CT85" s="30"/>
      <c r="CU85" s="6">
        <f t="shared" si="22"/>
        <v>313817978.19999999</v>
      </c>
      <c r="CV85" s="6">
        <f t="shared" si="23"/>
        <v>3960532</v>
      </c>
      <c r="CW85" s="6">
        <f t="shared" si="24"/>
        <v>29481637</v>
      </c>
      <c r="CX85" s="23">
        <f t="shared" si="63"/>
        <v>0.58742099083423793</v>
      </c>
      <c r="CY85" s="23">
        <f t="shared" si="64"/>
        <v>7.4135320258420633E-3</v>
      </c>
      <c r="CZ85" s="6">
        <f t="shared" si="27"/>
        <v>331136110.61795533</v>
      </c>
      <c r="DA85" s="6">
        <f t="shared" si="28"/>
        <v>4179095.0600737501</v>
      </c>
      <c r="DB85" s="6">
        <f t="shared" si="29"/>
        <v>9167282</v>
      </c>
      <c r="DC85" s="6">
        <f t="shared" si="30"/>
        <v>9167282</v>
      </c>
      <c r="DD85" s="6">
        <f t="shared" si="31"/>
        <v>5175014</v>
      </c>
      <c r="DE85" s="6">
        <f t="shared" si="32"/>
        <v>13756545</v>
      </c>
      <c r="DF85" s="6">
        <f t="shared" si="33"/>
        <v>12853554.389262088</v>
      </c>
      <c r="DG85" s="30"/>
      <c r="DH85" s="32">
        <f>VLOOKUP(A85,'T_med_comp-USA'!$A$7:$Q$233,17,0)</f>
        <v>10.108970487591627</v>
      </c>
      <c r="DI85" s="6" t="str">
        <f t="shared" si="34"/>
        <v>11_2012</v>
      </c>
      <c r="DJ85" s="32">
        <f>IF(DI85="","",VLOOKUP(DI85,'CPI USA'!$T:$U,2,FALSE))</f>
        <v>229.59399999999999</v>
      </c>
      <c r="DK85" s="32">
        <f>IF(DI85="","",VLOOKUP(DI85,'PPI USA'!$S:$T,2,FALSE))</f>
        <v>175.1</v>
      </c>
      <c r="DL85" s="32">
        <f>IF(DI85="","",VLOOKUP(DI85,'CPI USA'!$T:$V,3,FALSE))</f>
        <v>0.66730871354337351</v>
      </c>
      <c r="DM85" s="32">
        <f>IF(DI85="","",VLOOKUP(DI85,'CPI USA'!$T:$X,5,FALSE))</f>
        <v>0.49513551903851311</v>
      </c>
      <c r="DN85" s="32">
        <f t="shared" si="35"/>
        <v>1.3897894616766442</v>
      </c>
      <c r="DO85" s="32">
        <f t="shared" si="36"/>
        <v>1.4008620811189902</v>
      </c>
      <c r="DP85" s="32">
        <f t="shared" si="37"/>
        <v>0.21846889262922506</v>
      </c>
      <c r="DQ85" s="32">
        <f>IF(DP85="","",DP85*$DO$1/'CPI USA'!$U$520+(1-DP85)*AVERAGE($DO$1,$DQ$1)/AVERAGE('CPI USA'!$U$520,'PPI USA'!$T$526))</f>
        <v>1.0848417830350603</v>
      </c>
      <c r="DR85" s="6">
        <f t="shared" si="38"/>
        <v>3363902</v>
      </c>
      <c r="DS85" s="32">
        <f t="shared" si="39"/>
        <v>0.6563073199652173</v>
      </c>
      <c r="DT85" s="28">
        <f>IF(DS85="","",DS85*$DO$1/'CPI USA'!$U$520+(1-DS85)*AVERAGE($DO$1,$DQ$1)/AVERAGE('CPI USA'!$U$520,'PPI USA'!$T$526))</f>
        <v>1.0701133062921824</v>
      </c>
      <c r="DU85" s="6">
        <f t="shared" si="40"/>
        <v>11802607.188313143</v>
      </c>
      <c r="DV85" s="6">
        <f t="shared" si="57"/>
        <v>0</v>
      </c>
      <c r="DW85" s="6">
        <f t="shared" si="41"/>
        <v>3135561.661584124</v>
      </c>
      <c r="DX85" s="16">
        <f t="shared" si="42"/>
        <v>0.2439451039475575</v>
      </c>
      <c r="DY85" s="28">
        <f>IF(DX85="","",DX85*$DO$1/'CPI USA'!$U$520+(1-DX85)*AVERAGE($DO$1,$DQ$1)/AVERAGE('CPI USA'!$U$520,'PPI USA'!$T$526))</f>
        <v>1.0839847870235824</v>
      </c>
      <c r="DZ85" s="30"/>
      <c r="EA85" s="29" t="str">
        <f t="shared" si="43"/>
        <v>C000945</v>
      </c>
      <c r="EB85" s="29" t="str">
        <f t="shared" si="44"/>
        <v/>
      </c>
      <c r="EC85" s="29" t="str">
        <f t="shared" si="45"/>
        <v/>
      </c>
      <c r="ED85" s="29" t="str">
        <f t="shared" si="46"/>
        <v/>
      </c>
      <c r="EE85" s="29" t="str">
        <f t="shared" si="47"/>
        <v/>
      </c>
      <c r="EF85" s="29" t="str">
        <f t="shared" si="48"/>
        <v/>
      </c>
      <c r="EG85" s="29" t="str">
        <f t="shared" si="49"/>
        <v/>
      </c>
      <c r="EH85" s="29" t="str">
        <f t="shared" si="50"/>
        <v/>
      </c>
      <c r="EI85" s="29" t="str">
        <f t="shared" si="51"/>
        <v/>
      </c>
      <c r="EJ85" s="29" t="str">
        <f t="shared" si="52"/>
        <v/>
      </c>
      <c r="EK85" s="29" t="str">
        <f t="shared" si="53"/>
        <v/>
      </c>
      <c r="EL85" s="29" t="str">
        <f>IF(CD85=1,VLOOKUP(EA85,'EIA 2022'!$A$2:$J$213,4,0)*EH85,"")</f>
        <v/>
      </c>
      <c r="EM85" s="29" t="str">
        <f>IF(CD85=1,VLOOKUP(EA85,'EIA 2022'!$A$2:$J$213,7,0)*EH85,"")</f>
        <v/>
      </c>
      <c r="EN85" s="29" t="str">
        <f>IF(CD85=1,VLOOKUP(EA85,'EIA 2022'!$A$2:$J$213,10,0),"")</f>
        <v/>
      </c>
      <c r="EO85" s="28" t="str">
        <f>IF(CD85=1,VLOOKUP(EA85,'EIA 2022'!$A$2:$Z$213,26,0),"")</f>
        <v/>
      </c>
      <c r="EP85" s="23" t="str">
        <f t="shared" si="54"/>
        <v/>
      </c>
      <c r="EQ85" s="32" t="str">
        <f t="shared" si="55"/>
        <v/>
      </c>
      <c r="ER85" s="32" t="str">
        <f t="shared" si="56"/>
        <v/>
      </c>
      <c r="ES85" s="32"/>
      <c r="ET85" s="32"/>
    </row>
    <row r="86" spans="1:150" ht="15.75" customHeight="1">
      <c r="A86" s="7" t="s">
        <v>459</v>
      </c>
      <c r="B86" s="7" t="s">
        <v>460</v>
      </c>
      <c r="C86" s="32" t="s">
        <v>955</v>
      </c>
      <c r="D86" s="42">
        <v>129834913</v>
      </c>
      <c r="E86" s="42">
        <v>0</v>
      </c>
      <c r="F86" s="42">
        <v>12999647</v>
      </c>
      <c r="G86" s="42">
        <v>82884146</v>
      </c>
      <c r="H86" s="42">
        <v>83432222</v>
      </c>
      <c r="I86" s="42">
        <v>1360149</v>
      </c>
      <c r="J86" s="42">
        <v>43716</v>
      </c>
      <c r="K86" s="42">
        <v>248030</v>
      </c>
      <c r="L86" s="42">
        <v>398221</v>
      </c>
      <c r="M86" s="42">
        <v>0</v>
      </c>
      <c r="N86" s="42">
        <v>0</v>
      </c>
      <c r="O86" s="42">
        <v>5416805</v>
      </c>
      <c r="P86" s="42">
        <v>0</v>
      </c>
      <c r="Q86" s="42">
        <v>219834</v>
      </c>
      <c r="R86" s="42">
        <v>1599849</v>
      </c>
      <c r="S86" s="42">
        <v>865063</v>
      </c>
      <c r="T86" s="42">
        <v>9284492</v>
      </c>
      <c r="U86" s="42">
        <v>368005</v>
      </c>
      <c r="V86" s="42">
        <v>66204</v>
      </c>
      <c r="W86" s="42">
        <v>565438</v>
      </c>
      <c r="X86" s="42">
        <f>IFERROR(VLOOKUP(A86,'Trans 21-23'!$A$2:$J$229,8,0),0)</f>
        <v>1736332</v>
      </c>
      <c r="Y86" s="42">
        <v>948320</v>
      </c>
      <c r="Z86" s="42">
        <v>0</v>
      </c>
      <c r="AA86" s="42">
        <v>4038246</v>
      </c>
      <c r="AB86" s="42">
        <v>73010</v>
      </c>
      <c r="AC86" s="42">
        <v>9153575</v>
      </c>
      <c r="AD86" s="42">
        <v>46676724</v>
      </c>
      <c r="AE86" s="42">
        <v>0</v>
      </c>
      <c r="AF86" s="42">
        <v>432778199</v>
      </c>
      <c r="AG86" s="42">
        <v>154505</v>
      </c>
      <c r="AH86" s="42">
        <v>235486</v>
      </c>
      <c r="AI86" s="42">
        <v>5722804</v>
      </c>
      <c r="AJ86" s="42">
        <v>12703</v>
      </c>
      <c r="AK86" s="42">
        <v>0</v>
      </c>
      <c r="AL86" s="42">
        <v>1398173</v>
      </c>
      <c r="AM86" s="42">
        <v>1210034</v>
      </c>
      <c r="AN86" s="42">
        <v>1967271</v>
      </c>
      <c r="AO86" s="42">
        <v>15558</v>
      </c>
      <c r="AP86" s="42">
        <v>0</v>
      </c>
      <c r="AQ86" s="42">
        <v>4591751</v>
      </c>
      <c r="AR86" s="42">
        <v>882864</v>
      </c>
      <c r="AS86" s="42">
        <v>5474615</v>
      </c>
      <c r="AT86" s="42">
        <v>0</v>
      </c>
      <c r="AU86" s="42">
        <v>1142</v>
      </c>
      <c r="AV86" s="42">
        <v>0</v>
      </c>
      <c r="AW86" s="42">
        <v>229917350</v>
      </c>
      <c r="AX86" s="42">
        <v>39767836</v>
      </c>
      <c r="AY86" s="42">
        <v>129193116</v>
      </c>
      <c r="AZ86" s="42">
        <v>25442155</v>
      </c>
      <c r="BA86" s="42">
        <v>18508141</v>
      </c>
      <c r="BB86" s="42">
        <v>1046308506</v>
      </c>
      <c r="BC86" s="42">
        <v>3775321135</v>
      </c>
      <c r="BD86" s="42">
        <v>66145146</v>
      </c>
      <c r="BE86" s="42">
        <v>372802425</v>
      </c>
      <c r="BF86" s="42">
        <v>28036509</v>
      </c>
      <c r="BG86" s="42">
        <v>0</v>
      </c>
      <c r="BH86" s="42">
        <v>9993838</v>
      </c>
      <c r="BI86" s="42">
        <v>528729</v>
      </c>
      <c r="BJ86" s="42">
        <v>32887</v>
      </c>
      <c r="BK86" s="42">
        <v>364799</v>
      </c>
      <c r="BL86" s="42">
        <v>0</v>
      </c>
      <c r="BM86" s="42">
        <v>9472771</v>
      </c>
      <c r="BN86" s="42">
        <v>41272930</v>
      </c>
      <c r="BO86" s="42">
        <v>25777787</v>
      </c>
      <c r="BP86" s="42">
        <v>1429982</v>
      </c>
      <c r="BQ86" s="42">
        <v>62296690</v>
      </c>
      <c r="BR86" s="42">
        <v>715</v>
      </c>
      <c r="BS86" s="42">
        <f>IFERROR(VLOOKUP(A86,'Trans 21-23'!$A$2:$J$229,7,0),0)</f>
        <v>157248505</v>
      </c>
      <c r="BT86" s="63"/>
      <c r="BU86" s="32">
        <f t="shared" si="0"/>
        <v>1046308506</v>
      </c>
      <c r="BV86" s="32">
        <f t="shared" si="1"/>
        <v>1142</v>
      </c>
      <c r="BW86" s="32">
        <f t="shared" si="2"/>
        <v>154505</v>
      </c>
      <c r="BX86" s="32">
        <f t="shared" si="3"/>
        <v>20435806</v>
      </c>
      <c r="BY86" s="32">
        <f t="shared" si="4"/>
        <v>14213151</v>
      </c>
      <c r="BZ86" s="32">
        <f t="shared" si="5"/>
        <v>25442155</v>
      </c>
      <c r="CA86" s="32">
        <f t="shared" si="6"/>
        <v>46676724</v>
      </c>
      <c r="CB86" s="32">
        <f t="shared" si="7"/>
        <v>235486</v>
      </c>
      <c r="CC86" s="32">
        <f t="shared" si="8"/>
        <v>4591751</v>
      </c>
      <c r="CD86" s="41">
        <f t="shared" si="62"/>
        <v>1</v>
      </c>
      <c r="CE86" s="44">
        <f t="shared" si="10"/>
        <v>12</v>
      </c>
      <c r="CF86" s="27"/>
      <c r="CG86" s="28">
        <f t="shared" si="11"/>
        <v>916.20709807355513</v>
      </c>
      <c r="CH86" s="28">
        <f t="shared" si="12"/>
        <v>7.3913465583638072</v>
      </c>
      <c r="CI86" s="28">
        <f t="shared" si="13"/>
        <v>132.2663085337044</v>
      </c>
      <c r="CJ86" s="28">
        <f t="shared" si="14"/>
        <v>164.66881330701273</v>
      </c>
      <c r="CK86" s="23">
        <f t="shared" si="15"/>
        <v>5.1284575317781821E-2</v>
      </c>
      <c r="CL86" s="29" t="str">
        <f t="shared" si="16"/>
        <v/>
      </c>
      <c r="CM86" s="29" t="str">
        <f t="shared" si="17"/>
        <v/>
      </c>
      <c r="CN86" s="29" t="str">
        <f t="shared" si="18"/>
        <v/>
      </c>
      <c r="CO86" s="29" t="str">
        <f t="shared" si="19"/>
        <v/>
      </c>
      <c r="CP86" s="29" t="str">
        <f t="shared" si="20"/>
        <v/>
      </c>
      <c r="CQ86" s="29">
        <f t="shared" si="21"/>
        <v>0</v>
      </c>
      <c r="CR86" s="30"/>
      <c r="CS86" s="7">
        <f>VLOOKUP(A86,'Empresas 21-23'!$A$2:$M$228,13,0)</f>
        <v>1</v>
      </c>
      <c r="CT86" s="30"/>
      <c r="CU86" s="6">
        <f t="shared" si="22"/>
        <v>1058230143.8</v>
      </c>
      <c r="CV86" s="6">
        <f t="shared" si="23"/>
        <v>25442155</v>
      </c>
      <c r="CW86" s="6">
        <f t="shared" si="24"/>
        <v>66145146</v>
      </c>
      <c r="CX86" s="23">
        <f t="shared" si="63"/>
        <v>0.28530060232739202</v>
      </c>
      <c r="CY86" s="23">
        <f t="shared" si="64"/>
        <v>6.8592471954557347E-3</v>
      </c>
      <c r="CZ86" s="6">
        <f t="shared" si="27"/>
        <v>1077101393.7948332</v>
      </c>
      <c r="DA86" s="6">
        <f t="shared" si="28"/>
        <v>25895860.907193512</v>
      </c>
      <c r="DB86" s="6">
        <f t="shared" si="29"/>
        <v>20435806</v>
      </c>
      <c r="DC86" s="6">
        <f t="shared" si="30"/>
        <v>22172138</v>
      </c>
      <c r="DD86" s="6">
        <f t="shared" si="31"/>
        <v>14213151</v>
      </c>
      <c r="DE86" s="6">
        <f t="shared" si="32"/>
        <v>46676724</v>
      </c>
      <c r="DF86" s="6">
        <f t="shared" si="33"/>
        <v>10625641.157350212</v>
      </c>
      <c r="DG86" s="30"/>
      <c r="DH86" s="32">
        <f>VLOOKUP(A86,'T_med_comp-USA'!$A$7:$Q$233,17,0)</f>
        <v>13.179521980601256</v>
      </c>
      <c r="DI86" s="6" t="str">
        <f t="shared" si="34"/>
        <v>10_2009</v>
      </c>
      <c r="DJ86" s="32">
        <f>IF(DI86="","",VLOOKUP(DI86,'CPI USA'!$T:$U,2,FALSE))</f>
        <v>214.53700000000001</v>
      </c>
      <c r="DK86" s="32">
        <f>IF(DI86="","",VLOOKUP(DI86,'PPI USA'!$S:$T,2,FALSE))</f>
        <v>159.1</v>
      </c>
      <c r="DL86" s="32">
        <f>IF(DI86="","",VLOOKUP(DI86,'CPI USA'!$T:$V,3,FALSE))</f>
        <v>0.66997101349938215</v>
      </c>
      <c r="DM86" s="32">
        <f>IF(DI86="","",VLOOKUP(DI86,'CPI USA'!$T:$X,5,FALSE))</f>
        <v>0.49813941766071862</v>
      </c>
      <c r="DN86" s="32">
        <f t="shared" si="35"/>
        <v>1.4932638886873792</v>
      </c>
      <c r="DO86" s="32">
        <f t="shared" si="36"/>
        <v>1.5082750176818205</v>
      </c>
      <c r="DP86" s="32">
        <f t="shared" si="37"/>
        <v>0.79447211652327265</v>
      </c>
      <c r="DQ86" s="32">
        <f>IF(DP86="","",DP86*$DO$1/'CPI USA'!$U$520+(1-DP86)*AVERAGE($DO$1,$DQ$1)/AVERAGE('CPI USA'!$U$520,'PPI USA'!$T$526))</f>
        <v>1.0654655712699932</v>
      </c>
      <c r="DR86" s="6">
        <f t="shared" si="38"/>
        <v>926415</v>
      </c>
      <c r="DS86" s="32">
        <f t="shared" si="39"/>
        <v>0.2</v>
      </c>
      <c r="DT86" s="28">
        <f>IF(DS86="","",DS86*$DO$1/'CPI USA'!$U$520+(1-DS86)*AVERAGE($DO$1,$DQ$1)/AVERAGE('CPI USA'!$U$520,'PPI USA'!$T$526))</f>
        <v>1.0854630593748538</v>
      </c>
      <c r="DU86" s="6">
        <f t="shared" si="40"/>
        <v>15389168.821472257</v>
      </c>
      <c r="DV86" s="6">
        <f t="shared" si="57"/>
        <v>222550.10111803646</v>
      </c>
      <c r="DW86" s="6">
        <f t="shared" si="41"/>
        <v>4130647.3855762947</v>
      </c>
      <c r="DX86" s="16">
        <f t="shared" si="42"/>
        <v>0.38874335434515861</v>
      </c>
      <c r="DY86" s="28">
        <f>IF(DX86="","",DX86*$DO$1/'CPI USA'!$U$520+(1-DX86)*AVERAGE($DO$1,$DQ$1)/AVERAGE('CPI USA'!$U$520,'PPI USA'!$T$526))</f>
        <v>1.079113908794902</v>
      </c>
      <c r="DZ86" s="30"/>
      <c r="EA86" s="29" t="str">
        <f t="shared" si="43"/>
        <v>C001009</v>
      </c>
      <c r="EB86" s="29">
        <f t="shared" si="44"/>
        <v>1608396615.8086689</v>
      </c>
      <c r="EC86" s="29">
        <f t="shared" si="45"/>
        <v>39058080.067683257</v>
      </c>
      <c r="ED86" s="29">
        <f t="shared" si="46"/>
        <v>23623649.680447124</v>
      </c>
      <c r="EE86" s="29">
        <f t="shared" si="47"/>
        <v>15427850.367816763</v>
      </c>
      <c r="EF86" s="29">
        <f t="shared" si="48"/>
        <v>11466277.162760174</v>
      </c>
      <c r="EG86" s="29">
        <f t="shared" si="49"/>
        <v>1142</v>
      </c>
      <c r="EH86" s="29">
        <f t="shared" si="50"/>
        <v>154505</v>
      </c>
      <c r="EI86" s="29">
        <f t="shared" si="51"/>
        <v>235486</v>
      </c>
      <c r="EJ86" s="29">
        <f t="shared" si="52"/>
        <v>4591751</v>
      </c>
      <c r="EK86" s="29">
        <f t="shared" si="53"/>
        <v>4813792.3705583755</v>
      </c>
      <c r="EL86" s="29">
        <f>IF(CD86=1,VLOOKUP(EA86,'EIA 2022'!$A$2:$J$213,4,0)*EH86,"")</f>
        <v>15975817</v>
      </c>
      <c r="EM86" s="29">
        <f>IF(CD86=1,VLOOKUP(EA86,'EIA 2022'!$A$2:$J$213,7,0)*EH86,"")</f>
        <v>281199.10000000003</v>
      </c>
      <c r="EN86" s="29">
        <f>IF(CD86=1,VLOOKUP(EA86,'EIA 2022'!$A$2:$J$213,10,0),"")</f>
        <v>155523</v>
      </c>
      <c r="EO86" s="28">
        <f>IF(CD86=1,VLOOKUP(EA86,'EIA 2022'!$A$2:$Z$213,26,0),"")</f>
        <v>0</v>
      </c>
      <c r="EP86" s="23">
        <f t="shared" si="54"/>
        <v>4.6126079703063705E-2</v>
      </c>
      <c r="EQ86" s="32">
        <f t="shared" si="55"/>
        <v>13444.629441624391</v>
      </c>
      <c r="ER86" s="32">
        <f t="shared" si="56"/>
        <v>222041.37055837561</v>
      </c>
      <c r="ES86" s="32"/>
      <c r="ET86" s="32"/>
    </row>
    <row r="87" spans="1:150" ht="15.75" customHeight="1">
      <c r="A87" s="7" t="s">
        <v>462</v>
      </c>
      <c r="B87" s="7" t="s">
        <v>463</v>
      </c>
      <c r="C87" s="32" t="s">
        <v>956</v>
      </c>
      <c r="D87" s="42">
        <v>0</v>
      </c>
      <c r="E87" s="42">
        <v>0</v>
      </c>
      <c r="F87" s="42">
        <v>0</v>
      </c>
      <c r="G87" s="42">
        <v>2037633314</v>
      </c>
      <c r="H87" s="42">
        <v>2037757303</v>
      </c>
      <c r="I87" s="42">
        <v>10583952</v>
      </c>
      <c r="J87" s="42">
        <v>1566549</v>
      </c>
      <c r="K87" s="42">
        <v>4185530</v>
      </c>
      <c r="L87" s="42">
        <v>3582759</v>
      </c>
      <c r="M87" s="42">
        <v>3202848</v>
      </c>
      <c r="N87" s="42">
        <v>230833</v>
      </c>
      <c r="O87" s="42">
        <v>7239793</v>
      </c>
      <c r="P87" s="42">
        <v>1261683</v>
      </c>
      <c r="Q87" s="42">
        <v>2137750</v>
      </c>
      <c r="R87" s="42">
        <v>308422</v>
      </c>
      <c r="S87" s="42">
        <v>4515860</v>
      </c>
      <c r="T87" s="42">
        <v>154505729</v>
      </c>
      <c r="U87" s="42">
        <v>10905995</v>
      </c>
      <c r="V87" s="42">
        <v>2694857</v>
      </c>
      <c r="W87" s="42">
        <v>19055</v>
      </c>
      <c r="X87" s="42">
        <f>IFERROR(VLOOKUP(A87,'Trans 21-23'!$A$2:$J$229,8,0),0)</f>
        <v>20228565</v>
      </c>
      <c r="Y87" s="42">
        <v>462912</v>
      </c>
      <c r="Z87" s="42">
        <v>1392701</v>
      </c>
      <c r="AA87" s="42">
        <v>129938895</v>
      </c>
      <c r="AB87" s="42">
        <v>184177353</v>
      </c>
      <c r="AC87" s="42">
        <v>706</v>
      </c>
      <c r="AD87" s="42">
        <v>191488829</v>
      </c>
      <c r="AE87" s="42">
        <v>0</v>
      </c>
      <c r="AF87" s="42">
        <v>2905489441</v>
      </c>
      <c r="AG87" s="42">
        <v>1276343</v>
      </c>
      <c r="AH87" s="42">
        <v>474991</v>
      </c>
      <c r="AI87" s="42">
        <v>30242065</v>
      </c>
      <c r="AJ87" s="42">
        <v>0</v>
      </c>
      <c r="AK87" s="42">
        <v>0</v>
      </c>
      <c r="AL87" s="42">
        <v>10151918</v>
      </c>
      <c r="AM87" s="42">
        <v>8398390</v>
      </c>
      <c r="AN87" s="42">
        <v>1800535</v>
      </c>
      <c r="AO87" s="42">
        <v>50802</v>
      </c>
      <c r="AP87" s="42">
        <v>0</v>
      </c>
      <c r="AQ87" s="42">
        <v>20559555</v>
      </c>
      <c r="AR87" s="42">
        <v>9207519</v>
      </c>
      <c r="AS87" s="42">
        <v>29767074</v>
      </c>
      <c r="AT87" s="42">
        <v>157910</v>
      </c>
      <c r="AU87" s="42">
        <v>4800</v>
      </c>
      <c r="AV87" s="42">
        <v>0</v>
      </c>
      <c r="AW87" s="42">
        <v>1998440832</v>
      </c>
      <c r="AX87" s="42">
        <v>421167993</v>
      </c>
      <c r="AY87" s="42">
        <v>1167784345</v>
      </c>
      <c r="AZ87" s="42">
        <v>215566971</v>
      </c>
      <c r="BA87" s="42">
        <v>58805034</v>
      </c>
      <c r="BB87" s="42">
        <v>6756737604</v>
      </c>
      <c r="BC87" s="42">
        <v>13508705903</v>
      </c>
      <c r="BD87" s="42">
        <v>705351032</v>
      </c>
      <c r="BE87" s="42">
        <v>1090320327</v>
      </c>
      <c r="BF87" s="42">
        <v>184522991</v>
      </c>
      <c r="BG87" s="42">
        <v>0</v>
      </c>
      <c r="BH87" s="42">
        <v>72416232</v>
      </c>
      <c r="BI87" s="42">
        <v>17698576</v>
      </c>
      <c r="BJ87" s="42">
        <v>7965048</v>
      </c>
      <c r="BK87" s="42">
        <v>0</v>
      </c>
      <c r="BL87" s="42">
        <v>0</v>
      </c>
      <c r="BM87" s="42">
        <v>57262183</v>
      </c>
      <c r="BN87" s="42">
        <v>179396871</v>
      </c>
      <c r="BO87" s="42">
        <v>3236376</v>
      </c>
      <c r="BP87" s="42">
        <v>47875519</v>
      </c>
      <c r="BQ87" s="42">
        <v>369348205</v>
      </c>
      <c r="BR87" s="42">
        <v>0</v>
      </c>
      <c r="BS87" s="42">
        <f>IFERROR(VLOOKUP(A87,'Trans 21-23'!$A$2:$J$229,7,0),0)</f>
        <v>1831971939</v>
      </c>
      <c r="BT87" s="63"/>
      <c r="BU87" s="32">
        <f t="shared" si="0"/>
        <v>6756737604</v>
      </c>
      <c r="BV87" s="32">
        <f t="shared" si="1"/>
        <v>4800</v>
      </c>
      <c r="BW87" s="32">
        <f t="shared" si="2"/>
        <v>1276343</v>
      </c>
      <c r="BX87" s="32">
        <f t="shared" si="3"/>
        <v>206941615</v>
      </c>
      <c r="BY87" s="32">
        <f t="shared" si="4"/>
        <v>315972567</v>
      </c>
      <c r="BZ87" s="32">
        <f t="shared" si="5"/>
        <v>215566971</v>
      </c>
      <c r="CA87" s="32">
        <f t="shared" si="6"/>
        <v>191488829</v>
      </c>
      <c r="CB87" s="32">
        <f t="shared" si="7"/>
        <v>474991</v>
      </c>
      <c r="CC87" s="32">
        <f t="shared" si="8"/>
        <v>20559555</v>
      </c>
      <c r="CD87" s="41">
        <f t="shared" si="62"/>
        <v>1</v>
      </c>
      <c r="CE87" s="44">
        <f t="shared" si="10"/>
        <v>12</v>
      </c>
      <c r="CF87" s="27"/>
      <c r="CG87" s="28">
        <f t="shared" si="11"/>
        <v>1407.6536675</v>
      </c>
      <c r="CH87" s="28">
        <f t="shared" si="12"/>
        <v>3.7607445647447433</v>
      </c>
      <c r="CI87" s="28">
        <f t="shared" si="13"/>
        <v>162.13636538140611</v>
      </c>
      <c r="CJ87" s="28">
        <f t="shared" si="14"/>
        <v>168.89423219307037</v>
      </c>
      <c r="CK87" s="23">
        <f t="shared" si="15"/>
        <v>2.3103175141679866E-2</v>
      </c>
      <c r="CL87" s="29" t="str">
        <f t="shared" si="16"/>
        <v/>
      </c>
      <c r="CM87" s="29" t="str">
        <f t="shared" si="17"/>
        <v/>
      </c>
      <c r="CN87" s="29" t="str">
        <f t="shared" si="18"/>
        <v/>
      </c>
      <c r="CO87" s="29" t="str">
        <f t="shared" si="19"/>
        <v/>
      </c>
      <c r="CP87" s="29" t="str">
        <f t="shared" si="20"/>
        <v/>
      </c>
      <c r="CQ87" s="29">
        <f t="shared" si="21"/>
        <v>0</v>
      </c>
      <c r="CR87" s="30"/>
      <c r="CS87" s="7">
        <f>VLOOKUP(A87,'Empresas 21-23'!$A$2:$M$228,13,0)</f>
        <v>1</v>
      </c>
      <c r="CT87" s="30"/>
      <c r="CU87" s="6">
        <f t="shared" si="22"/>
        <v>7360966135.1999998</v>
      </c>
      <c r="CV87" s="6">
        <f t="shared" si="23"/>
        <v>215566971</v>
      </c>
      <c r="CW87" s="6">
        <f t="shared" si="24"/>
        <v>705351032</v>
      </c>
      <c r="CX87" s="23">
        <f t="shared" si="63"/>
        <v>0.57492479192877943</v>
      </c>
      <c r="CY87" s="23">
        <f t="shared" si="64"/>
        <v>1.6836756707280368E-2</v>
      </c>
      <c r="CZ87" s="6">
        <f t="shared" si="27"/>
        <v>7766489930.5093498</v>
      </c>
      <c r="DA87" s="6">
        <f t="shared" si="28"/>
        <v>227442794.71901312</v>
      </c>
      <c r="DB87" s="6">
        <f t="shared" si="29"/>
        <v>206941615</v>
      </c>
      <c r="DC87" s="6">
        <f t="shared" si="30"/>
        <v>227170180</v>
      </c>
      <c r="DD87" s="6">
        <f t="shared" si="31"/>
        <v>315972567</v>
      </c>
      <c r="DE87" s="6">
        <f t="shared" si="32"/>
        <v>191488829</v>
      </c>
      <c r="DF87" s="6">
        <f t="shared" si="33"/>
        <v>153799331.12635538</v>
      </c>
      <c r="DG87" s="30"/>
      <c r="DH87" s="32">
        <f>VLOOKUP(A87,'T_med_comp-USA'!$A$7:$Q$233,17,0)</f>
        <v>5.9853501660456745</v>
      </c>
      <c r="DI87" s="6" t="str">
        <f t="shared" si="34"/>
        <v>1_2017</v>
      </c>
      <c r="DJ87" s="32">
        <f>IF(DI87="","",VLOOKUP(DI87,'CPI USA'!$T:$U,2,FALSE))</f>
        <v>242.839</v>
      </c>
      <c r="DK87" s="32">
        <f>IF(DI87="","",VLOOKUP(DI87,'PPI USA'!$S:$T,2,FALSE))</f>
        <v>193.8</v>
      </c>
      <c r="DL87" s="32">
        <f>IF(DI87="","",VLOOKUP(DI87,'CPI USA'!$T:$V,3,FALSE))</f>
        <v>0.66204311420409623</v>
      </c>
      <c r="DM87" s="32">
        <f>IF(DI87="","",VLOOKUP(DI87,'CPI USA'!$T:$X,5,FALSE))</f>
        <v>0.48923067262022524</v>
      </c>
      <c r="DN87" s="32">
        <f t="shared" si="35"/>
        <v>1.3052922111247434</v>
      </c>
      <c r="DO87" s="32">
        <f t="shared" si="36"/>
        <v>1.311189955387182</v>
      </c>
      <c r="DP87" s="32">
        <f t="shared" si="37"/>
        <v>0.35624851778131228</v>
      </c>
      <c r="DQ87" s="32">
        <f>IF(DP87="","",DP87*$DO$1/'CPI USA'!$U$520+(1-DP87)*AVERAGE($DO$1,$DQ$1)/AVERAGE('CPI USA'!$U$520,'PPI USA'!$T$526))</f>
        <v>1.0802070048200871</v>
      </c>
      <c r="DR87" s="6">
        <f t="shared" si="38"/>
        <v>25663624</v>
      </c>
      <c r="DS87" s="32">
        <f t="shared" si="39"/>
        <v>0.2</v>
      </c>
      <c r="DT87" s="28">
        <f>IF(DS87="","",DS87*$DO$1/'CPI USA'!$U$520+(1-DS87)*AVERAGE($DO$1,$DQ$1)/AVERAGE('CPI USA'!$U$520,'PPI USA'!$T$526))</f>
        <v>1.0854630593748538</v>
      </c>
      <c r="DU87" s="6">
        <f t="shared" si="40"/>
        <v>58295210.798844986</v>
      </c>
      <c r="DV87" s="6">
        <f t="shared" si="57"/>
        <v>8527806.0923595149</v>
      </c>
      <c r="DW87" s="6">
        <f t="shared" si="41"/>
        <v>36533479.305639088</v>
      </c>
      <c r="DX87" s="16">
        <f t="shared" si="42"/>
        <v>0.23753991020692178</v>
      </c>
      <c r="DY87" s="28">
        <f>IF(DX87="","",DX87*$DO$1/'CPI USA'!$U$520+(1-DX87)*AVERAGE($DO$1,$DQ$1)/AVERAGE('CPI USA'!$U$520,'PPI USA'!$T$526))</f>
        <v>1.0842002517730256</v>
      </c>
      <c r="DZ87" s="30"/>
      <c r="EA87" s="29" t="str">
        <f t="shared" si="43"/>
        <v>C001016</v>
      </c>
      <c r="EB87" s="29">
        <f t="shared" si="44"/>
        <v>10137538814.072603</v>
      </c>
      <c r="EC87" s="29">
        <f t="shared" si="45"/>
        <v>298220707.86075878</v>
      </c>
      <c r="ED87" s="29">
        <f t="shared" si="46"/>
        <v>245390819.72224006</v>
      </c>
      <c r="EE87" s="29">
        <f t="shared" si="47"/>
        <v>342976549.25434595</v>
      </c>
      <c r="EF87" s="29">
        <f t="shared" si="48"/>
        <v>166749273.52971745</v>
      </c>
      <c r="EG87" s="29">
        <f t="shared" si="49"/>
        <v>4800</v>
      </c>
      <c r="EH87" s="29">
        <f t="shared" si="50"/>
        <v>1276343</v>
      </c>
      <c r="EI87" s="29">
        <f t="shared" si="51"/>
        <v>474991</v>
      </c>
      <c r="EJ87" s="29">
        <f t="shared" si="52"/>
        <v>20559555</v>
      </c>
      <c r="EK87" s="29">
        <f t="shared" si="53"/>
        <v>20894329.974619292</v>
      </c>
      <c r="EL87" s="29">
        <f>IF(CD87=1,VLOOKUP(EA87,'EIA 2022'!$A$2:$J$213,4,0)*EH87,"")</f>
        <v>93683576.200000003</v>
      </c>
      <c r="EM87" s="29">
        <f>IF(CD87=1,VLOOKUP(EA87,'EIA 2022'!$A$2:$J$213,7,0)*EH87,"")</f>
        <v>1158919.4440000001</v>
      </c>
      <c r="EN87" s="29">
        <f>IF(CD87=1,VLOOKUP(EA87,'EIA 2022'!$A$2:$J$213,10,0),"")</f>
        <v>1287645</v>
      </c>
      <c r="EO87" s="28">
        <f>IF(CD87=1,VLOOKUP(EA87,'EIA 2022'!$A$2:$Z$213,26,0),"")</f>
        <v>0</v>
      </c>
      <c r="EP87" s="23">
        <f t="shared" si="54"/>
        <v>1.6022288105239407E-2</v>
      </c>
      <c r="EQ87" s="32">
        <f t="shared" si="55"/>
        <v>140216.02538071014</v>
      </c>
      <c r="ER87" s="32">
        <f t="shared" si="56"/>
        <v>334774.97461928986</v>
      </c>
      <c r="ES87" s="32"/>
      <c r="ET87" s="32"/>
    </row>
    <row r="88" spans="1:150" ht="15.75" customHeight="1">
      <c r="A88" s="7" t="s">
        <v>465</v>
      </c>
      <c r="B88" s="7" t="s">
        <v>466</v>
      </c>
      <c r="C88" s="32" t="s">
        <v>957</v>
      </c>
      <c r="D88" s="42">
        <v>0</v>
      </c>
      <c r="E88" s="42">
        <v>0</v>
      </c>
      <c r="F88" s="42">
        <v>0</v>
      </c>
      <c r="G88" s="42">
        <v>670559972</v>
      </c>
      <c r="H88" s="42">
        <v>670681000</v>
      </c>
      <c r="I88" s="42">
        <v>7593795</v>
      </c>
      <c r="J88" s="42">
        <v>1888140</v>
      </c>
      <c r="K88" s="42">
        <v>2039685</v>
      </c>
      <c r="L88" s="42">
        <v>47036</v>
      </c>
      <c r="M88" s="42">
        <v>383714</v>
      </c>
      <c r="N88" s="42">
        <v>3550</v>
      </c>
      <c r="O88" s="42">
        <v>2926659</v>
      </c>
      <c r="P88" s="42">
        <v>1274801</v>
      </c>
      <c r="Q88" s="42">
        <v>79812</v>
      </c>
      <c r="R88" s="42">
        <v>492389</v>
      </c>
      <c r="S88" s="42">
        <v>2048049</v>
      </c>
      <c r="T88" s="42">
        <v>72944117</v>
      </c>
      <c r="U88" s="42">
        <v>1929465</v>
      </c>
      <c r="V88" s="42">
        <v>1213050</v>
      </c>
      <c r="W88" s="42">
        <v>317</v>
      </c>
      <c r="X88" s="42">
        <f>IFERROR(VLOOKUP(A88,'Trans 21-23'!$A$2:$J$229,8,0),0)</f>
        <v>10105454</v>
      </c>
      <c r="Y88" s="42">
        <v>2817611</v>
      </c>
      <c r="Z88" s="42">
        <v>236322</v>
      </c>
      <c r="AA88" s="42">
        <v>26972287</v>
      </c>
      <c r="AB88" s="42">
        <v>39686762</v>
      </c>
      <c r="AC88" s="42">
        <v>292</v>
      </c>
      <c r="AD88" s="42">
        <v>74029663</v>
      </c>
      <c r="AE88" s="42">
        <v>0</v>
      </c>
      <c r="AF88" s="42">
        <v>925173570</v>
      </c>
      <c r="AG88" s="42">
        <v>533947</v>
      </c>
      <c r="AH88" s="42">
        <v>327879</v>
      </c>
      <c r="AI88" s="42">
        <v>8832768</v>
      </c>
      <c r="AJ88" s="42">
        <v>0</v>
      </c>
      <c r="AK88" s="42">
        <v>0</v>
      </c>
      <c r="AL88" s="42">
        <v>3386489</v>
      </c>
      <c r="AM88" s="42">
        <v>3017848</v>
      </c>
      <c r="AN88" s="42">
        <v>1349733</v>
      </c>
      <c r="AO88" s="42">
        <v>10075</v>
      </c>
      <c r="AP88" s="42">
        <v>0</v>
      </c>
      <c r="AQ88" s="42">
        <v>7764145</v>
      </c>
      <c r="AR88" s="42">
        <v>740744</v>
      </c>
      <c r="AS88" s="42">
        <v>8504889</v>
      </c>
      <c r="AT88" s="42">
        <v>0</v>
      </c>
      <c r="AU88" s="42">
        <v>1693</v>
      </c>
      <c r="AV88" s="42">
        <v>0</v>
      </c>
      <c r="AW88" s="42">
        <v>680846412</v>
      </c>
      <c r="AX88" s="42">
        <v>53200789</v>
      </c>
      <c r="AY88" s="42">
        <v>154636669</v>
      </c>
      <c r="AZ88" s="42">
        <v>79628008</v>
      </c>
      <c r="BA88" s="42">
        <v>5303175</v>
      </c>
      <c r="BB88" s="42">
        <v>2273412345</v>
      </c>
      <c r="BC88" s="42">
        <v>4774266190</v>
      </c>
      <c r="BD88" s="42">
        <v>444166930</v>
      </c>
      <c r="BE88" s="42">
        <v>537621199</v>
      </c>
      <c r="BF88" s="42">
        <v>73232201</v>
      </c>
      <c r="BG88" s="42">
        <v>0</v>
      </c>
      <c r="BH88" s="42">
        <v>31798744</v>
      </c>
      <c r="BI88" s="42">
        <v>8325417</v>
      </c>
      <c r="BJ88" s="42">
        <v>2492471</v>
      </c>
      <c r="BK88" s="42">
        <v>0</v>
      </c>
      <c r="BL88" s="42">
        <v>0</v>
      </c>
      <c r="BM88" s="42">
        <v>23871242</v>
      </c>
      <c r="BN88" s="42">
        <v>72291481</v>
      </c>
      <c r="BO88" s="42">
        <v>953451</v>
      </c>
      <c r="BP88" s="42">
        <v>27122855</v>
      </c>
      <c r="BQ88" s="42">
        <v>163899183</v>
      </c>
      <c r="BR88" s="42">
        <v>0</v>
      </c>
      <c r="BS88" s="42">
        <f>IFERROR(VLOOKUP(A88,'Trans 21-23'!$A$2:$J$229,7,0),0)</f>
        <v>915186460</v>
      </c>
      <c r="BT88" s="63"/>
      <c r="BU88" s="32">
        <f t="shared" si="0"/>
        <v>2273412345</v>
      </c>
      <c r="BV88" s="32">
        <f t="shared" si="1"/>
        <v>1693</v>
      </c>
      <c r="BW88" s="32">
        <f t="shared" si="2"/>
        <v>533947</v>
      </c>
      <c r="BX88" s="32">
        <f t="shared" si="3"/>
        <v>94864579</v>
      </c>
      <c r="BY88" s="32">
        <f t="shared" si="4"/>
        <v>69713274</v>
      </c>
      <c r="BZ88" s="32">
        <f t="shared" si="5"/>
        <v>79628008</v>
      </c>
      <c r="CA88" s="32">
        <f t="shared" si="6"/>
        <v>74029663</v>
      </c>
      <c r="CB88" s="32">
        <f t="shared" si="7"/>
        <v>327879</v>
      </c>
      <c r="CC88" s="32">
        <f t="shared" si="8"/>
        <v>7764145</v>
      </c>
      <c r="CD88" s="41">
        <f t="shared" si="62"/>
        <v>1</v>
      </c>
      <c r="CE88" s="44">
        <f t="shared" si="10"/>
        <v>13</v>
      </c>
      <c r="CF88" s="27"/>
      <c r="CG88" s="28">
        <f t="shared" si="11"/>
        <v>1342.8306822209095</v>
      </c>
      <c r="CH88" s="28">
        <f t="shared" si="12"/>
        <v>3.1707266826108209</v>
      </c>
      <c r="CI88" s="28">
        <f t="shared" si="13"/>
        <v>177.66665792672308</v>
      </c>
      <c r="CJ88" s="28">
        <f t="shared" si="14"/>
        <v>149.1309212337554</v>
      </c>
      <c r="CK88" s="23">
        <f t="shared" si="15"/>
        <v>4.2229891378896198E-2</v>
      </c>
      <c r="CL88" s="29" t="str">
        <f t="shared" si="16"/>
        <v/>
      </c>
      <c r="CM88" s="29" t="str">
        <f t="shared" si="17"/>
        <v/>
      </c>
      <c r="CN88" s="29" t="str">
        <f t="shared" si="18"/>
        <v/>
      </c>
      <c r="CO88" s="29" t="str">
        <f t="shared" si="19"/>
        <v/>
      </c>
      <c r="CP88" s="29" t="str">
        <f t="shared" si="20"/>
        <v/>
      </c>
      <c r="CQ88" s="29">
        <f t="shared" si="21"/>
        <v>0</v>
      </c>
      <c r="CR88" s="30"/>
      <c r="CS88" s="7">
        <f>VLOOKUP(A88,'Empresas 21-23'!$A$2:$M$228,13,0)</f>
        <v>1</v>
      </c>
      <c r="CT88" s="30"/>
      <c r="CU88" s="6">
        <f t="shared" si="22"/>
        <v>2978965147.1999998</v>
      </c>
      <c r="CV88" s="6">
        <f t="shared" si="23"/>
        <v>79628008</v>
      </c>
      <c r="CW88" s="6">
        <f t="shared" si="24"/>
        <v>444166930</v>
      </c>
      <c r="CX88" s="23">
        <f t="shared" si="63"/>
        <v>0.68796694217120546</v>
      </c>
      <c r="CY88" s="23">
        <f t="shared" si="64"/>
        <v>1.8389418629632059E-2</v>
      </c>
      <c r="CZ88" s="6">
        <f t="shared" si="27"/>
        <v>3284537311.8456717</v>
      </c>
      <c r="DA88" s="6">
        <f t="shared" si="28"/>
        <v>87795979.617208481</v>
      </c>
      <c r="DB88" s="6">
        <f t="shared" si="29"/>
        <v>94864579</v>
      </c>
      <c r="DC88" s="6">
        <f t="shared" si="30"/>
        <v>104970033</v>
      </c>
      <c r="DD88" s="6">
        <f t="shared" si="31"/>
        <v>69713274</v>
      </c>
      <c r="DE88" s="6">
        <f t="shared" si="32"/>
        <v>74029663</v>
      </c>
      <c r="DF88" s="6">
        <f t="shared" si="33"/>
        <v>71658750.066214666</v>
      </c>
      <c r="DG88" s="30"/>
      <c r="DH88" s="32">
        <f>VLOOKUP(A88,'T_med_comp-USA'!$A$7:$Q$233,17,0)</f>
        <v>7.4830434765538998</v>
      </c>
      <c r="DI88" s="6" t="str">
        <f t="shared" si="34"/>
        <v>7_2015</v>
      </c>
      <c r="DJ88" s="32">
        <f>IF(DI88="","",VLOOKUP(DI88,'CPI USA'!$T:$U,2,FALSE))</f>
        <v>238.654</v>
      </c>
      <c r="DK88" s="32">
        <f>IF(DI88="","",VLOOKUP(DI88,'PPI USA'!$S:$T,2,FALSE))</f>
        <v>197.7</v>
      </c>
      <c r="DL88" s="32">
        <f>IF(DI88="","",VLOOKUP(DI88,'CPI USA'!$T:$V,3,FALSE))</f>
        <v>0.6679408278919865</v>
      </c>
      <c r="DM88" s="32">
        <f>IF(DI88="","",VLOOKUP(DI88,'CPI USA'!$T:$X,5,FALSE))</f>
        <v>0.49584761624008583</v>
      </c>
      <c r="DN88" s="32">
        <f t="shared" si="35"/>
        <v>1.3205326005639353</v>
      </c>
      <c r="DO88" s="32">
        <f t="shared" si="36"/>
        <v>1.3226507501026812</v>
      </c>
      <c r="DP88" s="32">
        <f t="shared" si="37"/>
        <v>0.33962241105726781</v>
      </c>
      <c r="DQ88" s="32">
        <f>IF(DP88="","",DP88*$DO$1/'CPI USA'!$U$520+(1-DP88)*AVERAGE($DO$1,$DQ$1)/AVERAGE('CPI USA'!$U$520,'PPI USA'!$T$526))</f>
        <v>1.0807662915590326</v>
      </c>
      <c r="DR88" s="6">
        <f t="shared" si="38"/>
        <v>10817888</v>
      </c>
      <c r="DS88" s="32">
        <f t="shared" si="39"/>
        <v>0.2</v>
      </c>
      <c r="DT88" s="28">
        <f>IF(DS88="","",DS88*$DO$1/'CPI USA'!$U$520+(1-DS88)*AVERAGE($DO$1,$DQ$1)/AVERAGE('CPI USA'!$U$520,'PPI USA'!$T$526))</f>
        <v>1.0854630593748538</v>
      </c>
      <c r="DU88" s="6">
        <f t="shared" si="40"/>
        <v>24186079.367298394</v>
      </c>
      <c r="DV88" s="6">
        <f t="shared" si="57"/>
        <v>4733686.339612144</v>
      </c>
      <c r="DW88" s="6">
        <f t="shared" si="41"/>
        <v>17048523.499713976</v>
      </c>
      <c r="DX88" s="16">
        <f t="shared" si="42"/>
        <v>0.23791265524392582</v>
      </c>
      <c r="DY88" s="28">
        <f>IF(DX88="","",DX88*$DO$1/'CPI USA'!$U$520+(1-DX88)*AVERAGE($DO$1,$DQ$1)/AVERAGE('CPI USA'!$U$520,'PPI USA'!$T$526))</f>
        <v>1.0841877129772832</v>
      </c>
      <c r="DZ88" s="30"/>
      <c r="EA88" s="29" t="str">
        <f t="shared" si="43"/>
        <v>C001017</v>
      </c>
      <c r="EB88" s="29">
        <f t="shared" si="44"/>
        <v>4337338598.0608425</v>
      </c>
      <c r="EC88" s="29">
        <f t="shared" si="45"/>
        <v>116123418.29670051</v>
      </c>
      <c r="ED88" s="29">
        <f t="shared" si="46"/>
        <v>113448073.29023927</v>
      </c>
      <c r="EE88" s="29">
        <f t="shared" si="47"/>
        <v>75671183.675077453</v>
      </c>
      <c r="EF88" s="29">
        <f t="shared" si="48"/>
        <v>77691536.349100024</v>
      </c>
      <c r="EG88" s="29">
        <f t="shared" si="49"/>
        <v>1693</v>
      </c>
      <c r="EH88" s="29">
        <f t="shared" si="50"/>
        <v>533947</v>
      </c>
      <c r="EI88" s="29">
        <f t="shared" si="51"/>
        <v>327879</v>
      </c>
      <c r="EJ88" s="29">
        <f t="shared" si="52"/>
        <v>7764145</v>
      </c>
      <c r="EK88" s="29">
        <f t="shared" si="53"/>
        <v>8080743.6345177665</v>
      </c>
      <c r="EL88" s="29">
        <f>IF(CD88=1,VLOOKUP(EA88,'EIA 2022'!$A$2:$J$213,4,0)*EH88,"")</f>
        <v>42075023.600000001</v>
      </c>
      <c r="EM88" s="29">
        <f>IF(CD88=1,VLOOKUP(EA88,'EIA 2022'!$A$2:$J$213,7,0)*EH88,"")</f>
        <v>770485.52100000007</v>
      </c>
      <c r="EN88" s="29">
        <f>IF(CD88=1,VLOOKUP(EA88,'EIA 2022'!$A$2:$J$213,10,0),"")</f>
        <v>568010</v>
      </c>
      <c r="EO88" s="28">
        <f>IF(CD88=1,VLOOKUP(EA88,'EIA 2022'!$A$2:$Z$213,26,0),"")</f>
        <v>0</v>
      </c>
      <c r="EP88" s="23">
        <f t="shared" si="54"/>
        <v>3.9179393486186272E-2</v>
      </c>
      <c r="EQ88" s="32">
        <f t="shared" si="55"/>
        <v>11280.365482233465</v>
      </c>
      <c r="ER88" s="32">
        <f t="shared" si="56"/>
        <v>316598.63451776654</v>
      </c>
      <c r="ES88" s="32"/>
      <c r="ET88" s="32"/>
    </row>
    <row r="89" spans="1:150" ht="15.75" customHeight="1">
      <c r="A89" s="7" t="s">
        <v>468</v>
      </c>
      <c r="B89" s="7" t="s">
        <v>469</v>
      </c>
      <c r="C89" s="32" t="s">
        <v>958</v>
      </c>
      <c r="D89" s="42">
        <v>0</v>
      </c>
      <c r="E89" s="42">
        <v>0</v>
      </c>
      <c r="F89" s="42">
        <v>1588521</v>
      </c>
      <c r="G89" s="42">
        <v>319778156</v>
      </c>
      <c r="H89" s="42">
        <v>323357393</v>
      </c>
      <c r="I89" s="42">
        <v>3446510</v>
      </c>
      <c r="J89" s="42">
        <v>295830</v>
      </c>
      <c r="K89" s="42">
        <v>0</v>
      </c>
      <c r="L89" s="42">
        <v>24120746</v>
      </c>
      <c r="M89" s="42">
        <v>1115015</v>
      </c>
      <c r="N89" s="42">
        <v>1121440</v>
      </c>
      <c r="O89" s="42">
        <v>10225372</v>
      </c>
      <c r="P89" s="42">
        <v>645152</v>
      </c>
      <c r="Q89" s="42">
        <v>3313</v>
      </c>
      <c r="R89" s="42">
        <v>0</v>
      </c>
      <c r="S89" s="42">
        <v>706889</v>
      </c>
      <c r="T89" s="42">
        <v>41067366</v>
      </c>
      <c r="U89" s="42">
        <v>1363973</v>
      </c>
      <c r="V89" s="42">
        <v>0</v>
      </c>
      <c r="W89" s="42">
        <v>0</v>
      </c>
      <c r="X89" s="42">
        <f>IFERROR(VLOOKUP(A89,'Trans 21-23'!$A$2:$J$229,8,0),0)</f>
        <v>2894970</v>
      </c>
      <c r="Y89" s="42">
        <v>2007924</v>
      </c>
      <c r="Z89" s="42">
        <v>0</v>
      </c>
      <c r="AA89" s="42">
        <v>30152061</v>
      </c>
      <c r="AB89" s="42">
        <v>65337225</v>
      </c>
      <c r="AC89" s="42">
        <v>0</v>
      </c>
      <c r="AD89" s="42">
        <v>67805185</v>
      </c>
      <c r="AE89" s="42">
        <v>0</v>
      </c>
      <c r="AF89" s="42">
        <v>590819346</v>
      </c>
      <c r="AG89" s="42">
        <v>272264</v>
      </c>
      <c r="AH89" s="42">
        <v>140262</v>
      </c>
      <c r="AI89" s="42">
        <v>3043827</v>
      </c>
      <c r="AJ89" s="42">
        <v>0</v>
      </c>
      <c r="AK89" s="42">
        <v>0</v>
      </c>
      <c r="AL89" s="42">
        <v>1915532</v>
      </c>
      <c r="AM89" s="42">
        <v>699877</v>
      </c>
      <c r="AN89" s="42">
        <v>65911</v>
      </c>
      <c r="AO89" s="42">
        <v>10971</v>
      </c>
      <c r="AP89" s="42">
        <v>162560</v>
      </c>
      <c r="AQ89" s="42">
        <v>2855688</v>
      </c>
      <c r="AR89" s="42">
        <v>47877</v>
      </c>
      <c r="AS89" s="42">
        <v>2903565</v>
      </c>
      <c r="AT89" s="42">
        <v>0</v>
      </c>
      <c r="AU89" s="42">
        <v>1109</v>
      </c>
      <c r="AV89" s="42">
        <v>0</v>
      </c>
      <c r="AW89" s="42">
        <v>271001137</v>
      </c>
      <c r="AX89" s="42">
        <v>47288261</v>
      </c>
      <c r="AY89" s="42">
        <v>77575341</v>
      </c>
      <c r="AZ89" s="42">
        <v>52124827</v>
      </c>
      <c r="BA89" s="42">
        <v>17044044</v>
      </c>
      <c r="BB89" s="42">
        <v>1244809170</v>
      </c>
      <c r="BC89" s="42">
        <v>1767882739</v>
      </c>
      <c r="BD89" s="42">
        <v>4389405</v>
      </c>
      <c r="BE89" s="42">
        <v>285032816</v>
      </c>
      <c r="BF89" s="42">
        <v>28206400</v>
      </c>
      <c r="BG89" s="42">
        <v>0</v>
      </c>
      <c r="BH89" s="42">
        <v>28333798</v>
      </c>
      <c r="BI89" s="42">
        <v>7947152</v>
      </c>
      <c r="BJ89" s="42">
        <v>754730</v>
      </c>
      <c r="BK89" s="42">
        <v>0</v>
      </c>
      <c r="BL89" s="42">
        <v>0</v>
      </c>
      <c r="BM89" s="42">
        <v>29507889</v>
      </c>
      <c r="BN89" s="42">
        <v>75193704</v>
      </c>
      <c r="BO89" s="42">
        <v>3373931</v>
      </c>
      <c r="BP89" s="42">
        <v>10567070</v>
      </c>
      <c r="BQ89" s="42">
        <v>146403630</v>
      </c>
      <c r="BR89" s="42">
        <v>837</v>
      </c>
      <c r="BS89" s="42">
        <f>IFERROR(VLOOKUP(A89,'Trans 21-23'!$A$2:$J$229,7,0),0)</f>
        <v>262178970</v>
      </c>
      <c r="BT89" s="63"/>
      <c r="BU89" s="32">
        <f t="shared" si="0"/>
        <v>1244809170</v>
      </c>
      <c r="BV89" s="32">
        <f t="shared" si="1"/>
        <v>1109</v>
      </c>
      <c r="BW89" s="32">
        <f t="shared" si="2"/>
        <v>272264</v>
      </c>
      <c r="BX89" s="32">
        <f t="shared" si="3"/>
        <v>84111606</v>
      </c>
      <c r="BY89" s="32">
        <f t="shared" si="4"/>
        <v>97497210</v>
      </c>
      <c r="BZ89" s="32">
        <f t="shared" si="5"/>
        <v>52124827</v>
      </c>
      <c r="CA89" s="32">
        <f t="shared" si="6"/>
        <v>67805185</v>
      </c>
      <c r="CB89" s="32">
        <f t="shared" si="7"/>
        <v>140262</v>
      </c>
      <c r="CC89" s="32">
        <f t="shared" si="8"/>
        <v>2855688</v>
      </c>
      <c r="CD89" s="41">
        <f t="shared" si="62"/>
        <v>1</v>
      </c>
      <c r="CE89" s="44">
        <f t="shared" si="10"/>
        <v>16</v>
      </c>
      <c r="CF89" s="27"/>
      <c r="CG89" s="28">
        <f t="shared" si="11"/>
        <v>1122.4609287646529</v>
      </c>
      <c r="CH89" s="28">
        <f t="shared" si="12"/>
        <v>4.0732524314635796</v>
      </c>
      <c r="CI89" s="28">
        <f t="shared" si="13"/>
        <v>308.93399788440632</v>
      </c>
      <c r="CJ89" s="28">
        <f t="shared" si="14"/>
        <v>191.44957467751888</v>
      </c>
      <c r="CK89" s="23">
        <f t="shared" si="15"/>
        <v>4.9116710228848531E-2</v>
      </c>
      <c r="CL89" s="29" t="str">
        <f t="shared" si="16"/>
        <v/>
      </c>
      <c r="CM89" s="29" t="str">
        <f t="shared" si="17"/>
        <v/>
      </c>
      <c r="CN89" s="29" t="str">
        <f t="shared" si="18"/>
        <v/>
      </c>
      <c r="CO89" s="29" t="str">
        <f t="shared" si="19"/>
        <v/>
      </c>
      <c r="CP89" s="29" t="str">
        <f t="shared" si="20"/>
        <v/>
      </c>
      <c r="CQ89" s="29">
        <f t="shared" si="21"/>
        <v>0</v>
      </c>
      <c r="CR89" s="30"/>
      <c r="CS89" s="7">
        <f>VLOOKUP(A89,'Empresas 21-23'!$A$2:$M$228,13,0)</f>
        <v>1</v>
      </c>
      <c r="CT89" s="30"/>
      <c r="CU89" s="6">
        <f t="shared" si="22"/>
        <v>1362901107.8</v>
      </c>
      <c r="CV89" s="6">
        <f t="shared" si="23"/>
        <v>52124827</v>
      </c>
      <c r="CW89" s="6">
        <f t="shared" si="24"/>
        <v>4389405</v>
      </c>
      <c r="CX89" s="23">
        <f t="shared" si="63"/>
        <v>0.77284165555002882</v>
      </c>
      <c r="CY89" s="23">
        <f t="shared" si="64"/>
        <v>2.9557711387413727E-2</v>
      </c>
      <c r="CZ89" s="6">
        <f t="shared" si="27"/>
        <v>1366293422.8270795</v>
      </c>
      <c r="DA89" s="6">
        <f t="shared" si="28"/>
        <v>52254567.766152471</v>
      </c>
      <c r="DB89" s="6">
        <f t="shared" si="29"/>
        <v>84111606</v>
      </c>
      <c r="DC89" s="6">
        <f t="shared" si="30"/>
        <v>87006576</v>
      </c>
      <c r="DD89" s="6">
        <f t="shared" si="31"/>
        <v>97497210</v>
      </c>
      <c r="DE89" s="6">
        <f t="shared" si="32"/>
        <v>67805185</v>
      </c>
      <c r="DF89" s="6">
        <f t="shared" si="33"/>
        <v>63161630.056383595</v>
      </c>
      <c r="DG89" s="30"/>
      <c r="DH89" s="32">
        <f>VLOOKUP(A89,'T_med_comp-USA'!$A$7:$Q$233,17,0)</f>
        <v>10.161743848381088</v>
      </c>
      <c r="DI89" s="6" t="str">
        <f t="shared" si="34"/>
        <v>11_2012</v>
      </c>
      <c r="DJ89" s="32">
        <f>IF(DI89="","",VLOOKUP(DI89,'CPI USA'!$T:$U,2,FALSE))</f>
        <v>229.59399999999999</v>
      </c>
      <c r="DK89" s="32">
        <f>IF(DI89="","",VLOOKUP(DI89,'PPI USA'!$S:$T,2,FALSE))</f>
        <v>175.1</v>
      </c>
      <c r="DL89" s="32">
        <f>IF(DI89="","",VLOOKUP(DI89,'CPI USA'!$T:$V,3,FALSE))</f>
        <v>0.66730871354337351</v>
      </c>
      <c r="DM89" s="32">
        <f>IF(DI89="","",VLOOKUP(DI89,'CPI USA'!$T:$X,5,FALSE))</f>
        <v>0.49513551903851311</v>
      </c>
      <c r="DN89" s="32">
        <f t="shared" si="35"/>
        <v>1.3897894616766442</v>
      </c>
      <c r="DO89" s="32">
        <f t="shared" si="36"/>
        <v>1.4008620811189902</v>
      </c>
      <c r="DP89" s="32">
        <f t="shared" si="37"/>
        <v>0.35197439412011228</v>
      </c>
      <c r="DQ89" s="32">
        <f>IF(DP89="","",DP89*$DO$1/'CPI USA'!$U$520+(1-DP89)*AVERAGE($DO$1,$DQ$1)/AVERAGE('CPI USA'!$U$520,'PPI USA'!$T$526))</f>
        <v>1.0803507823576668</v>
      </c>
      <c r="DR89" s="6">
        <f t="shared" si="38"/>
        <v>8701882</v>
      </c>
      <c r="DS89" s="32">
        <f t="shared" si="39"/>
        <v>0.2</v>
      </c>
      <c r="DT89" s="28">
        <f>IF(DS89="","",DS89*$DO$1/'CPI USA'!$U$520+(1-DS89)*AVERAGE($DO$1,$DQ$1)/AVERAGE('CPI USA'!$U$520,'PPI USA'!$T$526))</f>
        <v>1.0854630593748538</v>
      </c>
      <c r="DU89" s="6">
        <f t="shared" si="40"/>
        <v>30831903.859564029</v>
      </c>
      <c r="DV89" s="6">
        <f t="shared" si="57"/>
        <v>2295493.4121949938</v>
      </c>
      <c r="DW89" s="6">
        <f t="shared" si="41"/>
        <v>16316468.258961419</v>
      </c>
      <c r="DX89" s="16">
        <f t="shared" si="42"/>
        <v>0.25832880254033835</v>
      </c>
      <c r="DY89" s="28">
        <f>IF(DX89="","",DX89*$DO$1/'CPI USA'!$U$520+(1-DX89)*AVERAGE($DO$1,$DQ$1)/AVERAGE('CPI USA'!$U$520,'PPI USA'!$T$526))</f>
        <v>1.0835009328048257</v>
      </c>
      <c r="DZ89" s="30"/>
      <c r="EA89" s="29" t="str">
        <f t="shared" si="43"/>
        <v>C001025</v>
      </c>
      <c r="EB89" s="29">
        <f t="shared" si="44"/>
        <v>1898860200.6031864</v>
      </c>
      <c r="EC89" s="29">
        <f t="shared" si="45"/>
        <v>73201442.548865661</v>
      </c>
      <c r="ED89" s="29">
        <f t="shared" si="46"/>
        <v>93997622.451861799</v>
      </c>
      <c r="EE89" s="29">
        <f t="shared" si="47"/>
        <v>105829619.84711258</v>
      </c>
      <c r="EF89" s="29">
        <f t="shared" si="48"/>
        <v>68435685.083564937</v>
      </c>
      <c r="EG89" s="29">
        <f t="shared" si="49"/>
        <v>1109</v>
      </c>
      <c r="EH89" s="29">
        <f t="shared" si="50"/>
        <v>272264</v>
      </c>
      <c r="EI89" s="29">
        <f t="shared" si="51"/>
        <v>140262</v>
      </c>
      <c r="EJ89" s="29">
        <f t="shared" si="52"/>
        <v>2855688</v>
      </c>
      <c r="EK89" s="29">
        <f t="shared" si="53"/>
        <v>2995220.9086294416</v>
      </c>
      <c r="EL89" s="29">
        <f>IF(CD89=1,VLOOKUP(EA89,'EIA 2022'!$A$2:$J$213,4,0)*EH89,"")</f>
        <v>46883860.799999997</v>
      </c>
      <c r="EM89" s="29">
        <f>IF(CD89=1,VLOOKUP(EA89,'EIA 2022'!$A$2:$J$213,7,0)*EH89,"")</f>
        <v>517301.6</v>
      </c>
      <c r="EN89" s="29">
        <f>IF(CD89=1,VLOOKUP(EA89,'EIA 2022'!$A$2:$J$213,10,0),"")</f>
        <v>156290</v>
      </c>
      <c r="EO89" s="28">
        <f>IF(CD89=1,VLOOKUP(EA89,'EIA 2022'!$A$2:$Z$213,26,0),"")</f>
        <v>0</v>
      </c>
      <c r="EP89" s="23">
        <f t="shared" si="54"/>
        <v>4.6585181155566036E-2</v>
      </c>
      <c r="EQ89" s="32">
        <f t="shared" si="55"/>
        <v>729.09137055837346</v>
      </c>
      <c r="ER89" s="32">
        <f t="shared" si="56"/>
        <v>139532.90862944163</v>
      </c>
      <c r="ES89" s="32"/>
      <c r="ET89" s="32"/>
    </row>
    <row r="90" spans="1:150" ht="15.75" customHeight="1">
      <c r="A90" s="7" t="s">
        <v>471</v>
      </c>
      <c r="B90" s="7" t="s">
        <v>472</v>
      </c>
      <c r="C90" s="32" t="s">
        <v>959</v>
      </c>
      <c r="D90" s="42">
        <v>215888531</v>
      </c>
      <c r="E90" s="42">
        <v>149737989</v>
      </c>
      <c r="F90" s="42">
        <v>6226100494</v>
      </c>
      <c r="G90" s="42">
        <v>378911547</v>
      </c>
      <c r="H90" s="42">
        <v>-931201507</v>
      </c>
      <c r="I90" s="42">
        <v>17856629</v>
      </c>
      <c r="J90" s="42">
        <v>4459451</v>
      </c>
      <c r="K90" s="42">
        <v>4342699</v>
      </c>
      <c r="L90" s="42">
        <v>14469127</v>
      </c>
      <c r="M90" s="42">
        <v>8882277</v>
      </c>
      <c r="N90" s="42">
        <v>205975</v>
      </c>
      <c r="O90" s="42">
        <v>32715468</v>
      </c>
      <c r="P90" s="42">
        <v>3984023</v>
      </c>
      <c r="Q90" s="42">
        <v>17205672</v>
      </c>
      <c r="R90" s="42">
        <v>787444</v>
      </c>
      <c r="S90" s="42">
        <v>11182109</v>
      </c>
      <c r="T90" s="42">
        <v>134425580</v>
      </c>
      <c r="U90" s="42">
        <v>16165333</v>
      </c>
      <c r="V90" s="42">
        <v>159187</v>
      </c>
      <c r="W90" s="42">
        <v>10708404</v>
      </c>
      <c r="X90" s="42">
        <f>IFERROR(VLOOKUP(A90,'Trans 21-23'!$A$2:$J$229,8,0),0)</f>
        <v>0</v>
      </c>
      <c r="Y90" s="42">
        <v>3358652</v>
      </c>
      <c r="Z90" s="42">
        <v>5228944</v>
      </c>
      <c r="AA90" s="42">
        <v>103286975</v>
      </c>
      <c r="AB90" s="42">
        <v>47355132</v>
      </c>
      <c r="AC90" s="42">
        <v>13830881</v>
      </c>
      <c r="AD90" s="42">
        <v>512071952</v>
      </c>
      <c r="AE90" s="42">
        <v>0</v>
      </c>
      <c r="AF90" s="42">
        <v>7336375552</v>
      </c>
      <c r="AG90" s="42">
        <v>5775848</v>
      </c>
      <c r="AH90" s="42">
        <v>10605579</v>
      </c>
      <c r="AI90" s="42">
        <v>150688279</v>
      </c>
      <c r="AJ90" s="42">
        <v>156933</v>
      </c>
      <c r="AK90" s="42">
        <v>0</v>
      </c>
      <c r="AL90" s="42">
        <v>69347790</v>
      </c>
      <c r="AM90" s="42">
        <v>51850924</v>
      </c>
      <c r="AN90" s="42">
        <v>4713988</v>
      </c>
      <c r="AO90" s="42">
        <v>427191</v>
      </c>
      <c r="AP90" s="42">
        <v>39062</v>
      </c>
      <c r="AQ90" s="42">
        <v>126449896</v>
      </c>
      <c r="AR90" s="42">
        <v>13475871</v>
      </c>
      <c r="AS90" s="42">
        <v>139925767</v>
      </c>
      <c r="AT90" s="42">
        <v>70941</v>
      </c>
      <c r="AU90" s="42">
        <v>26429</v>
      </c>
      <c r="AV90" s="42">
        <v>0</v>
      </c>
      <c r="AW90" s="42">
        <v>4418473342</v>
      </c>
      <c r="AX90" s="42">
        <v>2827863514</v>
      </c>
      <c r="AY90" s="42">
        <v>3959985328</v>
      </c>
      <c r="AZ90" s="42">
        <v>966480132</v>
      </c>
      <c r="BA90" s="42">
        <v>837419391</v>
      </c>
      <c r="BB90" s="42">
        <v>25879674926</v>
      </c>
      <c r="BC90" s="42">
        <v>73447828258</v>
      </c>
      <c r="BD90" s="42">
        <v>2688374281</v>
      </c>
      <c r="BE90" s="42">
        <v>6370914575</v>
      </c>
      <c r="BF90" s="42">
        <v>653660923</v>
      </c>
      <c r="BG90" s="42">
        <v>0</v>
      </c>
      <c r="BH90" s="42">
        <v>124270266</v>
      </c>
      <c r="BI90" s="42">
        <v>50872515</v>
      </c>
      <c r="BJ90" s="42">
        <v>20155613</v>
      </c>
      <c r="BK90" s="42">
        <v>1163574</v>
      </c>
      <c r="BL90" s="42">
        <v>0</v>
      </c>
      <c r="BM90" s="42">
        <v>257211669</v>
      </c>
      <c r="BN90" s="42">
        <v>702157576</v>
      </c>
      <c r="BO90" s="42">
        <v>0</v>
      </c>
      <c r="BP90" s="42">
        <v>115009911</v>
      </c>
      <c r="BQ90" s="42">
        <v>1392129741</v>
      </c>
      <c r="BR90" s="42">
        <v>0</v>
      </c>
      <c r="BS90" s="42">
        <f>IFERROR(VLOOKUP(A90,'Trans 21-23'!$A$2:$J$229,7,0),0)</f>
        <v>0</v>
      </c>
      <c r="BT90" s="63"/>
      <c r="BU90" s="32">
        <f t="shared" si="0"/>
        <v>25879674926</v>
      </c>
      <c r="BV90" s="32">
        <f t="shared" si="1"/>
        <v>26429</v>
      </c>
      <c r="BW90" s="32">
        <f t="shared" si="2"/>
        <v>5775848</v>
      </c>
      <c r="BX90" s="32">
        <f t="shared" si="3"/>
        <v>277549378</v>
      </c>
      <c r="BY90" s="32">
        <f t="shared" si="4"/>
        <v>173060584</v>
      </c>
      <c r="BZ90" s="32">
        <f t="shared" si="5"/>
        <v>966480132</v>
      </c>
      <c r="CA90" s="32">
        <f t="shared" si="6"/>
        <v>512071952</v>
      </c>
      <c r="CB90" s="32">
        <f t="shared" si="7"/>
        <v>10605579</v>
      </c>
      <c r="CC90" s="32">
        <f t="shared" si="8"/>
        <v>126449896</v>
      </c>
      <c r="CD90" s="41">
        <f t="shared" si="62"/>
        <v>1</v>
      </c>
      <c r="CE90" s="44">
        <f t="shared" si="10"/>
        <v>9</v>
      </c>
      <c r="CF90" s="27"/>
      <c r="CG90" s="28">
        <f t="shared" si="11"/>
        <v>979.21506398274619</v>
      </c>
      <c r="CH90" s="28">
        <f t="shared" si="12"/>
        <v>4.5757783099555249</v>
      </c>
      <c r="CI90" s="28">
        <f t="shared" si="13"/>
        <v>48.053442195847261</v>
      </c>
      <c r="CJ90" s="28">
        <f t="shared" si="14"/>
        <v>167.33129611444068</v>
      </c>
      <c r="CK90" s="23">
        <f t="shared" si="15"/>
        <v>8.3871789028596752E-2</v>
      </c>
      <c r="CL90" s="29" t="str">
        <f t="shared" si="16"/>
        <v/>
      </c>
      <c r="CM90" s="29" t="str">
        <f t="shared" si="17"/>
        <v/>
      </c>
      <c r="CN90" s="29" t="str">
        <f t="shared" si="18"/>
        <v/>
      </c>
      <c r="CO90" s="29" t="str">
        <f t="shared" si="19"/>
        <v/>
      </c>
      <c r="CP90" s="29" t="str">
        <f t="shared" si="20"/>
        <v/>
      </c>
      <c r="CQ90" s="29">
        <f t="shared" si="21"/>
        <v>0</v>
      </c>
      <c r="CR90" s="30"/>
      <c r="CS90" s="7">
        <f>VLOOKUP(A90,'Empresas 21-23'!$A$2:$M$228,13,0)</f>
        <v>1</v>
      </c>
      <c r="CT90" s="30"/>
      <c r="CU90" s="6">
        <f t="shared" si="22"/>
        <v>20003066097.799999</v>
      </c>
      <c r="CV90" s="6">
        <f t="shared" si="23"/>
        <v>966480132</v>
      </c>
      <c r="CW90" s="6">
        <f t="shared" si="24"/>
        <v>2688374281</v>
      </c>
      <c r="CX90" s="23">
        <f t="shared" si="63"/>
        <v>0.28269107481103367</v>
      </c>
      <c r="CY90" s="23">
        <f t="shared" si="64"/>
        <v>1.3658671423809311E-2</v>
      </c>
      <c r="CZ90" s="6">
        <f t="shared" si="27"/>
        <v>20763045512.79023</v>
      </c>
      <c r="DA90" s="6">
        <f t="shared" si="28"/>
        <v>1003199752.9683986</v>
      </c>
      <c r="DB90" s="6">
        <f t="shared" si="29"/>
        <v>277549378</v>
      </c>
      <c r="DC90" s="6">
        <f t="shared" si="30"/>
        <v>277549378</v>
      </c>
      <c r="DD90" s="6">
        <f t="shared" si="31"/>
        <v>173060584</v>
      </c>
      <c r="DE90" s="6">
        <f t="shared" si="32"/>
        <v>512071952</v>
      </c>
      <c r="DF90" s="6">
        <f t="shared" si="33"/>
        <v>198272096.90566483</v>
      </c>
      <c r="DG90" s="30"/>
      <c r="DH90" s="32">
        <f>VLOOKUP(A90,'T_med_comp-USA'!$A$7:$Q$233,17,0)</f>
        <v>10.047219406768276</v>
      </c>
      <c r="DI90" s="6" t="str">
        <f t="shared" si="34"/>
        <v>12_2012</v>
      </c>
      <c r="DJ90" s="32">
        <f>IF(DI90="","",VLOOKUP(DI90,'CPI USA'!$T:$U,2,FALSE))</f>
        <v>229.59399999999999</v>
      </c>
      <c r="DK90" s="32">
        <f>IF(DI90="","",VLOOKUP(DI90,'PPI USA'!$S:$T,2,FALSE))</f>
        <v>175.1</v>
      </c>
      <c r="DL90" s="32">
        <f>IF(DI90="","",VLOOKUP(DI90,'CPI USA'!$T:$V,3,FALSE))</f>
        <v>0.66730871354337351</v>
      </c>
      <c r="DM90" s="32">
        <f>IF(DI90="","",VLOOKUP(DI90,'CPI USA'!$T:$X,5,FALSE))</f>
        <v>0.49513551903851311</v>
      </c>
      <c r="DN90" s="32">
        <f t="shared" si="35"/>
        <v>1.3897894616766442</v>
      </c>
      <c r="DO90" s="32">
        <f t="shared" si="36"/>
        <v>1.4008620811189902</v>
      </c>
      <c r="DP90" s="32">
        <f t="shared" si="37"/>
        <v>0.44774110789035887</v>
      </c>
      <c r="DQ90" s="32">
        <f>IF(DP90="","",DP90*$DO$1/'CPI USA'!$U$520+(1-DP90)*AVERAGE($DO$1,$DQ$1)/AVERAGE('CPI USA'!$U$520,'PPI USA'!$T$526))</f>
        <v>1.0771292793363607</v>
      </c>
      <c r="DR90" s="6">
        <f t="shared" si="38"/>
        <v>72191702</v>
      </c>
      <c r="DS90" s="32">
        <f t="shared" si="39"/>
        <v>0.41714699171476272</v>
      </c>
      <c r="DT90" s="28">
        <f>IF(DS90="","",DS90*$DO$1/'CPI USA'!$U$520+(1-DS90)*AVERAGE($DO$1,$DQ$1)/AVERAGE('CPI USA'!$U$520,'PPI USA'!$T$526))</f>
        <v>1.0781584368986667</v>
      </c>
      <c r="DU90" s="6">
        <f t="shared" si="40"/>
        <v>257211669</v>
      </c>
      <c r="DV90" s="6">
        <f t="shared" si="57"/>
        <v>23162972.232489303</v>
      </c>
      <c r="DW90" s="6">
        <f t="shared" si="41"/>
        <v>78448137.108512506</v>
      </c>
      <c r="DX90" s="16">
        <f t="shared" si="42"/>
        <v>0.39565898748645939</v>
      </c>
      <c r="DY90" s="28">
        <f>IF(DX90="","",DX90*$DO$1/'CPI USA'!$U$520+(1-DX90)*AVERAGE($DO$1,$DQ$1)/AVERAGE('CPI USA'!$U$520,'PPI USA'!$T$526))</f>
        <v>1.0788812733396187</v>
      </c>
      <c r="DZ90" s="30"/>
      <c r="EA90" s="29" t="str">
        <f t="shared" si="43"/>
        <v>C001030</v>
      </c>
      <c r="EB90" s="29">
        <f t="shared" si="44"/>
        <v>28856261845.988396</v>
      </c>
      <c r="EC90" s="29">
        <f t="shared" si="45"/>
        <v>1405344493.7213678</v>
      </c>
      <c r="ED90" s="29">
        <f t="shared" si="46"/>
        <v>298956561.50539517</v>
      </c>
      <c r="EE90" s="29">
        <f t="shared" si="47"/>
        <v>186586728.7342104</v>
      </c>
      <c r="EF90" s="29">
        <f t="shared" si="48"/>
        <v>213912052.37729993</v>
      </c>
      <c r="EG90" s="29">
        <f t="shared" si="49"/>
        <v>26429</v>
      </c>
      <c r="EH90" s="29">
        <f t="shared" si="50"/>
        <v>5775848</v>
      </c>
      <c r="EI90" s="29">
        <f t="shared" si="51"/>
        <v>10605579</v>
      </c>
      <c r="EJ90" s="29">
        <f t="shared" si="52"/>
        <v>126449896</v>
      </c>
      <c r="EK90" s="29">
        <f t="shared" si="53"/>
        <v>136850258.69035533</v>
      </c>
      <c r="EL90" s="29">
        <f>IF(CD90=1,VLOOKUP(EA90,'EIA 2022'!$A$2:$J$213,4,0)*EH90,"")</f>
        <v>277645013.36000001</v>
      </c>
      <c r="EM90" s="29">
        <f>IF(CD90=1,VLOOKUP(EA90,'EIA 2022'!$A$2:$J$213,7,0)*EH90,"")</f>
        <v>6411191.2800000003</v>
      </c>
      <c r="EN90" s="29">
        <f>IF(CD90=1,VLOOKUP(EA90,'EIA 2022'!$A$2:$J$213,10,0),"")</f>
        <v>5860987</v>
      </c>
      <c r="EO90" s="28">
        <f>IF(CD90=1,VLOOKUP(EA90,'EIA 2022'!$A$2:$Z$213,26,0),"")</f>
        <v>0</v>
      </c>
      <c r="EP90" s="23">
        <f t="shared" si="54"/>
        <v>7.599812225337288E-2</v>
      </c>
      <c r="EQ90" s="32">
        <f t="shared" si="55"/>
        <v>205216.30964467116</v>
      </c>
      <c r="ER90" s="32">
        <f t="shared" si="56"/>
        <v>10400362.690355329</v>
      </c>
      <c r="ES90" s="32"/>
      <c r="ET90" s="32"/>
    </row>
    <row r="91" spans="1:150" ht="15.75" customHeight="1">
      <c r="A91" s="7" t="s">
        <v>474</v>
      </c>
      <c r="B91" s="7" t="s">
        <v>475</v>
      </c>
      <c r="C91" s="32" t="s">
        <v>960</v>
      </c>
      <c r="D91" s="42">
        <v>0</v>
      </c>
      <c r="E91" s="42">
        <v>0</v>
      </c>
      <c r="F91" s="42">
        <v>0</v>
      </c>
      <c r="G91" s="42">
        <v>1017032329</v>
      </c>
      <c r="H91" s="42">
        <v>1203422396</v>
      </c>
      <c r="I91" s="42">
        <v>9745803</v>
      </c>
      <c r="J91" s="42">
        <v>7150596</v>
      </c>
      <c r="K91" s="42">
        <v>1002198</v>
      </c>
      <c r="L91" s="42">
        <v>337</v>
      </c>
      <c r="M91" s="42">
        <v>1441480</v>
      </c>
      <c r="N91" s="42">
        <v>1331285</v>
      </c>
      <c r="O91" s="42">
        <v>92090446</v>
      </c>
      <c r="P91" s="42">
        <v>536819</v>
      </c>
      <c r="Q91" s="42">
        <v>0</v>
      </c>
      <c r="R91" s="42">
        <v>0</v>
      </c>
      <c r="S91" s="42">
        <v>9429400</v>
      </c>
      <c r="T91" s="42">
        <v>61189512</v>
      </c>
      <c r="U91" s="42">
        <v>36615632</v>
      </c>
      <c r="V91" s="42">
        <v>251003</v>
      </c>
      <c r="W91" s="42">
        <v>3964244</v>
      </c>
      <c r="X91" s="42">
        <f>IFERROR(VLOOKUP(A91,'Trans 21-23'!$A$2:$J$229,8,0),0)</f>
        <v>5462411</v>
      </c>
      <c r="Y91" s="42">
        <v>4042765</v>
      </c>
      <c r="Z91" s="42">
        <v>2701921</v>
      </c>
      <c r="AA91" s="42">
        <v>63115748</v>
      </c>
      <c r="AB91" s="42">
        <v>4793677</v>
      </c>
      <c r="AC91" s="42">
        <v>0</v>
      </c>
      <c r="AD91" s="42">
        <v>191181895</v>
      </c>
      <c r="AE91" s="42">
        <v>0</v>
      </c>
      <c r="AF91" s="42">
        <v>1742980788</v>
      </c>
      <c r="AG91" s="42">
        <v>1329040</v>
      </c>
      <c r="AH91" s="42">
        <v>1851248</v>
      </c>
      <c r="AI91" s="42">
        <v>31089445</v>
      </c>
      <c r="AJ91" s="42">
        <v>19295</v>
      </c>
      <c r="AK91" s="42">
        <v>0</v>
      </c>
      <c r="AL91" s="42">
        <v>13023769</v>
      </c>
      <c r="AM91" s="42">
        <v>2718745</v>
      </c>
      <c r="AN91" s="42">
        <v>13204226</v>
      </c>
      <c r="AO91" s="42">
        <v>197093</v>
      </c>
      <c r="AP91" s="42">
        <v>0</v>
      </c>
      <c r="AQ91" s="42">
        <v>29218902</v>
      </c>
      <c r="AR91" s="42">
        <v>0</v>
      </c>
      <c r="AS91" s="42">
        <v>29218902</v>
      </c>
      <c r="AT91" s="42">
        <v>66941</v>
      </c>
      <c r="AU91" s="42">
        <v>6520</v>
      </c>
      <c r="AV91" s="42">
        <v>0</v>
      </c>
      <c r="AW91" s="42">
        <v>1052565171</v>
      </c>
      <c r="AX91" s="42">
        <v>349218526</v>
      </c>
      <c r="AY91" s="42">
        <v>1995138034</v>
      </c>
      <c r="AZ91" s="42">
        <v>308610023</v>
      </c>
      <c r="BA91" s="42">
        <v>140345080</v>
      </c>
      <c r="BB91" s="42">
        <v>7161097329</v>
      </c>
      <c r="BC91" s="42">
        <v>9997681406</v>
      </c>
      <c r="BD91" s="42">
        <v>240702601</v>
      </c>
      <c r="BE91" s="42">
        <v>2668189517</v>
      </c>
      <c r="BF91" s="42">
        <v>174703487</v>
      </c>
      <c r="BG91" s="42">
        <v>0</v>
      </c>
      <c r="BH91" s="42">
        <v>61619954</v>
      </c>
      <c r="BI91" s="42">
        <v>25437297</v>
      </c>
      <c r="BJ91" s="42">
        <v>1323862</v>
      </c>
      <c r="BK91" s="42">
        <v>0</v>
      </c>
      <c r="BL91" s="42">
        <v>0</v>
      </c>
      <c r="BM91" s="42">
        <v>62366499</v>
      </c>
      <c r="BN91" s="42">
        <v>157001793</v>
      </c>
      <c r="BO91" s="42">
        <v>618838</v>
      </c>
      <c r="BP91" s="42">
        <v>15556010</v>
      </c>
      <c r="BQ91" s="42">
        <v>421799004</v>
      </c>
      <c r="BR91" s="42">
        <v>8128</v>
      </c>
      <c r="BS91" s="42">
        <f>IFERROR(VLOOKUP(A91,'Trans 21-23'!$A$2:$J$229,7,0),0)</f>
        <v>494695639</v>
      </c>
      <c r="BT91" s="63"/>
      <c r="BU91" s="32">
        <f t="shared" si="0"/>
        <v>7161097329</v>
      </c>
      <c r="BV91" s="32">
        <f t="shared" si="1"/>
        <v>6520</v>
      </c>
      <c r="BW91" s="32">
        <f t="shared" si="2"/>
        <v>1329040</v>
      </c>
      <c r="BX91" s="32">
        <f t="shared" si="3"/>
        <v>224748755</v>
      </c>
      <c r="BY91" s="32">
        <f t="shared" si="4"/>
        <v>74654111</v>
      </c>
      <c r="BZ91" s="32">
        <f t="shared" si="5"/>
        <v>308610023</v>
      </c>
      <c r="CA91" s="32">
        <f t="shared" si="6"/>
        <v>191181895</v>
      </c>
      <c r="CB91" s="32">
        <f t="shared" si="7"/>
        <v>1851248</v>
      </c>
      <c r="CC91" s="32">
        <f t="shared" si="8"/>
        <v>29218902</v>
      </c>
      <c r="CD91" s="41">
        <f t="shared" si="62"/>
        <v>1</v>
      </c>
      <c r="CE91" s="44">
        <f t="shared" si="10"/>
        <v>14</v>
      </c>
      <c r="CF91" s="27"/>
      <c r="CG91" s="28">
        <f t="shared" si="11"/>
        <v>1098.3278111963191</v>
      </c>
      <c r="CH91" s="28">
        <f t="shared" si="12"/>
        <v>4.9057966652621445</v>
      </c>
      <c r="CI91" s="28">
        <f t="shared" si="13"/>
        <v>169.1060878528863</v>
      </c>
      <c r="CJ91" s="28">
        <f t="shared" si="14"/>
        <v>232.20521805212786</v>
      </c>
      <c r="CK91" s="23">
        <f t="shared" si="15"/>
        <v>6.3357890724298954E-2</v>
      </c>
      <c r="CL91" s="29" t="str">
        <f t="shared" si="16"/>
        <v/>
      </c>
      <c r="CM91" s="29" t="str">
        <f t="shared" si="17"/>
        <v/>
      </c>
      <c r="CN91" s="29" t="str">
        <f t="shared" si="18"/>
        <v/>
      </c>
      <c r="CO91" s="29" t="str">
        <f t="shared" si="19"/>
        <v/>
      </c>
      <c r="CP91" s="29" t="str">
        <f t="shared" si="20"/>
        <v/>
      </c>
      <c r="CQ91" s="29">
        <f t="shared" si="21"/>
        <v>0</v>
      </c>
      <c r="CR91" s="30"/>
      <c r="CS91" s="7">
        <f>VLOOKUP(A91,'Empresas 21-23'!$A$2:$M$228,13,0)</f>
        <v>1</v>
      </c>
      <c r="CT91" s="30"/>
      <c r="CU91" s="6">
        <f t="shared" si="22"/>
        <v>5800223929</v>
      </c>
      <c r="CV91" s="6">
        <f t="shared" si="23"/>
        <v>308610023</v>
      </c>
      <c r="CW91" s="6">
        <f t="shared" si="24"/>
        <v>240702601</v>
      </c>
      <c r="CX91" s="23">
        <f t="shared" si="63"/>
        <v>0.59446925579336651</v>
      </c>
      <c r="CY91" s="23">
        <f t="shared" si="64"/>
        <v>3.1629670328058072E-2</v>
      </c>
      <c r="CZ91" s="6">
        <f t="shared" si="27"/>
        <v>5943314225.0839977</v>
      </c>
      <c r="DA91" s="6">
        <f t="shared" si="28"/>
        <v>316223366.91673613</v>
      </c>
      <c r="DB91" s="6">
        <f t="shared" si="29"/>
        <v>224748755</v>
      </c>
      <c r="DC91" s="6">
        <f t="shared" si="30"/>
        <v>230211166</v>
      </c>
      <c r="DD91" s="6">
        <f t="shared" si="31"/>
        <v>74654111</v>
      </c>
      <c r="DE91" s="6">
        <f t="shared" si="32"/>
        <v>191181895</v>
      </c>
      <c r="DF91" s="6">
        <f t="shared" si="33"/>
        <v>167303827.54999661</v>
      </c>
      <c r="DG91" s="30"/>
      <c r="DH91" s="32">
        <f>VLOOKUP(A91,'T_med_comp-USA'!$A$7:$Q$233,17,0)</f>
        <v>15.211370661856096</v>
      </c>
      <c r="DI91" s="6" t="str">
        <f t="shared" si="34"/>
        <v>10_2007</v>
      </c>
      <c r="DJ91" s="32">
        <f>IF(DI91="","",VLOOKUP(DI91,'CPI USA'!$T:$U,2,FALSE))</f>
        <v>207.34200000000001</v>
      </c>
      <c r="DK91" s="32">
        <f>IF(DI91="","",VLOOKUP(DI91,'PPI USA'!$S:$T,2,FALSE))</f>
        <v>151.69999999999999</v>
      </c>
      <c r="DL91" s="32">
        <f>IF(DI91="","",VLOOKUP(DI91,'CPI USA'!$T:$V,3,FALSE))</f>
        <v>0.67123734379962852</v>
      </c>
      <c r="DM91" s="32">
        <f>IF(DI91="","",VLOOKUP(DI91,'CPI USA'!$T:$X,5,FALSE))</f>
        <v>0.49957259686190569</v>
      </c>
      <c r="DN91" s="32">
        <f t="shared" si="35"/>
        <v>1.5480022216582647</v>
      </c>
      <c r="DO91" s="32">
        <f t="shared" si="36"/>
        <v>1.5651038394149617</v>
      </c>
      <c r="DP91" s="32">
        <f t="shared" si="37"/>
        <v>0.27525329386488073</v>
      </c>
      <c r="DQ91" s="32">
        <f>IF(DP91="","",DP91*$DO$1/'CPI USA'!$U$520+(1-DP91)*AVERAGE($DO$1,$DQ$1)/AVERAGE('CPI USA'!$U$520,'PPI USA'!$T$526))</f>
        <v>1.0829316086859373</v>
      </c>
      <c r="DR91" s="6">
        <f t="shared" si="38"/>
        <v>26761159</v>
      </c>
      <c r="DS91" s="32">
        <f t="shared" si="39"/>
        <v>0.35988159766251426</v>
      </c>
      <c r="DT91" s="28">
        <f>IF(DS91="","",DS91*$DO$1/'CPI USA'!$U$520+(1-DS91)*AVERAGE($DO$1,$DQ$1)/AVERAGE('CPI USA'!$U$520,'PPI USA'!$T$526))</f>
        <v>1.0800847913979787</v>
      </c>
      <c r="DU91" s="6">
        <f t="shared" si="40"/>
        <v>62612322.686282121</v>
      </c>
      <c r="DV91" s="6">
        <f t="shared" si="57"/>
        <v>2388161.5103225387</v>
      </c>
      <c r="DW91" s="6">
        <f t="shared" si="41"/>
        <v>36590761.347769007</v>
      </c>
      <c r="DX91" s="16">
        <f t="shared" si="42"/>
        <v>0.21870845325899269</v>
      </c>
      <c r="DY91" s="28">
        <f>IF(DX91="","",DX91*$DO$1/'CPI USA'!$U$520+(1-DX91)*AVERAGE($DO$1,$DQ$1)/AVERAGE('CPI USA'!$U$520,'PPI USA'!$T$526))</f>
        <v>1.0848337244386836</v>
      </c>
      <c r="DZ91" s="30"/>
      <c r="EA91" s="29" t="str">
        <f t="shared" si="43"/>
        <v>C001111</v>
      </c>
      <c r="EB91" s="29">
        <f t="shared" si="44"/>
        <v>9200263624.4431973</v>
      </c>
      <c r="EC91" s="29">
        <f t="shared" si="45"/>
        <v>494922405.67410988</v>
      </c>
      <c r="ED91" s="29">
        <f t="shared" si="46"/>
        <v>249302948.33384535</v>
      </c>
      <c r="EE91" s="29">
        <f t="shared" si="47"/>
        <v>80632769.906436548</v>
      </c>
      <c r="EF91" s="29">
        <f t="shared" si="48"/>
        <v>181496834.35391009</v>
      </c>
      <c r="EG91" s="29">
        <f t="shared" si="49"/>
        <v>6520</v>
      </c>
      <c r="EH91" s="29">
        <f t="shared" si="50"/>
        <v>1329040</v>
      </c>
      <c r="EI91" s="29">
        <f t="shared" si="51"/>
        <v>1851248</v>
      </c>
      <c r="EJ91" s="29">
        <f t="shared" si="52"/>
        <v>29218902</v>
      </c>
      <c r="EK91" s="29">
        <f t="shared" si="53"/>
        <v>31070150</v>
      </c>
      <c r="EL91" s="29">
        <f>IF(CD91=1,VLOOKUP(EA91,'EIA 2022'!$A$2:$J$213,4,0)*EH91,"")</f>
        <v>110881807.2</v>
      </c>
      <c r="EM91" s="29">
        <f>IF(CD91=1,VLOOKUP(EA91,'EIA 2022'!$A$2:$J$213,7,0)*EH91,"")</f>
        <v>1545673.52</v>
      </c>
      <c r="EN91" s="29">
        <f>IF(CD91=1,VLOOKUP(EA91,'EIA 2022'!$A$2:$J$213,10,0),"")</f>
        <v>1354452</v>
      </c>
      <c r="EO91" s="28">
        <f>IF(CD91=1,VLOOKUP(EA91,'EIA 2022'!$A$2:$Z$213,26,0),"")</f>
        <v>0</v>
      </c>
      <c r="EP91" s="23">
        <f t="shared" si="54"/>
        <v>5.9582847202218209E-2</v>
      </c>
      <c r="EQ91" s="32">
        <f t="shared" si="55"/>
        <v>0</v>
      </c>
      <c r="ER91" s="32">
        <f t="shared" si="56"/>
        <v>1851248</v>
      </c>
      <c r="ES91" s="32"/>
      <c r="ET91" s="32"/>
    </row>
    <row r="92" spans="1:150" ht="15.75" customHeight="1">
      <c r="A92" s="7" t="s">
        <v>477</v>
      </c>
      <c r="B92" s="7" t="s">
        <v>478</v>
      </c>
      <c r="C92" s="32" t="s">
        <v>961</v>
      </c>
      <c r="D92" s="42">
        <v>14360379</v>
      </c>
      <c r="E92" s="42">
        <v>0</v>
      </c>
      <c r="F92" s="42">
        <v>181898055</v>
      </c>
      <c r="G92" s="42">
        <v>18311580</v>
      </c>
      <c r="H92" s="42">
        <v>13681538</v>
      </c>
      <c r="I92" s="42">
        <v>946716</v>
      </c>
      <c r="J92" s="42">
        <v>132435</v>
      </c>
      <c r="K92" s="42">
        <v>0</v>
      </c>
      <c r="L92" s="42">
        <v>1102038</v>
      </c>
      <c r="M92" s="42">
        <v>1066354</v>
      </c>
      <c r="N92" s="42">
        <v>683318</v>
      </c>
      <c r="O92" s="42">
        <v>1388198</v>
      </c>
      <c r="P92" s="42">
        <v>1333</v>
      </c>
      <c r="Q92" s="42">
        <v>165977</v>
      </c>
      <c r="R92" s="42">
        <v>104554</v>
      </c>
      <c r="S92" s="42">
        <v>945329</v>
      </c>
      <c r="T92" s="42">
        <v>12607689</v>
      </c>
      <c r="U92" s="42">
        <v>1090765</v>
      </c>
      <c r="V92" s="42">
        <v>72583</v>
      </c>
      <c r="W92" s="42">
        <v>191657</v>
      </c>
      <c r="X92" s="42">
        <f>IFERROR(VLOOKUP(A92,'Trans 21-23'!$A$2:$J$229,8,0),0)</f>
        <v>2520546</v>
      </c>
      <c r="Y92" s="42">
        <v>1908125</v>
      </c>
      <c r="Z92" s="42">
        <v>84355</v>
      </c>
      <c r="AA92" s="42">
        <v>8316756</v>
      </c>
      <c r="AB92" s="42">
        <v>5660297</v>
      </c>
      <c r="AC92" s="42">
        <v>35260</v>
      </c>
      <c r="AD92" s="42">
        <v>66090557</v>
      </c>
      <c r="AE92" s="42">
        <v>0</v>
      </c>
      <c r="AF92" s="42">
        <v>353341984</v>
      </c>
      <c r="AG92" s="42">
        <v>181327</v>
      </c>
      <c r="AH92" s="42">
        <v>43848</v>
      </c>
      <c r="AI92" s="42">
        <v>6114100</v>
      </c>
      <c r="AJ92" s="42">
        <v>11198</v>
      </c>
      <c r="AK92" s="42">
        <v>0</v>
      </c>
      <c r="AL92" s="42">
        <v>2062067</v>
      </c>
      <c r="AM92" s="42">
        <v>1606240</v>
      </c>
      <c r="AN92" s="42">
        <v>1124717</v>
      </c>
      <c r="AO92" s="42">
        <v>22969</v>
      </c>
      <c r="AP92" s="42">
        <v>107847</v>
      </c>
      <c r="AQ92" s="42">
        <v>4930327</v>
      </c>
      <c r="AR92" s="42">
        <v>1216423</v>
      </c>
      <c r="AS92" s="42">
        <v>6146750</v>
      </c>
      <c r="AT92" s="42">
        <v>0</v>
      </c>
      <c r="AU92" s="42">
        <v>1249</v>
      </c>
      <c r="AV92" s="42">
        <v>0</v>
      </c>
      <c r="AW92" s="42">
        <v>276919200</v>
      </c>
      <c r="AX92" s="42">
        <v>75756346</v>
      </c>
      <c r="AY92" s="42">
        <v>95878415</v>
      </c>
      <c r="AZ92" s="42">
        <v>55467509</v>
      </c>
      <c r="BA92" s="42">
        <v>24217150</v>
      </c>
      <c r="BB92" s="42">
        <v>1432183871</v>
      </c>
      <c r="BC92" s="42">
        <v>0</v>
      </c>
      <c r="BD92" s="42">
        <v>114500220</v>
      </c>
      <c r="BE92" s="42">
        <v>480352627</v>
      </c>
      <c r="BF92" s="42">
        <v>36585086</v>
      </c>
      <c r="BG92" s="42">
        <v>0</v>
      </c>
      <c r="BH92" s="42">
        <v>7098379</v>
      </c>
      <c r="BI92" s="42">
        <v>4843042</v>
      </c>
      <c r="BJ92" s="42">
        <v>1559298</v>
      </c>
      <c r="BK92" s="42">
        <v>22517</v>
      </c>
      <c r="BL92" s="42">
        <v>0</v>
      </c>
      <c r="BM92" s="42">
        <v>11044197</v>
      </c>
      <c r="BN92" s="42">
        <v>41774010</v>
      </c>
      <c r="BO92" s="42">
        <v>325090</v>
      </c>
      <c r="BP92" s="42">
        <v>15206242</v>
      </c>
      <c r="BQ92" s="42">
        <v>71196611</v>
      </c>
      <c r="BR92" s="42">
        <v>6487</v>
      </c>
      <c r="BS92" s="42">
        <f>IFERROR(VLOOKUP(A92,'Trans 21-23'!$A$2:$J$229,7,0),0)</f>
        <v>163279261</v>
      </c>
      <c r="BT92" s="63"/>
      <c r="BU92" s="32">
        <f t="shared" si="0"/>
        <v>1432183871</v>
      </c>
      <c r="BV92" s="32">
        <f t="shared" si="1"/>
        <v>1249</v>
      </c>
      <c r="BW92" s="32">
        <f t="shared" si="2"/>
        <v>181327</v>
      </c>
      <c r="BX92" s="32">
        <f t="shared" si="3"/>
        <v>20498946</v>
      </c>
      <c r="BY92" s="32">
        <f t="shared" si="4"/>
        <v>16004793</v>
      </c>
      <c r="BZ92" s="32">
        <f t="shared" si="5"/>
        <v>55467509</v>
      </c>
      <c r="CA92" s="32">
        <f t="shared" si="6"/>
        <v>66090557</v>
      </c>
      <c r="CB92" s="32">
        <f t="shared" si="7"/>
        <v>43848</v>
      </c>
      <c r="CC92" s="32">
        <f t="shared" si="8"/>
        <v>4930327</v>
      </c>
      <c r="CD92" s="41">
        <f t="shared" si="62"/>
        <v>1</v>
      </c>
      <c r="CE92" s="44">
        <f t="shared" si="10"/>
        <v>9</v>
      </c>
      <c r="CF92" s="27"/>
      <c r="CG92" s="28">
        <f t="shared" si="11"/>
        <v>1146.6644283426742</v>
      </c>
      <c r="CH92" s="28">
        <f t="shared" si="12"/>
        <v>6.8881082243681302</v>
      </c>
      <c r="CI92" s="28">
        <f t="shared" si="13"/>
        <v>113.04960651199215</v>
      </c>
      <c r="CJ92" s="28">
        <f t="shared" si="14"/>
        <v>305.89768208816116</v>
      </c>
      <c r="CK92" s="23">
        <f t="shared" si="15"/>
        <v>8.8935277518103761E-3</v>
      </c>
      <c r="CL92" s="29" t="str">
        <f t="shared" si="16"/>
        <v/>
      </c>
      <c r="CM92" s="29" t="str">
        <f t="shared" si="17"/>
        <v/>
      </c>
      <c r="CN92" s="29" t="str">
        <f t="shared" si="18"/>
        <v/>
      </c>
      <c r="CO92" s="29" t="str">
        <f t="shared" si="19"/>
        <v/>
      </c>
      <c r="CP92" s="29" t="str">
        <f t="shared" si="20"/>
        <v/>
      </c>
      <c r="CQ92" s="29">
        <f t="shared" si="21"/>
        <v>0</v>
      </c>
      <c r="CR92" s="30"/>
      <c r="CS92" s="7">
        <f>VLOOKUP(A92,'Empresas 21-23'!$A$2:$M$228,13,0)</f>
        <v>1</v>
      </c>
      <c r="CT92" s="30"/>
      <c r="CU92" s="6">
        <f t="shared" si="22"/>
        <v>1412797616.4000001</v>
      </c>
      <c r="CV92" s="6">
        <f t="shared" si="23"/>
        <v>55467509</v>
      </c>
      <c r="CW92" s="6">
        <f t="shared" si="24"/>
        <v>114500220</v>
      </c>
      <c r="CX92" s="23">
        <v>0.6012627275933804</v>
      </c>
      <c r="CY92" s="23">
        <v>2.925440693629431E-2</v>
      </c>
      <c r="CZ92" s="6">
        <f t="shared" si="27"/>
        <v>1481642330.9872422</v>
      </c>
      <c r="DA92" s="6">
        <f t="shared" si="28"/>
        <v>58817145.030175224</v>
      </c>
      <c r="DB92" s="6">
        <f t="shared" si="29"/>
        <v>20498946</v>
      </c>
      <c r="DC92" s="6">
        <f t="shared" si="30"/>
        <v>23019492</v>
      </c>
      <c r="DD92" s="6">
        <f t="shared" si="31"/>
        <v>16004793</v>
      </c>
      <c r="DE92" s="6">
        <f t="shared" si="32"/>
        <v>66090557</v>
      </c>
      <c r="DF92" s="6">
        <f t="shared" si="33"/>
        <v>33360343.97718611</v>
      </c>
      <c r="DG92" s="30"/>
      <c r="DH92" s="32">
        <f>VLOOKUP(A92,'T_med_comp-USA'!$A$7:$Q$233,17,0)</f>
        <v>13.244216337544451</v>
      </c>
      <c r="DI92" s="6" t="str">
        <f t="shared" si="34"/>
        <v>10_2009</v>
      </c>
      <c r="DJ92" s="32">
        <f>IF(DI92="","",VLOOKUP(DI92,'CPI USA'!$T:$U,2,FALSE))</f>
        <v>214.53700000000001</v>
      </c>
      <c r="DK92" s="32">
        <f>IF(DI92="","",VLOOKUP(DI92,'PPI USA'!$S:$T,2,FALSE))</f>
        <v>159.1</v>
      </c>
      <c r="DL92" s="32">
        <f>IF(DI92="","",VLOOKUP(DI92,'CPI USA'!$T:$V,3,FALSE))</f>
        <v>0.66997101349938215</v>
      </c>
      <c r="DM92" s="32">
        <f>IF(DI92="","",VLOOKUP(DI92,'CPI USA'!$T:$X,5,FALSE))</f>
        <v>0.49813941766071862</v>
      </c>
      <c r="DN92" s="32">
        <f t="shared" si="35"/>
        <v>1.4932638886873792</v>
      </c>
      <c r="DO92" s="32">
        <f t="shared" si="36"/>
        <v>1.5082750176818205</v>
      </c>
      <c r="DP92" s="32">
        <f t="shared" si="37"/>
        <v>0.34897498516420195</v>
      </c>
      <c r="DQ92" s="32">
        <f>IF(DP92="","",DP92*$DO$1/'CPI USA'!$U$520+(1-DP92)*AVERAGE($DO$1,$DQ$1)/AVERAGE('CPI USA'!$U$520,'PPI USA'!$T$526))</f>
        <v>1.0804516796802668</v>
      </c>
      <c r="DR92" s="6">
        <f t="shared" si="38"/>
        <v>6424857</v>
      </c>
      <c r="DS92" s="32">
        <f t="shared" si="39"/>
        <v>0.40455730686354224</v>
      </c>
      <c r="DT92" s="28">
        <f>IF(DS92="","",DS92*$DO$1/'CPI USA'!$U$520+(1-DS92)*AVERAGE($DO$1,$DQ$1)/AVERAGE('CPI USA'!$U$520,'PPI USA'!$T$526))</f>
        <v>1.0785819421667167</v>
      </c>
      <c r="DU92" s="6">
        <f t="shared" si="40"/>
        <v>11130144.171524351</v>
      </c>
      <c r="DV92" s="6">
        <f t="shared" si="57"/>
        <v>2999457.5009440286</v>
      </c>
      <c r="DW92" s="6">
        <f t="shared" si="41"/>
        <v>4574086.5672887182</v>
      </c>
      <c r="DX92" s="16">
        <f t="shared" si="42"/>
        <v>0.2</v>
      </c>
      <c r="DY92" s="28">
        <f>IF(DX92="","",DX92*$DO$1/'CPI USA'!$U$520+(1-DX92)*AVERAGE($DO$1,$DQ$1)/AVERAGE('CPI USA'!$U$520,'PPI USA'!$T$526))</f>
        <v>1.0854630593748538</v>
      </c>
      <c r="DZ92" s="30"/>
      <c r="EA92" s="29" t="str">
        <f t="shared" si="43"/>
        <v>C001130</v>
      </c>
      <c r="EB92" s="29">
        <f t="shared" si="44"/>
        <v>2212482988.8138423</v>
      </c>
      <c r="EC92" s="29">
        <f t="shared" si="45"/>
        <v>88712430.460381731</v>
      </c>
      <c r="ED92" s="29">
        <f t="shared" si="46"/>
        <v>24871448.796786465</v>
      </c>
      <c r="EE92" s="29">
        <f t="shared" si="47"/>
        <v>17262480.717916273</v>
      </c>
      <c r="EF92" s="29">
        <f t="shared" si="48"/>
        <v>36211421.03527391</v>
      </c>
      <c r="EG92" s="29">
        <f t="shared" si="49"/>
        <v>1249</v>
      </c>
      <c r="EH92" s="29">
        <f t="shared" si="50"/>
        <v>181327</v>
      </c>
      <c r="EI92" s="29">
        <f t="shared" si="51"/>
        <v>43848</v>
      </c>
      <c r="EJ92" s="29">
        <f t="shared" si="52"/>
        <v>4930327</v>
      </c>
      <c r="EK92" s="29">
        <f t="shared" si="53"/>
        <v>4955650.7918781731</v>
      </c>
      <c r="EL92" s="29">
        <f>IF(CD92=1,VLOOKUP(EA92,'EIA 2022'!$A$2:$J$213,4,0)*EH92,"")</f>
        <v>17351180.629999999</v>
      </c>
      <c r="EM92" s="29">
        <f>IF(CD92=1,VLOOKUP(EA92,'EIA 2022'!$A$2:$J$213,7,0)*EH92,"")</f>
        <v>476164.70199999999</v>
      </c>
      <c r="EN92" s="29">
        <f>IF(CD92=1,VLOOKUP(EA92,'EIA 2022'!$A$2:$J$213,10,0),"")</f>
        <v>5391</v>
      </c>
      <c r="EO92" s="28">
        <f>IF(CD92=1,VLOOKUP(EA92,'EIA 2022'!$A$2:$Z$213,26,0),"")</f>
        <v>0</v>
      </c>
      <c r="EP92" s="23">
        <f t="shared" si="54"/>
        <v>5.1100840115037727E-3</v>
      </c>
      <c r="EQ92" s="32">
        <f t="shared" si="55"/>
        <v>18524.208121827338</v>
      </c>
      <c r="ER92" s="32">
        <f t="shared" si="56"/>
        <v>25323.791878172662</v>
      </c>
      <c r="ES92" s="32"/>
      <c r="ET92" s="32"/>
    </row>
    <row r="93" spans="1:150" ht="15.75" customHeight="1">
      <c r="A93" s="7" t="s">
        <v>480</v>
      </c>
      <c r="B93" s="7" t="s">
        <v>481</v>
      </c>
      <c r="C93" s="32" t="s">
        <v>962</v>
      </c>
      <c r="D93" s="42">
        <v>44841981</v>
      </c>
      <c r="E93" s="42">
        <v>0</v>
      </c>
      <c r="F93" s="42">
        <v>144392430</v>
      </c>
      <c r="G93" s="42">
        <v>785500386</v>
      </c>
      <c r="H93" s="42">
        <v>813165327</v>
      </c>
      <c r="I93" s="42">
        <v>28496163</v>
      </c>
      <c r="J93" s="42">
        <v>2155925</v>
      </c>
      <c r="K93" s="42">
        <v>863050</v>
      </c>
      <c r="L93" s="42">
        <v>3270062</v>
      </c>
      <c r="M93" s="42">
        <v>4446988</v>
      </c>
      <c r="N93" s="42">
        <v>1747747</v>
      </c>
      <c r="O93" s="42">
        <v>10864197</v>
      </c>
      <c r="P93" s="42">
        <v>876816</v>
      </c>
      <c r="Q93" s="42">
        <v>139431</v>
      </c>
      <c r="R93" s="42">
        <v>249159</v>
      </c>
      <c r="S93" s="42">
        <v>5428633</v>
      </c>
      <c r="T93" s="42">
        <v>109428061</v>
      </c>
      <c r="U93" s="42">
        <v>10895925</v>
      </c>
      <c r="V93" s="42">
        <v>652225</v>
      </c>
      <c r="W93" s="42">
        <v>8227185</v>
      </c>
      <c r="X93" s="42">
        <f>IFERROR(VLOOKUP(A93,'Trans 21-23'!$A$2:$J$229,8,0),0)</f>
        <v>6182522</v>
      </c>
      <c r="Y93" s="42">
        <v>3251812</v>
      </c>
      <c r="Z93" s="42">
        <v>45533</v>
      </c>
      <c r="AA93" s="42">
        <v>65250787</v>
      </c>
      <c r="AB93" s="42">
        <v>29635976</v>
      </c>
      <c r="AC93" s="42">
        <v>0</v>
      </c>
      <c r="AD93" s="42">
        <v>222552630</v>
      </c>
      <c r="AE93" s="42">
        <v>0</v>
      </c>
      <c r="AF93" s="42">
        <v>1740027403</v>
      </c>
      <c r="AG93" s="42">
        <v>922487</v>
      </c>
      <c r="AH93" s="42">
        <v>1209951</v>
      </c>
      <c r="AI93" s="42">
        <v>26888850</v>
      </c>
      <c r="AJ93" s="42">
        <v>28568</v>
      </c>
      <c r="AK93" s="42">
        <v>0</v>
      </c>
      <c r="AL93" s="42">
        <v>8088474</v>
      </c>
      <c r="AM93" s="42">
        <v>6541949</v>
      </c>
      <c r="AN93" s="42">
        <v>4228987</v>
      </c>
      <c r="AO93" s="42">
        <v>45651</v>
      </c>
      <c r="AP93" s="42">
        <v>0</v>
      </c>
      <c r="AQ93" s="42">
        <v>18905061</v>
      </c>
      <c r="AR93" s="42">
        <v>6745270</v>
      </c>
      <c r="AS93" s="42">
        <v>25650331</v>
      </c>
      <c r="AT93" s="42">
        <v>0</v>
      </c>
      <c r="AU93" s="42">
        <v>4255</v>
      </c>
      <c r="AV93" s="42">
        <v>0</v>
      </c>
      <c r="AW93" s="42">
        <v>814777131</v>
      </c>
      <c r="AX93" s="42">
        <v>33303644</v>
      </c>
      <c r="AY93" s="42">
        <v>1003224031</v>
      </c>
      <c r="AZ93" s="42">
        <v>225336015</v>
      </c>
      <c r="BA93" s="42">
        <v>171460752</v>
      </c>
      <c r="BB93" s="42">
        <v>4812640139</v>
      </c>
      <c r="BC93" s="42">
        <v>12369316976</v>
      </c>
      <c r="BD93" s="42">
        <v>950339486</v>
      </c>
      <c r="BE93" s="42">
        <v>2402299018</v>
      </c>
      <c r="BF93" s="42">
        <v>129933888</v>
      </c>
      <c r="BG93" s="42">
        <v>0</v>
      </c>
      <c r="BH93" s="42">
        <v>83353539</v>
      </c>
      <c r="BI93" s="42">
        <v>23648772</v>
      </c>
      <c r="BJ93" s="42">
        <v>10080229</v>
      </c>
      <c r="BK93" s="42">
        <v>0</v>
      </c>
      <c r="BL93" s="42">
        <v>0</v>
      </c>
      <c r="BM93" s="42">
        <v>84889259</v>
      </c>
      <c r="BN93" s="42">
        <v>258014066</v>
      </c>
      <c r="BO93" s="42">
        <v>22965573</v>
      </c>
      <c r="BP93" s="42">
        <v>67611204</v>
      </c>
      <c r="BQ93" s="42">
        <v>404581492</v>
      </c>
      <c r="BR93" s="42">
        <v>0</v>
      </c>
      <c r="BS93" s="42">
        <f>IFERROR(VLOOKUP(A93,'Trans 21-23'!$A$2:$J$229,7,0),0)</f>
        <v>222528698</v>
      </c>
      <c r="BT93" s="63"/>
      <c r="BU93" s="32">
        <f t="shared" si="0"/>
        <v>4812640139</v>
      </c>
      <c r="BV93" s="32">
        <f t="shared" si="1"/>
        <v>4255</v>
      </c>
      <c r="BW93" s="32">
        <f t="shared" si="2"/>
        <v>922487</v>
      </c>
      <c r="BX93" s="32">
        <f t="shared" si="3"/>
        <v>187741567</v>
      </c>
      <c r="BY93" s="32">
        <f t="shared" si="4"/>
        <v>98184108</v>
      </c>
      <c r="BZ93" s="32">
        <f t="shared" si="5"/>
        <v>225336015</v>
      </c>
      <c r="CA93" s="32">
        <f t="shared" si="6"/>
        <v>222552630</v>
      </c>
      <c r="CB93" s="32">
        <f t="shared" si="7"/>
        <v>1209951</v>
      </c>
      <c r="CC93" s="32">
        <f t="shared" si="8"/>
        <v>18905061</v>
      </c>
      <c r="CD93" s="41">
        <f t="shared" si="62"/>
        <v>1</v>
      </c>
      <c r="CE93" s="44">
        <f t="shared" si="10"/>
        <v>11</v>
      </c>
      <c r="CF93" s="27"/>
      <c r="CG93" s="28">
        <f t="shared" si="11"/>
        <v>1131.0552618096356</v>
      </c>
      <c r="CH93" s="28">
        <f t="shared" si="12"/>
        <v>4.6125311250998662</v>
      </c>
      <c r="CI93" s="28">
        <f t="shared" si="13"/>
        <v>203.51676175382417</v>
      </c>
      <c r="CJ93" s="28">
        <f t="shared" si="14"/>
        <v>244.27012521585669</v>
      </c>
      <c r="CK93" s="23">
        <f t="shared" si="15"/>
        <v>6.4001433266996602E-2</v>
      </c>
      <c r="CL93" s="29" t="str">
        <f t="shared" si="16"/>
        <v/>
      </c>
      <c r="CM93" s="29" t="str">
        <f t="shared" si="17"/>
        <v/>
      </c>
      <c r="CN93" s="29" t="str">
        <f t="shared" si="18"/>
        <v/>
      </c>
      <c r="CO93" s="29" t="str">
        <f t="shared" si="19"/>
        <v/>
      </c>
      <c r="CP93" s="29" t="str">
        <f t="shared" si="20"/>
        <v/>
      </c>
      <c r="CQ93" s="29">
        <f t="shared" si="21"/>
        <v>0</v>
      </c>
      <c r="CR93" s="30"/>
      <c r="CS93" s="7">
        <f>VLOOKUP(A93,'Empresas 21-23'!$A$2:$M$228,13,0)</f>
        <v>1</v>
      </c>
      <c r="CT93" s="30"/>
      <c r="CU93" s="6">
        <f t="shared" si="22"/>
        <v>4016455465</v>
      </c>
      <c r="CV93" s="6">
        <f t="shared" si="23"/>
        <v>225336015</v>
      </c>
      <c r="CW93" s="6">
        <f t="shared" si="24"/>
        <v>950339486</v>
      </c>
      <c r="CX93" s="23">
        <f t="shared" ref="CX93:CX125" si="65">CU93/(BC93-BD93)</f>
        <v>0.35173512414026137</v>
      </c>
      <c r="CY93" s="23">
        <f t="shared" ref="CY93:CY125" si="66">CV93/(BC93-BD93)</f>
        <v>1.9733466958607691E-2</v>
      </c>
      <c r="CZ93" s="6">
        <f t="shared" si="27"/>
        <v>4350723242.083602</v>
      </c>
      <c r="DA93" s="6">
        <f t="shared" si="28"/>
        <v>244089507.84644121</v>
      </c>
      <c r="DB93" s="6">
        <f t="shared" si="29"/>
        <v>187741567</v>
      </c>
      <c r="DC93" s="6">
        <f t="shared" si="30"/>
        <v>193924089</v>
      </c>
      <c r="DD93" s="6">
        <f t="shared" si="31"/>
        <v>98184108</v>
      </c>
      <c r="DE93" s="6">
        <f t="shared" si="32"/>
        <v>222552630</v>
      </c>
      <c r="DF93" s="6">
        <f t="shared" si="33"/>
        <v>126213547.67642371</v>
      </c>
      <c r="DG93" s="30"/>
      <c r="DH93" s="32">
        <f>VLOOKUP(A93,'T_med_comp-USA'!$A$7:$Q$233,17,0)</f>
        <v>18.021127484266913</v>
      </c>
      <c r="DI93" s="6" t="str">
        <f t="shared" si="34"/>
        <v>12_2004</v>
      </c>
      <c r="DJ93" s="32">
        <f>IF(DI93="","",VLOOKUP(DI93,'CPI USA'!$T:$U,2,FALSE))</f>
        <v>188.9</v>
      </c>
      <c r="DK93" s="32">
        <f>IF(DI93="","",VLOOKUP(DI93,'PPI USA'!$S:$T,2,FALSE))</f>
        <v>123.7</v>
      </c>
      <c r="DL93" s="32">
        <f>IF(DI93="","",VLOOKUP(DI93,'CPI USA'!$T:$V,3,FALSE))</f>
        <v>0.68116912558338294</v>
      </c>
      <c r="DM93" s="32">
        <f>IF(DI93="","",VLOOKUP(DI93,'CPI USA'!$T:$X,5,FALSE))</f>
        <v>0.51091164550905577</v>
      </c>
      <c r="DN93" s="32">
        <f t="shared" si="35"/>
        <v>1.7242718973721483</v>
      </c>
      <c r="DO93" s="32">
        <f t="shared" si="36"/>
        <v>1.7568944717328012</v>
      </c>
      <c r="DP93" s="32">
        <f t="shared" si="37"/>
        <v>0.48349843500348</v>
      </c>
      <c r="DQ93" s="32">
        <f>IF(DP93="","",DP93*$DO$1/'CPI USA'!$U$520+(1-DP93)*AVERAGE($DO$1,$DQ$1)/AVERAGE('CPI USA'!$U$520,'PPI USA'!$T$526))</f>
        <v>1.0759264361688994</v>
      </c>
      <c r="DR93" s="6">
        <f t="shared" si="38"/>
        <v>33729001</v>
      </c>
      <c r="DS93" s="32">
        <f t="shared" si="39"/>
        <v>0.374105201619858</v>
      </c>
      <c r="DT93" s="28">
        <f>IF(DS93="","",DS93*$DO$1/'CPI USA'!$U$520+(1-DS93)*AVERAGE($DO$1,$DQ$1)/AVERAGE('CPI USA'!$U$520,'PPI USA'!$T$526))</f>
        <v>1.079606322613591</v>
      </c>
      <c r="DU93" s="6">
        <f t="shared" si="40"/>
        <v>92445166.725125372</v>
      </c>
      <c r="DV93" s="6">
        <f t="shared" si="57"/>
        <v>17032555.1303735</v>
      </c>
      <c r="DW93" s="6">
        <f t="shared" si="41"/>
        <v>49679189.770434149</v>
      </c>
      <c r="DX93" s="16">
        <f t="shared" si="42"/>
        <v>0.39361218098232781</v>
      </c>
      <c r="DY93" s="28">
        <f>IF(DX93="","",DX93*$DO$1/'CPI USA'!$U$520+(1-DX93)*AVERAGE($DO$1,$DQ$1)/AVERAGE('CPI USA'!$U$520,'PPI USA'!$T$526))</f>
        <v>1.0789501260033207</v>
      </c>
      <c r="DZ93" s="30"/>
      <c r="EA93" s="29" t="str">
        <f t="shared" si="43"/>
        <v>C001132</v>
      </c>
      <c r="EB93" s="29">
        <f t="shared" si="44"/>
        <v>7501829819.5685968</v>
      </c>
      <c r="EC93" s="29">
        <f t="shared" si="45"/>
        <v>428839506.94339275</v>
      </c>
      <c r="ED93" s="29">
        <f t="shared" si="46"/>
        <v>208648053.96507046</v>
      </c>
      <c r="EE93" s="29">
        <f t="shared" si="47"/>
        <v>106000183.77697566</v>
      </c>
      <c r="EF93" s="29">
        <f t="shared" si="48"/>
        <v>136178123.16880348</v>
      </c>
      <c r="EG93" s="29">
        <f t="shared" si="49"/>
        <v>4255</v>
      </c>
      <c r="EH93" s="29">
        <f t="shared" si="50"/>
        <v>922487</v>
      </c>
      <c r="EI93" s="29">
        <f t="shared" si="51"/>
        <v>1209951</v>
      </c>
      <c r="EJ93" s="29">
        <f t="shared" si="52"/>
        <v>18905061</v>
      </c>
      <c r="EK93" s="29">
        <f t="shared" si="53"/>
        <v>20012292.152284265</v>
      </c>
      <c r="EL93" s="29">
        <f>IF(CD93=1,VLOOKUP(EA93,'EIA 2022'!$A$2:$J$213,4,0)*EH93,"")</f>
        <v>107930979</v>
      </c>
      <c r="EM93" s="29">
        <f>IF(CD93=1,VLOOKUP(EA93,'EIA 2022'!$A$2:$J$213,7,0)*EH93,"")</f>
        <v>1023960.5700000001</v>
      </c>
      <c r="EN93" s="29">
        <f>IF(CD93=1,VLOOKUP(EA93,'EIA 2022'!$A$2:$J$213,10,0),"")</f>
        <v>922478</v>
      </c>
      <c r="EO93" s="28">
        <f>IF(CD93=1,VLOOKUP(EA93,'EIA 2022'!$A$2:$Z$213,26,0),"")</f>
        <v>0</v>
      </c>
      <c r="EP93" s="23">
        <f t="shared" si="54"/>
        <v>5.5327552878938001E-2</v>
      </c>
      <c r="EQ93" s="32">
        <f t="shared" si="55"/>
        <v>102719.84771573637</v>
      </c>
      <c r="ER93" s="32">
        <f t="shared" si="56"/>
        <v>1107231.1522842636</v>
      </c>
      <c r="ES93" s="32"/>
      <c r="ET93" s="32"/>
    </row>
    <row r="94" spans="1:150" ht="15.75" customHeight="1">
      <c r="A94" s="7" t="s">
        <v>483</v>
      </c>
      <c r="B94" s="7" t="s">
        <v>484</v>
      </c>
      <c r="C94" s="32" t="s">
        <v>963</v>
      </c>
      <c r="D94" s="42">
        <v>205450308</v>
      </c>
      <c r="E94" s="42">
        <v>18962372</v>
      </c>
      <c r="F94" s="42">
        <v>91680951</v>
      </c>
      <c r="G94" s="42">
        <v>323573400</v>
      </c>
      <c r="H94" s="42">
        <v>326499224</v>
      </c>
      <c r="I94" s="42">
        <v>8659084</v>
      </c>
      <c r="J94" s="42">
        <v>4851198</v>
      </c>
      <c r="K94" s="42">
        <v>587622</v>
      </c>
      <c r="L94" s="42">
        <v>3770014</v>
      </c>
      <c r="M94" s="42">
        <v>4620692</v>
      </c>
      <c r="N94" s="42">
        <v>1724094</v>
      </c>
      <c r="O94" s="42">
        <v>15290153</v>
      </c>
      <c r="P94" s="42">
        <v>164633</v>
      </c>
      <c r="Q94" s="42">
        <v>160006</v>
      </c>
      <c r="R94" s="42">
        <v>0</v>
      </c>
      <c r="S94" s="42">
        <v>3435353</v>
      </c>
      <c r="T94" s="42">
        <v>44155643</v>
      </c>
      <c r="U94" s="42">
        <v>3470874</v>
      </c>
      <c r="V94" s="42">
        <v>0</v>
      </c>
      <c r="W94" s="42">
        <v>342776</v>
      </c>
      <c r="X94" s="42">
        <f>IFERROR(VLOOKUP(A94,'Trans 21-23'!$A$2:$J$229,8,0),0)</f>
        <v>7873872</v>
      </c>
      <c r="Y94" s="42">
        <v>3238871</v>
      </c>
      <c r="Z94" s="42">
        <v>405311</v>
      </c>
      <c r="AA94" s="42">
        <v>31043622</v>
      </c>
      <c r="AB94" s="42">
        <v>38353602</v>
      </c>
      <c r="AC94" s="42">
        <v>4058005</v>
      </c>
      <c r="AD94" s="42">
        <v>54627032</v>
      </c>
      <c r="AE94" s="42">
        <v>0</v>
      </c>
      <c r="AF94" s="42">
        <v>1348628215</v>
      </c>
      <c r="AG94" s="42">
        <v>813022</v>
      </c>
      <c r="AH94" s="42">
        <v>803531</v>
      </c>
      <c r="AI94" s="42">
        <v>48087483</v>
      </c>
      <c r="AJ94" s="42">
        <v>30441</v>
      </c>
      <c r="AK94" s="42">
        <v>0</v>
      </c>
      <c r="AL94" s="42">
        <v>7006266</v>
      </c>
      <c r="AM94" s="42">
        <v>4017275</v>
      </c>
      <c r="AN94" s="42">
        <v>16645349</v>
      </c>
      <c r="AO94" s="42">
        <v>48408</v>
      </c>
      <c r="AP94" s="42">
        <v>1550505</v>
      </c>
      <c r="AQ94" s="42">
        <v>29289655</v>
      </c>
      <c r="AR94" s="42">
        <v>17963856</v>
      </c>
      <c r="AS94" s="42">
        <v>47253511</v>
      </c>
      <c r="AT94" s="42">
        <v>0</v>
      </c>
      <c r="AU94" s="42">
        <v>5386</v>
      </c>
      <c r="AV94" s="42">
        <v>0</v>
      </c>
      <c r="AW94" s="42">
        <v>646430545</v>
      </c>
      <c r="AX94" s="42">
        <v>141481876</v>
      </c>
      <c r="AY94" s="42">
        <v>859565326</v>
      </c>
      <c r="AZ94" s="42">
        <v>93072735</v>
      </c>
      <c r="BA94" s="42">
        <v>131236028</v>
      </c>
      <c r="BB94" s="42">
        <v>3817604287</v>
      </c>
      <c r="BC94" s="42">
        <v>26003128368</v>
      </c>
      <c r="BD94" s="42">
        <v>1070460385</v>
      </c>
      <c r="BE94" s="42">
        <v>1341602232</v>
      </c>
      <c r="BF94" s="42">
        <v>89893603</v>
      </c>
      <c r="BG94" s="42">
        <v>0</v>
      </c>
      <c r="BH94" s="42">
        <v>44769865</v>
      </c>
      <c r="BI94" s="42">
        <v>14584364</v>
      </c>
      <c r="BJ94" s="42">
        <v>488</v>
      </c>
      <c r="BK94" s="42">
        <v>2611061</v>
      </c>
      <c r="BL94" s="42">
        <v>0</v>
      </c>
      <c r="BM94" s="42">
        <v>33434291</v>
      </c>
      <c r="BN94" s="42">
        <v>162294339</v>
      </c>
      <c r="BO94" s="42">
        <v>4154062</v>
      </c>
      <c r="BP94" s="42">
        <v>47273341</v>
      </c>
      <c r="BQ94" s="42">
        <v>384059086</v>
      </c>
      <c r="BR94" s="42">
        <v>21852</v>
      </c>
      <c r="BS94" s="42">
        <f>IFERROR(VLOOKUP(A94,'Trans 21-23'!$A$2:$J$229,7,0),0)</f>
        <v>254005275</v>
      </c>
      <c r="BT94" s="63"/>
      <c r="BU94" s="32">
        <f t="shared" si="0"/>
        <v>3817604287</v>
      </c>
      <c r="BV94" s="32">
        <f t="shared" si="1"/>
        <v>5386</v>
      </c>
      <c r="BW94" s="32">
        <f t="shared" si="2"/>
        <v>813022</v>
      </c>
      <c r="BX94" s="32">
        <f t="shared" si="3"/>
        <v>91232142</v>
      </c>
      <c r="BY94" s="32">
        <f t="shared" si="4"/>
        <v>77099411</v>
      </c>
      <c r="BZ94" s="32">
        <f t="shared" si="5"/>
        <v>93072735</v>
      </c>
      <c r="CA94" s="32">
        <f t="shared" si="6"/>
        <v>54627032</v>
      </c>
      <c r="CB94" s="32">
        <f t="shared" si="7"/>
        <v>803531</v>
      </c>
      <c r="CC94" s="32">
        <f t="shared" si="8"/>
        <v>29289655</v>
      </c>
      <c r="CD94" s="41">
        <f t="shared" si="62"/>
        <v>1</v>
      </c>
      <c r="CE94" s="44">
        <f t="shared" si="10"/>
        <v>8</v>
      </c>
      <c r="CF94" s="27"/>
      <c r="CG94" s="28">
        <f t="shared" si="11"/>
        <v>708.80139008540664</v>
      </c>
      <c r="CH94" s="28">
        <f t="shared" si="12"/>
        <v>6.6246669831812666</v>
      </c>
      <c r="CI94" s="28">
        <f t="shared" si="13"/>
        <v>112.21362029563775</v>
      </c>
      <c r="CJ94" s="28">
        <f t="shared" si="14"/>
        <v>114.47751106366125</v>
      </c>
      <c r="CK94" s="23">
        <f t="shared" si="15"/>
        <v>2.7433952363044221E-2</v>
      </c>
      <c r="CL94" s="29" t="str">
        <f t="shared" si="16"/>
        <v/>
      </c>
      <c r="CM94" s="29" t="str">
        <f t="shared" si="17"/>
        <v/>
      </c>
      <c r="CN94" s="29" t="str">
        <f t="shared" si="18"/>
        <v/>
      </c>
      <c r="CO94" s="29" t="str">
        <f t="shared" si="19"/>
        <v/>
      </c>
      <c r="CP94" s="29" t="str">
        <f t="shared" si="20"/>
        <v/>
      </c>
      <c r="CQ94" s="29">
        <f t="shared" si="21"/>
        <v>0</v>
      </c>
      <c r="CR94" s="30"/>
      <c r="CS94" s="7">
        <f>VLOOKUP(A94,'Empresas 21-23'!$A$2:$M$228,13,0)</f>
        <v>1</v>
      </c>
      <c r="CT94" s="30"/>
      <c r="CU94" s="6">
        <f t="shared" si="22"/>
        <v>3246672477.8000002</v>
      </c>
      <c r="CV94" s="6">
        <f t="shared" si="23"/>
        <v>93072735</v>
      </c>
      <c r="CW94" s="6">
        <f t="shared" si="24"/>
        <v>1070460385</v>
      </c>
      <c r="CX94" s="23">
        <f t="shared" si="65"/>
        <v>0.13021761168975979</v>
      </c>
      <c r="CY94" s="23">
        <f t="shared" si="66"/>
        <v>3.7329633179834735E-3</v>
      </c>
      <c r="CZ94" s="6">
        <f t="shared" si="27"/>
        <v>3386065272.543201</v>
      </c>
      <c r="DA94" s="6">
        <f t="shared" si="28"/>
        <v>97068724.350559473</v>
      </c>
      <c r="DB94" s="6">
        <f t="shared" si="29"/>
        <v>91232142</v>
      </c>
      <c r="DC94" s="6">
        <f t="shared" si="30"/>
        <v>99106014</v>
      </c>
      <c r="DD94" s="6">
        <f t="shared" si="31"/>
        <v>77099411</v>
      </c>
      <c r="DE94" s="6">
        <f t="shared" si="32"/>
        <v>54627032</v>
      </c>
      <c r="DF94" s="6">
        <f t="shared" si="33"/>
        <v>14776567.901122382</v>
      </c>
      <c r="DG94" s="30"/>
      <c r="DH94" s="32">
        <f>VLOOKUP(A94,'T_med_comp-USA'!$A$7:$Q$233,17,0)</f>
        <v>14.679081129209314</v>
      </c>
      <c r="DI94" s="6" t="str">
        <f t="shared" si="34"/>
        <v>4_2008</v>
      </c>
      <c r="DJ94" s="32">
        <f>IF(DI94="","",VLOOKUP(DI94,'CPI USA'!$T:$U,2,FALSE))</f>
        <v>215.303</v>
      </c>
      <c r="DK94" s="32">
        <f>IF(DI94="","",VLOOKUP(DI94,'PPI USA'!$S:$T,2,FALSE))</f>
        <v>159.30000000000001</v>
      </c>
      <c r="DL94" s="32">
        <f>IF(DI94="","",VLOOKUP(DI94,'CPI USA'!$T:$V,3,FALSE))</f>
        <v>0.67018812038291731</v>
      </c>
      <c r="DM94" s="32">
        <f>IF(DI94="","",VLOOKUP(DI94,'CPI USA'!$T:$X,5,FALSE))</f>
        <v>0.49838492968660258</v>
      </c>
      <c r="DN94" s="32">
        <f t="shared" si="35"/>
        <v>1.4884333659448254</v>
      </c>
      <c r="DO94" s="32">
        <f t="shared" si="36"/>
        <v>1.5036496327119213</v>
      </c>
      <c r="DP94" s="32">
        <f t="shared" si="37"/>
        <v>0.50328521138190452</v>
      </c>
      <c r="DQ94" s="32">
        <f>IF(DP94="","",DP94*$DO$1/'CPI USA'!$U$520+(1-DP94)*AVERAGE($DO$1,$DQ$1)/AVERAGE('CPI USA'!$U$520,'PPI USA'!$T$526))</f>
        <v>1.0752608274477113</v>
      </c>
      <c r="DR94" s="6">
        <f t="shared" si="38"/>
        <v>17195913</v>
      </c>
      <c r="DS94" s="32">
        <f t="shared" si="39"/>
        <v>0.22874438115630327</v>
      </c>
      <c r="DT94" s="28">
        <f>IF(DS94="","",DS94*$DO$1/'CPI USA'!$U$520+(1-DS94)*AVERAGE($DO$1,$DQ$1)/AVERAGE('CPI USA'!$U$520,'PPI USA'!$T$526))</f>
        <v>1.0844961251751195</v>
      </c>
      <c r="DU94" s="6">
        <f t="shared" si="40"/>
        <v>34290070.188576885</v>
      </c>
      <c r="DV94" s="6">
        <f t="shared" si="57"/>
        <v>4693044.9492042223</v>
      </c>
      <c r="DW94" s="6">
        <f t="shared" si="41"/>
        <v>14884185.568396095</v>
      </c>
      <c r="DX94" s="16">
        <f t="shared" si="42"/>
        <v>0.9</v>
      </c>
      <c r="DY94" s="28">
        <f>IF(DX94="","",DX94*$DO$1/'CPI USA'!$U$520+(1-DX94)*AVERAGE($DO$1,$DQ$1)/AVERAGE('CPI USA'!$U$520,'PPI USA'!$T$526))</f>
        <v>1.0619157115946583</v>
      </c>
      <c r="DZ94" s="30"/>
      <c r="EA94" s="29" t="str">
        <f t="shared" si="43"/>
        <v>C001143</v>
      </c>
      <c r="EB94" s="29">
        <f t="shared" si="44"/>
        <v>5039932530.9203596</v>
      </c>
      <c r="EC94" s="29">
        <f t="shared" si="45"/>
        <v>145957351.7175335</v>
      </c>
      <c r="ED94" s="29">
        <f t="shared" si="46"/>
        <v>106564814.61868447</v>
      </c>
      <c r="EE94" s="29">
        <f t="shared" si="47"/>
        <v>83614012.482783988</v>
      </c>
      <c r="EF94" s="29">
        <f t="shared" si="48"/>
        <v>15691469.61764716</v>
      </c>
      <c r="EG94" s="29">
        <f t="shared" si="49"/>
        <v>5386</v>
      </c>
      <c r="EH94" s="29">
        <f t="shared" si="50"/>
        <v>813022</v>
      </c>
      <c r="EI94" s="29">
        <f t="shared" si="51"/>
        <v>803531</v>
      </c>
      <c r="EJ94" s="29">
        <f t="shared" si="52"/>
        <v>29289655</v>
      </c>
      <c r="EK94" s="29">
        <f t="shared" si="53"/>
        <v>29819624.741116751</v>
      </c>
      <c r="EL94" s="29">
        <f>IF(CD94=1,VLOOKUP(EA94,'EIA 2022'!$A$2:$J$213,4,0)*EH94,"")</f>
        <v>65854782</v>
      </c>
      <c r="EM94" s="29">
        <f>IF(CD94=1,VLOOKUP(EA94,'EIA 2022'!$A$2:$J$213,7,0)*EH94,"")</f>
        <v>772370.89999999991</v>
      </c>
      <c r="EN94" s="29">
        <f>IF(CD94=1,VLOOKUP(EA94,'EIA 2022'!$A$2:$J$213,10,0),"")</f>
        <v>722813</v>
      </c>
      <c r="EO94" s="28">
        <f>IF(CD94=1,VLOOKUP(EA94,'EIA 2022'!$A$2:$Z$213,26,0),"")</f>
        <v>0</v>
      </c>
      <c r="EP94" s="23">
        <f t="shared" si="54"/>
        <v>1.777251543967295E-2</v>
      </c>
      <c r="EQ94" s="32">
        <f t="shared" si="55"/>
        <v>273561.25888324901</v>
      </c>
      <c r="ER94" s="32">
        <f t="shared" si="56"/>
        <v>529969.74111675099</v>
      </c>
      <c r="ES94" s="32"/>
      <c r="ET94" s="32"/>
    </row>
    <row r="95" spans="1:150" ht="15.75" customHeight="1">
      <c r="A95" s="7" t="s">
        <v>486</v>
      </c>
      <c r="B95" s="7" t="s">
        <v>487</v>
      </c>
      <c r="C95" s="32" t="s">
        <v>964</v>
      </c>
      <c r="D95" s="42">
        <v>0</v>
      </c>
      <c r="E95" s="42">
        <v>0</v>
      </c>
      <c r="F95" s="42">
        <v>2089</v>
      </c>
      <c r="G95" s="42">
        <v>21391792</v>
      </c>
      <c r="H95" s="42">
        <v>21391792</v>
      </c>
      <c r="I95" s="42">
        <v>57638</v>
      </c>
      <c r="J95" s="42">
        <v>1852</v>
      </c>
      <c r="K95" s="42">
        <v>0</v>
      </c>
      <c r="L95" s="42">
        <v>21880</v>
      </c>
      <c r="M95" s="42">
        <v>0</v>
      </c>
      <c r="N95" s="42">
        <v>35597</v>
      </c>
      <c r="O95" s="42">
        <v>12865</v>
      </c>
      <c r="P95" s="42">
        <v>0</v>
      </c>
      <c r="Q95" s="42">
        <v>124552</v>
      </c>
      <c r="R95" s="42">
        <v>0</v>
      </c>
      <c r="S95" s="42">
        <v>82804</v>
      </c>
      <c r="T95" s="42">
        <v>470293</v>
      </c>
      <c r="U95" s="42">
        <v>58003</v>
      </c>
      <c r="V95" s="42">
        <v>6573</v>
      </c>
      <c r="W95" s="42">
        <v>0</v>
      </c>
      <c r="X95" s="42">
        <f>IFERROR(VLOOKUP(A95,'Trans 21-23'!$A$2:$J$229,8,0),0)</f>
        <v>324570</v>
      </c>
      <c r="Y95" s="42">
        <v>25016</v>
      </c>
      <c r="Z95" s="42">
        <v>17297</v>
      </c>
      <c r="AA95" s="42">
        <v>441005</v>
      </c>
      <c r="AB95" s="42">
        <v>5234</v>
      </c>
      <c r="AC95" s="42">
        <v>1467</v>
      </c>
      <c r="AD95" s="42">
        <v>4571460</v>
      </c>
      <c r="AE95" s="42">
        <v>0</v>
      </c>
      <c r="AF95" s="42">
        <v>30242377</v>
      </c>
      <c r="AG95" s="42">
        <v>6253</v>
      </c>
      <c r="AH95" s="42">
        <v>13871</v>
      </c>
      <c r="AI95" s="42">
        <v>599388</v>
      </c>
      <c r="AJ95" s="42">
        <v>506</v>
      </c>
      <c r="AK95" s="42">
        <v>0</v>
      </c>
      <c r="AL95" s="42">
        <v>63552</v>
      </c>
      <c r="AM95" s="42">
        <v>19690</v>
      </c>
      <c r="AN95" s="42">
        <v>258751</v>
      </c>
      <c r="AO95" s="42">
        <v>256</v>
      </c>
      <c r="AP95" s="42">
        <v>0</v>
      </c>
      <c r="AQ95" s="42">
        <v>342249</v>
      </c>
      <c r="AR95" s="42">
        <v>242762</v>
      </c>
      <c r="AS95" s="42">
        <v>585011</v>
      </c>
      <c r="AT95" s="42">
        <v>0</v>
      </c>
      <c r="AU95" s="42">
        <v>98188</v>
      </c>
      <c r="AV95" s="42">
        <v>0</v>
      </c>
      <c r="AW95" s="42">
        <v>5479198</v>
      </c>
      <c r="AX95" s="42">
        <v>0</v>
      </c>
      <c r="AY95" s="42">
        <v>1929039</v>
      </c>
      <c r="AZ95" s="42">
        <v>2477899</v>
      </c>
      <c r="BA95" s="42">
        <v>2978030</v>
      </c>
      <c r="BB95" s="42">
        <v>34710763</v>
      </c>
      <c r="BC95" s="42">
        <v>87671952</v>
      </c>
      <c r="BD95" s="42">
        <v>5916355</v>
      </c>
      <c r="BE95" s="42">
        <v>19659082</v>
      </c>
      <c r="BF95" s="42">
        <v>989793</v>
      </c>
      <c r="BG95" s="42">
        <v>0</v>
      </c>
      <c r="BH95" s="42">
        <v>424264</v>
      </c>
      <c r="BI95" s="42">
        <v>234775</v>
      </c>
      <c r="BJ95" s="42">
        <v>0</v>
      </c>
      <c r="BK95" s="42">
        <v>0</v>
      </c>
      <c r="BL95" s="42">
        <v>0</v>
      </c>
      <c r="BM95" s="42">
        <v>1277188</v>
      </c>
      <c r="BN95" s="42">
        <v>3496925</v>
      </c>
      <c r="BO95" s="42">
        <v>102990</v>
      </c>
      <c r="BP95" s="42">
        <v>104828</v>
      </c>
      <c r="BQ95" s="42">
        <v>4443695</v>
      </c>
      <c r="BR95" s="42">
        <v>0</v>
      </c>
      <c r="BS95" s="42">
        <f>IFERROR(VLOOKUP(A95,'Trans 21-23'!$A$2:$J$229,7,0),0)</f>
        <v>14702800</v>
      </c>
      <c r="BT95" s="63"/>
      <c r="BU95" s="32">
        <f t="shared" si="0"/>
        <v>34710763</v>
      </c>
      <c r="BV95" s="32">
        <f t="shared" si="1"/>
        <v>98188</v>
      </c>
      <c r="BW95" s="32">
        <f t="shared" si="2"/>
        <v>6253</v>
      </c>
      <c r="BX95" s="32">
        <f t="shared" si="3"/>
        <v>872057</v>
      </c>
      <c r="BY95" s="32">
        <f t="shared" si="4"/>
        <v>490019</v>
      </c>
      <c r="BZ95" s="32">
        <f t="shared" si="5"/>
        <v>2477899</v>
      </c>
      <c r="CA95" s="32">
        <f t="shared" si="6"/>
        <v>4571460</v>
      </c>
      <c r="CB95" s="32">
        <f t="shared" si="7"/>
        <v>13871</v>
      </c>
      <c r="CC95" s="32">
        <f t="shared" si="8"/>
        <v>342249</v>
      </c>
      <c r="CD95" s="41">
        <v>0</v>
      </c>
      <c r="CE95" s="44">
        <f t="shared" si="10"/>
        <v>18</v>
      </c>
      <c r="CF95" s="27"/>
      <c r="CG95" s="28" t="str">
        <f t="shared" si="11"/>
        <v/>
      </c>
      <c r="CH95" s="28" t="str">
        <f t="shared" si="12"/>
        <v/>
      </c>
      <c r="CI95" s="28" t="str">
        <f t="shared" si="13"/>
        <v/>
      </c>
      <c r="CJ95" s="28" t="str">
        <f t="shared" si="14"/>
        <v/>
      </c>
      <c r="CK95" s="23" t="str">
        <f t="shared" si="15"/>
        <v/>
      </c>
      <c r="CL95" s="29" t="str">
        <f t="shared" si="16"/>
        <v/>
      </c>
      <c r="CM95" s="29" t="str">
        <f t="shared" si="17"/>
        <v/>
      </c>
      <c r="CN95" s="29" t="str">
        <f t="shared" si="18"/>
        <v/>
      </c>
      <c r="CO95" s="29" t="str">
        <f t="shared" si="19"/>
        <v/>
      </c>
      <c r="CP95" s="29" t="str">
        <f t="shared" si="20"/>
        <v/>
      </c>
      <c r="CQ95" s="29" t="str">
        <f t="shared" si="21"/>
        <v/>
      </c>
      <c r="CR95" s="30"/>
      <c r="CS95" s="7" t="str">
        <f>VLOOKUP(A95,'Empresas 21-23'!$A$2:$M$228,13,0)</f>
        <v/>
      </c>
      <c r="CT95" s="30"/>
      <c r="CU95" s="6">
        <f t="shared" si="22"/>
        <v>42800210.600000001</v>
      </c>
      <c r="CV95" s="6">
        <f t="shared" si="23"/>
        <v>2477899</v>
      </c>
      <c r="CW95" s="6">
        <f t="shared" si="24"/>
        <v>5916355</v>
      </c>
      <c r="CX95" s="23">
        <f t="shared" si="65"/>
        <v>0.52351413445124739</v>
      </c>
      <c r="CY95" s="23">
        <f t="shared" si="66"/>
        <v>3.0308616057197896E-2</v>
      </c>
      <c r="CZ95" s="6">
        <f t="shared" si="27"/>
        <v>45897506.066931307</v>
      </c>
      <c r="DA95" s="6">
        <f t="shared" si="28"/>
        <v>2657215.532153083</v>
      </c>
      <c r="DB95" s="6">
        <f t="shared" si="29"/>
        <v>872057</v>
      </c>
      <c r="DC95" s="6">
        <f t="shared" si="30"/>
        <v>1196627</v>
      </c>
      <c r="DD95" s="6">
        <f t="shared" si="31"/>
        <v>490019</v>
      </c>
      <c r="DE95" s="6">
        <f t="shared" si="32"/>
        <v>4571460</v>
      </c>
      <c r="DF95" s="6">
        <f t="shared" si="33"/>
        <v>1802751.8877933223</v>
      </c>
      <c r="DG95" s="30"/>
      <c r="DH95" s="32">
        <f>VLOOKUP(A95,'T_med_comp-USA'!$A$7:$Q$233,17,0)</f>
        <v>19.824489155707166</v>
      </c>
      <c r="DI95" s="6" t="str">
        <f t="shared" si="34"/>
        <v>3_2003</v>
      </c>
      <c r="DJ95" s="32">
        <f>IF(DI95="","",VLOOKUP(DI95,'CPI USA'!$T:$U,2,FALSE))</f>
        <v>184</v>
      </c>
      <c r="DK95" s="32">
        <f>IF(DI95="","",VLOOKUP(DI95,'PPI USA'!$S:$T,2,FALSE))</f>
        <v>122.6</v>
      </c>
      <c r="DL95" s="32">
        <f>IF(DI95="","",VLOOKUP(DI95,'CPI USA'!$T:$V,3,FALSE))</f>
        <v>0.67966838867333434</v>
      </c>
      <c r="DM95" s="32">
        <f>IF(DI95="","",VLOOKUP(DI95,'CPI USA'!$T:$X,5,FALSE))</f>
        <v>0.509186952863521</v>
      </c>
      <c r="DN95" s="32">
        <f t="shared" si="35"/>
        <v>1.7662899637984153</v>
      </c>
      <c r="DO95" s="32">
        <f t="shared" si="36"/>
        <v>1.7975926193363585</v>
      </c>
      <c r="DP95" s="32">
        <f t="shared" si="37"/>
        <v>0.50083796037950179</v>
      </c>
      <c r="DQ95" s="32">
        <f>IF(DP95="","",DP95*$DO$1/'CPI USA'!$U$520+(1-DP95)*AVERAGE($DO$1,$DQ$1)/AVERAGE('CPI USA'!$U$520,'PPI USA'!$T$526))</f>
        <v>1.0753431506912241</v>
      </c>
      <c r="DR95" s="6">
        <f t="shared" si="38"/>
        <v>234775</v>
      </c>
      <c r="DS95" s="32">
        <f t="shared" si="39"/>
        <v>0.49322474628716961</v>
      </c>
      <c r="DT95" s="28">
        <f>IF(DS95="","",DS95*$DO$1/'CPI USA'!$U$520+(1-DS95)*AVERAGE($DO$1,$DQ$1)/AVERAGE('CPI USA'!$U$520,'PPI USA'!$T$526))</f>
        <v>1.0755992521197344</v>
      </c>
      <c r="DU95" s="6">
        <f t="shared" si="40"/>
        <v>1314803.2168319309</v>
      </c>
      <c r="DV95" s="6">
        <f t="shared" si="57"/>
        <v>30857.14857450113</v>
      </c>
      <c r="DW95" s="6">
        <f t="shared" si="41"/>
        <v>253606.42895031764</v>
      </c>
      <c r="DX95" s="16">
        <f t="shared" si="42"/>
        <v>0.2</v>
      </c>
      <c r="DY95" s="28">
        <f>IF(DX95="","",DX95*$DO$1/'CPI USA'!$U$520+(1-DX95)*AVERAGE($DO$1,$DQ$1)/AVERAGE('CPI USA'!$U$520,'PPI USA'!$T$526))</f>
        <v>1.0854630593748538</v>
      </c>
      <c r="DZ95" s="30"/>
      <c r="EA95" s="29" t="str">
        <f t="shared" si="43"/>
        <v>C001153</v>
      </c>
      <c r="EB95" s="29" t="str">
        <f t="shared" si="44"/>
        <v/>
      </c>
      <c r="EC95" s="29" t="str">
        <f t="shared" si="45"/>
        <v/>
      </c>
      <c r="ED95" s="29" t="str">
        <f t="shared" si="46"/>
        <v/>
      </c>
      <c r="EE95" s="29" t="str">
        <f t="shared" si="47"/>
        <v/>
      </c>
      <c r="EF95" s="29" t="str">
        <f t="shared" si="48"/>
        <v/>
      </c>
      <c r="EG95" s="29" t="str">
        <f t="shared" si="49"/>
        <v/>
      </c>
      <c r="EH95" s="29" t="str">
        <f t="shared" si="50"/>
        <v/>
      </c>
      <c r="EI95" s="29" t="str">
        <f t="shared" si="51"/>
        <v/>
      </c>
      <c r="EJ95" s="29" t="str">
        <f t="shared" si="52"/>
        <v/>
      </c>
      <c r="EK95" s="29" t="str">
        <f t="shared" si="53"/>
        <v/>
      </c>
      <c r="EL95" s="29" t="str">
        <f>IF(CD95=1,VLOOKUP(EA95,'EIA 2022'!$A$2:$J$213,4,0)*EH95,"")</f>
        <v/>
      </c>
      <c r="EM95" s="29" t="str">
        <f>IF(CD95=1,VLOOKUP(EA95,'EIA 2022'!$A$2:$J$213,7,0)*EH95,"")</f>
        <v/>
      </c>
      <c r="EN95" s="29" t="str">
        <f>IF(CD95=1,VLOOKUP(EA95,'EIA 2022'!$A$2:$J$213,10,0),"")</f>
        <v/>
      </c>
      <c r="EO95" s="28" t="str">
        <f>IF(CD95=1,VLOOKUP(EA95,'EIA 2022'!$A$2:$Z$213,26,0),"")</f>
        <v/>
      </c>
      <c r="EP95" s="23" t="str">
        <f t="shared" si="54"/>
        <v/>
      </c>
      <c r="EQ95" s="32" t="str">
        <f t="shared" si="55"/>
        <v/>
      </c>
      <c r="ER95" s="32" t="str">
        <f t="shared" si="56"/>
        <v/>
      </c>
      <c r="ES95" s="32"/>
      <c r="ET95" s="32"/>
    </row>
    <row r="96" spans="1:150" ht="15.75" customHeight="1">
      <c r="A96" s="7" t="s">
        <v>490</v>
      </c>
      <c r="B96" s="7" t="s">
        <v>491</v>
      </c>
      <c r="C96" s="32" t="s">
        <v>965</v>
      </c>
      <c r="D96" s="42">
        <v>223983390</v>
      </c>
      <c r="E96" s="42">
        <v>28008705</v>
      </c>
      <c r="F96" s="42">
        <v>57375668</v>
      </c>
      <c r="G96" s="42">
        <v>287885585</v>
      </c>
      <c r="H96" s="42">
        <v>292600983</v>
      </c>
      <c r="I96" s="42">
        <v>2608464</v>
      </c>
      <c r="J96" s="42">
        <v>63355</v>
      </c>
      <c r="K96" s="42">
        <v>890031</v>
      </c>
      <c r="L96" s="42">
        <v>1563312</v>
      </c>
      <c r="M96" s="42">
        <v>2553062</v>
      </c>
      <c r="N96" s="42">
        <v>5756</v>
      </c>
      <c r="O96" s="42">
        <v>9100533</v>
      </c>
      <c r="P96" s="42">
        <v>933148</v>
      </c>
      <c r="Q96" s="42">
        <v>81872</v>
      </c>
      <c r="R96" s="42">
        <v>0</v>
      </c>
      <c r="S96" s="42">
        <v>743459</v>
      </c>
      <c r="T96" s="42">
        <v>28248035</v>
      </c>
      <c r="U96" s="42">
        <v>1239669</v>
      </c>
      <c r="V96" s="42">
        <v>1456</v>
      </c>
      <c r="W96" s="42">
        <v>128458</v>
      </c>
      <c r="X96" s="42">
        <f>IFERROR(VLOOKUP(A96,'Trans 21-23'!$A$2:$J$229,8,0),0)</f>
        <v>675511</v>
      </c>
      <c r="Y96" s="42">
        <v>461400</v>
      </c>
      <c r="Z96" s="42">
        <v>427652</v>
      </c>
      <c r="AA96" s="42">
        <v>13960239</v>
      </c>
      <c r="AB96" s="42">
        <v>33401883</v>
      </c>
      <c r="AC96" s="42">
        <v>460017</v>
      </c>
      <c r="AD96" s="42">
        <v>142759417</v>
      </c>
      <c r="AE96" s="42">
        <v>0</v>
      </c>
      <c r="AF96" s="42">
        <v>997002153</v>
      </c>
      <c r="AG96" s="42">
        <v>575307</v>
      </c>
      <c r="AH96" s="42">
        <v>245812</v>
      </c>
      <c r="AI96" s="42">
        <v>21047717</v>
      </c>
      <c r="AJ96" s="42">
        <v>81913</v>
      </c>
      <c r="AK96" s="42">
        <v>0</v>
      </c>
      <c r="AL96" s="42">
        <v>5732448</v>
      </c>
      <c r="AM96" s="42">
        <v>7464323</v>
      </c>
      <c r="AN96" s="42">
        <v>1701417</v>
      </c>
      <c r="AO96" s="42">
        <v>70499</v>
      </c>
      <c r="AP96" s="42">
        <v>0</v>
      </c>
      <c r="AQ96" s="42">
        <v>14968687</v>
      </c>
      <c r="AR96" s="42">
        <v>5751305</v>
      </c>
      <c r="AS96" s="42">
        <v>20719992</v>
      </c>
      <c r="AT96" s="42">
        <v>0</v>
      </c>
      <c r="AU96" s="42">
        <v>3408</v>
      </c>
      <c r="AV96" s="42">
        <v>0</v>
      </c>
      <c r="AW96" s="42">
        <v>362032850</v>
      </c>
      <c r="AX96" s="42">
        <v>394697300</v>
      </c>
      <c r="AY96" s="42">
        <v>749602600</v>
      </c>
      <c r="AZ96" s="42">
        <v>185739093</v>
      </c>
      <c r="BA96" s="42">
        <v>32376298</v>
      </c>
      <c r="BB96" s="42">
        <v>3260774633</v>
      </c>
      <c r="BC96" s="42">
        <v>12365217300</v>
      </c>
      <c r="BD96" s="42">
        <v>593509269</v>
      </c>
      <c r="BE96" s="42">
        <v>988189201</v>
      </c>
      <c r="BF96" s="42">
        <v>79630403</v>
      </c>
      <c r="BG96" s="42">
        <v>0</v>
      </c>
      <c r="BH96" s="42">
        <v>11906712</v>
      </c>
      <c r="BI96" s="42">
        <v>9001420</v>
      </c>
      <c r="BJ96" s="42">
        <v>2542129</v>
      </c>
      <c r="BK96" s="42">
        <v>323480</v>
      </c>
      <c r="BL96" s="42">
        <v>0</v>
      </c>
      <c r="BM96" s="42">
        <v>34543369</v>
      </c>
      <c r="BN96" s="42">
        <v>137714648</v>
      </c>
      <c r="BO96" s="42">
        <v>8189288</v>
      </c>
      <c r="BP96" s="42">
        <v>1398100</v>
      </c>
      <c r="BQ96" s="42">
        <v>181115993</v>
      </c>
      <c r="BR96" s="42">
        <v>0</v>
      </c>
      <c r="BS96" s="42">
        <f>IFERROR(VLOOKUP(A96,'Trans 21-23'!$A$2:$J$229,7,0),0)</f>
        <v>61176689</v>
      </c>
      <c r="BT96" s="63"/>
      <c r="BU96" s="32">
        <f t="shared" si="0"/>
        <v>3260774633</v>
      </c>
      <c r="BV96" s="32">
        <f t="shared" si="1"/>
        <v>3408</v>
      </c>
      <c r="BW96" s="32">
        <f t="shared" si="2"/>
        <v>575307</v>
      </c>
      <c r="BX96" s="32">
        <f t="shared" si="3"/>
        <v>48160610</v>
      </c>
      <c r="BY96" s="32">
        <f t="shared" si="4"/>
        <v>48711191</v>
      </c>
      <c r="BZ96" s="32">
        <f t="shared" si="5"/>
        <v>185739093</v>
      </c>
      <c r="CA96" s="32">
        <f t="shared" si="6"/>
        <v>142759417</v>
      </c>
      <c r="CB96" s="32">
        <f t="shared" si="7"/>
        <v>245812</v>
      </c>
      <c r="CC96" s="32">
        <f t="shared" si="8"/>
        <v>14968687</v>
      </c>
      <c r="CD96" s="41">
        <f t="shared" ref="CD96:CD146" si="67">IF(OR(BU96&lt;=0,BV96&lt;=0,BW96&lt;=0,BX96&lt;=0,BY96&lt;=0,BZ96&lt;=0,CA96&lt;=0,CB96&lt;=0,CC96&lt;=0,DH96="-"),0,1)</f>
        <v>1</v>
      </c>
      <c r="CE96" s="44">
        <f t="shared" si="10"/>
        <v>9</v>
      </c>
      <c r="CF96" s="27"/>
      <c r="CG96" s="28">
        <f t="shared" si="11"/>
        <v>956.80006836854454</v>
      </c>
      <c r="CH96" s="28">
        <f t="shared" si="12"/>
        <v>5.9237937309992752</v>
      </c>
      <c r="CI96" s="28">
        <f t="shared" si="13"/>
        <v>83.712887206308977</v>
      </c>
      <c r="CJ96" s="28">
        <f t="shared" si="14"/>
        <v>322.85213459943998</v>
      </c>
      <c r="CK96" s="23">
        <f t="shared" si="15"/>
        <v>1.6421747612198719E-2</v>
      </c>
      <c r="CL96" s="29" t="str">
        <f t="shared" si="16"/>
        <v/>
      </c>
      <c r="CM96" s="29" t="str">
        <f t="shared" si="17"/>
        <v/>
      </c>
      <c r="CN96" s="29" t="str">
        <f t="shared" si="18"/>
        <v/>
      </c>
      <c r="CO96" s="29" t="str">
        <f t="shared" si="19"/>
        <v/>
      </c>
      <c r="CP96" s="29" t="str">
        <f t="shared" si="20"/>
        <v/>
      </c>
      <c r="CQ96" s="29">
        <f t="shared" si="21"/>
        <v>0</v>
      </c>
      <c r="CR96" s="30"/>
      <c r="CS96" s="7">
        <f>VLOOKUP(A96,'Empresas 21-23'!$A$2:$M$228,13,0)</f>
        <v>1</v>
      </c>
      <c r="CT96" s="30"/>
      <c r="CU96" s="6">
        <f t="shared" si="22"/>
        <v>2417255991</v>
      </c>
      <c r="CV96" s="6">
        <f t="shared" si="23"/>
        <v>185739093</v>
      </c>
      <c r="CW96" s="6">
        <f t="shared" si="24"/>
        <v>593509269</v>
      </c>
      <c r="CX96" s="23">
        <f t="shared" si="65"/>
        <v>0.20534454172957053</v>
      </c>
      <c r="CY96" s="23">
        <f t="shared" si="66"/>
        <v>1.5778431856351569E-2</v>
      </c>
      <c r="CZ96" s="6">
        <f t="shared" si="27"/>
        <v>2539129879.8550572</v>
      </c>
      <c r="DA96" s="6">
        <f t="shared" si="28"/>
        <v>195103738.55702955</v>
      </c>
      <c r="DB96" s="6">
        <f t="shared" si="29"/>
        <v>48160610</v>
      </c>
      <c r="DC96" s="6">
        <f t="shared" si="30"/>
        <v>48836121</v>
      </c>
      <c r="DD96" s="6">
        <f t="shared" si="31"/>
        <v>48711191</v>
      </c>
      <c r="DE96" s="6">
        <f t="shared" si="32"/>
        <v>142759417</v>
      </c>
      <c r="DF96" s="6">
        <f t="shared" si="33"/>
        <v>55201082.723736614</v>
      </c>
      <c r="DG96" s="30"/>
      <c r="DH96" s="32">
        <f>VLOOKUP(A96,'T_med_comp-USA'!$A$7:$Q$233,17,0)</f>
        <v>12.480200145219991</v>
      </c>
      <c r="DI96" s="6" t="str">
        <f t="shared" si="34"/>
        <v>7_2010</v>
      </c>
      <c r="DJ96" s="32">
        <f>IF(DI96="","",VLOOKUP(DI96,'CPI USA'!$T:$U,2,FALSE))</f>
        <v>218.05600000000001</v>
      </c>
      <c r="DK96" s="32">
        <f>IF(DI96="","",VLOOKUP(DI96,'PPI USA'!$S:$T,2,FALSE))</f>
        <v>160.80000000000001</v>
      </c>
      <c r="DL96" s="32">
        <f>IF(DI96="","",VLOOKUP(DI96,'CPI USA'!$T:$V,3,FALSE))</f>
        <v>0.67050107279443949</v>
      </c>
      <c r="DM96" s="32">
        <f>IF(DI96="","",VLOOKUP(DI96,'CPI USA'!$T:$X,5,FALSE))</f>
        <v>0.4987389730136107</v>
      </c>
      <c r="DN96" s="32">
        <f t="shared" si="35"/>
        <v>1.4703278680244813</v>
      </c>
      <c r="DO96" s="32">
        <f t="shared" si="36"/>
        <v>1.4857204383544427</v>
      </c>
      <c r="DP96" s="32">
        <f t="shared" si="37"/>
        <v>0.26193090378348594</v>
      </c>
      <c r="DQ96" s="32">
        <f>IF(DP96="","",DP96*$DO$1/'CPI USA'!$U$520+(1-DP96)*AVERAGE($DO$1,$DQ$1)/AVERAGE('CPI USA'!$U$520,'PPI USA'!$T$526))</f>
        <v>1.0833797614752374</v>
      </c>
      <c r="DR96" s="6">
        <f t="shared" si="38"/>
        <v>11867029</v>
      </c>
      <c r="DS96" s="32">
        <f t="shared" si="39"/>
        <v>0.25810720434973905</v>
      </c>
      <c r="DT96" s="28">
        <f>IF(DS96="","",DS96*$DO$1/'CPI USA'!$U$520+(1-DS96)*AVERAGE($DO$1,$DQ$1)/AVERAGE('CPI USA'!$U$520,'PPI USA'!$T$526))</f>
        <v>1.083508387161485</v>
      </c>
      <c r="DU96" s="6">
        <f t="shared" si="40"/>
        <v>36597512.123767577</v>
      </c>
      <c r="DV96" s="6">
        <f t="shared" si="57"/>
        <v>268727.18900004018</v>
      </c>
      <c r="DW96" s="6">
        <f t="shared" si="41"/>
        <v>6364235.3068045117</v>
      </c>
      <c r="DX96" s="16">
        <f t="shared" si="42"/>
        <v>0.2</v>
      </c>
      <c r="DY96" s="28">
        <f>IF(DX96="","",DX96*$DO$1/'CPI USA'!$U$520+(1-DX96)*AVERAGE($DO$1,$DQ$1)/AVERAGE('CPI USA'!$U$520,'PPI USA'!$T$526))</f>
        <v>1.0854630593748538</v>
      </c>
      <c r="DZ96" s="30"/>
      <c r="EA96" s="29" t="str">
        <f t="shared" si="43"/>
        <v>C001181</v>
      </c>
      <c r="EB96" s="29">
        <f t="shared" si="44"/>
        <v>3733353422.8845439</v>
      </c>
      <c r="EC96" s="29">
        <f t="shared" si="45"/>
        <v>289869611.97354054</v>
      </c>
      <c r="ED96" s="29">
        <f t="shared" si="46"/>
        <v>52908065.12035583</v>
      </c>
      <c r="EE96" s="29">
        <f t="shared" si="47"/>
        <v>52778983.997125044</v>
      </c>
      <c r="EF96" s="29">
        <f t="shared" si="48"/>
        <v>59918736.134111531</v>
      </c>
      <c r="EG96" s="29">
        <f t="shared" si="49"/>
        <v>3408</v>
      </c>
      <c r="EH96" s="29">
        <f t="shared" si="50"/>
        <v>575307</v>
      </c>
      <c r="EI96" s="29">
        <f t="shared" si="51"/>
        <v>245812</v>
      </c>
      <c r="EJ96" s="29">
        <f t="shared" si="52"/>
        <v>14968687</v>
      </c>
      <c r="EK96" s="29">
        <f t="shared" si="53"/>
        <v>15126915.675126903</v>
      </c>
      <c r="EL96" s="29">
        <f>IF(CD96=1,VLOOKUP(EA96,'EIA 2022'!$A$2:$J$213,4,0)*EH96,"")</f>
        <v>48855070.439999998</v>
      </c>
      <c r="EM96" s="29">
        <f>IF(CD96=1,VLOOKUP(EA96,'EIA 2022'!$A$2:$J$213,7,0)*EH96,"")</f>
        <v>561499.63199999998</v>
      </c>
      <c r="EN96" s="29">
        <f>IF(CD96=1,VLOOKUP(EA96,'EIA 2022'!$A$2:$J$213,10,0),"")</f>
        <v>282594</v>
      </c>
      <c r="EO96" s="28">
        <f>IF(CD96=1,VLOOKUP(EA96,'EIA 2022'!$A$2:$Z$213,26,0),"")</f>
        <v>0</v>
      </c>
      <c r="EP96" s="23">
        <f t="shared" si="54"/>
        <v>1.046007517494648E-2</v>
      </c>
      <c r="EQ96" s="32">
        <f t="shared" si="55"/>
        <v>87583.32487309631</v>
      </c>
      <c r="ER96" s="32">
        <f t="shared" si="56"/>
        <v>158228.67512690369</v>
      </c>
      <c r="ES96" s="32"/>
      <c r="ET96" s="32"/>
    </row>
    <row r="97" spans="1:150" ht="15.75" customHeight="1">
      <c r="A97" s="7" t="s">
        <v>493</v>
      </c>
      <c r="B97" s="7" t="s">
        <v>494</v>
      </c>
      <c r="C97" s="32" t="s">
        <v>966</v>
      </c>
      <c r="D97" s="42">
        <v>31076452</v>
      </c>
      <c r="E97" s="42">
        <v>0</v>
      </c>
      <c r="F97" s="42">
        <v>64215038</v>
      </c>
      <c r="G97" s="42">
        <v>320676611</v>
      </c>
      <c r="H97" s="42">
        <v>324849332</v>
      </c>
      <c r="I97" s="42">
        <v>1364826</v>
      </c>
      <c r="J97" s="42">
        <v>132002</v>
      </c>
      <c r="K97" s="42">
        <v>646700</v>
      </c>
      <c r="L97" s="42">
        <v>1694206</v>
      </c>
      <c r="M97" s="42">
        <v>1541506</v>
      </c>
      <c r="N97" s="42">
        <v>6728</v>
      </c>
      <c r="O97" s="42">
        <v>5148095</v>
      </c>
      <c r="P97" s="42">
        <v>353894</v>
      </c>
      <c r="Q97" s="42">
        <v>112963</v>
      </c>
      <c r="R97" s="42">
        <v>2209</v>
      </c>
      <c r="S97" s="42">
        <v>748568</v>
      </c>
      <c r="T97" s="42">
        <v>15024469</v>
      </c>
      <c r="U97" s="42">
        <v>654399</v>
      </c>
      <c r="V97" s="42">
        <v>6056</v>
      </c>
      <c r="W97" s="42">
        <v>2001876</v>
      </c>
      <c r="X97" s="42">
        <f>IFERROR(VLOOKUP(A97,'Trans 21-23'!$A$2:$J$229,8,0),0)</f>
        <v>2704234</v>
      </c>
      <c r="Y97" s="42">
        <v>584623</v>
      </c>
      <c r="Z97" s="42">
        <v>251189</v>
      </c>
      <c r="AA97" s="42">
        <v>22334063</v>
      </c>
      <c r="AB97" s="42">
        <v>34623264</v>
      </c>
      <c r="AC97" s="42">
        <v>180390</v>
      </c>
      <c r="AD97" s="42">
        <v>78982404</v>
      </c>
      <c r="AE97" s="42">
        <v>0</v>
      </c>
      <c r="AF97" s="42">
        <v>584850852</v>
      </c>
      <c r="AG97" s="42">
        <v>340302</v>
      </c>
      <c r="AH97" s="42">
        <v>486803</v>
      </c>
      <c r="AI97" s="42">
        <v>9571809</v>
      </c>
      <c r="AJ97" s="42">
        <v>20074</v>
      </c>
      <c r="AK97" s="42">
        <v>0</v>
      </c>
      <c r="AL97" s="42">
        <v>3807533</v>
      </c>
      <c r="AM97" s="42">
        <v>3416234</v>
      </c>
      <c r="AN97" s="42">
        <v>1422317</v>
      </c>
      <c r="AO97" s="42">
        <v>20623</v>
      </c>
      <c r="AP97" s="42">
        <v>0</v>
      </c>
      <c r="AQ97" s="42">
        <v>8666707</v>
      </c>
      <c r="AR97" s="42">
        <v>398225</v>
      </c>
      <c r="AS97" s="42">
        <v>9064932</v>
      </c>
      <c r="AT97" s="42">
        <v>0</v>
      </c>
      <c r="AU97" s="42">
        <v>1923</v>
      </c>
      <c r="AV97" s="42">
        <v>0</v>
      </c>
      <c r="AW97" s="42">
        <v>239595651</v>
      </c>
      <c r="AX97" s="42">
        <v>190049824</v>
      </c>
      <c r="AY97" s="42">
        <v>295999704</v>
      </c>
      <c r="AZ97" s="42">
        <v>85624657</v>
      </c>
      <c r="BA97" s="42">
        <v>58750239</v>
      </c>
      <c r="BB97" s="42">
        <v>1976190983</v>
      </c>
      <c r="BC97" s="42">
        <v>4510050101</v>
      </c>
      <c r="BD97" s="42">
        <v>187445914</v>
      </c>
      <c r="BE97" s="42">
        <v>638171944</v>
      </c>
      <c r="BF97" s="42">
        <v>54562883</v>
      </c>
      <c r="BG97" s="42">
        <v>0</v>
      </c>
      <c r="BH97" s="42">
        <v>8261775</v>
      </c>
      <c r="BI97" s="42">
        <v>5362695</v>
      </c>
      <c r="BJ97" s="42">
        <v>1342992</v>
      </c>
      <c r="BK97" s="42">
        <v>127280</v>
      </c>
      <c r="BL97" s="42">
        <v>0</v>
      </c>
      <c r="BM97" s="42">
        <v>13360580</v>
      </c>
      <c r="BN97" s="42">
        <v>44041327</v>
      </c>
      <c r="BO97" s="42">
        <v>2982683</v>
      </c>
      <c r="BP97" s="42">
        <v>447190</v>
      </c>
      <c r="BQ97" s="42">
        <v>67252577</v>
      </c>
      <c r="BR97" s="42">
        <v>0</v>
      </c>
      <c r="BS97" s="42">
        <f>IFERROR(VLOOKUP(A97,'Trans 21-23'!$A$2:$J$229,7,0),0)</f>
        <v>244905164</v>
      </c>
      <c r="BT97" s="63"/>
      <c r="BU97" s="32">
        <f t="shared" si="0"/>
        <v>1976190983</v>
      </c>
      <c r="BV97" s="32">
        <f t="shared" si="1"/>
        <v>1923</v>
      </c>
      <c r="BW97" s="32">
        <f t="shared" si="2"/>
        <v>340302</v>
      </c>
      <c r="BX97" s="32">
        <f t="shared" si="3"/>
        <v>29438497</v>
      </c>
      <c r="BY97" s="32">
        <f t="shared" si="4"/>
        <v>57973529</v>
      </c>
      <c r="BZ97" s="32">
        <f t="shared" si="5"/>
        <v>85624657</v>
      </c>
      <c r="CA97" s="32">
        <f t="shared" si="6"/>
        <v>78982404</v>
      </c>
      <c r="CB97" s="32">
        <f t="shared" si="7"/>
        <v>486803</v>
      </c>
      <c r="CC97" s="32">
        <f t="shared" si="8"/>
        <v>8666707</v>
      </c>
      <c r="CD97" s="41">
        <f t="shared" si="67"/>
        <v>1</v>
      </c>
      <c r="CE97" s="44">
        <f t="shared" si="10"/>
        <v>9</v>
      </c>
      <c r="CF97" s="27"/>
      <c r="CG97" s="28">
        <f t="shared" si="11"/>
        <v>1027.6604175767029</v>
      </c>
      <c r="CH97" s="28">
        <f t="shared" si="12"/>
        <v>5.6508630569317839</v>
      </c>
      <c r="CI97" s="28">
        <f t="shared" si="13"/>
        <v>86.506976156472774</v>
      </c>
      <c r="CJ97" s="28">
        <f t="shared" si="14"/>
        <v>251.61373427132369</v>
      </c>
      <c r="CK97" s="23">
        <f t="shared" si="15"/>
        <v>5.6169315519723928E-2</v>
      </c>
      <c r="CL97" s="29" t="str">
        <f t="shared" si="16"/>
        <v/>
      </c>
      <c r="CM97" s="29" t="str">
        <f t="shared" si="17"/>
        <v/>
      </c>
      <c r="CN97" s="29" t="str">
        <f t="shared" si="18"/>
        <v/>
      </c>
      <c r="CO97" s="29" t="str">
        <f t="shared" si="19"/>
        <v/>
      </c>
      <c r="CP97" s="29" t="str">
        <f t="shared" si="20"/>
        <v/>
      </c>
      <c r="CQ97" s="29">
        <f t="shared" si="21"/>
        <v>0</v>
      </c>
      <c r="CR97" s="30"/>
      <c r="CS97" s="7">
        <f>VLOOKUP(A97,'Empresas 21-23'!$A$2:$M$228,13,0)</f>
        <v>1</v>
      </c>
      <c r="CT97" s="30"/>
      <c r="CU97" s="6">
        <f t="shared" si="22"/>
        <v>1785091534.2</v>
      </c>
      <c r="CV97" s="6">
        <f t="shared" si="23"/>
        <v>85624657</v>
      </c>
      <c r="CW97" s="6">
        <f t="shared" si="24"/>
        <v>187445914</v>
      </c>
      <c r="CX97" s="23">
        <f t="shared" si="65"/>
        <v>0.4129666878981349</v>
      </c>
      <c r="CY97" s="23">
        <f t="shared" si="66"/>
        <v>1.9808581423557483E-2</v>
      </c>
      <c r="CZ97" s="6">
        <f t="shared" si="27"/>
        <v>1862500452.4646187</v>
      </c>
      <c r="DA97" s="6">
        <f t="shared" si="28"/>
        <v>89337694.649982154</v>
      </c>
      <c r="DB97" s="6">
        <f t="shared" si="29"/>
        <v>29438497</v>
      </c>
      <c r="DC97" s="6">
        <f t="shared" si="30"/>
        <v>32142731</v>
      </c>
      <c r="DD97" s="6">
        <f t="shared" si="31"/>
        <v>57973529</v>
      </c>
      <c r="DE97" s="6">
        <f t="shared" si="32"/>
        <v>78982404</v>
      </c>
      <c r="DF97" s="6">
        <f t="shared" si="33"/>
        <v>83025731.451948062</v>
      </c>
      <c r="DG97" s="30"/>
      <c r="DH97" s="32">
        <f>VLOOKUP(A97,'T_med_comp-USA'!$A$7:$Q$233,17,0)</f>
        <v>11.599306014310216</v>
      </c>
      <c r="DI97" s="6" t="str">
        <f t="shared" si="34"/>
        <v>5_2011</v>
      </c>
      <c r="DJ97" s="32">
        <f>IF(DI97="","",VLOOKUP(DI97,'CPI USA'!$T:$U,2,FALSE))</f>
        <v>224.93899999999999</v>
      </c>
      <c r="DK97" s="32">
        <f>IF(DI97="","",VLOOKUP(DI97,'PPI USA'!$S:$T,2,FALSE))</f>
        <v>169.6</v>
      </c>
      <c r="DL97" s="32">
        <f>IF(DI97="","",VLOOKUP(DI97,'CPI USA'!$T:$V,3,FALSE))</f>
        <v>0.6684022975047168</v>
      </c>
      <c r="DM97" s="32">
        <f>IF(DI97="","",VLOOKUP(DI97,'CPI USA'!$T:$X,5,FALSE))</f>
        <v>0.49636791791307899</v>
      </c>
      <c r="DN97" s="32">
        <f t="shared" si="35"/>
        <v>1.4208751760332547</v>
      </c>
      <c r="DO97" s="32">
        <f t="shared" si="36"/>
        <v>1.4334111417560953</v>
      </c>
      <c r="DP97" s="32">
        <f t="shared" si="37"/>
        <v>0.29965187198916882</v>
      </c>
      <c r="DQ97" s="32">
        <f>IF(DP97="","",DP97*$DO$1/'CPI USA'!$U$520+(1-DP97)*AVERAGE($DO$1,$DQ$1)/AVERAGE('CPI USA'!$U$520,'PPI USA'!$T$526))</f>
        <v>1.0821108632510303</v>
      </c>
      <c r="DR97" s="6">
        <f t="shared" si="38"/>
        <v>6832967</v>
      </c>
      <c r="DS97" s="32">
        <f t="shared" si="39"/>
        <v>0.2</v>
      </c>
      <c r="DT97" s="28">
        <f>IF(DS97="","",DS97*$DO$1/'CPI USA'!$U$520+(1-DS97)*AVERAGE($DO$1,$DQ$1)/AVERAGE('CPI USA'!$U$520,'PPI USA'!$T$526))</f>
        <v>1.0854630593748538</v>
      </c>
      <c r="DU97" s="6">
        <f t="shared" si="40"/>
        <v>14265420.465777518</v>
      </c>
      <c r="DV97" s="6">
        <f t="shared" si="57"/>
        <v>89434.670443567666</v>
      </c>
      <c r="DW97" s="6">
        <f t="shared" si="41"/>
        <v>4919988.7807338806</v>
      </c>
      <c r="DX97" s="16">
        <f t="shared" si="42"/>
        <v>0.2</v>
      </c>
      <c r="DY97" s="28">
        <f>IF(DX97="","",DX97*$DO$1/'CPI USA'!$U$520+(1-DX97)*AVERAGE($DO$1,$DQ$1)/AVERAGE('CPI USA'!$U$520,'PPI USA'!$T$526))</f>
        <v>1.0854630593748538</v>
      </c>
      <c r="DZ97" s="30"/>
      <c r="EA97" s="29" t="str">
        <f t="shared" si="43"/>
        <v>C001182</v>
      </c>
      <c r="EB97" s="29">
        <f t="shared" si="44"/>
        <v>2646380658.2576818</v>
      </c>
      <c r="EC97" s="29">
        <f t="shared" si="45"/>
        <v>128057646.89008832</v>
      </c>
      <c r="ED97" s="29">
        <f t="shared" si="46"/>
        <v>34781998.389655657</v>
      </c>
      <c r="EE97" s="29">
        <f t="shared" si="47"/>
        <v>62928124.151096806</v>
      </c>
      <c r="EF97" s="29">
        <f t="shared" si="48"/>
        <v>90121364.468666568</v>
      </c>
      <c r="EG97" s="29">
        <f t="shared" si="49"/>
        <v>1923</v>
      </c>
      <c r="EH97" s="29">
        <f t="shared" si="50"/>
        <v>340302</v>
      </c>
      <c r="EI97" s="29">
        <f t="shared" si="51"/>
        <v>486803</v>
      </c>
      <c r="EJ97" s="29">
        <f t="shared" si="52"/>
        <v>8666707</v>
      </c>
      <c r="EK97" s="29">
        <f t="shared" si="53"/>
        <v>9147445.6598984767</v>
      </c>
      <c r="EL97" s="29">
        <f>IF(CD97=1,VLOOKUP(EA97,'EIA 2022'!$A$2:$J$213,4,0)*EH97,"")</f>
        <v>42323359.740000002</v>
      </c>
      <c r="EM97" s="29">
        <f>IF(CD97=1,VLOOKUP(EA97,'EIA 2022'!$A$2:$J$213,7,0)*EH97,"")</f>
        <v>471318.27</v>
      </c>
      <c r="EN97" s="29">
        <f>IF(CD97=1,VLOOKUP(EA97,'EIA 2022'!$A$2:$J$213,10,0),"")</f>
        <v>340139</v>
      </c>
      <c r="EO97" s="28">
        <f>IF(CD97=1,VLOOKUP(EA97,'EIA 2022'!$A$2:$Z$213,26,0),"")</f>
        <v>0</v>
      </c>
      <c r="EP97" s="23">
        <f t="shared" si="54"/>
        <v>5.2554415491746428E-2</v>
      </c>
      <c r="EQ97" s="32">
        <f t="shared" si="55"/>
        <v>6064.3401015228592</v>
      </c>
      <c r="ER97" s="32">
        <f t="shared" si="56"/>
        <v>480738.65989847714</v>
      </c>
      <c r="ES97" s="32"/>
      <c r="ET97" s="32"/>
    </row>
    <row r="98" spans="1:150" ht="15.75" customHeight="1">
      <c r="A98" s="7" t="s">
        <v>496</v>
      </c>
      <c r="B98" s="7" t="s">
        <v>497</v>
      </c>
      <c r="C98" s="32" t="s">
        <v>967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  <c r="M98" s="42">
        <v>0</v>
      </c>
      <c r="N98" s="42">
        <v>0</v>
      </c>
      <c r="O98" s="42">
        <v>0</v>
      </c>
      <c r="P98" s="42">
        <v>0</v>
      </c>
      <c r="Q98" s="42">
        <v>0</v>
      </c>
      <c r="R98" s="42">
        <v>0</v>
      </c>
      <c r="S98" s="42">
        <v>0</v>
      </c>
      <c r="T98" s="42">
        <v>0</v>
      </c>
      <c r="U98" s="42">
        <v>0</v>
      </c>
      <c r="V98" s="42">
        <v>0</v>
      </c>
      <c r="W98" s="42">
        <v>0</v>
      </c>
      <c r="X98" s="42">
        <f>IFERROR(VLOOKUP(A98,'Trans 21-23'!$A$2:$J$229,8,0),0)</f>
        <v>0</v>
      </c>
      <c r="Y98" s="42">
        <v>0</v>
      </c>
      <c r="Z98" s="42">
        <v>0</v>
      </c>
      <c r="AA98" s="42">
        <v>9401762</v>
      </c>
      <c r="AB98" s="42">
        <v>7598547</v>
      </c>
      <c r="AC98" s="42">
        <v>0</v>
      </c>
      <c r="AD98" s="42">
        <v>86908970</v>
      </c>
      <c r="AE98" s="42">
        <v>0</v>
      </c>
      <c r="AF98" s="42">
        <v>209153120</v>
      </c>
      <c r="AG98" s="42">
        <v>0</v>
      </c>
      <c r="AH98" s="42">
        <v>0</v>
      </c>
      <c r="AI98" s="42">
        <v>0</v>
      </c>
      <c r="AJ98" s="42">
        <v>0</v>
      </c>
      <c r="AK98" s="42">
        <v>0</v>
      </c>
      <c r="AL98" s="42">
        <v>0</v>
      </c>
      <c r="AM98" s="42">
        <v>0</v>
      </c>
      <c r="AN98" s="42">
        <v>0</v>
      </c>
      <c r="AO98" s="42">
        <v>0</v>
      </c>
      <c r="AP98" s="42">
        <v>0</v>
      </c>
      <c r="AQ98" s="42">
        <v>0</v>
      </c>
      <c r="AR98" s="42">
        <v>0</v>
      </c>
      <c r="AS98" s="42">
        <v>0</v>
      </c>
      <c r="AT98" s="42">
        <v>0</v>
      </c>
      <c r="AU98" s="42">
        <v>47344</v>
      </c>
      <c r="AV98" s="42">
        <v>0</v>
      </c>
      <c r="AW98" s="42">
        <v>0</v>
      </c>
      <c r="AX98" s="42">
        <v>0</v>
      </c>
      <c r="AY98" s="42">
        <v>0</v>
      </c>
      <c r="AZ98" s="42">
        <v>0</v>
      </c>
      <c r="BA98" s="42">
        <v>0</v>
      </c>
      <c r="BB98" s="42">
        <v>0</v>
      </c>
      <c r="BC98" s="42">
        <v>714370267</v>
      </c>
      <c r="BD98" s="42">
        <v>0</v>
      </c>
      <c r="BE98" s="42">
        <v>0</v>
      </c>
      <c r="BF98" s="42">
        <v>0</v>
      </c>
      <c r="BG98" s="42">
        <v>0</v>
      </c>
      <c r="BH98" s="42">
        <v>0</v>
      </c>
      <c r="BI98" s="42">
        <v>8516959</v>
      </c>
      <c r="BJ98" s="42">
        <v>6863880</v>
      </c>
      <c r="BK98" s="42">
        <v>0</v>
      </c>
      <c r="BL98" s="42">
        <v>0</v>
      </c>
      <c r="BM98" s="42">
        <v>46465483</v>
      </c>
      <c r="BN98" s="42">
        <v>150499004</v>
      </c>
      <c r="BO98" s="42">
        <v>0</v>
      </c>
      <c r="BP98" s="42">
        <v>0</v>
      </c>
      <c r="BQ98" s="42">
        <v>150499004</v>
      </c>
      <c r="BR98" s="42">
        <v>0</v>
      </c>
      <c r="BS98" s="42">
        <f>IFERROR(VLOOKUP(A98,'Trans 21-23'!$A$2:$J$229,7,0),0)</f>
        <v>0</v>
      </c>
      <c r="BT98" s="63"/>
      <c r="BU98" s="32">
        <f t="shared" si="0"/>
        <v>0</v>
      </c>
      <c r="BV98" s="32">
        <f t="shared" si="1"/>
        <v>47344</v>
      </c>
      <c r="BW98" s="32">
        <f t="shared" si="2"/>
        <v>0</v>
      </c>
      <c r="BX98" s="32">
        <f t="shared" si="3"/>
        <v>0</v>
      </c>
      <c r="BY98" s="32">
        <f t="shared" si="4"/>
        <v>17000309</v>
      </c>
      <c r="BZ98" s="32">
        <f t="shared" si="5"/>
        <v>0</v>
      </c>
      <c r="CA98" s="32">
        <f t="shared" si="6"/>
        <v>86908970</v>
      </c>
      <c r="CB98" s="32">
        <f t="shared" si="7"/>
        <v>0</v>
      </c>
      <c r="CC98" s="32">
        <f t="shared" si="8"/>
        <v>0</v>
      </c>
      <c r="CD98" s="41">
        <f t="shared" si="67"/>
        <v>0</v>
      </c>
      <c r="CE98" s="44">
        <f t="shared" si="10"/>
        <v>57</v>
      </c>
      <c r="CF98" s="27"/>
      <c r="CG98" s="28" t="str">
        <f t="shared" si="11"/>
        <v/>
      </c>
      <c r="CH98" s="28" t="str">
        <f t="shared" si="12"/>
        <v/>
      </c>
      <c r="CI98" s="28" t="str">
        <f t="shared" si="13"/>
        <v/>
      </c>
      <c r="CJ98" s="28" t="str">
        <f t="shared" si="14"/>
        <v/>
      </c>
      <c r="CK98" s="23" t="str">
        <f t="shared" si="15"/>
        <v/>
      </c>
      <c r="CL98" s="29" t="str">
        <f t="shared" si="16"/>
        <v/>
      </c>
      <c r="CM98" s="29" t="str">
        <f t="shared" si="17"/>
        <v/>
      </c>
      <c r="CN98" s="29" t="str">
        <f t="shared" si="18"/>
        <v/>
      </c>
      <c r="CO98" s="29" t="str">
        <f t="shared" si="19"/>
        <v/>
      </c>
      <c r="CP98" s="29" t="str">
        <f t="shared" si="20"/>
        <v/>
      </c>
      <c r="CQ98" s="29" t="str">
        <f t="shared" si="21"/>
        <v/>
      </c>
      <c r="CR98" s="30"/>
      <c r="CS98" s="7" t="str">
        <f>VLOOKUP(A98,'Empresas 21-23'!$A$2:$M$228,13,0)</f>
        <v/>
      </c>
      <c r="CT98" s="30"/>
      <c r="CU98" s="6">
        <f t="shared" si="22"/>
        <v>0</v>
      </c>
      <c r="CV98" s="6">
        <f t="shared" si="23"/>
        <v>0</v>
      </c>
      <c r="CW98" s="6">
        <f t="shared" si="24"/>
        <v>0</v>
      </c>
      <c r="CX98" s="23">
        <f t="shared" si="65"/>
        <v>0</v>
      </c>
      <c r="CY98" s="23">
        <f t="shared" si="66"/>
        <v>0</v>
      </c>
      <c r="CZ98" s="6">
        <f t="shared" si="27"/>
        <v>0</v>
      </c>
      <c r="DA98" s="6">
        <f t="shared" si="28"/>
        <v>0</v>
      </c>
      <c r="DB98" s="6">
        <f t="shared" si="29"/>
        <v>0</v>
      </c>
      <c r="DC98" s="6">
        <f t="shared" si="30"/>
        <v>0</v>
      </c>
      <c r="DD98" s="6">
        <f t="shared" si="31"/>
        <v>17000309</v>
      </c>
      <c r="DE98" s="6">
        <f t="shared" si="32"/>
        <v>86908970</v>
      </c>
      <c r="DF98" s="6">
        <f t="shared" si="33"/>
        <v>12086298.975220736</v>
      </c>
      <c r="DG98" s="30"/>
      <c r="DH98" s="32" t="str">
        <f>VLOOKUP(A98,'T_med_comp-USA'!$A$7:$Q$233,17,0)</f>
        <v>-</v>
      </c>
      <c r="DI98" s="6" t="str">
        <f t="shared" si="34"/>
        <v/>
      </c>
      <c r="DJ98" s="32" t="str">
        <f>IF(DI98="","",VLOOKUP(DI98,'CPI USA'!$T:$U,2,FALSE))</f>
        <v/>
      </c>
      <c r="DK98" s="32" t="str">
        <f>IF(DI98="","",VLOOKUP(DI98,'PPI USA'!$S:$T,2,FALSE))</f>
        <v/>
      </c>
      <c r="DL98" s="32" t="str">
        <f>IF(DI98="","",VLOOKUP(DI98,'CPI USA'!$T:$V,3,FALSE))</f>
        <v/>
      </c>
      <c r="DM98" s="32" t="str">
        <f>IF(DI98="","",VLOOKUP(DI98,'CPI USA'!$T:$X,5,FALSE))</f>
        <v/>
      </c>
      <c r="DN98" s="32" t="str">
        <f t="shared" si="35"/>
        <v/>
      </c>
      <c r="DO98" s="32" t="str">
        <f t="shared" si="36"/>
        <v/>
      </c>
      <c r="DP98" s="32" t="str">
        <f t="shared" si="37"/>
        <v/>
      </c>
      <c r="DQ98" s="32" t="str">
        <f>IF(DP98="","",DP98*$DO$1/'CPI USA'!$U$520+(1-DP98)*AVERAGE($DO$1,$DQ$1)/AVERAGE('CPI USA'!$U$520,'PPI USA'!$T$526))</f>
        <v/>
      </c>
      <c r="DR98" s="6">
        <f t="shared" si="38"/>
        <v>15380839</v>
      </c>
      <c r="DS98" s="32">
        <f t="shared" si="39"/>
        <v>0.8</v>
      </c>
      <c r="DT98" s="28">
        <f>IF(DS98="","",DS98*$DO$1/'CPI USA'!$U$520+(1-DS98)*AVERAGE($DO$1,$DQ$1)/AVERAGE('CPI USA'!$U$520,'PPI USA'!$T$526))</f>
        <v>1.0652796184204005</v>
      </c>
      <c r="DU98" s="6" t="str">
        <f t="shared" si="40"/>
        <v/>
      </c>
      <c r="DV98" s="6">
        <f t="shared" si="57"/>
        <v>0</v>
      </c>
      <c r="DW98" s="6">
        <f t="shared" si="41"/>
        <v>0</v>
      </c>
      <c r="DX98" s="16" t="str">
        <f t="shared" si="42"/>
        <v/>
      </c>
      <c r="DY98" s="28" t="str">
        <f>IF(DX98="","",DX98*$DO$1/'CPI USA'!$U$520+(1-DX98)*AVERAGE($DO$1,$DQ$1)/AVERAGE('CPI USA'!$U$520,'PPI USA'!$T$526))</f>
        <v/>
      </c>
      <c r="DZ98" s="30"/>
      <c r="EA98" s="29" t="str">
        <f t="shared" si="43"/>
        <v>C001183</v>
      </c>
      <c r="EB98" s="29" t="str">
        <f t="shared" si="44"/>
        <v/>
      </c>
      <c r="EC98" s="29" t="str">
        <f t="shared" si="45"/>
        <v/>
      </c>
      <c r="ED98" s="29" t="str">
        <f t="shared" si="46"/>
        <v/>
      </c>
      <c r="EE98" s="29" t="str">
        <f t="shared" si="47"/>
        <v/>
      </c>
      <c r="EF98" s="29" t="str">
        <f t="shared" si="48"/>
        <v/>
      </c>
      <c r="EG98" s="29" t="str">
        <f t="shared" si="49"/>
        <v/>
      </c>
      <c r="EH98" s="29" t="str">
        <f t="shared" si="50"/>
        <v/>
      </c>
      <c r="EI98" s="29" t="str">
        <f t="shared" si="51"/>
        <v/>
      </c>
      <c r="EJ98" s="29" t="str">
        <f t="shared" si="52"/>
        <v/>
      </c>
      <c r="EK98" s="29" t="str">
        <f t="shared" si="53"/>
        <v/>
      </c>
      <c r="EL98" s="29" t="str">
        <f>IF(CD98=1,VLOOKUP(EA98,'EIA 2022'!$A$2:$J$213,4,0)*EH98,"")</f>
        <v/>
      </c>
      <c r="EM98" s="29" t="str">
        <f>IF(CD98=1,VLOOKUP(EA98,'EIA 2022'!$A$2:$J$213,7,0)*EH98,"")</f>
        <v/>
      </c>
      <c r="EN98" s="29" t="str">
        <f>IF(CD98=1,VLOOKUP(EA98,'EIA 2022'!$A$2:$J$213,10,0),"")</f>
        <v/>
      </c>
      <c r="EO98" s="28" t="str">
        <f>IF(CD98=1,VLOOKUP(EA98,'EIA 2022'!$A$2:$Z$213,26,0),"")</f>
        <v/>
      </c>
      <c r="EP98" s="23" t="str">
        <f t="shared" si="54"/>
        <v/>
      </c>
      <c r="EQ98" s="32" t="str">
        <f t="shared" si="55"/>
        <v/>
      </c>
      <c r="ER98" s="32" t="str">
        <f t="shared" si="56"/>
        <v/>
      </c>
      <c r="ES98" s="32"/>
      <c r="ET98" s="32"/>
    </row>
    <row r="99" spans="1:150" ht="15.75" customHeight="1">
      <c r="A99" s="7" t="s">
        <v>499</v>
      </c>
      <c r="B99" s="7" t="s">
        <v>500</v>
      </c>
      <c r="C99" s="32" t="s">
        <v>968</v>
      </c>
      <c r="D99" s="42">
        <v>192936158</v>
      </c>
      <c r="E99" s="42">
        <v>0</v>
      </c>
      <c r="F99" s="42">
        <v>307392841</v>
      </c>
      <c r="G99" s="42">
        <v>198080383</v>
      </c>
      <c r="H99" s="42">
        <v>211582119</v>
      </c>
      <c r="I99" s="42">
        <v>685195</v>
      </c>
      <c r="J99" s="42">
        <v>317054</v>
      </c>
      <c r="K99" s="42">
        <v>1668834</v>
      </c>
      <c r="L99" s="42">
        <v>1126981</v>
      </c>
      <c r="M99" s="42">
        <v>287386</v>
      </c>
      <c r="N99" s="42">
        <v>102643</v>
      </c>
      <c r="O99" s="42">
        <v>11457074</v>
      </c>
      <c r="P99" s="42">
        <v>5644415</v>
      </c>
      <c r="Q99" s="42">
        <v>750935</v>
      </c>
      <c r="R99" s="42">
        <v>0</v>
      </c>
      <c r="S99" s="42">
        <v>4305873</v>
      </c>
      <c r="T99" s="42">
        <v>3268252</v>
      </c>
      <c r="U99" s="42">
        <v>1497881</v>
      </c>
      <c r="V99" s="42">
        <v>222626</v>
      </c>
      <c r="W99" s="42">
        <v>705059</v>
      </c>
      <c r="X99" s="42">
        <f>IFERROR(VLOOKUP(A99,'Trans 21-23'!$A$2:$J$229,8,0),0)</f>
        <v>0</v>
      </c>
      <c r="Y99" s="42">
        <v>2075699</v>
      </c>
      <c r="Z99" s="42">
        <v>366430</v>
      </c>
      <c r="AA99" s="42">
        <v>25861553</v>
      </c>
      <c r="AB99" s="42">
        <v>19442640</v>
      </c>
      <c r="AC99" s="42">
        <v>0</v>
      </c>
      <c r="AD99" s="42">
        <v>128814385</v>
      </c>
      <c r="AE99" s="42">
        <v>0</v>
      </c>
      <c r="AF99" s="42">
        <v>1166519361</v>
      </c>
      <c r="AG99" s="42">
        <v>442784</v>
      </c>
      <c r="AH99" s="42">
        <v>879638</v>
      </c>
      <c r="AI99" s="42">
        <v>15606068</v>
      </c>
      <c r="AJ99" s="42">
        <v>20565</v>
      </c>
      <c r="AK99" s="42">
        <v>0</v>
      </c>
      <c r="AL99" s="42">
        <v>3878043</v>
      </c>
      <c r="AM99" s="42">
        <v>1916654</v>
      </c>
      <c r="AN99" s="42">
        <v>2999606</v>
      </c>
      <c r="AO99" s="42">
        <v>15434</v>
      </c>
      <c r="AP99" s="42">
        <v>0</v>
      </c>
      <c r="AQ99" s="42">
        <v>8809737</v>
      </c>
      <c r="AR99" s="42">
        <v>5896128</v>
      </c>
      <c r="AS99" s="42">
        <v>14705865</v>
      </c>
      <c r="AT99" s="42">
        <v>0</v>
      </c>
      <c r="AU99" s="42">
        <v>2457</v>
      </c>
      <c r="AV99" s="42">
        <v>0</v>
      </c>
      <c r="AW99" s="42">
        <v>255067879</v>
      </c>
      <c r="AX99" s="42">
        <v>96408872</v>
      </c>
      <c r="AY99" s="42">
        <v>407627139</v>
      </c>
      <c r="AZ99" s="42">
        <v>86238037</v>
      </c>
      <c r="BA99" s="42">
        <v>21325878</v>
      </c>
      <c r="BB99" s="42">
        <v>2149430463</v>
      </c>
      <c r="BC99" s="42">
        <v>8018809683</v>
      </c>
      <c r="BD99" s="42">
        <v>653734993</v>
      </c>
      <c r="BE99" s="42">
        <v>569666706</v>
      </c>
      <c r="BF99" s="42">
        <v>41333044</v>
      </c>
      <c r="BG99" s="42">
        <v>0</v>
      </c>
      <c r="BH99" s="42">
        <v>13128577</v>
      </c>
      <c r="BI99" s="42">
        <v>8508935</v>
      </c>
      <c r="BJ99" s="42">
        <v>144</v>
      </c>
      <c r="BK99" s="42">
        <v>0</v>
      </c>
      <c r="BL99" s="42">
        <v>0</v>
      </c>
      <c r="BM99" s="42">
        <v>34306565</v>
      </c>
      <c r="BN99" s="42">
        <v>107129443</v>
      </c>
      <c r="BO99" s="42">
        <v>23707989</v>
      </c>
      <c r="BP99" s="42">
        <v>42248729</v>
      </c>
      <c r="BQ99" s="42">
        <v>199651429</v>
      </c>
      <c r="BR99" s="42">
        <v>0</v>
      </c>
      <c r="BS99" s="42">
        <f>IFERROR(VLOOKUP(A99,'Trans 21-23'!$A$2:$J$229,7,0),0)</f>
        <v>0</v>
      </c>
      <c r="BT99" s="63"/>
      <c r="BU99" s="32">
        <f t="shared" si="0"/>
        <v>2149430463</v>
      </c>
      <c r="BV99" s="32">
        <f t="shared" si="1"/>
        <v>2457</v>
      </c>
      <c r="BW99" s="32">
        <f t="shared" si="2"/>
        <v>442784</v>
      </c>
      <c r="BX99" s="32">
        <f t="shared" si="3"/>
        <v>32040208</v>
      </c>
      <c r="BY99" s="32">
        <f t="shared" si="4"/>
        <v>47746322</v>
      </c>
      <c r="BZ99" s="32">
        <f t="shared" si="5"/>
        <v>86238037</v>
      </c>
      <c r="CA99" s="32">
        <f t="shared" si="6"/>
        <v>128814385</v>
      </c>
      <c r="CB99" s="32">
        <f t="shared" si="7"/>
        <v>879638</v>
      </c>
      <c r="CC99" s="32">
        <f t="shared" si="8"/>
        <v>8809737</v>
      </c>
      <c r="CD99" s="41">
        <f t="shared" si="67"/>
        <v>1</v>
      </c>
      <c r="CE99" s="44">
        <f t="shared" si="10"/>
        <v>14</v>
      </c>
      <c r="CF99" s="27"/>
      <c r="CG99" s="28">
        <f t="shared" si="11"/>
        <v>874.81907326007331</v>
      </c>
      <c r="CH99" s="28">
        <f t="shared" si="12"/>
        <v>5.5489809929898097</v>
      </c>
      <c r="CI99" s="28">
        <f t="shared" si="13"/>
        <v>72.360807978608079</v>
      </c>
      <c r="CJ99" s="28">
        <f t="shared" si="14"/>
        <v>194.76321863481968</v>
      </c>
      <c r="CK99" s="23">
        <f t="shared" si="15"/>
        <v>9.9848383669115207E-2</v>
      </c>
      <c r="CL99" s="29" t="str">
        <f t="shared" si="16"/>
        <v/>
      </c>
      <c r="CM99" s="29" t="str">
        <f t="shared" si="17"/>
        <v/>
      </c>
      <c r="CN99" s="29" t="str">
        <f t="shared" si="18"/>
        <v/>
      </c>
      <c r="CO99" s="29" t="str">
        <f t="shared" si="19"/>
        <v/>
      </c>
      <c r="CP99" s="29" t="str">
        <f t="shared" si="20"/>
        <v/>
      </c>
      <c r="CQ99" s="29">
        <f t="shared" si="21"/>
        <v>0</v>
      </c>
      <c r="CR99" s="30"/>
      <c r="CS99" s="7" t="str">
        <f>VLOOKUP(A99,'Empresas 21-23'!$A$2:$M$228,13,0)</f>
        <v/>
      </c>
      <c r="CT99" s="30"/>
      <c r="CU99" s="6">
        <f t="shared" si="22"/>
        <v>1739444941.4000001</v>
      </c>
      <c r="CV99" s="6">
        <f t="shared" si="23"/>
        <v>86238037</v>
      </c>
      <c r="CW99" s="6">
        <f t="shared" si="24"/>
        <v>653734993</v>
      </c>
      <c r="CX99" s="23">
        <f t="shared" si="65"/>
        <v>0.23617478635508585</v>
      </c>
      <c r="CY99" s="23">
        <f t="shared" si="66"/>
        <v>1.1709051249282036E-2</v>
      </c>
      <c r="CZ99" s="6">
        <f t="shared" si="27"/>
        <v>1893840663.7046187</v>
      </c>
      <c r="DA99" s="6">
        <f t="shared" si="28"/>
        <v>93892653.53648603</v>
      </c>
      <c r="DB99" s="6">
        <f t="shared" si="29"/>
        <v>32040208</v>
      </c>
      <c r="DC99" s="6">
        <f t="shared" si="30"/>
        <v>32040208</v>
      </c>
      <c r="DD99" s="6">
        <f t="shared" si="31"/>
        <v>47746322</v>
      </c>
      <c r="DE99" s="6">
        <f t="shared" si="32"/>
        <v>128814385</v>
      </c>
      <c r="DF99" s="6">
        <f t="shared" si="33"/>
        <v>31546490.336948127</v>
      </c>
      <c r="DG99" s="30"/>
      <c r="DH99" s="32">
        <f>VLOOKUP(A99,'T_med_comp-USA'!$A$7:$Q$233,17,0)</f>
        <v>13.35452632710799</v>
      </c>
      <c r="DI99" s="6" t="str">
        <f t="shared" si="34"/>
        <v>8_2009</v>
      </c>
      <c r="DJ99" s="32">
        <f>IF(DI99="","",VLOOKUP(DI99,'CPI USA'!$T:$U,2,FALSE))</f>
        <v>214.53700000000001</v>
      </c>
      <c r="DK99" s="32">
        <f>IF(DI99="","",VLOOKUP(DI99,'PPI USA'!$S:$T,2,FALSE))</f>
        <v>159.1</v>
      </c>
      <c r="DL99" s="32">
        <f>IF(DI99="","",VLOOKUP(DI99,'CPI USA'!$T:$V,3,FALSE))</f>
        <v>0.66997101349938215</v>
      </c>
      <c r="DM99" s="32">
        <f>IF(DI99="","",VLOOKUP(DI99,'CPI USA'!$T:$X,5,FALSE))</f>
        <v>0.49813941766071862</v>
      </c>
      <c r="DN99" s="32">
        <f t="shared" si="35"/>
        <v>1.4932638886873792</v>
      </c>
      <c r="DO99" s="32">
        <f t="shared" si="36"/>
        <v>1.5082750176818205</v>
      </c>
      <c r="DP99" s="32">
        <f t="shared" si="37"/>
        <v>0.50043248476433388</v>
      </c>
      <c r="DQ99" s="32">
        <f>IF(DP99="","",DP99*$DO$1/'CPI USA'!$U$520+(1-DP99)*AVERAGE($DO$1,$DQ$1)/AVERAGE('CPI USA'!$U$520,'PPI USA'!$T$526))</f>
        <v>1.0753567905131196</v>
      </c>
      <c r="DR99" s="6">
        <f t="shared" si="38"/>
        <v>8509079</v>
      </c>
      <c r="DS99" s="32">
        <f t="shared" si="39"/>
        <v>0.21765357140356426</v>
      </c>
      <c r="DT99" s="28">
        <f>IF(DS99="","",DS99*$DO$1/'CPI USA'!$U$520+(1-DS99)*AVERAGE($DO$1,$DQ$1)/AVERAGE('CPI USA'!$U$520,'PPI USA'!$T$526))</f>
        <v>1.0848692096814219</v>
      </c>
      <c r="DU99" s="6">
        <f t="shared" si="40"/>
        <v>41898685.736105993</v>
      </c>
      <c r="DV99" s="6">
        <f t="shared" si="57"/>
        <v>9208284.0231195837</v>
      </c>
      <c r="DW99" s="6">
        <f t="shared" si="41"/>
        <v>10322419.307757681</v>
      </c>
      <c r="DX99" s="16">
        <f t="shared" si="42"/>
        <v>0.32721292281657643</v>
      </c>
      <c r="DY99" s="28">
        <f>IF(DX99="","",DX99*$DO$1/'CPI USA'!$U$520+(1-DX99)*AVERAGE($DO$1,$DQ$1)/AVERAGE('CPI USA'!$U$520,'PPI USA'!$T$526))</f>
        <v>1.0811837351810007</v>
      </c>
      <c r="DZ99" s="30"/>
      <c r="EA99" s="29" t="str">
        <f t="shared" si="43"/>
        <v>C001184</v>
      </c>
      <c r="EB99" s="29">
        <f t="shared" si="44"/>
        <v>2828003874.0378461</v>
      </c>
      <c r="EC99" s="29">
        <f t="shared" si="45"/>
        <v>141615943.6729365</v>
      </c>
      <c r="ED99" s="29">
        <f t="shared" si="46"/>
        <v>34454655.242252782</v>
      </c>
      <c r="EE99" s="29">
        <f t="shared" si="47"/>
        <v>51798514.613334686</v>
      </c>
      <c r="EF99" s="29">
        <f t="shared" si="48"/>
        <v>34107552.25435292</v>
      </c>
      <c r="EG99" s="29">
        <f t="shared" si="49"/>
        <v>2457</v>
      </c>
      <c r="EH99" s="29">
        <f t="shared" si="50"/>
        <v>442784</v>
      </c>
      <c r="EI99" s="29">
        <f t="shared" si="51"/>
        <v>879638</v>
      </c>
      <c r="EJ99" s="29">
        <f t="shared" si="52"/>
        <v>8809737</v>
      </c>
      <c r="EK99" s="29">
        <f t="shared" si="53"/>
        <v>9599586.248730965</v>
      </c>
      <c r="EL99" s="29" t="e">
        <f>IF(CD99=1,VLOOKUP(EA99,'EIA 2022'!$A$2:$J$213,4,0)*EH99,"")</f>
        <v>#VALUE!</v>
      </c>
      <c r="EM99" s="29">
        <f>IF(CD99=1,VLOOKUP(EA99,'EIA 2022'!$A$2:$J$213,7,0)*EH99,"")</f>
        <v>354227.20000000001</v>
      </c>
      <c r="EN99" s="29">
        <f>IF(CD99=1,VLOOKUP(EA99,'EIA 2022'!$A$2:$J$213,10,0),"")</f>
        <v>483319</v>
      </c>
      <c r="EO99" s="28">
        <f>IF(CD99=1,VLOOKUP(EA99,'EIA 2022'!$A$2:$Z$213,26,0),"")</f>
        <v>0</v>
      </c>
      <c r="EP99" s="23">
        <f t="shared" si="54"/>
        <v>8.2279509581507176E-2</v>
      </c>
      <c r="EQ99" s="32">
        <f t="shared" si="55"/>
        <v>89788.751269035973</v>
      </c>
      <c r="ER99" s="32">
        <f t="shared" si="56"/>
        <v>789849.24873096403</v>
      </c>
      <c r="ES99" s="32"/>
      <c r="ET99" s="32"/>
    </row>
    <row r="100" spans="1:150" ht="15.75" customHeight="1">
      <c r="A100" s="7" t="s">
        <v>502</v>
      </c>
      <c r="B100" s="7" t="s">
        <v>503</v>
      </c>
      <c r="C100" s="32" t="s">
        <v>969</v>
      </c>
      <c r="D100" s="42">
        <v>0</v>
      </c>
      <c r="E100" s="42">
        <v>0</v>
      </c>
      <c r="F100" s="42">
        <v>42445412</v>
      </c>
      <c r="G100" s="42">
        <v>80816406</v>
      </c>
      <c r="H100" s="42">
        <v>83259697</v>
      </c>
      <c r="I100" s="42">
        <v>0</v>
      </c>
      <c r="J100" s="42">
        <v>198442</v>
      </c>
      <c r="K100" s="42">
        <v>1111507</v>
      </c>
      <c r="L100" s="42">
        <v>645143</v>
      </c>
      <c r="M100" s="42">
        <v>432302</v>
      </c>
      <c r="N100" s="42">
        <v>93337</v>
      </c>
      <c r="O100" s="42">
        <v>1800362</v>
      </c>
      <c r="P100" s="42">
        <v>53752</v>
      </c>
      <c r="Q100" s="42">
        <v>0</v>
      </c>
      <c r="R100" s="42">
        <v>0</v>
      </c>
      <c r="S100" s="42">
        <v>1351551</v>
      </c>
      <c r="T100" s="42">
        <v>1314770</v>
      </c>
      <c r="U100" s="42">
        <v>140208</v>
      </c>
      <c r="V100" s="42">
        <v>20635</v>
      </c>
      <c r="W100" s="42">
        <v>10719</v>
      </c>
      <c r="X100" s="42">
        <f>IFERROR(VLOOKUP(A100,'Trans 21-23'!$A$2:$J$229,8,0),0)</f>
        <v>26619</v>
      </c>
      <c r="Y100" s="42">
        <v>666580</v>
      </c>
      <c r="Z100" s="42">
        <v>0</v>
      </c>
      <c r="AA100" s="42">
        <v>4515780</v>
      </c>
      <c r="AB100" s="42">
        <v>3608702</v>
      </c>
      <c r="AC100" s="42">
        <v>0</v>
      </c>
      <c r="AD100" s="42">
        <v>10789609</v>
      </c>
      <c r="AE100" s="42">
        <v>0</v>
      </c>
      <c r="AF100" s="42">
        <v>182340687</v>
      </c>
      <c r="AG100" s="42">
        <v>101855</v>
      </c>
      <c r="AH100" s="42">
        <v>49444</v>
      </c>
      <c r="AI100" s="42">
        <v>2122554</v>
      </c>
      <c r="AJ100" s="42">
        <v>869</v>
      </c>
      <c r="AK100" s="42">
        <v>0</v>
      </c>
      <c r="AL100" s="42">
        <v>1026987</v>
      </c>
      <c r="AM100" s="42">
        <v>712176</v>
      </c>
      <c r="AN100" s="42">
        <v>106510</v>
      </c>
      <c r="AO100" s="42">
        <v>1822</v>
      </c>
      <c r="AP100" s="42">
        <v>0</v>
      </c>
      <c r="AQ100" s="42">
        <v>1847495</v>
      </c>
      <c r="AR100" s="42">
        <v>224746</v>
      </c>
      <c r="AS100" s="42">
        <v>2072241</v>
      </c>
      <c r="AT100" s="42">
        <v>0</v>
      </c>
      <c r="AU100" s="42">
        <v>492</v>
      </c>
      <c r="AV100" s="42">
        <v>0</v>
      </c>
      <c r="AW100" s="42">
        <v>94948970</v>
      </c>
      <c r="AX100" s="42">
        <v>30560635</v>
      </c>
      <c r="AY100" s="42">
        <v>57726100</v>
      </c>
      <c r="AZ100" s="42">
        <v>18234341</v>
      </c>
      <c r="BA100" s="42">
        <v>5973287</v>
      </c>
      <c r="BB100" s="42">
        <v>556341524</v>
      </c>
      <c r="BC100" s="42">
        <v>1022278354</v>
      </c>
      <c r="BD100" s="42">
        <v>69493985</v>
      </c>
      <c r="BE100" s="42">
        <v>296714047</v>
      </c>
      <c r="BF100" s="42">
        <v>7738621</v>
      </c>
      <c r="BG100" s="42">
        <v>0</v>
      </c>
      <c r="BH100" s="42">
        <v>2986128</v>
      </c>
      <c r="BI100" s="42">
        <v>465887</v>
      </c>
      <c r="BJ100" s="42">
        <v>257266</v>
      </c>
      <c r="BK100" s="42">
        <v>0</v>
      </c>
      <c r="BL100" s="42">
        <v>0</v>
      </c>
      <c r="BM100" s="42">
        <v>1075591</v>
      </c>
      <c r="BN100" s="42">
        <v>5050208</v>
      </c>
      <c r="BO100" s="42">
        <v>857769</v>
      </c>
      <c r="BP100" s="42">
        <v>3427878</v>
      </c>
      <c r="BQ100" s="42">
        <v>14967398</v>
      </c>
      <c r="BR100" s="42">
        <v>0</v>
      </c>
      <c r="BS100" s="42">
        <f>IFERROR(VLOOKUP(A100,'Trans 21-23'!$A$2:$J$229,7,0),0)</f>
        <v>69167839</v>
      </c>
      <c r="BT100" s="63"/>
      <c r="BU100" s="32">
        <f t="shared" si="0"/>
        <v>556341524</v>
      </c>
      <c r="BV100" s="32">
        <f t="shared" si="1"/>
        <v>492</v>
      </c>
      <c r="BW100" s="32">
        <f t="shared" si="2"/>
        <v>101855</v>
      </c>
      <c r="BX100" s="32">
        <f t="shared" si="3"/>
        <v>7172728</v>
      </c>
      <c r="BY100" s="32">
        <f t="shared" si="4"/>
        <v>8791062</v>
      </c>
      <c r="BZ100" s="32">
        <f t="shared" si="5"/>
        <v>18234341</v>
      </c>
      <c r="CA100" s="32">
        <f t="shared" si="6"/>
        <v>10789609</v>
      </c>
      <c r="CB100" s="32">
        <f t="shared" si="7"/>
        <v>49444</v>
      </c>
      <c r="CC100" s="32">
        <f t="shared" si="8"/>
        <v>1847495</v>
      </c>
      <c r="CD100" s="41">
        <f t="shared" si="67"/>
        <v>1</v>
      </c>
      <c r="CE100" s="44">
        <f t="shared" si="10"/>
        <v>16</v>
      </c>
      <c r="CF100" s="27"/>
      <c r="CG100" s="28">
        <f t="shared" si="11"/>
        <v>1130.7754552845529</v>
      </c>
      <c r="CH100" s="28">
        <f t="shared" si="12"/>
        <v>4.8303961513916844</v>
      </c>
      <c r="CI100" s="28">
        <f t="shared" si="13"/>
        <v>70.420970988169458</v>
      </c>
      <c r="CJ100" s="28">
        <f t="shared" si="14"/>
        <v>179.02254184870648</v>
      </c>
      <c r="CK100" s="23">
        <f t="shared" si="15"/>
        <v>2.6762724662313025E-2</v>
      </c>
      <c r="CL100" s="29" t="str">
        <f t="shared" si="16"/>
        <v/>
      </c>
      <c r="CM100" s="29" t="str">
        <f t="shared" si="17"/>
        <v/>
      </c>
      <c r="CN100" s="29" t="str">
        <f t="shared" si="18"/>
        <v/>
      </c>
      <c r="CO100" s="29" t="str">
        <f t="shared" si="19"/>
        <v/>
      </c>
      <c r="CP100" s="29" t="str">
        <f t="shared" si="20"/>
        <v/>
      </c>
      <c r="CQ100" s="29">
        <f t="shared" si="21"/>
        <v>0</v>
      </c>
      <c r="CR100" s="30"/>
      <c r="CS100" s="7">
        <f>VLOOKUP(A100,'Empresas 21-23'!$A$2:$M$228,13,0)</f>
        <v>1</v>
      </c>
      <c r="CT100" s="30"/>
      <c r="CU100" s="6">
        <f t="shared" si="22"/>
        <v>548329694</v>
      </c>
      <c r="CV100" s="6">
        <f t="shared" si="23"/>
        <v>18234341</v>
      </c>
      <c r="CW100" s="6">
        <f t="shared" si="24"/>
        <v>69493985</v>
      </c>
      <c r="CX100" s="23">
        <f t="shared" si="65"/>
        <v>0.5755024031046001</v>
      </c>
      <c r="CY100" s="23">
        <f t="shared" si="66"/>
        <v>1.9137951453945399E-2</v>
      </c>
      <c r="CZ100" s="6">
        <f t="shared" si="27"/>
        <v>588323649.36881506</v>
      </c>
      <c r="DA100" s="6">
        <f t="shared" si="28"/>
        <v>19564313.511271209</v>
      </c>
      <c r="DB100" s="6">
        <f t="shared" si="29"/>
        <v>7172728</v>
      </c>
      <c r="DC100" s="6">
        <f t="shared" si="30"/>
        <v>7199347</v>
      </c>
      <c r="DD100" s="6">
        <f t="shared" si="31"/>
        <v>8791062</v>
      </c>
      <c r="DE100" s="6">
        <f t="shared" si="32"/>
        <v>10789609</v>
      </c>
      <c r="DF100" s="6">
        <f t="shared" si="33"/>
        <v>3763259.1179407942</v>
      </c>
      <c r="DG100" s="30"/>
      <c r="DH100" s="32">
        <f>VLOOKUP(A100,'T_med_comp-USA'!$A$7:$Q$233,17,0)</f>
        <v>19.127699810683165</v>
      </c>
      <c r="DI100" s="6" t="str">
        <f t="shared" si="34"/>
        <v>11_2003</v>
      </c>
      <c r="DJ100" s="32">
        <f>IF(DI100="","",VLOOKUP(DI100,'CPI USA'!$T:$U,2,FALSE))</f>
        <v>184</v>
      </c>
      <c r="DK100" s="32">
        <f>IF(DI100="","",VLOOKUP(DI100,'PPI USA'!$S:$T,2,FALSE))</f>
        <v>122.6</v>
      </c>
      <c r="DL100" s="32">
        <f>IF(DI100="","",VLOOKUP(DI100,'CPI USA'!$T:$V,3,FALSE))</f>
        <v>0.67966838867333434</v>
      </c>
      <c r="DM100" s="32">
        <f>IF(DI100="","",VLOOKUP(DI100,'CPI USA'!$T:$X,5,FALSE))</f>
        <v>0.509186952863521</v>
      </c>
      <c r="DN100" s="32">
        <f t="shared" si="35"/>
        <v>1.7662899637984153</v>
      </c>
      <c r="DO100" s="32">
        <f t="shared" si="36"/>
        <v>1.7975926193363585</v>
      </c>
      <c r="DP100" s="32">
        <f t="shared" si="37"/>
        <v>0.48702761633167119</v>
      </c>
      <c r="DQ100" s="32">
        <f>IF(DP100="","",DP100*$DO$1/'CPI USA'!$U$520+(1-DP100)*AVERAGE($DO$1,$DQ$1)/AVERAGE('CPI USA'!$U$520,'PPI USA'!$T$526))</f>
        <v>1.0758077177973076</v>
      </c>
      <c r="DR100" s="6">
        <f t="shared" si="38"/>
        <v>723153</v>
      </c>
      <c r="DS100" s="32">
        <f t="shared" si="39"/>
        <v>0.2</v>
      </c>
      <c r="DT100" s="28">
        <f>IF(DS100="","",DS100*$DO$1/'CPI USA'!$U$520+(1-DS100)*AVERAGE($DO$1,$DQ$1)/AVERAGE('CPI USA'!$U$520,'PPI USA'!$T$526))</f>
        <v>1.0854630593748538</v>
      </c>
      <c r="DU100" s="6">
        <f t="shared" si="40"/>
        <v>1258278.2509961966</v>
      </c>
      <c r="DV100" s="6">
        <f t="shared" si="57"/>
        <v>319510.233172437</v>
      </c>
      <c r="DW100" s="6">
        <f t="shared" si="41"/>
        <v>1158855.406816019</v>
      </c>
      <c r="DX100" s="16">
        <f t="shared" si="42"/>
        <v>0.30793930752505011</v>
      </c>
      <c r="DY100" s="28">
        <f>IF(DX100="","",DX100*$DO$1/'CPI USA'!$U$520+(1-DX100)*AVERAGE($DO$1,$DQ$1)/AVERAGE('CPI USA'!$U$520,'PPI USA'!$T$526))</f>
        <v>1.0818320816413598</v>
      </c>
      <c r="DZ100" s="30"/>
      <c r="EA100" s="29" t="str">
        <f t="shared" si="43"/>
        <v>C001187</v>
      </c>
      <c r="EB100" s="29">
        <f t="shared" si="44"/>
        <v>1039150157.3453959</v>
      </c>
      <c r="EC100" s="29">
        <f t="shared" si="45"/>
        <v>35168665.570243724</v>
      </c>
      <c r="ED100" s="29">
        <f t="shared" si="46"/>
        <v>7745113.0657008924</v>
      </c>
      <c r="EE100" s="29">
        <f t="shared" si="47"/>
        <v>9542373.0536740199</v>
      </c>
      <c r="EF100" s="29">
        <f t="shared" si="48"/>
        <v>4071214.4453177168</v>
      </c>
      <c r="EG100" s="29">
        <f t="shared" si="49"/>
        <v>492</v>
      </c>
      <c r="EH100" s="29">
        <f t="shared" si="50"/>
        <v>101855</v>
      </c>
      <c r="EI100" s="29">
        <f t="shared" si="51"/>
        <v>49444</v>
      </c>
      <c r="EJ100" s="29">
        <f t="shared" si="52"/>
        <v>1847495</v>
      </c>
      <c r="EK100" s="29">
        <f t="shared" si="53"/>
        <v>1893516.4720812184</v>
      </c>
      <c r="EL100" s="29">
        <f>IF(CD100=1,VLOOKUP(EA100,'EIA 2022'!$A$2:$J$213,4,0)*EH100,"")</f>
        <v>7863206</v>
      </c>
      <c r="EM100" s="29">
        <f>IF(CD100=1,VLOOKUP(EA100,'EIA 2022'!$A$2:$J$213,7,0)*EH100,"")</f>
        <v>134448.6</v>
      </c>
      <c r="EN100" s="29">
        <f>IF(CD100=1,VLOOKUP(EA100,'EIA 2022'!$A$2:$J$213,10,0),"")</f>
        <v>108476</v>
      </c>
      <c r="EO100" s="28">
        <f>IF(CD100=1,VLOOKUP(EA100,'EIA 2022'!$A$2:$Z$213,26,0),"")</f>
        <v>0</v>
      </c>
      <c r="EP100" s="23">
        <f t="shared" si="54"/>
        <v>2.4304764579436026E-2</v>
      </c>
      <c r="EQ100" s="32">
        <f t="shared" si="55"/>
        <v>3422.5279187817359</v>
      </c>
      <c r="ER100" s="32">
        <f t="shared" si="56"/>
        <v>46021.472081218264</v>
      </c>
      <c r="ES100" s="32"/>
      <c r="ET100" s="32"/>
    </row>
    <row r="101" spans="1:150" ht="15.75" customHeight="1">
      <c r="A101" s="7" t="s">
        <v>505</v>
      </c>
      <c r="B101" s="7" t="s">
        <v>506</v>
      </c>
      <c r="C101" s="32" t="s">
        <v>970</v>
      </c>
      <c r="D101" s="42">
        <v>2604493</v>
      </c>
      <c r="E101" s="42">
        <v>0</v>
      </c>
      <c r="F101" s="42">
        <v>97438457</v>
      </c>
      <c r="G101" s="42">
        <v>455211088</v>
      </c>
      <c r="H101" s="42">
        <v>455211088</v>
      </c>
      <c r="I101" s="42">
        <v>411305</v>
      </c>
      <c r="J101" s="42">
        <v>2576666</v>
      </c>
      <c r="K101" s="42">
        <v>0</v>
      </c>
      <c r="L101" s="42">
        <v>0</v>
      </c>
      <c r="M101" s="42">
        <v>0</v>
      </c>
      <c r="N101" s="42">
        <v>0</v>
      </c>
      <c r="O101" s="42">
        <v>0</v>
      </c>
      <c r="P101" s="42">
        <v>3213</v>
      </c>
      <c r="Q101" s="42">
        <v>59285</v>
      </c>
      <c r="R101" s="42">
        <v>0</v>
      </c>
      <c r="S101" s="42">
        <v>2050385</v>
      </c>
      <c r="T101" s="42">
        <v>0</v>
      </c>
      <c r="U101" s="42">
        <v>0</v>
      </c>
      <c r="V101" s="42">
        <v>0</v>
      </c>
      <c r="W101" s="42">
        <v>0</v>
      </c>
      <c r="X101" s="42">
        <f>IFERROR(VLOOKUP(A101,'Trans 21-23'!$A$2:$J$229,8,0),0)</f>
        <v>3698225</v>
      </c>
      <c r="Y101" s="42">
        <v>0</v>
      </c>
      <c r="Z101" s="42">
        <v>0</v>
      </c>
      <c r="AA101" s="42">
        <v>0</v>
      </c>
      <c r="AB101" s="42">
        <v>0</v>
      </c>
      <c r="AC101" s="42">
        <v>0</v>
      </c>
      <c r="AD101" s="42">
        <v>22399204</v>
      </c>
      <c r="AE101" s="42">
        <v>0</v>
      </c>
      <c r="AF101" s="42">
        <v>604135188</v>
      </c>
      <c r="AG101" s="42">
        <v>14</v>
      </c>
      <c r="AH101" s="42">
        <v>22893</v>
      </c>
      <c r="AI101" s="42">
        <v>8390304</v>
      </c>
      <c r="AJ101" s="42">
        <v>2268</v>
      </c>
      <c r="AK101" s="42">
        <v>0</v>
      </c>
      <c r="AL101" s="42">
        <v>0</v>
      </c>
      <c r="AM101" s="42">
        <v>0</v>
      </c>
      <c r="AN101" s="42">
        <v>0</v>
      </c>
      <c r="AO101" s="42">
        <v>0</v>
      </c>
      <c r="AP101" s="42">
        <v>0</v>
      </c>
      <c r="AQ101" s="42">
        <v>0</v>
      </c>
      <c r="AR101" s="42">
        <v>8410929</v>
      </c>
      <c r="AS101" s="42">
        <v>8410929</v>
      </c>
      <c r="AT101" s="42">
        <v>0</v>
      </c>
      <c r="AU101" s="42">
        <v>654</v>
      </c>
      <c r="AV101" s="42">
        <v>0</v>
      </c>
      <c r="AW101" s="42">
        <v>0</v>
      </c>
      <c r="AX101" s="42">
        <v>0</v>
      </c>
      <c r="AY101" s="42">
        <v>0</v>
      </c>
      <c r="AZ101" s="42">
        <v>0</v>
      </c>
      <c r="BA101" s="42">
        <v>0</v>
      </c>
      <c r="BB101" s="42">
        <v>134900866</v>
      </c>
      <c r="BC101" s="42">
        <v>1194064499</v>
      </c>
      <c r="BD101" s="42">
        <v>54842032</v>
      </c>
      <c r="BE101" s="42">
        <v>37795553</v>
      </c>
      <c r="BF101" s="42">
        <v>3636111</v>
      </c>
      <c r="BG101" s="42">
        <v>0</v>
      </c>
      <c r="BH101" s="42">
        <v>2234080</v>
      </c>
      <c r="BI101" s="42">
        <v>0</v>
      </c>
      <c r="BJ101" s="42">
        <v>0</v>
      </c>
      <c r="BK101" s="42">
        <v>0</v>
      </c>
      <c r="BL101" s="42">
        <v>0</v>
      </c>
      <c r="BM101" s="42">
        <v>9752549</v>
      </c>
      <c r="BN101" s="42">
        <v>19170755</v>
      </c>
      <c r="BO101" s="42">
        <v>0</v>
      </c>
      <c r="BP101" s="42">
        <v>58800</v>
      </c>
      <c r="BQ101" s="42">
        <v>19931692</v>
      </c>
      <c r="BR101" s="42">
        <v>0</v>
      </c>
      <c r="BS101" s="42">
        <f>IFERROR(VLOOKUP(A101,'Trans 21-23'!$A$2:$J$229,7,0),0)</f>
        <v>334924613</v>
      </c>
      <c r="BT101" s="63"/>
      <c r="BU101" s="32">
        <f t="shared" si="0"/>
        <v>134900866</v>
      </c>
      <c r="BV101" s="32">
        <f t="shared" si="1"/>
        <v>654</v>
      </c>
      <c r="BW101" s="32">
        <f t="shared" si="2"/>
        <v>14</v>
      </c>
      <c r="BX101" s="32">
        <f t="shared" si="3"/>
        <v>5100854</v>
      </c>
      <c r="BY101" s="32">
        <f t="shared" si="4"/>
        <v>0</v>
      </c>
      <c r="BZ101" s="32">
        <f t="shared" si="5"/>
        <v>0</v>
      </c>
      <c r="CA101" s="32">
        <f t="shared" si="6"/>
        <v>22399204</v>
      </c>
      <c r="CB101" s="32">
        <f t="shared" si="7"/>
        <v>22893</v>
      </c>
      <c r="CC101" s="32">
        <f t="shared" si="8"/>
        <v>0</v>
      </c>
      <c r="CD101" s="41">
        <f t="shared" si="67"/>
        <v>0</v>
      </c>
      <c r="CE101" s="44">
        <f t="shared" si="10"/>
        <v>38</v>
      </c>
      <c r="CF101" s="27"/>
      <c r="CG101" s="28" t="str">
        <f t="shared" si="11"/>
        <v/>
      </c>
      <c r="CH101" s="28" t="str">
        <f t="shared" si="12"/>
        <v/>
      </c>
      <c r="CI101" s="28" t="str">
        <f t="shared" si="13"/>
        <v/>
      </c>
      <c r="CJ101" s="28" t="str">
        <f t="shared" si="14"/>
        <v/>
      </c>
      <c r="CK101" s="23" t="str">
        <f t="shared" si="15"/>
        <v/>
      </c>
      <c r="CL101" s="29" t="str">
        <f t="shared" si="16"/>
        <v/>
      </c>
      <c r="CM101" s="29" t="str">
        <f t="shared" si="17"/>
        <v/>
      </c>
      <c r="CN101" s="29" t="str">
        <f t="shared" si="18"/>
        <v/>
      </c>
      <c r="CO101" s="29" t="str">
        <f t="shared" si="19"/>
        <v/>
      </c>
      <c r="CP101" s="29" t="str">
        <f t="shared" si="20"/>
        <v/>
      </c>
      <c r="CQ101" s="29" t="str">
        <f t="shared" si="21"/>
        <v/>
      </c>
      <c r="CR101" s="30"/>
      <c r="CS101" s="7" t="str">
        <f>VLOOKUP(A101,'Empresas 21-23'!$A$2:$M$228,13,0)</f>
        <v/>
      </c>
      <c r="CT101" s="30"/>
      <c r="CU101" s="6">
        <f t="shared" si="22"/>
        <v>469825479</v>
      </c>
      <c r="CV101" s="6">
        <f t="shared" si="23"/>
        <v>0</v>
      </c>
      <c r="CW101" s="6">
        <f t="shared" si="24"/>
        <v>54842032</v>
      </c>
      <c r="CX101" s="23">
        <f t="shared" si="65"/>
        <v>0.41240889519781565</v>
      </c>
      <c r="CY101" s="23">
        <f t="shared" si="66"/>
        <v>0</v>
      </c>
      <c r="CZ101" s="6">
        <f t="shared" si="27"/>
        <v>492442820.82752323</v>
      </c>
      <c r="DA101" s="6">
        <f t="shared" si="28"/>
        <v>0</v>
      </c>
      <c r="DB101" s="6">
        <f t="shared" si="29"/>
        <v>5100854</v>
      </c>
      <c r="DC101" s="6">
        <f t="shared" si="30"/>
        <v>8799079</v>
      </c>
      <c r="DD101" s="6">
        <f t="shared" si="31"/>
        <v>0</v>
      </c>
      <c r="DE101" s="6">
        <f t="shared" si="32"/>
        <v>22399204</v>
      </c>
      <c r="DF101" s="6">
        <f t="shared" si="33"/>
        <v>7442518.2172456663</v>
      </c>
      <c r="DG101" s="30"/>
      <c r="DH101" s="32">
        <f>VLOOKUP(A101,'T_med_comp-USA'!$A$7:$Q$233,17,0)</f>
        <v>10.497786057066397</v>
      </c>
      <c r="DI101" s="6" t="str">
        <f t="shared" si="34"/>
        <v>7_2012</v>
      </c>
      <c r="DJ101" s="32">
        <f>IF(DI101="","",VLOOKUP(DI101,'CPI USA'!$T:$U,2,FALSE))</f>
        <v>229.59399999999999</v>
      </c>
      <c r="DK101" s="32">
        <f>IF(DI101="","",VLOOKUP(DI101,'PPI USA'!$S:$T,2,FALSE))</f>
        <v>175.1</v>
      </c>
      <c r="DL101" s="32">
        <f>IF(DI101="","",VLOOKUP(DI101,'CPI USA'!$T:$V,3,FALSE))</f>
        <v>0.66730871354337351</v>
      </c>
      <c r="DM101" s="32">
        <f>IF(DI101="","",VLOOKUP(DI101,'CPI USA'!$T:$X,5,FALSE))</f>
        <v>0.49513551903851311</v>
      </c>
      <c r="DN101" s="32">
        <f t="shared" si="35"/>
        <v>1.3897894616766442</v>
      </c>
      <c r="DO101" s="32">
        <f t="shared" si="36"/>
        <v>1.4008620811189902</v>
      </c>
      <c r="DP101" s="32">
        <f t="shared" si="37"/>
        <v>0.43798156151891426</v>
      </c>
      <c r="DQ101" s="32">
        <f>IF(DP101="","",DP101*$DO$1/'CPI USA'!$U$520+(1-DP101)*AVERAGE($DO$1,$DQ$1)/AVERAGE('CPI USA'!$U$520,'PPI USA'!$T$526))</f>
        <v>1.0774575813829113</v>
      </c>
      <c r="DR101" s="6">
        <f t="shared" si="38"/>
        <v>0</v>
      </c>
      <c r="DS101" s="32" t="str">
        <f t="shared" si="39"/>
        <v/>
      </c>
      <c r="DT101" s="28" t="str">
        <f>IF(DS101="","",DS101*$DO$1/'CPI USA'!$U$520+(1-DS101)*AVERAGE($DO$1,$DQ$1)/AVERAGE('CPI USA'!$U$520,'PPI USA'!$T$526))</f>
        <v/>
      </c>
      <c r="DU101" s="6">
        <f t="shared" si="40"/>
        <v>9752549</v>
      </c>
      <c r="DV101" s="6">
        <f t="shared" si="57"/>
        <v>28855.884749939767</v>
      </c>
      <c r="DW101" s="6">
        <f t="shared" si="41"/>
        <v>1139884.2155628272</v>
      </c>
      <c r="DX101" s="16" t="str">
        <f t="shared" si="42"/>
        <v/>
      </c>
      <c r="DY101" s="28" t="str">
        <f>IF(DX101="","",DX101*$DO$1/'CPI USA'!$U$520+(1-DX101)*AVERAGE($DO$1,$DQ$1)/AVERAGE('CPI USA'!$U$520,'PPI USA'!$T$526))</f>
        <v/>
      </c>
      <c r="DZ101" s="30"/>
      <c r="EA101" s="29" t="str">
        <f t="shared" si="43"/>
        <v>C001188</v>
      </c>
      <c r="EB101" s="29" t="str">
        <f t="shared" si="44"/>
        <v/>
      </c>
      <c r="EC101" s="29" t="str">
        <f t="shared" si="45"/>
        <v/>
      </c>
      <c r="ED101" s="29" t="str">
        <f t="shared" si="46"/>
        <v/>
      </c>
      <c r="EE101" s="29" t="str">
        <f t="shared" si="47"/>
        <v/>
      </c>
      <c r="EF101" s="29" t="str">
        <f t="shared" si="48"/>
        <v/>
      </c>
      <c r="EG101" s="29" t="str">
        <f t="shared" si="49"/>
        <v/>
      </c>
      <c r="EH101" s="29" t="str">
        <f t="shared" si="50"/>
        <v/>
      </c>
      <c r="EI101" s="29" t="str">
        <f t="shared" si="51"/>
        <v/>
      </c>
      <c r="EJ101" s="29" t="str">
        <f t="shared" si="52"/>
        <v/>
      </c>
      <c r="EK101" s="29" t="str">
        <f t="shared" si="53"/>
        <v/>
      </c>
      <c r="EL101" s="29" t="str">
        <f>IF(CD101=1,VLOOKUP(EA101,'EIA 2022'!$A$2:$J$213,4,0)*EH101,"")</f>
        <v/>
      </c>
      <c r="EM101" s="29" t="str">
        <f>IF(CD101=1,VLOOKUP(EA101,'EIA 2022'!$A$2:$J$213,7,0)*EH101,"")</f>
        <v/>
      </c>
      <c r="EN101" s="29" t="str">
        <f>IF(CD101=1,VLOOKUP(EA101,'EIA 2022'!$A$2:$J$213,10,0),"")</f>
        <v/>
      </c>
      <c r="EO101" s="28" t="str">
        <f>IF(CD101=1,VLOOKUP(EA101,'EIA 2022'!$A$2:$Z$213,26,0),"")</f>
        <v/>
      </c>
      <c r="EP101" s="23" t="str">
        <f t="shared" si="54"/>
        <v/>
      </c>
      <c r="EQ101" s="32" t="str">
        <f t="shared" si="55"/>
        <v/>
      </c>
      <c r="ER101" s="32" t="str">
        <f t="shared" si="56"/>
        <v/>
      </c>
      <c r="ES101" s="32"/>
      <c r="ET101" s="32"/>
    </row>
    <row r="102" spans="1:150" ht="15.75" customHeight="1">
      <c r="A102" s="7" t="s">
        <v>508</v>
      </c>
      <c r="B102" s="7" t="s">
        <v>509</v>
      </c>
      <c r="C102" s="32" t="s">
        <v>971</v>
      </c>
      <c r="D102" s="42">
        <v>0</v>
      </c>
      <c r="E102" s="42">
        <v>0</v>
      </c>
      <c r="F102" s="42">
        <v>0</v>
      </c>
      <c r="G102" s="42">
        <v>1922729384</v>
      </c>
      <c r="H102" s="42">
        <v>1922749928</v>
      </c>
      <c r="I102" s="42">
        <v>0</v>
      </c>
      <c r="J102" s="42">
        <v>2539578</v>
      </c>
      <c r="K102" s="42">
        <v>0</v>
      </c>
      <c r="L102" s="42">
        <v>4195894</v>
      </c>
      <c r="M102" s="42">
        <v>6199909</v>
      </c>
      <c r="N102" s="42">
        <v>2628250</v>
      </c>
      <c r="O102" s="42">
        <v>35897260</v>
      </c>
      <c r="P102" s="42">
        <v>1330133</v>
      </c>
      <c r="Q102" s="42">
        <v>0</v>
      </c>
      <c r="R102" s="42">
        <v>12325542</v>
      </c>
      <c r="S102" s="42">
        <v>17215431</v>
      </c>
      <c r="T102" s="42">
        <v>56464414</v>
      </c>
      <c r="U102" s="42">
        <v>20076605</v>
      </c>
      <c r="V102" s="42">
        <v>4205529</v>
      </c>
      <c r="W102" s="42">
        <v>1231542</v>
      </c>
      <c r="X102" s="42">
        <f>IFERROR(VLOOKUP(A102,'Trans 21-23'!$A$2:$J$229,8,0),0)</f>
        <v>15802667</v>
      </c>
      <c r="Y102" s="42">
        <v>5865310</v>
      </c>
      <c r="Z102" s="42">
        <v>858670</v>
      </c>
      <c r="AA102" s="42">
        <v>303226958</v>
      </c>
      <c r="AB102" s="42">
        <v>245697333</v>
      </c>
      <c r="AC102" s="42">
        <v>103200</v>
      </c>
      <c r="AD102" s="42">
        <v>49439323</v>
      </c>
      <c r="AE102" s="42">
        <v>0</v>
      </c>
      <c r="AF102" s="42">
        <v>2838597225</v>
      </c>
      <c r="AG102" s="42">
        <v>2346606</v>
      </c>
      <c r="AH102" s="42">
        <v>1023650</v>
      </c>
      <c r="AI102" s="42">
        <v>42030431</v>
      </c>
      <c r="AJ102" s="42">
        <v>25740</v>
      </c>
      <c r="AK102" s="42">
        <v>0</v>
      </c>
      <c r="AL102" s="42">
        <v>13974712</v>
      </c>
      <c r="AM102" s="42">
        <v>22675747</v>
      </c>
      <c r="AN102" s="42">
        <v>3832192</v>
      </c>
      <c r="AO102" s="42">
        <v>333382</v>
      </c>
      <c r="AP102" s="42">
        <v>0</v>
      </c>
      <c r="AQ102" s="42">
        <v>40823934</v>
      </c>
      <c r="AR102" s="42">
        <v>157107</v>
      </c>
      <c r="AS102" s="42">
        <v>40981041</v>
      </c>
      <c r="AT102" s="42">
        <v>0</v>
      </c>
      <c r="AU102" s="42">
        <v>10147</v>
      </c>
      <c r="AV102" s="42">
        <v>0</v>
      </c>
      <c r="AW102" s="42">
        <v>2856184590</v>
      </c>
      <c r="AX102" s="42">
        <v>512107002</v>
      </c>
      <c r="AY102" s="42">
        <v>1464874514</v>
      </c>
      <c r="AZ102" s="42">
        <v>365421422</v>
      </c>
      <c r="BA102" s="42">
        <v>499027153</v>
      </c>
      <c r="BB102" s="42">
        <v>10807519439</v>
      </c>
      <c r="BC102" s="42">
        <v>28337703489</v>
      </c>
      <c r="BD102" s="42">
        <v>433823166</v>
      </c>
      <c r="BE102" s="42">
        <v>2813658620</v>
      </c>
      <c r="BF102" s="42">
        <v>257769144</v>
      </c>
      <c r="BG102" s="42">
        <v>0</v>
      </c>
      <c r="BH102" s="42">
        <v>89021016</v>
      </c>
      <c r="BI102" s="42">
        <v>58697026</v>
      </c>
      <c r="BJ102" s="42">
        <v>5599964</v>
      </c>
      <c r="BK102" s="42">
        <v>0</v>
      </c>
      <c r="BL102" s="42">
        <v>0</v>
      </c>
      <c r="BM102" s="42">
        <v>7698640</v>
      </c>
      <c r="BN102" s="42">
        <v>206340922</v>
      </c>
      <c r="BO102" s="42">
        <v>0</v>
      </c>
      <c r="BP102" s="42">
        <v>44797899</v>
      </c>
      <c r="BQ102" s="42">
        <v>984680007</v>
      </c>
      <c r="BR102" s="42">
        <v>7901</v>
      </c>
      <c r="BS102" s="42">
        <f>IFERROR(VLOOKUP(A102,'Trans 21-23'!$A$2:$J$229,7,0),0)</f>
        <v>1217802206</v>
      </c>
      <c r="BT102" s="63"/>
      <c r="BU102" s="32">
        <f t="shared" si="0"/>
        <v>10807519439</v>
      </c>
      <c r="BV102" s="32">
        <f t="shared" si="1"/>
        <v>10147</v>
      </c>
      <c r="BW102" s="32">
        <f t="shared" si="2"/>
        <v>2346606</v>
      </c>
      <c r="BX102" s="32">
        <f t="shared" si="3"/>
        <v>164310087</v>
      </c>
      <c r="BY102" s="32">
        <f t="shared" si="4"/>
        <v>555751471</v>
      </c>
      <c r="BZ102" s="32">
        <f t="shared" si="5"/>
        <v>365421422</v>
      </c>
      <c r="CA102" s="32">
        <f t="shared" si="6"/>
        <v>49439323</v>
      </c>
      <c r="CB102" s="32">
        <f t="shared" si="7"/>
        <v>1023650</v>
      </c>
      <c r="CC102" s="32">
        <f t="shared" si="8"/>
        <v>40823934</v>
      </c>
      <c r="CD102" s="41">
        <f t="shared" si="67"/>
        <v>1</v>
      </c>
      <c r="CE102" s="44">
        <f t="shared" si="10"/>
        <v>15</v>
      </c>
      <c r="CF102" s="27"/>
      <c r="CG102" s="28">
        <f t="shared" si="11"/>
        <v>1065.0950467133143</v>
      </c>
      <c r="CH102" s="28">
        <f t="shared" si="12"/>
        <v>4.3241174700823235</v>
      </c>
      <c r="CI102" s="28">
        <f t="shared" si="13"/>
        <v>70.020313167186998</v>
      </c>
      <c r="CJ102" s="28">
        <f t="shared" si="14"/>
        <v>155.72338176924461</v>
      </c>
      <c r="CK102" s="23">
        <f t="shared" si="15"/>
        <v>2.5074751492592556E-2</v>
      </c>
      <c r="CL102" s="29" t="str">
        <f t="shared" si="16"/>
        <v/>
      </c>
      <c r="CM102" s="29" t="str">
        <f t="shared" si="17"/>
        <v/>
      </c>
      <c r="CN102" s="29" t="str">
        <f t="shared" si="18"/>
        <v/>
      </c>
      <c r="CO102" s="29" t="str">
        <f t="shared" si="19"/>
        <v/>
      </c>
      <c r="CP102" s="29" t="str">
        <f t="shared" si="20"/>
        <v/>
      </c>
      <c r="CQ102" s="29">
        <f t="shared" si="21"/>
        <v>0</v>
      </c>
      <c r="CR102" s="30"/>
      <c r="CS102" s="7">
        <f>VLOOKUP(A102,'Empresas 21-23'!$A$2:$M$228,13,0)</f>
        <v>1</v>
      </c>
      <c r="CT102" s="30"/>
      <c r="CU102" s="6">
        <f t="shared" si="22"/>
        <v>9974684160.3999996</v>
      </c>
      <c r="CV102" s="6">
        <f t="shared" si="23"/>
        <v>365421422</v>
      </c>
      <c r="CW102" s="6">
        <f t="shared" si="24"/>
        <v>433823166</v>
      </c>
      <c r="CX102" s="23">
        <f t="shared" si="65"/>
        <v>0.35746584507023865</v>
      </c>
      <c r="CY102" s="23">
        <f t="shared" si="66"/>
        <v>1.3095720658563691E-2</v>
      </c>
      <c r="CZ102" s="6">
        <f t="shared" si="27"/>
        <v>10129761125.045237</v>
      </c>
      <c r="DA102" s="6">
        <f t="shared" si="28"/>
        <v>371102648.99714971</v>
      </c>
      <c r="DB102" s="6">
        <f t="shared" si="29"/>
        <v>164310087</v>
      </c>
      <c r="DC102" s="6">
        <f t="shared" si="30"/>
        <v>180112754</v>
      </c>
      <c r="DD102" s="6">
        <f t="shared" si="31"/>
        <v>555751471</v>
      </c>
      <c r="DE102" s="6">
        <f t="shared" si="32"/>
        <v>49439323</v>
      </c>
      <c r="DF102" s="6">
        <f t="shared" si="33"/>
        <v>41990182.680289678</v>
      </c>
      <c r="DG102" s="30"/>
      <c r="DH102" s="32">
        <f>VLOOKUP(A102,'T_med_comp-USA'!$A$7:$Q$233,17,0)</f>
        <v>10.820612499446952</v>
      </c>
      <c r="DI102" s="6" t="str">
        <f t="shared" si="34"/>
        <v>3_2012</v>
      </c>
      <c r="DJ102" s="32">
        <f>IF(DI102="","",VLOOKUP(DI102,'CPI USA'!$T:$U,2,FALSE))</f>
        <v>229.59399999999999</v>
      </c>
      <c r="DK102" s="32">
        <f>IF(DI102="","",VLOOKUP(DI102,'PPI USA'!$S:$T,2,FALSE))</f>
        <v>175.1</v>
      </c>
      <c r="DL102" s="32">
        <f>IF(DI102="","",VLOOKUP(DI102,'CPI USA'!$T:$V,3,FALSE))</f>
        <v>0.66730871354337351</v>
      </c>
      <c r="DM102" s="32">
        <f>IF(DI102="","",VLOOKUP(DI102,'CPI USA'!$T:$X,5,FALSE))</f>
        <v>0.49513551903851311</v>
      </c>
      <c r="DN102" s="32">
        <f t="shared" si="35"/>
        <v>1.3897894616766442</v>
      </c>
      <c r="DO102" s="32">
        <f t="shared" si="36"/>
        <v>1.4008620811189902</v>
      </c>
      <c r="DP102" s="32">
        <f t="shared" si="37"/>
        <v>0.54178667679726811</v>
      </c>
      <c r="DQ102" s="32">
        <f>IF(DP102="","",DP102*$DO$1/'CPI USA'!$U$520+(1-DP102)*AVERAGE($DO$1,$DQ$1)/AVERAGE('CPI USA'!$U$520,'PPI USA'!$T$526))</f>
        <v>1.0739656740245931</v>
      </c>
      <c r="DR102" s="6">
        <f t="shared" si="38"/>
        <v>64296990</v>
      </c>
      <c r="DS102" s="32">
        <f t="shared" si="39"/>
        <v>0.2</v>
      </c>
      <c r="DT102" s="28">
        <f>IF(DS102="","",DS102*$DO$1/'CPI USA'!$U$520+(1-DS102)*AVERAGE($DO$1,$DQ$1)/AVERAGE('CPI USA'!$U$520,'PPI USA'!$T$526))</f>
        <v>1.0854630593748538</v>
      </c>
      <c r="DU102" s="6">
        <f t="shared" si="40"/>
        <v>7698640</v>
      </c>
      <c r="DV102" s="6">
        <f t="shared" si="57"/>
        <v>366942.7199664918</v>
      </c>
      <c r="DW102" s="6">
        <f t="shared" si="41"/>
        <v>5992989.8920065835</v>
      </c>
      <c r="DX102" s="16">
        <f t="shared" si="42"/>
        <v>0.2</v>
      </c>
      <c r="DY102" s="28">
        <f>IF(DX102="","",DX102*$DO$1/'CPI USA'!$U$520+(1-DX102)*AVERAGE($DO$1,$DQ$1)/AVERAGE('CPI USA'!$U$520,'PPI USA'!$T$526))</f>
        <v>1.0854630593748538</v>
      </c>
      <c r="DZ102" s="30"/>
      <c r="EA102" s="29" t="str">
        <f t="shared" si="43"/>
        <v>C001194</v>
      </c>
      <c r="EB102" s="29">
        <f t="shared" si="44"/>
        <v>14078235260.889616</v>
      </c>
      <c r="EC102" s="29">
        <f t="shared" si="45"/>
        <v>519863629.1829173</v>
      </c>
      <c r="ED102" s="29">
        <f t="shared" si="46"/>
        <v>193434915.25003573</v>
      </c>
      <c r="EE102" s="29">
        <f t="shared" si="47"/>
        <v>603247691.96373534</v>
      </c>
      <c r="EF102" s="29">
        <f t="shared" si="48"/>
        <v>45578792.155856229</v>
      </c>
      <c r="EG102" s="29">
        <f t="shared" si="49"/>
        <v>10147</v>
      </c>
      <c r="EH102" s="29">
        <f t="shared" si="50"/>
        <v>2346606</v>
      </c>
      <c r="EI102" s="29">
        <f t="shared" si="51"/>
        <v>1023650</v>
      </c>
      <c r="EJ102" s="29">
        <f t="shared" si="52"/>
        <v>40823934</v>
      </c>
      <c r="EK102" s="29">
        <f t="shared" si="53"/>
        <v>41845191.50761421</v>
      </c>
      <c r="EL102" s="29">
        <f>IF(CD102=1,VLOOKUP(EA102,'EIA 2022'!$A$2:$J$213,4,0)*EH102,"")</f>
        <v>79643807.640000001</v>
      </c>
      <c r="EM102" s="29">
        <f>IF(CD102=1,VLOOKUP(EA102,'EIA 2022'!$A$2:$J$213,7,0)*EH102,"")</f>
        <v>1290633.3</v>
      </c>
      <c r="EN102" s="29">
        <f>IF(CD102=1,VLOOKUP(EA102,'EIA 2022'!$A$2:$J$213,10,0),"")</f>
        <v>517817</v>
      </c>
      <c r="EO102" s="28">
        <f>IF(CD102=1,VLOOKUP(EA102,'EIA 2022'!$A$2:$Z$213,26,0),"")</f>
        <v>0</v>
      </c>
      <c r="EP102" s="23">
        <f t="shared" si="54"/>
        <v>2.4405611990768013E-2</v>
      </c>
      <c r="EQ102" s="32">
        <f t="shared" si="55"/>
        <v>2392.4923857868125</v>
      </c>
      <c r="ER102" s="32">
        <f t="shared" si="56"/>
        <v>1021257.5076142132</v>
      </c>
      <c r="ES102" s="32"/>
      <c r="ET102" s="32"/>
    </row>
    <row r="103" spans="1:150" ht="15.75" customHeight="1">
      <c r="A103" s="7" t="s">
        <v>511</v>
      </c>
      <c r="B103" s="7" t="s">
        <v>512</v>
      </c>
      <c r="C103" s="32" t="s">
        <v>972</v>
      </c>
      <c r="D103" s="42">
        <v>135397089</v>
      </c>
      <c r="E103" s="42">
        <v>24597161</v>
      </c>
      <c r="F103" s="42">
        <v>139417120</v>
      </c>
      <c r="G103" s="42">
        <v>563059044</v>
      </c>
      <c r="H103" s="42">
        <v>567604892</v>
      </c>
      <c r="I103" s="42">
        <v>1534931</v>
      </c>
      <c r="J103" s="42">
        <v>837513</v>
      </c>
      <c r="K103" s="42">
        <v>0</v>
      </c>
      <c r="L103" s="42">
        <v>2313119</v>
      </c>
      <c r="M103" s="42">
        <v>436369</v>
      </c>
      <c r="N103" s="42">
        <v>0</v>
      </c>
      <c r="O103" s="42">
        <v>9593569</v>
      </c>
      <c r="P103" s="42">
        <v>1316434</v>
      </c>
      <c r="Q103" s="42">
        <v>944109</v>
      </c>
      <c r="R103" s="42">
        <v>41618</v>
      </c>
      <c r="S103" s="42">
        <v>1143215</v>
      </c>
      <c r="T103" s="42">
        <v>5239442</v>
      </c>
      <c r="U103" s="42">
        <v>2473042</v>
      </c>
      <c r="V103" s="42">
        <v>0</v>
      </c>
      <c r="W103" s="42">
        <v>0</v>
      </c>
      <c r="X103" s="42">
        <f>IFERROR(VLOOKUP(A103,'Trans 21-23'!$A$2:$J$229,8,0),0)</f>
        <v>2620685</v>
      </c>
      <c r="Y103" s="42">
        <v>3121798</v>
      </c>
      <c r="Z103" s="42">
        <v>562231</v>
      </c>
      <c r="AA103" s="42">
        <v>21229960</v>
      </c>
      <c r="AB103" s="42">
        <v>1353270</v>
      </c>
      <c r="AC103" s="42">
        <v>5750702</v>
      </c>
      <c r="AD103" s="42">
        <v>178763359</v>
      </c>
      <c r="AE103" s="42">
        <v>0</v>
      </c>
      <c r="AF103" s="42">
        <v>1297576711</v>
      </c>
      <c r="AG103" s="42">
        <v>543676</v>
      </c>
      <c r="AH103" s="42">
        <v>2059785</v>
      </c>
      <c r="AI103" s="42">
        <v>19009108</v>
      </c>
      <c r="AJ103" s="42">
        <v>18990</v>
      </c>
      <c r="AK103" s="42">
        <v>0</v>
      </c>
      <c r="AL103" s="42">
        <v>3367993</v>
      </c>
      <c r="AM103" s="42">
        <v>3604956</v>
      </c>
      <c r="AN103" s="42">
        <v>2324194</v>
      </c>
      <c r="AO103" s="42">
        <v>36393</v>
      </c>
      <c r="AP103" s="42">
        <v>183498</v>
      </c>
      <c r="AQ103" s="42">
        <v>9517034</v>
      </c>
      <c r="AR103" s="42">
        <v>7413299</v>
      </c>
      <c r="AS103" s="42">
        <v>16930333</v>
      </c>
      <c r="AT103" s="42">
        <v>0</v>
      </c>
      <c r="AU103" s="42">
        <v>2139</v>
      </c>
      <c r="AV103" s="42">
        <v>0</v>
      </c>
      <c r="AW103" s="42">
        <v>226022608</v>
      </c>
      <c r="AX103" s="42">
        <v>137848540</v>
      </c>
      <c r="AY103" s="42">
        <v>351236963</v>
      </c>
      <c r="AZ103" s="42">
        <v>55829613</v>
      </c>
      <c r="BA103" s="42">
        <v>24887631</v>
      </c>
      <c r="BB103" s="42">
        <v>1820352431</v>
      </c>
      <c r="BC103" s="42">
        <v>5918536269</v>
      </c>
      <c r="BD103" s="42">
        <v>171181252</v>
      </c>
      <c r="BE103" s="42">
        <v>738658772</v>
      </c>
      <c r="BF103" s="42">
        <v>47508236</v>
      </c>
      <c r="BG103" s="42">
        <v>0</v>
      </c>
      <c r="BH103" s="42">
        <v>14511235</v>
      </c>
      <c r="BI103" s="42">
        <v>8323369</v>
      </c>
      <c r="BJ103" s="42">
        <v>660464</v>
      </c>
      <c r="BK103" s="42">
        <v>3434598</v>
      </c>
      <c r="BL103" s="42">
        <v>0</v>
      </c>
      <c r="BM103" s="42">
        <v>47755284</v>
      </c>
      <c r="BN103" s="42">
        <v>127359907</v>
      </c>
      <c r="BO103" s="42">
        <v>3380516</v>
      </c>
      <c r="BP103" s="42">
        <v>36314893</v>
      </c>
      <c r="BQ103" s="42">
        <v>177210499</v>
      </c>
      <c r="BR103" s="42">
        <v>0</v>
      </c>
      <c r="BS103" s="42">
        <f>IFERROR(VLOOKUP(A103,'Trans 21-23'!$A$2:$J$229,7,0),0)</f>
        <v>237338713</v>
      </c>
      <c r="BT103" s="63"/>
      <c r="BU103" s="32">
        <f t="shared" si="0"/>
        <v>1820352431</v>
      </c>
      <c r="BV103" s="32">
        <f t="shared" si="1"/>
        <v>2139</v>
      </c>
      <c r="BW103" s="32">
        <f t="shared" si="2"/>
        <v>543676</v>
      </c>
      <c r="BX103" s="32">
        <f t="shared" si="3"/>
        <v>25873361</v>
      </c>
      <c r="BY103" s="32">
        <f t="shared" si="4"/>
        <v>32017961</v>
      </c>
      <c r="BZ103" s="32">
        <f t="shared" si="5"/>
        <v>55829613</v>
      </c>
      <c r="CA103" s="32">
        <f t="shared" si="6"/>
        <v>178763359</v>
      </c>
      <c r="CB103" s="32">
        <f t="shared" si="7"/>
        <v>2059785</v>
      </c>
      <c r="CC103" s="32">
        <f t="shared" si="8"/>
        <v>9517034</v>
      </c>
      <c r="CD103" s="41">
        <f t="shared" si="67"/>
        <v>1</v>
      </c>
      <c r="CE103" s="44">
        <f t="shared" si="10"/>
        <v>11</v>
      </c>
      <c r="CF103" s="27"/>
      <c r="CG103" s="28">
        <f t="shared" si="11"/>
        <v>851.02965451145394</v>
      </c>
      <c r="CH103" s="28">
        <f t="shared" si="12"/>
        <v>3.9343285339062235</v>
      </c>
      <c r="CI103" s="28">
        <f t="shared" si="13"/>
        <v>47.589669214752902</v>
      </c>
      <c r="CJ103" s="28">
        <f t="shared" si="14"/>
        <v>102.68912550857496</v>
      </c>
      <c r="CK103" s="23">
        <f t="shared" si="15"/>
        <v>0.21643140079146508</v>
      </c>
      <c r="CL103" s="29" t="str">
        <f t="shared" si="16"/>
        <v/>
      </c>
      <c r="CM103" s="29" t="str">
        <f t="shared" si="17"/>
        <v/>
      </c>
      <c r="CN103" s="29" t="str">
        <f t="shared" si="18"/>
        <v/>
      </c>
      <c r="CO103" s="29" t="str">
        <f t="shared" si="19"/>
        <v/>
      </c>
      <c r="CP103" s="29" t="str">
        <f t="shared" si="20"/>
        <v/>
      </c>
      <c r="CQ103" s="29">
        <f t="shared" si="21"/>
        <v>0</v>
      </c>
      <c r="CR103" s="30"/>
      <c r="CS103" s="7">
        <f>VLOOKUP(A103,'Empresas 21-23'!$A$2:$M$228,13,0)</f>
        <v>1</v>
      </c>
      <c r="CT103" s="30"/>
      <c r="CU103" s="6">
        <f t="shared" si="22"/>
        <v>1683522598.2</v>
      </c>
      <c r="CV103" s="6">
        <f t="shared" si="23"/>
        <v>55829613</v>
      </c>
      <c r="CW103" s="6">
        <f t="shared" si="24"/>
        <v>171181252</v>
      </c>
      <c r="CX103" s="23">
        <f t="shared" si="65"/>
        <v>0.29292128174096405</v>
      </c>
      <c r="CY103" s="23">
        <f t="shared" si="66"/>
        <v>9.7139663088259848E-3</v>
      </c>
      <c r="CZ103" s="6">
        <f t="shared" si="27"/>
        <v>1733665229.945863</v>
      </c>
      <c r="DA103" s="6">
        <f t="shared" si="28"/>
        <v>57492461.914630651</v>
      </c>
      <c r="DB103" s="6">
        <f t="shared" si="29"/>
        <v>25873361</v>
      </c>
      <c r="DC103" s="6">
        <f t="shared" si="30"/>
        <v>28494046</v>
      </c>
      <c r="DD103" s="6">
        <f t="shared" si="31"/>
        <v>32017961</v>
      </c>
      <c r="DE103" s="6">
        <f t="shared" si="32"/>
        <v>178763359</v>
      </c>
      <c r="DF103" s="6">
        <f t="shared" si="33"/>
        <v>42960502.963523179</v>
      </c>
      <c r="DG103" s="30"/>
      <c r="DH103" s="32">
        <f>VLOOKUP(A103,'T_med_comp-USA'!$A$7:$Q$233,17,0)</f>
        <v>15.554481459579947</v>
      </c>
      <c r="DI103" s="6" t="str">
        <f t="shared" si="34"/>
        <v>6_2007</v>
      </c>
      <c r="DJ103" s="32">
        <f>IF(DI103="","",VLOOKUP(DI103,'CPI USA'!$T:$U,2,FALSE))</f>
        <v>207.34200000000001</v>
      </c>
      <c r="DK103" s="32">
        <f>IF(DI103="","",VLOOKUP(DI103,'PPI USA'!$S:$T,2,FALSE))</f>
        <v>151.69999999999999</v>
      </c>
      <c r="DL103" s="32">
        <f>IF(DI103="","",VLOOKUP(DI103,'CPI USA'!$T:$V,3,FALSE))</f>
        <v>0.67123734379962852</v>
      </c>
      <c r="DM103" s="32">
        <f>IF(DI103="","",VLOOKUP(DI103,'CPI USA'!$T:$X,5,FALSE))</f>
        <v>0.49957259686190569</v>
      </c>
      <c r="DN103" s="32">
        <f t="shared" si="35"/>
        <v>1.5480022216582647</v>
      </c>
      <c r="DO103" s="32">
        <f t="shared" si="36"/>
        <v>1.5651038394149617</v>
      </c>
      <c r="DP103" s="32">
        <f t="shared" si="37"/>
        <v>0.57574301758369117</v>
      </c>
      <c r="DQ103" s="32">
        <f>IF(DP103="","",DP103*$DO$1/'CPI USA'!$U$520+(1-DP103)*AVERAGE($DO$1,$DQ$1)/AVERAGE('CPI USA'!$U$520,'PPI USA'!$T$526))</f>
        <v>1.0728234143591062</v>
      </c>
      <c r="DR103" s="6">
        <f t="shared" si="38"/>
        <v>12418431</v>
      </c>
      <c r="DS103" s="32">
        <f t="shared" si="39"/>
        <v>0.39815319932224191</v>
      </c>
      <c r="DT103" s="28">
        <f>IF(DS103="","",DS103*$DO$1/'CPI USA'!$U$520+(1-DS103)*AVERAGE($DO$1,$DQ$1)/AVERAGE('CPI USA'!$U$520,'PPI USA'!$T$526))</f>
        <v>1.0787973703774263</v>
      </c>
      <c r="DU103" s="6">
        <f t="shared" si="40"/>
        <v>49022853.248826034</v>
      </c>
      <c r="DV103" s="6">
        <f t="shared" si="57"/>
        <v>12308602.644745445</v>
      </c>
      <c r="DW103" s="6">
        <f t="shared" si="41"/>
        <v>12968253.993053021</v>
      </c>
      <c r="DX103" s="16">
        <f t="shared" si="42"/>
        <v>0.30186457556290908</v>
      </c>
      <c r="DY103" s="28">
        <f>IF(DX103="","",DX103*$DO$1/'CPI USA'!$U$520+(1-DX103)*AVERAGE($DO$1,$DQ$1)/AVERAGE('CPI USA'!$U$520,'PPI USA'!$T$526))</f>
        <v>1.0820364299644798</v>
      </c>
      <c r="DZ103" s="30"/>
      <c r="EA103" s="29" t="str">
        <f t="shared" si="43"/>
        <v>C001218</v>
      </c>
      <c r="EB103" s="29">
        <f t="shared" si="44"/>
        <v>2683717627.5678825</v>
      </c>
      <c r="EC103" s="29">
        <f t="shared" si="45"/>
        <v>89981672.880006894</v>
      </c>
      <c r="ED103" s="29">
        <f t="shared" si="46"/>
        <v>30569079.718625434</v>
      </c>
      <c r="EE103" s="29">
        <f t="shared" si="47"/>
        <v>34540892.131646991</v>
      </c>
      <c r="EF103" s="29">
        <f t="shared" si="48"/>
        <v>46484829.256129079</v>
      </c>
      <c r="EG103" s="29">
        <f t="shared" si="49"/>
        <v>2139</v>
      </c>
      <c r="EH103" s="29">
        <f t="shared" si="50"/>
        <v>543676</v>
      </c>
      <c r="EI103" s="29">
        <f t="shared" si="51"/>
        <v>2059785</v>
      </c>
      <c r="EJ103" s="29">
        <f t="shared" si="52"/>
        <v>9517034</v>
      </c>
      <c r="EK103" s="29">
        <f t="shared" si="53"/>
        <v>11463926.121827412</v>
      </c>
      <c r="EL103" s="29">
        <f>IF(CD103=1,VLOOKUP(EA103,'EIA 2022'!$A$2:$J$213,4,0)*EH103,"")</f>
        <v>55090689.079999998</v>
      </c>
      <c r="EM103" s="29">
        <f>IF(CD103=1,VLOOKUP(EA103,'EIA 2022'!$A$2:$J$213,7,0)*EH103,"")</f>
        <v>467017.68400000001</v>
      </c>
      <c r="EN103" s="29">
        <f>IF(CD103=1,VLOOKUP(EA103,'EIA 2022'!$A$2:$J$213,10,0),"")</f>
        <v>35363</v>
      </c>
      <c r="EO103" s="28">
        <f>IF(CD103=1,VLOOKUP(EA103,'EIA 2022'!$A$2:$Z$213,26,0),"")</f>
        <v>0</v>
      </c>
      <c r="EP103" s="23">
        <f t="shared" si="54"/>
        <v>0.16982769263668862</v>
      </c>
      <c r="EQ103" s="32">
        <f t="shared" si="55"/>
        <v>112892.87817258853</v>
      </c>
      <c r="ER103" s="32">
        <f t="shared" si="56"/>
        <v>1946892.1218274115</v>
      </c>
      <c r="ES103" s="32"/>
      <c r="ET103" s="32"/>
    </row>
    <row r="104" spans="1:150" ht="15.75" customHeight="1">
      <c r="A104" s="7" t="s">
        <v>514</v>
      </c>
      <c r="B104" s="7" t="s">
        <v>515</v>
      </c>
      <c r="C104" s="32" t="s">
        <v>973</v>
      </c>
      <c r="D104" s="42">
        <v>0</v>
      </c>
      <c r="E104" s="42">
        <v>0</v>
      </c>
      <c r="F104" s="42">
        <v>0</v>
      </c>
      <c r="G104" s="42">
        <v>35836405</v>
      </c>
      <c r="H104" s="42">
        <v>36231444</v>
      </c>
      <c r="I104" s="42">
        <v>585100</v>
      </c>
      <c r="J104" s="42">
        <v>52208</v>
      </c>
      <c r="K104" s="42">
        <v>64308</v>
      </c>
      <c r="L104" s="42">
        <v>142366</v>
      </c>
      <c r="M104" s="42">
        <v>114158</v>
      </c>
      <c r="N104" s="42">
        <v>12148</v>
      </c>
      <c r="O104" s="42">
        <v>127940</v>
      </c>
      <c r="P104" s="42">
        <v>0</v>
      </c>
      <c r="Q104" s="42">
        <v>131435</v>
      </c>
      <c r="R104" s="42">
        <v>0</v>
      </c>
      <c r="S104" s="42">
        <v>71148</v>
      </c>
      <c r="T104" s="42">
        <v>3047299</v>
      </c>
      <c r="U104" s="42">
        <v>107850</v>
      </c>
      <c r="V104" s="42">
        <v>0</v>
      </c>
      <c r="W104" s="42">
        <v>1376</v>
      </c>
      <c r="X104" s="42">
        <f>IFERROR(VLOOKUP(A104,'Trans 21-23'!$A$2:$J$229,8,0),0)</f>
        <v>49501</v>
      </c>
      <c r="Y104" s="42">
        <v>381057</v>
      </c>
      <c r="Z104" s="42">
        <v>12129</v>
      </c>
      <c r="AA104" s="42">
        <v>5313699</v>
      </c>
      <c r="AB104" s="42">
        <v>5278883</v>
      </c>
      <c r="AC104" s="42">
        <v>36961</v>
      </c>
      <c r="AD104" s="42">
        <v>6035466</v>
      </c>
      <c r="AE104" s="42">
        <v>0</v>
      </c>
      <c r="AF104" s="42">
        <v>69780706</v>
      </c>
      <c r="AG104" s="42">
        <v>30607</v>
      </c>
      <c r="AH104" s="42">
        <v>22654</v>
      </c>
      <c r="AI104" s="42">
        <v>240714</v>
      </c>
      <c r="AJ104" s="42">
        <v>1810</v>
      </c>
      <c r="AK104" s="42">
        <v>0</v>
      </c>
      <c r="AL104" s="42">
        <v>115370</v>
      </c>
      <c r="AM104" s="42">
        <v>34545</v>
      </c>
      <c r="AN104" s="42">
        <v>15295</v>
      </c>
      <c r="AO104" s="42">
        <v>589</v>
      </c>
      <c r="AP104" s="42">
        <v>0</v>
      </c>
      <c r="AQ104" s="42">
        <v>165799</v>
      </c>
      <c r="AR104" s="42">
        <v>50451</v>
      </c>
      <c r="AS104" s="42">
        <v>216250</v>
      </c>
      <c r="AT104" s="42">
        <v>0</v>
      </c>
      <c r="AU104" s="42">
        <v>95</v>
      </c>
      <c r="AV104" s="42">
        <v>0</v>
      </c>
      <c r="AW104" s="42">
        <v>44660216</v>
      </c>
      <c r="AX104" s="42">
        <v>4864150</v>
      </c>
      <c r="AY104" s="42">
        <v>16370350</v>
      </c>
      <c r="AZ104" s="42">
        <v>8797835</v>
      </c>
      <c r="BA104" s="42">
        <v>391111</v>
      </c>
      <c r="BB104" s="42">
        <v>170674103</v>
      </c>
      <c r="BC104" s="42">
        <v>195131009</v>
      </c>
      <c r="BD104" s="42">
        <v>4913481</v>
      </c>
      <c r="BE104" s="42">
        <v>79110936</v>
      </c>
      <c r="BF104" s="42">
        <v>7104549</v>
      </c>
      <c r="BG104" s="42">
        <v>0</v>
      </c>
      <c r="BH104" s="42">
        <v>1036804</v>
      </c>
      <c r="BI104" s="42">
        <v>16600</v>
      </c>
      <c r="BJ104" s="42">
        <v>0</v>
      </c>
      <c r="BK104" s="42">
        <v>0</v>
      </c>
      <c r="BL104" s="42">
        <v>0</v>
      </c>
      <c r="BM104" s="42">
        <v>42810</v>
      </c>
      <c r="BN104" s="42">
        <v>1152849</v>
      </c>
      <c r="BO104" s="42">
        <v>264406</v>
      </c>
      <c r="BP104" s="42">
        <v>376187</v>
      </c>
      <c r="BQ104" s="42">
        <v>6346861</v>
      </c>
      <c r="BR104" s="42">
        <v>0</v>
      </c>
      <c r="BS104" s="42">
        <f>IFERROR(VLOOKUP(A104,'Trans 21-23'!$A$2:$J$229,7,0),0)</f>
        <v>1855249</v>
      </c>
      <c r="BT104" s="63"/>
      <c r="BU104" s="32">
        <f t="shared" si="0"/>
        <v>170674103</v>
      </c>
      <c r="BV104" s="32">
        <f t="shared" si="1"/>
        <v>95</v>
      </c>
      <c r="BW104" s="32">
        <f t="shared" si="2"/>
        <v>30607</v>
      </c>
      <c r="BX104" s="32">
        <f t="shared" si="3"/>
        <v>4457336</v>
      </c>
      <c r="BY104" s="32">
        <f t="shared" si="4"/>
        <v>11022729</v>
      </c>
      <c r="BZ104" s="32">
        <f t="shared" si="5"/>
        <v>8797835</v>
      </c>
      <c r="CA104" s="32">
        <f t="shared" si="6"/>
        <v>6035466</v>
      </c>
      <c r="CB104" s="32">
        <f t="shared" si="7"/>
        <v>22654</v>
      </c>
      <c r="CC104" s="32">
        <f t="shared" si="8"/>
        <v>165799</v>
      </c>
      <c r="CD104" s="41">
        <f t="shared" si="67"/>
        <v>1</v>
      </c>
      <c r="CE104" s="44">
        <f t="shared" si="10"/>
        <v>16</v>
      </c>
      <c r="CF104" s="27"/>
      <c r="CG104" s="28">
        <f t="shared" si="11"/>
        <v>1796.5695052631579</v>
      </c>
      <c r="CH104" s="28">
        <f t="shared" si="12"/>
        <v>3.1038651288920835</v>
      </c>
      <c r="CI104" s="28">
        <f t="shared" si="13"/>
        <v>145.63126082268761</v>
      </c>
      <c r="CJ104" s="28">
        <f t="shared" si="14"/>
        <v>287.44519227627666</v>
      </c>
      <c r="CK104" s="23">
        <f t="shared" si="15"/>
        <v>0.13663532349411034</v>
      </c>
      <c r="CL104" s="29" t="str">
        <f t="shared" si="16"/>
        <v/>
      </c>
      <c r="CM104" s="29" t="str">
        <f t="shared" si="17"/>
        <v/>
      </c>
      <c r="CN104" s="29" t="str">
        <f t="shared" si="18"/>
        <v/>
      </c>
      <c r="CO104" s="29" t="str">
        <f t="shared" si="19"/>
        <v/>
      </c>
      <c r="CP104" s="29" t="str">
        <f t="shared" si="20"/>
        <v/>
      </c>
      <c r="CQ104" s="29">
        <f t="shared" si="21"/>
        <v>0</v>
      </c>
      <c r="CR104" s="30"/>
      <c r="CS104" s="7" t="str">
        <f>VLOOKUP(A104,'Empresas 21-23'!$A$2:$M$228,13,0)</f>
        <v/>
      </c>
      <c r="CT104" s="30"/>
      <c r="CU104" s="6">
        <f t="shared" si="22"/>
        <v>150599706</v>
      </c>
      <c r="CV104" s="6">
        <f t="shared" si="23"/>
        <v>8797835</v>
      </c>
      <c r="CW104" s="6">
        <f t="shared" si="24"/>
        <v>4913481</v>
      </c>
      <c r="CX104" s="23">
        <f t="shared" si="65"/>
        <v>0.79172359973051487</v>
      </c>
      <c r="CY104" s="23">
        <f t="shared" si="66"/>
        <v>4.6251442190963603E-2</v>
      </c>
      <c r="CZ104" s="6">
        <f t="shared" si="27"/>
        <v>154489824.86452749</v>
      </c>
      <c r="DA104" s="6">
        <f t="shared" si="28"/>
        <v>9025090.5824278984</v>
      </c>
      <c r="DB104" s="6">
        <f t="shared" si="29"/>
        <v>4457336</v>
      </c>
      <c r="DC104" s="6">
        <f t="shared" si="30"/>
        <v>4506837</v>
      </c>
      <c r="DD104" s="6">
        <f t="shared" si="31"/>
        <v>11022729</v>
      </c>
      <c r="DE104" s="6">
        <f t="shared" si="32"/>
        <v>6035466</v>
      </c>
      <c r="DF104" s="6">
        <f t="shared" si="33"/>
        <v>3406588.0108930082</v>
      </c>
      <c r="DG104" s="30"/>
      <c r="DH104" s="32">
        <f>VLOOKUP(A104,'T_med_comp-USA'!$A$7:$Q$233,17,0)</f>
        <v>11.133506740569848</v>
      </c>
      <c r="DI104" s="6" t="str">
        <f t="shared" si="34"/>
        <v>11_2011</v>
      </c>
      <c r="DJ104" s="32">
        <f>IF(DI104="","",VLOOKUP(DI104,'CPI USA'!$T:$U,2,FALSE))</f>
        <v>224.93899999999999</v>
      </c>
      <c r="DK104" s="32">
        <f>IF(DI104="","",VLOOKUP(DI104,'PPI USA'!$S:$T,2,FALSE))</f>
        <v>169.6</v>
      </c>
      <c r="DL104" s="32">
        <f>IF(DI104="","",VLOOKUP(DI104,'CPI USA'!$T:$V,3,FALSE))</f>
        <v>0.6684022975047168</v>
      </c>
      <c r="DM104" s="32">
        <f>IF(DI104="","",VLOOKUP(DI104,'CPI USA'!$T:$X,5,FALSE))</f>
        <v>0.49636791791307899</v>
      </c>
      <c r="DN104" s="32">
        <f t="shared" si="35"/>
        <v>1.4208751760332547</v>
      </c>
      <c r="DO104" s="32">
        <f t="shared" si="36"/>
        <v>1.4334111417560953</v>
      </c>
      <c r="DP104" s="32">
        <f t="shared" si="37"/>
        <v>0.28595445149547494</v>
      </c>
      <c r="DQ104" s="32">
        <f>IF(DP104="","",DP104*$DO$1/'CPI USA'!$U$520+(1-DP104)*AVERAGE($DO$1,$DQ$1)/AVERAGE('CPI USA'!$U$520,'PPI USA'!$T$526))</f>
        <v>1.0825716317139682</v>
      </c>
      <c r="DR104" s="6">
        <f t="shared" si="38"/>
        <v>16600</v>
      </c>
      <c r="DS104" s="32">
        <f t="shared" si="39"/>
        <v>0.2</v>
      </c>
      <c r="DT104" s="28">
        <f>IF(DS104="","",DS104*$DO$1/'CPI USA'!$U$520+(1-DS104)*AVERAGE($DO$1,$DQ$1)/AVERAGE('CPI USA'!$U$520,'PPI USA'!$T$526))</f>
        <v>1.0854630593748538</v>
      </c>
      <c r="DU104" s="6">
        <f t="shared" si="40"/>
        <v>52628.47653942537</v>
      </c>
      <c r="DV104" s="6">
        <f t="shared" si="57"/>
        <v>2697.2776390069193</v>
      </c>
      <c r="DW104" s="6">
        <f t="shared" si="41"/>
        <v>50553.342852860427</v>
      </c>
      <c r="DX104" s="16">
        <f t="shared" si="42"/>
        <v>0.2</v>
      </c>
      <c r="DY104" s="28">
        <f>IF(DX104="","",DX104*$DO$1/'CPI USA'!$U$520+(1-DX104)*AVERAGE($DO$1,$DQ$1)/AVERAGE('CPI USA'!$U$520,'PPI USA'!$T$526))</f>
        <v>1.0854630593748538</v>
      </c>
      <c r="DZ104" s="30"/>
      <c r="EA104" s="29" t="str">
        <f t="shared" si="43"/>
        <v>C001221</v>
      </c>
      <c r="EB104" s="29">
        <f t="shared" si="44"/>
        <v>219510757.09973219</v>
      </c>
      <c r="EC104" s="29">
        <f t="shared" si="45"/>
        <v>12936665.396210156</v>
      </c>
      <c r="ED104" s="29">
        <f t="shared" si="46"/>
        <v>4878973.8849588856</v>
      </c>
      <c r="EE104" s="29">
        <f t="shared" si="47"/>
        <v>11964765.142999923</v>
      </c>
      <c r="EF104" s="29">
        <f t="shared" si="48"/>
        <v>3697725.4443336222</v>
      </c>
      <c r="EG104" s="29">
        <f t="shared" si="49"/>
        <v>95</v>
      </c>
      <c r="EH104" s="29">
        <f t="shared" si="50"/>
        <v>30607</v>
      </c>
      <c r="EI104" s="29">
        <f t="shared" si="51"/>
        <v>22654</v>
      </c>
      <c r="EJ104" s="29">
        <f t="shared" si="52"/>
        <v>165799</v>
      </c>
      <c r="EK104" s="29">
        <f t="shared" si="53"/>
        <v>187684.71065989847</v>
      </c>
      <c r="EL104" s="29">
        <f>IF(CD104=1,VLOOKUP(EA104,'EIA 2022'!$A$2:$J$213,4,0)*EH104,"")</f>
        <v>2186564.08</v>
      </c>
      <c r="EM104" s="29">
        <f>IF(CD104=1,VLOOKUP(EA104,'EIA 2022'!$A$2:$J$213,7,0)*EH104,"")</f>
        <v>33545.272000000004</v>
      </c>
      <c r="EN104" s="29">
        <f>IF(CD104=1,VLOOKUP(EA104,'EIA 2022'!$A$2:$J$213,10,0),"")</f>
        <v>30859</v>
      </c>
      <c r="EO104" s="28">
        <f>IF(CD104=1,VLOOKUP(EA104,'EIA 2022'!$A$2:$Z$213,26,0),"")</f>
        <v>0</v>
      </c>
      <c r="EP104" s="23">
        <f t="shared" si="54"/>
        <v>0.11660891600039465</v>
      </c>
      <c r="EQ104" s="32">
        <f t="shared" si="55"/>
        <v>768.28934010152443</v>
      </c>
      <c r="ER104" s="32">
        <f t="shared" si="56"/>
        <v>21885.710659898476</v>
      </c>
      <c r="ES104" s="32"/>
      <c r="ET104" s="32"/>
    </row>
    <row r="105" spans="1:150" ht="15.75" customHeight="1">
      <c r="A105" s="7" t="s">
        <v>517</v>
      </c>
      <c r="B105" s="7" t="s">
        <v>518</v>
      </c>
      <c r="C105" s="32" t="s">
        <v>974</v>
      </c>
      <c r="D105" s="42">
        <v>0</v>
      </c>
      <c r="E105" s="42">
        <v>0</v>
      </c>
      <c r="F105" s="42">
        <v>0</v>
      </c>
      <c r="G105" s="42">
        <v>102857418</v>
      </c>
      <c r="H105" s="42">
        <v>103171130</v>
      </c>
      <c r="I105" s="42">
        <v>1277527</v>
      </c>
      <c r="J105" s="42">
        <v>195436</v>
      </c>
      <c r="K105" s="42">
        <v>131739</v>
      </c>
      <c r="L105" s="42">
        <v>440046</v>
      </c>
      <c r="M105" s="42">
        <v>213319</v>
      </c>
      <c r="N105" s="42">
        <v>26790</v>
      </c>
      <c r="O105" s="42">
        <v>76658</v>
      </c>
      <c r="P105" s="42">
        <v>2450</v>
      </c>
      <c r="Q105" s="42">
        <v>201658</v>
      </c>
      <c r="R105" s="42">
        <v>200</v>
      </c>
      <c r="S105" s="42">
        <v>227643</v>
      </c>
      <c r="T105" s="42">
        <v>6604096</v>
      </c>
      <c r="U105" s="42">
        <v>1954</v>
      </c>
      <c r="V105" s="42">
        <v>21503</v>
      </c>
      <c r="W105" s="42">
        <v>11910</v>
      </c>
      <c r="X105" s="42">
        <f>IFERROR(VLOOKUP(A105,'Trans 21-23'!$A$2:$J$229,8,0),0)</f>
        <v>0</v>
      </c>
      <c r="Y105" s="42">
        <v>598287</v>
      </c>
      <c r="Z105" s="42">
        <v>7734</v>
      </c>
      <c r="AA105" s="42">
        <v>4728302</v>
      </c>
      <c r="AB105" s="42">
        <v>5637155</v>
      </c>
      <c r="AC105" s="42">
        <v>60812</v>
      </c>
      <c r="AD105" s="42">
        <v>10562244</v>
      </c>
      <c r="AE105" s="42">
        <v>0</v>
      </c>
      <c r="AF105" s="42">
        <v>166355700</v>
      </c>
      <c r="AG105" s="42">
        <v>80799</v>
      </c>
      <c r="AH105" s="42">
        <v>39985</v>
      </c>
      <c r="AI105" s="42">
        <v>818261</v>
      </c>
      <c r="AJ105" s="42">
        <v>1228</v>
      </c>
      <c r="AK105" s="42">
        <v>0</v>
      </c>
      <c r="AL105" s="42">
        <v>461299</v>
      </c>
      <c r="AM105" s="42">
        <v>166064</v>
      </c>
      <c r="AN105" s="42">
        <v>52280</v>
      </c>
      <c r="AO105" s="42">
        <v>3655</v>
      </c>
      <c r="AP105" s="42">
        <v>0</v>
      </c>
      <c r="AQ105" s="42">
        <v>683298</v>
      </c>
      <c r="AR105" s="42">
        <v>93750</v>
      </c>
      <c r="AS105" s="42">
        <v>777048</v>
      </c>
      <c r="AT105" s="42">
        <v>0</v>
      </c>
      <c r="AU105" s="42">
        <v>293</v>
      </c>
      <c r="AV105" s="42">
        <v>0</v>
      </c>
      <c r="AW105" s="42">
        <v>100751098</v>
      </c>
      <c r="AX105" s="42">
        <v>3015763</v>
      </c>
      <c r="AY105" s="42">
        <v>25649716</v>
      </c>
      <c r="AZ105" s="42">
        <v>18776112</v>
      </c>
      <c r="BA105" s="42">
        <v>3634544</v>
      </c>
      <c r="BB105" s="42">
        <v>385182345</v>
      </c>
      <c r="BC105" s="42">
        <v>443928341</v>
      </c>
      <c r="BD105" s="42">
        <v>34704401</v>
      </c>
      <c r="BE105" s="42">
        <v>133816480</v>
      </c>
      <c r="BF105" s="42">
        <v>11417102</v>
      </c>
      <c r="BG105" s="42">
        <v>0</v>
      </c>
      <c r="BH105" s="42">
        <v>1771598</v>
      </c>
      <c r="BI105" s="42">
        <v>6675</v>
      </c>
      <c r="BJ105" s="42">
        <v>0</v>
      </c>
      <c r="BK105" s="42">
        <v>0</v>
      </c>
      <c r="BL105" s="42">
        <v>0</v>
      </c>
      <c r="BM105" s="42">
        <v>11104</v>
      </c>
      <c r="BN105" s="42">
        <v>1843620</v>
      </c>
      <c r="BO105" s="42">
        <v>153713</v>
      </c>
      <c r="BP105" s="42">
        <v>332133</v>
      </c>
      <c r="BQ105" s="42">
        <v>5396787</v>
      </c>
      <c r="BR105" s="42">
        <v>0</v>
      </c>
      <c r="BS105" s="42">
        <f>IFERROR(VLOOKUP(A105,'Trans 21-23'!$A$2:$J$229,7,0),0)</f>
        <v>0</v>
      </c>
      <c r="BT105" s="63"/>
      <c r="BU105" s="32">
        <f t="shared" si="0"/>
        <v>385182345</v>
      </c>
      <c r="BV105" s="32">
        <f t="shared" si="1"/>
        <v>293</v>
      </c>
      <c r="BW105" s="32">
        <f t="shared" si="2"/>
        <v>80799</v>
      </c>
      <c r="BX105" s="32">
        <f t="shared" si="3"/>
        <v>9432929</v>
      </c>
      <c r="BY105" s="32">
        <f t="shared" si="4"/>
        <v>11032290</v>
      </c>
      <c r="BZ105" s="32">
        <f t="shared" si="5"/>
        <v>18776112</v>
      </c>
      <c r="CA105" s="32">
        <f t="shared" si="6"/>
        <v>10562244</v>
      </c>
      <c r="CB105" s="32">
        <f t="shared" si="7"/>
        <v>39985</v>
      </c>
      <c r="CC105" s="32">
        <f t="shared" si="8"/>
        <v>683298</v>
      </c>
      <c r="CD105" s="41">
        <f t="shared" si="67"/>
        <v>1</v>
      </c>
      <c r="CE105" s="44">
        <f t="shared" si="10"/>
        <v>15</v>
      </c>
      <c r="CF105" s="27"/>
      <c r="CG105" s="28">
        <f t="shared" si="11"/>
        <v>1314.6155119453924</v>
      </c>
      <c r="CH105" s="28">
        <f t="shared" si="12"/>
        <v>3.6262825034963302</v>
      </c>
      <c r="CI105" s="28">
        <f t="shared" si="13"/>
        <v>116.74561566356019</v>
      </c>
      <c r="CJ105" s="28">
        <f t="shared" si="14"/>
        <v>232.38049975866039</v>
      </c>
      <c r="CK105" s="23">
        <f t="shared" si="15"/>
        <v>5.8517659937538234E-2</v>
      </c>
      <c r="CL105" s="29" t="str">
        <f t="shared" si="16"/>
        <v/>
      </c>
      <c r="CM105" s="29" t="str">
        <f t="shared" si="17"/>
        <v/>
      </c>
      <c r="CN105" s="29" t="str">
        <f t="shared" si="18"/>
        <v/>
      </c>
      <c r="CO105" s="29" t="str">
        <f t="shared" si="19"/>
        <v/>
      </c>
      <c r="CP105" s="29" t="str">
        <f t="shared" si="20"/>
        <v/>
      </c>
      <c r="CQ105" s="29">
        <f t="shared" si="21"/>
        <v>0</v>
      </c>
      <c r="CR105" s="30"/>
      <c r="CS105" s="7">
        <f>VLOOKUP(A105,'Empresas 21-23'!$A$2:$M$228,13,0)</f>
        <v>1</v>
      </c>
      <c r="CT105" s="30"/>
      <c r="CU105" s="6">
        <f t="shared" si="22"/>
        <v>345572401.60000002</v>
      </c>
      <c r="CV105" s="6">
        <f t="shared" si="23"/>
        <v>18776112</v>
      </c>
      <c r="CW105" s="6">
        <f t="shared" si="24"/>
        <v>34704401</v>
      </c>
      <c r="CX105" s="23">
        <f t="shared" si="65"/>
        <v>0.84445793078479237</v>
      </c>
      <c r="CY105" s="23">
        <f t="shared" si="66"/>
        <v>4.5882242373210133E-2</v>
      </c>
      <c r="CZ105" s="6">
        <f t="shared" si="27"/>
        <v>374878808.2575857</v>
      </c>
      <c r="DA105" s="6">
        <f t="shared" si="28"/>
        <v>20368427.738099076</v>
      </c>
      <c r="DB105" s="6">
        <f t="shared" si="29"/>
        <v>9432929</v>
      </c>
      <c r="DC105" s="6">
        <f t="shared" si="30"/>
        <v>9432929</v>
      </c>
      <c r="DD105" s="6">
        <f t="shared" si="31"/>
        <v>11032290</v>
      </c>
      <c r="DE105" s="6">
        <f t="shared" si="32"/>
        <v>10562244</v>
      </c>
      <c r="DF105" s="6">
        <f t="shared" si="33"/>
        <v>4107736.2599181952</v>
      </c>
      <c r="DG105" s="30"/>
      <c r="DH105" s="32">
        <f>VLOOKUP(A105,'T_med_comp-USA'!$A$7:$Q$233,17,0)</f>
        <v>11.094561770489941</v>
      </c>
      <c r="DI105" s="6" t="str">
        <f t="shared" si="34"/>
        <v>11_2011</v>
      </c>
      <c r="DJ105" s="32">
        <f>IF(DI105="","",VLOOKUP(DI105,'CPI USA'!$T:$U,2,FALSE))</f>
        <v>224.93899999999999</v>
      </c>
      <c r="DK105" s="32">
        <f>IF(DI105="","",VLOOKUP(DI105,'PPI USA'!$S:$T,2,FALSE))</f>
        <v>169.6</v>
      </c>
      <c r="DL105" s="32">
        <f>IF(DI105="","",VLOOKUP(DI105,'CPI USA'!$T:$V,3,FALSE))</f>
        <v>0.6684022975047168</v>
      </c>
      <c r="DM105" s="32">
        <f>IF(DI105="","",VLOOKUP(DI105,'CPI USA'!$T:$X,5,FALSE))</f>
        <v>0.49636791791307899</v>
      </c>
      <c r="DN105" s="32">
        <f t="shared" si="35"/>
        <v>1.4208751760332547</v>
      </c>
      <c r="DO105" s="32">
        <f t="shared" si="36"/>
        <v>1.4334111417560953</v>
      </c>
      <c r="DP105" s="32">
        <f t="shared" si="37"/>
        <v>0.20346873378936764</v>
      </c>
      <c r="DQ105" s="32">
        <f>IF(DP105="","",DP105*$DO$1/'CPI USA'!$U$520+(1-DP105)*AVERAGE($DO$1,$DQ$1)/AVERAGE('CPI USA'!$U$520,'PPI USA'!$T$526))</f>
        <v>1.0853463744021463</v>
      </c>
      <c r="DR105" s="6">
        <f t="shared" si="38"/>
        <v>6675</v>
      </c>
      <c r="DS105" s="32">
        <f t="shared" si="39"/>
        <v>0.2</v>
      </c>
      <c r="DT105" s="28">
        <f>IF(DS105="","",DS105*$DO$1/'CPI USA'!$U$520+(1-DS105)*AVERAGE($DO$1,$DQ$1)/AVERAGE('CPI USA'!$U$520,'PPI USA'!$T$526))</f>
        <v>1.0854630593748538</v>
      </c>
      <c r="DU105" s="6">
        <f t="shared" si="40"/>
        <v>12029.803122118441</v>
      </c>
      <c r="DV105" s="6">
        <f t="shared" si="57"/>
        <v>728.1849524172826</v>
      </c>
      <c r="DW105" s="6">
        <f t="shared" si="41"/>
        <v>12305.781954670087</v>
      </c>
      <c r="DX105" s="16">
        <f t="shared" si="42"/>
        <v>0.2</v>
      </c>
      <c r="DY105" s="28">
        <f>IF(DX105="","",DX105*$DO$1/'CPI USA'!$U$520+(1-DX105)*AVERAGE($DO$1,$DQ$1)/AVERAGE('CPI USA'!$U$520,'PPI USA'!$T$526))</f>
        <v>1.0854630593748538</v>
      </c>
      <c r="DZ105" s="30"/>
      <c r="EA105" s="29" t="str">
        <f t="shared" si="43"/>
        <v>C001222</v>
      </c>
      <c r="EB105" s="29">
        <f t="shared" si="44"/>
        <v>532655992.67413384</v>
      </c>
      <c r="EC105" s="29">
        <f t="shared" si="45"/>
        <v>29196331.259845119</v>
      </c>
      <c r="ED105" s="29">
        <f t="shared" si="46"/>
        <v>10237995.290142864</v>
      </c>
      <c r="EE105" s="29">
        <f t="shared" si="47"/>
        <v>11975143.255310606</v>
      </c>
      <c r="EF105" s="29">
        <f t="shared" si="48"/>
        <v>4458795.9677958237</v>
      </c>
      <c r="EG105" s="29">
        <f t="shared" si="49"/>
        <v>293</v>
      </c>
      <c r="EH105" s="29">
        <f t="shared" si="50"/>
        <v>80799</v>
      </c>
      <c r="EI105" s="29">
        <f t="shared" si="51"/>
        <v>39985</v>
      </c>
      <c r="EJ105" s="29">
        <f t="shared" si="52"/>
        <v>683298</v>
      </c>
      <c r="EK105" s="29">
        <f t="shared" si="53"/>
        <v>721855.33502538071</v>
      </c>
      <c r="EL105" s="29">
        <f>IF(CD105=1,VLOOKUP(EA105,'EIA 2022'!$A$2:$J$213,4,0)*EH105,"")</f>
        <v>5719761.2100000009</v>
      </c>
      <c r="EM105" s="29">
        <f>IF(CD105=1,VLOOKUP(EA105,'EIA 2022'!$A$2:$J$213,7,0)*EH105,"")</f>
        <v>113118.59999999999</v>
      </c>
      <c r="EN105" s="29">
        <f>IF(CD105=1,VLOOKUP(EA105,'EIA 2022'!$A$2:$J$213,10,0),"")</f>
        <v>79583</v>
      </c>
      <c r="EO105" s="28">
        <f>IF(CD105=1,VLOOKUP(EA105,'EIA 2022'!$A$2:$Z$213,26,0),"")</f>
        <v>0</v>
      </c>
      <c r="EP105" s="23">
        <f t="shared" si="54"/>
        <v>5.34142135612602E-2</v>
      </c>
      <c r="EQ105" s="32">
        <f t="shared" si="55"/>
        <v>1427.6649746192852</v>
      </c>
      <c r="ER105" s="32">
        <f t="shared" si="56"/>
        <v>38557.335025380715</v>
      </c>
      <c r="ES105" s="32"/>
      <c r="ET105" s="32"/>
    </row>
    <row r="106" spans="1:150" ht="15.75" customHeight="1">
      <c r="A106" s="7" t="s">
        <v>520</v>
      </c>
      <c r="B106" s="7" t="s">
        <v>521</v>
      </c>
      <c r="C106" s="32" t="s">
        <v>975</v>
      </c>
      <c r="D106" s="42">
        <v>0</v>
      </c>
      <c r="E106" s="42">
        <v>0</v>
      </c>
      <c r="F106" s="42">
        <v>0</v>
      </c>
      <c r="G106" s="42">
        <v>1033113975</v>
      </c>
      <c r="H106" s="42">
        <v>1034470813</v>
      </c>
      <c r="I106" s="42">
        <v>6980952</v>
      </c>
      <c r="J106" s="42">
        <v>397179</v>
      </c>
      <c r="K106" s="42">
        <v>3768326</v>
      </c>
      <c r="L106" s="42">
        <v>34623912</v>
      </c>
      <c r="M106" s="42">
        <v>5526084</v>
      </c>
      <c r="N106" s="42">
        <v>3521554</v>
      </c>
      <c r="O106" s="42">
        <v>22963438</v>
      </c>
      <c r="P106" s="42">
        <v>7093459</v>
      </c>
      <c r="Q106" s="42">
        <v>142634</v>
      </c>
      <c r="R106" s="42">
        <v>240674</v>
      </c>
      <c r="S106" s="42">
        <v>3060675</v>
      </c>
      <c r="T106" s="42">
        <v>82163782</v>
      </c>
      <c r="U106" s="42">
        <v>2925726</v>
      </c>
      <c r="V106" s="42">
        <v>2103350</v>
      </c>
      <c r="W106" s="42">
        <v>2173652</v>
      </c>
      <c r="X106" s="42">
        <f>IFERROR(VLOOKUP(A106,'Trans 21-23'!$A$2:$J$229,8,0),0)</f>
        <v>33244048</v>
      </c>
      <c r="Y106" s="42">
        <v>8538842</v>
      </c>
      <c r="Z106" s="42">
        <v>2039</v>
      </c>
      <c r="AA106" s="42">
        <v>73777739</v>
      </c>
      <c r="AB106" s="42">
        <v>92172195</v>
      </c>
      <c r="AC106" s="42">
        <v>1354382</v>
      </c>
      <c r="AD106" s="42">
        <v>172925786</v>
      </c>
      <c r="AE106" s="42">
        <v>0</v>
      </c>
      <c r="AF106" s="42">
        <v>1834318038</v>
      </c>
      <c r="AG106" s="42">
        <v>1472801</v>
      </c>
      <c r="AH106" s="42">
        <v>2333309</v>
      </c>
      <c r="AI106" s="42">
        <v>40922052</v>
      </c>
      <c r="AJ106" s="42">
        <v>49587</v>
      </c>
      <c r="AK106" s="42">
        <v>0</v>
      </c>
      <c r="AL106" s="42">
        <v>14962023</v>
      </c>
      <c r="AM106" s="42">
        <v>13990327</v>
      </c>
      <c r="AN106" s="42">
        <v>8563188</v>
      </c>
      <c r="AO106" s="42">
        <v>69311</v>
      </c>
      <c r="AP106" s="42">
        <v>687</v>
      </c>
      <c r="AQ106" s="42">
        <v>37585536</v>
      </c>
      <c r="AR106" s="42">
        <v>953620</v>
      </c>
      <c r="AS106" s="42">
        <v>38539156</v>
      </c>
      <c r="AT106" s="42">
        <v>0</v>
      </c>
      <c r="AU106" s="42">
        <v>7303</v>
      </c>
      <c r="AV106" s="42">
        <v>0</v>
      </c>
      <c r="AW106" s="42">
        <v>1393784710</v>
      </c>
      <c r="AX106" s="42">
        <v>253839788</v>
      </c>
      <c r="AY106" s="42">
        <v>753531755</v>
      </c>
      <c r="AZ106" s="42">
        <v>319575683</v>
      </c>
      <c r="BA106" s="42">
        <v>165955699</v>
      </c>
      <c r="BB106" s="42">
        <v>6695140110</v>
      </c>
      <c r="BC106" s="42">
        <v>15256837685</v>
      </c>
      <c r="BD106" s="42">
        <v>815816404</v>
      </c>
      <c r="BE106" s="42">
        <v>2122553270</v>
      </c>
      <c r="BF106" s="42">
        <v>160811545</v>
      </c>
      <c r="BG106" s="42">
        <v>0</v>
      </c>
      <c r="BH106" s="42">
        <v>28477825</v>
      </c>
      <c r="BI106" s="42">
        <v>20482195</v>
      </c>
      <c r="BJ106" s="42">
        <v>4290221</v>
      </c>
      <c r="BK106" s="42">
        <v>0</v>
      </c>
      <c r="BL106" s="42">
        <v>0</v>
      </c>
      <c r="BM106" s="42">
        <v>7207887</v>
      </c>
      <c r="BN106" s="42">
        <v>65182580</v>
      </c>
      <c r="BO106" s="42">
        <v>14667906</v>
      </c>
      <c r="BP106" s="42">
        <v>7311911</v>
      </c>
      <c r="BQ106" s="42">
        <v>146863575</v>
      </c>
      <c r="BR106" s="42">
        <v>0</v>
      </c>
      <c r="BS106" s="42">
        <f>IFERROR(VLOOKUP(A106,'Trans 21-23'!$A$2:$J$229,7,0),0)</f>
        <v>3010701107</v>
      </c>
      <c r="BT106" s="63"/>
      <c r="BU106" s="32">
        <f t="shared" si="0"/>
        <v>6695140110</v>
      </c>
      <c r="BV106" s="32">
        <f t="shared" si="1"/>
        <v>7303</v>
      </c>
      <c r="BW106" s="32">
        <f t="shared" si="2"/>
        <v>1472801</v>
      </c>
      <c r="BX106" s="32">
        <f t="shared" si="3"/>
        <v>177685397</v>
      </c>
      <c r="BY106" s="32">
        <f t="shared" si="4"/>
        <v>175845197</v>
      </c>
      <c r="BZ106" s="32">
        <f t="shared" si="5"/>
        <v>319575683</v>
      </c>
      <c r="CA106" s="32">
        <f t="shared" si="6"/>
        <v>172925786</v>
      </c>
      <c r="CB106" s="32">
        <f t="shared" si="7"/>
        <v>2333309</v>
      </c>
      <c r="CC106" s="32">
        <f t="shared" si="8"/>
        <v>37585536</v>
      </c>
      <c r="CD106" s="41">
        <f t="shared" si="67"/>
        <v>1</v>
      </c>
      <c r="CE106" s="44">
        <f t="shared" si="10"/>
        <v>11</v>
      </c>
      <c r="CF106" s="27"/>
      <c r="CG106" s="28">
        <f t="shared" si="11"/>
        <v>916.76572778310288</v>
      </c>
      <c r="CH106" s="28">
        <f t="shared" si="12"/>
        <v>4.9585789254624348</v>
      </c>
      <c r="CI106" s="28">
        <f t="shared" si="13"/>
        <v>120.64453853575601</v>
      </c>
      <c r="CJ106" s="28">
        <f t="shared" si="14"/>
        <v>216.98497149309378</v>
      </c>
      <c r="CK106" s="23">
        <f t="shared" si="15"/>
        <v>6.2079971401764765E-2</v>
      </c>
      <c r="CL106" s="29" t="str">
        <f t="shared" si="16"/>
        <v/>
      </c>
      <c r="CM106" s="29" t="str">
        <f t="shared" si="17"/>
        <v/>
      </c>
      <c r="CN106" s="29" t="str">
        <f t="shared" si="18"/>
        <v/>
      </c>
      <c r="CO106" s="29" t="str">
        <f t="shared" si="19"/>
        <v/>
      </c>
      <c r="CP106" s="29" t="str">
        <f t="shared" si="20"/>
        <v/>
      </c>
      <c r="CQ106" s="29">
        <f t="shared" si="21"/>
        <v>0</v>
      </c>
      <c r="CR106" s="30"/>
      <c r="CS106" s="7">
        <f>VLOOKUP(A106,'Empresas 21-23'!$A$2:$M$228,13,0)</f>
        <v>1</v>
      </c>
      <c r="CT106" s="30"/>
      <c r="CU106" s="6">
        <f t="shared" si="22"/>
        <v>8615886909.2000008</v>
      </c>
      <c r="CV106" s="6">
        <f t="shared" si="23"/>
        <v>319575683</v>
      </c>
      <c r="CW106" s="6">
        <f t="shared" si="24"/>
        <v>815816404</v>
      </c>
      <c r="CX106" s="23">
        <f t="shared" si="65"/>
        <v>0.59662587164357217</v>
      </c>
      <c r="CY106" s="23">
        <f t="shared" si="66"/>
        <v>2.2129714843676922E-2</v>
      </c>
      <c r="CZ106" s="6">
        <f t="shared" si="27"/>
        <v>9102624082.3376255</v>
      </c>
      <c r="DA106" s="6">
        <f t="shared" si="28"/>
        <v>337629467.38531393</v>
      </c>
      <c r="DB106" s="6">
        <f t="shared" si="29"/>
        <v>177685397</v>
      </c>
      <c r="DC106" s="6">
        <f t="shared" si="30"/>
        <v>210929445</v>
      </c>
      <c r="DD106" s="6">
        <f t="shared" si="31"/>
        <v>175845197</v>
      </c>
      <c r="DE106" s="6">
        <f t="shared" si="32"/>
        <v>172925786</v>
      </c>
      <c r="DF106" s="6">
        <f t="shared" si="33"/>
        <v>106685311.44732252</v>
      </c>
      <c r="DG106" s="30"/>
      <c r="DH106" s="32">
        <f>VLOOKUP(A106,'T_med_comp-USA'!$A$7:$Q$233,17,0)</f>
        <v>13.432377851984612</v>
      </c>
      <c r="DI106" s="6" t="str">
        <f t="shared" si="34"/>
        <v>7_2009</v>
      </c>
      <c r="DJ106" s="32">
        <f>IF(DI106="","",VLOOKUP(DI106,'CPI USA'!$T:$U,2,FALSE))</f>
        <v>214.53700000000001</v>
      </c>
      <c r="DK106" s="32">
        <f>IF(DI106="","",VLOOKUP(DI106,'PPI USA'!$S:$T,2,FALSE))</f>
        <v>159.1</v>
      </c>
      <c r="DL106" s="32">
        <f>IF(DI106="","",VLOOKUP(DI106,'CPI USA'!$T:$V,3,FALSE))</f>
        <v>0.66997101349938215</v>
      </c>
      <c r="DM106" s="32">
        <f>IF(DI106="","",VLOOKUP(DI106,'CPI USA'!$T:$X,5,FALSE))</f>
        <v>0.49813941766071862</v>
      </c>
      <c r="DN106" s="32">
        <f t="shared" si="35"/>
        <v>1.4932638886873792</v>
      </c>
      <c r="DO106" s="32">
        <f t="shared" si="36"/>
        <v>1.5082750176818205</v>
      </c>
      <c r="DP106" s="32">
        <f t="shared" si="37"/>
        <v>0.2</v>
      </c>
      <c r="DQ106" s="32">
        <f>IF(DP106="","",DP106*$DO$1/'CPI USA'!$U$520+(1-DP106)*AVERAGE($DO$1,$DQ$1)/AVERAGE('CPI USA'!$U$520,'PPI USA'!$T$526))</f>
        <v>1.0854630593748538</v>
      </c>
      <c r="DR106" s="6">
        <f t="shared" si="38"/>
        <v>24772416</v>
      </c>
      <c r="DS106" s="32">
        <f t="shared" si="39"/>
        <v>0.2</v>
      </c>
      <c r="DT106" s="28">
        <f>IF(DS106="","",DS106*$DO$1/'CPI USA'!$U$520+(1-DS106)*AVERAGE($DO$1,$DQ$1)/AVERAGE('CPI USA'!$U$520,'PPI USA'!$T$526))</f>
        <v>1.0854630593748538</v>
      </c>
      <c r="DU106" s="6">
        <f t="shared" si="40"/>
        <v>8829863.4387144856</v>
      </c>
      <c r="DV106" s="6">
        <f t="shared" si="57"/>
        <v>377662.4852144866</v>
      </c>
      <c r="DW106" s="6">
        <f t="shared" si="41"/>
        <v>7521993.9815663239</v>
      </c>
      <c r="DX106" s="16">
        <f t="shared" si="42"/>
        <v>0.2</v>
      </c>
      <c r="DY106" s="28">
        <f>IF(DX106="","",DX106*$DO$1/'CPI USA'!$U$520+(1-DX106)*AVERAGE($DO$1,$DQ$1)/AVERAGE('CPI USA'!$U$520,'PPI USA'!$T$526))</f>
        <v>1.0854630593748538</v>
      </c>
      <c r="DZ106" s="30"/>
      <c r="EA106" s="29" t="str">
        <f t="shared" si="43"/>
        <v>C001230</v>
      </c>
      <c r="EB106" s="29">
        <f t="shared" si="44"/>
        <v>13592619834.450871</v>
      </c>
      <c r="EC106" s="29">
        <f t="shared" si="45"/>
        <v>509238090.89048797</v>
      </c>
      <c r="ED106" s="29">
        <f t="shared" si="46"/>
        <v>228956120.68193996</v>
      </c>
      <c r="EE106" s="29">
        <f t="shared" si="47"/>
        <v>190873465.51199386</v>
      </c>
      <c r="EF106" s="29">
        <f t="shared" si="48"/>
        <v>115802964.55396982</v>
      </c>
      <c r="EG106" s="29">
        <f t="shared" si="49"/>
        <v>7303</v>
      </c>
      <c r="EH106" s="29">
        <f t="shared" si="50"/>
        <v>1472801</v>
      </c>
      <c r="EI106" s="29">
        <f t="shared" si="51"/>
        <v>2333309</v>
      </c>
      <c r="EJ106" s="29">
        <f t="shared" si="52"/>
        <v>37585536</v>
      </c>
      <c r="EK106" s="29">
        <f t="shared" si="53"/>
        <v>39904322.868020304</v>
      </c>
      <c r="EL106" s="29">
        <f>IF(CD106=1,VLOOKUP(EA106,'EIA 2022'!$A$2:$J$213,4,0)*EH106,"")</f>
        <v>131521129.3</v>
      </c>
      <c r="EM106" s="29">
        <f>IF(CD106=1,VLOOKUP(EA106,'EIA 2022'!$A$2:$J$213,7,0)*EH106,"")</f>
        <v>1318156.895</v>
      </c>
      <c r="EN106" s="29">
        <f>IF(CD106=1,VLOOKUP(EA106,'EIA 2022'!$A$2:$J$213,10,0),"")</f>
        <v>1472811</v>
      </c>
      <c r="EO106" s="28">
        <f>IF(CD106=1,VLOOKUP(EA106,'EIA 2022'!$A$2:$Z$213,26,0),"")</f>
        <v>0</v>
      </c>
      <c r="EP106" s="23">
        <f t="shared" si="54"/>
        <v>5.8108663457076271E-2</v>
      </c>
      <c r="EQ106" s="32">
        <f t="shared" si="55"/>
        <v>14522.131979695405</v>
      </c>
      <c r="ER106" s="32">
        <f t="shared" si="56"/>
        <v>2318786.8680203045</v>
      </c>
      <c r="ES106" s="32"/>
      <c r="ET106" s="32"/>
    </row>
    <row r="107" spans="1:150" ht="15.75" customHeight="1">
      <c r="A107" s="7" t="s">
        <v>523</v>
      </c>
      <c r="B107" s="7" t="s">
        <v>524</v>
      </c>
      <c r="C107" s="32" t="s">
        <v>976</v>
      </c>
      <c r="D107" s="42">
        <v>110831497</v>
      </c>
      <c r="E107" s="42">
        <v>0</v>
      </c>
      <c r="F107" s="42">
        <v>1017443</v>
      </c>
      <c r="G107" s="42">
        <v>70570961</v>
      </c>
      <c r="H107" s="42">
        <v>70819335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f>IFERROR(VLOOKUP(A107,'Trans 21-23'!$A$2:$J$229,8,0),0)</f>
        <v>0</v>
      </c>
      <c r="Y107" s="42">
        <v>0</v>
      </c>
      <c r="Z107" s="42">
        <v>42677</v>
      </c>
      <c r="AA107" s="42">
        <v>0</v>
      </c>
      <c r="AB107" s="42">
        <v>0</v>
      </c>
      <c r="AC107" s="42">
        <v>1662282</v>
      </c>
      <c r="AD107" s="42">
        <v>14565654</v>
      </c>
      <c r="AE107" s="42">
        <v>0</v>
      </c>
      <c r="AF107" s="42">
        <v>233523252</v>
      </c>
      <c r="AG107" s="42">
        <v>11</v>
      </c>
      <c r="AH107" s="42">
        <v>202080</v>
      </c>
      <c r="AI107" s="42">
        <v>5310058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40818</v>
      </c>
      <c r="AR107" s="42">
        <v>5067160</v>
      </c>
      <c r="AS107" s="42">
        <v>5107978</v>
      </c>
      <c r="AT107" s="42">
        <v>0</v>
      </c>
      <c r="AU107" s="42">
        <v>843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505838462</v>
      </c>
      <c r="BD107" s="42">
        <v>20707174</v>
      </c>
      <c r="BE107" s="42">
        <v>0</v>
      </c>
      <c r="BF107" s="42">
        <v>0</v>
      </c>
      <c r="BG107" s="42">
        <v>0</v>
      </c>
      <c r="BH107" s="42">
        <v>0</v>
      </c>
      <c r="BI107" s="42">
        <v>135611</v>
      </c>
      <c r="BJ107" s="42">
        <v>135611</v>
      </c>
      <c r="BK107" s="42">
        <v>1074003</v>
      </c>
      <c r="BL107" s="42">
        <v>0</v>
      </c>
      <c r="BM107" s="42">
        <v>3044925</v>
      </c>
      <c r="BN107" s="42">
        <v>17715179</v>
      </c>
      <c r="BO107" s="42">
        <v>0</v>
      </c>
      <c r="BP107" s="42">
        <v>0</v>
      </c>
      <c r="BQ107" s="42">
        <v>17714404</v>
      </c>
      <c r="BR107" s="42">
        <v>40818</v>
      </c>
      <c r="BS107" s="42">
        <f>IFERROR(VLOOKUP(A107,'Trans 21-23'!$A$2:$J$229,7,0),0)</f>
        <v>0</v>
      </c>
      <c r="BT107" s="63"/>
      <c r="BU107" s="32">
        <f t="shared" si="0"/>
        <v>0</v>
      </c>
      <c r="BV107" s="32">
        <f t="shared" si="1"/>
        <v>843</v>
      </c>
      <c r="BW107" s="32">
        <f t="shared" si="2"/>
        <v>11</v>
      </c>
      <c r="BX107" s="32">
        <f t="shared" si="3"/>
        <v>0</v>
      </c>
      <c r="BY107" s="32">
        <f t="shared" si="4"/>
        <v>1704959</v>
      </c>
      <c r="BZ107" s="32">
        <f t="shared" si="5"/>
        <v>0</v>
      </c>
      <c r="CA107" s="32">
        <f t="shared" si="6"/>
        <v>14565654</v>
      </c>
      <c r="CB107" s="32">
        <f t="shared" si="7"/>
        <v>202080</v>
      </c>
      <c r="CC107" s="32">
        <f t="shared" si="8"/>
        <v>40818</v>
      </c>
      <c r="CD107" s="41">
        <f t="shared" si="67"/>
        <v>0</v>
      </c>
      <c r="CE107" s="44">
        <f t="shared" si="10"/>
        <v>44</v>
      </c>
      <c r="CF107" s="27"/>
      <c r="CG107" s="28" t="str">
        <f t="shared" si="11"/>
        <v/>
      </c>
      <c r="CH107" s="28" t="str">
        <f t="shared" si="12"/>
        <v/>
      </c>
      <c r="CI107" s="28" t="str">
        <f t="shared" si="13"/>
        <v/>
      </c>
      <c r="CJ107" s="28" t="str">
        <f t="shared" si="14"/>
        <v/>
      </c>
      <c r="CK107" s="23" t="str">
        <f t="shared" si="15"/>
        <v/>
      </c>
      <c r="CL107" s="29" t="str">
        <f t="shared" si="16"/>
        <v/>
      </c>
      <c r="CM107" s="29" t="str">
        <f t="shared" si="17"/>
        <v/>
      </c>
      <c r="CN107" s="29" t="str">
        <f t="shared" si="18"/>
        <v/>
      </c>
      <c r="CO107" s="29" t="str">
        <f t="shared" si="19"/>
        <v/>
      </c>
      <c r="CP107" s="29" t="str">
        <f t="shared" si="20"/>
        <v/>
      </c>
      <c r="CQ107" s="29" t="str">
        <f t="shared" si="21"/>
        <v/>
      </c>
      <c r="CR107" s="30"/>
      <c r="CS107" s="7" t="str">
        <f>VLOOKUP(A107,'Empresas 21-23'!$A$2:$M$228,13,0)</f>
        <v/>
      </c>
      <c r="CT107" s="30"/>
      <c r="CU107" s="6">
        <f t="shared" si="22"/>
        <v>0</v>
      </c>
      <c r="CV107" s="6">
        <f t="shared" si="23"/>
        <v>0</v>
      </c>
      <c r="CW107" s="6">
        <f t="shared" si="24"/>
        <v>20707174</v>
      </c>
      <c r="CX107" s="23">
        <f t="shared" si="65"/>
        <v>0</v>
      </c>
      <c r="CY107" s="23">
        <f t="shared" si="66"/>
        <v>0</v>
      </c>
      <c r="CZ107" s="6">
        <f t="shared" si="27"/>
        <v>0</v>
      </c>
      <c r="DA107" s="6">
        <f t="shared" si="28"/>
        <v>0</v>
      </c>
      <c r="DB107" s="6">
        <f t="shared" si="29"/>
        <v>0</v>
      </c>
      <c r="DC107" s="6">
        <f t="shared" si="30"/>
        <v>0</v>
      </c>
      <c r="DD107" s="6">
        <f t="shared" si="31"/>
        <v>1704959</v>
      </c>
      <c r="DE107" s="6">
        <f t="shared" si="32"/>
        <v>14565654</v>
      </c>
      <c r="DF107" s="6">
        <f t="shared" si="33"/>
        <v>684329.18625089806</v>
      </c>
      <c r="DG107" s="30"/>
      <c r="DH107" s="32" t="str">
        <f>VLOOKUP(A107,'T_med_comp-USA'!$A$7:$Q$233,17,0)</f>
        <v>-</v>
      </c>
      <c r="DI107" s="6" t="str">
        <f t="shared" si="34"/>
        <v/>
      </c>
      <c r="DJ107" s="32" t="str">
        <f>IF(DI107="","",VLOOKUP(DI107,'CPI USA'!$T:$U,2,FALSE))</f>
        <v/>
      </c>
      <c r="DK107" s="32" t="str">
        <f>IF(DI107="","",VLOOKUP(DI107,'PPI USA'!$S:$T,2,FALSE))</f>
        <v/>
      </c>
      <c r="DL107" s="32" t="str">
        <f>IF(DI107="","",VLOOKUP(DI107,'CPI USA'!$T:$V,3,FALSE))</f>
        <v/>
      </c>
      <c r="DM107" s="32" t="str">
        <f>IF(DI107="","",VLOOKUP(DI107,'CPI USA'!$T:$X,5,FALSE))</f>
        <v/>
      </c>
      <c r="DN107" s="32" t="str">
        <f t="shared" si="35"/>
        <v/>
      </c>
      <c r="DO107" s="32" t="str">
        <f t="shared" si="36"/>
        <v/>
      </c>
      <c r="DP107" s="32" t="str">
        <f t="shared" si="37"/>
        <v/>
      </c>
      <c r="DQ107" s="32" t="str">
        <f>IF(DP107="","",DP107*$DO$1/'CPI USA'!$U$520+(1-DP107)*AVERAGE($DO$1,$DQ$1)/AVERAGE('CPI USA'!$U$520,'PPI USA'!$T$526))</f>
        <v/>
      </c>
      <c r="DR107" s="6">
        <f t="shared" si="38"/>
        <v>1345225</v>
      </c>
      <c r="DS107" s="32">
        <f t="shared" si="39"/>
        <v>0.78900724298942082</v>
      </c>
      <c r="DT107" s="28">
        <f>IF(DS107="","",DS107*$DO$1/'CPI USA'!$U$520+(1-DS107)*AVERAGE($DO$1,$DQ$1)/AVERAGE('CPI USA'!$U$520,'PPI USA'!$T$526))</f>
        <v>1.0656494045238165</v>
      </c>
      <c r="DU107" s="6" t="str">
        <f t="shared" si="40"/>
        <v/>
      </c>
      <c r="DV107" s="6">
        <f t="shared" si="57"/>
        <v>0</v>
      </c>
      <c r="DW107" s="6">
        <f t="shared" si="41"/>
        <v>0</v>
      </c>
      <c r="DX107" s="16" t="str">
        <f t="shared" si="42"/>
        <v/>
      </c>
      <c r="DY107" s="28" t="str">
        <f>IF(DX107="","",DX107*$DO$1/'CPI USA'!$U$520+(1-DX107)*AVERAGE($DO$1,$DQ$1)/AVERAGE('CPI USA'!$U$520,'PPI USA'!$T$526))</f>
        <v/>
      </c>
      <c r="DZ107" s="30"/>
      <c r="EA107" s="29" t="str">
        <f t="shared" si="43"/>
        <v>C001245</v>
      </c>
      <c r="EB107" s="29" t="str">
        <f t="shared" si="44"/>
        <v/>
      </c>
      <c r="EC107" s="29" t="str">
        <f t="shared" si="45"/>
        <v/>
      </c>
      <c r="ED107" s="29" t="str">
        <f t="shared" si="46"/>
        <v/>
      </c>
      <c r="EE107" s="29" t="str">
        <f t="shared" si="47"/>
        <v/>
      </c>
      <c r="EF107" s="29" t="str">
        <f t="shared" si="48"/>
        <v/>
      </c>
      <c r="EG107" s="29" t="str">
        <f t="shared" si="49"/>
        <v/>
      </c>
      <c r="EH107" s="29" t="str">
        <f t="shared" si="50"/>
        <v/>
      </c>
      <c r="EI107" s="29" t="str">
        <f t="shared" si="51"/>
        <v/>
      </c>
      <c r="EJ107" s="29" t="str">
        <f t="shared" si="52"/>
        <v/>
      </c>
      <c r="EK107" s="29" t="str">
        <f t="shared" si="53"/>
        <v/>
      </c>
      <c r="EL107" s="29" t="str">
        <f>IF(CD107=1,VLOOKUP(EA107,'EIA 2022'!$A$2:$J$213,4,0)*EH107,"")</f>
        <v/>
      </c>
      <c r="EM107" s="29" t="str">
        <f>IF(CD107=1,VLOOKUP(EA107,'EIA 2022'!$A$2:$J$213,7,0)*EH107,"")</f>
        <v/>
      </c>
      <c r="EN107" s="29" t="str">
        <f>IF(CD107=1,VLOOKUP(EA107,'EIA 2022'!$A$2:$J$213,10,0),"")</f>
        <v/>
      </c>
      <c r="EO107" s="28" t="str">
        <f>IF(CD107=1,VLOOKUP(EA107,'EIA 2022'!$A$2:$Z$213,26,0),"")</f>
        <v/>
      </c>
      <c r="EP107" s="23" t="str">
        <f t="shared" si="54"/>
        <v/>
      </c>
      <c r="EQ107" s="32" t="str">
        <f t="shared" si="55"/>
        <v/>
      </c>
      <c r="ER107" s="32" t="str">
        <f t="shared" si="56"/>
        <v/>
      </c>
      <c r="ES107" s="32"/>
      <c r="ET107" s="32"/>
    </row>
    <row r="108" spans="1:150" ht="15.75" customHeight="1">
      <c r="A108" s="7" t="s">
        <v>526</v>
      </c>
      <c r="B108" s="7" t="s">
        <v>527</v>
      </c>
      <c r="C108" s="32" t="s">
        <v>977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2">
        <v>0</v>
      </c>
      <c r="O108" s="42">
        <v>0</v>
      </c>
      <c r="P108" s="42">
        <v>0</v>
      </c>
      <c r="Q108" s="42">
        <v>0</v>
      </c>
      <c r="R108" s="42">
        <v>0</v>
      </c>
      <c r="S108" s="42">
        <v>0</v>
      </c>
      <c r="T108" s="42">
        <v>0</v>
      </c>
      <c r="U108" s="42">
        <v>0</v>
      </c>
      <c r="V108" s="42">
        <v>0</v>
      </c>
      <c r="W108" s="42">
        <v>0</v>
      </c>
      <c r="X108" s="42">
        <f>IFERROR(VLOOKUP(A108,'Trans 21-23'!$A$2:$J$229,8,0),0)</f>
        <v>4516997</v>
      </c>
      <c r="Y108" s="42">
        <v>0</v>
      </c>
      <c r="Z108" s="42">
        <v>0</v>
      </c>
      <c r="AA108" s="42">
        <v>0</v>
      </c>
      <c r="AB108" s="42">
        <v>0</v>
      </c>
      <c r="AC108" s="42">
        <v>0</v>
      </c>
      <c r="AD108" s="42">
        <v>12119152</v>
      </c>
      <c r="AE108" s="42">
        <v>0</v>
      </c>
      <c r="AF108" s="42">
        <v>25861242</v>
      </c>
      <c r="AG108" s="42">
        <v>0</v>
      </c>
      <c r="AH108" s="42">
        <v>19479</v>
      </c>
      <c r="AI108" s="42">
        <v>19479</v>
      </c>
      <c r="AJ108" s="42">
        <v>0</v>
      </c>
      <c r="AK108" s="42">
        <v>0</v>
      </c>
      <c r="AL108" s="42">
        <v>0</v>
      </c>
      <c r="AM108" s="42">
        <v>0</v>
      </c>
      <c r="AN108" s="42">
        <v>0</v>
      </c>
      <c r="AO108" s="42">
        <v>0</v>
      </c>
      <c r="AP108" s="42">
        <v>0</v>
      </c>
      <c r="AQ108" s="42">
        <v>0</v>
      </c>
      <c r="AR108" s="42">
        <v>0</v>
      </c>
      <c r="AS108" s="42">
        <v>0</v>
      </c>
      <c r="AT108" s="42">
        <v>0</v>
      </c>
      <c r="AU108" s="42">
        <v>0</v>
      </c>
      <c r="AV108" s="42">
        <v>0</v>
      </c>
      <c r="AW108" s="42">
        <v>0</v>
      </c>
      <c r="AX108" s="42">
        <v>0</v>
      </c>
      <c r="AY108" s="42">
        <v>0</v>
      </c>
      <c r="AZ108" s="42">
        <v>0</v>
      </c>
      <c r="BA108" s="42">
        <v>0</v>
      </c>
      <c r="BB108" s="42">
        <v>0</v>
      </c>
      <c r="BC108" s="42">
        <v>1764481661</v>
      </c>
      <c r="BD108" s="42">
        <v>330370939</v>
      </c>
      <c r="BE108" s="42">
        <v>0</v>
      </c>
      <c r="BF108" s="42">
        <v>0</v>
      </c>
      <c r="BG108" s="42">
        <v>0</v>
      </c>
      <c r="BH108" s="42">
        <v>0</v>
      </c>
      <c r="BI108" s="42">
        <v>0</v>
      </c>
      <c r="BJ108" s="42">
        <v>0</v>
      </c>
      <c r="BK108" s="42">
        <v>0</v>
      </c>
      <c r="BL108" s="42">
        <v>0</v>
      </c>
      <c r="BM108" s="42">
        <v>5594540</v>
      </c>
      <c r="BN108" s="42">
        <v>13303291</v>
      </c>
      <c r="BO108" s="42">
        <v>0</v>
      </c>
      <c r="BP108" s="42">
        <v>0</v>
      </c>
      <c r="BQ108" s="42">
        <v>18023462</v>
      </c>
      <c r="BR108" s="42">
        <v>0</v>
      </c>
      <c r="BS108" s="42">
        <f>IFERROR(VLOOKUP(A108,'Trans 21-23'!$A$2:$J$229,7,0),0)</f>
        <v>409075535</v>
      </c>
      <c r="BT108" s="63"/>
      <c r="BU108" s="32">
        <f t="shared" si="0"/>
        <v>0</v>
      </c>
      <c r="BV108" s="32">
        <f t="shared" si="1"/>
        <v>0</v>
      </c>
      <c r="BW108" s="32">
        <f t="shared" si="2"/>
        <v>0</v>
      </c>
      <c r="BX108" s="32">
        <f t="shared" si="3"/>
        <v>0</v>
      </c>
      <c r="BY108" s="32">
        <f t="shared" si="4"/>
        <v>0</v>
      </c>
      <c r="BZ108" s="32">
        <f t="shared" si="5"/>
        <v>0</v>
      </c>
      <c r="CA108" s="32">
        <f t="shared" si="6"/>
        <v>12119152</v>
      </c>
      <c r="CB108" s="32">
        <f t="shared" si="7"/>
        <v>19479</v>
      </c>
      <c r="CC108" s="32">
        <f t="shared" si="8"/>
        <v>0</v>
      </c>
      <c r="CD108" s="41">
        <f t="shared" si="67"/>
        <v>0</v>
      </c>
      <c r="CE108" s="44">
        <f t="shared" si="10"/>
        <v>57</v>
      </c>
      <c r="CF108" s="27"/>
      <c r="CG108" s="28" t="str">
        <f t="shared" si="11"/>
        <v/>
      </c>
      <c r="CH108" s="28" t="str">
        <f t="shared" si="12"/>
        <v/>
      </c>
      <c r="CI108" s="28" t="str">
        <f t="shared" si="13"/>
        <v/>
      </c>
      <c r="CJ108" s="28" t="str">
        <f t="shared" si="14"/>
        <v/>
      </c>
      <c r="CK108" s="23" t="str">
        <f t="shared" si="15"/>
        <v/>
      </c>
      <c r="CL108" s="29" t="str">
        <f t="shared" si="16"/>
        <v/>
      </c>
      <c r="CM108" s="29" t="str">
        <f t="shared" si="17"/>
        <v/>
      </c>
      <c r="CN108" s="29" t="str">
        <f t="shared" si="18"/>
        <v/>
      </c>
      <c r="CO108" s="29" t="str">
        <f t="shared" si="19"/>
        <v/>
      </c>
      <c r="CP108" s="29" t="str">
        <f t="shared" si="20"/>
        <v/>
      </c>
      <c r="CQ108" s="29" t="str">
        <f t="shared" si="21"/>
        <v/>
      </c>
      <c r="CR108" s="30"/>
      <c r="CS108" s="7" t="str">
        <f>VLOOKUP(A108,'Empresas 21-23'!$A$2:$M$228,13,0)</f>
        <v/>
      </c>
      <c r="CT108" s="30"/>
      <c r="CU108" s="6">
        <f t="shared" si="22"/>
        <v>409075535</v>
      </c>
      <c r="CV108" s="6">
        <f t="shared" si="23"/>
        <v>0</v>
      </c>
      <c r="CW108" s="6">
        <f t="shared" si="24"/>
        <v>330370939</v>
      </c>
      <c r="CX108" s="23">
        <f t="shared" si="65"/>
        <v>0.28524682838261356</v>
      </c>
      <c r="CY108" s="23">
        <f t="shared" si="66"/>
        <v>0</v>
      </c>
      <c r="CZ108" s="6">
        <f t="shared" si="27"/>
        <v>503312797.53953588</v>
      </c>
      <c r="DA108" s="6">
        <f t="shared" si="28"/>
        <v>0</v>
      </c>
      <c r="DB108" s="6">
        <f t="shared" si="29"/>
        <v>0</v>
      </c>
      <c r="DC108" s="6">
        <f t="shared" si="30"/>
        <v>4516997</v>
      </c>
      <c r="DD108" s="6">
        <f t="shared" si="31"/>
        <v>0</v>
      </c>
      <c r="DE108" s="6">
        <f t="shared" si="32"/>
        <v>12119152</v>
      </c>
      <c r="DF108" s="6">
        <f t="shared" si="33"/>
        <v>3983540.5841865395</v>
      </c>
      <c r="DG108" s="30"/>
      <c r="DH108" s="32" t="str">
        <f>VLOOKUP(A108,'T_med_comp-USA'!$A$7:$Q$233,17,0)</f>
        <v>-</v>
      </c>
      <c r="DI108" s="6" t="str">
        <f t="shared" si="34"/>
        <v/>
      </c>
      <c r="DJ108" s="32" t="str">
        <f>IF(DI108="","",VLOOKUP(DI108,'CPI USA'!$T:$U,2,FALSE))</f>
        <v/>
      </c>
      <c r="DK108" s="32" t="str">
        <f>IF(DI108="","",VLOOKUP(DI108,'PPI USA'!$S:$T,2,FALSE))</f>
        <v/>
      </c>
      <c r="DL108" s="32" t="str">
        <f>IF(DI108="","",VLOOKUP(DI108,'CPI USA'!$T:$V,3,FALSE))</f>
        <v/>
      </c>
      <c r="DM108" s="32" t="str">
        <f>IF(DI108="","",VLOOKUP(DI108,'CPI USA'!$T:$X,5,FALSE))</f>
        <v/>
      </c>
      <c r="DN108" s="32" t="str">
        <f t="shared" si="35"/>
        <v/>
      </c>
      <c r="DO108" s="32" t="str">
        <f t="shared" si="36"/>
        <v/>
      </c>
      <c r="DP108" s="32" t="str">
        <f t="shared" si="37"/>
        <v/>
      </c>
      <c r="DQ108" s="32" t="str">
        <f>IF(DP108="","",DP108*$DO$1/'CPI USA'!$U$520+(1-DP108)*AVERAGE($DO$1,$DQ$1)/AVERAGE('CPI USA'!$U$520,'PPI USA'!$T$526))</f>
        <v/>
      </c>
      <c r="DR108" s="6">
        <f t="shared" si="38"/>
        <v>0</v>
      </c>
      <c r="DS108" s="32" t="str">
        <f t="shared" si="39"/>
        <v/>
      </c>
      <c r="DT108" s="28" t="str">
        <f>IF(DS108="","",DS108*$DO$1/'CPI USA'!$U$520+(1-DS108)*AVERAGE($DO$1,$DQ$1)/AVERAGE('CPI USA'!$U$520,'PPI USA'!$T$526))</f>
        <v/>
      </c>
      <c r="DU108" s="6" t="str">
        <f t="shared" si="40"/>
        <v/>
      </c>
      <c r="DV108" s="6">
        <f t="shared" si="57"/>
        <v>0</v>
      </c>
      <c r="DW108" s="6">
        <f t="shared" si="41"/>
        <v>0</v>
      </c>
      <c r="DX108" s="16" t="str">
        <f t="shared" si="42"/>
        <v/>
      </c>
      <c r="DY108" s="28" t="str">
        <f>IF(DX108="","",DX108*$DO$1/'CPI USA'!$U$520+(1-DX108)*AVERAGE($DO$1,$DQ$1)/AVERAGE('CPI USA'!$U$520,'PPI USA'!$T$526))</f>
        <v/>
      </c>
      <c r="DZ108" s="30"/>
      <c r="EA108" s="29" t="str">
        <f t="shared" si="43"/>
        <v>C001252</v>
      </c>
      <c r="EB108" s="29" t="str">
        <f t="shared" si="44"/>
        <v/>
      </c>
      <c r="EC108" s="29" t="str">
        <f t="shared" si="45"/>
        <v/>
      </c>
      <c r="ED108" s="29" t="str">
        <f t="shared" si="46"/>
        <v/>
      </c>
      <c r="EE108" s="29" t="str">
        <f t="shared" si="47"/>
        <v/>
      </c>
      <c r="EF108" s="29" t="str">
        <f t="shared" si="48"/>
        <v/>
      </c>
      <c r="EG108" s="29" t="str">
        <f t="shared" si="49"/>
        <v/>
      </c>
      <c r="EH108" s="29" t="str">
        <f t="shared" si="50"/>
        <v/>
      </c>
      <c r="EI108" s="29" t="str">
        <f t="shared" si="51"/>
        <v/>
      </c>
      <c r="EJ108" s="29" t="str">
        <f t="shared" si="52"/>
        <v/>
      </c>
      <c r="EK108" s="29" t="str">
        <f t="shared" si="53"/>
        <v/>
      </c>
      <c r="EL108" s="29" t="str">
        <f>IF(CD108=1,VLOOKUP(EA108,'EIA 2022'!$A$2:$J$213,4,0)*EH108,"")</f>
        <v/>
      </c>
      <c r="EM108" s="29" t="str">
        <f>IF(CD108=1,VLOOKUP(EA108,'EIA 2022'!$A$2:$J$213,7,0)*EH108,"")</f>
        <v/>
      </c>
      <c r="EN108" s="29" t="str">
        <f>IF(CD108=1,VLOOKUP(EA108,'EIA 2022'!$A$2:$J$213,10,0),"")</f>
        <v/>
      </c>
      <c r="EO108" s="28" t="str">
        <f>IF(CD108=1,VLOOKUP(EA108,'EIA 2022'!$A$2:$Z$213,26,0),"")</f>
        <v/>
      </c>
      <c r="EP108" s="23" t="str">
        <f t="shared" si="54"/>
        <v/>
      </c>
      <c r="EQ108" s="32" t="str">
        <f t="shared" si="55"/>
        <v/>
      </c>
      <c r="ER108" s="32" t="str">
        <f t="shared" si="56"/>
        <v/>
      </c>
      <c r="ES108" s="32"/>
      <c r="ET108" s="32"/>
    </row>
    <row r="109" spans="1:150" ht="15.75" customHeight="1">
      <c r="A109" s="7" t="s">
        <v>529</v>
      </c>
      <c r="B109" s="7" t="s">
        <v>530</v>
      </c>
      <c r="C109" s="32" t="s">
        <v>978</v>
      </c>
      <c r="D109" s="42">
        <v>0</v>
      </c>
      <c r="E109" s="42">
        <v>0</v>
      </c>
      <c r="F109" s="42">
        <v>0</v>
      </c>
      <c r="G109" s="42">
        <v>996559106</v>
      </c>
      <c r="H109" s="42">
        <v>997585225</v>
      </c>
      <c r="I109" s="42">
        <v>20574532</v>
      </c>
      <c r="J109" s="42">
        <v>8400008</v>
      </c>
      <c r="K109" s="42">
        <v>5374175</v>
      </c>
      <c r="L109" s="42">
        <v>8425504</v>
      </c>
      <c r="M109" s="42">
        <v>7090231</v>
      </c>
      <c r="N109" s="42">
        <v>1025466</v>
      </c>
      <c r="O109" s="42">
        <v>3134732</v>
      </c>
      <c r="P109" s="42">
        <v>2016586</v>
      </c>
      <c r="Q109" s="42">
        <v>150279</v>
      </c>
      <c r="R109" s="42">
        <v>39666</v>
      </c>
      <c r="S109" s="42">
        <v>3726851</v>
      </c>
      <c r="T109" s="42">
        <v>90848916</v>
      </c>
      <c r="U109" s="42">
        <v>10793000</v>
      </c>
      <c r="V109" s="42">
        <v>1040628</v>
      </c>
      <c r="W109" s="42">
        <v>12101638</v>
      </c>
      <c r="X109" s="42">
        <f>IFERROR(VLOOKUP(A109,'Trans 21-23'!$A$2:$J$229,8,0),0)</f>
        <v>16808559</v>
      </c>
      <c r="Y109" s="42">
        <v>6191237</v>
      </c>
      <c r="Z109" s="42">
        <v>1555829</v>
      </c>
      <c r="AA109" s="42">
        <v>100138683</v>
      </c>
      <c r="AB109" s="42">
        <v>349341826</v>
      </c>
      <c r="AC109" s="42">
        <v>1587</v>
      </c>
      <c r="AD109" s="42">
        <v>192523575</v>
      </c>
      <c r="AE109" s="42">
        <v>0</v>
      </c>
      <c r="AF109" s="42">
        <v>2149562897</v>
      </c>
      <c r="AG109" s="42">
        <v>1468710</v>
      </c>
      <c r="AH109" s="42">
        <v>1302438</v>
      </c>
      <c r="AI109" s="42">
        <v>26297461</v>
      </c>
      <c r="AJ109" s="42">
        <v>21674</v>
      </c>
      <c r="AK109" s="42">
        <v>0</v>
      </c>
      <c r="AL109" s="42">
        <v>8243949</v>
      </c>
      <c r="AM109" s="42">
        <v>13028221</v>
      </c>
      <c r="AN109" s="42">
        <v>1570900</v>
      </c>
      <c r="AO109" s="42">
        <v>89906</v>
      </c>
      <c r="AP109" s="42">
        <v>0</v>
      </c>
      <c r="AQ109" s="42">
        <v>22932976</v>
      </c>
      <c r="AR109" s="42">
        <v>2040373</v>
      </c>
      <c r="AS109" s="42">
        <v>24973349</v>
      </c>
      <c r="AT109" s="42">
        <v>0</v>
      </c>
      <c r="AU109" s="42">
        <v>4576</v>
      </c>
      <c r="AV109" s="42">
        <v>0</v>
      </c>
      <c r="AW109" s="42">
        <v>1062882650</v>
      </c>
      <c r="AX109" s="42">
        <v>956270349</v>
      </c>
      <c r="AY109" s="42">
        <v>2023388526</v>
      </c>
      <c r="AZ109" s="42">
        <v>338234683</v>
      </c>
      <c r="BA109" s="42">
        <v>32533350</v>
      </c>
      <c r="BB109" s="42">
        <v>7639836939</v>
      </c>
      <c r="BC109" s="42">
        <v>13734466553</v>
      </c>
      <c r="BD109" s="42">
        <v>646373918</v>
      </c>
      <c r="BE109" s="42">
        <v>0</v>
      </c>
      <c r="BF109" s="42">
        <v>0</v>
      </c>
      <c r="BG109" s="42">
        <v>0</v>
      </c>
      <c r="BH109" s="42">
        <v>83457859</v>
      </c>
      <c r="BI109" s="42">
        <v>27077210</v>
      </c>
      <c r="BJ109" s="42">
        <v>11253611</v>
      </c>
      <c r="BK109" s="42">
        <v>0</v>
      </c>
      <c r="BL109" s="42">
        <v>0</v>
      </c>
      <c r="BM109" s="42">
        <v>50115141</v>
      </c>
      <c r="BN109" s="42">
        <v>193678987</v>
      </c>
      <c r="BO109" s="42">
        <v>0</v>
      </c>
      <c r="BP109" s="42">
        <v>27846755</v>
      </c>
      <c r="BQ109" s="42">
        <v>448126626</v>
      </c>
      <c r="BR109" s="42">
        <v>0</v>
      </c>
      <c r="BS109" s="42">
        <f>IFERROR(VLOOKUP(A109,'Trans 21-23'!$A$2:$J$229,7,0),0)</f>
        <v>1522243855</v>
      </c>
      <c r="BT109" s="63"/>
      <c r="BU109" s="32">
        <f t="shared" si="0"/>
        <v>7639836939</v>
      </c>
      <c r="BV109" s="32">
        <f t="shared" si="1"/>
        <v>4576</v>
      </c>
      <c r="BW109" s="32">
        <f t="shared" si="2"/>
        <v>1468710</v>
      </c>
      <c r="BX109" s="32">
        <f t="shared" si="3"/>
        <v>174742212</v>
      </c>
      <c r="BY109" s="32">
        <f t="shared" si="4"/>
        <v>457229162</v>
      </c>
      <c r="BZ109" s="32">
        <f t="shared" si="5"/>
        <v>338234683</v>
      </c>
      <c r="CA109" s="32">
        <f t="shared" si="6"/>
        <v>192523575</v>
      </c>
      <c r="CB109" s="32">
        <f t="shared" si="7"/>
        <v>1302438</v>
      </c>
      <c r="CC109" s="32">
        <f t="shared" si="8"/>
        <v>22932976</v>
      </c>
      <c r="CD109" s="41">
        <f t="shared" si="67"/>
        <v>0</v>
      </c>
      <c r="CE109" s="44">
        <f t="shared" si="10"/>
        <v>15</v>
      </c>
      <c r="CF109" s="27"/>
      <c r="CG109" s="28" t="str">
        <f t="shared" si="11"/>
        <v/>
      </c>
      <c r="CH109" s="28" t="str">
        <f t="shared" si="12"/>
        <v/>
      </c>
      <c r="CI109" s="28" t="str">
        <f t="shared" si="13"/>
        <v/>
      </c>
      <c r="CJ109" s="28" t="str">
        <f t="shared" si="14"/>
        <v/>
      </c>
      <c r="CK109" s="23" t="str">
        <f t="shared" si="15"/>
        <v/>
      </c>
      <c r="CL109" s="29" t="str">
        <f t="shared" si="16"/>
        <v/>
      </c>
      <c r="CM109" s="29" t="str">
        <f t="shared" si="17"/>
        <v/>
      </c>
      <c r="CN109" s="29" t="str">
        <f t="shared" si="18"/>
        <v/>
      </c>
      <c r="CO109" s="29" t="str">
        <f t="shared" si="19"/>
        <v/>
      </c>
      <c r="CP109" s="29" t="str">
        <f t="shared" si="20"/>
        <v/>
      </c>
      <c r="CQ109" s="29" t="str">
        <f t="shared" si="21"/>
        <v/>
      </c>
      <c r="CR109" s="30"/>
      <c r="CS109" s="7" t="str">
        <f>VLOOKUP(A109,'Empresas 21-23'!$A$2:$M$228,13,0)</f>
        <v/>
      </c>
      <c r="CT109" s="30"/>
      <c r="CU109" s="6">
        <f t="shared" si="22"/>
        <v>7003517436</v>
      </c>
      <c r="CV109" s="6">
        <f t="shared" si="23"/>
        <v>338234683</v>
      </c>
      <c r="CW109" s="6">
        <f t="shared" si="24"/>
        <v>646373918</v>
      </c>
      <c r="CX109" s="23">
        <f t="shared" si="65"/>
        <v>0.53510604114088312</v>
      </c>
      <c r="CY109" s="23">
        <f t="shared" si="66"/>
        <v>2.5842931619806647E-2</v>
      </c>
      <c r="CZ109" s="6">
        <f t="shared" si="27"/>
        <v>7349396024.3577023</v>
      </c>
      <c r="DA109" s="6">
        <f t="shared" si="28"/>
        <v>354938879.96370053</v>
      </c>
      <c r="DB109" s="6">
        <f t="shared" si="29"/>
        <v>174742212</v>
      </c>
      <c r="DC109" s="6">
        <f t="shared" si="30"/>
        <v>191550771</v>
      </c>
      <c r="DD109" s="6">
        <f t="shared" si="31"/>
        <v>457229162</v>
      </c>
      <c r="DE109" s="6">
        <f t="shared" si="32"/>
        <v>192523575</v>
      </c>
      <c r="DF109" s="6">
        <f t="shared" si="33"/>
        <v>130183854.00611873</v>
      </c>
      <c r="DG109" s="30"/>
      <c r="DH109" s="32" t="str">
        <f>VLOOKUP(A109,'T_med_comp-USA'!$A$7:$Q$233,17,0)</f>
        <v>-</v>
      </c>
      <c r="DI109" s="6" t="str">
        <f t="shared" si="34"/>
        <v/>
      </c>
      <c r="DJ109" s="32" t="str">
        <f>IF(DI109="","",VLOOKUP(DI109,'CPI USA'!$T:$U,2,FALSE))</f>
        <v/>
      </c>
      <c r="DK109" s="32" t="str">
        <f>IF(DI109="","",VLOOKUP(DI109,'PPI USA'!$S:$T,2,FALSE))</f>
        <v/>
      </c>
      <c r="DL109" s="32" t="str">
        <f>IF(DI109="","",VLOOKUP(DI109,'CPI USA'!$T:$V,3,FALSE))</f>
        <v/>
      </c>
      <c r="DM109" s="32" t="str">
        <f>IF(DI109="","",VLOOKUP(DI109,'CPI USA'!$T:$X,5,FALSE))</f>
        <v/>
      </c>
      <c r="DN109" s="32" t="str">
        <f t="shared" si="35"/>
        <v/>
      </c>
      <c r="DO109" s="32" t="str">
        <f t="shared" si="36"/>
        <v/>
      </c>
      <c r="DP109" s="32">
        <f t="shared" si="37"/>
        <v>0.47760559995658058</v>
      </c>
      <c r="DQ109" s="32">
        <f>IF(DP109="","",DP109*$DO$1/'CPI USA'!$U$520+(1-DP109)*AVERAGE($DO$1,$DQ$1)/AVERAGE('CPI USA'!$U$520,'PPI USA'!$T$526))</f>
        <v>1.0761246656492718</v>
      </c>
      <c r="DR109" s="6">
        <f t="shared" si="38"/>
        <v>38330821</v>
      </c>
      <c r="DS109" s="32">
        <f t="shared" si="39"/>
        <v>0.2</v>
      </c>
      <c r="DT109" s="28">
        <f>IF(DS109="","",DS109*$DO$1/'CPI USA'!$U$520+(1-DS109)*AVERAGE($DO$1,$DQ$1)/AVERAGE('CPI USA'!$U$520,'PPI USA'!$T$526))</f>
        <v>1.0854630593748538</v>
      </c>
      <c r="DU109" s="6">
        <f t="shared" si="40"/>
        <v>50115141</v>
      </c>
      <c r="DV109" s="6">
        <f t="shared" si="57"/>
        <v>3320511.2819154146</v>
      </c>
      <c r="DW109" s="6">
        <f t="shared" si="41"/>
        <v>33601257.71596206</v>
      </c>
      <c r="DX109" s="16">
        <f t="shared" si="42"/>
        <v>0.25810618353934106</v>
      </c>
      <c r="DY109" s="28">
        <f>IF(DX109="","",DX109*$DO$1/'CPI USA'!$U$520+(1-DX109)*AVERAGE($DO$1,$DQ$1)/AVERAGE('CPI USA'!$U$520,'PPI USA'!$T$526))</f>
        <v>1.0835084215005955</v>
      </c>
      <c r="DZ109" s="30"/>
      <c r="EA109" s="29" t="str">
        <f t="shared" si="43"/>
        <v>C001257</v>
      </c>
      <c r="EB109" s="29" t="str">
        <f t="shared" si="44"/>
        <v/>
      </c>
      <c r="EC109" s="29" t="str">
        <f t="shared" si="45"/>
        <v/>
      </c>
      <c r="ED109" s="29" t="str">
        <f t="shared" si="46"/>
        <v/>
      </c>
      <c r="EE109" s="29" t="str">
        <f t="shared" si="47"/>
        <v/>
      </c>
      <c r="EF109" s="29" t="str">
        <f t="shared" si="48"/>
        <v/>
      </c>
      <c r="EG109" s="29" t="str">
        <f t="shared" si="49"/>
        <v/>
      </c>
      <c r="EH109" s="29" t="str">
        <f t="shared" si="50"/>
        <v/>
      </c>
      <c r="EI109" s="29" t="str">
        <f t="shared" si="51"/>
        <v/>
      </c>
      <c r="EJ109" s="29" t="str">
        <f t="shared" si="52"/>
        <v/>
      </c>
      <c r="EK109" s="29" t="str">
        <f t="shared" si="53"/>
        <v/>
      </c>
      <c r="EL109" s="29" t="str">
        <f>IF(CD109=1,VLOOKUP(EA109,'EIA 2022'!$A$2:$J$213,4,0)*EH109,"")</f>
        <v/>
      </c>
      <c r="EM109" s="29" t="str">
        <f>IF(CD109=1,VLOOKUP(EA109,'EIA 2022'!$A$2:$J$213,7,0)*EH109,"")</f>
        <v/>
      </c>
      <c r="EN109" s="29" t="str">
        <f>IF(CD109=1,VLOOKUP(EA109,'EIA 2022'!$A$2:$J$213,10,0),"")</f>
        <v/>
      </c>
      <c r="EO109" s="28" t="str">
        <f>IF(CD109=1,VLOOKUP(EA109,'EIA 2022'!$A$2:$Z$213,26,0),"")</f>
        <v/>
      </c>
      <c r="EP109" s="23" t="str">
        <f t="shared" si="54"/>
        <v/>
      </c>
      <c r="EQ109" s="32" t="str">
        <f t="shared" si="55"/>
        <v/>
      </c>
      <c r="ER109" s="32" t="str">
        <f t="shared" si="56"/>
        <v/>
      </c>
      <c r="ES109" s="32"/>
      <c r="ET109" s="32"/>
    </row>
    <row r="110" spans="1:150" ht="15.75" customHeight="1">
      <c r="A110" s="7" t="s">
        <v>532</v>
      </c>
      <c r="B110" s="7" t="s">
        <v>533</v>
      </c>
      <c r="C110" s="32" t="s">
        <v>979</v>
      </c>
      <c r="D110" s="42">
        <v>44772884</v>
      </c>
      <c r="E110" s="42">
        <v>0</v>
      </c>
      <c r="F110" s="42">
        <v>20578473</v>
      </c>
      <c r="G110" s="42">
        <v>100281054</v>
      </c>
      <c r="H110" s="42">
        <v>100754851</v>
      </c>
      <c r="I110" s="42">
        <v>314772</v>
      </c>
      <c r="J110" s="42">
        <v>332859</v>
      </c>
      <c r="K110" s="42">
        <v>281414</v>
      </c>
      <c r="L110" s="42">
        <v>232250</v>
      </c>
      <c r="M110" s="42">
        <v>1806839</v>
      </c>
      <c r="N110" s="42">
        <v>7532</v>
      </c>
      <c r="O110" s="42">
        <v>3701612</v>
      </c>
      <c r="P110" s="42">
        <v>194724</v>
      </c>
      <c r="Q110" s="42">
        <v>627121</v>
      </c>
      <c r="R110" s="42">
        <v>0</v>
      </c>
      <c r="S110" s="42">
        <v>598486</v>
      </c>
      <c r="T110" s="42">
        <v>6068194</v>
      </c>
      <c r="U110" s="42">
        <v>811407</v>
      </c>
      <c r="V110" s="42">
        <v>184714</v>
      </c>
      <c r="W110" s="42">
        <v>136501</v>
      </c>
      <c r="X110" s="42">
        <f>IFERROR(VLOOKUP(A110,'Trans 21-23'!$A$2:$J$229,8,0),0)</f>
        <v>2082884</v>
      </c>
      <c r="Y110" s="42">
        <v>888210</v>
      </c>
      <c r="Z110" s="42">
        <v>950342</v>
      </c>
      <c r="AA110" s="42">
        <v>14025514</v>
      </c>
      <c r="AB110" s="42">
        <v>10866633</v>
      </c>
      <c r="AC110" s="42">
        <v>592700</v>
      </c>
      <c r="AD110" s="42">
        <v>57609453</v>
      </c>
      <c r="AE110" s="42">
        <v>0</v>
      </c>
      <c r="AF110" s="42">
        <v>342000220</v>
      </c>
      <c r="AG110" s="42">
        <v>134701</v>
      </c>
      <c r="AH110" s="42">
        <v>226399</v>
      </c>
      <c r="AI110" s="42">
        <v>6106796</v>
      </c>
      <c r="AJ110" s="42">
        <v>10199</v>
      </c>
      <c r="AK110" s="42">
        <v>0</v>
      </c>
      <c r="AL110" s="42">
        <v>1309247</v>
      </c>
      <c r="AM110" s="42">
        <v>1009145</v>
      </c>
      <c r="AN110" s="42">
        <v>3215048</v>
      </c>
      <c r="AO110" s="42">
        <v>15283</v>
      </c>
      <c r="AP110" s="42">
        <v>43645</v>
      </c>
      <c r="AQ110" s="42">
        <v>5592368</v>
      </c>
      <c r="AR110" s="42">
        <v>277830</v>
      </c>
      <c r="AS110" s="42">
        <v>5870198</v>
      </c>
      <c r="AT110" s="42">
        <v>0</v>
      </c>
      <c r="AU110" s="42">
        <v>988</v>
      </c>
      <c r="AV110" s="42">
        <v>0</v>
      </c>
      <c r="AW110" s="42">
        <v>60876491</v>
      </c>
      <c r="AX110" s="42">
        <v>0</v>
      </c>
      <c r="AY110" s="42">
        <v>114686119</v>
      </c>
      <c r="AZ110" s="42">
        <v>37976042</v>
      </c>
      <c r="BA110" s="42">
        <v>13235267</v>
      </c>
      <c r="BB110" s="42">
        <v>613171368</v>
      </c>
      <c r="BC110" s="42">
        <v>2849757500</v>
      </c>
      <c r="BD110" s="42">
        <v>107484770</v>
      </c>
      <c r="BE110" s="42">
        <v>254418516</v>
      </c>
      <c r="BF110" s="42">
        <v>13814230</v>
      </c>
      <c r="BG110" s="42">
        <v>0</v>
      </c>
      <c r="BH110" s="42">
        <v>11712922</v>
      </c>
      <c r="BI110" s="42">
        <v>7426095</v>
      </c>
      <c r="BJ110" s="42">
        <v>1644300</v>
      </c>
      <c r="BK110" s="42">
        <v>252901</v>
      </c>
      <c r="BL110" s="42">
        <v>0</v>
      </c>
      <c r="BM110" s="42">
        <v>32939831</v>
      </c>
      <c r="BN110" s="42">
        <v>73750040</v>
      </c>
      <c r="BO110" s="42">
        <v>0</v>
      </c>
      <c r="BP110" s="42">
        <v>1952149</v>
      </c>
      <c r="BQ110" s="42">
        <v>98780058</v>
      </c>
      <c r="BR110" s="42">
        <v>0</v>
      </c>
      <c r="BS110" s="42">
        <f>IFERROR(VLOOKUP(A110,'Trans 21-23'!$A$2:$J$229,7,0),0)</f>
        <v>188633537</v>
      </c>
      <c r="BT110" s="63"/>
      <c r="BU110" s="32">
        <f t="shared" si="0"/>
        <v>613171368</v>
      </c>
      <c r="BV110" s="32">
        <f t="shared" si="1"/>
        <v>988</v>
      </c>
      <c r="BW110" s="32">
        <f t="shared" si="2"/>
        <v>134701</v>
      </c>
      <c r="BX110" s="32">
        <f t="shared" si="3"/>
        <v>15298425</v>
      </c>
      <c r="BY110" s="32">
        <f t="shared" si="4"/>
        <v>27323399</v>
      </c>
      <c r="BZ110" s="32">
        <f t="shared" si="5"/>
        <v>37976042</v>
      </c>
      <c r="CA110" s="32">
        <f t="shared" si="6"/>
        <v>57609453</v>
      </c>
      <c r="CB110" s="32">
        <f t="shared" si="7"/>
        <v>226399</v>
      </c>
      <c r="CC110" s="32">
        <f t="shared" si="8"/>
        <v>5592368</v>
      </c>
      <c r="CD110" s="41">
        <f t="shared" si="67"/>
        <v>1</v>
      </c>
      <c r="CE110" s="44">
        <f t="shared" si="10"/>
        <v>11</v>
      </c>
      <c r="CF110" s="27"/>
      <c r="CG110" s="28">
        <f t="shared" si="11"/>
        <v>620.6187935222672</v>
      </c>
      <c r="CH110" s="28">
        <f t="shared" si="12"/>
        <v>7.3347636617397054</v>
      </c>
      <c r="CI110" s="28">
        <f t="shared" si="13"/>
        <v>113.57321029539499</v>
      </c>
      <c r="CJ110" s="28">
        <f t="shared" si="14"/>
        <v>281.92843408734899</v>
      </c>
      <c r="CK110" s="23">
        <f t="shared" si="15"/>
        <v>4.0483566174472067E-2</v>
      </c>
      <c r="CL110" s="29" t="str">
        <f t="shared" si="16"/>
        <v/>
      </c>
      <c r="CM110" s="29" t="str">
        <f t="shared" si="17"/>
        <v/>
      </c>
      <c r="CN110" s="29" t="str">
        <f t="shared" si="18"/>
        <v/>
      </c>
      <c r="CO110" s="29" t="str">
        <f t="shared" si="19"/>
        <v/>
      </c>
      <c r="CP110" s="29" t="str">
        <f t="shared" si="20"/>
        <v/>
      </c>
      <c r="CQ110" s="29">
        <f t="shared" si="21"/>
        <v>0</v>
      </c>
      <c r="CR110" s="30"/>
      <c r="CS110" s="7">
        <f>VLOOKUP(A110,'Empresas 21-23'!$A$2:$M$228,13,0)</f>
        <v>1</v>
      </c>
      <c r="CT110" s="30"/>
      <c r="CU110" s="6">
        <f t="shared" si="22"/>
        <v>681781924.60000002</v>
      </c>
      <c r="CV110" s="6">
        <f t="shared" si="23"/>
        <v>37976042</v>
      </c>
      <c r="CW110" s="6">
        <f t="shared" si="24"/>
        <v>107484770</v>
      </c>
      <c r="CX110" s="23">
        <f t="shared" si="65"/>
        <v>0.24861929929194171</v>
      </c>
      <c r="CY110" s="23">
        <f t="shared" si="66"/>
        <v>1.3848382615101891E-2</v>
      </c>
      <c r="CZ110" s="6">
        <f t="shared" si="27"/>
        <v>708504712.80195558</v>
      </c>
      <c r="DA110" s="6">
        <f t="shared" si="28"/>
        <v>39464532.220256224</v>
      </c>
      <c r="DB110" s="6">
        <f t="shared" si="29"/>
        <v>15298425</v>
      </c>
      <c r="DC110" s="6">
        <f t="shared" si="30"/>
        <v>17381309</v>
      </c>
      <c r="DD110" s="6">
        <f t="shared" si="31"/>
        <v>27323399</v>
      </c>
      <c r="DE110" s="6">
        <f t="shared" si="32"/>
        <v>57609453</v>
      </c>
      <c r="DF110" s="6">
        <f t="shared" si="33"/>
        <v>21773034.41951983</v>
      </c>
      <c r="DG110" s="30"/>
      <c r="DH110" s="32">
        <f>VLOOKUP(A110,'T_med_comp-USA'!$A$7:$Q$233,17,0)</f>
        <v>18.372521720836655</v>
      </c>
      <c r="DI110" s="6" t="str">
        <f t="shared" si="34"/>
        <v>8_2004</v>
      </c>
      <c r="DJ110" s="32">
        <f>IF(DI110="","",VLOOKUP(DI110,'CPI USA'!$T:$U,2,FALSE))</f>
        <v>188.9</v>
      </c>
      <c r="DK110" s="32">
        <f>IF(DI110="","",VLOOKUP(DI110,'PPI USA'!$S:$T,2,FALSE))</f>
        <v>123.7</v>
      </c>
      <c r="DL110" s="32">
        <f>IF(DI110="","",VLOOKUP(DI110,'CPI USA'!$T:$V,3,FALSE))</f>
        <v>0.68116912558338294</v>
      </c>
      <c r="DM110" s="32">
        <f>IF(DI110="","",VLOOKUP(DI110,'CPI USA'!$T:$X,5,FALSE))</f>
        <v>0.51091164550905577</v>
      </c>
      <c r="DN110" s="32">
        <f t="shared" si="35"/>
        <v>1.7242718973721483</v>
      </c>
      <c r="DO110" s="32">
        <f t="shared" si="36"/>
        <v>1.7568944717328012</v>
      </c>
      <c r="DP110" s="32">
        <f t="shared" si="37"/>
        <v>0.76562927229437017</v>
      </c>
      <c r="DQ110" s="32">
        <f>IF(DP110="","",DP110*$DO$1/'CPI USA'!$U$520+(1-DP110)*AVERAGE($DO$1,$DQ$1)/AVERAGE('CPI USA'!$U$520,'PPI USA'!$T$526))</f>
        <v>1.0664358176757474</v>
      </c>
      <c r="DR110" s="6">
        <f t="shared" si="38"/>
        <v>9323296</v>
      </c>
      <c r="DS110" s="32">
        <f t="shared" si="39"/>
        <v>0.34122021202413361</v>
      </c>
      <c r="DT110" s="28">
        <f>IF(DS110="","",DS110*$DO$1/'CPI USA'!$U$520+(1-DS110)*AVERAGE($DO$1,$DQ$1)/AVERAGE('CPI USA'!$U$520,'PPI USA'!$T$526))</f>
        <v>1.0807125430232463</v>
      </c>
      <c r="DU110" s="6">
        <f t="shared" si="40"/>
        <v>32939831</v>
      </c>
      <c r="DV110" s="6">
        <f t="shared" si="57"/>
        <v>664100.45214153081</v>
      </c>
      <c r="DW110" s="6">
        <f t="shared" si="41"/>
        <v>9585074.4987298418</v>
      </c>
      <c r="DX110" s="16">
        <f t="shared" si="42"/>
        <v>0.44022685648890025</v>
      </c>
      <c r="DY110" s="28">
        <f>IF(DX110="","",DX110*$DO$1/'CPI USA'!$U$520+(1-DX110)*AVERAGE($DO$1,$DQ$1)/AVERAGE('CPI USA'!$U$520,'PPI USA'!$T$526))</f>
        <v>1.0773820517521577</v>
      </c>
      <c r="DZ110" s="30"/>
      <c r="EA110" s="29" t="str">
        <f t="shared" si="43"/>
        <v>C001288</v>
      </c>
      <c r="EB110" s="29">
        <f t="shared" si="44"/>
        <v>1221654765.4401369</v>
      </c>
      <c r="EC110" s="29">
        <f t="shared" si="45"/>
        <v>69335018.487289175</v>
      </c>
      <c r="ED110" s="29">
        <f t="shared" si="46"/>
        <v>18536050.475689828</v>
      </c>
      <c r="EE110" s="29">
        <f t="shared" si="47"/>
        <v>29528740.017328825</v>
      </c>
      <c r="EF110" s="29">
        <f t="shared" si="48"/>
        <v>23457876.495772626</v>
      </c>
      <c r="EG110" s="29">
        <f t="shared" si="49"/>
        <v>988</v>
      </c>
      <c r="EH110" s="29">
        <f t="shared" si="50"/>
        <v>134701</v>
      </c>
      <c r="EI110" s="29">
        <f t="shared" si="51"/>
        <v>226399</v>
      </c>
      <c r="EJ110" s="29">
        <f t="shared" si="52"/>
        <v>5592368</v>
      </c>
      <c r="EK110" s="29">
        <f t="shared" si="53"/>
        <v>5814536.0862944163</v>
      </c>
      <c r="EL110" s="29">
        <f>IF(CD110=1,VLOOKUP(EA110,'EIA 2022'!$A$2:$J$213,4,0)*EH110,"")</f>
        <v>16133138.77</v>
      </c>
      <c r="EM110" s="29">
        <f>IF(CD110=1,VLOOKUP(EA110,'EIA 2022'!$A$2:$J$213,7,0)*EH110,"")</f>
        <v>269402</v>
      </c>
      <c r="EN110" s="29">
        <f>IF(CD110=1,VLOOKUP(EA110,'EIA 2022'!$A$2:$J$213,10,0),"")</f>
        <v>799</v>
      </c>
      <c r="EO110" s="28">
        <f>IF(CD110=1,VLOOKUP(EA110,'EIA 2022'!$A$2:$Z$213,26,0),"")</f>
        <v>0</v>
      </c>
      <c r="EP110" s="23">
        <f t="shared" si="54"/>
        <v>3.8209082031169087E-2</v>
      </c>
      <c r="EQ110" s="32">
        <f t="shared" si="55"/>
        <v>4230.9137055837782</v>
      </c>
      <c r="ER110" s="32">
        <f t="shared" si="56"/>
        <v>222168.08629441622</v>
      </c>
      <c r="ES110" s="32"/>
      <c r="ET110" s="32"/>
    </row>
    <row r="111" spans="1:150" ht="15.75" customHeight="1">
      <c r="A111" s="7" t="s">
        <v>535</v>
      </c>
      <c r="B111" s="7" t="s">
        <v>536</v>
      </c>
      <c r="C111" s="32" t="s">
        <v>980</v>
      </c>
      <c r="D111" s="42">
        <v>73488038</v>
      </c>
      <c r="E111" s="42">
        <v>0</v>
      </c>
      <c r="F111" s="42">
        <v>132864183</v>
      </c>
      <c r="G111" s="42">
        <v>248989036</v>
      </c>
      <c r="H111" s="42">
        <v>251755480</v>
      </c>
      <c r="I111" s="42">
        <v>0</v>
      </c>
      <c r="J111" s="42">
        <v>675773</v>
      </c>
      <c r="K111" s="42">
        <v>0</v>
      </c>
      <c r="L111" s="42">
        <v>0</v>
      </c>
      <c r="M111" s="42">
        <v>0</v>
      </c>
      <c r="N111" s="42">
        <v>0</v>
      </c>
      <c r="O111" s="42">
        <v>0</v>
      </c>
      <c r="P111" s="42">
        <v>0</v>
      </c>
      <c r="Q111" s="42">
        <v>0</v>
      </c>
      <c r="R111" s="42">
        <v>0</v>
      </c>
      <c r="S111" s="42">
        <v>1655806</v>
      </c>
      <c r="T111" s="42">
        <v>0</v>
      </c>
      <c r="U111" s="42">
        <v>0</v>
      </c>
      <c r="V111" s="42">
        <v>0</v>
      </c>
      <c r="W111" s="42">
        <v>0</v>
      </c>
      <c r="X111" s="42">
        <f>IFERROR(VLOOKUP(A111,'Trans 21-23'!$A$2:$J$229,8,0),0)</f>
        <v>133884</v>
      </c>
      <c r="Y111" s="42">
        <v>0</v>
      </c>
      <c r="Z111" s="42">
        <v>0</v>
      </c>
      <c r="AA111" s="42">
        <v>1828197</v>
      </c>
      <c r="AB111" s="42">
        <v>0</v>
      </c>
      <c r="AC111" s="42">
        <v>0</v>
      </c>
      <c r="AD111" s="42">
        <v>34211038</v>
      </c>
      <c r="AE111" s="42">
        <v>0</v>
      </c>
      <c r="AF111" s="42">
        <v>643865343</v>
      </c>
      <c r="AG111" s="42">
        <v>0</v>
      </c>
      <c r="AH111" s="42">
        <v>28674</v>
      </c>
      <c r="AI111" s="42">
        <v>9715855</v>
      </c>
      <c r="AJ111" s="42">
        <v>0</v>
      </c>
      <c r="AK111" s="42">
        <v>0</v>
      </c>
      <c r="AL111" s="42">
        <v>0</v>
      </c>
      <c r="AM111" s="42">
        <v>0</v>
      </c>
      <c r="AN111" s="42">
        <v>0</v>
      </c>
      <c r="AO111" s="42">
        <v>0</v>
      </c>
      <c r="AP111" s="42">
        <v>0</v>
      </c>
      <c r="AQ111" s="42">
        <v>0</v>
      </c>
      <c r="AR111" s="42">
        <v>9687181</v>
      </c>
      <c r="AS111" s="42">
        <v>9687181</v>
      </c>
      <c r="AT111" s="42">
        <v>0</v>
      </c>
      <c r="AU111" s="42">
        <v>1689</v>
      </c>
      <c r="AV111" s="42">
        <v>0</v>
      </c>
      <c r="AW111" s="42">
        <v>60496</v>
      </c>
      <c r="AX111" s="42">
        <v>0</v>
      </c>
      <c r="AY111" s="42">
        <v>370</v>
      </c>
      <c r="AZ111" s="42">
        <v>0</v>
      </c>
      <c r="BA111" s="42">
        <v>0</v>
      </c>
      <c r="BB111" s="42">
        <v>104077928</v>
      </c>
      <c r="BC111" s="42">
        <v>1123385623</v>
      </c>
      <c r="BD111" s="42">
        <v>28973759</v>
      </c>
      <c r="BE111" s="42">
        <v>34183551</v>
      </c>
      <c r="BF111" s="42">
        <v>2553055</v>
      </c>
      <c r="BG111" s="42">
        <v>0</v>
      </c>
      <c r="BH111" s="42">
        <v>0</v>
      </c>
      <c r="BI111" s="42">
        <v>0</v>
      </c>
      <c r="BJ111" s="42">
        <v>0</v>
      </c>
      <c r="BK111" s="42">
        <v>0</v>
      </c>
      <c r="BL111" s="42">
        <v>0</v>
      </c>
      <c r="BM111" s="42">
        <v>8017304</v>
      </c>
      <c r="BN111" s="42">
        <v>13828828</v>
      </c>
      <c r="BO111" s="42">
        <v>0</v>
      </c>
      <c r="BP111" s="42">
        <v>0</v>
      </c>
      <c r="BQ111" s="42">
        <v>0</v>
      </c>
      <c r="BR111" s="42">
        <v>0</v>
      </c>
      <c r="BS111" s="42">
        <f>IFERROR(VLOOKUP(A111,'Trans 21-23'!$A$2:$J$229,7,0),0)</f>
        <v>12125031</v>
      </c>
      <c r="BT111" s="63"/>
      <c r="BU111" s="32">
        <f t="shared" si="0"/>
        <v>104077928</v>
      </c>
      <c r="BV111" s="32">
        <f t="shared" si="1"/>
        <v>1689</v>
      </c>
      <c r="BW111" s="32">
        <f t="shared" si="2"/>
        <v>0</v>
      </c>
      <c r="BX111" s="32">
        <f t="shared" si="3"/>
        <v>2331579</v>
      </c>
      <c r="BY111" s="32">
        <f t="shared" si="4"/>
        <v>1828197</v>
      </c>
      <c r="BZ111" s="32">
        <f t="shared" si="5"/>
        <v>0</v>
      </c>
      <c r="CA111" s="32">
        <f t="shared" si="6"/>
        <v>34211038</v>
      </c>
      <c r="CB111" s="32">
        <f t="shared" si="7"/>
        <v>28674</v>
      </c>
      <c r="CC111" s="32">
        <f t="shared" si="8"/>
        <v>0</v>
      </c>
      <c r="CD111" s="41">
        <f t="shared" si="67"/>
        <v>0</v>
      </c>
      <c r="CE111" s="44">
        <f t="shared" si="10"/>
        <v>43</v>
      </c>
      <c r="CF111" s="27"/>
      <c r="CG111" s="28" t="str">
        <f t="shared" si="11"/>
        <v/>
      </c>
      <c r="CH111" s="28" t="str">
        <f t="shared" si="12"/>
        <v/>
      </c>
      <c r="CI111" s="28" t="str">
        <f t="shared" si="13"/>
        <v/>
      </c>
      <c r="CJ111" s="28" t="str">
        <f t="shared" si="14"/>
        <v/>
      </c>
      <c r="CK111" s="23" t="str">
        <f t="shared" si="15"/>
        <v/>
      </c>
      <c r="CL111" s="29" t="str">
        <f t="shared" si="16"/>
        <v/>
      </c>
      <c r="CM111" s="29" t="str">
        <f t="shared" si="17"/>
        <v/>
      </c>
      <c r="CN111" s="29" t="str">
        <f t="shared" si="18"/>
        <v/>
      </c>
      <c r="CO111" s="29" t="str">
        <f t="shared" si="19"/>
        <v/>
      </c>
      <c r="CP111" s="29" t="str">
        <f t="shared" si="20"/>
        <v/>
      </c>
      <c r="CQ111" s="29" t="str">
        <f t="shared" si="21"/>
        <v/>
      </c>
      <c r="CR111" s="30"/>
      <c r="CS111" s="7" t="str">
        <f>VLOOKUP(A111,'Empresas 21-23'!$A$2:$M$228,13,0)</f>
        <v/>
      </c>
      <c r="CT111" s="30"/>
      <c r="CU111" s="6">
        <f t="shared" si="22"/>
        <v>116202737</v>
      </c>
      <c r="CV111" s="6">
        <f t="shared" si="23"/>
        <v>0</v>
      </c>
      <c r="CW111" s="6">
        <f t="shared" si="24"/>
        <v>28973759</v>
      </c>
      <c r="CX111" s="23">
        <f t="shared" si="65"/>
        <v>0.10617825045800125</v>
      </c>
      <c r="CY111" s="23">
        <f t="shared" si="66"/>
        <v>0</v>
      </c>
      <c r="CZ111" s="6">
        <f t="shared" si="27"/>
        <v>119279120.03981176</v>
      </c>
      <c r="DA111" s="6">
        <f t="shared" si="28"/>
        <v>0</v>
      </c>
      <c r="DB111" s="6">
        <f t="shared" si="29"/>
        <v>2331579</v>
      </c>
      <c r="DC111" s="6">
        <f t="shared" si="30"/>
        <v>2465463</v>
      </c>
      <c r="DD111" s="6">
        <f t="shared" si="31"/>
        <v>1828197</v>
      </c>
      <c r="DE111" s="6">
        <f t="shared" si="32"/>
        <v>34211038</v>
      </c>
      <c r="DF111" s="6">
        <f t="shared" si="33"/>
        <v>969276.52314188448</v>
      </c>
      <c r="DG111" s="30"/>
      <c r="DH111" s="32">
        <f>VLOOKUP(A111,'T_med_comp-USA'!$A$7:$Q$233,17,0)</f>
        <v>13.222955606379236</v>
      </c>
      <c r="DI111" s="6" t="str">
        <f t="shared" si="34"/>
        <v>10_2009</v>
      </c>
      <c r="DJ111" s="32">
        <f>IF(DI111="","",VLOOKUP(DI111,'CPI USA'!$T:$U,2,FALSE))</f>
        <v>214.53700000000001</v>
      </c>
      <c r="DK111" s="32">
        <f>IF(DI111="","",VLOOKUP(DI111,'PPI USA'!$S:$T,2,FALSE))</f>
        <v>159.1</v>
      </c>
      <c r="DL111" s="32">
        <f>IF(DI111="","",VLOOKUP(DI111,'CPI USA'!$T:$V,3,FALSE))</f>
        <v>0.66997101349938215</v>
      </c>
      <c r="DM111" s="32">
        <f>IF(DI111="","",VLOOKUP(DI111,'CPI USA'!$T:$X,5,FALSE))</f>
        <v>0.49813941766071862</v>
      </c>
      <c r="DN111" s="32">
        <f t="shared" si="35"/>
        <v>1.4932638886873792</v>
      </c>
      <c r="DO111" s="32">
        <f t="shared" si="36"/>
        <v>1.5082750176818205</v>
      </c>
      <c r="DP111" s="32">
        <f t="shared" si="37"/>
        <v>0.2</v>
      </c>
      <c r="DQ111" s="32">
        <f>IF(DP111="","",DP111*$DO$1/'CPI USA'!$U$520+(1-DP111)*AVERAGE($DO$1,$DQ$1)/AVERAGE('CPI USA'!$U$520,'PPI USA'!$T$526))</f>
        <v>1.0854630593748538</v>
      </c>
      <c r="DR111" s="6">
        <f t="shared" si="38"/>
        <v>0</v>
      </c>
      <c r="DS111" s="32">
        <f t="shared" si="39"/>
        <v>0.2</v>
      </c>
      <c r="DT111" s="28">
        <f>IF(DS111="","",DS111*$DO$1/'CPI USA'!$U$520+(1-DS111)*AVERAGE($DO$1,$DQ$1)/AVERAGE('CPI USA'!$U$520,'PPI USA'!$T$526))</f>
        <v>1.0854630593748538</v>
      </c>
      <c r="DU111" s="6">
        <f t="shared" si="40"/>
        <v>8017304</v>
      </c>
      <c r="DV111" s="6" t="str">
        <f t="shared" si="57"/>
        <v/>
      </c>
      <c r="DW111" s="6">
        <f t="shared" si="41"/>
        <v>0</v>
      </c>
      <c r="DX111" s="16" t="str">
        <f t="shared" si="42"/>
        <v/>
      </c>
      <c r="DY111" s="28" t="str">
        <f>IF(DX111="","",DX111*$DO$1/'CPI USA'!$U$520+(1-DX111)*AVERAGE($DO$1,$DQ$1)/AVERAGE('CPI USA'!$U$520,'PPI USA'!$T$526))</f>
        <v/>
      </c>
      <c r="DZ111" s="30"/>
      <c r="EA111" s="29" t="str">
        <f t="shared" si="43"/>
        <v>C001298</v>
      </c>
      <c r="EB111" s="29" t="str">
        <f t="shared" si="44"/>
        <v/>
      </c>
      <c r="EC111" s="29" t="str">
        <f t="shared" si="45"/>
        <v/>
      </c>
      <c r="ED111" s="29" t="str">
        <f t="shared" si="46"/>
        <v/>
      </c>
      <c r="EE111" s="29" t="str">
        <f t="shared" si="47"/>
        <v/>
      </c>
      <c r="EF111" s="29" t="str">
        <f t="shared" si="48"/>
        <v/>
      </c>
      <c r="EG111" s="29" t="str">
        <f t="shared" si="49"/>
        <v/>
      </c>
      <c r="EH111" s="29" t="str">
        <f t="shared" si="50"/>
        <v/>
      </c>
      <c r="EI111" s="29" t="str">
        <f t="shared" si="51"/>
        <v/>
      </c>
      <c r="EJ111" s="29" t="str">
        <f t="shared" si="52"/>
        <v/>
      </c>
      <c r="EK111" s="29" t="str">
        <f t="shared" si="53"/>
        <v/>
      </c>
      <c r="EL111" s="29" t="str">
        <f>IF(CD111=1,VLOOKUP(EA111,'EIA 2022'!$A$2:$J$213,4,0)*EH111,"")</f>
        <v/>
      </c>
      <c r="EM111" s="29" t="str">
        <f>IF(CD111=1,VLOOKUP(EA111,'EIA 2022'!$A$2:$J$213,7,0)*EH111,"")</f>
        <v/>
      </c>
      <c r="EN111" s="29" t="str">
        <f>IF(CD111=1,VLOOKUP(EA111,'EIA 2022'!$A$2:$J$213,10,0),"")</f>
        <v/>
      </c>
      <c r="EO111" s="28" t="str">
        <f>IF(CD111=1,VLOOKUP(EA111,'EIA 2022'!$A$2:$Z$213,26,0),"")</f>
        <v/>
      </c>
      <c r="EP111" s="23" t="str">
        <f t="shared" si="54"/>
        <v/>
      </c>
      <c r="EQ111" s="32" t="str">
        <f t="shared" si="55"/>
        <v/>
      </c>
      <c r="ER111" s="32" t="str">
        <f t="shared" si="56"/>
        <v/>
      </c>
      <c r="ES111" s="32"/>
      <c r="ET111" s="32"/>
    </row>
    <row r="112" spans="1:150" ht="15.75" customHeight="1">
      <c r="A112" s="7" t="s">
        <v>538</v>
      </c>
      <c r="B112" s="7" t="s">
        <v>539</v>
      </c>
      <c r="C112" s="32" t="s">
        <v>981</v>
      </c>
      <c r="D112" s="42">
        <v>16908</v>
      </c>
      <c r="E112" s="42">
        <v>0</v>
      </c>
      <c r="F112" s="42">
        <v>0</v>
      </c>
      <c r="G112" s="42">
        <v>15750</v>
      </c>
      <c r="H112" s="42">
        <v>15750</v>
      </c>
      <c r="I112" s="42">
        <v>3637</v>
      </c>
      <c r="J112" s="42">
        <v>0</v>
      </c>
      <c r="K112" s="42">
        <v>0</v>
      </c>
      <c r="L112" s="42">
        <v>29537</v>
      </c>
      <c r="M112" s="42">
        <v>0</v>
      </c>
      <c r="N112" s="42">
        <v>278</v>
      </c>
      <c r="O112" s="42">
        <v>130991</v>
      </c>
      <c r="P112" s="42">
        <v>0</v>
      </c>
      <c r="Q112" s="42">
        <v>0</v>
      </c>
      <c r="R112" s="42">
        <v>0</v>
      </c>
      <c r="S112" s="42">
        <v>0</v>
      </c>
      <c r="T112" s="42">
        <v>2416</v>
      </c>
      <c r="U112" s="42">
        <v>0</v>
      </c>
      <c r="V112" s="42">
        <v>0</v>
      </c>
      <c r="W112" s="42">
        <v>2408</v>
      </c>
      <c r="X112" s="42">
        <f>IFERROR(VLOOKUP(A112,'Trans 21-23'!$A$2:$J$229,8,0),0)</f>
        <v>9890327</v>
      </c>
      <c r="Y112" s="42">
        <v>0</v>
      </c>
      <c r="Z112" s="42">
        <v>0</v>
      </c>
      <c r="AA112" s="42">
        <v>2104595</v>
      </c>
      <c r="AB112" s="42">
        <v>10841</v>
      </c>
      <c r="AC112" s="42">
        <v>0</v>
      </c>
      <c r="AD112" s="42">
        <v>47522988</v>
      </c>
      <c r="AE112" s="42">
        <v>0</v>
      </c>
      <c r="AF112" s="42">
        <v>118261185</v>
      </c>
      <c r="AG112" s="42">
        <v>0</v>
      </c>
      <c r="AH112" s="42">
        <v>0</v>
      </c>
      <c r="AI112" s="42">
        <v>0</v>
      </c>
      <c r="AJ112" s="42">
        <v>0</v>
      </c>
      <c r="AK112" s="42">
        <v>0</v>
      </c>
      <c r="AL112" s="42">
        <v>0</v>
      </c>
      <c r="AM112" s="42">
        <v>0</v>
      </c>
      <c r="AN112" s="42">
        <v>0</v>
      </c>
      <c r="AO112" s="42">
        <v>0</v>
      </c>
      <c r="AP112" s="42">
        <v>0</v>
      </c>
      <c r="AQ112" s="42">
        <v>0</v>
      </c>
      <c r="AR112" s="42">
        <v>0</v>
      </c>
      <c r="AS112" s="42">
        <v>0</v>
      </c>
      <c r="AT112" s="42">
        <v>0</v>
      </c>
      <c r="AU112" s="42">
        <v>0</v>
      </c>
      <c r="AV112" s="42">
        <v>0</v>
      </c>
      <c r="AW112" s="42">
        <v>121482</v>
      </c>
      <c r="AX112" s="42">
        <v>1118</v>
      </c>
      <c r="AY112" s="42">
        <v>15730</v>
      </c>
      <c r="AZ112" s="42">
        <v>7622120</v>
      </c>
      <c r="BA112" s="42">
        <v>0</v>
      </c>
      <c r="BB112" s="42">
        <v>7923014</v>
      </c>
      <c r="BC112" s="42">
        <v>3585466676</v>
      </c>
      <c r="BD112" s="42">
        <v>8969013</v>
      </c>
      <c r="BE112" s="42">
        <v>8388960</v>
      </c>
      <c r="BF112" s="42">
        <v>15137</v>
      </c>
      <c r="BG112" s="42">
        <v>0</v>
      </c>
      <c r="BH112" s="42">
        <v>203417</v>
      </c>
      <c r="BI112" s="42">
        <v>101094</v>
      </c>
      <c r="BJ112" s="42">
        <v>0</v>
      </c>
      <c r="BK112" s="42">
        <v>0</v>
      </c>
      <c r="BL112" s="42">
        <v>0</v>
      </c>
      <c r="BM112" s="42">
        <v>11840946</v>
      </c>
      <c r="BN112" s="42">
        <v>35643616</v>
      </c>
      <c r="BO112" s="42">
        <v>88010</v>
      </c>
      <c r="BP112" s="42">
        <v>412114</v>
      </c>
      <c r="BQ112" s="42">
        <v>79799401</v>
      </c>
      <c r="BR112" s="42">
        <v>0</v>
      </c>
      <c r="BS112" s="42">
        <f>IFERROR(VLOOKUP(A112,'Trans 21-23'!$A$2:$J$229,7,0),0)</f>
        <v>895703723</v>
      </c>
      <c r="BT112" s="63"/>
      <c r="BU112" s="32">
        <f t="shared" si="0"/>
        <v>7923014</v>
      </c>
      <c r="BV112" s="32">
        <f t="shared" si="1"/>
        <v>0</v>
      </c>
      <c r="BW112" s="32">
        <f t="shared" si="2"/>
        <v>0</v>
      </c>
      <c r="BX112" s="32">
        <f t="shared" si="3"/>
        <v>169267</v>
      </c>
      <c r="BY112" s="32">
        <f t="shared" si="4"/>
        <v>2115436</v>
      </c>
      <c r="BZ112" s="32">
        <f t="shared" si="5"/>
        <v>7622120</v>
      </c>
      <c r="CA112" s="32">
        <f t="shared" si="6"/>
        <v>47522988</v>
      </c>
      <c r="CB112" s="32">
        <f t="shared" si="7"/>
        <v>0</v>
      </c>
      <c r="CC112" s="32">
        <f t="shared" si="8"/>
        <v>0</v>
      </c>
      <c r="CD112" s="41">
        <f t="shared" si="67"/>
        <v>0</v>
      </c>
      <c r="CE112" s="44">
        <f t="shared" si="10"/>
        <v>37</v>
      </c>
      <c r="CF112" s="27"/>
      <c r="CG112" s="28" t="str">
        <f t="shared" si="11"/>
        <v/>
      </c>
      <c r="CH112" s="28" t="str">
        <f t="shared" si="12"/>
        <v/>
      </c>
      <c r="CI112" s="28" t="str">
        <f t="shared" si="13"/>
        <v/>
      </c>
      <c r="CJ112" s="28" t="str">
        <f t="shared" si="14"/>
        <v/>
      </c>
      <c r="CK112" s="23" t="str">
        <f t="shared" si="15"/>
        <v/>
      </c>
      <c r="CL112" s="29" t="str">
        <f t="shared" si="16"/>
        <v/>
      </c>
      <c r="CM112" s="29" t="str">
        <f t="shared" si="17"/>
        <v/>
      </c>
      <c r="CN112" s="29" t="str">
        <f t="shared" si="18"/>
        <v/>
      </c>
      <c r="CO112" s="29" t="str">
        <f t="shared" si="19"/>
        <v/>
      </c>
      <c r="CP112" s="29" t="str">
        <f t="shared" si="20"/>
        <v/>
      </c>
      <c r="CQ112" s="29" t="str">
        <f t="shared" si="21"/>
        <v/>
      </c>
      <c r="CR112" s="30"/>
      <c r="CS112" s="7" t="str">
        <f>VLOOKUP(A112,'Empresas 21-23'!$A$2:$M$228,13,0)</f>
        <v/>
      </c>
      <c r="CT112" s="30"/>
      <c r="CU112" s="6">
        <f t="shared" si="22"/>
        <v>895994508.20000005</v>
      </c>
      <c r="CV112" s="6">
        <f t="shared" si="23"/>
        <v>7622120</v>
      </c>
      <c r="CW112" s="6">
        <f t="shared" si="24"/>
        <v>8969013</v>
      </c>
      <c r="CX112" s="23">
        <f t="shared" si="65"/>
        <v>0.25052288373325299</v>
      </c>
      <c r="CY112" s="23">
        <f t="shared" si="66"/>
        <v>2.1311687349479472E-3</v>
      </c>
      <c r="CZ112" s="6">
        <f t="shared" si="27"/>
        <v>898241451.20100105</v>
      </c>
      <c r="DA112" s="6">
        <f t="shared" si="28"/>
        <v>7641234.4800889418</v>
      </c>
      <c r="DB112" s="6">
        <f t="shared" si="29"/>
        <v>169267</v>
      </c>
      <c r="DC112" s="6">
        <f t="shared" si="30"/>
        <v>10059594</v>
      </c>
      <c r="DD112" s="6">
        <f t="shared" si="31"/>
        <v>2115436</v>
      </c>
      <c r="DE112" s="6">
        <f t="shared" si="32"/>
        <v>47522988</v>
      </c>
      <c r="DF112" s="6">
        <f t="shared" si="33"/>
        <v>8183146.7912243763</v>
      </c>
      <c r="DG112" s="30"/>
      <c r="DH112" s="32">
        <f>VLOOKUP(A112,'T_med_comp-USA'!$A$7:$Q$233,17,0)</f>
        <v>378.79043582482024</v>
      </c>
      <c r="DI112" s="6" t="str">
        <f t="shared" si="34"/>
        <v/>
      </c>
      <c r="DJ112" s="32" t="str">
        <f>IF(DI112="","",VLOOKUP(DI112,'CPI USA'!$T:$U,2,FALSE))</f>
        <v/>
      </c>
      <c r="DK112" s="32" t="str">
        <f>IF(DI112="","",VLOOKUP(DI112,'PPI USA'!$S:$T,2,FALSE))</f>
        <v/>
      </c>
      <c r="DL112" s="32" t="str">
        <f>IF(DI112="","",VLOOKUP(DI112,'CPI USA'!$T:$V,3,FALSE))</f>
        <v/>
      </c>
      <c r="DM112" s="32" t="str">
        <f>IF(DI112="","",VLOOKUP(DI112,'CPI USA'!$T:$X,5,FALSE))</f>
        <v/>
      </c>
      <c r="DN112" s="32" t="str">
        <f t="shared" si="35"/>
        <v/>
      </c>
      <c r="DO112" s="32" t="str">
        <f t="shared" si="36"/>
        <v/>
      </c>
      <c r="DP112" s="32">
        <f t="shared" si="37"/>
        <v>0.8</v>
      </c>
      <c r="DQ112" s="32">
        <f>IF(DP112="","",DP112*$DO$1/'CPI USA'!$U$520+(1-DP112)*AVERAGE($DO$1,$DQ$1)/AVERAGE('CPI USA'!$U$520,'PPI USA'!$T$526))</f>
        <v>1.0652796184204005</v>
      </c>
      <c r="DR112" s="6">
        <f t="shared" si="38"/>
        <v>101094</v>
      </c>
      <c r="DS112" s="32">
        <f t="shared" si="39"/>
        <v>0.2</v>
      </c>
      <c r="DT112" s="28">
        <f>IF(DS112="","",DS112*$DO$1/'CPI USA'!$U$520+(1-DS112)*AVERAGE($DO$1,$DQ$1)/AVERAGE('CPI USA'!$U$520,'PPI USA'!$T$526))</f>
        <v>1.0854630593748538</v>
      </c>
      <c r="DU112" s="6">
        <f t="shared" si="40"/>
        <v>11870183.259694977</v>
      </c>
      <c r="DV112" s="6">
        <f t="shared" si="57"/>
        <v>61468.52732030004</v>
      </c>
      <c r="DW112" s="6">
        <f t="shared" si="41"/>
        <v>101934.64146050189</v>
      </c>
      <c r="DX112" s="16">
        <f t="shared" si="42"/>
        <v>0.2</v>
      </c>
      <c r="DY112" s="28">
        <f>IF(DX112="","",DX112*$DO$1/'CPI USA'!$U$520+(1-DX112)*AVERAGE($DO$1,$DQ$1)/AVERAGE('CPI USA'!$U$520,'PPI USA'!$T$526))</f>
        <v>1.0854630593748538</v>
      </c>
      <c r="DZ112" s="30"/>
      <c r="EA112" s="29" t="str">
        <f t="shared" si="43"/>
        <v>C001305</v>
      </c>
      <c r="EB112" s="29" t="str">
        <f t="shared" si="44"/>
        <v/>
      </c>
      <c r="EC112" s="29" t="str">
        <f t="shared" si="45"/>
        <v/>
      </c>
      <c r="ED112" s="29" t="str">
        <f t="shared" si="46"/>
        <v/>
      </c>
      <c r="EE112" s="29" t="str">
        <f t="shared" si="47"/>
        <v/>
      </c>
      <c r="EF112" s="29" t="str">
        <f t="shared" si="48"/>
        <v/>
      </c>
      <c r="EG112" s="29" t="str">
        <f t="shared" si="49"/>
        <v/>
      </c>
      <c r="EH112" s="29" t="str">
        <f t="shared" si="50"/>
        <v/>
      </c>
      <c r="EI112" s="29" t="str">
        <f t="shared" si="51"/>
        <v/>
      </c>
      <c r="EJ112" s="29" t="str">
        <f t="shared" si="52"/>
        <v/>
      </c>
      <c r="EK112" s="29" t="str">
        <f t="shared" si="53"/>
        <v/>
      </c>
      <c r="EL112" s="29" t="str">
        <f>IF(CD112=1,VLOOKUP(EA112,'EIA 2022'!$A$2:$J$213,4,0)*EH112,"")</f>
        <v/>
      </c>
      <c r="EM112" s="29" t="str">
        <f>IF(CD112=1,VLOOKUP(EA112,'EIA 2022'!$A$2:$J$213,7,0)*EH112,"")</f>
        <v/>
      </c>
      <c r="EN112" s="29" t="str">
        <f>IF(CD112=1,VLOOKUP(EA112,'EIA 2022'!$A$2:$J$213,10,0),"")</f>
        <v/>
      </c>
      <c r="EO112" s="28" t="str">
        <f>IF(CD112=1,VLOOKUP(EA112,'EIA 2022'!$A$2:$Z$213,26,0),"")</f>
        <v/>
      </c>
      <c r="EP112" s="23" t="str">
        <f t="shared" si="54"/>
        <v/>
      </c>
      <c r="EQ112" s="32" t="str">
        <f t="shared" si="55"/>
        <v/>
      </c>
      <c r="ER112" s="32" t="str">
        <f t="shared" si="56"/>
        <v/>
      </c>
      <c r="ES112" s="32"/>
      <c r="ET112" s="32"/>
    </row>
    <row r="113" spans="1:150" ht="15.75" customHeight="1">
      <c r="A113" s="7" t="s">
        <v>541</v>
      </c>
      <c r="B113" s="7" t="s">
        <v>542</v>
      </c>
      <c r="C113" s="32" t="s">
        <v>982</v>
      </c>
      <c r="D113" s="42">
        <v>0</v>
      </c>
      <c r="E113" s="42">
        <v>0</v>
      </c>
      <c r="F113" s="42">
        <v>0</v>
      </c>
      <c r="G113" s="42">
        <v>1212835612</v>
      </c>
      <c r="H113" s="42">
        <v>1212835612</v>
      </c>
      <c r="I113" s="42">
        <v>20152049</v>
      </c>
      <c r="J113" s="42">
        <v>6461234</v>
      </c>
      <c r="K113" s="42">
        <v>9466283</v>
      </c>
      <c r="L113" s="42">
        <v>17374898</v>
      </c>
      <c r="M113" s="42">
        <v>10030007</v>
      </c>
      <c r="N113" s="42">
        <v>2562810</v>
      </c>
      <c r="O113" s="42">
        <v>63644486</v>
      </c>
      <c r="P113" s="42">
        <v>503888</v>
      </c>
      <c r="Q113" s="42">
        <v>4324836</v>
      </c>
      <c r="R113" s="42">
        <v>1948407</v>
      </c>
      <c r="S113" s="42">
        <v>7423316</v>
      </c>
      <c r="T113" s="42">
        <v>377230705</v>
      </c>
      <c r="U113" s="42">
        <v>8914636</v>
      </c>
      <c r="V113" s="42">
        <v>1731941</v>
      </c>
      <c r="W113" s="42">
        <v>4975874</v>
      </c>
      <c r="X113" s="42">
        <f>IFERROR(VLOOKUP(A113,'Trans 21-23'!$A$2:$J$229,8,0),0)</f>
        <v>1469490</v>
      </c>
      <c r="Y113" s="42">
        <v>7340550</v>
      </c>
      <c r="Z113" s="42">
        <v>858837</v>
      </c>
      <c r="AA113" s="42">
        <v>60205721</v>
      </c>
      <c r="AB113" s="42">
        <v>307247191</v>
      </c>
      <c r="AC113" s="42">
        <v>1097962</v>
      </c>
      <c r="AD113" s="42">
        <v>356664538</v>
      </c>
      <c r="AE113" s="42">
        <v>0</v>
      </c>
      <c r="AF113" s="42">
        <v>2606682573</v>
      </c>
      <c r="AG113" s="42">
        <v>1502440</v>
      </c>
      <c r="AH113" s="42">
        <v>0</v>
      </c>
      <c r="AI113" s="42">
        <v>16296125</v>
      </c>
      <c r="AJ113" s="42">
        <v>54266</v>
      </c>
      <c r="AK113" s="42">
        <v>0</v>
      </c>
      <c r="AL113" s="42">
        <v>10679796</v>
      </c>
      <c r="AM113" s="42">
        <v>3847620</v>
      </c>
      <c r="AN113" s="42">
        <v>816522</v>
      </c>
      <c r="AO113" s="42">
        <v>45162</v>
      </c>
      <c r="AP113" s="42">
        <v>0</v>
      </c>
      <c r="AQ113" s="42">
        <v>15389100</v>
      </c>
      <c r="AR113" s="42">
        <v>4628</v>
      </c>
      <c r="AS113" s="42">
        <v>15393728</v>
      </c>
      <c r="AT113" s="42">
        <v>0</v>
      </c>
      <c r="AU113" s="42">
        <v>7547</v>
      </c>
      <c r="AV113" s="42">
        <v>0</v>
      </c>
      <c r="AW113" s="42">
        <v>1610772704</v>
      </c>
      <c r="AX113" s="42">
        <v>303119863</v>
      </c>
      <c r="AY113" s="42">
        <v>850251474</v>
      </c>
      <c r="AZ113" s="42">
        <v>193566419</v>
      </c>
      <c r="BA113" s="42">
        <v>219377739</v>
      </c>
      <c r="BB113" s="42">
        <v>7556268298</v>
      </c>
      <c r="BC113" s="42">
        <v>11903170254</v>
      </c>
      <c r="BD113" s="42">
        <v>341848896</v>
      </c>
      <c r="BE113" s="42">
        <v>2479476620</v>
      </c>
      <c r="BF113" s="42">
        <v>193994612</v>
      </c>
      <c r="BG113" s="42">
        <v>0</v>
      </c>
      <c r="BH113" s="42">
        <v>178509783</v>
      </c>
      <c r="BI113" s="42">
        <v>17909284</v>
      </c>
      <c r="BJ113" s="42">
        <v>18116214</v>
      </c>
      <c r="BK113" s="42">
        <v>324753</v>
      </c>
      <c r="BL113" s="42">
        <v>0</v>
      </c>
      <c r="BM113" s="42">
        <v>90413701</v>
      </c>
      <c r="BN113" s="42">
        <v>333311841</v>
      </c>
      <c r="BO113" s="42">
        <v>41240</v>
      </c>
      <c r="BP113" s="42">
        <v>2222761</v>
      </c>
      <c r="BQ113" s="42">
        <v>681696721</v>
      </c>
      <c r="BR113" s="42">
        <v>0</v>
      </c>
      <c r="BS113" s="42">
        <f>IFERROR(VLOOKUP(A113,'Trans 21-23'!$A$2:$J$229,7,0),0)</f>
        <v>133082321</v>
      </c>
      <c r="BT113" s="63"/>
      <c r="BU113" s="32">
        <f t="shared" si="0"/>
        <v>7556268298</v>
      </c>
      <c r="BV113" s="32">
        <f t="shared" si="1"/>
        <v>7547</v>
      </c>
      <c r="BW113" s="32">
        <f t="shared" si="2"/>
        <v>1502440</v>
      </c>
      <c r="BX113" s="32">
        <f t="shared" si="3"/>
        <v>536745370</v>
      </c>
      <c r="BY113" s="32">
        <f t="shared" si="4"/>
        <v>376750261</v>
      </c>
      <c r="BZ113" s="32">
        <f t="shared" si="5"/>
        <v>193566419</v>
      </c>
      <c r="CA113" s="32">
        <f t="shared" si="6"/>
        <v>356664538</v>
      </c>
      <c r="CB113" s="32">
        <f t="shared" si="7"/>
        <v>0</v>
      </c>
      <c r="CC113" s="32">
        <f t="shared" si="8"/>
        <v>15389100</v>
      </c>
      <c r="CD113" s="41">
        <f t="shared" si="67"/>
        <v>0</v>
      </c>
      <c r="CE113" s="44">
        <f t="shared" si="10"/>
        <v>12</v>
      </c>
      <c r="CF113" s="27"/>
      <c r="CG113" s="28" t="str">
        <f t="shared" si="11"/>
        <v/>
      </c>
      <c r="CH113" s="28" t="str">
        <f t="shared" si="12"/>
        <v/>
      </c>
      <c r="CI113" s="28" t="str">
        <f t="shared" si="13"/>
        <v/>
      </c>
      <c r="CJ113" s="28" t="str">
        <f t="shared" si="14"/>
        <v/>
      </c>
      <c r="CK113" s="23" t="str">
        <f t="shared" si="15"/>
        <v/>
      </c>
      <c r="CL113" s="29" t="str">
        <f t="shared" si="16"/>
        <v/>
      </c>
      <c r="CM113" s="29" t="str">
        <f t="shared" si="17"/>
        <v/>
      </c>
      <c r="CN113" s="29" t="str">
        <f t="shared" si="18"/>
        <v/>
      </c>
      <c r="CO113" s="29" t="str">
        <f t="shared" si="19"/>
        <v/>
      </c>
      <c r="CP113" s="29" t="str">
        <f t="shared" si="20"/>
        <v/>
      </c>
      <c r="CQ113" s="29" t="str">
        <f t="shared" si="21"/>
        <v/>
      </c>
      <c r="CR113" s="30"/>
      <c r="CS113" s="7" t="str">
        <f>VLOOKUP(A113,'Empresas 21-23'!$A$2:$M$228,13,0)</f>
        <v/>
      </c>
      <c r="CT113" s="30"/>
      <c r="CU113" s="6">
        <f t="shared" si="22"/>
        <v>6584383658.8000002</v>
      </c>
      <c r="CV113" s="6">
        <f t="shared" si="23"/>
        <v>193566419</v>
      </c>
      <c r="CW113" s="6">
        <f t="shared" si="24"/>
        <v>341848896</v>
      </c>
      <c r="CX113" s="23">
        <f t="shared" si="65"/>
        <v>0.56951826308710418</v>
      </c>
      <c r="CY113" s="23">
        <f t="shared" si="66"/>
        <v>1.6742586163480292E-2</v>
      </c>
      <c r="CZ113" s="6">
        <f t="shared" si="27"/>
        <v>6779072848.2881641</v>
      </c>
      <c r="DA113" s="6">
        <f t="shared" si="28"/>
        <v>199289853.5961706</v>
      </c>
      <c r="DB113" s="6">
        <f t="shared" si="29"/>
        <v>536745370</v>
      </c>
      <c r="DC113" s="6">
        <f t="shared" si="30"/>
        <v>538214860</v>
      </c>
      <c r="DD113" s="6">
        <f t="shared" si="31"/>
        <v>376750261</v>
      </c>
      <c r="DE113" s="6">
        <f t="shared" si="32"/>
        <v>356664538</v>
      </c>
      <c r="DF113" s="6">
        <f t="shared" si="33"/>
        <v>314636658.82773936</v>
      </c>
      <c r="DG113" s="30"/>
      <c r="DH113" s="32">
        <f>VLOOKUP(A113,'T_med_comp-USA'!$A$7:$Q$233,17,0)</f>
        <v>13.082663222921701</v>
      </c>
      <c r="DI113" s="6" t="str">
        <f t="shared" si="34"/>
        <v>12_2009</v>
      </c>
      <c r="DJ113" s="32">
        <f>IF(DI113="","",VLOOKUP(DI113,'CPI USA'!$T:$U,2,FALSE))</f>
        <v>214.53700000000001</v>
      </c>
      <c r="DK113" s="32">
        <f>IF(DI113="","",VLOOKUP(DI113,'PPI USA'!$S:$T,2,FALSE))</f>
        <v>159.1</v>
      </c>
      <c r="DL113" s="32">
        <f>IF(DI113="","",VLOOKUP(DI113,'CPI USA'!$T:$V,3,FALSE))</f>
        <v>0.66997101349938215</v>
      </c>
      <c r="DM113" s="32">
        <f>IF(DI113="","",VLOOKUP(DI113,'CPI USA'!$T:$X,5,FALSE))</f>
        <v>0.49813941766071862</v>
      </c>
      <c r="DN113" s="32">
        <f t="shared" si="35"/>
        <v>1.4932638886873792</v>
      </c>
      <c r="DO113" s="32">
        <f t="shared" si="36"/>
        <v>1.5082750176818205</v>
      </c>
      <c r="DP113" s="32">
        <f t="shared" si="37"/>
        <v>0.33261930075788815</v>
      </c>
      <c r="DQ113" s="32">
        <f>IF(DP113="","",DP113*$DO$1/'CPI USA'!$U$520+(1-DP113)*AVERAGE($DO$1,$DQ$1)/AVERAGE('CPI USA'!$U$520,'PPI USA'!$T$526))</f>
        <v>1.0810018696644077</v>
      </c>
      <c r="DR113" s="6">
        <f t="shared" si="38"/>
        <v>36350251</v>
      </c>
      <c r="DS113" s="32">
        <f t="shared" si="39"/>
        <v>0.2</v>
      </c>
      <c r="DT113" s="28">
        <f>IF(DS113="","",DS113*$DO$1/'CPI USA'!$U$520+(1-DS113)*AVERAGE($DO$1,$DQ$1)/AVERAGE('CPI USA'!$U$520,'PPI USA'!$T$526))</f>
        <v>1.0854630593748538</v>
      </c>
      <c r="DU113" s="6">
        <f t="shared" si="40"/>
        <v>90424887.704372853</v>
      </c>
      <c r="DV113" s="6">
        <f t="shared" si="57"/>
        <v>295770.05195086653</v>
      </c>
      <c r="DW113" s="6">
        <f t="shared" si="41"/>
        <v>58480501.477371991</v>
      </c>
      <c r="DX113" s="16">
        <f t="shared" si="42"/>
        <v>0.2</v>
      </c>
      <c r="DY113" s="28">
        <f>IF(DX113="","",DX113*$DO$1/'CPI USA'!$U$520+(1-DX113)*AVERAGE($DO$1,$DQ$1)/AVERAGE('CPI USA'!$U$520,'PPI USA'!$T$526))</f>
        <v>1.0854630593748538</v>
      </c>
      <c r="DZ113" s="30"/>
      <c r="EA113" s="29" t="str">
        <f t="shared" si="43"/>
        <v>C001306</v>
      </c>
      <c r="EB113" s="29" t="str">
        <f t="shared" si="44"/>
        <v/>
      </c>
      <c r="EC113" s="29" t="str">
        <f t="shared" si="45"/>
        <v/>
      </c>
      <c r="ED113" s="29" t="str">
        <f t="shared" si="46"/>
        <v/>
      </c>
      <c r="EE113" s="29" t="str">
        <f t="shared" si="47"/>
        <v/>
      </c>
      <c r="EF113" s="29" t="str">
        <f t="shared" si="48"/>
        <v/>
      </c>
      <c r="EG113" s="29" t="str">
        <f t="shared" si="49"/>
        <v/>
      </c>
      <c r="EH113" s="29" t="str">
        <f t="shared" si="50"/>
        <v/>
      </c>
      <c r="EI113" s="29" t="str">
        <f t="shared" si="51"/>
        <v/>
      </c>
      <c r="EJ113" s="29" t="str">
        <f t="shared" si="52"/>
        <v/>
      </c>
      <c r="EK113" s="29" t="str">
        <f t="shared" si="53"/>
        <v/>
      </c>
      <c r="EL113" s="29" t="str">
        <f>IF(CD113=1,VLOOKUP(EA113,'EIA 2022'!$A$2:$J$213,4,0)*EH113,"")</f>
        <v/>
      </c>
      <c r="EM113" s="29" t="str">
        <f>IF(CD113=1,VLOOKUP(EA113,'EIA 2022'!$A$2:$J$213,7,0)*EH113,"")</f>
        <v/>
      </c>
      <c r="EN113" s="29" t="str">
        <f>IF(CD113=1,VLOOKUP(EA113,'EIA 2022'!$A$2:$J$213,10,0),"")</f>
        <v/>
      </c>
      <c r="EO113" s="28" t="str">
        <f>IF(CD113=1,VLOOKUP(EA113,'EIA 2022'!$A$2:$Z$213,26,0),"")</f>
        <v/>
      </c>
      <c r="EP113" s="23" t="str">
        <f t="shared" si="54"/>
        <v/>
      </c>
      <c r="EQ113" s="32" t="str">
        <f t="shared" si="55"/>
        <v/>
      </c>
      <c r="ER113" s="32" t="str">
        <f t="shared" si="56"/>
        <v/>
      </c>
      <c r="ES113" s="32"/>
      <c r="ET113" s="32"/>
    </row>
    <row r="114" spans="1:150" ht="15.75" customHeight="1">
      <c r="A114" s="7" t="s">
        <v>544</v>
      </c>
      <c r="B114" s="7" t="s">
        <v>545</v>
      </c>
      <c r="C114" s="32" t="s">
        <v>983</v>
      </c>
      <c r="D114" s="42">
        <v>0</v>
      </c>
      <c r="E114" s="42">
        <v>0</v>
      </c>
      <c r="F114" s="42">
        <v>0</v>
      </c>
      <c r="G114" s="42">
        <v>64784798</v>
      </c>
      <c r="H114" s="42">
        <v>64784798</v>
      </c>
      <c r="I114" s="42">
        <v>1224031</v>
      </c>
      <c r="J114" s="42">
        <v>152948</v>
      </c>
      <c r="K114" s="42">
        <v>126630</v>
      </c>
      <c r="L114" s="42">
        <v>1170626</v>
      </c>
      <c r="M114" s="42">
        <v>14326</v>
      </c>
      <c r="N114" s="42">
        <v>48988</v>
      </c>
      <c r="O114" s="42">
        <v>1613700</v>
      </c>
      <c r="P114" s="42">
        <v>0</v>
      </c>
      <c r="Q114" s="42">
        <v>13943</v>
      </c>
      <c r="R114" s="42">
        <v>129865</v>
      </c>
      <c r="S114" s="42">
        <v>238334</v>
      </c>
      <c r="T114" s="42">
        <v>5452702</v>
      </c>
      <c r="U114" s="42">
        <v>167310</v>
      </c>
      <c r="V114" s="42">
        <v>3701</v>
      </c>
      <c r="W114" s="42">
        <v>59472</v>
      </c>
      <c r="X114" s="42">
        <f>IFERROR(VLOOKUP(A114,'Trans 21-23'!$A$2:$J$229,8,0),0)</f>
        <v>0</v>
      </c>
      <c r="Y114" s="42">
        <v>315949</v>
      </c>
      <c r="Z114" s="42">
        <v>53762</v>
      </c>
      <c r="AA114" s="42">
        <v>1741135</v>
      </c>
      <c r="AB114" s="42">
        <v>97960</v>
      </c>
      <c r="AC114" s="42">
        <v>159584</v>
      </c>
      <c r="AD114" s="42">
        <v>6498864</v>
      </c>
      <c r="AE114" s="42">
        <v>0</v>
      </c>
      <c r="AF114" s="42">
        <v>111435705</v>
      </c>
      <c r="AG114" s="42">
        <v>46148</v>
      </c>
      <c r="AH114" s="42">
        <v>26743</v>
      </c>
      <c r="AI114" s="42">
        <v>916593</v>
      </c>
      <c r="AJ114" s="42">
        <v>409</v>
      </c>
      <c r="AK114" s="42">
        <v>0</v>
      </c>
      <c r="AL114" s="42">
        <v>308417</v>
      </c>
      <c r="AM114" s="42">
        <v>470560</v>
      </c>
      <c r="AN114" s="42">
        <v>106813</v>
      </c>
      <c r="AO114" s="42">
        <v>2681</v>
      </c>
      <c r="AP114" s="42">
        <v>0</v>
      </c>
      <c r="AQ114" s="42">
        <v>888471</v>
      </c>
      <c r="AR114" s="42">
        <v>970</v>
      </c>
      <c r="AS114" s="42">
        <v>889441</v>
      </c>
      <c r="AT114" s="42">
        <v>0</v>
      </c>
      <c r="AU114" s="42">
        <v>198</v>
      </c>
      <c r="AV114" s="42">
        <v>0</v>
      </c>
      <c r="AW114" s="42">
        <v>87883301</v>
      </c>
      <c r="AX114" s="42">
        <v>7098395</v>
      </c>
      <c r="AY114" s="42">
        <v>20580041</v>
      </c>
      <c r="AZ114" s="42">
        <v>6785897</v>
      </c>
      <c r="BA114" s="42">
        <v>6720616</v>
      </c>
      <c r="BB114" s="42">
        <v>292364690</v>
      </c>
      <c r="BC114" s="42">
        <v>349877082</v>
      </c>
      <c r="BD114" s="42">
        <v>28823515</v>
      </c>
      <c r="BE114" s="42">
        <v>103876090</v>
      </c>
      <c r="BF114" s="42">
        <v>9707115</v>
      </c>
      <c r="BG114" s="42">
        <v>0</v>
      </c>
      <c r="BH114" s="42">
        <v>3259152</v>
      </c>
      <c r="BI114" s="42">
        <v>689676</v>
      </c>
      <c r="BJ114" s="42">
        <v>23844</v>
      </c>
      <c r="BK114" s="42">
        <v>170607</v>
      </c>
      <c r="BL114" s="42">
        <v>0</v>
      </c>
      <c r="BM114" s="42">
        <v>1272297</v>
      </c>
      <c r="BN114" s="42">
        <v>5415724</v>
      </c>
      <c r="BO114" s="42">
        <v>110470</v>
      </c>
      <c r="BP114" s="42">
        <v>1181093</v>
      </c>
      <c r="BQ114" s="42">
        <v>9874939</v>
      </c>
      <c r="BR114" s="42">
        <v>0</v>
      </c>
      <c r="BS114" s="42">
        <f>IFERROR(VLOOKUP(A114,'Trans 21-23'!$A$2:$J$229,7,0),0)</f>
        <v>0</v>
      </c>
      <c r="BT114" s="63"/>
      <c r="BU114" s="32">
        <f t="shared" si="0"/>
        <v>292364690</v>
      </c>
      <c r="BV114" s="32">
        <f t="shared" si="1"/>
        <v>198</v>
      </c>
      <c r="BW114" s="32">
        <f t="shared" si="2"/>
        <v>46148</v>
      </c>
      <c r="BX114" s="32">
        <f t="shared" si="3"/>
        <v>10416576</v>
      </c>
      <c r="BY114" s="32">
        <f t="shared" si="4"/>
        <v>2368390</v>
      </c>
      <c r="BZ114" s="32">
        <f t="shared" si="5"/>
        <v>6785897</v>
      </c>
      <c r="CA114" s="32">
        <f t="shared" si="6"/>
        <v>6498864</v>
      </c>
      <c r="CB114" s="32">
        <f t="shared" si="7"/>
        <v>26743</v>
      </c>
      <c r="CC114" s="32">
        <f t="shared" si="8"/>
        <v>888471</v>
      </c>
      <c r="CD114" s="41">
        <f t="shared" si="67"/>
        <v>1</v>
      </c>
      <c r="CE114" s="44">
        <f t="shared" si="10"/>
        <v>14</v>
      </c>
      <c r="CF114" s="27"/>
      <c r="CG114" s="28">
        <f t="shared" si="11"/>
        <v>1476.5893434343434</v>
      </c>
      <c r="CH114" s="28">
        <f t="shared" si="12"/>
        <v>4.2905434688393864</v>
      </c>
      <c r="CI114" s="28">
        <f t="shared" si="13"/>
        <v>225.72107133570253</v>
      </c>
      <c r="CJ114" s="28">
        <f t="shared" si="14"/>
        <v>147.04639420993325</v>
      </c>
      <c r="CK114" s="23">
        <f t="shared" si="15"/>
        <v>3.0100025774617293E-2</v>
      </c>
      <c r="CL114" s="29" t="str">
        <f t="shared" si="16"/>
        <v/>
      </c>
      <c r="CM114" s="29" t="str">
        <f t="shared" si="17"/>
        <v/>
      </c>
      <c r="CN114" s="29" t="str">
        <f t="shared" si="18"/>
        <v/>
      </c>
      <c r="CO114" s="29" t="str">
        <f t="shared" si="19"/>
        <v/>
      </c>
      <c r="CP114" s="29" t="str">
        <f t="shared" si="20"/>
        <v/>
      </c>
      <c r="CQ114" s="29">
        <f t="shared" si="21"/>
        <v>0</v>
      </c>
      <c r="CR114" s="30"/>
      <c r="CS114" s="7">
        <f>VLOOKUP(A114,'Empresas 21-23'!$A$2:$M$228,13,0)</f>
        <v>1</v>
      </c>
      <c r="CT114" s="30"/>
      <c r="CU114" s="6">
        <f t="shared" si="22"/>
        <v>262251115.40000001</v>
      </c>
      <c r="CV114" s="6">
        <f t="shared" si="23"/>
        <v>6785897</v>
      </c>
      <c r="CW114" s="6">
        <f t="shared" si="24"/>
        <v>28823515</v>
      </c>
      <c r="CX114" s="23">
        <f t="shared" si="65"/>
        <v>0.81684535652581614</v>
      </c>
      <c r="CY114" s="23">
        <f t="shared" si="66"/>
        <v>2.1136338908827636E-2</v>
      </c>
      <c r="CZ114" s="6">
        <f t="shared" si="27"/>
        <v>285795469.78650224</v>
      </c>
      <c r="DA114" s="6">
        <f t="shared" si="28"/>
        <v>7395120.5815836769</v>
      </c>
      <c r="DB114" s="6">
        <f t="shared" si="29"/>
        <v>10416576</v>
      </c>
      <c r="DC114" s="6">
        <f t="shared" si="30"/>
        <v>10416576</v>
      </c>
      <c r="DD114" s="6">
        <f t="shared" si="31"/>
        <v>2368390</v>
      </c>
      <c r="DE114" s="6">
        <f t="shared" si="32"/>
        <v>6498864</v>
      </c>
      <c r="DF114" s="6">
        <f t="shared" si="33"/>
        <v>2069328.2102388663</v>
      </c>
      <c r="DG114" s="30"/>
      <c r="DH114" s="32">
        <f>VLOOKUP(A114,'T_med_comp-USA'!$A$7:$Q$233,17,0)</f>
        <v>11.067120663087328</v>
      </c>
      <c r="DI114" s="6" t="str">
        <f t="shared" si="34"/>
        <v>12_2011</v>
      </c>
      <c r="DJ114" s="32">
        <f>IF(DI114="","",VLOOKUP(DI114,'CPI USA'!$T:$U,2,FALSE))</f>
        <v>224.93899999999999</v>
      </c>
      <c r="DK114" s="32">
        <f>IF(DI114="","",VLOOKUP(DI114,'PPI USA'!$S:$T,2,FALSE))</f>
        <v>169.6</v>
      </c>
      <c r="DL114" s="32">
        <f>IF(DI114="","",VLOOKUP(DI114,'CPI USA'!$T:$V,3,FALSE))</f>
        <v>0.6684022975047168</v>
      </c>
      <c r="DM114" s="32">
        <f>IF(DI114="","",VLOOKUP(DI114,'CPI USA'!$T:$X,5,FALSE))</f>
        <v>0.49636791791307899</v>
      </c>
      <c r="DN114" s="32">
        <f t="shared" si="35"/>
        <v>1.4208751760332547</v>
      </c>
      <c r="DO114" s="32">
        <f t="shared" si="36"/>
        <v>1.4334111417560953</v>
      </c>
      <c r="DP114" s="32">
        <f t="shared" si="37"/>
        <v>0.31926347196197447</v>
      </c>
      <c r="DQ114" s="32">
        <f>IF(DP114="","",DP114*$DO$1/'CPI USA'!$U$520+(1-DP114)*AVERAGE($DO$1,$DQ$1)/AVERAGE('CPI USA'!$U$520,'PPI USA'!$T$526))</f>
        <v>1.0814511473009079</v>
      </c>
      <c r="DR114" s="6">
        <f t="shared" si="38"/>
        <v>884127</v>
      </c>
      <c r="DS114" s="32">
        <f t="shared" si="39"/>
        <v>0.38091759914659362</v>
      </c>
      <c r="DT114" s="28">
        <f>IF(DS114="","",DS114*$DO$1/'CPI USA'!$U$520+(1-DS114)*AVERAGE($DO$1,$DQ$1)/AVERAGE('CPI USA'!$U$520,'PPI USA'!$T$526))</f>
        <v>1.0793771599081925</v>
      </c>
      <c r="DU114" s="6">
        <f t="shared" si="40"/>
        <v>1298249.3287357332</v>
      </c>
      <c r="DV114" s="6">
        <f t="shared" si="57"/>
        <v>172846.52622337686</v>
      </c>
      <c r="DW114" s="6">
        <f t="shared" si="41"/>
        <v>1125456.2756224517</v>
      </c>
      <c r="DX114" s="16">
        <f t="shared" si="42"/>
        <v>0.54387519101792858</v>
      </c>
      <c r="DY114" s="28">
        <f>IF(DX114="","",DX114*$DO$1/'CPI USA'!$U$520+(1-DX114)*AVERAGE($DO$1,$DQ$1)/AVERAGE('CPI USA'!$U$520,'PPI USA'!$T$526))</f>
        <v>1.0738954183521676</v>
      </c>
      <c r="DZ114" s="30"/>
      <c r="EA114" s="29" t="str">
        <f t="shared" si="43"/>
        <v>C001307</v>
      </c>
      <c r="EB114" s="29">
        <f t="shared" si="44"/>
        <v>406079688.44240314</v>
      </c>
      <c r="EC114" s="29">
        <f t="shared" si="45"/>
        <v>10600248.236271858</v>
      </c>
      <c r="ED114" s="29">
        <f t="shared" si="46"/>
        <v>11265018.066147102</v>
      </c>
      <c r="EE114" s="29">
        <f t="shared" si="47"/>
        <v>2556386.0717549641</v>
      </c>
      <c r="EF114" s="29">
        <f t="shared" si="48"/>
        <v>2222242.0840424094</v>
      </c>
      <c r="EG114" s="29">
        <f t="shared" si="49"/>
        <v>198</v>
      </c>
      <c r="EH114" s="29">
        <f t="shared" si="50"/>
        <v>46148</v>
      </c>
      <c r="EI114" s="29">
        <f t="shared" si="51"/>
        <v>26743</v>
      </c>
      <c r="EJ114" s="29">
        <f t="shared" si="52"/>
        <v>888471</v>
      </c>
      <c r="EK114" s="29">
        <f t="shared" si="53"/>
        <v>915199.22842639592</v>
      </c>
      <c r="EL114" s="29">
        <f>IF(CD114=1,VLOOKUP(EA114,'EIA 2022'!$A$2:$J$213,4,0)*EH114,"")</f>
        <v>3889814.9200000004</v>
      </c>
      <c r="EM114" s="29">
        <f>IF(CD114=1,VLOOKUP(EA114,'EIA 2022'!$A$2:$J$213,7,0)*EH114,"")</f>
        <v>52608.719999999994</v>
      </c>
      <c r="EN114" s="29">
        <f>IF(CD114=1,VLOOKUP(EA114,'EIA 2022'!$A$2:$J$213,10,0),"")</f>
        <v>45569</v>
      </c>
      <c r="EO114" s="28">
        <f>IF(CD114=1,VLOOKUP(EA114,'EIA 2022'!$A$2:$Z$213,26,0),"")</f>
        <v>0</v>
      </c>
      <c r="EP114" s="23">
        <f t="shared" si="54"/>
        <v>2.9204819667901994E-2</v>
      </c>
      <c r="EQ114" s="32">
        <f t="shared" si="55"/>
        <v>14.771573604060904</v>
      </c>
      <c r="ER114" s="32">
        <f t="shared" si="56"/>
        <v>26728.228426395937</v>
      </c>
      <c r="ES114" s="32"/>
      <c r="ET114" s="32"/>
    </row>
    <row r="115" spans="1:150" ht="15.75" customHeight="1">
      <c r="A115" s="7" t="s">
        <v>547</v>
      </c>
      <c r="B115" s="7" t="s">
        <v>548</v>
      </c>
      <c r="C115" s="32" t="s">
        <v>984</v>
      </c>
      <c r="D115" s="42">
        <v>0</v>
      </c>
      <c r="E115" s="42">
        <v>0</v>
      </c>
      <c r="F115" s="42">
        <v>0</v>
      </c>
      <c r="G115" s="42">
        <v>707839364</v>
      </c>
      <c r="H115" s="42">
        <v>707839722</v>
      </c>
      <c r="I115" s="42">
        <v>19440846</v>
      </c>
      <c r="J115" s="42">
        <v>3937354</v>
      </c>
      <c r="K115" s="42">
        <v>1919271</v>
      </c>
      <c r="L115" s="42">
        <v>9250838</v>
      </c>
      <c r="M115" s="42">
        <v>5649549</v>
      </c>
      <c r="N115" s="42">
        <v>2493107</v>
      </c>
      <c r="O115" s="42">
        <v>35862787</v>
      </c>
      <c r="P115" s="42">
        <v>55184</v>
      </c>
      <c r="Q115" s="42">
        <v>1913858</v>
      </c>
      <c r="R115" s="42">
        <v>866660</v>
      </c>
      <c r="S115" s="42">
        <v>4207176</v>
      </c>
      <c r="T115" s="42">
        <v>94646059</v>
      </c>
      <c r="U115" s="42">
        <v>6033308</v>
      </c>
      <c r="V115" s="42">
        <v>1434903</v>
      </c>
      <c r="W115" s="42">
        <v>2586332</v>
      </c>
      <c r="X115" s="42">
        <f>IFERROR(VLOOKUP(A115,'Trans 21-23'!$A$2:$J$229,8,0),0)</f>
        <v>1118192</v>
      </c>
      <c r="Y115" s="42">
        <v>5339215</v>
      </c>
      <c r="Z115" s="42">
        <v>189254</v>
      </c>
      <c r="AA115" s="42">
        <v>87542543</v>
      </c>
      <c r="AB115" s="42">
        <v>289221342</v>
      </c>
      <c r="AC115" s="42">
        <v>758127</v>
      </c>
      <c r="AD115" s="42">
        <v>306457053</v>
      </c>
      <c r="AE115" s="42">
        <v>0</v>
      </c>
      <c r="AF115" s="42">
        <v>2194800511</v>
      </c>
      <c r="AG115" s="42">
        <v>679152</v>
      </c>
      <c r="AH115" s="42">
        <v>171023</v>
      </c>
      <c r="AI115" s="42">
        <v>5753024</v>
      </c>
      <c r="AJ115" s="42">
        <v>27528</v>
      </c>
      <c r="AK115" s="42">
        <v>0</v>
      </c>
      <c r="AL115" s="42">
        <v>4002434</v>
      </c>
      <c r="AM115" s="42">
        <v>1391265</v>
      </c>
      <c r="AN115" s="42">
        <v>149565</v>
      </c>
      <c r="AO115" s="42">
        <v>8780</v>
      </c>
      <c r="AP115" s="42">
        <v>0</v>
      </c>
      <c r="AQ115" s="42">
        <v>5552044</v>
      </c>
      <c r="AR115" s="42">
        <v>2429</v>
      </c>
      <c r="AS115" s="42">
        <v>5554473</v>
      </c>
      <c r="AT115" s="42">
        <v>0</v>
      </c>
      <c r="AU115" s="42">
        <v>4611</v>
      </c>
      <c r="AV115" s="42">
        <v>0</v>
      </c>
      <c r="AW115" s="42">
        <v>1035300526</v>
      </c>
      <c r="AX115" s="42">
        <v>327872218</v>
      </c>
      <c r="AY115" s="42">
        <v>973772675</v>
      </c>
      <c r="AZ115" s="42">
        <v>168277307</v>
      </c>
      <c r="BA115" s="42">
        <v>91858780</v>
      </c>
      <c r="BB115" s="42">
        <v>5355434611</v>
      </c>
      <c r="BC115" s="42">
        <v>5784968521</v>
      </c>
      <c r="BD115" s="42">
        <v>195220915</v>
      </c>
      <c r="BE115" s="42">
        <v>2025429734</v>
      </c>
      <c r="BF115" s="42">
        <v>155171557</v>
      </c>
      <c r="BG115" s="42">
        <v>0</v>
      </c>
      <c r="BH115" s="42">
        <v>91993357</v>
      </c>
      <c r="BI115" s="42">
        <v>15878242</v>
      </c>
      <c r="BJ115" s="42">
        <v>15523216</v>
      </c>
      <c r="BK115" s="42">
        <v>290995</v>
      </c>
      <c r="BL115" s="42">
        <v>0</v>
      </c>
      <c r="BM115" s="42">
        <v>62162970</v>
      </c>
      <c r="BN115" s="42">
        <v>188377411</v>
      </c>
      <c r="BO115" s="42">
        <v>57208</v>
      </c>
      <c r="BP115" s="42">
        <v>4792772</v>
      </c>
      <c r="BQ115" s="42">
        <v>302289603</v>
      </c>
      <c r="BR115" s="42">
        <v>0</v>
      </c>
      <c r="BS115" s="42">
        <f>IFERROR(VLOOKUP(A115,'Trans 21-23'!$A$2:$J$229,7,0),0)</f>
        <v>57113304</v>
      </c>
      <c r="BT115" s="63"/>
      <c r="BU115" s="32">
        <f t="shared" si="0"/>
        <v>5355434611</v>
      </c>
      <c r="BV115" s="32">
        <f t="shared" si="1"/>
        <v>4611</v>
      </c>
      <c r="BW115" s="32">
        <f t="shared" si="2"/>
        <v>679152</v>
      </c>
      <c r="BX115" s="32">
        <f t="shared" si="3"/>
        <v>190297232</v>
      </c>
      <c r="BY115" s="32">
        <f t="shared" si="4"/>
        <v>383050481</v>
      </c>
      <c r="BZ115" s="32">
        <f t="shared" si="5"/>
        <v>168277307</v>
      </c>
      <c r="CA115" s="32">
        <f t="shared" si="6"/>
        <v>306457053</v>
      </c>
      <c r="CB115" s="32">
        <f t="shared" si="7"/>
        <v>171023</v>
      </c>
      <c r="CC115" s="32">
        <f t="shared" si="8"/>
        <v>5552044</v>
      </c>
      <c r="CD115" s="41">
        <f t="shared" si="67"/>
        <v>1</v>
      </c>
      <c r="CE115" s="44">
        <f t="shared" si="10"/>
        <v>11</v>
      </c>
      <c r="CF115" s="27"/>
      <c r="CG115" s="28">
        <f t="shared" si="11"/>
        <v>1161.4475408805031</v>
      </c>
      <c r="CH115" s="28">
        <f t="shared" si="12"/>
        <v>6.7893490706056969</v>
      </c>
      <c r="CI115" s="28">
        <f t="shared" si="13"/>
        <v>280.19829434353431</v>
      </c>
      <c r="CJ115" s="28">
        <f t="shared" si="14"/>
        <v>247.77561871274767</v>
      </c>
      <c r="CK115" s="23">
        <f t="shared" si="15"/>
        <v>3.0803610346027518E-2</v>
      </c>
      <c r="CL115" s="29" t="str">
        <f t="shared" si="16"/>
        <v/>
      </c>
      <c r="CM115" s="29" t="str">
        <f t="shared" si="17"/>
        <v/>
      </c>
      <c r="CN115" s="29" t="str">
        <f t="shared" si="18"/>
        <v/>
      </c>
      <c r="CO115" s="29" t="str">
        <f t="shared" si="19"/>
        <v/>
      </c>
      <c r="CP115" s="29" t="str">
        <f t="shared" si="20"/>
        <v/>
      </c>
      <c r="CQ115" s="29">
        <f t="shared" si="21"/>
        <v>0</v>
      </c>
      <c r="CR115" s="30"/>
      <c r="CS115" s="7">
        <f>VLOOKUP(A115,'Empresas 21-23'!$A$2:$M$228,13,0)</f>
        <v>1</v>
      </c>
      <c r="CT115" s="30"/>
      <c r="CU115" s="6">
        <f t="shared" si="22"/>
        <v>4371424892.1999998</v>
      </c>
      <c r="CV115" s="6">
        <f t="shared" si="23"/>
        <v>168277307</v>
      </c>
      <c r="CW115" s="6">
        <f t="shared" si="24"/>
        <v>195220915</v>
      </c>
      <c r="CX115" s="23">
        <f t="shared" si="65"/>
        <v>0.78204334083129978</v>
      </c>
      <c r="CY115" s="23">
        <f t="shared" si="66"/>
        <v>3.0104634209131769E-2</v>
      </c>
      <c r="CZ115" s="6">
        <f t="shared" si="27"/>
        <v>4524096108.7667427</v>
      </c>
      <c r="DA115" s="6">
        <f t="shared" si="28"/>
        <v>174154361.236047</v>
      </c>
      <c r="DB115" s="6">
        <f t="shared" si="29"/>
        <v>190297232</v>
      </c>
      <c r="DC115" s="6">
        <f t="shared" si="30"/>
        <v>191415424</v>
      </c>
      <c r="DD115" s="6">
        <f t="shared" si="31"/>
        <v>383050481</v>
      </c>
      <c r="DE115" s="6">
        <f t="shared" si="32"/>
        <v>306457053</v>
      </c>
      <c r="DF115" s="6">
        <f t="shared" si="33"/>
        <v>149130513.46351516</v>
      </c>
      <c r="DG115" s="30"/>
      <c r="DH115" s="32">
        <f>VLOOKUP(A115,'T_med_comp-USA'!$A$7:$Q$233,17,0)</f>
        <v>13.01791077155322</v>
      </c>
      <c r="DI115" s="6" t="str">
        <f t="shared" si="34"/>
        <v>12_2009</v>
      </c>
      <c r="DJ115" s="32">
        <f>IF(DI115="","",VLOOKUP(DI115,'CPI USA'!$T:$U,2,FALSE))</f>
        <v>214.53700000000001</v>
      </c>
      <c r="DK115" s="32">
        <f>IF(DI115="","",VLOOKUP(DI115,'PPI USA'!$S:$T,2,FALSE))</f>
        <v>159.1</v>
      </c>
      <c r="DL115" s="32">
        <f>IF(DI115="","",VLOOKUP(DI115,'CPI USA'!$T:$V,3,FALSE))</f>
        <v>0.66997101349938215</v>
      </c>
      <c r="DM115" s="32">
        <f>IF(DI115="","",VLOOKUP(DI115,'CPI USA'!$T:$X,5,FALSE))</f>
        <v>0.49813941766071862</v>
      </c>
      <c r="DN115" s="32">
        <f t="shared" si="35"/>
        <v>1.4932638886873792</v>
      </c>
      <c r="DO115" s="32">
        <f t="shared" si="36"/>
        <v>1.5082750176818205</v>
      </c>
      <c r="DP115" s="32">
        <f t="shared" si="37"/>
        <v>0.48356612091199069</v>
      </c>
      <c r="DQ115" s="32">
        <f>IF(DP115="","",DP115*$DO$1/'CPI USA'!$U$520+(1-DP115)*AVERAGE($DO$1,$DQ$1)/AVERAGE('CPI USA'!$U$520,'PPI USA'!$T$526))</f>
        <v>1.0759241592780029</v>
      </c>
      <c r="DR115" s="6">
        <f t="shared" si="38"/>
        <v>31692453</v>
      </c>
      <c r="DS115" s="32">
        <f t="shared" si="39"/>
        <v>0.2</v>
      </c>
      <c r="DT115" s="28">
        <f>IF(DS115="","",DS115*$DO$1/'CPI USA'!$U$520+(1-DS115)*AVERAGE($DO$1,$DQ$1)/AVERAGE('CPI USA'!$U$520,'PPI USA'!$T$526))</f>
        <v>1.0854630593748538</v>
      </c>
      <c r="DU115" s="6">
        <f t="shared" si="40"/>
        <v>62181848.161499739</v>
      </c>
      <c r="DV115" s="6">
        <f t="shared" si="57"/>
        <v>1001465.9351206333</v>
      </c>
      <c r="DW115" s="6">
        <f t="shared" si="41"/>
        <v>41485225.542912409</v>
      </c>
      <c r="DX115" s="16">
        <f t="shared" si="42"/>
        <v>0.27818066591088203</v>
      </c>
      <c r="DY115" s="28">
        <f>IF(DX115="","",DX115*$DO$1/'CPI USA'!$U$520+(1-DX115)*AVERAGE($DO$1,$DQ$1)/AVERAGE('CPI USA'!$U$520,'PPI USA'!$T$526))</f>
        <v>1.0828331346178668</v>
      </c>
      <c r="DZ115" s="30"/>
      <c r="EA115" s="29" t="str">
        <f t="shared" si="43"/>
        <v>C001308</v>
      </c>
      <c r="EB115" s="29">
        <f t="shared" si="44"/>
        <v>6755669348.1724672</v>
      </c>
      <c r="EC115" s="29">
        <f t="shared" si="45"/>
        <v>262672672.27266493</v>
      </c>
      <c r="ED115" s="29">
        <f t="shared" si="46"/>
        <v>205948479.14004245</v>
      </c>
      <c r="EE115" s="29">
        <f t="shared" si="47"/>
        <v>415787147.00126928</v>
      </c>
      <c r="EF115" s="29">
        <f t="shared" si="48"/>
        <v>161483461.36087012</v>
      </c>
      <c r="EG115" s="29">
        <f t="shared" si="49"/>
        <v>4611</v>
      </c>
      <c r="EH115" s="29">
        <f t="shared" si="50"/>
        <v>679152</v>
      </c>
      <c r="EI115" s="29">
        <f t="shared" si="51"/>
        <v>171023</v>
      </c>
      <c r="EJ115" s="29">
        <f t="shared" si="52"/>
        <v>5552044</v>
      </c>
      <c r="EK115" s="29">
        <f t="shared" si="53"/>
        <v>5723030.0101522841</v>
      </c>
      <c r="EL115" s="29">
        <f>IF(CD115=1,VLOOKUP(EA115,'EIA 2022'!$A$2:$J$213,4,0)*EH115,"")</f>
        <v>72282147.359999999</v>
      </c>
      <c r="EM115" s="29">
        <f>IF(CD115=1,VLOOKUP(EA115,'EIA 2022'!$A$2:$J$213,7,0)*EH115,"")</f>
        <v>787816.32</v>
      </c>
      <c r="EN115" s="29">
        <f>IF(CD115=1,VLOOKUP(EA115,'EIA 2022'!$A$2:$J$213,10,0),"")</f>
        <v>1392345</v>
      </c>
      <c r="EO115" s="28">
        <f>IF(CD115=1,VLOOKUP(EA115,'EIA 2022'!$A$2:$Z$213,26,0),"")</f>
        <v>0</v>
      </c>
      <c r="EP115" s="23">
        <f t="shared" si="54"/>
        <v>2.9876832700329401E-2</v>
      </c>
      <c r="EQ115" s="32">
        <f t="shared" si="55"/>
        <v>36.989847715736232</v>
      </c>
      <c r="ER115" s="32">
        <f t="shared" si="56"/>
        <v>170986.01015228426</v>
      </c>
      <c r="ES115" s="32"/>
      <c r="ET115" s="32"/>
    </row>
    <row r="116" spans="1:150" ht="15.75" customHeight="1">
      <c r="A116" s="7" t="s">
        <v>550</v>
      </c>
      <c r="B116" s="7" t="s">
        <v>551</v>
      </c>
      <c r="C116" s="32" t="s">
        <v>985</v>
      </c>
      <c r="D116" s="42">
        <v>0</v>
      </c>
      <c r="E116" s="42">
        <v>0</v>
      </c>
      <c r="F116" s="42">
        <v>0</v>
      </c>
      <c r="G116" s="42">
        <v>426039211</v>
      </c>
      <c r="H116" s="42">
        <v>426039211</v>
      </c>
      <c r="I116" s="42">
        <v>4652774</v>
      </c>
      <c r="J116" s="42">
        <v>1517596</v>
      </c>
      <c r="K116" s="42">
        <v>592040</v>
      </c>
      <c r="L116" s="42">
        <v>2507158</v>
      </c>
      <c r="M116" s="42">
        <v>1266970</v>
      </c>
      <c r="N116" s="42">
        <v>227220</v>
      </c>
      <c r="O116" s="42">
        <v>14370228</v>
      </c>
      <c r="P116" s="42">
        <v>316374</v>
      </c>
      <c r="Q116" s="42">
        <v>1110098</v>
      </c>
      <c r="R116" s="42">
        <v>179919</v>
      </c>
      <c r="S116" s="42">
        <v>1371994</v>
      </c>
      <c r="T116" s="42">
        <v>30332827</v>
      </c>
      <c r="U116" s="42">
        <v>1455233</v>
      </c>
      <c r="V116" s="42">
        <v>312393</v>
      </c>
      <c r="W116" s="42">
        <v>625220</v>
      </c>
      <c r="X116" s="42">
        <f>IFERROR(VLOOKUP(A116,'Trans 21-23'!$A$2:$J$229,8,0),0)</f>
        <v>2571531</v>
      </c>
      <c r="Y116" s="42">
        <v>3258817</v>
      </c>
      <c r="Z116" s="42">
        <v>63951</v>
      </c>
      <c r="AA116" s="42">
        <v>46751754</v>
      </c>
      <c r="AB116" s="42">
        <v>89371991</v>
      </c>
      <c r="AC116" s="42">
        <v>130719</v>
      </c>
      <c r="AD116" s="42">
        <v>188648381</v>
      </c>
      <c r="AE116" s="42">
        <v>0</v>
      </c>
      <c r="AF116" s="42">
        <v>905539359</v>
      </c>
      <c r="AG116" s="42">
        <v>454687</v>
      </c>
      <c r="AH116" s="42">
        <v>207768</v>
      </c>
      <c r="AI116" s="42">
        <v>4367980</v>
      </c>
      <c r="AJ116" s="42">
        <v>12428</v>
      </c>
      <c r="AK116" s="42">
        <v>0</v>
      </c>
      <c r="AL116" s="42">
        <v>2866212</v>
      </c>
      <c r="AM116" s="42">
        <v>1180781</v>
      </c>
      <c r="AN116" s="42">
        <v>97216</v>
      </c>
      <c r="AO116" s="42">
        <v>3575</v>
      </c>
      <c r="AP116" s="42">
        <v>0</v>
      </c>
      <c r="AQ116" s="42">
        <v>4147784</v>
      </c>
      <c r="AR116" s="42">
        <v>0</v>
      </c>
      <c r="AS116" s="42">
        <v>4147784</v>
      </c>
      <c r="AT116" s="42">
        <v>0</v>
      </c>
      <c r="AU116" s="42">
        <v>1859</v>
      </c>
      <c r="AV116" s="42">
        <v>0</v>
      </c>
      <c r="AW116" s="42">
        <v>405604127</v>
      </c>
      <c r="AX116" s="42">
        <v>93818732</v>
      </c>
      <c r="AY116" s="42">
        <v>257574253</v>
      </c>
      <c r="AZ116" s="42">
        <v>68702393</v>
      </c>
      <c r="BA116" s="42">
        <v>24706099</v>
      </c>
      <c r="BB116" s="42">
        <v>2091924128</v>
      </c>
      <c r="BC116" s="42">
        <v>3308006373</v>
      </c>
      <c r="BD116" s="42">
        <v>69453433</v>
      </c>
      <c r="BE116" s="42">
        <v>794651338</v>
      </c>
      <c r="BF116" s="42">
        <v>64176554</v>
      </c>
      <c r="BG116" s="42">
        <v>0</v>
      </c>
      <c r="BH116" s="42">
        <v>29069955</v>
      </c>
      <c r="BI116" s="42">
        <v>4905956</v>
      </c>
      <c r="BJ116" s="42">
        <v>4347947</v>
      </c>
      <c r="BK116" s="42">
        <v>28200</v>
      </c>
      <c r="BL116" s="42">
        <v>0</v>
      </c>
      <c r="BM116" s="42">
        <v>21884363</v>
      </c>
      <c r="BN116" s="42">
        <v>65198311</v>
      </c>
      <c r="BO116" s="42">
        <v>1971</v>
      </c>
      <c r="BP116" s="42">
        <v>2196988</v>
      </c>
      <c r="BQ116" s="42">
        <v>186187747</v>
      </c>
      <c r="BR116" s="42">
        <v>0</v>
      </c>
      <c r="BS116" s="42">
        <f>IFERROR(VLOOKUP(A116,'Trans 21-23'!$A$2:$J$229,7,0),0)</f>
        <v>163196495</v>
      </c>
      <c r="BT116" s="63"/>
      <c r="BU116" s="32">
        <f t="shared" si="0"/>
        <v>2091924128</v>
      </c>
      <c r="BV116" s="32">
        <f t="shared" si="1"/>
        <v>1859</v>
      </c>
      <c r="BW116" s="32">
        <f t="shared" si="2"/>
        <v>454687</v>
      </c>
      <c r="BX116" s="32">
        <f t="shared" si="3"/>
        <v>60838044</v>
      </c>
      <c r="BY116" s="32">
        <f t="shared" si="4"/>
        <v>139577232</v>
      </c>
      <c r="BZ116" s="32">
        <f t="shared" si="5"/>
        <v>68702393</v>
      </c>
      <c r="CA116" s="32">
        <f t="shared" si="6"/>
        <v>188648381</v>
      </c>
      <c r="CB116" s="32">
        <f t="shared" si="7"/>
        <v>207768</v>
      </c>
      <c r="CC116" s="32">
        <f t="shared" si="8"/>
        <v>4147784</v>
      </c>
      <c r="CD116" s="41">
        <f t="shared" si="67"/>
        <v>1</v>
      </c>
      <c r="CE116" s="44">
        <f t="shared" si="10"/>
        <v>12</v>
      </c>
      <c r="CF116" s="27"/>
      <c r="CG116" s="28">
        <f t="shared" si="11"/>
        <v>1125.2953889187736</v>
      </c>
      <c r="CH116" s="28">
        <f t="shared" si="12"/>
        <v>4.0885268327442832</v>
      </c>
      <c r="CI116" s="28">
        <f t="shared" si="13"/>
        <v>133.80203084759407</v>
      </c>
      <c r="CJ116" s="28">
        <f t="shared" si="14"/>
        <v>151.09821261659118</v>
      </c>
      <c r="CK116" s="23">
        <f t="shared" si="15"/>
        <v>5.0091325874249963E-2</v>
      </c>
      <c r="CL116" s="29" t="str">
        <f t="shared" si="16"/>
        <v/>
      </c>
      <c r="CM116" s="29" t="str">
        <f t="shared" si="17"/>
        <v/>
      </c>
      <c r="CN116" s="29" t="str">
        <f t="shared" si="18"/>
        <v/>
      </c>
      <c r="CO116" s="29" t="str">
        <f t="shared" si="19"/>
        <v/>
      </c>
      <c r="CP116" s="29" t="str">
        <f t="shared" si="20"/>
        <v/>
      </c>
      <c r="CQ116" s="29">
        <f t="shared" si="21"/>
        <v>0</v>
      </c>
      <c r="CR116" s="30"/>
      <c r="CS116" s="7">
        <f>VLOOKUP(A116,'Empresas 21-23'!$A$2:$M$228,13,0)</f>
        <v>1</v>
      </c>
      <c r="CT116" s="30"/>
      <c r="CU116" s="6">
        <f t="shared" si="22"/>
        <v>1950876340</v>
      </c>
      <c r="CV116" s="6">
        <f t="shared" si="23"/>
        <v>68702393</v>
      </c>
      <c r="CW116" s="6">
        <f t="shared" si="24"/>
        <v>69453433</v>
      </c>
      <c r="CX116" s="23">
        <f t="shared" si="65"/>
        <v>0.60239136927618053</v>
      </c>
      <c r="CY116" s="23">
        <f t="shared" si="66"/>
        <v>2.1213916916856083E-2</v>
      </c>
      <c r="CZ116" s="6">
        <f t="shared" si="27"/>
        <v>1992714488.6058016</v>
      </c>
      <c r="DA116" s="6">
        <f t="shared" si="28"/>
        <v>70175772.357252434</v>
      </c>
      <c r="DB116" s="6">
        <f t="shared" si="29"/>
        <v>60838044</v>
      </c>
      <c r="DC116" s="6">
        <f t="shared" si="30"/>
        <v>63409575</v>
      </c>
      <c r="DD116" s="6">
        <f t="shared" si="31"/>
        <v>139577232</v>
      </c>
      <c r="DE116" s="6">
        <f t="shared" si="32"/>
        <v>188648381</v>
      </c>
      <c r="DF116" s="6">
        <f t="shared" si="33"/>
        <v>131658586.43351293</v>
      </c>
      <c r="DG116" s="30"/>
      <c r="DH116" s="32">
        <f>VLOOKUP(A116,'T_med_comp-USA'!$A$7:$Q$233,17,0)</f>
        <v>12.269320938323304</v>
      </c>
      <c r="DI116" s="6" t="str">
        <f t="shared" si="34"/>
        <v>9_2010</v>
      </c>
      <c r="DJ116" s="32">
        <f>IF(DI116="","",VLOOKUP(DI116,'CPI USA'!$T:$U,2,FALSE))</f>
        <v>218.05600000000001</v>
      </c>
      <c r="DK116" s="32">
        <f>IF(DI116="","",VLOOKUP(DI116,'PPI USA'!$S:$T,2,FALSE))</f>
        <v>160.80000000000001</v>
      </c>
      <c r="DL116" s="32">
        <f>IF(DI116="","",VLOOKUP(DI116,'CPI USA'!$T:$V,3,FALSE))</f>
        <v>0.67050107279443949</v>
      </c>
      <c r="DM116" s="32">
        <f>IF(DI116="","",VLOOKUP(DI116,'CPI USA'!$T:$X,5,FALSE))</f>
        <v>0.4987389730136107</v>
      </c>
      <c r="DN116" s="32">
        <f t="shared" si="35"/>
        <v>1.4703278680244813</v>
      </c>
      <c r="DO116" s="32">
        <f t="shared" si="36"/>
        <v>1.4857204383544427</v>
      </c>
      <c r="DP116" s="32">
        <f t="shared" si="37"/>
        <v>0.47783971833954025</v>
      </c>
      <c r="DQ116" s="32">
        <f>IF(DP116="","",DP116*$DO$1/'CPI USA'!$U$520+(1-DP116)*AVERAGE($DO$1,$DQ$1)/AVERAGE('CPI USA'!$U$520,'PPI USA'!$T$526))</f>
        <v>1.076116790125007</v>
      </c>
      <c r="DR116" s="6">
        <f t="shared" si="38"/>
        <v>9282103</v>
      </c>
      <c r="DS116" s="32">
        <f t="shared" si="39"/>
        <v>0.2</v>
      </c>
      <c r="DT116" s="28">
        <f>IF(DS116="","",DS116*$DO$1/'CPI USA'!$U$520+(1-DS116)*AVERAGE($DO$1,$DQ$1)/AVERAGE('CPI USA'!$U$520,'PPI USA'!$T$526))</f>
        <v>1.0854630593748538</v>
      </c>
      <c r="DU116" s="6">
        <f t="shared" si="40"/>
        <v>21885024.58277433</v>
      </c>
      <c r="DV116" s="6">
        <f t="shared" si="57"/>
        <v>261315.74846454107</v>
      </c>
      <c r="DW116" s="6">
        <f t="shared" si="41"/>
        <v>13027296.502687199</v>
      </c>
      <c r="DX116" s="16">
        <f t="shared" si="42"/>
        <v>0.2</v>
      </c>
      <c r="DY116" s="28">
        <f>IF(DX116="","",DX116*$DO$1/'CPI USA'!$U$520+(1-DX116)*AVERAGE($DO$1,$DQ$1)/AVERAGE('CPI USA'!$U$520,'PPI USA'!$T$526))</f>
        <v>1.0854630593748538</v>
      </c>
      <c r="DZ116" s="30"/>
      <c r="EA116" s="29" t="str">
        <f t="shared" si="43"/>
        <v>C001309</v>
      </c>
      <c r="EB116" s="29">
        <f t="shared" si="44"/>
        <v>2929943645.6132627</v>
      </c>
      <c r="EC116" s="29">
        <f t="shared" si="45"/>
        <v>104261579.26847866</v>
      </c>
      <c r="ED116" s="29">
        <f t="shared" si="46"/>
        <v>68236108.31219089</v>
      </c>
      <c r="EE116" s="29">
        <f t="shared" si="47"/>
        <v>151505929.26579374</v>
      </c>
      <c r="EF116" s="29">
        <f t="shared" si="48"/>
        <v>142910532.02308956</v>
      </c>
      <c r="EG116" s="29">
        <f t="shared" si="49"/>
        <v>1859</v>
      </c>
      <c r="EH116" s="29">
        <f t="shared" si="50"/>
        <v>454687</v>
      </c>
      <c r="EI116" s="29">
        <f t="shared" si="51"/>
        <v>207768</v>
      </c>
      <c r="EJ116" s="29">
        <f t="shared" si="52"/>
        <v>4147784</v>
      </c>
      <c r="EK116" s="29">
        <f t="shared" si="53"/>
        <v>4355552</v>
      </c>
      <c r="EL116" s="29">
        <f>IF(CD116=1,VLOOKUP(EA116,'EIA 2022'!$A$2:$J$213,4,0)*EH116,"")</f>
        <v>28736218.400000002</v>
      </c>
      <c r="EM116" s="29">
        <f>IF(CD116=1,VLOOKUP(EA116,'EIA 2022'!$A$2:$J$213,7,0)*EH116,"")</f>
        <v>436044.83299999998</v>
      </c>
      <c r="EN116" s="29">
        <f>IF(CD116=1,VLOOKUP(EA116,'EIA 2022'!$A$2:$J$213,10,0),"")</f>
        <v>508648</v>
      </c>
      <c r="EO116" s="28">
        <f>IF(CD116=1,VLOOKUP(EA116,'EIA 2022'!$A$2:$Z$213,26,0),"")</f>
        <v>0</v>
      </c>
      <c r="EP116" s="23">
        <f t="shared" si="54"/>
        <v>4.7701875675000553E-2</v>
      </c>
      <c r="EQ116" s="32">
        <f t="shared" si="55"/>
        <v>0</v>
      </c>
      <c r="ER116" s="32">
        <f t="shared" si="56"/>
        <v>207768</v>
      </c>
      <c r="ES116" s="32"/>
      <c r="ET116" s="32"/>
    </row>
    <row r="117" spans="1:150" ht="15.75" customHeight="1">
      <c r="A117" s="7" t="s">
        <v>553</v>
      </c>
      <c r="B117" s="7" t="s">
        <v>554</v>
      </c>
      <c r="C117" s="32" t="s">
        <v>986</v>
      </c>
      <c r="D117" s="42">
        <v>323505824</v>
      </c>
      <c r="E117" s="42">
        <v>0</v>
      </c>
      <c r="F117" s="42">
        <v>240135524</v>
      </c>
      <c r="G117" s="42">
        <v>188086084</v>
      </c>
      <c r="H117" s="42">
        <v>194799215</v>
      </c>
      <c r="I117" s="42">
        <v>9249665</v>
      </c>
      <c r="J117" s="42">
        <v>493996</v>
      </c>
      <c r="K117" s="42">
        <v>48092</v>
      </c>
      <c r="L117" s="42">
        <v>1815232</v>
      </c>
      <c r="M117" s="42">
        <v>3319503</v>
      </c>
      <c r="N117" s="42">
        <v>2582002</v>
      </c>
      <c r="O117" s="42">
        <v>6464674</v>
      </c>
      <c r="P117" s="42">
        <v>22113</v>
      </c>
      <c r="Q117" s="42">
        <v>453335</v>
      </c>
      <c r="R117" s="42">
        <v>776491</v>
      </c>
      <c r="S117" s="42">
        <v>7153769</v>
      </c>
      <c r="T117" s="42">
        <v>49381399</v>
      </c>
      <c r="U117" s="42">
        <v>6600976</v>
      </c>
      <c r="V117" s="42">
        <v>2921691</v>
      </c>
      <c r="W117" s="42">
        <v>412988</v>
      </c>
      <c r="X117" s="42">
        <f>IFERROR(VLOOKUP(A117,'Trans 21-23'!$A$2:$J$229,8,0),0)</f>
        <v>0</v>
      </c>
      <c r="Y117" s="42">
        <v>2061956</v>
      </c>
      <c r="Z117" s="42">
        <v>1708091</v>
      </c>
      <c r="AA117" s="42">
        <v>22555497</v>
      </c>
      <c r="AB117" s="42">
        <v>4248805</v>
      </c>
      <c r="AC117" s="42">
        <v>0</v>
      </c>
      <c r="AD117" s="42">
        <v>141928139</v>
      </c>
      <c r="AE117" s="42">
        <v>0</v>
      </c>
      <c r="AF117" s="42">
        <v>1242330076</v>
      </c>
      <c r="AG117" s="42">
        <v>519319</v>
      </c>
      <c r="AH117" s="42">
        <v>158097</v>
      </c>
      <c r="AI117" s="42">
        <v>15566139</v>
      </c>
      <c r="AJ117" s="42">
        <v>21803</v>
      </c>
      <c r="AK117" s="42">
        <v>0</v>
      </c>
      <c r="AL117" s="42">
        <v>5305055</v>
      </c>
      <c r="AM117" s="42">
        <v>1823103</v>
      </c>
      <c r="AN117" s="42">
        <v>6091933</v>
      </c>
      <c r="AO117" s="42">
        <v>17981</v>
      </c>
      <c r="AP117" s="42">
        <v>0</v>
      </c>
      <c r="AQ117" s="42">
        <v>13238072</v>
      </c>
      <c r="AR117" s="42">
        <v>2148167</v>
      </c>
      <c r="AS117" s="42">
        <v>15386239</v>
      </c>
      <c r="AT117" s="42">
        <v>0</v>
      </c>
      <c r="AU117" s="42">
        <v>2770</v>
      </c>
      <c r="AV117" s="42">
        <v>0</v>
      </c>
      <c r="AW117" s="42">
        <v>374332908</v>
      </c>
      <c r="AX117" s="42">
        <v>157819433</v>
      </c>
      <c r="AY117" s="42">
        <v>351427824</v>
      </c>
      <c r="AZ117" s="42">
        <v>130919497</v>
      </c>
      <c r="BA117" s="42">
        <v>69312137</v>
      </c>
      <c r="BB117" s="42">
        <v>2036696964</v>
      </c>
      <c r="BC117" s="42">
        <v>7077164010</v>
      </c>
      <c r="BD117" s="42">
        <v>260167940</v>
      </c>
      <c r="BE117" s="42">
        <v>1176782630</v>
      </c>
      <c r="BF117" s="42">
        <v>53119730</v>
      </c>
      <c r="BG117" s="42">
        <v>0</v>
      </c>
      <c r="BH117" s="42">
        <v>28938510</v>
      </c>
      <c r="BI117" s="42">
        <v>9068028</v>
      </c>
      <c r="BJ117" s="42">
        <v>1130753</v>
      </c>
      <c r="BK117" s="42">
        <v>0</v>
      </c>
      <c r="BL117" s="42">
        <v>0</v>
      </c>
      <c r="BM117" s="42">
        <v>27290782</v>
      </c>
      <c r="BN117" s="42">
        <v>124409936</v>
      </c>
      <c r="BO117" s="42">
        <v>10409040</v>
      </c>
      <c r="BP117" s="42">
        <v>329353</v>
      </c>
      <c r="BQ117" s="42">
        <v>142802595</v>
      </c>
      <c r="BR117" s="42">
        <v>0</v>
      </c>
      <c r="BS117" s="42">
        <f>IFERROR(VLOOKUP(A117,'Trans 21-23'!$A$2:$J$229,7,0),0)</f>
        <v>0</v>
      </c>
      <c r="BT117" s="63"/>
      <c r="BU117" s="32">
        <f t="shared" si="0"/>
        <v>2036696964</v>
      </c>
      <c r="BV117" s="32">
        <f t="shared" si="1"/>
        <v>2770</v>
      </c>
      <c r="BW117" s="32">
        <f t="shared" si="2"/>
        <v>519319</v>
      </c>
      <c r="BX117" s="32">
        <f t="shared" si="3"/>
        <v>91695926</v>
      </c>
      <c r="BY117" s="32">
        <f t="shared" si="4"/>
        <v>30574349</v>
      </c>
      <c r="BZ117" s="32">
        <f t="shared" si="5"/>
        <v>130919497</v>
      </c>
      <c r="CA117" s="32">
        <f t="shared" si="6"/>
        <v>141928139</v>
      </c>
      <c r="CB117" s="32">
        <f t="shared" si="7"/>
        <v>158097</v>
      </c>
      <c r="CC117" s="32">
        <f t="shared" si="8"/>
        <v>13238072</v>
      </c>
      <c r="CD117" s="41">
        <f t="shared" si="67"/>
        <v>1</v>
      </c>
      <c r="CE117" s="44">
        <f t="shared" si="10"/>
        <v>13</v>
      </c>
      <c r="CF117" s="27"/>
      <c r="CG117" s="28">
        <f t="shared" si="11"/>
        <v>735.26966209386273</v>
      </c>
      <c r="CH117" s="28">
        <f t="shared" si="12"/>
        <v>5.333908445483412</v>
      </c>
      <c r="CI117" s="28">
        <f t="shared" si="13"/>
        <v>176.56955743964693</v>
      </c>
      <c r="CJ117" s="28">
        <f t="shared" si="14"/>
        <v>252.09841542481595</v>
      </c>
      <c r="CK117" s="23">
        <f t="shared" si="15"/>
        <v>1.1942600100679313E-2</v>
      </c>
      <c r="CL117" s="29" t="str">
        <f t="shared" si="16"/>
        <v/>
      </c>
      <c r="CM117" s="29" t="str">
        <f t="shared" si="17"/>
        <v/>
      </c>
      <c r="CN117" s="29" t="str">
        <f t="shared" si="18"/>
        <v/>
      </c>
      <c r="CO117" s="29" t="str">
        <f t="shared" si="19"/>
        <v/>
      </c>
      <c r="CP117" s="29" t="str">
        <f t="shared" si="20"/>
        <v/>
      </c>
      <c r="CQ117" s="29">
        <f t="shared" si="21"/>
        <v>0</v>
      </c>
      <c r="CR117" s="30"/>
      <c r="CS117" s="7">
        <f>VLOOKUP(A117,'Empresas 21-23'!$A$2:$M$228,13,0)</f>
        <v>1</v>
      </c>
      <c r="CT117" s="30"/>
      <c r="CU117" s="6">
        <f t="shared" si="22"/>
        <v>1530916975.8</v>
      </c>
      <c r="CV117" s="6">
        <f t="shared" si="23"/>
        <v>130919497</v>
      </c>
      <c r="CW117" s="6">
        <f t="shared" si="24"/>
        <v>260167940</v>
      </c>
      <c r="CX117" s="23">
        <f t="shared" si="65"/>
        <v>0.22457354530937848</v>
      </c>
      <c r="CY117" s="23">
        <f t="shared" si="66"/>
        <v>1.9204866139815743E-2</v>
      </c>
      <c r="CZ117" s="6">
        <f t="shared" si="27"/>
        <v>1589343812.4616375</v>
      </c>
      <c r="DA117" s="6">
        <f t="shared" si="28"/>
        <v>135915987.4615716</v>
      </c>
      <c r="DB117" s="6">
        <f t="shared" si="29"/>
        <v>91695926</v>
      </c>
      <c r="DC117" s="6">
        <f t="shared" si="30"/>
        <v>91695926</v>
      </c>
      <c r="DD117" s="6">
        <f t="shared" si="31"/>
        <v>30574349</v>
      </c>
      <c r="DE117" s="6">
        <f t="shared" si="32"/>
        <v>141928139</v>
      </c>
      <c r="DF117" s="6">
        <f t="shared" si="33"/>
        <v>50747230.258140862</v>
      </c>
      <c r="DG117" s="30"/>
      <c r="DH117" s="32">
        <f>VLOOKUP(A117,'T_med_comp-USA'!$A$7:$Q$233,17,0)</f>
        <v>22.599804241829233</v>
      </c>
      <c r="DI117" s="6" t="str">
        <f t="shared" si="34"/>
        <v>5_2000</v>
      </c>
      <c r="DJ117" s="32">
        <f>IF(DI117="","",VLOOKUP(DI117,'CPI USA'!$T:$U,2,FALSE))</f>
        <v>172.2</v>
      </c>
      <c r="DK117" s="32">
        <f>IF(DI117="","",VLOOKUP(DI117,'PPI USA'!$S:$T,2,FALSE))</f>
        <v>110.6</v>
      </c>
      <c r="DL117" s="32">
        <f>IF(DI117="","",VLOOKUP(DI117,'CPI USA'!$T:$V,3,FALSE))</f>
        <v>0.68282244560590366</v>
      </c>
      <c r="DM117" s="32">
        <f>IF(DI117="","",VLOOKUP(DI117,'CPI USA'!$T:$X,5,FALSE))</f>
        <v>0.51281639554415048</v>
      </c>
      <c r="DN117" s="32">
        <f t="shared" si="35"/>
        <v>1.8960832185075638</v>
      </c>
      <c r="DO117" s="32">
        <f t="shared" si="36"/>
        <v>1.9344637103543829</v>
      </c>
      <c r="DP117" s="32">
        <f t="shared" si="37"/>
        <v>0.34199683198526315</v>
      </c>
      <c r="DQ117" s="32">
        <f>IF(DP117="","",DP117*$DO$1/'CPI USA'!$U$520+(1-DP117)*AVERAGE($DO$1,$DQ$1)/AVERAGE('CPI USA'!$U$520,'PPI USA'!$T$526))</f>
        <v>1.0806864182513638</v>
      </c>
      <c r="DR117" s="6">
        <f t="shared" si="38"/>
        <v>10198781</v>
      </c>
      <c r="DS117" s="32">
        <f t="shared" si="39"/>
        <v>0.36148227351298984</v>
      </c>
      <c r="DT117" s="28">
        <f>IF(DS117="","",DS117*$DO$1/'CPI USA'!$U$520+(1-DS117)*AVERAGE($DO$1,$DQ$1)/AVERAGE('CPI USA'!$U$520,'PPI USA'!$T$526))</f>
        <v>1.0800309461537867</v>
      </c>
      <c r="DU117" s="6">
        <f t="shared" si="40"/>
        <v>29574127.290598653</v>
      </c>
      <c r="DV117" s="6">
        <f t="shared" si="57"/>
        <v>63087.642267914423</v>
      </c>
      <c r="DW117" s="6">
        <f t="shared" si="41"/>
        <v>9323373.5387271978</v>
      </c>
      <c r="DX117" s="16">
        <f t="shared" si="42"/>
        <v>0.2</v>
      </c>
      <c r="DY117" s="28">
        <f>IF(DX117="","",DX117*$DO$1/'CPI USA'!$U$520+(1-DX117)*AVERAGE($DO$1,$DQ$1)/AVERAGE('CPI USA'!$U$520,'PPI USA'!$T$526))</f>
        <v>1.0854630593748538</v>
      </c>
      <c r="DZ117" s="30"/>
      <c r="EA117" s="29" t="str">
        <f t="shared" si="43"/>
        <v>C001315</v>
      </c>
      <c r="EB117" s="29">
        <f t="shared" si="44"/>
        <v>3013528131.2473435</v>
      </c>
      <c r="EC117" s="29">
        <f t="shared" si="45"/>
        <v>262924545.4013916</v>
      </c>
      <c r="ED117" s="29">
        <f t="shared" si="46"/>
        <v>99094541.837182105</v>
      </c>
      <c r="EE117" s="29">
        <f t="shared" si="47"/>
        <v>33021243.078506082</v>
      </c>
      <c r="EF117" s="29">
        <f t="shared" si="48"/>
        <v>55084243.81080173</v>
      </c>
      <c r="EG117" s="29">
        <f t="shared" si="49"/>
        <v>2770</v>
      </c>
      <c r="EH117" s="29">
        <f t="shared" si="50"/>
        <v>519319</v>
      </c>
      <c r="EI117" s="29">
        <f t="shared" si="51"/>
        <v>158097</v>
      </c>
      <c r="EJ117" s="29">
        <f t="shared" si="52"/>
        <v>13238072</v>
      </c>
      <c r="EK117" s="29">
        <f t="shared" si="53"/>
        <v>13363455.796954315</v>
      </c>
      <c r="EL117" s="29">
        <f>IF(CD117=1,VLOOKUP(EA117,'EIA 2022'!$A$2:$J$213,4,0)*EH117,"")</f>
        <v>58415597.714999996</v>
      </c>
      <c r="EM117" s="29">
        <f>IF(CD117=1,VLOOKUP(EA117,'EIA 2022'!$A$2:$J$213,7,0)*EH117,"")</f>
        <v>782613.73299999989</v>
      </c>
      <c r="EN117" s="29">
        <f>IF(CD117=1,VLOOKUP(EA117,'EIA 2022'!$A$2:$J$213,10,0),"")</f>
        <v>526336</v>
      </c>
      <c r="EO117" s="28">
        <f>IF(CD117=1,VLOOKUP(EA117,'EIA 2022'!$A$2:$Z$213,26,0),"")</f>
        <v>0</v>
      </c>
      <c r="EP117" s="23">
        <f t="shared" si="54"/>
        <v>9.3825877721607828E-3</v>
      </c>
      <c r="EQ117" s="32">
        <f t="shared" si="55"/>
        <v>32713.20304568531</v>
      </c>
      <c r="ER117" s="32">
        <f t="shared" si="56"/>
        <v>125383.79695431469</v>
      </c>
      <c r="ES117" s="32"/>
      <c r="ET117" s="32"/>
    </row>
    <row r="118" spans="1:150" ht="15.75" customHeight="1">
      <c r="A118" s="7" t="s">
        <v>556</v>
      </c>
      <c r="B118" s="7" t="s">
        <v>557</v>
      </c>
      <c r="C118" s="32" t="s">
        <v>987</v>
      </c>
      <c r="D118" s="42">
        <v>267637711</v>
      </c>
      <c r="E118" s="42">
        <v>0</v>
      </c>
      <c r="F118" s="42">
        <v>370968612</v>
      </c>
      <c r="G118" s="42">
        <v>686984274</v>
      </c>
      <c r="H118" s="42">
        <v>692405345</v>
      </c>
      <c r="I118" s="42">
        <v>13759</v>
      </c>
      <c r="J118" s="42">
        <v>1730434</v>
      </c>
      <c r="K118" s="42">
        <v>4508224</v>
      </c>
      <c r="L118" s="42">
        <v>1056091</v>
      </c>
      <c r="M118" s="42">
        <v>931830</v>
      </c>
      <c r="N118" s="42">
        <v>3357</v>
      </c>
      <c r="O118" s="42">
        <v>14716188</v>
      </c>
      <c r="P118" s="42">
        <v>0</v>
      </c>
      <c r="Q118" s="42">
        <v>31073</v>
      </c>
      <c r="R118" s="42">
        <v>16253</v>
      </c>
      <c r="S118" s="42">
        <v>5101774</v>
      </c>
      <c r="T118" s="42">
        <v>55823012</v>
      </c>
      <c r="U118" s="42">
        <v>5175756</v>
      </c>
      <c r="V118" s="42">
        <v>1323662</v>
      </c>
      <c r="W118" s="42">
        <v>2734</v>
      </c>
      <c r="X118" s="42">
        <f>IFERROR(VLOOKUP(A118,'Trans 21-23'!$A$2:$J$229,8,0),0)</f>
        <v>0</v>
      </c>
      <c r="Y118" s="42">
        <v>3038126</v>
      </c>
      <c r="Z118" s="42">
        <v>0</v>
      </c>
      <c r="AA118" s="42">
        <v>46403089</v>
      </c>
      <c r="AB118" s="42">
        <v>42212952</v>
      </c>
      <c r="AC118" s="42">
        <v>41510</v>
      </c>
      <c r="AD118" s="42">
        <v>75208783</v>
      </c>
      <c r="AE118" s="42">
        <v>0</v>
      </c>
      <c r="AF118" s="42">
        <v>2421716838</v>
      </c>
      <c r="AG118" s="42">
        <v>1148144</v>
      </c>
      <c r="AH118" s="42">
        <v>789994</v>
      </c>
      <c r="AI118" s="42">
        <v>29641408</v>
      </c>
      <c r="AJ118" s="42">
        <v>48544</v>
      </c>
      <c r="AK118" s="42">
        <v>0</v>
      </c>
      <c r="AL118" s="42">
        <v>8099798</v>
      </c>
      <c r="AM118" s="42">
        <v>8655896</v>
      </c>
      <c r="AN118" s="42">
        <v>6655882</v>
      </c>
      <c r="AO118" s="42">
        <v>110185</v>
      </c>
      <c r="AP118" s="42">
        <v>77</v>
      </c>
      <c r="AQ118" s="42">
        <v>23525508</v>
      </c>
      <c r="AR118" s="42">
        <v>5277362</v>
      </c>
      <c r="AS118" s="42">
        <v>28802870</v>
      </c>
      <c r="AT118" s="42">
        <v>0</v>
      </c>
      <c r="AU118" s="42">
        <v>5419</v>
      </c>
      <c r="AV118" s="42">
        <v>0</v>
      </c>
      <c r="AW118" s="42">
        <v>991373026</v>
      </c>
      <c r="AX118" s="42">
        <v>276227906</v>
      </c>
      <c r="AY118" s="42">
        <v>1509458840</v>
      </c>
      <c r="AZ118" s="42">
        <v>229979292</v>
      </c>
      <c r="BA118" s="42">
        <v>49871160</v>
      </c>
      <c r="BB118" s="42">
        <v>5798525008</v>
      </c>
      <c r="BC118" s="42">
        <v>9600313048</v>
      </c>
      <c r="BD118" s="42">
        <v>232958675</v>
      </c>
      <c r="BE118" s="42">
        <v>1909699254</v>
      </c>
      <c r="BF118" s="42">
        <v>146116638</v>
      </c>
      <c r="BG118" s="42">
        <v>0</v>
      </c>
      <c r="BH118" s="42">
        <v>27586437</v>
      </c>
      <c r="BI118" s="42">
        <v>5285399</v>
      </c>
      <c r="BJ118" s="42">
        <v>8803154</v>
      </c>
      <c r="BK118" s="42">
        <v>0</v>
      </c>
      <c r="BL118" s="42">
        <v>0</v>
      </c>
      <c r="BM118" s="42">
        <v>42388902</v>
      </c>
      <c r="BN118" s="42">
        <v>159294188</v>
      </c>
      <c r="BO118" s="42">
        <v>8696852</v>
      </c>
      <c r="BP118" s="42">
        <v>38740877</v>
      </c>
      <c r="BQ118" s="42">
        <v>292332010</v>
      </c>
      <c r="BR118" s="42">
        <v>3670</v>
      </c>
      <c r="BS118" s="42">
        <f>IFERROR(VLOOKUP(A118,'Trans 21-23'!$A$2:$J$229,7,0),0)</f>
        <v>0</v>
      </c>
      <c r="BT118" s="63"/>
      <c r="BU118" s="32">
        <f t="shared" si="0"/>
        <v>5798525008</v>
      </c>
      <c r="BV118" s="32">
        <f t="shared" si="1"/>
        <v>5419</v>
      </c>
      <c r="BW118" s="32">
        <f t="shared" si="2"/>
        <v>1148144</v>
      </c>
      <c r="BX118" s="32">
        <f t="shared" si="3"/>
        <v>90434147</v>
      </c>
      <c r="BY118" s="32">
        <f t="shared" si="4"/>
        <v>91695677</v>
      </c>
      <c r="BZ118" s="32">
        <f t="shared" si="5"/>
        <v>229979292</v>
      </c>
      <c r="CA118" s="32">
        <f t="shared" si="6"/>
        <v>75208783</v>
      </c>
      <c r="CB118" s="32">
        <f t="shared" si="7"/>
        <v>789994</v>
      </c>
      <c r="CC118" s="32">
        <f t="shared" si="8"/>
        <v>23525508</v>
      </c>
      <c r="CD118" s="41">
        <f t="shared" si="67"/>
        <v>1</v>
      </c>
      <c r="CE118" s="44">
        <f t="shared" si="10"/>
        <v>12</v>
      </c>
      <c r="CF118" s="27"/>
      <c r="CG118" s="28">
        <f t="shared" si="11"/>
        <v>1070.0359859752723</v>
      </c>
      <c r="CH118" s="28">
        <f t="shared" si="12"/>
        <v>4.7197912456974036</v>
      </c>
      <c r="CI118" s="28">
        <f t="shared" si="13"/>
        <v>78.765509378614524</v>
      </c>
      <c r="CJ118" s="28">
        <f t="shared" si="14"/>
        <v>200.30526832871138</v>
      </c>
      <c r="CK118" s="23">
        <f t="shared" si="15"/>
        <v>3.3580316310279038E-2</v>
      </c>
      <c r="CL118" s="29" t="str">
        <f t="shared" si="16"/>
        <v/>
      </c>
      <c r="CM118" s="29" t="str">
        <f t="shared" si="17"/>
        <v/>
      </c>
      <c r="CN118" s="29" t="str">
        <f t="shared" si="18"/>
        <v/>
      </c>
      <c r="CO118" s="29" t="str">
        <f t="shared" si="19"/>
        <v/>
      </c>
      <c r="CP118" s="29" t="str">
        <f t="shared" si="20"/>
        <v/>
      </c>
      <c r="CQ118" s="29">
        <f t="shared" si="21"/>
        <v>0</v>
      </c>
      <c r="CR118" s="30"/>
      <c r="CS118" s="7">
        <f>VLOOKUP(A118,'Empresas 21-23'!$A$2:$M$228,13,0)</f>
        <v>1</v>
      </c>
      <c r="CT118" s="30"/>
      <c r="CU118" s="6">
        <f t="shared" si="22"/>
        <v>4447262508.3999996</v>
      </c>
      <c r="CV118" s="6">
        <f t="shared" si="23"/>
        <v>229979292</v>
      </c>
      <c r="CW118" s="6">
        <f t="shared" si="24"/>
        <v>232958675</v>
      </c>
      <c r="CX118" s="23">
        <f t="shared" si="65"/>
        <v>0.47476185177947039</v>
      </c>
      <c r="CY118" s="23">
        <f t="shared" si="66"/>
        <v>2.4551146763795013E-2</v>
      </c>
      <c r="CZ118" s="6">
        <f t="shared" si="27"/>
        <v>4557862400.3310919</v>
      </c>
      <c r="DA118" s="6">
        <f t="shared" si="28"/>
        <v>235698694.61982423</v>
      </c>
      <c r="DB118" s="6">
        <f t="shared" si="29"/>
        <v>90434147</v>
      </c>
      <c r="DC118" s="6">
        <f t="shared" si="30"/>
        <v>90434147</v>
      </c>
      <c r="DD118" s="6">
        <f t="shared" si="31"/>
        <v>91695677</v>
      </c>
      <c r="DE118" s="6">
        <f t="shared" si="32"/>
        <v>75208783</v>
      </c>
      <c r="DF118" s="6">
        <f t="shared" si="33"/>
        <v>13488735.741847787</v>
      </c>
      <c r="DG118" s="30"/>
      <c r="DH118" s="32">
        <f>VLOOKUP(A118,'T_med_comp-USA'!$A$7:$Q$233,17,0)</f>
        <v>12.806899139137409</v>
      </c>
      <c r="DI118" s="6" t="str">
        <f t="shared" si="34"/>
        <v>3_2010</v>
      </c>
      <c r="DJ118" s="32">
        <f>IF(DI118="","",VLOOKUP(DI118,'CPI USA'!$T:$U,2,FALSE))</f>
        <v>218.05600000000001</v>
      </c>
      <c r="DK118" s="32">
        <f>IF(DI118="","",VLOOKUP(DI118,'PPI USA'!$S:$T,2,FALSE))</f>
        <v>160.80000000000001</v>
      </c>
      <c r="DL118" s="32">
        <f>IF(DI118="","",VLOOKUP(DI118,'CPI USA'!$T:$V,3,FALSE))</f>
        <v>0.67050107279443949</v>
      </c>
      <c r="DM118" s="32">
        <f>IF(DI118="","",VLOOKUP(DI118,'CPI USA'!$T:$X,5,FALSE))</f>
        <v>0.4987389730136107</v>
      </c>
      <c r="DN118" s="32">
        <f t="shared" si="35"/>
        <v>1.4703278680244813</v>
      </c>
      <c r="DO118" s="32">
        <f t="shared" si="36"/>
        <v>1.4857204383544427</v>
      </c>
      <c r="DP118" s="32">
        <f t="shared" si="37"/>
        <v>0.3216987351665973</v>
      </c>
      <c r="DQ118" s="32">
        <f>IF(DP118="","",DP118*$DO$1/'CPI USA'!$U$520+(1-DP118)*AVERAGE($DO$1,$DQ$1)/AVERAGE('CPI USA'!$U$520,'PPI USA'!$T$526))</f>
        <v>1.0813692273157427</v>
      </c>
      <c r="DR118" s="6">
        <f t="shared" si="38"/>
        <v>14088553</v>
      </c>
      <c r="DS118" s="32">
        <f t="shared" si="39"/>
        <v>0.2</v>
      </c>
      <c r="DT118" s="28">
        <f>IF(DS118="","",DS118*$DO$1/'CPI USA'!$U$520+(1-DS118)*AVERAGE($DO$1,$DQ$1)/AVERAGE('CPI USA'!$U$520,'PPI USA'!$T$526))</f>
        <v>1.0854630593748538</v>
      </c>
      <c r="DU118" s="6">
        <f t="shared" si="40"/>
        <v>44703173.548542023</v>
      </c>
      <c r="DV118" s="6">
        <f t="shared" si="57"/>
        <v>6475712.3765327157</v>
      </c>
      <c r="DW118" s="6">
        <f t="shared" si="41"/>
        <v>13389562.958434055</v>
      </c>
      <c r="DX118" s="16">
        <f t="shared" si="42"/>
        <v>0.9</v>
      </c>
      <c r="DY118" s="28">
        <f>IF(DX118="","",DX118*$DO$1/'CPI USA'!$U$520+(1-DX118)*AVERAGE($DO$1,$DQ$1)/AVERAGE('CPI USA'!$U$520,'PPI USA'!$T$526))</f>
        <v>1.0619157115946583</v>
      </c>
      <c r="DZ118" s="30"/>
      <c r="EA118" s="29" t="str">
        <f t="shared" si="43"/>
        <v>C001316</v>
      </c>
      <c r="EB118" s="29">
        <f t="shared" si="44"/>
        <v>6701552105.8277597</v>
      </c>
      <c r="EC118" s="29">
        <f t="shared" si="45"/>
        <v>350182367.89013517</v>
      </c>
      <c r="ED118" s="29">
        <f t="shared" si="46"/>
        <v>97792703.664348289</v>
      </c>
      <c r="EE118" s="29">
        <f t="shared" si="47"/>
        <v>99532270.087868407</v>
      </c>
      <c r="EF118" s="29">
        <f t="shared" si="48"/>
        <v>14323900.413816594</v>
      </c>
      <c r="EG118" s="29">
        <f t="shared" si="49"/>
        <v>5419</v>
      </c>
      <c r="EH118" s="29">
        <f t="shared" si="50"/>
        <v>1148144</v>
      </c>
      <c r="EI118" s="29">
        <f t="shared" si="51"/>
        <v>789994</v>
      </c>
      <c r="EJ118" s="29">
        <f t="shared" si="52"/>
        <v>23525508</v>
      </c>
      <c r="EK118" s="29">
        <f t="shared" si="53"/>
        <v>24235136.081218272</v>
      </c>
      <c r="EL118" s="29">
        <f>IF(CD118=1,VLOOKUP(EA118,'EIA 2022'!$A$2:$J$213,4,0)*EH118,"")</f>
        <v>138925424</v>
      </c>
      <c r="EM118" s="29">
        <f>IF(CD118=1,VLOOKUP(EA118,'EIA 2022'!$A$2:$J$213,7,0)*EH118,"")</f>
        <v>1205551.2</v>
      </c>
      <c r="EN118" s="29">
        <f>IF(CD118=1,VLOOKUP(EA118,'EIA 2022'!$A$2:$J$213,10,0),"")</f>
        <v>1177440</v>
      </c>
      <c r="EO118" s="28">
        <f>IF(CD118=1,VLOOKUP(EA118,'EIA 2022'!$A$2:$Z$213,26,0),"")</f>
        <v>0</v>
      </c>
      <c r="EP118" s="23">
        <f t="shared" si="54"/>
        <v>2.9280961280354491E-2</v>
      </c>
      <c r="EQ118" s="32">
        <f t="shared" si="55"/>
        <v>80365.91878172569</v>
      </c>
      <c r="ER118" s="32">
        <f t="shared" si="56"/>
        <v>709628.08121827431</v>
      </c>
      <c r="ES118" s="32"/>
      <c r="ET118" s="32"/>
    </row>
    <row r="119" spans="1:150" ht="15.75" customHeight="1">
      <c r="A119" s="7" t="s">
        <v>559</v>
      </c>
      <c r="B119" s="7" t="s">
        <v>560</v>
      </c>
      <c r="C119" s="32" t="s">
        <v>988</v>
      </c>
      <c r="D119" s="42">
        <v>0</v>
      </c>
      <c r="E119" s="42">
        <v>0</v>
      </c>
      <c r="F119" s="42">
        <v>0</v>
      </c>
      <c r="G119" s="42">
        <v>329059</v>
      </c>
      <c r="H119" s="42">
        <v>329059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1500</v>
      </c>
      <c r="P119" s="42">
        <v>0</v>
      </c>
      <c r="Q119" s="42">
        <v>21278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f>IFERROR(VLOOKUP(A119,'Trans 21-23'!$A$2:$J$229,8,0),0)</f>
        <v>0</v>
      </c>
      <c r="Y119" s="42">
        <v>0</v>
      </c>
      <c r="Z119" s="42">
        <v>0</v>
      </c>
      <c r="AA119" s="42">
        <v>282323</v>
      </c>
      <c r="AB119" s="42">
        <v>7484</v>
      </c>
      <c r="AC119" s="42">
        <v>0</v>
      </c>
      <c r="AD119" s="42">
        <v>45780851</v>
      </c>
      <c r="AE119" s="42">
        <v>0</v>
      </c>
      <c r="AF119" s="42">
        <v>193553641</v>
      </c>
      <c r="AG119" s="42">
        <v>0</v>
      </c>
      <c r="AH119" s="42">
        <v>0</v>
      </c>
      <c r="AI119" s="42">
        <v>4664215</v>
      </c>
      <c r="AJ119" s="42">
        <v>1488</v>
      </c>
      <c r="AK119" s="42">
        <v>0</v>
      </c>
      <c r="AL119" s="42">
        <v>0</v>
      </c>
      <c r="AM119" s="42">
        <v>0</v>
      </c>
      <c r="AN119" s="42">
        <v>0</v>
      </c>
      <c r="AO119" s="42">
        <v>0</v>
      </c>
      <c r="AP119" s="42">
        <v>0</v>
      </c>
      <c r="AQ119" s="42">
        <v>0</v>
      </c>
      <c r="AR119" s="42">
        <v>4662727</v>
      </c>
      <c r="AS119" s="42">
        <v>4662727</v>
      </c>
      <c r="AT119" s="42">
        <v>0</v>
      </c>
      <c r="AU119" s="42">
        <v>2512</v>
      </c>
      <c r="AV119" s="42">
        <v>0</v>
      </c>
      <c r="AW119" s="42">
        <v>0</v>
      </c>
      <c r="AX119" s="42">
        <v>0</v>
      </c>
      <c r="AY119" s="42">
        <v>0</v>
      </c>
      <c r="AZ119" s="42">
        <v>0</v>
      </c>
      <c r="BA119" s="42">
        <v>0</v>
      </c>
      <c r="BB119" s="42">
        <v>0</v>
      </c>
      <c r="BC119" s="42">
        <v>2038922274</v>
      </c>
      <c r="BD119" s="42">
        <v>9760381</v>
      </c>
      <c r="BE119" s="42">
        <v>0</v>
      </c>
      <c r="BF119" s="42">
        <v>0</v>
      </c>
      <c r="BG119" s="42">
        <v>0</v>
      </c>
      <c r="BH119" s="42">
        <v>21010</v>
      </c>
      <c r="BI119" s="42">
        <v>4622</v>
      </c>
      <c r="BJ119" s="42">
        <v>36</v>
      </c>
      <c r="BK119" s="42">
        <v>0</v>
      </c>
      <c r="BL119" s="42">
        <v>0</v>
      </c>
      <c r="BM119" s="42">
        <v>12048726</v>
      </c>
      <c r="BN119" s="42">
        <v>73629991</v>
      </c>
      <c r="BO119" s="42">
        <v>0</v>
      </c>
      <c r="BP119" s="42">
        <v>58313</v>
      </c>
      <c r="BQ119" s="42">
        <v>85213577</v>
      </c>
      <c r="BR119" s="42">
        <v>0</v>
      </c>
      <c r="BS119" s="42">
        <f>IFERROR(VLOOKUP(A119,'Trans 21-23'!$A$2:$J$229,7,0),0)</f>
        <v>0</v>
      </c>
      <c r="BT119" s="63"/>
      <c r="BU119" s="32">
        <f t="shared" si="0"/>
        <v>0</v>
      </c>
      <c r="BV119" s="32">
        <f t="shared" si="1"/>
        <v>2512</v>
      </c>
      <c r="BW119" s="32">
        <f t="shared" si="2"/>
        <v>0</v>
      </c>
      <c r="BX119" s="32">
        <f t="shared" si="3"/>
        <v>22778</v>
      </c>
      <c r="BY119" s="32">
        <f t="shared" si="4"/>
        <v>289807</v>
      </c>
      <c r="BZ119" s="32">
        <f t="shared" si="5"/>
        <v>0</v>
      </c>
      <c r="CA119" s="32">
        <f t="shared" si="6"/>
        <v>45780851</v>
      </c>
      <c r="CB119" s="32">
        <f t="shared" si="7"/>
        <v>0</v>
      </c>
      <c r="CC119" s="32">
        <f t="shared" si="8"/>
        <v>0</v>
      </c>
      <c r="CD119" s="41">
        <f t="shared" si="67"/>
        <v>0</v>
      </c>
      <c r="CE119" s="44">
        <f t="shared" si="10"/>
        <v>46</v>
      </c>
      <c r="CF119" s="27"/>
      <c r="CG119" s="28" t="str">
        <f t="shared" si="11"/>
        <v/>
      </c>
      <c r="CH119" s="28" t="str">
        <f t="shared" si="12"/>
        <v/>
      </c>
      <c r="CI119" s="28" t="str">
        <f t="shared" si="13"/>
        <v/>
      </c>
      <c r="CJ119" s="28" t="str">
        <f t="shared" si="14"/>
        <v/>
      </c>
      <c r="CK119" s="23" t="str">
        <f t="shared" si="15"/>
        <v/>
      </c>
      <c r="CL119" s="29" t="str">
        <f t="shared" si="16"/>
        <v/>
      </c>
      <c r="CM119" s="29" t="str">
        <f t="shared" si="17"/>
        <v/>
      </c>
      <c r="CN119" s="29" t="str">
        <f t="shared" si="18"/>
        <v/>
      </c>
      <c r="CO119" s="29" t="str">
        <f t="shared" si="19"/>
        <v/>
      </c>
      <c r="CP119" s="29" t="str">
        <f t="shared" si="20"/>
        <v/>
      </c>
      <c r="CQ119" s="29" t="str">
        <f t="shared" si="21"/>
        <v/>
      </c>
      <c r="CR119" s="30"/>
      <c r="CS119" s="7" t="str">
        <f>VLOOKUP(A119,'Empresas 21-23'!$A$2:$M$228,13,0)</f>
        <v/>
      </c>
      <c r="CT119" s="30"/>
      <c r="CU119" s="6">
        <f t="shared" si="22"/>
        <v>0</v>
      </c>
      <c r="CV119" s="6">
        <f t="shared" si="23"/>
        <v>0</v>
      </c>
      <c r="CW119" s="6">
        <f t="shared" si="24"/>
        <v>9760381</v>
      </c>
      <c r="CX119" s="23">
        <f t="shared" si="65"/>
        <v>0</v>
      </c>
      <c r="CY119" s="23">
        <f t="shared" si="66"/>
        <v>0</v>
      </c>
      <c r="CZ119" s="6">
        <f t="shared" si="27"/>
        <v>0</v>
      </c>
      <c r="DA119" s="6">
        <f t="shared" si="28"/>
        <v>0</v>
      </c>
      <c r="DB119" s="6">
        <f t="shared" si="29"/>
        <v>22778</v>
      </c>
      <c r="DC119" s="6">
        <f t="shared" si="30"/>
        <v>22778</v>
      </c>
      <c r="DD119" s="6">
        <f t="shared" si="31"/>
        <v>289807</v>
      </c>
      <c r="DE119" s="6">
        <f t="shared" si="32"/>
        <v>45780851</v>
      </c>
      <c r="DF119" s="6">
        <f t="shared" si="33"/>
        <v>97056.736239501421</v>
      </c>
      <c r="DG119" s="30"/>
      <c r="DH119" s="32" t="str">
        <f>VLOOKUP(A119,'T_med_comp-USA'!$A$7:$Q$233,17,0)</f>
        <v>-</v>
      </c>
      <c r="DI119" s="6" t="str">
        <f t="shared" si="34"/>
        <v/>
      </c>
      <c r="DJ119" s="32" t="str">
        <f>IF(DI119="","",VLOOKUP(DI119,'CPI USA'!$T:$U,2,FALSE))</f>
        <v/>
      </c>
      <c r="DK119" s="32" t="str">
        <f>IF(DI119="","",VLOOKUP(DI119,'PPI USA'!$S:$T,2,FALSE))</f>
        <v/>
      </c>
      <c r="DL119" s="32" t="str">
        <f>IF(DI119="","",VLOOKUP(DI119,'CPI USA'!$T:$V,3,FALSE))</f>
        <v/>
      </c>
      <c r="DM119" s="32" t="str">
        <f>IF(DI119="","",VLOOKUP(DI119,'CPI USA'!$T:$X,5,FALSE))</f>
        <v/>
      </c>
      <c r="DN119" s="32" t="str">
        <f t="shared" si="35"/>
        <v/>
      </c>
      <c r="DO119" s="32" t="str">
        <f t="shared" si="36"/>
        <v/>
      </c>
      <c r="DP119" s="32">
        <f t="shared" si="37"/>
        <v>0.8</v>
      </c>
      <c r="DQ119" s="32">
        <f>IF(DP119="","",DP119*$DO$1/'CPI USA'!$U$520+(1-DP119)*AVERAGE($DO$1,$DQ$1)/AVERAGE('CPI USA'!$U$520,'PPI USA'!$T$526))</f>
        <v>1.0652796184204005</v>
      </c>
      <c r="DR119" s="6">
        <f t="shared" si="38"/>
        <v>4658</v>
      </c>
      <c r="DS119" s="32">
        <f t="shared" si="39"/>
        <v>0.2</v>
      </c>
      <c r="DT119" s="28">
        <f>IF(DS119="","",DS119*$DO$1/'CPI USA'!$U$520+(1-DS119)*AVERAGE($DO$1,$DQ$1)/AVERAGE('CPI USA'!$U$520,'PPI USA'!$T$526))</f>
        <v>1.0854630593748538</v>
      </c>
      <c r="DU119" s="6">
        <f t="shared" si="40"/>
        <v>12048726</v>
      </c>
      <c r="DV119" s="6">
        <f t="shared" si="57"/>
        <v>8250.7801189836009</v>
      </c>
      <c r="DW119" s="6">
        <f t="shared" si="41"/>
        <v>4203.1579223212739</v>
      </c>
      <c r="DX119" s="16" t="str">
        <f t="shared" si="42"/>
        <v/>
      </c>
      <c r="DY119" s="28" t="str">
        <f>IF(DX119="","",DX119*$DO$1/'CPI USA'!$U$520+(1-DX119)*AVERAGE($DO$1,$DQ$1)/AVERAGE('CPI USA'!$U$520,'PPI USA'!$T$526))</f>
        <v/>
      </c>
      <c r="DZ119" s="30"/>
      <c r="EA119" s="29" t="str">
        <f t="shared" si="43"/>
        <v>C001322</v>
      </c>
      <c r="EB119" s="29" t="str">
        <f t="shared" si="44"/>
        <v/>
      </c>
      <c r="EC119" s="29" t="str">
        <f t="shared" si="45"/>
        <v/>
      </c>
      <c r="ED119" s="29" t="str">
        <f t="shared" si="46"/>
        <v/>
      </c>
      <c r="EE119" s="29" t="str">
        <f t="shared" si="47"/>
        <v/>
      </c>
      <c r="EF119" s="29" t="str">
        <f t="shared" si="48"/>
        <v/>
      </c>
      <c r="EG119" s="29" t="str">
        <f t="shared" si="49"/>
        <v/>
      </c>
      <c r="EH119" s="29" t="str">
        <f t="shared" si="50"/>
        <v/>
      </c>
      <c r="EI119" s="29" t="str">
        <f t="shared" si="51"/>
        <v/>
      </c>
      <c r="EJ119" s="29" t="str">
        <f t="shared" si="52"/>
        <v/>
      </c>
      <c r="EK119" s="29" t="str">
        <f t="shared" si="53"/>
        <v/>
      </c>
      <c r="EL119" s="29" t="str">
        <f>IF(CD119=1,VLOOKUP(EA119,'EIA 2022'!$A$2:$J$213,4,0)*EH119,"")</f>
        <v/>
      </c>
      <c r="EM119" s="29" t="str">
        <f>IF(CD119=1,VLOOKUP(EA119,'EIA 2022'!$A$2:$J$213,7,0)*EH119,"")</f>
        <v/>
      </c>
      <c r="EN119" s="29" t="str">
        <f>IF(CD119=1,VLOOKUP(EA119,'EIA 2022'!$A$2:$J$213,10,0),"")</f>
        <v/>
      </c>
      <c r="EO119" s="28" t="str">
        <f>IF(CD119=1,VLOOKUP(EA119,'EIA 2022'!$A$2:$Z$213,26,0),"")</f>
        <v/>
      </c>
      <c r="EP119" s="23" t="str">
        <f t="shared" si="54"/>
        <v/>
      </c>
      <c r="EQ119" s="32" t="str">
        <f t="shared" si="55"/>
        <v/>
      </c>
      <c r="ER119" s="32" t="str">
        <f t="shared" si="56"/>
        <v/>
      </c>
      <c r="ES119" s="32"/>
      <c r="ET119" s="32"/>
    </row>
    <row r="120" spans="1:150" ht="15.75" customHeight="1">
      <c r="A120" s="7" t="s">
        <v>562</v>
      </c>
      <c r="B120" s="7" t="s">
        <v>563</v>
      </c>
      <c r="C120" s="32" t="s">
        <v>989</v>
      </c>
      <c r="D120" s="42">
        <v>88723916</v>
      </c>
      <c r="E120" s="42">
        <v>0</v>
      </c>
      <c r="F120" s="42">
        <v>0</v>
      </c>
      <c r="G120" s="42">
        <v>10161198</v>
      </c>
      <c r="H120" s="42">
        <v>10161198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f>IFERROR(VLOOKUP(A120,'Trans 21-23'!$A$2:$J$229,8,0),0)</f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23815058</v>
      </c>
      <c r="AE120" s="42">
        <v>0</v>
      </c>
      <c r="AF120" s="42">
        <v>158883425</v>
      </c>
      <c r="AG120" s="42">
        <v>6</v>
      </c>
      <c r="AH120" s="42">
        <v>161068</v>
      </c>
      <c r="AI120" s="42">
        <v>7730535</v>
      </c>
      <c r="AJ120" s="42">
        <v>0</v>
      </c>
      <c r="AK120" s="42">
        <v>0</v>
      </c>
      <c r="AL120" s="42">
        <v>0</v>
      </c>
      <c r="AM120" s="42">
        <v>0</v>
      </c>
      <c r="AN120" s="42">
        <v>3701979</v>
      </c>
      <c r="AO120" s="42">
        <v>0</v>
      </c>
      <c r="AP120" s="42">
        <v>2429863</v>
      </c>
      <c r="AQ120" s="42">
        <v>6131842</v>
      </c>
      <c r="AR120" s="42">
        <v>1437625</v>
      </c>
      <c r="AS120" s="42">
        <v>7569467</v>
      </c>
      <c r="AT120" s="42">
        <v>0</v>
      </c>
      <c r="AU120" s="42">
        <v>5</v>
      </c>
      <c r="AV120" s="42">
        <v>0</v>
      </c>
      <c r="AW120" s="42">
        <v>516382</v>
      </c>
      <c r="AX120" s="42">
        <v>0</v>
      </c>
      <c r="AY120" s="42">
        <v>0</v>
      </c>
      <c r="AZ120" s="42">
        <v>0</v>
      </c>
      <c r="BA120" s="42">
        <v>0</v>
      </c>
      <c r="BB120" s="42">
        <v>5442637</v>
      </c>
      <c r="BC120" s="42">
        <v>914885254</v>
      </c>
      <c r="BD120" s="42">
        <v>13559390</v>
      </c>
      <c r="BE120" s="42">
        <v>4569773</v>
      </c>
      <c r="BF120" s="42">
        <v>100145</v>
      </c>
      <c r="BG120" s="42">
        <v>0</v>
      </c>
      <c r="BH120" s="42">
        <v>0</v>
      </c>
      <c r="BI120" s="42">
        <v>0</v>
      </c>
      <c r="BJ120" s="42">
        <v>0</v>
      </c>
      <c r="BK120" s="42">
        <v>0</v>
      </c>
      <c r="BL120" s="42">
        <v>0</v>
      </c>
      <c r="BM120" s="42">
        <v>873617</v>
      </c>
      <c r="BN120" s="42">
        <v>13438186</v>
      </c>
      <c r="BO120" s="42">
        <v>0</v>
      </c>
      <c r="BP120" s="42">
        <v>0</v>
      </c>
      <c r="BQ120" s="42">
        <v>13438186</v>
      </c>
      <c r="BR120" s="42">
        <v>0</v>
      </c>
      <c r="BS120" s="42">
        <f>IFERROR(VLOOKUP(A120,'Trans 21-23'!$A$2:$J$229,7,0),0)</f>
        <v>0</v>
      </c>
      <c r="BT120" s="63"/>
      <c r="BU120" s="32">
        <f t="shared" si="0"/>
        <v>5442637</v>
      </c>
      <c r="BV120" s="32">
        <f t="shared" si="1"/>
        <v>5</v>
      </c>
      <c r="BW120" s="32">
        <f t="shared" si="2"/>
        <v>6</v>
      </c>
      <c r="BX120" s="32">
        <f t="shared" si="3"/>
        <v>0</v>
      </c>
      <c r="BY120" s="32">
        <f t="shared" si="4"/>
        <v>0</v>
      </c>
      <c r="BZ120" s="32">
        <f t="shared" si="5"/>
        <v>0</v>
      </c>
      <c r="CA120" s="32">
        <f t="shared" si="6"/>
        <v>23815058</v>
      </c>
      <c r="CB120" s="32">
        <f t="shared" si="7"/>
        <v>161068</v>
      </c>
      <c r="CC120" s="32">
        <f t="shared" si="8"/>
        <v>6131842</v>
      </c>
      <c r="CD120" s="41">
        <f t="shared" si="67"/>
        <v>0</v>
      </c>
      <c r="CE120" s="44">
        <f t="shared" si="10"/>
        <v>45</v>
      </c>
      <c r="CF120" s="27"/>
      <c r="CG120" s="28" t="str">
        <f t="shared" si="11"/>
        <v/>
      </c>
      <c r="CH120" s="28" t="str">
        <f t="shared" si="12"/>
        <v/>
      </c>
      <c r="CI120" s="28" t="str">
        <f t="shared" si="13"/>
        <v/>
      </c>
      <c r="CJ120" s="28" t="str">
        <f t="shared" si="14"/>
        <v/>
      </c>
      <c r="CK120" s="23" t="str">
        <f t="shared" si="15"/>
        <v/>
      </c>
      <c r="CL120" s="29" t="str">
        <f t="shared" si="16"/>
        <v/>
      </c>
      <c r="CM120" s="29" t="str">
        <f t="shared" si="17"/>
        <v/>
      </c>
      <c r="CN120" s="29" t="str">
        <f t="shared" si="18"/>
        <v/>
      </c>
      <c r="CO120" s="29" t="str">
        <f t="shared" si="19"/>
        <v/>
      </c>
      <c r="CP120" s="29" t="str">
        <f t="shared" si="20"/>
        <v/>
      </c>
      <c r="CQ120" s="29" t="str">
        <f t="shared" si="21"/>
        <v/>
      </c>
      <c r="CR120" s="30"/>
      <c r="CS120" s="7" t="str">
        <f>VLOOKUP(A120,'Empresas 21-23'!$A$2:$M$228,13,0)</f>
        <v/>
      </c>
      <c r="CT120" s="30"/>
      <c r="CU120" s="6">
        <f t="shared" si="22"/>
        <v>5442637</v>
      </c>
      <c r="CV120" s="6">
        <f t="shared" si="23"/>
        <v>0</v>
      </c>
      <c r="CW120" s="6">
        <f t="shared" si="24"/>
        <v>13559390</v>
      </c>
      <c r="CX120" s="23">
        <f t="shared" si="65"/>
        <v>6.0384786650258598E-3</v>
      </c>
      <c r="CY120" s="23">
        <f t="shared" si="66"/>
        <v>0</v>
      </c>
      <c r="CZ120" s="6">
        <f t="shared" si="27"/>
        <v>5524515.087225765</v>
      </c>
      <c r="DA120" s="6">
        <f t="shared" si="28"/>
        <v>0</v>
      </c>
      <c r="DB120" s="6">
        <f t="shared" si="29"/>
        <v>0</v>
      </c>
      <c r="DC120" s="6">
        <f t="shared" si="30"/>
        <v>0</v>
      </c>
      <c r="DD120" s="6">
        <f t="shared" si="31"/>
        <v>0</v>
      </c>
      <c r="DE120" s="6">
        <f t="shared" si="32"/>
        <v>23815058</v>
      </c>
      <c r="DF120" s="6">
        <f t="shared" si="33"/>
        <v>0</v>
      </c>
      <c r="DG120" s="30"/>
      <c r="DH120" s="32">
        <f>VLOOKUP(A120,'T_med_comp-USA'!$A$7:$Q$233,17,0)</f>
        <v>45.134435691684835</v>
      </c>
      <c r="DI120" s="6" t="str">
        <f t="shared" si="34"/>
        <v>11_1977</v>
      </c>
      <c r="DJ120" s="32" t="e">
        <f>IF(DI120="","",VLOOKUP(DI120,'CPI USA'!$T:$U,2,FALSE))</f>
        <v>#N/A</v>
      </c>
      <c r="DK120" s="32" t="e">
        <f>IF(DI120="","",VLOOKUP(DI120,'PPI USA'!$S:$T,2,FALSE))</f>
        <v>#N/A</v>
      </c>
      <c r="DL120" s="32" t="e">
        <f>IF(DI120="","",VLOOKUP(DI120,'CPI USA'!$T:$V,3,FALSE))</f>
        <v>#N/A</v>
      </c>
      <c r="DM120" s="32" t="e">
        <f>IF(DI120="","",VLOOKUP(DI120,'CPI USA'!$T:$X,5,FALSE))</f>
        <v>#N/A</v>
      </c>
      <c r="DN120" s="32" t="e">
        <f t="shared" si="35"/>
        <v>#N/A</v>
      </c>
      <c r="DO120" s="32" t="e">
        <f t="shared" si="36"/>
        <v>#N/A</v>
      </c>
      <c r="DP120" s="32" t="str">
        <f t="shared" si="37"/>
        <v/>
      </c>
      <c r="DQ120" s="32" t="str">
        <f>IF(DP120="","",DP120*$DO$1/'CPI USA'!$U$520+(1-DP120)*AVERAGE($DO$1,$DQ$1)/AVERAGE('CPI USA'!$U$520,'PPI USA'!$T$526))</f>
        <v/>
      </c>
      <c r="DR120" s="6">
        <f t="shared" si="38"/>
        <v>0</v>
      </c>
      <c r="DS120" s="32" t="str">
        <f t="shared" si="39"/>
        <v/>
      </c>
      <c r="DT120" s="28" t="str">
        <f>IF(DS120="","",DS120*$DO$1/'CPI USA'!$U$520+(1-DS120)*AVERAGE($DO$1,$DQ$1)/AVERAGE('CPI USA'!$U$520,'PPI USA'!$T$526))</f>
        <v/>
      </c>
      <c r="DU120" s="6" t="str">
        <f t="shared" si="40"/>
        <v/>
      </c>
      <c r="DV120" s="6">
        <f t="shared" si="57"/>
        <v>0</v>
      </c>
      <c r="DW120" s="6">
        <f t="shared" si="41"/>
        <v>0</v>
      </c>
      <c r="DX120" s="16" t="str">
        <f t="shared" si="42"/>
        <v/>
      </c>
      <c r="DY120" s="28" t="str">
        <f>IF(DX120="","",DX120*$DO$1/'CPI USA'!$U$520+(1-DX120)*AVERAGE($DO$1,$DQ$1)/AVERAGE('CPI USA'!$U$520,'PPI USA'!$T$526))</f>
        <v/>
      </c>
      <c r="DZ120" s="30"/>
      <c r="EA120" s="29" t="str">
        <f t="shared" si="43"/>
        <v>C001330</v>
      </c>
      <c r="EB120" s="29" t="str">
        <f t="shared" si="44"/>
        <v/>
      </c>
      <c r="EC120" s="29" t="str">
        <f t="shared" si="45"/>
        <v/>
      </c>
      <c r="ED120" s="29" t="str">
        <f t="shared" si="46"/>
        <v/>
      </c>
      <c r="EE120" s="29" t="str">
        <f t="shared" si="47"/>
        <v/>
      </c>
      <c r="EF120" s="29" t="str">
        <f t="shared" si="48"/>
        <v/>
      </c>
      <c r="EG120" s="29" t="str">
        <f t="shared" si="49"/>
        <v/>
      </c>
      <c r="EH120" s="29" t="str">
        <f t="shared" si="50"/>
        <v/>
      </c>
      <c r="EI120" s="29" t="str">
        <f t="shared" si="51"/>
        <v/>
      </c>
      <c r="EJ120" s="29" t="str">
        <f t="shared" si="52"/>
        <v/>
      </c>
      <c r="EK120" s="29" t="str">
        <f t="shared" si="53"/>
        <v/>
      </c>
      <c r="EL120" s="29" t="str">
        <f>IF(CD120=1,VLOOKUP(EA120,'EIA 2022'!$A$2:$J$213,4,0)*EH120,"")</f>
        <v/>
      </c>
      <c r="EM120" s="29" t="str">
        <f>IF(CD120=1,VLOOKUP(EA120,'EIA 2022'!$A$2:$J$213,7,0)*EH120,"")</f>
        <v/>
      </c>
      <c r="EN120" s="29" t="str">
        <f>IF(CD120=1,VLOOKUP(EA120,'EIA 2022'!$A$2:$J$213,10,0),"")</f>
        <v/>
      </c>
      <c r="EO120" s="28" t="str">
        <f>IF(CD120=1,VLOOKUP(EA120,'EIA 2022'!$A$2:$Z$213,26,0),"")</f>
        <v/>
      </c>
      <c r="EP120" s="23" t="str">
        <f t="shared" si="54"/>
        <v/>
      </c>
      <c r="EQ120" s="32" t="str">
        <f t="shared" si="55"/>
        <v/>
      </c>
      <c r="ER120" s="32" t="str">
        <f t="shared" si="56"/>
        <v/>
      </c>
      <c r="ES120" s="32"/>
      <c r="ET120" s="32"/>
    </row>
    <row r="121" spans="1:150" ht="15.75" customHeight="1">
      <c r="A121" s="7" t="s">
        <v>565</v>
      </c>
      <c r="B121" s="7" t="s">
        <v>566</v>
      </c>
      <c r="C121" s="32" t="s">
        <v>990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f>IFERROR(VLOOKUP(A121,'Trans 21-23'!$A$2:$J$229,8,0),0)</f>
        <v>0</v>
      </c>
      <c r="Y121" s="42">
        <v>0</v>
      </c>
      <c r="Z121" s="42">
        <v>0</v>
      </c>
      <c r="AA121" s="42">
        <v>0</v>
      </c>
      <c r="AB121" s="42">
        <v>502013</v>
      </c>
      <c r="AC121" s="42">
        <v>0</v>
      </c>
      <c r="AD121" s="42">
        <v>152105405</v>
      </c>
      <c r="AE121" s="42">
        <v>0</v>
      </c>
      <c r="AF121" s="42">
        <v>380931254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0</v>
      </c>
      <c r="AN121" s="42">
        <v>0</v>
      </c>
      <c r="AO121" s="42">
        <v>0</v>
      </c>
      <c r="AP121" s="42">
        <v>0</v>
      </c>
      <c r="AQ121" s="42">
        <v>0</v>
      </c>
      <c r="AR121" s="42">
        <v>0</v>
      </c>
      <c r="AS121" s="42">
        <v>0</v>
      </c>
      <c r="AT121" s="42">
        <v>0</v>
      </c>
      <c r="AU121" s="42">
        <v>0</v>
      </c>
      <c r="AV121" s="42">
        <v>0</v>
      </c>
      <c r="AW121" s="42">
        <v>0</v>
      </c>
      <c r="AX121" s="42">
        <v>0</v>
      </c>
      <c r="AY121" s="42">
        <v>0</v>
      </c>
      <c r="AZ121" s="42">
        <v>0</v>
      </c>
      <c r="BA121" s="42">
        <v>0</v>
      </c>
      <c r="BB121" s="42">
        <v>0</v>
      </c>
      <c r="BC121" s="42">
        <v>637222770</v>
      </c>
      <c r="BD121" s="42">
        <v>268098909</v>
      </c>
      <c r="BE121" s="42">
        <v>0</v>
      </c>
      <c r="BF121" s="42">
        <v>0</v>
      </c>
      <c r="BG121" s="42">
        <v>0</v>
      </c>
      <c r="BH121" s="42">
        <v>0</v>
      </c>
      <c r="BI121" s="42">
        <v>0</v>
      </c>
      <c r="BJ121" s="42">
        <v>0</v>
      </c>
      <c r="BK121" s="42">
        <v>0</v>
      </c>
      <c r="BL121" s="42">
        <v>0</v>
      </c>
      <c r="BM121" s="42">
        <v>36453240</v>
      </c>
      <c r="BN121" s="42">
        <v>156920612</v>
      </c>
      <c r="BO121" s="42">
        <v>0</v>
      </c>
      <c r="BP121" s="42">
        <v>0</v>
      </c>
      <c r="BQ121" s="42">
        <v>156920612</v>
      </c>
      <c r="BR121" s="42">
        <v>0</v>
      </c>
      <c r="BS121" s="42">
        <f>IFERROR(VLOOKUP(A121,'Trans 21-23'!$A$2:$J$229,7,0),0)</f>
        <v>0</v>
      </c>
      <c r="BT121" s="63"/>
      <c r="BU121" s="32">
        <f t="shared" si="0"/>
        <v>0</v>
      </c>
      <c r="BV121" s="32">
        <f t="shared" si="1"/>
        <v>0</v>
      </c>
      <c r="BW121" s="32">
        <f t="shared" si="2"/>
        <v>0</v>
      </c>
      <c r="BX121" s="32">
        <f t="shared" si="3"/>
        <v>0</v>
      </c>
      <c r="BY121" s="32">
        <f t="shared" si="4"/>
        <v>502013</v>
      </c>
      <c r="BZ121" s="32">
        <f t="shared" si="5"/>
        <v>0</v>
      </c>
      <c r="CA121" s="32">
        <f t="shared" si="6"/>
        <v>152105405</v>
      </c>
      <c r="CB121" s="32">
        <f t="shared" si="7"/>
        <v>0</v>
      </c>
      <c r="CC121" s="32">
        <f t="shared" si="8"/>
        <v>0</v>
      </c>
      <c r="CD121" s="41">
        <f t="shared" si="67"/>
        <v>0</v>
      </c>
      <c r="CE121" s="44">
        <f t="shared" si="10"/>
        <v>60</v>
      </c>
      <c r="CF121" s="27"/>
      <c r="CG121" s="28" t="str">
        <f t="shared" si="11"/>
        <v/>
      </c>
      <c r="CH121" s="28" t="str">
        <f t="shared" si="12"/>
        <v/>
      </c>
      <c r="CI121" s="28" t="str">
        <f t="shared" si="13"/>
        <v/>
      </c>
      <c r="CJ121" s="28" t="str">
        <f t="shared" si="14"/>
        <v/>
      </c>
      <c r="CK121" s="23" t="str">
        <f t="shared" si="15"/>
        <v/>
      </c>
      <c r="CL121" s="29" t="str">
        <f t="shared" si="16"/>
        <v/>
      </c>
      <c r="CM121" s="29" t="str">
        <f t="shared" si="17"/>
        <v/>
      </c>
      <c r="CN121" s="29" t="str">
        <f t="shared" si="18"/>
        <v/>
      </c>
      <c r="CO121" s="29" t="str">
        <f t="shared" si="19"/>
        <v/>
      </c>
      <c r="CP121" s="29" t="str">
        <f t="shared" si="20"/>
        <v/>
      </c>
      <c r="CQ121" s="29" t="str">
        <f t="shared" si="21"/>
        <v/>
      </c>
      <c r="CR121" s="30"/>
      <c r="CS121" s="7" t="str">
        <f>VLOOKUP(A121,'Empresas 21-23'!$A$2:$M$228,13,0)</f>
        <v/>
      </c>
      <c r="CT121" s="30"/>
      <c r="CU121" s="6">
        <f t="shared" si="22"/>
        <v>0</v>
      </c>
      <c r="CV121" s="6">
        <f t="shared" si="23"/>
        <v>0</v>
      </c>
      <c r="CW121" s="6">
        <f t="shared" si="24"/>
        <v>268098909</v>
      </c>
      <c r="CX121" s="23">
        <f t="shared" si="65"/>
        <v>0</v>
      </c>
      <c r="CY121" s="23">
        <f t="shared" si="66"/>
        <v>0</v>
      </c>
      <c r="CZ121" s="6">
        <f t="shared" si="27"/>
        <v>0</v>
      </c>
      <c r="DA121" s="6">
        <f t="shared" si="28"/>
        <v>0</v>
      </c>
      <c r="DB121" s="6">
        <f t="shared" si="29"/>
        <v>0</v>
      </c>
      <c r="DC121" s="6">
        <f t="shared" si="30"/>
        <v>0</v>
      </c>
      <c r="DD121" s="6">
        <f t="shared" si="31"/>
        <v>502013</v>
      </c>
      <c r="DE121" s="6">
        <f t="shared" si="32"/>
        <v>152105405</v>
      </c>
      <c r="DF121" s="6">
        <f t="shared" si="33"/>
        <v>333698.71023734298</v>
      </c>
      <c r="DG121" s="30"/>
      <c r="DH121" s="32" t="str">
        <f>VLOOKUP(A121,'T_med_comp-USA'!$A$7:$Q$233,17,0)</f>
        <v>-</v>
      </c>
      <c r="DI121" s="6" t="str">
        <f t="shared" si="34"/>
        <v/>
      </c>
      <c r="DJ121" s="32" t="str">
        <f>IF(DI121="","",VLOOKUP(DI121,'CPI USA'!$T:$U,2,FALSE))</f>
        <v/>
      </c>
      <c r="DK121" s="32" t="str">
        <f>IF(DI121="","",VLOOKUP(DI121,'PPI USA'!$S:$T,2,FALSE))</f>
        <v/>
      </c>
      <c r="DL121" s="32" t="str">
        <f>IF(DI121="","",VLOOKUP(DI121,'CPI USA'!$T:$V,3,FALSE))</f>
        <v/>
      </c>
      <c r="DM121" s="32" t="str">
        <f>IF(DI121="","",VLOOKUP(DI121,'CPI USA'!$T:$X,5,FALSE))</f>
        <v/>
      </c>
      <c r="DN121" s="32" t="str">
        <f t="shared" si="35"/>
        <v/>
      </c>
      <c r="DO121" s="32" t="str">
        <f t="shared" si="36"/>
        <v/>
      </c>
      <c r="DP121" s="32" t="str">
        <f t="shared" si="37"/>
        <v/>
      </c>
      <c r="DQ121" s="32" t="str">
        <f>IF(DP121="","",DP121*$DO$1/'CPI USA'!$U$520+(1-DP121)*AVERAGE($DO$1,$DQ$1)/AVERAGE('CPI USA'!$U$520,'PPI USA'!$T$526))</f>
        <v/>
      </c>
      <c r="DR121" s="6">
        <f t="shared" si="38"/>
        <v>0</v>
      </c>
      <c r="DS121" s="32">
        <f t="shared" si="39"/>
        <v>0.2</v>
      </c>
      <c r="DT121" s="28">
        <f>IF(DS121="","",DS121*$DO$1/'CPI USA'!$U$520+(1-DS121)*AVERAGE($DO$1,$DQ$1)/AVERAGE('CPI USA'!$U$520,'PPI USA'!$T$526))</f>
        <v>1.0854630593748538</v>
      </c>
      <c r="DU121" s="6" t="str">
        <f t="shared" si="40"/>
        <v/>
      </c>
      <c r="DV121" s="6">
        <f t="shared" si="57"/>
        <v>0</v>
      </c>
      <c r="DW121" s="6">
        <f t="shared" si="41"/>
        <v>0</v>
      </c>
      <c r="DX121" s="16" t="str">
        <f t="shared" si="42"/>
        <v/>
      </c>
      <c r="DY121" s="28" t="str">
        <f>IF(DX121="","",DX121*$DO$1/'CPI USA'!$U$520+(1-DX121)*AVERAGE($DO$1,$DQ$1)/AVERAGE('CPI USA'!$U$520,'PPI USA'!$T$526))</f>
        <v/>
      </c>
      <c r="DZ121" s="30"/>
      <c r="EA121" s="29" t="str">
        <f t="shared" si="43"/>
        <v>C001344</v>
      </c>
      <c r="EB121" s="29" t="str">
        <f t="shared" si="44"/>
        <v/>
      </c>
      <c r="EC121" s="29" t="str">
        <f t="shared" si="45"/>
        <v/>
      </c>
      <c r="ED121" s="29" t="str">
        <f t="shared" si="46"/>
        <v/>
      </c>
      <c r="EE121" s="29" t="str">
        <f t="shared" si="47"/>
        <v/>
      </c>
      <c r="EF121" s="29" t="str">
        <f t="shared" si="48"/>
        <v/>
      </c>
      <c r="EG121" s="29" t="str">
        <f t="shared" si="49"/>
        <v/>
      </c>
      <c r="EH121" s="29" t="str">
        <f t="shared" si="50"/>
        <v/>
      </c>
      <c r="EI121" s="29" t="str">
        <f t="shared" si="51"/>
        <v/>
      </c>
      <c r="EJ121" s="29" t="str">
        <f t="shared" si="52"/>
        <v/>
      </c>
      <c r="EK121" s="29" t="str">
        <f t="shared" si="53"/>
        <v/>
      </c>
      <c r="EL121" s="29" t="str">
        <f>IF(CD121=1,VLOOKUP(EA121,'EIA 2022'!$A$2:$J$213,4,0)*EH121,"")</f>
        <v/>
      </c>
      <c r="EM121" s="29" t="str">
        <f>IF(CD121=1,VLOOKUP(EA121,'EIA 2022'!$A$2:$J$213,7,0)*EH121,"")</f>
        <v/>
      </c>
      <c r="EN121" s="29" t="str">
        <f>IF(CD121=1,VLOOKUP(EA121,'EIA 2022'!$A$2:$J$213,10,0),"")</f>
        <v/>
      </c>
      <c r="EO121" s="28" t="str">
        <f>IF(CD121=1,VLOOKUP(EA121,'EIA 2022'!$A$2:$Z$213,26,0),"")</f>
        <v/>
      </c>
      <c r="EP121" s="23" t="str">
        <f t="shared" si="54"/>
        <v/>
      </c>
      <c r="EQ121" s="32" t="str">
        <f t="shared" si="55"/>
        <v/>
      </c>
      <c r="ER121" s="32" t="str">
        <f t="shared" si="56"/>
        <v/>
      </c>
      <c r="ES121" s="32"/>
      <c r="ET121" s="32"/>
    </row>
    <row r="122" spans="1:150" ht="15.75" customHeight="1">
      <c r="A122" s="7" t="s">
        <v>568</v>
      </c>
      <c r="B122" s="7" t="s">
        <v>569</v>
      </c>
      <c r="C122" s="32" t="s">
        <v>991</v>
      </c>
      <c r="D122" s="42">
        <v>0</v>
      </c>
      <c r="E122" s="42">
        <v>0</v>
      </c>
      <c r="F122" s="42">
        <v>0</v>
      </c>
      <c r="G122" s="42">
        <v>310927765</v>
      </c>
      <c r="H122" s="42">
        <v>308803466</v>
      </c>
      <c r="I122" s="42">
        <v>8908462</v>
      </c>
      <c r="J122" s="42">
        <v>507165</v>
      </c>
      <c r="K122" s="42">
        <v>1307363</v>
      </c>
      <c r="L122" s="42">
        <v>752356</v>
      </c>
      <c r="M122" s="42">
        <v>484823</v>
      </c>
      <c r="N122" s="42">
        <v>6419</v>
      </c>
      <c r="O122" s="42">
        <v>8669947</v>
      </c>
      <c r="P122" s="42">
        <v>0</v>
      </c>
      <c r="Q122" s="42">
        <v>470512</v>
      </c>
      <c r="R122" s="42">
        <v>77345</v>
      </c>
      <c r="S122" s="42">
        <v>3189702</v>
      </c>
      <c r="T122" s="42">
        <v>29594729</v>
      </c>
      <c r="U122" s="42">
        <v>1616067</v>
      </c>
      <c r="V122" s="42">
        <v>9763</v>
      </c>
      <c r="W122" s="42">
        <v>93800</v>
      </c>
      <c r="X122" s="42">
        <f>IFERROR(VLOOKUP(A122,'Trans 21-23'!$A$2:$J$229,8,0),0)</f>
        <v>706164</v>
      </c>
      <c r="Y122" s="42">
        <v>3260559</v>
      </c>
      <c r="Z122" s="42">
        <v>334903</v>
      </c>
      <c r="AA122" s="42">
        <v>26611197</v>
      </c>
      <c r="AB122" s="42">
        <v>20059865</v>
      </c>
      <c r="AC122" s="42">
        <v>0</v>
      </c>
      <c r="AD122" s="42">
        <v>135683101</v>
      </c>
      <c r="AE122" s="42">
        <v>0</v>
      </c>
      <c r="AF122" s="42">
        <v>562651700</v>
      </c>
      <c r="AG122" s="42">
        <v>609008</v>
      </c>
      <c r="AH122" s="42">
        <v>798339</v>
      </c>
      <c r="AI122" s="42">
        <v>13284627</v>
      </c>
      <c r="AJ122" s="42">
        <v>19090</v>
      </c>
      <c r="AK122" s="42">
        <v>0</v>
      </c>
      <c r="AL122" s="42">
        <v>4145136</v>
      </c>
      <c r="AM122" s="42">
        <v>5682557</v>
      </c>
      <c r="AN122" s="42">
        <v>2563428</v>
      </c>
      <c r="AO122" s="42">
        <v>53992</v>
      </c>
      <c r="AP122" s="42">
        <v>0</v>
      </c>
      <c r="AQ122" s="42">
        <v>12445113</v>
      </c>
      <c r="AR122" s="42">
        <v>22085</v>
      </c>
      <c r="AS122" s="42">
        <v>12467198</v>
      </c>
      <c r="AT122" s="42">
        <v>0</v>
      </c>
      <c r="AU122" s="42">
        <v>2715</v>
      </c>
      <c r="AV122" s="42">
        <v>0</v>
      </c>
      <c r="AW122" s="42">
        <v>665803064</v>
      </c>
      <c r="AX122" s="42">
        <v>147481440</v>
      </c>
      <c r="AY122" s="42">
        <v>499925991</v>
      </c>
      <c r="AZ122" s="42">
        <v>140232922</v>
      </c>
      <c r="BA122" s="42">
        <v>50529576</v>
      </c>
      <c r="BB122" s="42">
        <v>3434001208</v>
      </c>
      <c r="BC122" s="42">
        <v>5342967697</v>
      </c>
      <c r="BD122" s="42">
        <v>402236770</v>
      </c>
      <c r="BE122" s="42">
        <v>1010875039</v>
      </c>
      <c r="BF122" s="42">
        <v>98242688</v>
      </c>
      <c r="BG122" s="42">
        <v>0</v>
      </c>
      <c r="BH122" s="42">
        <v>31421447</v>
      </c>
      <c r="BI122" s="42">
        <v>11333497</v>
      </c>
      <c r="BJ122" s="42">
        <v>561641</v>
      </c>
      <c r="BK122" s="42">
        <v>0</v>
      </c>
      <c r="BL122" s="42">
        <v>0</v>
      </c>
      <c r="BM122" s="42">
        <v>46609071</v>
      </c>
      <c r="BN122" s="42">
        <v>100829636</v>
      </c>
      <c r="BO122" s="42">
        <v>4945810</v>
      </c>
      <c r="BP122" s="42">
        <v>0</v>
      </c>
      <c r="BQ122" s="42">
        <v>211060644</v>
      </c>
      <c r="BR122" s="42">
        <v>0</v>
      </c>
      <c r="BS122" s="42">
        <f>IFERROR(VLOOKUP(A122,'Trans 21-23'!$A$2:$J$229,7,0),0)</f>
        <v>63952775</v>
      </c>
      <c r="BT122" s="63"/>
      <c r="BU122" s="32">
        <f t="shared" si="0"/>
        <v>3434001208</v>
      </c>
      <c r="BV122" s="32">
        <f t="shared" si="1"/>
        <v>2715</v>
      </c>
      <c r="BW122" s="32">
        <f t="shared" si="2"/>
        <v>609008</v>
      </c>
      <c r="BX122" s="32">
        <f t="shared" si="3"/>
        <v>55688453</v>
      </c>
      <c r="BY122" s="32">
        <f t="shared" si="4"/>
        <v>50266524</v>
      </c>
      <c r="BZ122" s="32">
        <f t="shared" si="5"/>
        <v>140232922</v>
      </c>
      <c r="CA122" s="32">
        <f t="shared" si="6"/>
        <v>135683101</v>
      </c>
      <c r="CB122" s="32">
        <f t="shared" si="7"/>
        <v>798339</v>
      </c>
      <c r="CC122" s="32">
        <f t="shared" si="8"/>
        <v>12445113</v>
      </c>
      <c r="CD122" s="41">
        <f t="shared" si="67"/>
        <v>1</v>
      </c>
      <c r="CE122" s="44">
        <f t="shared" si="10"/>
        <v>15</v>
      </c>
      <c r="CF122" s="27"/>
      <c r="CG122" s="28">
        <f t="shared" si="11"/>
        <v>1264.825490976059</v>
      </c>
      <c r="CH122" s="28">
        <f t="shared" si="12"/>
        <v>4.4580695163281927</v>
      </c>
      <c r="CI122" s="28">
        <f t="shared" si="13"/>
        <v>91.441250361243206</v>
      </c>
      <c r="CJ122" s="28">
        <f t="shared" si="14"/>
        <v>230.26449898851902</v>
      </c>
      <c r="CK122" s="23">
        <f t="shared" si="15"/>
        <v>6.4148794791979796E-2</v>
      </c>
      <c r="CL122" s="29" t="str">
        <f t="shared" si="16"/>
        <v/>
      </c>
      <c r="CM122" s="29" t="str">
        <f t="shared" si="17"/>
        <v/>
      </c>
      <c r="CN122" s="29" t="str">
        <f t="shared" si="18"/>
        <v/>
      </c>
      <c r="CO122" s="29" t="str">
        <f t="shared" si="19"/>
        <v/>
      </c>
      <c r="CP122" s="29" t="str">
        <f t="shared" si="20"/>
        <v/>
      </c>
      <c r="CQ122" s="29">
        <f t="shared" si="21"/>
        <v>0</v>
      </c>
      <c r="CR122" s="30"/>
      <c r="CS122" s="7">
        <f>VLOOKUP(A122,'Empresas 21-23'!$A$2:$M$228,13,0)</f>
        <v>1</v>
      </c>
      <c r="CT122" s="30"/>
      <c r="CU122" s="6">
        <f t="shared" si="22"/>
        <v>2918747026.4000001</v>
      </c>
      <c r="CV122" s="6">
        <f t="shared" si="23"/>
        <v>140232922</v>
      </c>
      <c r="CW122" s="6">
        <f t="shared" si="24"/>
        <v>402236770</v>
      </c>
      <c r="CX122" s="23">
        <f t="shared" si="65"/>
        <v>0.59075207080185121</v>
      </c>
      <c r="CY122" s="23">
        <f t="shared" si="66"/>
        <v>2.8383031594304831E-2</v>
      </c>
      <c r="CZ122" s="6">
        <f t="shared" si="27"/>
        <v>3156369231.2301478</v>
      </c>
      <c r="DA122" s="6">
        <f t="shared" si="28"/>
        <v>151649620.95130113</v>
      </c>
      <c r="DB122" s="6">
        <f t="shared" si="29"/>
        <v>55688453</v>
      </c>
      <c r="DC122" s="6">
        <f t="shared" si="30"/>
        <v>56394617</v>
      </c>
      <c r="DD122" s="6">
        <f t="shared" si="31"/>
        <v>50266524</v>
      </c>
      <c r="DE122" s="6">
        <f t="shared" si="32"/>
        <v>135683101</v>
      </c>
      <c r="DF122" s="6">
        <f t="shared" si="33"/>
        <v>122473643.44842941</v>
      </c>
      <c r="DG122" s="30"/>
      <c r="DH122" s="32">
        <f>VLOOKUP(A122,'T_med_comp-USA'!$A$7:$Q$233,17,0)</f>
        <v>10.209660614229897</v>
      </c>
      <c r="DI122" s="6" t="str">
        <f t="shared" si="34"/>
        <v>10_2012</v>
      </c>
      <c r="DJ122" s="32">
        <f>IF(DI122="","",VLOOKUP(DI122,'CPI USA'!$T:$U,2,FALSE))</f>
        <v>229.59399999999999</v>
      </c>
      <c r="DK122" s="32">
        <f>IF(DI122="","",VLOOKUP(DI122,'PPI USA'!$S:$T,2,FALSE))</f>
        <v>175.1</v>
      </c>
      <c r="DL122" s="32">
        <f>IF(DI122="","",VLOOKUP(DI122,'CPI USA'!$T:$V,3,FALSE))</f>
        <v>0.66730871354337351</v>
      </c>
      <c r="DM122" s="32">
        <f>IF(DI122="","",VLOOKUP(DI122,'CPI USA'!$T:$X,5,FALSE))</f>
        <v>0.49513551903851311</v>
      </c>
      <c r="DN122" s="32">
        <f t="shared" si="35"/>
        <v>1.3897894616766442</v>
      </c>
      <c r="DO122" s="32">
        <f t="shared" si="36"/>
        <v>1.4008620811189902</v>
      </c>
      <c r="DP122" s="32">
        <f t="shared" si="37"/>
        <v>0.59191274777740088</v>
      </c>
      <c r="DQ122" s="32">
        <f>IF(DP122="","",DP122*$DO$1/'CPI USA'!$U$520+(1-DP122)*AVERAGE($DO$1,$DQ$1)/AVERAGE('CPI USA'!$U$520,'PPI USA'!$T$526))</f>
        <v>1.0722794797014159</v>
      </c>
      <c r="DR122" s="6">
        <f t="shared" si="38"/>
        <v>11895138</v>
      </c>
      <c r="DS122" s="32">
        <f t="shared" si="39"/>
        <v>0.24824887922450628</v>
      </c>
      <c r="DT122" s="28">
        <f>IF(DS122="","",DS122*$DO$1/'CPI USA'!$U$520+(1-DS122)*AVERAGE($DO$1,$DQ$1)/AVERAGE('CPI USA'!$U$520,'PPI USA'!$T$526))</f>
        <v>1.0838400120332765</v>
      </c>
      <c r="DU122" s="6">
        <f t="shared" si="40"/>
        <v>48895299.717938744</v>
      </c>
      <c r="DV122" s="6">
        <f t="shared" si="57"/>
        <v>0</v>
      </c>
      <c r="DW122" s="6">
        <f t="shared" si="41"/>
        <v>21005504.833247337</v>
      </c>
      <c r="DX122" s="16">
        <f t="shared" si="42"/>
        <v>0.2</v>
      </c>
      <c r="DY122" s="28">
        <f>IF(DX122="","",DX122*$DO$1/'CPI USA'!$U$520+(1-DX122)*AVERAGE($DO$1,$DQ$1)/AVERAGE('CPI USA'!$U$520,'PPI USA'!$T$526))</f>
        <v>1.0854630593748538</v>
      </c>
      <c r="DZ122" s="30"/>
      <c r="EA122" s="29" t="str">
        <f t="shared" si="43"/>
        <v>C001346</v>
      </c>
      <c r="EB122" s="29">
        <f t="shared" si="44"/>
        <v>4386688694.7240705</v>
      </c>
      <c r="EC122" s="29">
        <f t="shared" si="45"/>
        <v>212440203.60674572</v>
      </c>
      <c r="ED122" s="29">
        <f t="shared" si="46"/>
        <v>60470790.574720621</v>
      </c>
      <c r="EE122" s="29">
        <f t="shared" si="47"/>
        <v>54480869.977030985</v>
      </c>
      <c r="EF122" s="29">
        <f t="shared" si="48"/>
        <v>132940615.71031719</v>
      </c>
      <c r="EG122" s="29">
        <f t="shared" si="49"/>
        <v>2715</v>
      </c>
      <c r="EH122" s="29">
        <f t="shared" si="50"/>
        <v>609008</v>
      </c>
      <c r="EI122" s="29">
        <f t="shared" si="51"/>
        <v>798339</v>
      </c>
      <c r="EJ122" s="29">
        <f t="shared" si="52"/>
        <v>12445113</v>
      </c>
      <c r="EK122" s="29">
        <f t="shared" si="53"/>
        <v>13243115.680203045</v>
      </c>
      <c r="EL122" s="29">
        <f>IF(CD122=1,VLOOKUP(EA122,'EIA 2022'!$A$2:$J$213,4,0)*EH122,"")</f>
        <v>81607072</v>
      </c>
      <c r="EM122" s="29">
        <f>IF(CD122=1,VLOOKUP(EA122,'EIA 2022'!$A$2:$J$213,7,0)*EH122,"")</f>
        <v>554197.28</v>
      </c>
      <c r="EN122" s="29">
        <f>IF(CD122=1,VLOOKUP(EA122,'EIA 2022'!$A$2:$J$213,10,0),"")</f>
        <v>602356</v>
      </c>
      <c r="EO122" s="28">
        <f>IF(CD122=1,VLOOKUP(EA122,'EIA 2022'!$A$2:$Z$213,26,0),"")</f>
        <v>0</v>
      </c>
      <c r="EP122" s="23">
        <f t="shared" si="54"/>
        <v>6.0257925662913991E-2</v>
      </c>
      <c r="EQ122" s="32">
        <f t="shared" si="55"/>
        <v>336.31979695431437</v>
      </c>
      <c r="ER122" s="32">
        <f t="shared" si="56"/>
        <v>798002.68020304572</v>
      </c>
      <c r="ES122" s="32"/>
      <c r="ET122" s="32"/>
    </row>
    <row r="123" spans="1:150" ht="15.75" customHeight="1">
      <c r="A123" s="7" t="s">
        <v>571</v>
      </c>
      <c r="B123" s="7" t="s">
        <v>572</v>
      </c>
      <c r="C123" s="32" t="s">
        <v>992</v>
      </c>
      <c r="D123" s="42">
        <v>21678087</v>
      </c>
      <c r="E123" s="42">
        <v>0</v>
      </c>
      <c r="F123" s="42">
        <v>16232105</v>
      </c>
      <c r="G123" s="42">
        <v>47759976</v>
      </c>
      <c r="H123" s="42">
        <v>48955825</v>
      </c>
      <c r="I123" s="42">
        <v>1173414</v>
      </c>
      <c r="J123" s="42">
        <v>667491</v>
      </c>
      <c r="K123" s="42">
        <v>589417</v>
      </c>
      <c r="L123" s="42">
        <v>289356</v>
      </c>
      <c r="M123" s="42">
        <v>415802</v>
      </c>
      <c r="N123" s="42">
        <v>424599</v>
      </c>
      <c r="O123" s="42">
        <v>1646916</v>
      </c>
      <c r="P123" s="42">
        <v>12507</v>
      </c>
      <c r="Q123" s="42">
        <v>13723</v>
      </c>
      <c r="R123" s="42">
        <v>0</v>
      </c>
      <c r="S123" s="42">
        <v>273538</v>
      </c>
      <c r="T123" s="42">
        <v>8932743</v>
      </c>
      <c r="U123" s="42">
        <v>310964</v>
      </c>
      <c r="V123" s="42">
        <v>80447</v>
      </c>
      <c r="W123" s="42">
        <v>48804</v>
      </c>
      <c r="X123" s="42">
        <f>IFERROR(VLOOKUP(A123,'Trans 21-23'!$A$2:$J$229,8,0),0)</f>
        <v>59580</v>
      </c>
      <c r="Y123" s="42">
        <v>519678</v>
      </c>
      <c r="Z123" s="42">
        <v>181228</v>
      </c>
      <c r="AA123" s="42">
        <v>2075638</v>
      </c>
      <c r="AB123" s="42">
        <v>705759</v>
      </c>
      <c r="AC123" s="42">
        <v>13843</v>
      </c>
      <c r="AD123" s="42">
        <v>38003698</v>
      </c>
      <c r="AE123" s="42">
        <v>0</v>
      </c>
      <c r="AF123" s="42">
        <v>195508444</v>
      </c>
      <c r="AG123" s="42">
        <v>75170</v>
      </c>
      <c r="AH123" s="42">
        <v>365819</v>
      </c>
      <c r="AI123" s="42">
        <v>3019129</v>
      </c>
      <c r="AJ123" s="42">
        <v>0</v>
      </c>
      <c r="AK123" s="42">
        <v>0</v>
      </c>
      <c r="AL123" s="42">
        <v>594312</v>
      </c>
      <c r="AM123" s="42">
        <v>778554</v>
      </c>
      <c r="AN123" s="42">
        <v>468928</v>
      </c>
      <c r="AO123" s="42">
        <v>10151</v>
      </c>
      <c r="AP123" s="42">
        <v>23268</v>
      </c>
      <c r="AQ123" s="42">
        <v>1875213</v>
      </c>
      <c r="AR123" s="42">
        <v>778097</v>
      </c>
      <c r="AS123" s="42">
        <v>2653310</v>
      </c>
      <c r="AT123" s="42">
        <v>0</v>
      </c>
      <c r="AU123" s="42">
        <v>403</v>
      </c>
      <c r="AV123" s="42">
        <v>0</v>
      </c>
      <c r="AW123" s="42">
        <v>69299461</v>
      </c>
      <c r="AX123" s="42">
        <v>20883585</v>
      </c>
      <c r="AY123" s="42">
        <v>68383603</v>
      </c>
      <c r="AZ123" s="42">
        <v>11480123</v>
      </c>
      <c r="BA123" s="42">
        <v>2633285</v>
      </c>
      <c r="BB123" s="42">
        <v>511089759</v>
      </c>
      <c r="BC123" s="42">
        <v>1664230240</v>
      </c>
      <c r="BD123" s="42">
        <v>164120341</v>
      </c>
      <c r="BE123" s="42">
        <v>165500500</v>
      </c>
      <c r="BF123" s="42">
        <v>13548812</v>
      </c>
      <c r="BG123" s="42">
        <v>0</v>
      </c>
      <c r="BH123" s="42">
        <v>4204962</v>
      </c>
      <c r="BI123" s="42">
        <v>761736</v>
      </c>
      <c r="BJ123" s="42">
        <v>289607</v>
      </c>
      <c r="BK123" s="42">
        <v>0</v>
      </c>
      <c r="BL123" s="42">
        <v>0</v>
      </c>
      <c r="BM123" s="42">
        <v>13667587</v>
      </c>
      <c r="BN123" s="42">
        <v>27544812</v>
      </c>
      <c r="BO123" s="42">
        <v>0</v>
      </c>
      <c r="BP123" s="42">
        <v>3937277</v>
      </c>
      <c r="BQ123" s="42">
        <v>35230823</v>
      </c>
      <c r="BR123" s="42">
        <v>0</v>
      </c>
      <c r="BS123" s="42">
        <f>IFERROR(VLOOKUP(A123,'Trans 21-23'!$A$2:$J$229,7,0),0)</f>
        <v>5395802</v>
      </c>
      <c r="BT123" s="63"/>
      <c r="BU123" s="32">
        <f t="shared" si="0"/>
        <v>511089759</v>
      </c>
      <c r="BV123" s="32">
        <f t="shared" si="1"/>
        <v>403</v>
      </c>
      <c r="BW123" s="32">
        <f t="shared" si="2"/>
        <v>75170</v>
      </c>
      <c r="BX123" s="32">
        <f t="shared" si="3"/>
        <v>14879721</v>
      </c>
      <c r="BY123" s="32">
        <f t="shared" si="4"/>
        <v>3496146</v>
      </c>
      <c r="BZ123" s="32">
        <f t="shared" si="5"/>
        <v>11480123</v>
      </c>
      <c r="CA123" s="32">
        <f t="shared" si="6"/>
        <v>38003698</v>
      </c>
      <c r="CB123" s="32">
        <f t="shared" si="7"/>
        <v>365819</v>
      </c>
      <c r="CC123" s="32">
        <f t="shared" si="8"/>
        <v>1875213</v>
      </c>
      <c r="CD123" s="41">
        <f t="shared" si="67"/>
        <v>1</v>
      </c>
      <c r="CE123" s="44">
        <f t="shared" si="10"/>
        <v>12</v>
      </c>
      <c r="CF123" s="27"/>
      <c r="CG123" s="28">
        <f t="shared" si="11"/>
        <v>1268.2128014888337</v>
      </c>
      <c r="CH123" s="28">
        <f t="shared" si="12"/>
        <v>5.3611813223360381</v>
      </c>
      <c r="CI123" s="28">
        <f t="shared" si="13"/>
        <v>197.9475987761075</v>
      </c>
      <c r="CJ123" s="28">
        <f t="shared" si="14"/>
        <v>152.72213649062127</v>
      </c>
      <c r="CK123" s="23">
        <f t="shared" si="15"/>
        <v>0.19508130543036978</v>
      </c>
      <c r="CL123" s="29" t="str">
        <f t="shared" si="16"/>
        <v/>
      </c>
      <c r="CM123" s="29" t="str">
        <f t="shared" si="17"/>
        <v/>
      </c>
      <c r="CN123" s="29" t="str">
        <f t="shared" si="18"/>
        <v/>
      </c>
      <c r="CO123" s="29" t="str">
        <f t="shared" si="19"/>
        <v/>
      </c>
      <c r="CP123" s="29" t="str">
        <f t="shared" si="20"/>
        <v/>
      </c>
      <c r="CQ123" s="29">
        <f t="shared" si="21"/>
        <v>0</v>
      </c>
      <c r="CR123" s="30"/>
      <c r="CS123" s="7">
        <f>VLOOKUP(A123,'Empresas 21-23'!$A$2:$M$228,13,0)</f>
        <v>1</v>
      </c>
      <c r="CT123" s="30"/>
      <c r="CU123" s="6">
        <f t="shared" si="22"/>
        <v>448811840.19999999</v>
      </c>
      <c r="CV123" s="6">
        <f t="shared" si="23"/>
        <v>11480123</v>
      </c>
      <c r="CW123" s="6">
        <f t="shared" si="24"/>
        <v>164120341</v>
      </c>
      <c r="CX123" s="23">
        <f t="shared" si="65"/>
        <v>0.29918597330714636</v>
      </c>
      <c r="CY123" s="23">
        <f t="shared" si="66"/>
        <v>7.6528546392853319E-3</v>
      </c>
      <c r="CZ123" s="6">
        <f t="shared" si="27"/>
        <v>497914344.16158575</v>
      </c>
      <c r="DA123" s="6">
        <f t="shared" si="28"/>
        <v>12736112.11302294</v>
      </c>
      <c r="DB123" s="6">
        <f t="shared" si="29"/>
        <v>14879721</v>
      </c>
      <c r="DC123" s="6">
        <f t="shared" si="30"/>
        <v>14939301</v>
      </c>
      <c r="DD123" s="6">
        <f t="shared" si="31"/>
        <v>3496146</v>
      </c>
      <c r="DE123" s="6">
        <f t="shared" si="32"/>
        <v>38003698</v>
      </c>
      <c r="DF123" s="6">
        <f t="shared" si="33"/>
        <v>9918286.6141745839</v>
      </c>
      <c r="DG123" s="30"/>
      <c r="DH123" s="32">
        <f>VLOOKUP(A123,'T_med_comp-USA'!$A$7:$Q$233,17,0)</f>
        <v>12.214488679299103</v>
      </c>
      <c r="DI123" s="6" t="str">
        <f t="shared" si="34"/>
        <v>10_2010</v>
      </c>
      <c r="DJ123" s="32">
        <f>IF(DI123="","",VLOOKUP(DI123,'CPI USA'!$T:$U,2,FALSE))</f>
        <v>218.05600000000001</v>
      </c>
      <c r="DK123" s="32">
        <f>IF(DI123="","",VLOOKUP(DI123,'PPI USA'!$S:$T,2,FALSE))</f>
        <v>160.80000000000001</v>
      </c>
      <c r="DL123" s="32">
        <f>IF(DI123="","",VLOOKUP(DI123,'CPI USA'!$T:$V,3,FALSE))</f>
        <v>0.67050107279443949</v>
      </c>
      <c r="DM123" s="32">
        <f>IF(DI123="","",VLOOKUP(DI123,'CPI USA'!$T:$X,5,FALSE))</f>
        <v>0.4987389730136107</v>
      </c>
      <c r="DN123" s="32">
        <f t="shared" si="35"/>
        <v>1.4703278680244813</v>
      </c>
      <c r="DO123" s="32">
        <f t="shared" si="36"/>
        <v>1.4857204383544427</v>
      </c>
      <c r="DP123" s="32">
        <f t="shared" si="37"/>
        <v>0.28259683094864479</v>
      </c>
      <c r="DQ123" s="32">
        <f>IF(DP123="","",DP123*$DO$1/'CPI USA'!$U$520+(1-DP123)*AVERAGE($DO$1,$DQ$1)/AVERAGE('CPI USA'!$U$520,'PPI USA'!$T$526))</f>
        <v>1.0826845789407256</v>
      </c>
      <c r="DR123" s="6">
        <f t="shared" si="38"/>
        <v>1051343</v>
      </c>
      <c r="DS123" s="32">
        <f t="shared" si="39"/>
        <v>0.30071484428853945</v>
      </c>
      <c r="DT123" s="28">
        <f>IF(DS123="","",DS123*$DO$1/'CPI USA'!$U$520+(1-DS123)*AVERAGE($DO$1,$DQ$1)/AVERAGE('CPI USA'!$U$520,'PPI USA'!$T$526))</f>
        <v>1.082075105853296</v>
      </c>
      <c r="DU123" s="6">
        <f t="shared" si="40"/>
        <v>13667587</v>
      </c>
      <c r="DV123" s="6">
        <f t="shared" si="57"/>
        <v>1719622.1847341622</v>
      </c>
      <c r="DW123" s="6">
        <f t="shared" si="41"/>
        <v>2936301.2016115449</v>
      </c>
      <c r="DX123" s="16">
        <f t="shared" si="42"/>
        <v>0.2960492387279039</v>
      </c>
      <c r="DY123" s="28">
        <f>IF(DX123="","",DX123*$DO$1/'CPI USA'!$U$520+(1-DX123)*AVERAGE($DO$1,$DQ$1)/AVERAGE('CPI USA'!$U$520,'PPI USA'!$T$526))</f>
        <v>1.0822320524772122</v>
      </c>
      <c r="DZ123" s="30"/>
      <c r="EA123" s="29" t="str">
        <f t="shared" si="43"/>
        <v>C001421</v>
      </c>
      <c r="EB123" s="29">
        <f t="shared" si="44"/>
        <v>732097336.10991228</v>
      </c>
      <c r="EC123" s="29">
        <f t="shared" si="45"/>
        <v>18922302.07149177</v>
      </c>
      <c r="ED123" s="29">
        <f t="shared" si="46"/>
        <v>16174550.812853761</v>
      </c>
      <c r="EE123" s="29">
        <f t="shared" si="47"/>
        <v>3783092.5530285775</v>
      </c>
      <c r="EF123" s="29">
        <f t="shared" si="48"/>
        <v>10733887.67951542</v>
      </c>
      <c r="EG123" s="29">
        <f t="shared" si="49"/>
        <v>403</v>
      </c>
      <c r="EH123" s="29">
        <f t="shared" si="50"/>
        <v>75170</v>
      </c>
      <c r="EI123" s="29">
        <f t="shared" si="51"/>
        <v>365819</v>
      </c>
      <c r="EJ123" s="29">
        <f t="shared" si="52"/>
        <v>1875213</v>
      </c>
      <c r="EK123" s="29">
        <f t="shared" si="53"/>
        <v>2229182.8071065992</v>
      </c>
      <c r="EL123" s="29">
        <f>IF(CD123=1,VLOOKUP(EA123,'EIA 2022'!$A$2:$J$213,4,0)*EH123,"")</f>
        <v>16294901.58</v>
      </c>
      <c r="EM123" s="29">
        <f>IF(CD123=1,VLOOKUP(EA123,'EIA 2022'!$A$2:$J$213,7,0)*EH123,"")</f>
        <v>126060.09</v>
      </c>
      <c r="EN123" s="29">
        <f>IF(CD123=1,VLOOKUP(EA123,'EIA 2022'!$A$2:$J$213,10,0),"")</f>
        <v>41</v>
      </c>
      <c r="EO123" s="28">
        <f>IF(CD123=1,VLOOKUP(EA123,'EIA 2022'!$A$2:$Z$213,26,0),"")</f>
        <v>0</v>
      </c>
      <c r="EP123" s="23">
        <f t="shared" si="54"/>
        <v>0.15878904411883532</v>
      </c>
      <c r="EQ123" s="32">
        <f t="shared" si="55"/>
        <v>11849.192893401021</v>
      </c>
      <c r="ER123" s="32">
        <f t="shared" si="56"/>
        <v>353969.80710659898</v>
      </c>
      <c r="ES123" s="32"/>
      <c r="ET123" s="32"/>
    </row>
    <row r="124" spans="1:150" ht="15.75" customHeight="1">
      <c r="A124" s="7" t="s">
        <v>574</v>
      </c>
      <c r="B124" s="7" t="s">
        <v>575</v>
      </c>
      <c r="C124" s="32" t="s">
        <v>993</v>
      </c>
      <c r="D124" s="42">
        <v>337259879</v>
      </c>
      <c r="E124" s="42">
        <v>58560715</v>
      </c>
      <c r="F124" s="42">
        <v>512210357</v>
      </c>
      <c r="G124" s="42">
        <v>690076418</v>
      </c>
      <c r="H124" s="42">
        <v>691008086</v>
      </c>
      <c r="I124" s="42">
        <v>3267408</v>
      </c>
      <c r="J124" s="42">
        <v>1162834</v>
      </c>
      <c r="K124" s="42">
        <v>2487100</v>
      </c>
      <c r="L124" s="42">
        <v>982909</v>
      </c>
      <c r="M124" s="42">
        <v>1008963</v>
      </c>
      <c r="N124" s="42">
        <v>13684</v>
      </c>
      <c r="O124" s="42">
        <v>56403747</v>
      </c>
      <c r="P124" s="42">
        <v>721664</v>
      </c>
      <c r="Q124" s="42">
        <v>1007679</v>
      </c>
      <c r="R124" s="42">
        <v>14</v>
      </c>
      <c r="S124" s="42">
        <v>5155367</v>
      </c>
      <c r="T124" s="42">
        <v>20119953</v>
      </c>
      <c r="U124" s="42">
        <v>8194650</v>
      </c>
      <c r="V124" s="42">
        <v>2368876</v>
      </c>
      <c r="W124" s="42">
        <v>2555841</v>
      </c>
      <c r="X124" s="42">
        <f>IFERROR(VLOOKUP(A124,'Trans 21-23'!$A$2:$J$229,8,0),0)</f>
        <v>9305132</v>
      </c>
      <c r="Y124" s="42">
        <v>6905041</v>
      </c>
      <c r="Z124" s="42">
        <v>0</v>
      </c>
      <c r="AA124" s="42">
        <v>71106698</v>
      </c>
      <c r="AB124" s="42">
        <v>58836525</v>
      </c>
      <c r="AC124" s="42">
        <v>13739257</v>
      </c>
      <c r="AD124" s="42">
        <v>159849226</v>
      </c>
      <c r="AE124" s="42">
        <v>0</v>
      </c>
      <c r="AF124" s="42">
        <v>2509252244</v>
      </c>
      <c r="AG124" s="42">
        <v>1344414</v>
      </c>
      <c r="AH124" s="42">
        <v>1965679</v>
      </c>
      <c r="AI124" s="42">
        <v>36629353</v>
      </c>
      <c r="AJ124" s="42">
        <v>64746</v>
      </c>
      <c r="AK124" s="42">
        <v>0</v>
      </c>
      <c r="AL124" s="42">
        <v>14756798</v>
      </c>
      <c r="AM124" s="42">
        <v>13535799</v>
      </c>
      <c r="AN124" s="42">
        <v>2121332</v>
      </c>
      <c r="AO124" s="42">
        <v>106149</v>
      </c>
      <c r="AP124" s="42">
        <v>1879</v>
      </c>
      <c r="AQ124" s="42">
        <v>30521957</v>
      </c>
      <c r="AR124" s="42">
        <v>4076971</v>
      </c>
      <c r="AS124" s="42">
        <v>34598928</v>
      </c>
      <c r="AT124" s="42">
        <v>0</v>
      </c>
      <c r="AU124" s="42">
        <v>7562</v>
      </c>
      <c r="AV124" s="42">
        <v>0</v>
      </c>
      <c r="AW124" s="42">
        <v>457820003</v>
      </c>
      <c r="AX124" s="42">
        <v>838398509</v>
      </c>
      <c r="AY124" s="42">
        <v>2505971317</v>
      </c>
      <c r="AZ124" s="42">
        <v>338311746</v>
      </c>
      <c r="BA124" s="42">
        <v>86677956</v>
      </c>
      <c r="BB124" s="42">
        <v>7950772030</v>
      </c>
      <c r="BC124" s="42">
        <v>23266195622</v>
      </c>
      <c r="BD124" s="42">
        <v>1343822341</v>
      </c>
      <c r="BE124" s="42">
        <v>2111569076</v>
      </c>
      <c r="BF124" s="42">
        <v>189083520</v>
      </c>
      <c r="BG124" s="42">
        <v>0</v>
      </c>
      <c r="BH124" s="42">
        <v>64831373</v>
      </c>
      <c r="BI124" s="42">
        <v>25296995</v>
      </c>
      <c r="BJ124" s="42">
        <v>2603340</v>
      </c>
      <c r="BK124" s="42">
        <v>8702849</v>
      </c>
      <c r="BL124" s="42">
        <v>0</v>
      </c>
      <c r="BM124" s="42">
        <v>120347936</v>
      </c>
      <c r="BN124" s="42">
        <v>406808171</v>
      </c>
      <c r="BO124" s="42">
        <v>0</v>
      </c>
      <c r="BP124" s="42">
        <v>231376510</v>
      </c>
      <c r="BQ124" s="42">
        <v>845684634</v>
      </c>
      <c r="BR124" s="42">
        <v>0</v>
      </c>
      <c r="BS124" s="42">
        <f>IFERROR(VLOOKUP(A124,'Trans 21-23'!$A$2:$J$229,7,0),0)</f>
        <v>842706410</v>
      </c>
      <c r="BT124" s="63"/>
      <c r="BU124" s="32">
        <f t="shared" si="0"/>
        <v>7950772030</v>
      </c>
      <c r="BV124" s="32">
        <f t="shared" si="1"/>
        <v>7562</v>
      </c>
      <c r="BW124" s="32">
        <f t="shared" si="2"/>
        <v>1344414</v>
      </c>
      <c r="BX124" s="32">
        <f t="shared" si="3"/>
        <v>105450689</v>
      </c>
      <c r="BY124" s="32">
        <f t="shared" si="4"/>
        <v>150587521</v>
      </c>
      <c r="BZ124" s="32">
        <f t="shared" si="5"/>
        <v>338311746</v>
      </c>
      <c r="CA124" s="32">
        <f t="shared" si="6"/>
        <v>159849226</v>
      </c>
      <c r="CB124" s="32">
        <f t="shared" si="7"/>
        <v>1965679</v>
      </c>
      <c r="CC124" s="32">
        <f t="shared" si="8"/>
        <v>30521957</v>
      </c>
      <c r="CD124" s="41">
        <f t="shared" si="67"/>
        <v>1</v>
      </c>
      <c r="CE124" s="44">
        <f t="shared" si="10"/>
        <v>9</v>
      </c>
      <c r="CF124" s="27"/>
      <c r="CG124" s="28">
        <f t="shared" si="11"/>
        <v>1051.4112708278233</v>
      </c>
      <c r="CH124" s="28">
        <f t="shared" si="12"/>
        <v>5.6247554696693136</v>
      </c>
      <c r="CI124" s="28">
        <f t="shared" si="13"/>
        <v>78.436172934825137</v>
      </c>
      <c r="CJ124" s="28">
        <f t="shared" si="14"/>
        <v>251.64253421936994</v>
      </c>
      <c r="CK124" s="23">
        <f t="shared" si="15"/>
        <v>6.4402128605318465E-2</v>
      </c>
      <c r="CL124" s="29" t="str">
        <f t="shared" si="16"/>
        <v/>
      </c>
      <c r="CM124" s="29" t="str">
        <f t="shared" si="17"/>
        <v/>
      </c>
      <c r="CN124" s="29" t="str">
        <f t="shared" si="18"/>
        <v/>
      </c>
      <c r="CO124" s="29" t="str">
        <f t="shared" si="19"/>
        <v/>
      </c>
      <c r="CP124" s="29" t="str">
        <f t="shared" si="20"/>
        <v/>
      </c>
      <c r="CQ124" s="29">
        <f t="shared" si="21"/>
        <v>0</v>
      </c>
      <c r="CR124" s="30"/>
      <c r="CS124" s="7">
        <f>VLOOKUP(A124,'Empresas 21-23'!$A$2:$M$228,13,0)</f>
        <v>1</v>
      </c>
      <c r="CT124" s="30"/>
      <c r="CU124" s="6">
        <f t="shared" si="22"/>
        <v>6361866842.3999996</v>
      </c>
      <c r="CV124" s="6">
        <f t="shared" si="23"/>
        <v>338311746</v>
      </c>
      <c r="CW124" s="6">
        <f t="shared" si="24"/>
        <v>1343822341</v>
      </c>
      <c r="CX124" s="23">
        <f t="shared" si="65"/>
        <v>0.29019973160998014</v>
      </c>
      <c r="CY124" s="23">
        <f t="shared" si="66"/>
        <v>1.5432259165717834E-2</v>
      </c>
      <c r="CZ124" s="6">
        <f t="shared" si="27"/>
        <v>6751843725.089695</v>
      </c>
      <c r="DA124" s="6">
        <f t="shared" si="28"/>
        <v>359049960.63899362</v>
      </c>
      <c r="DB124" s="6">
        <f t="shared" si="29"/>
        <v>105450689</v>
      </c>
      <c r="DC124" s="6">
        <f t="shared" si="30"/>
        <v>114755821</v>
      </c>
      <c r="DD124" s="6">
        <f t="shared" si="31"/>
        <v>150587521</v>
      </c>
      <c r="DE124" s="6">
        <f t="shared" si="32"/>
        <v>159849226</v>
      </c>
      <c r="DF124" s="6">
        <f t="shared" si="33"/>
        <v>56525804.698711008</v>
      </c>
      <c r="DG124" s="30"/>
      <c r="DH124" s="32">
        <f>VLOOKUP(A124,'T_med_comp-USA'!$A$7:$Q$233,17,0)</f>
        <v>11.405524121120017</v>
      </c>
      <c r="DI124" s="6" t="str">
        <f t="shared" si="34"/>
        <v>8_2011</v>
      </c>
      <c r="DJ124" s="32">
        <f>IF(DI124="","",VLOOKUP(DI124,'CPI USA'!$T:$U,2,FALSE))</f>
        <v>224.93899999999999</v>
      </c>
      <c r="DK124" s="32">
        <f>IF(DI124="","",VLOOKUP(DI124,'PPI USA'!$S:$T,2,FALSE))</f>
        <v>169.6</v>
      </c>
      <c r="DL124" s="32">
        <f>IF(DI124="","",VLOOKUP(DI124,'CPI USA'!$T:$V,3,FALSE))</f>
        <v>0.6684022975047168</v>
      </c>
      <c r="DM124" s="32">
        <f>IF(DI124="","",VLOOKUP(DI124,'CPI USA'!$T:$X,5,FALSE))</f>
        <v>0.49636791791307899</v>
      </c>
      <c r="DN124" s="32">
        <f t="shared" si="35"/>
        <v>1.4208751760332547</v>
      </c>
      <c r="DO124" s="32">
        <f t="shared" si="36"/>
        <v>1.4334111417560953</v>
      </c>
      <c r="DP124" s="32">
        <f t="shared" si="37"/>
        <v>0.61480274443726013</v>
      </c>
      <c r="DQ124" s="32">
        <f>IF(DP124="","",DP124*$DO$1/'CPI USA'!$U$520+(1-DP124)*AVERAGE($DO$1,$DQ$1)/AVERAGE('CPI USA'!$U$520,'PPI USA'!$T$526))</f>
        <v>1.0715094815413626</v>
      </c>
      <c r="DR124" s="6">
        <f t="shared" si="38"/>
        <v>36603184</v>
      </c>
      <c r="DS124" s="32">
        <f t="shared" si="39"/>
        <v>0.24306917171443443</v>
      </c>
      <c r="DT124" s="28">
        <f>IF(DS124="","",DS124*$DO$1/'CPI USA'!$U$520+(1-DS124)*AVERAGE($DO$1,$DQ$1)/AVERAGE('CPI USA'!$U$520,'PPI USA'!$T$526))</f>
        <v>1.0840142525677612</v>
      </c>
      <c r="DU124" s="6">
        <f t="shared" si="40"/>
        <v>120347936</v>
      </c>
      <c r="DV124" s="6">
        <f t="shared" si="57"/>
        <v>45328531.936171107</v>
      </c>
      <c r="DW124" s="6">
        <f t="shared" si="41"/>
        <v>41310180.887271859</v>
      </c>
      <c r="DX124" s="16">
        <f t="shared" si="42"/>
        <v>0.73081986373232255</v>
      </c>
      <c r="DY124" s="28">
        <f>IF(DX124="","",DX124*$DO$1/'CPI USA'!$U$520+(1-DX124)*AVERAGE($DO$1,$DQ$1)/AVERAGE('CPI USA'!$U$520,'PPI USA'!$T$526))</f>
        <v>1.0676067737463666</v>
      </c>
      <c r="DZ124" s="30"/>
      <c r="EA124" s="29" t="str">
        <f t="shared" si="43"/>
        <v>C001436</v>
      </c>
      <c r="EB124" s="29">
        <f t="shared" si="44"/>
        <v>9593527141.4358463</v>
      </c>
      <c r="EC124" s="29">
        <f t="shared" si="45"/>
        <v>514666214.02702093</v>
      </c>
      <c r="ED124" s="29">
        <f t="shared" si="46"/>
        <v>122961950.26356341</v>
      </c>
      <c r="EE124" s="29">
        <f t="shared" si="47"/>
        <v>163239019.02284703</v>
      </c>
      <c r="EF124" s="29">
        <f t="shared" si="48"/>
        <v>60347331.987808071</v>
      </c>
      <c r="EG124" s="29">
        <f t="shared" si="49"/>
        <v>7562</v>
      </c>
      <c r="EH124" s="29">
        <f t="shared" si="50"/>
        <v>1344414</v>
      </c>
      <c r="EI124" s="29">
        <f t="shared" si="51"/>
        <v>1965679</v>
      </c>
      <c r="EJ124" s="29">
        <f t="shared" si="52"/>
        <v>30521957</v>
      </c>
      <c r="EK124" s="29">
        <f t="shared" si="53"/>
        <v>32425550.147208121</v>
      </c>
      <c r="EL124" s="29">
        <f>IF(CD124=1,VLOOKUP(EA124,'EIA 2022'!$A$2:$J$213,4,0)*EH124,"")</f>
        <v>112997996.7</v>
      </c>
      <c r="EM124" s="29">
        <f>IF(CD124=1,VLOOKUP(EA124,'EIA 2022'!$A$2:$J$213,7,0)*EH124,"")</f>
        <v>1398190.56</v>
      </c>
      <c r="EN124" s="29">
        <f>IF(CD124=1,VLOOKUP(EA124,'EIA 2022'!$A$2:$J$213,10,0),"")</f>
        <v>1430438</v>
      </c>
      <c r="EO124" s="28">
        <f>IF(CD124=1,VLOOKUP(EA124,'EIA 2022'!$A$2:$Z$213,26,0),"")</f>
        <v>0</v>
      </c>
      <c r="EP124" s="23">
        <f t="shared" si="54"/>
        <v>5.8706579797907402E-2</v>
      </c>
      <c r="EQ124" s="32">
        <f t="shared" si="55"/>
        <v>62085.852791878395</v>
      </c>
      <c r="ER124" s="32">
        <f t="shared" si="56"/>
        <v>1903593.1472081216</v>
      </c>
      <c r="ES124" s="32"/>
      <c r="ET124" s="32"/>
    </row>
    <row r="125" spans="1:150" ht="15.75" customHeight="1">
      <c r="A125" s="7" t="s">
        <v>577</v>
      </c>
      <c r="B125" s="7" t="s">
        <v>578</v>
      </c>
      <c r="C125" s="32" t="s">
        <v>994</v>
      </c>
      <c r="D125" s="42">
        <v>13666468</v>
      </c>
      <c r="E125" s="42">
        <v>9409248</v>
      </c>
      <c r="F125" s="42">
        <v>170523606</v>
      </c>
      <c r="G125" s="42">
        <v>380271187</v>
      </c>
      <c r="H125" s="42">
        <v>383694290</v>
      </c>
      <c r="I125" s="42">
        <v>0</v>
      </c>
      <c r="J125" s="42">
        <v>2555327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f>IFERROR(VLOOKUP(A125,'Trans 21-23'!$A$2:$J$229,8,0),0)</f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42083047</v>
      </c>
      <c r="AE125" s="42">
        <v>0</v>
      </c>
      <c r="AF125" s="42">
        <v>867495700</v>
      </c>
      <c r="AG125" s="42">
        <v>0</v>
      </c>
      <c r="AH125" s="42">
        <v>183713</v>
      </c>
      <c r="AI125" s="42">
        <v>12610905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12427192</v>
      </c>
      <c r="AS125" s="42">
        <v>12427192</v>
      </c>
      <c r="AT125" s="42">
        <v>0</v>
      </c>
      <c r="AU125" s="42">
        <v>3267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2518509769</v>
      </c>
      <c r="BD125" s="42">
        <v>18145391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13180896</v>
      </c>
      <c r="BN125" s="42">
        <v>19848498</v>
      </c>
      <c r="BO125" s="42">
        <v>0</v>
      </c>
      <c r="BP125" s="42">
        <v>0</v>
      </c>
      <c r="BQ125" s="42">
        <v>0</v>
      </c>
      <c r="BR125" s="42">
        <v>0</v>
      </c>
      <c r="BS125" s="42">
        <f>IFERROR(VLOOKUP(A125,'Trans 21-23'!$A$2:$J$229,7,0),0)</f>
        <v>0</v>
      </c>
      <c r="BT125" s="63"/>
      <c r="BU125" s="32">
        <f t="shared" si="0"/>
        <v>0</v>
      </c>
      <c r="BV125" s="32">
        <f t="shared" si="1"/>
        <v>3267</v>
      </c>
      <c r="BW125" s="32">
        <f t="shared" si="2"/>
        <v>0</v>
      </c>
      <c r="BX125" s="32">
        <f t="shared" si="3"/>
        <v>2555327</v>
      </c>
      <c r="BY125" s="32">
        <f t="shared" si="4"/>
        <v>0</v>
      </c>
      <c r="BZ125" s="32">
        <f t="shared" si="5"/>
        <v>0</v>
      </c>
      <c r="CA125" s="32">
        <f t="shared" si="6"/>
        <v>42083047</v>
      </c>
      <c r="CB125" s="32">
        <f t="shared" si="7"/>
        <v>183713</v>
      </c>
      <c r="CC125" s="32">
        <f t="shared" si="8"/>
        <v>0</v>
      </c>
      <c r="CD125" s="41">
        <f t="shared" si="67"/>
        <v>0</v>
      </c>
      <c r="CE125" s="44">
        <f t="shared" si="10"/>
        <v>51</v>
      </c>
      <c r="CF125" s="27"/>
      <c r="CG125" s="28" t="str">
        <f t="shared" si="11"/>
        <v/>
      </c>
      <c r="CH125" s="28" t="str">
        <f t="shared" si="12"/>
        <v/>
      </c>
      <c r="CI125" s="28" t="str">
        <f t="shared" si="13"/>
        <v/>
      </c>
      <c r="CJ125" s="28" t="str">
        <f t="shared" si="14"/>
        <v/>
      </c>
      <c r="CK125" s="23" t="str">
        <f t="shared" si="15"/>
        <v/>
      </c>
      <c r="CL125" s="29" t="str">
        <f t="shared" si="16"/>
        <v/>
      </c>
      <c r="CM125" s="29" t="str">
        <f t="shared" si="17"/>
        <v/>
      </c>
      <c r="CN125" s="29" t="str">
        <f t="shared" si="18"/>
        <v/>
      </c>
      <c r="CO125" s="29" t="str">
        <f t="shared" si="19"/>
        <v/>
      </c>
      <c r="CP125" s="29" t="str">
        <f t="shared" si="20"/>
        <v/>
      </c>
      <c r="CQ125" s="29" t="str">
        <f t="shared" si="21"/>
        <v/>
      </c>
      <c r="CR125" s="30"/>
      <c r="CS125" s="7" t="str">
        <f>VLOOKUP(A125,'Empresas 21-23'!$A$2:$M$228,13,0)</f>
        <v/>
      </c>
      <c r="CT125" s="30"/>
      <c r="CU125" s="6">
        <f t="shared" si="22"/>
        <v>0</v>
      </c>
      <c r="CV125" s="6">
        <f t="shared" si="23"/>
        <v>0</v>
      </c>
      <c r="CW125" s="6">
        <f t="shared" si="24"/>
        <v>18145391</v>
      </c>
      <c r="CX125" s="23">
        <f t="shared" si="65"/>
        <v>0</v>
      </c>
      <c r="CY125" s="23">
        <f t="shared" si="66"/>
        <v>0</v>
      </c>
      <c r="CZ125" s="6">
        <f t="shared" si="27"/>
        <v>0</v>
      </c>
      <c r="DA125" s="6">
        <f t="shared" si="28"/>
        <v>0</v>
      </c>
      <c r="DB125" s="6">
        <f t="shared" si="29"/>
        <v>2555327</v>
      </c>
      <c r="DC125" s="6">
        <f t="shared" si="30"/>
        <v>2555327</v>
      </c>
      <c r="DD125" s="6">
        <f t="shared" si="31"/>
        <v>0</v>
      </c>
      <c r="DE125" s="6">
        <f t="shared" si="32"/>
        <v>42083047</v>
      </c>
      <c r="DF125" s="6">
        <f t="shared" ref="DF125:DF126" si="68">IFERROR(DE125*(DC125+DD125)/(AF125-AD125-F125-H125-E125-D125),0)</f>
        <v>433404.65047730459</v>
      </c>
      <c r="DG125" s="30"/>
      <c r="DH125" s="32" t="str">
        <f>VLOOKUP(A125,'T_med_comp-USA'!$A$7:$Q$233,17,0)</f>
        <v>-</v>
      </c>
      <c r="DI125" s="6" t="str">
        <f t="shared" si="34"/>
        <v/>
      </c>
      <c r="DJ125" s="32" t="str">
        <f>IF(DI125="","",VLOOKUP(DI125,'CPI USA'!$T:$U,2,FALSE))</f>
        <v/>
      </c>
      <c r="DK125" s="32" t="str">
        <f>IF(DI125="","",VLOOKUP(DI125,'PPI USA'!$S:$T,2,FALSE))</f>
        <v/>
      </c>
      <c r="DL125" s="32" t="str">
        <f>IF(DI125="","",VLOOKUP(DI125,'CPI USA'!$T:$V,3,FALSE))</f>
        <v/>
      </c>
      <c r="DM125" s="32" t="str">
        <f>IF(DI125="","",VLOOKUP(DI125,'CPI USA'!$T:$X,5,FALSE))</f>
        <v/>
      </c>
      <c r="DN125" s="32" t="str">
        <f t="shared" si="35"/>
        <v/>
      </c>
      <c r="DO125" s="32" t="str">
        <f t="shared" si="36"/>
        <v/>
      </c>
      <c r="DP125" s="32">
        <f t="shared" si="37"/>
        <v>0.2</v>
      </c>
      <c r="DQ125" s="32">
        <f>IF(DP125="","",DP125*$DO$1/'CPI USA'!$U$520+(1-DP125)*AVERAGE($DO$1,$DQ$1)/AVERAGE('CPI USA'!$U$520,'PPI USA'!$T$526))</f>
        <v>1.0854630593748538</v>
      </c>
      <c r="DR125" s="6">
        <f t="shared" si="38"/>
        <v>0</v>
      </c>
      <c r="DS125" s="32" t="str">
        <f t="shared" si="39"/>
        <v/>
      </c>
      <c r="DT125" s="28" t="str">
        <f>IF(DS125="","",DS125*$DO$1/'CPI USA'!$U$520+(1-DS125)*AVERAGE($DO$1,$DQ$1)/AVERAGE('CPI USA'!$U$520,'PPI USA'!$T$526))</f>
        <v/>
      </c>
      <c r="DU125" s="6">
        <f t="shared" si="40"/>
        <v>13180896</v>
      </c>
      <c r="DV125" s="6" t="str">
        <f t="shared" si="57"/>
        <v/>
      </c>
      <c r="DW125" s="6">
        <f t="shared" si="41"/>
        <v>0</v>
      </c>
      <c r="DX125" s="16" t="str">
        <f t="shared" si="42"/>
        <v/>
      </c>
      <c r="DY125" s="28" t="str">
        <f>IF(DX125="","",DX125*$DO$1/'CPI USA'!$U$520+(1-DX125)*AVERAGE($DO$1,$DQ$1)/AVERAGE('CPI USA'!$U$520,'PPI USA'!$T$526))</f>
        <v/>
      </c>
      <c r="DZ125" s="30"/>
      <c r="EA125" s="29" t="str">
        <f t="shared" si="43"/>
        <v>C001444</v>
      </c>
      <c r="EB125" s="29" t="str">
        <f t="shared" si="44"/>
        <v/>
      </c>
      <c r="EC125" s="29" t="str">
        <f t="shared" si="45"/>
        <v/>
      </c>
      <c r="ED125" s="29" t="str">
        <f t="shared" si="46"/>
        <v/>
      </c>
      <c r="EE125" s="29" t="str">
        <f t="shared" si="47"/>
        <v/>
      </c>
      <c r="EF125" s="29" t="str">
        <f t="shared" si="48"/>
        <v/>
      </c>
      <c r="EG125" s="29" t="str">
        <f t="shared" si="49"/>
        <v/>
      </c>
      <c r="EH125" s="29" t="str">
        <f t="shared" si="50"/>
        <v/>
      </c>
      <c r="EI125" s="29" t="str">
        <f t="shared" si="51"/>
        <v/>
      </c>
      <c r="EJ125" s="29" t="str">
        <f t="shared" si="52"/>
        <v/>
      </c>
      <c r="EK125" s="29" t="str">
        <f t="shared" si="53"/>
        <v/>
      </c>
      <c r="EL125" s="29" t="str">
        <f>IF(CD125=1,VLOOKUP(EA125,'EIA 2022'!$A$2:$J$213,4,0)*EH125,"")</f>
        <v/>
      </c>
      <c r="EM125" s="29" t="str">
        <f>IF(CD125=1,VLOOKUP(EA125,'EIA 2022'!$A$2:$J$213,7,0)*EH125,"")</f>
        <v/>
      </c>
      <c r="EN125" s="29" t="str">
        <f>IF(CD125=1,VLOOKUP(EA125,'EIA 2022'!$A$2:$J$213,10,0),"")</f>
        <v/>
      </c>
      <c r="EO125" s="28" t="str">
        <f>IF(CD125=1,VLOOKUP(EA125,'EIA 2022'!$A$2:$Z$213,26,0),"")</f>
        <v/>
      </c>
      <c r="EP125" s="23" t="str">
        <f t="shared" si="54"/>
        <v/>
      </c>
      <c r="EQ125" s="32" t="str">
        <f t="shared" si="55"/>
        <v/>
      </c>
      <c r="ER125" s="32" t="str">
        <f t="shared" si="56"/>
        <v/>
      </c>
      <c r="ES125" s="32"/>
      <c r="ET125" s="32"/>
    </row>
    <row r="126" spans="1:150" ht="15.75" customHeight="1">
      <c r="A126" s="7" t="s">
        <v>580</v>
      </c>
      <c r="B126" s="7" t="s">
        <v>581</v>
      </c>
      <c r="C126" s="32" t="s">
        <v>995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0</v>
      </c>
      <c r="V126" s="42">
        <v>0</v>
      </c>
      <c r="W126" s="42">
        <v>0</v>
      </c>
      <c r="X126" s="42">
        <f>IFERROR(VLOOKUP(A126,'Trans 21-23'!$A$2:$J$229,8,0),0)</f>
        <v>0</v>
      </c>
      <c r="Y126" s="42">
        <v>0</v>
      </c>
      <c r="Z126" s="42">
        <v>0</v>
      </c>
      <c r="AA126" s="42">
        <v>0</v>
      </c>
      <c r="AB126" s="42">
        <v>0</v>
      </c>
      <c r="AC126" s="42">
        <v>0</v>
      </c>
      <c r="AD126" s="42">
        <v>183743</v>
      </c>
      <c r="AE126" s="42">
        <v>0</v>
      </c>
      <c r="AF126" s="42">
        <v>183743</v>
      </c>
      <c r="AG126" s="42">
        <v>0</v>
      </c>
      <c r="AH126" s="42">
        <v>0</v>
      </c>
      <c r="AI126" s="42">
        <v>0</v>
      </c>
      <c r="AJ126" s="42">
        <v>0</v>
      </c>
      <c r="AK126" s="42">
        <v>0</v>
      </c>
      <c r="AL126" s="42">
        <v>0</v>
      </c>
      <c r="AM126" s="42">
        <v>0</v>
      </c>
      <c r="AN126" s="42">
        <v>0</v>
      </c>
      <c r="AO126" s="42">
        <v>0</v>
      </c>
      <c r="AP126" s="42">
        <v>0</v>
      </c>
      <c r="AQ126" s="42">
        <v>0</v>
      </c>
      <c r="AR126" s="42">
        <v>0</v>
      </c>
      <c r="AS126" s="42">
        <v>0</v>
      </c>
      <c r="AT126" s="42">
        <v>0</v>
      </c>
      <c r="AU126" s="42">
        <v>0</v>
      </c>
      <c r="AV126" s="42">
        <v>0</v>
      </c>
      <c r="AW126" s="42">
        <v>0</v>
      </c>
      <c r="AX126" s="42">
        <v>0</v>
      </c>
      <c r="AY126" s="42">
        <v>0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2">
        <v>0</v>
      </c>
      <c r="BL126" s="42">
        <v>0</v>
      </c>
      <c r="BM126" s="42">
        <v>0</v>
      </c>
      <c r="BN126" s="42">
        <v>0</v>
      </c>
      <c r="BO126" s="42">
        <v>0</v>
      </c>
      <c r="BP126" s="42">
        <v>0</v>
      </c>
      <c r="BQ126" s="42">
        <v>0</v>
      </c>
      <c r="BR126" s="42">
        <v>0</v>
      </c>
      <c r="BS126" s="42">
        <f>IFERROR(VLOOKUP(A126,'Trans 21-23'!$A$2:$J$229,7,0),0)</f>
        <v>0</v>
      </c>
      <c r="BT126" s="63"/>
      <c r="BU126" s="32">
        <f t="shared" si="0"/>
        <v>0</v>
      </c>
      <c r="BV126" s="32">
        <f t="shared" si="1"/>
        <v>0</v>
      </c>
      <c r="BW126" s="32">
        <f t="shared" si="2"/>
        <v>0</v>
      </c>
      <c r="BX126" s="32">
        <f t="shared" si="3"/>
        <v>0</v>
      </c>
      <c r="BY126" s="32">
        <f t="shared" si="4"/>
        <v>0</v>
      </c>
      <c r="BZ126" s="32">
        <f t="shared" si="5"/>
        <v>0</v>
      </c>
      <c r="CA126" s="32">
        <f t="shared" si="6"/>
        <v>183743</v>
      </c>
      <c r="CB126" s="32">
        <f t="shared" si="7"/>
        <v>0</v>
      </c>
      <c r="CC126" s="32">
        <f t="shared" si="8"/>
        <v>0</v>
      </c>
      <c r="CD126" s="41">
        <f t="shared" si="67"/>
        <v>0</v>
      </c>
      <c r="CE126" s="44">
        <f t="shared" si="10"/>
        <v>66</v>
      </c>
      <c r="CF126" s="27"/>
      <c r="CG126" s="28" t="str">
        <f t="shared" si="11"/>
        <v/>
      </c>
      <c r="CH126" s="28" t="str">
        <f t="shared" si="12"/>
        <v/>
      </c>
      <c r="CI126" s="28" t="str">
        <f t="shared" si="13"/>
        <v/>
      </c>
      <c r="CJ126" s="28" t="str">
        <f t="shared" si="14"/>
        <v/>
      </c>
      <c r="CK126" s="23" t="str">
        <f t="shared" si="15"/>
        <v/>
      </c>
      <c r="CL126" s="29" t="str">
        <f t="shared" si="16"/>
        <v/>
      </c>
      <c r="CM126" s="29" t="str">
        <f t="shared" si="17"/>
        <v/>
      </c>
      <c r="CN126" s="29" t="str">
        <f t="shared" si="18"/>
        <v/>
      </c>
      <c r="CO126" s="29" t="str">
        <f t="shared" si="19"/>
        <v/>
      </c>
      <c r="CP126" s="29" t="str">
        <f t="shared" si="20"/>
        <v/>
      </c>
      <c r="CQ126" s="29" t="str">
        <f t="shared" si="21"/>
        <v/>
      </c>
      <c r="CR126" s="30"/>
      <c r="CS126" s="7" t="str">
        <f>VLOOKUP(A126,'Empresas 21-23'!$A$2:$M$228,13,0)</f>
        <v/>
      </c>
      <c r="CT126" s="30"/>
      <c r="CU126" s="6">
        <f t="shared" si="22"/>
        <v>0</v>
      </c>
      <c r="CV126" s="6">
        <f t="shared" si="23"/>
        <v>0</v>
      </c>
      <c r="CW126" s="6">
        <f t="shared" si="24"/>
        <v>0</v>
      </c>
      <c r="CX126" s="23">
        <f>IFERROR(CU126/(BC126-BD126),0)</f>
        <v>0</v>
      </c>
      <c r="CY126" s="23">
        <f>IFERROR(CV126/(BC126-BD126),0)</f>
        <v>0</v>
      </c>
      <c r="CZ126" s="6">
        <f t="shared" si="27"/>
        <v>0</v>
      </c>
      <c r="DA126" s="6">
        <f t="shared" si="28"/>
        <v>0</v>
      </c>
      <c r="DB126" s="6">
        <f t="shared" si="29"/>
        <v>0</v>
      </c>
      <c r="DC126" s="6">
        <f t="shared" si="30"/>
        <v>0</v>
      </c>
      <c r="DD126" s="6">
        <f t="shared" si="31"/>
        <v>0</v>
      </c>
      <c r="DE126" s="6">
        <f t="shared" si="32"/>
        <v>183743</v>
      </c>
      <c r="DF126" s="6">
        <f t="shared" si="68"/>
        <v>0</v>
      </c>
      <c r="DG126" s="30"/>
      <c r="DH126" s="32" t="str">
        <f>VLOOKUP(A126,'T_med_comp-USA'!$A$7:$Q$233,17,0)</f>
        <v>-</v>
      </c>
      <c r="DI126" s="6" t="str">
        <f t="shared" si="34"/>
        <v/>
      </c>
      <c r="DJ126" s="32" t="str">
        <f>IF(DI126="","",VLOOKUP(DI126,'CPI USA'!$T:$U,2,FALSE))</f>
        <v/>
      </c>
      <c r="DK126" s="32" t="str">
        <f>IF(DI126="","",VLOOKUP(DI126,'PPI USA'!$S:$T,2,FALSE))</f>
        <v/>
      </c>
      <c r="DL126" s="32" t="str">
        <f>IF(DI126="","",VLOOKUP(DI126,'CPI USA'!$T:$V,3,FALSE))</f>
        <v/>
      </c>
      <c r="DM126" s="32" t="str">
        <f>IF(DI126="","",VLOOKUP(DI126,'CPI USA'!$T:$X,5,FALSE))</f>
        <v/>
      </c>
      <c r="DN126" s="32" t="str">
        <f t="shared" si="35"/>
        <v/>
      </c>
      <c r="DO126" s="32" t="str">
        <f t="shared" si="36"/>
        <v/>
      </c>
      <c r="DP126" s="32" t="str">
        <f t="shared" si="37"/>
        <v/>
      </c>
      <c r="DQ126" s="32" t="str">
        <f>IF(DP126="","",DP126*$DO$1/'CPI USA'!$U$520+(1-DP126)*AVERAGE($DO$1,$DQ$1)/AVERAGE('CPI USA'!$U$520,'PPI USA'!$T$526))</f>
        <v/>
      </c>
      <c r="DR126" s="6">
        <f t="shared" si="38"/>
        <v>0</v>
      </c>
      <c r="DS126" s="32" t="str">
        <f t="shared" si="39"/>
        <v/>
      </c>
      <c r="DT126" s="28" t="str">
        <f>IF(DS126="","",DS126*$DO$1/'CPI USA'!$U$520+(1-DS126)*AVERAGE($DO$1,$DQ$1)/AVERAGE('CPI USA'!$U$520,'PPI USA'!$T$526))</f>
        <v/>
      </c>
      <c r="DU126" s="6" t="str">
        <f t="shared" si="40"/>
        <v/>
      </c>
      <c r="DV126" s="6" t="str">
        <f t="shared" si="57"/>
        <v/>
      </c>
      <c r="DW126" s="6">
        <f t="shared" si="41"/>
        <v>0</v>
      </c>
      <c r="DX126" s="16" t="str">
        <f t="shared" si="42"/>
        <v/>
      </c>
      <c r="DY126" s="28" t="str">
        <f>IF(DX126="","",DX126*$DO$1/'CPI USA'!$U$520+(1-DX126)*AVERAGE($DO$1,$DQ$1)/AVERAGE('CPI USA'!$U$520,'PPI USA'!$T$526))</f>
        <v/>
      </c>
      <c r="DZ126" s="30"/>
      <c r="EA126" s="29" t="str">
        <f t="shared" si="43"/>
        <v>C001446</v>
      </c>
      <c r="EB126" s="29" t="str">
        <f t="shared" si="44"/>
        <v/>
      </c>
      <c r="EC126" s="29" t="str">
        <f t="shared" si="45"/>
        <v/>
      </c>
      <c r="ED126" s="29" t="str">
        <f t="shared" si="46"/>
        <v/>
      </c>
      <c r="EE126" s="29" t="str">
        <f t="shared" si="47"/>
        <v/>
      </c>
      <c r="EF126" s="29" t="str">
        <f t="shared" si="48"/>
        <v/>
      </c>
      <c r="EG126" s="29" t="str">
        <f t="shared" si="49"/>
        <v/>
      </c>
      <c r="EH126" s="29" t="str">
        <f t="shared" si="50"/>
        <v/>
      </c>
      <c r="EI126" s="29" t="str">
        <f t="shared" si="51"/>
        <v/>
      </c>
      <c r="EJ126" s="29" t="str">
        <f t="shared" si="52"/>
        <v/>
      </c>
      <c r="EK126" s="29" t="str">
        <f t="shared" si="53"/>
        <v/>
      </c>
      <c r="EL126" s="29" t="str">
        <f>IF(CD126=1,VLOOKUP(EA126,'EIA 2022'!$A$2:$J$213,4,0)*EH126,"")</f>
        <v/>
      </c>
      <c r="EM126" s="29" t="str">
        <f>IF(CD126=1,VLOOKUP(EA126,'EIA 2022'!$A$2:$J$213,7,0)*EH126,"")</f>
        <v/>
      </c>
      <c r="EN126" s="29" t="str">
        <f>IF(CD126=1,VLOOKUP(EA126,'EIA 2022'!$A$2:$J$213,10,0),"")</f>
        <v/>
      </c>
      <c r="EO126" s="28" t="str">
        <f>IF(CD126=1,VLOOKUP(EA126,'EIA 2022'!$A$2:$Z$213,26,0),"")</f>
        <v/>
      </c>
      <c r="EP126" s="23" t="str">
        <f t="shared" si="54"/>
        <v/>
      </c>
      <c r="EQ126" s="32" t="str">
        <f t="shared" si="55"/>
        <v/>
      </c>
      <c r="ER126" s="32" t="str">
        <f t="shared" si="56"/>
        <v/>
      </c>
      <c r="ES126" s="32"/>
      <c r="ET126" s="32"/>
    </row>
    <row r="127" spans="1:150" ht="15.75" customHeight="1">
      <c r="A127" s="7" t="s">
        <v>583</v>
      </c>
      <c r="B127" s="7" t="s">
        <v>584</v>
      </c>
      <c r="C127" s="32" t="s">
        <v>996</v>
      </c>
      <c r="D127" s="42">
        <v>11183603</v>
      </c>
      <c r="E127" s="42">
        <v>0</v>
      </c>
      <c r="F127" s="42">
        <v>6400824</v>
      </c>
      <c r="G127" s="42">
        <v>74747593</v>
      </c>
      <c r="H127" s="42">
        <v>75350034</v>
      </c>
      <c r="I127" s="42">
        <v>351924</v>
      </c>
      <c r="J127" s="42">
        <v>176232</v>
      </c>
      <c r="K127" s="42">
        <v>338571</v>
      </c>
      <c r="L127" s="42">
        <v>205671</v>
      </c>
      <c r="M127" s="42">
        <v>250957</v>
      </c>
      <c r="N127" s="42">
        <v>146042</v>
      </c>
      <c r="O127" s="42">
        <v>658169</v>
      </c>
      <c r="P127" s="42">
        <v>49633</v>
      </c>
      <c r="Q127" s="42">
        <v>4336</v>
      </c>
      <c r="R127" s="42">
        <v>0</v>
      </c>
      <c r="S127" s="42">
        <v>57118</v>
      </c>
      <c r="T127" s="42">
        <v>964888</v>
      </c>
      <c r="U127" s="42">
        <v>149389</v>
      </c>
      <c r="V127" s="42">
        <v>666</v>
      </c>
      <c r="W127" s="42">
        <v>31933</v>
      </c>
      <c r="X127" s="42">
        <f>IFERROR(VLOOKUP(A127,'Trans 21-23'!$A$2:$J$229,8,0),0)</f>
        <v>252668</v>
      </c>
      <c r="Y127" s="42">
        <v>244886</v>
      </c>
      <c r="Z127" s="42">
        <v>134418</v>
      </c>
      <c r="AA127" s="42">
        <v>1308923</v>
      </c>
      <c r="AB127" s="42">
        <v>88873</v>
      </c>
      <c r="AC127" s="42">
        <v>3597</v>
      </c>
      <c r="AD127" s="42">
        <v>16571858</v>
      </c>
      <c r="AE127" s="42">
        <v>0</v>
      </c>
      <c r="AF127" s="42">
        <v>148934555</v>
      </c>
      <c r="AG127" s="42">
        <v>44416</v>
      </c>
      <c r="AH127" s="42">
        <v>95461</v>
      </c>
      <c r="AI127" s="42">
        <v>2167037</v>
      </c>
      <c r="AJ127" s="42">
        <v>0</v>
      </c>
      <c r="AK127" s="42">
        <v>0</v>
      </c>
      <c r="AL127" s="42">
        <v>284204</v>
      </c>
      <c r="AM127" s="42">
        <v>555439</v>
      </c>
      <c r="AN127" s="42">
        <v>1055298</v>
      </c>
      <c r="AO127" s="42">
        <v>3859</v>
      </c>
      <c r="AP127" s="42">
        <v>4945</v>
      </c>
      <c r="AQ127" s="42">
        <v>1903745</v>
      </c>
      <c r="AR127" s="42">
        <v>167831</v>
      </c>
      <c r="AS127" s="42">
        <v>2071576</v>
      </c>
      <c r="AT127" s="42">
        <v>0</v>
      </c>
      <c r="AU127" s="42">
        <v>294</v>
      </c>
      <c r="AV127" s="42">
        <v>0</v>
      </c>
      <c r="AW127" s="42">
        <v>26464560</v>
      </c>
      <c r="AX127" s="42">
        <v>14617482</v>
      </c>
      <c r="AY127" s="42">
        <v>57887887</v>
      </c>
      <c r="AZ127" s="42">
        <v>8015256</v>
      </c>
      <c r="BA127" s="42">
        <v>8607424</v>
      </c>
      <c r="BB127" s="42">
        <v>264589917</v>
      </c>
      <c r="BC127" s="42">
        <v>752243373</v>
      </c>
      <c r="BD127" s="42">
        <v>25143172</v>
      </c>
      <c r="BE127" s="42">
        <v>70555578</v>
      </c>
      <c r="BF127" s="42">
        <v>7377608</v>
      </c>
      <c r="BG127" s="42">
        <v>0</v>
      </c>
      <c r="BH127" s="42">
        <v>1820077</v>
      </c>
      <c r="BI127" s="42">
        <v>406871</v>
      </c>
      <c r="BJ127" s="42">
        <v>68444</v>
      </c>
      <c r="BK127" s="42">
        <v>0</v>
      </c>
      <c r="BL127" s="42">
        <v>0</v>
      </c>
      <c r="BM127" s="42">
        <v>6390183</v>
      </c>
      <c r="BN127" s="42">
        <v>12354481</v>
      </c>
      <c r="BO127" s="42">
        <v>0</v>
      </c>
      <c r="BP127" s="42">
        <v>1186658</v>
      </c>
      <c r="BQ127" s="42">
        <v>16403133</v>
      </c>
      <c r="BR127" s="42">
        <v>0</v>
      </c>
      <c r="BS127" s="42">
        <f>IFERROR(VLOOKUP(A127,'Trans 21-23'!$A$2:$J$229,7,0),0)</f>
        <v>22882563</v>
      </c>
      <c r="BT127" s="63"/>
      <c r="BU127" s="32">
        <f t="shared" si="0"/>
        <v>264589917</v>
      </c>
      <c r="BV127" s="32">
        <f t="shared" si="1"/>
        <v>294</v>
      </c>
      <c r="BW127" s="32">
        <f t="shared" si="2"/>
        <v>44416</v>
      </c>
      <c r="BX127" s="32">
        <f t="shared" si="3"/>
        <v>3385529</v>
      </c>
      <c r="BY127" s="32">
        <f t="shared" si="4"/>
        <v>1780697</v>
      </c>
      <c r="BZ127" s="32">
        <f t="shared" si="5"/>
        <v>8015256</v>
      </c>
      <c r="CA127" s="32">
        <f t="shared" si="6"/>
        <v>16571858</v>
      </c>
      <c r="CB127" s="32">
        <f t="shared" si="7"/>
        <v>95461</v>
      </c>
      <c r="CC127" s="32">
        <f t="shared" si="8"/>
        <v>1903745</v>
      </c>
      <c r="CD127" s="41">
        <f t="shared" si="67"/>
        <v>1</v>
      </c>
      <c r="CE127" s="44">
        <f t="shared" si="10"/>
        <v>12</v>
      </c>
      <c r="CF127" s="27"/>
      <c r="CG127" s="28">
        <f t="shared" si="11"/>
        <v>899.96570408163268</v>
      </c>
      <c r="CH127" s="28">
        <f t="shared" si="12"/>
        <v>6.6192363112391934</v>
      </c>
      <c r="CI127" s="28">
        <f t="shared" si="13"/>
        <v>76.223185338616716</v>
      </c>
      <c r="CJ127" s="28">
        <f t="shared" si="14"/>
        <v>180.45875360230548</v>
      </c>
      <c r="CK127" s="23">
        <f t="shared" si="15"/>
        <v>5.0143795518832614E-2</v>
      </c>
      <c r="CL127" s="29" t="str">
        <f t="shared" si="16"/>
        <v/>
      </c>
      <c r="CM127" s="29" t="str">
        <f t="shared" si="17"/>
        <v/>
      </c>
      <c r="CN127" s="29" t="str">
        <f t="shared" si="18"/>
        <v/>
      </c>
      <c r="CO127" s="29" t="str">
        <f t="shared" si="19"/>
        <v/>
      </c>
      <c r="CP127" s="29" t="str">
        <f t="shared" si="20"/>
        <v/>
      </c>
      <c r="CQ127" s="29">
        <f t="shared" si="21"/>
        <v>0</v>
      </c>
      <c r="CR127" s="30"/>
      <c r="CS127" s="7">
        <f>VLOOKUP(A127,'Empresas 21-23'!$A$2:$M$228,13,0)</f>
        <v>1</v>
      </c>
      <c r="CT127" s="30"/>
      <c r="CU127" s="6">
        <f t="shared" si="22"/>
        <v>227346578.59999999</v>
      </c>
      <c r="CV127" s="6">
        <f t="shared" si="23"/>
        <v>8015256</v>
      </c>
      <c r="CW127" s="6">
        <f t="shared" si="24"/>
        <v>25143172</v>
      </c>
      <c r="CX127" s="23">
        <f t="shared" ref="CX127:CX143" si="69">CU127/(BC127-BD127)</f>
        <v>0.31267571964266311</v>
      </c>
      <c r="CY127" s="23">
        <f t="shared" ref="CY127:CY143" si="70">CV127/(BC127-BD127)</f>
        <v>1.1023592056468157E-2</v>
      </c>
      <c r="CZ127" s="6">
        <f t="shared" si="27"/>
        <v>235208237.99919924</v>
      </c>
      <c r="DA127" s="6">
        <f t="shared" si="28"/>
        <v>8292424.0711336127</v>
      </c>
      <c r="DB127" s="6">
        <f t="shared" si="29"/>
        <v>3385529</v>
      </c>
      <c r="DC127" s="6">
        <f t="shared" si="30"/>
        <v>3638197</v>
      </c>
      <c r="DD127" s="6">
        <f t="shared" si="31"/>
        <v>1780697</v>
      </c>
      <c r="DE127" s="6">
        <f t="shared" si="32"/>
        <v>16571858</v>
      </c>
      <c r="DF127" s="6">
        <f t="shared" ref="DF127:DF143" si="71">DE127*(DC127+DD127)/(AF127-AD127-F127-H127-E127-D127)</f>
        <v>2277584.5687098959</v>
      </c>
      <c r="DG127" s="30"/>
      <c r="DH127" s="32">
        <f>VLOOKUP(A127,'T_med_comp-USA'!$A$7:$Q$233,17,0)</f>
        <v>9.9078877496339306</v>
      </c>
      <c r="DI127" s="6" t="str">
        <f t="shared" si="34"/>
        <v>2_2013</v>
      </c>
      <c r="DJ127" s="32">
        <f>IF(DI127="","",VLOOKUP(DI127,'CPI USA'!$T:$U,2,FALSE))</f>
        <v>232.166</v>
      </c>
      <c r="DK127" s="32">
        <f>IF(DI127="","",VLOOKUP(DI127,'PPI USA'!$S:$T,2,FALSE))</f>
        <v>166.3</v>
      </c>
      <c r="DL127" s="32">
        <f>IF(DI127="","",VLOOKUP(DI127,'CPI USA'!$T:$V,3,FALSE))</f>
        <v>0.67305131835944076</v>
      </c>
      <c r="DM127" s="32">
        <f>IF(DI127="","",VLOOKUP(DI127,'CPI USA'!$T:$X,5,FALSE))</f>
        <v>0.50163050295255052</v>
      </c>
      <c r="DN127" s="32">
        <f t="shared" si="35"/>
        <v>1.3865384530154934</v>
      </c>
      <c r="DO127" s="32">
        <f t="shared" si="36"/>
        <v>1.4039999731910067</v>
      </c>
      <c r="DP127" s="32">
        <f t="shared" si="37"/>
        <v>0.53760490605751721</v>
      </c>
      <c r="DQ127" s="32">
        <f>IF(DP127="","",DP127*$DO$1/'CPI USA'!$U$520+(1-DP127)*AVERAGE($DO$1,$DQ$1)/AVERAGE('CPI USA'!$U$520,'PPI USA'!$T$526))</f>
        <v>1.0741063448959443</v>
      </c>
      <c r="DR127" s="6">
        <f t="shared" si="38"/>
        <v>475315</v>
      </c>
      <c r="DS127" s="32">
        <f t="shared" si="39"/>
        <v>0.26692637770490996</v>
      </c>
      <c r="DT127" s="28">
        <f>IF(DS127="","",DS127*$DO$1/'CPI USA'!$U$520+(1-DS127)*AVERAGE($DO$1,$DQ$1)/AVERAGE('CPI USA'!$U$520,'PPI USA'!$T$526))</f>
        <v>1.0832117183870162</v>
      </c>
      <c r="DU127" s="6">
        <f t="shared" si="40"/>
        <v>6390183</v>
      </c>
      <c r="DV127" s="6">
        <f t="shared" si="57"/>
        <v>498338.92398955743</v>
      </c>
      <c r="DW127" s="6">
        <f t="shared" si="41"/>
        <v>1279848.0256799324</v>
      </c>
      <c r="DX127" s="16">
        <f t="shared" si="42"/>
        <v>0.56193216412810676</v>
      </c>
      <c r="DY127" s="28">
        <f>IF(DX127="","",DX127*$DO$1/'CPI USA'!$U$520+(1-DX127)*AVERAGE($DO$1,$DQ$1)/AVERAGE('CPI USA'!$U$520,'PPI USA'!$T$526))</f>
        <v>1.0732879986011918</v>
      </c>
      <c r="DZ127" s="30"/>
      <c r="EA127" s="29" t="str">
        <f t="shared" si="43"/>
        <v>C001454</v>
      </c>
      <c r="EB127" s="29">
        <f t="shared" si="44"/>
        <v>326125266.45190972</v>
      </c>
      <c r="EC127" s="29">
        <f t="shared" si="45"/>
        <v>11642563.173560051</v>
      </c>
      <c r="ED127" s="29">
        <f t="shared" si="46"/>
        <v>3907810.4816813897</v>
      </c>
      <c r="EE127" s="29">
        <f t="shared" si="47"/>
        <v>1928871.8572966047</v>
      </c>
      <c r="EF127" s="29">
        <f t="shared" si="48"/>
        <v>2444504.1833956027</v>
      </c>
      <c r="EG127" s="29">
        <f t="shared" si="49"/>
        <v>294</v>
      </c>
      <c r="EH127" s="29">
        <f t="shared" si="50"/>
        <v>44416</v>
      </c>
      <c r="EI127" s="29">
        <f t="shared" si="51"/>
        <v>95461</v>
      </c>
      <c r="EJ127" s="29">
        <f t="shared" si="52"/>
        <v>1903745</v>
      </c>
      <c r="EK127" s="29">
        <f t="shared" si="53"/>
        <v>1996650.197969543</v>
      </c>
      <c r="EL127" s="29">
        <f>IF(CD127=1,VLOOKUP(EA127,'EIA 2022'!$A$2:$J$213,4,0)*EH127,"")</f>
        <v>1866093.824</v>
      </c>
      <c r="EM127" s="29">
        <f>IF(CD127=1,VLOOKUP(EA127,'EIA 2022'!$A$2:$J$213,7,0)*EH127,"")</f>
        <v>46770.047999999995</v>
      </c>
      <c r="EN127" s="29">
        <f>IF(CD127=1,VLOOKUP(EA127,'EIA 2022'!$A$2:$J$213,10,0),"")</f>
        <v>44415</v>
      </c>
      <c r="EO127" s="28">
        <f>IF(CD127=1,VLOOKUP(EA127,'EIA 2022'!$A$2:$Z$213,26,0),"")</f>
        <v>0</v>
      </c>
      <c r="EP127" s="23">
        <f t="shared" si="54"/>
        <v>4.653053302176885E-2</v>
      </c>
      <c r="EQ127" s="32">
        <f t="shared" si="55"/>
        <v>2555.8020304568636</v>
      </c>
      <c r="ER127" s="32">
        <f t="shared" si="56"/>
        <v>92905.197969543136</v>
      </c>
      <c r="ES127" s="32"/>
      <c r="ET127" s="32"/>
    </row>
    <row r="128" spans="1:150" ht="15.75" customHeight="1">
      <c r="A128" s="7" t="s">
        <v>586</v>
      </c>
      <c r="B128" s="7" t="s">
        <v>587</v>
      </c>
      <c r="C128" s="32" t="s">
        <v>997</v>
      </c>
      <c r="D128" s="42">
        <v>0</v>
      </c>
      <c r="E128" s="42">
        <v>0</v>
      </c>
      <c r="F128" s="42">
        <v>0</v>
      </c>
      <c r="G128" s="42">
        <v>840057814</v>
      </c>
      <c r="H128" s="42">
        <v>877700872</v>
      </c>
      <c r="I128" s="42">
        <v>2967829</v>
      </c>
      <c r="J128" s="42">
        <v>57889</v>
      </c>
      <c r="K128" s="42">
        <v>3061158</v>
      </c>
      <c r="L128" s="42">
        <v>2897565</v>
      </c>
      <c r="M128" s="42">
        <v>39109978</v>
      </c>
      <c r="N128" s="42">
        <v>8107970</v>
      </c>
      <c r="O128" s="42">
        <v>35911908</v>
      </c>
      <c r="P128" s="42">
        <v>4221568</v>
      </c>
      <c r="Q128" s="42">
        <v>208813</v>
      </c>
      <c r="R128" s="42">
        <v>1202120</v>
      </c>
      <c r="S128" s="42">
        <v>14493160</v>
      </c>
      <c r="T128" s="42">
        <v>48466254</v>
      </c>
      <c r="U128" s="42">
        <v>24338399</v>
      </c>
      <c r="V128" s="42">
        <v>2320723</v>
      </c>
      <c r="W128" s="42">
        <v>3068278</v>
      </c>
      <c r="X128" s="42">
        <f>IFERROR(VLOOKUP(A128,'Trans 21-23'!$A$2:$J$229,8,0),0)</f>
        <v>172445</v>
      </c>
      <c r="Y128" s="42">
        <v>5188117</v>
      </c>
      <c r="Z128" s="42">
        <v>774274</v>
      </c>
      <c r="AA128" s="42">
        <v>113491361</v>
      </c>
      <c r="AB128" s="42">
        <v>15441830</v>
      </c>
      <c r="AC128" s="42">
        <v>0</v>
      </c>
      <c r="AD128" s="42">
        <v>165903458</v>
      </c>
      <c r="AE128" s="42">
        <v>0</v>
      </c>
      <c r="AF128" s="42">
        <v>1405128200</v>
      </c>
      <c r="AG128" s="42">
        <v>927425</v>
      </c>
      <c r="AH128" s="42">
        <v>1036111</v>
      </c>
      <c r="AI128" s="42">
        <v>24748658</v>
      </c>
      <c r="AJ128" s="42">
        <v>5817</v>
      </c>
      <c r="AK128" s="42">
        <v>0</v>
      </c>
      <c r="AL128" s="42">
        <v>8162448</v>
      </c>
      <c r="AM128" s="42">
        <v>14442008</v>
      </c>
      <c r="AN128" s="42">
        <v>467682</v>
      </c>
      <c r="AO128" s="42">
        <v>137355</v>
      </c>
      <c r="AP128" s="42">
        <v>0</v>
      </c>
      <c r="AQ128" s="42">
        <v>23689458</v>
      </c>
      <c r="AR128" s="42">
        <v>17272</v>
      </c>
      <c r="AS128" s="42">
        <v>23706730</v>
      </c>
      <c r="AT128" s="42">
        <v>479965</v>
      </c>
      <c r="AU128" s="42">
        <v>5051</v>
      </c>
      <c r="AV128" s="42">
        <v>0</v>
      </c>
      <c r="AW128" s="42">
        <v>879872583</v>
      </c>
      <c r="AX128" s="42">
        <v>1442549705</v>
      </c>
      <c r="AY128" s="42">
        <v>1974798779</v>
      </c>
      <c r="AZ128" s="42">
        <v>175521301</v>
      </c>
      <c r="BA128" s="42">
        <v>71813560</v>
      </c>
      <c r="BB128" s="42">
        <v>8678771729</v>
      </c>
      <c r="BC128" s="42">
        <v>11276039313</v>
      </c>
      <c r="BD128" s="42">
        <v>472576718</v>
      </c>
      <c r="BE128" s="42">
        <v>2929622297</v>
      </c>
      <c r="BF128" s="42">
        <v>211213663</v>
      </c>
      <c r="BG128" s="42">
        <v>0</v>
      </c>
      <c r="BH128" s="42">
        <v>43213853</v>
      </c>
      <c r="BI128" s="42">
        <v>13808678</v>
      </c>
      <c r="BJ128" s="42">
        <v>2155968</v>
      </c>
      <c r="BK128" s="42">
        <v>0</v>
      </c>
      <c r="BL128" s="42">
        <v>0</v>
      </c>
      <c r="BM128" s="42">
        <v>5863746</v>
      </c>
      <c r="BN128" s="42">
        <v>71844103</v>
      </c>
      <c r="BO128" s="42">
        <v>1974732</v>
      </c>
      <c r="BP128" s="42">
        <v>1980175</v>
      </c>
      <c r="BQ128" s="42">
        <v>148939743</v>
      </c>
      <c r="BR128" s="42">
        <v>0</v>
      </c>
      <c r="BS128" s="42">
        <f>IFERROR(VLOOKUP(A128,'Trans 21-23'!$A$2:$J$229,7,0),0)</f>
        <v>15617261</v>
      </c>
      <c r="BT128" s="63"/>
      <c r="BU128" s="32">
        <f t="shared" si="0"/>
        <v>8678771729</v>
      </c>
      <c r="BV128" s="32">
        <f t="shared" si="1"/>
        <v>5051</v>
      </c>
      <c r="BW128" s="32">
        <f t="shared" si="2"/>
        <v>927425</v>
      </c>
      <c r="BX128" s="32">
        <f t="shared" si="3"/>
        <v>190433612</v>
      </c>
      <c r="BY128" s="32">
        <f t="shared" si="4"/>
        <v>134895582</v>
      </c>
      <c r="BZ128" s="32">
        <f t="shared" si="5"/>
        <v>175521301</v>
      </c>
      <c r="CA128" s="32">
        <f t="shared" si="6"/>
        <v>165903458</v>
      </c>
      <c r="CB128" s="32">
        <f t="shared" si="7"/>
        <v>1036111</v>
      </c>
      <c r="CC128" s="32">
        <f t="shared" si="8"/>
        <v>23689458</v>
      </c>
      <c r="CD128" s="41">
        <f t="shared" si="67"/>
        <v>1</v>
      </c>
      <c r="CE128" s="44">
        <f t="shared" si="10"/>
        <v>12</v>
      </c>
      <c r="CF128" s="27"/>
      <c r="CG128" s="28">
        <f t="shared" si="11"/>
        <v>1718.2284159572362</v>
      </c>
      <c r="CH128" s="28">
        <f t="shared" si="12"/>
        <v>5.4462625010108638</v>
      </c>
      <c r="CI128" s="28">
        <f t="shared" si="13"/>
        <v>205.33586219909967</v>
      </c>
      <c r="CJ128" s="28">
        <f t="shared" si="14"/>
        <v>189.25659864679085</v>
      </c>
      <c r="CK128" s="23">
        <f t="shared" si="15"/>
        <v>4.3737218470764505E-2</v>
      </c>
      <c r="CL128" s="29" t="str">
        <f t="shared" si="16"/>
        <v/>
      </c>
      <c r="CM128" s="29" t="str">
        <f t="shared" si="17"/>
        <v/>
      </c>
      <c r="CN128" s="29" t="str">
        <f t="shared" si="18"/>
        <v/>
      </c>
      <c r="CO128" s="29" t="str">
        <f t="shared" si="19"/>
        <v/>
      </c>
      <c r="CP128" s="29" t="str">
        <f t="shared" si="20"/>
        <v/>
      </c>
      <c r="CQ128" s="29">
        <f t="shared" si="21"/>
        <v>0</v>
      </c>
      <c r="CR128" s="30"/>
      <c r="CS128" s="7">
        <f>VLOOKUP(A128,'Empresas 21-23'!$A$2:$M$228,13,0)</f>
        <v>1</v>
      </c>
      <c r="CT128" s="30"/>
      <c r="CU128" s="6">
        <f t="shared" si="22"/>
        <v>6396645038.6000004</v>
      </c>
      <c r="CV128" s="6">
        <f t="shared" si="23"/>
        <v>175521301</v>
      </c>
      <c r="CW128" s="6">
        <f t="shared" si="24"/>
        <v>472576718</v>
      </c>
      <c r="CX128" s="23">
        <f t="shared" si="69"/>
        <v>0.59209211698112985</v>
      </c>
      <c r="CY128" s="23">
        <f t="shared" si="70"/>
        <v>1.6246763429461384E-2</v>
      </c>
      <c r="CZ128" s="6">
        <f t="shared" si="27"/>
        <v>6676453987.9966145</v>
      </c>
      <c r="DA128" s="6">
        <f t="shared" si="28"/>
        <v>183199143.13961729</v>
      </c>
      <c r="DB128" s="6">
        <f t="shared" si="29"/>
        <v>190433612</v>
      </c>
      <c r="DC128" s="6">
        <f t="shared" si="30"/>
        <v>190606057</v>
      </c>
      <c r="DD128" s="6">
        <f t="shared" si="31"/>
        <v>134895582</v>
      </c>
      <c r="DE128" s="6">
        <f t="shared" si="32"/>
        <v>165903458</v>
      </c>
      <c r="DF128" s="6">
        <f t="shared" si="71"/>
        <v>149372840.8438637</v>
      </c>
      <c r="DG128" s="30"/>
      <c r="DH128" s="32">
        <f>VLOOKUP(A128,'T_med_comp-USA'!$A$7:$Q$233,17,0)</f>
        <v>13.857953243496077</v>
      </c>
      <c r="DI128" s="6" t="str">
        <f t="shared" si="34"/>
        <v>2_2009</v>
      </c>
      <c r="DJ128" s="32">
        <f>IF(DI128="","",VLOOKUP(DI128,'CPI USA'!$T:$U,2,FALSE))</f>
        <v>214.53700000000001</v>
      </c>
      <c r="DK128" s="32">
        <f>IF(DI128="","",VLOOKUP(DI128,'PPI USA'!$S:$T,2,FALSE))</f>
        <v>159.1</v>
      </c>
      <c r="DL128" s="32">
        <f>IF(DI128="","",VLOOKUP(DI128,'CPI USA'!$T:$V,3,FALSE))</f>
        <v>0.66997101349938215</v>
      </c>
      <c r="DM128" s="32">
        <f>IF(DI128="","",VLOOKUP(DI128,'CPI USA'!$T:$X,5,FALSE))</f>
        <v>0.49813941766071862</v>
      </c>
      <c r="DN128" s="32">
        <f t="shared" si="35"/>
        <v>1.4932638886873792</v>
      </c>
      <c r="DO128" s="32">
        <f t="shared" si="36"/>
        <v>1.5082750176818205</v>
      </c>
      <c r="DP128" s="32">
        <f t="shared" si="37"/>
        <v>0.23316075101211764</v>
      </c>
      <c r="DQ128" s="32">
        <f>IF(DP128="","",DP128*$DO$1/'CPI USA'!$U$520+(1-DP128)*AVERAGE($DO$1,$DQ$1)/AVERAGE('CPI USA'!$U$520,'PPI USA'!$T$526))</f>
        <v>1.0843475626080898</v>
      </c>
      <c r="DR128" s="6">
        <f t="shared" si="38"/>
        <v>15964646</v>
      </c>
      <c r="DS128" s="32">
        <f t="shared" si="39"/>
        <v>0.2</v>
      </c>
      <c r="DT128" s="28">
        <f>IF(DS128="","",DS128*$DO$1/'CPI USA'!$U$520+(1-DS128)*AVERAGE($DO$1,$DQ$1)/AVERAGE('CPI USA'!$U$520,'PPI USA'!$T$526))</f>
        <v>1.0854630593748538</v>
      </c>
      <c r="DU128" s="6">
        <f t="shared" si="40"/>
        <v>6024918.9617679548</v>
      </c>
      <c r="DV128" s="6">
        <f t="shared" si="57"/>
        <v>79009.780673484289</v>
      </c>
      <c r="DW128" s="6">
        <f t="shared" si="41"/>
        <v>5027849.5505837407</v>
      </c>
      <c r="DX128" s="16">
        <f t="shared" si="42"/>
        <v>0.2</v>
      </c>
      <c r="DY128" s="28">
        <f>IF(DX128="","",DX128*$DO$1/'CPI USA'!$U$520+(1-DX128)*AVERAGE($DO$1,$DQ$1)/AVERAGE('CPI USA'!$U$520,'PPI USA'!$T$526))</f>
        <v>1.0854630593748538</v>
      </c>
      <c r="DZ128" s="30"/>
      <c r="EA128" s="29" t="str">
        <f t="shared" si="43"/>
        <v>C001464</v>
      </c>
      <c r="EB128" s="29">
        <f t="shared" si="44"/>
        <v>9969707644.7581863</v>
      </c>
      <c r="EC128" s="29">
        <f t="shared" si="45"/>
        <v>276314690.85820061</v>
      </c>
      <c r="ED128" s="29">
        <f t="shared" si="46"/>
        <v>206683213.32628864</v>
      </c>
      <c r="EE128" s="29">
        <f t="shared" si="47"/>
        <v>146424171.13387147</v>
      </c>
      <c r="EF128" s="29">
        <f t="shared" si="48"/>
        <v>162138700.8098934</v>
      </c>
      <c r="EG128" s="29">
        <f t="shared" si="49"/>
        <v>5051</v>
      </c>
      <c r="EH128" s="29">
        <f t="shared" si="50"/>
        <v>927425</v>
      </c>
      <c r="EI128" s="29">
        <f t="shared" si="51"/>
        <v>1036111</v>
      </c>
      <c r="EJ128" s="29">
        <f t="shared" si="52"/>
        <v>23689458</v>
      </c>
      <c r="EK128" s="29">
        <f t="shared" si="53"/>
        <v>24725305.974619288</v>
      </c>
      <c r="EL128" s="29">
        <f>IF(CD128=1,VLOOKUP(EA128,'EIA 2022'!$A$2:$J$213,4,0)*EH128,"")</f>
        <v>24420027.675000001</v>
      </c>
      <c r="EM128" s="29">
        <f>IF(CD128=1,VLOOKUP(EA128,'EIA 2022'!$A$2:$J$213,7,0)*EH128,"")</f>
        <v>280082.34999999998</v>
      </c>
      <c r="EN128" s="29">
        <f>IF(CD128=1,VLOOKUP(EA128,'EIA 2022'!$A$2:$J$213,10,0),"")</f>
        <v>346009</v>
      </c>
      <c r="EO128" s="28">
        <f>IF(CD128=1,VLOOKUP(EA128,'EIA 2022'!$A$2:$Z$213,26,0),"")</f>
        <v>0</v>
      </c>
      <c r="EP128" s="23">
        <f t="shared" si="54"/>
        <v>4.1894242913822585E-2</v>
      </c>
      <c r="EQ128" s="32">
        <f t="shared" si="55"/>
        <v>263.0253807106601</v>
      </c>
      <c r="ER128" s="32">
        <f t="shared" si="56"/>
        <v>1035847.9746192894</v>
      </c>
      <c r="ES128" s="32"/>
      <c r="ET128" s="32"/>
    </row>
    <row r="129" spans="1:150" ht="15.75" customHeight="1">
      <c r="A129" s="7" t="s">
        <v>589</v>
      </c>
      <c r="B129" s="7" t="s">
        <v>590</v>
      </c>
      <c r="C129" s="32" t="s">
        <v>998</v>
      </c>
      <c r="D129" s="42">
        <v>0</v>
      </c>
      <c r="E129" s="42">
        <v>0</v>
      </c>
      <c r="F129" s="42">
        <v>0</v>
      </c>
      <c r="G129" s="42">
        <v>571650949</v>
      </c>
      <c r="H129" s="42">
        <v>598573927</v>
      </c>
      <c r="I129" s="42">
        <v>1579599</v>
      </c>
      <c r="J129" s="42">
        <v>1629</v>
      </c>
      <c r="K129" s="42">
        <v>3273053</v>
      </c>
      <c r="L129" s="42">
        <v>1017580</v>
      </c>
      <c r="M129" s="42">
        <v>2690603</v>
      </c>
      <c r="N129" s="42">
        <v>634823</v>
      </c>
      <c r="O129" s="42">
        <v>18726067</v>
      </c>
      <c r="P129" s="42">
        <v>1584531</v>
      </c>
      <c r="Q129" s="42">
        <v>2939</v>
      </c>
      <c r="R129" s="42">
        <v>482050</v>
      </c>
      <c r="S129" s="42">
        <v>5128966</v>
      </c>
      <c r="T129" s="42">
        <v>45053682</v>
      </c>
      <c r="U129" s="42">
        <v>4290930</v>
      </c>
      <c r="V129" s="42">
        <v>798422</v>
      </c>
      <c r="W129" s="42">
        <v>865580</v>
      </c>
      <c r="X129" s="42">
        <f>IFERROR(VLOOKUP(A129,'Trans 21-23'!$A$2:$J$229,8,0),0)</f>
        <v>3068457</v>
      </c>
      <c r="Y129" s="42">
        <v>4248917</v>
      </c>
      <c r="Z129" s="42">
        <v>523366</v>
      </c>
      <c r="AA129" s="42">
        <v>56289857</v>
      </c>
      <c r="AB129" s="42">
        <v>11149909</v>
      </c>
      <c r="AC129" s="42">
        <v>0</v>
      </c>
      <c r="AD129" s="42">
        <v>99916175</v>
      </c>
      <c r="AE129" s="42">
        <v>0</v>
      </c>
      <c r="AF129" s="42">
        <v>883517103</v>
      </c>
      <c r="AG129" s="42">
        <v>544897</v>
      </c>
      <c r="AH129" s="42">
        <v>734140</v>
      </c>
      <c r="AI129" s="42">
        <v>13209845</v>
      </c>
      <c r="AJ129" s="42">
        <v>17409</v>
      </c>
      <c r="AK129" s="42">
        <v>0</v>
      </c>
      <c r="AL129" s="42">
        <v>5445976</v>
      </c>
      <c r="AM129" s="42">
        <v>5160394</v>
      </c>
      <c r="AN129" s="42">
        <v>1452063</v>
      </c>
      <c r="AO129" s="42">
        <v>43794</v>
      </c>
      <c r="AP129" s="42">
        <v>0</v>
      </c>
      <c r="AQ129" s="42">
        <v>12102227</v>
      </c>
      <c r="AR129" s="42">
        <v>356069</v>
      </c>
      <c r="AS129" s="42">
        <v>12458296</v>
      </c>
      <c r="AT129" s="42">
        <v>0</v>
      </c>
      <c r="AU129" s="42">
        <v>4069</v>
      </c>
      <c r="AV129" s="42">
        <v>0</v>
      </c>
      <c r="AW129" s="42">
        <v>475056538</v>
      </c>
      <c r="AX129" s="42">
        <v>25983694</v>
      </c>
      <c r="AY129" s="42">
        <v>455932528</v>
      </c>
      <c r="AZ129" s="42">
        <v>136593502</v>
      </c>
      <c r="BA129" s="42">
        <v>83619928</v>
      </c>
      <c r="BB129" s="42">
        <v>2932374574</v>
      </c>
      <c r="BC129" s="42">
        <v>5244623834</v>
      </c>
      <c r="BD129" s="42">
        <v>358501446</v>
      </c>
      <c r="BE129" s="42">
        <v>759198514</v>
      </c>
      <c r="BF129" s="42">
        <v>84911410</v>
      </c>
      <c r="BG129" s="42">
        <v>0</v>
      </c>
      <c r="BH129" s="42">
        <v>29431514</v>
      </c>
      <c r="BI129" s="42">
        <v>984959</v>
      </c>
      <c r="BJ129" s="42">
        <v>1771025</v>
      </c>
      <c r="BK129" s="42">
        <v>0</v>
      </c>
      <c r="BL129" s="42">
        <v>0</v>
      </c>
      <c r="BM129" s="42">
        <v>2802680</v>
      </c>
      <c r="BN129" s="42">
        <v>39233449</v>
      </c>
      <c r="BO129" s="42">
        <v>2084219</v>
      </c>
      <c r="BP129" s="42">
        <v>625450</v>
      </c>
      <c r="BQ129" s="42">
        <v>116096452</v>
      </c>
      <c r="BR129" s="42">
        <v>0</v>
      </c>
      <c r="BS129" s="42">
        <f>IFERROR(VLOOKUP(A129,'Trans 21-23'!$A$2:$J$229,7,0),0)</f>
        <v>277890543</v>
      </c>
      <c r="BT129" s="63"/>
      <c r="BU129" s="32">
        <f t="shared" si="0"/>
        <v>2932374574</v>
      </c>
      <c r="BV129" s="32">
        <f t="shared" si="1"/>
        <v>4069</v>
      </c>
      <c r="BW129" s="32">
        <f t="shared" si="2"/>
        <v>544897</v>
      </c>
      <c r="BX129" s="32">
        <f t="shared" si="3"/>
        <v>86130454</v>
      </c>
      <c r="BY129" s="32">
        <f t="shared" si="4"/>
        <v>72212049</v>
      </c>
      <c r="BZ129" s="32">
        <f t="shared" si="5"/>
        <v>136593502</v>
      </c>
      <c r="CA129" s="32">
        <f t="shared" si="6"/>
        <v>99916175</v>
      </c>
      <c r="CB129" s="32">
        <f t="shared" si="7"/>
        <v>734140</v>
      </c>
      <c r="CC129" s="32">
        <f t="shared" si="8"/>
        <v>12102227</v>
      </c>
      <c r="CD129" s="41">
        <f t="shared" si="67"/>
        <v>1</v>
      </c>
      <c r="CE129" s="44">
        <f t="shared" si="10"/>
        <v>13</v>
      </c>
      <c r="CF129" s="27"/>
      <c r="CG129" s="28">
        <f t="shared" si="11"/>
        <v>720.66222020152372</v>
      </c>
      <c r="CH129" s="28">
        <f t="shared" si="12"/>
        <v>7.4674663284987801</v>
      </c>
      <c r="CI129" s="28">
        <f t="shared" si="13"/>
        <v>158.06740356434335</v>
      </c>
      <c r="CJ129" s="28">
        <f t="shared" si="14"/>
        <v>250.67765467602135</v>
      </c>
      <c r="CK129" s="23">
        <f t="shared" si="15"/>
        <v>6.0661562537209064E-2</v>
      </c>
      <c r="CL129" s="29" t="str">
        <f t="shared" si="16"/>
        <v/>
      </c>
      <c r="CM129" s="29" t="str">
        <f t="shared" si="17"/>
        <v/>
      </c>
      <c r="CN129" s="29" t="str">
        <f t="shared" si="18"/>
        <v/>
      </c>
      <c r="CO129" s="29" t="str">
        <f t="shared" si="19"/>
        <v/>
      </c>
      <c r="CP129" s="29" t="str">
        <f t="shared" si="20"/>
        <v/>
      </c>
      <c r="CQ129" s="29">
        <f t="shared" si="21"/>
        <v>0</v>
      </c>
      <c r="CR129" s="30"/>
      <c r="CS129" s="7">
        <f>VLOOKUP(A129,'Empresas 21-23'!$A$2:$M$228,13,0)</f>
        <v>1</v>
      </c>
      <c r="CT129" s="30"/>
      <c r="CU129" s="6">
        <f t="shared" si="22"/>
        <v>2700901953.8000002</v>
      </c>
      <c r="CV129" s="6">
        <f t="shared" si="23"/>
        <v>136593502</v>
      </c>
      <c r="CW129" s="6">
        <f t="shared" si="24"/>
        <v>358501446</v>
      </c>
      <c r="CX129" s="23">
        <f t="shared" si="69"/>
        <v>0.55277001665640635</v>
      </c>
      <c r="CY129" s="23">
        <f t="shared" si="70"/>
        <v>2.7955399221162528E-2</v>
      </c>
      <c r="CZ129" s="6">
        <f t="shared" si="27"/>
        <v>2899070804.076766</v>
      </c>
      <c r="DA129" s="6">
        <f t="shared" si="28"/>
        <v>146615553.04429403</v>
      </c>
      <c r="DB129" s="6">
        <f t="shared" si="29"/>
        <v>86130454</v>
      </c>
      <c r="DC129" s="6">
        <f t="shared" si="30"/>
        <v>89198911</v>
      </c>
      <c r="DD129" s="6">
        <f t="shared" si="31"/>
        <v>72212049</v>
      </c>
      <c r="DE129" s="6">
        <f t="shared" si="32"/>
        <v>99916175</v>
      </c>
      <c r="DF129" s="6">
        <f t="shared" si="71"/>
        <v>87163309.350066155</v>
      </c>
      <c r="DG129" s="30"/>
      <c r="DH129" s="32">
        <f>VLOOKUP(A129,'T_med_comp-USA'!$A$7:$Q$233,17,0)</f>
        <v>9.1086401632643206</v>
      </c>
      <c r="DI129" s="6" t="str">
        <f t="shared" si="34"/>
        <v>11_2013</v>
      </c>
      <c r="DJ129" s="32">
        <f>IF(DI129="","",VLOOKUP(DI129,'CPI USA'!$T:$U,2,FALSE))</f>
        <v>233.06899999999999</v>
      </c>
      <c r="DK129" s="32">
        <f>IF(DI129="","",VLOOKUP(DI129,'PPI USA'!$S:$T,2,FALSE))</f>
        <v>166</v>
      </c>
      <c r="DL129" s="32">
        <f>IF(DI129="","",VLOOKUP(DI129,'CPI USA'!$T:$V,3,FALSE))</f>
        <v>0.67305131835944076</v>
      </c>
      <c r="DM129" s="32">
        <f>IF(DI129="","",VLOOKUP(DI129,'CPI USA'!$T:$X,5,FALSE))</f>
        <v>0.50163050295255052</v>
      </c>
      <c r="DN129" s="32">
        <f t="shared" si="35"/>
        <v>1.3822908196671626</v>
      </c>
      <c r="DO129" s="32">
        <f t="shared" si="36"/>
        <v>1.400274192630873</v>
      </c>
      <c r="DP129" s="32">
        <f t="shared" si="37"/>
        <v>0.35986132951485705</v>
      </c>
      <c r="DQ129" s="32">
        <f>IF(DP129="","",DP129*$DO$1/'CPI USA'!$U$520+(1-DP129)*AVERAGE($DO$1,$DQ$1)/AVERAGE('CPI USA'!$U$520,'PPI USA'!$T$526))</f>
        <v>1.0800854731995813</v>
      </c>
      <c r="DR129" s="6">
        <f t="shared" si="38"/>
        <v>2755984</v>
      </c>
      <c r="DS129" s="32">
        <f t="shared" si="39"/>
        <v>0.2</v>
      </c>
      <c r="DT129" s="28">
        <f>IF(DS129="","",DS129*$DO$1/'CPI USA'!$U$520+(1-DS129)*AVERAGE($DO$1,$DQ$1)/AVERAGE('CPI USA'!$U$520,'PPI USA'!$T$526))</f>
        <v>1.0854630593748538</v>
      </c>
      <c r="DU129" s="6">
        <f t="shared" si="40"/>
        <v>2951568.2332756417</v>
      </c>
      <c r="DV129" s="6">
        <f t="shared" si="57"/>
        <v>15180.748202046432</v>
      </c>
      <c r="DW129" s="6">
        <f t="shared" si="41"/>
        <v>2433949.3300172291</v>
      </c>
      <c r="DX129" s="16">
        <f t="shared" si="42"/>
        <v>0.2</v>
      </c>
      <c r="DY129" s="28">
        <f>IF(DX129="","",DX129*$DO$1/'CPI USA'!$U$520+(1-DX129)*AVERAGE($DO$1,$DQ$1)/AVERAGE('CPI USA'!$U$520,'PPI USA'!$T$526))</f>
        <v>1.0854630593748538</v>
      </c>
      <c r="DZ129" s="30"/>
      <c r="EA129" s="29" t="str">
        <f t="shared" si="43"/>
        <v>C001465</v>
      </c>
      <c r="EB129" s="29">
        <f t="shared" si="44"/>
        <v>4007358958.0404129</v>
      </c>
      <c r="EC129" s="29">
        <f t="shared" si="45"/>
        <v>205301975.16622776</v>
      </c>
      <c r="ED129" s="29">
        <f t="shared" si="46"/>
        <v>96342447.996322334</v>
      </c>
      <c r="EE129" s="29">
        <f t="shared" si="47"/>
        <v>78383511.631266847</v>
      </c>
      <c r="EF129" s="29">
        <f t="shared" si="48"/>
        <v>94612552.432359606</v>
      </c>
      <c r="EG129" s="29">
        <f t="shared" si="49"/>
        <v>4069</v>
      </c>
      <c r="EH129" s="29">
        <f t="shared" si="50"/>
        <v>544897</v>
      </c>
      <c r="EI129" s="29">
        <f t="shared" si="51"/>
        <v>734140</v>
      </c>
      <c r="EJ129" s="29">
        <f t="shared" si="52"/>
        <v>12102227</v>
      </c>
      <c r="EK129" s="29">
        <f t="shared" si="53"/>
        <v>12830944.629441625</v>
      </c>
      <c r="EL129" s="29">
        <f>IF(CD129=1,VLOOKUP(EA129,'EIA 2022'!$A$2:$J$213,4,0)*EH129,"")</f>
        <v>35418305</v>
      </c>
      <c r="EM129" s="29">
        <f>IF(CD129=1,VLOOKUP(EA129,'EIA 2022'!$A$2:$J$213,7,0)*EH129,"")</f>
        <v>386876.87</v>
      </c>
      <c r="EN129" s="29">
        <f>IF(CD129=1,VLOOKUP(EA129,'EIA 2022'!$A$2:$J$213,10,0),"")</f>
        <v>340096</v>
      </c>
      <c r="EO129" s="28">
        <f>IF(CD129=1,VLOOKUP(EA129,'EIA 2022'!$A$2:$Z$213,26,0),"")</f>
        <v>0</v>
      </c>
      <c r="EP129" s="23">
        <f t="shared" si="54"/>
        <v>5.6793763085028336E-2</v>
      </c>
      <c r="EQ129" s="32">
        <f t="shared" si="55"/>
        <v>5422.3705583756673</v>
      </c>
      <c r="ER129" s="32">
        <f t="shared" si="56"/>
        <v>728717.62944162427</v>
      </c>
      <c r="ES129" s="32"/>
      <c r="ET129" s="32"/>
    </row>
    <row r="130" spans="1:150" ht="15.75" customHeight="1">
      <c r="A130" s="7" t="s">
        <v>592</v>
      </c>
      <c r="B130" s="7" t="s">
        <v>593</v>
      </c>
      <c r="C130" s="32" t="s">
        <v>999</v>
      </c>
      <c r="D130" s="42">
        <v>0</v>
      </c>
      <c r="E130" s="42">
        <v>0</v>
      </c>
      <c r="F130" s="42">
        <v>0</v>
      </c>
      <c r="G130" s="42">
        <v>598568015</v>
      </c>
      <c r="H130" s="42">
        <v>633809730</v>
      </c>
      <c r="I130" s="42">
        <v>742840</v>
      </c>
      <c r="J130" s="42">
        <v>25378</v>
      </c>
      <c r="K130" s="42">
        <v>2989076</v>
      </c>
      <c r="L130" s="42">
        <v>3530432</v>
      </c>
      <c r="M130" s="42">
        <v>5249</v>
      </c>
      <c r="N130" s="42">
        <v>750070</v>
      </c>
      <c r="O130" s="42">
        <v>15966286</v>
      </c>
      <c r="P130" s="42">
        <v>3244462</v>
      </c>
      <c r="Q130" s="42">
        <v>3165</v>
      </c>
      <c r="R130" s="42">
        <v>21454</v>
      </c>
      <c r="S130" s="42">
        <v>4300087</v>
      </c>
      <c r="T130" s="42">
        <v>60388008</v>
      </c>
      <c r="U130" s="42">
        <v>4772850</v>
      </c>
      <c r="V130" s="42">
        <v>539702</v>
      </c>
      <c r="W130" s="42">
        <v>1447363</v>
      </c>
      <c r="X130" s="42">
        <f>IFERROR(VLOOKUP(A130,'Trans 21-23'!$A$2:$J$229,8,0),0)</f>
        <v>9297957</v>
      </c>
      <c r="Y130" s="42">
        <v>5513861</v>
      </c>
      <c r="Z130" s="42">
        <v>8751</v>
      </c>
      <c r="AA130" s="42">
        <v>76911106</v>
      </c>
      <c r="AB130" s="42">
        <v>33772581</v>
      </c>
      <c r="AC130" s="42">
        <v>0</v>
      </c>
      <c r="AD130" s="42">
        <v>92651566</v>
      </c>
      <c r="AE130" s="42">
        <v>0</v>
      </c>
      <c r="AF130" s="42">
        <v>970362676</v>
      </c>
      <c r="AG130" s="42">
        <v>567212</v>
      </c>
      <c r="AH130" s="42">
        <v>603185</v>
      </c>
      <c r="AI130" s="42">
        <v>9965133</v>
      </c>
      <c r="AJ130" s="42">
        <v>5877</v>
      </c>
      <c r="AK130" s="42">
        <v>0</v>
      </c>
      <c r="AL130" s="42">
        <v>4130873</v>
      </c>
      <c r="AM130" s="42">
        <v>1498522</v>
      </c>
      <c r="AN130" s="42">
        <v>3102758</v>
      </c>
      <c r="AO130" s="42">
        <v>46994</v>
      </c>
      <c r="AP130" s="42">
        <v>0</v>
      </c>
      <c r="AQ130" s="42">
        <v>8779147</v>
      </c>
      <c r="AR130" s="42">
        <v>576924</v>
      </c>
      <c r="AS130" s="42">
        <v>9356071</v>
      </c>
      <c r="AT130" s="42">
        <v>0</v>
      </c>
      <c r="AU130" s="42">
        <v>2458</v>
      </c>
      <c r="AV130" s="42">
        <v>0</v>
      </c>
      <c r="AW130" s="42">
        <v>609197955</v>
      </c>
      <c r="AX130" s="42">
        <v>42434741</v>
      </c>
      <c r="AY130" s="42">
        <v>195722481</v>
      </c>
      <c r="AZ130" s="42">
        <v>96674767</v>
      </c>
      <c r="BA130" s="42">
        <v>118683990</v>
      </c>
      <c r="BB130" s="42">
        <v>2940585507</v>
      </c>
      <c r="BC130" s="42">
        <v>5222551939</v>
      </c>
      <c r="BD130" s="42">
        <v>240534424</v>
      </c>
      <c r="BE130" s="42">
        <v>688019348</v>
      </c>
      <c r="BF130" s="42">
        <v>92379675</v>
      </c>
      <c r="BG130" s="42">
        <v>0</v>
      </c>
      <c r="BH130" s="42">
        <v>26883823</v>
      </c>
      <c r="BI130" s="42">
        <v>1396665</v>
      </c>
      <c r="BJ130" s="42">
        <v>650750</v>
      </c>
      <c r="BK130" s="42">
        <v>0</v>
      </c>
      <c r="BL130" s="42">
        <v>0</v>
      </c>
      <c r="BM130" s="42">
        <v>3185252</v>
      </c>
      <c r="BN130" s="42">
        <v>36719079</v>
      </c>
      <c r="BO130" s="42">
        <v>1562215</v>
      </c>
      <c r="BP130" s="42">
        <v>596644</v>
      </c>
      <c r="BQ130" s="42">
        <v>87441285</v>
      </c>
      <c r="BR130" s="42">
        <v>0</v>
      </c>
      <c r="BS130" s="42">
        <f>IFERROR(VLOOKUP(A130,'Trans 21-23'!$A$2:$J$229,7,0),0)</f>
        <v>636349852</v>
      </c>
      <c r="BT130" s="63"/>
      <c r="BU130" s="32">
        <f t="shared" si="0"/>
        <v>2940585507</v>
      </c>
      <c r="BV130" s="32">
        <f t="shared" si="1"/>
        <v>2458</v>
      </c>
      <c r="BW130" s="32">
        <f t="shared" si="2"/>
        <v>567212</v>
      </c>
      <c r="BX130" s="32">
        <f t="shared" si="3"/>
        <v>98726422</v>
      </c>
      <c r="BY130" s="32">
        <f t="shared" si="4"/>
        <v>116206299</v>
      </c>
      <c r="BZ130" s="32">
        <f t="shared" si="5"/>
        <v>96674767</v>
      </c>
      <c r="CA130" s="32">
        <f t="shared" si="6"/>
        <v>92651566</v>
      </c>
      <c r="CB130" s="32">
        <f t="shared" si="7"/>
        <v>603185</v>
      </c>
      <c r="CC130" s="32">
        <f t="shared" si="8"/>
        <v>8779147</v>
      </c>
      <c r="CD130" s="41">
        <f t="shared" si="67"/>
        <v>1</v>
      </c>
      <c r="CE130" s="44">
        <f t="shared" si="10"/>
        <v>13</v>
      </c>
      <c r="CF130" s="27"/>
      <c r="CG130" s="28">
        <f t="shared" si="11"/>
        <v>1196.3325903173313</v>
      </c>
      <c r="CH130" s="28">
        <f t="shared" si="12"/>
        <v>4.3334767247519448</v>
      </c>
      <c r="CI130" s="28">
        <f t="shared" si="13"/>
        <v>174.05559473353878</v>
      </c>
      <c r="CJ130" s="28">
        <f t="shared" si="14"/>
        <v>170.43850800053596</v>
      </c>
      <c r="CK130" s="23">
        <f t="shared" si="15"/>
        <v>6.8706561127180127E-2</v>
      </c>
      <c r="CL130" s="29" t="str">
        <f t="shared" si="16"/>
        <v/>
      </c>
      <c r="CM130" s="29" t="str">
        <f t="shared" si="17"/>
        <v/>
      </c>
      <c r="CN130" s="29" t="str">
        <f t="shared" si="18"/>
        <v/>
      </c>
      <c r="CO130" s="29" t="str">
        <f t="shared" si="19"/>
        <v/>
      </c>
      <c r="CP130" s="29" t="str">
        <f t="shared" si="20"/>
        <v/>
      </c>
      <c r="CQ130" s="29">
        <f t="shared" si="21"/>
        <v>0</v>
      </c>
      <c r="CR130" s="30"/>
      <c r="CS130" s="7">
        <f>VLOOKUP(A130,'Empresas 21-23'!$A$2:$M$228,13,0)</f>
        <v>1</v>
      </c>
      <c r="CT130" s="30"/>
      <c r="CU130" s="6">
        <f t="shared" si="22"/>
        <v>3218682268.8000002</v>
      </c>
      <c r="CV130" s="6">
        <f t="shared" si="23"/>
        <v>96674767</v>
      </c>
      <c r="CW130" s="6">
        <f t="shared" si="24"/>
        <v>240534424</v>
      </c>
      <c r="CX130" s="23">
        <f t="shared" si="69"/>
        <v>0.6460600066356853</v>
      </c>
      <c r="CY130" s="23">
        <f t="shared" si="70"/>
        <v>1.9404742498180479E-2</v>
      </c>
      <c r="CZ130" s="6">
        <f t="shared" si="27"/>
        <v>3374081940.365551</v>
      </c>
      <c r="DA130" s="6">
        <f t="shared" si="28"/>
        <v>101342275.55966817</v>
      </c>
      <c r="DB130" s="6">
        <f t="shared" si="29"/>
        <v>98726422</v>
      </c>
      <c r="DC130" s="6">
        <f t="shared" si="30"/>
        <v>108024379</v>
      </c>
      <c r="DD130" s="6">
        <f t="shared" si="31"/>
        <v>116206299</v>
      </c>
      <c r="DE130" s="6">
        <f t="shared" si="32"/>
        <v>92651566</v>
      </c>
      <c r="DF130" s="6">
        <f t="shared" si="71"/>
        <v>85179196.042030379</v>
      </c>
      <c r="DG130" s="30"/>
      <c r="DH130" s="32">
        <f>VLOOKUP(A130,'T_med_comp-USA'!$A$7:$Q$233,17,0)</f>
        <v>7.4129029417369656</v>
      </c>
      <c r="DI130" s="6" t="str">
        <f t="shared" si="34"/>
        <v>8_2015</v>
      </c>
      <c r="DJ130" s="32">
        <f>IF(DI130="","",VLOOKUP(DI130,'CPI USA'!$T:$U,2,FALSE))</f>
        <v>238.316</v>
      </c>
      <c r="DK130" s="32">
        <f>IF(DI130="","",VLOOKUP(DI130,'PPI USA'!$S:$T,2,FALSE))</f>
        <v>197.3</v>
      </c>
      <c r="DL130" s="32">
        <f>IF(DI130="","",VLOOKUP(DI130,'CPI USA'!$T:$V,3,FALSE))</f>
        <v>0.6679408278919865</v>
      </c>
      <c r="DM130" s="32">
        <f>IF(DI130="","",VLOOKUP(DI130,'CPI USA'!$T:$X,5,FALSE))</f>
        <v>0.49584761624008583</v>
      </c>
      <c r="DN130" s="32">
        <f t="shared" si="35"/>
        <v>1.3225272117779445</v>
      </c>
      <c r="DO130" s="32">
        <f t="shared" si="36"/>
        <v>1.3247114479798394</v>
      </c>
      <c r="DP130" s="32">
        <f t="shared" si="37"/>
        <v>0.28389154582800408</v>
      </c>
      <c r="DQ130" s="32">
        <f>IF(DP130="","",DP130*$DO$1/'CPI USA'!$U$520+(1-DP130)*AVERAGE($DO$1,$DQ$1)/AVERAGE('CPI USA'!$U$520,'PPI USA'!$T$526))</f>
        <v>1.0826410259385248</v>
      </c>
      <c r="DR130" s="6">
        <f t="shared" si="38"/>
        <v>2047415</v>
      </c>
      <c r="DS130" s="32">
        <f t="shared" si="39"/>
        <v>0.2</v>
      </c>
      <c r="DT130" s="28">
        <f>IF(DS130="","",DS130*$DO$1/'CPI USA'!$U$520+(1-DS130)*AVERAGE($DO$1,$DQ$1)/AVERAGE('CPI USA'!$U$520,'PPI USA'!$T$526))</f>
        <v>1.0854630593748538</v>
      </c>
      <c r="DU130" s="6">
        <f t="shared" si="40"/>
        <v>3320768.701091005</v>
      </c>
      <c r="DV130" s="6">
        <f t="shared" si="57"/>
        <v>21883.46307157859</v>
      </c>
      <c r="DW130" s="6">
        <f t="shared" si="41"/>
        <v>2633700.7339591165</v>
      </c>
      <c r="DX130" s="16">
        <f t="shared" si="42"/>
        <v>0.2</v>
      </c>
      <c r="DY130" s="28">
        <f>IF(DX130="","",DX130*$DO$1/'CPI USA'!$U$520+(1-DX130)*AVERAGE($DO$1,$DQ$1)/AVERAGE('CPI USA'!$U$520,'PPI USA'!$T$526))</f>
        <v>1.0854630593748538</v>
      </c>
      <c r="DZ130" s="30"/>
      <c r="EA130" s="29" t="str">
        <f t="shared" si="43"/>
        <v>C001466</v>
      </c>
      <c r="EB130" s="29">
        <f t="shared" si="44"/>
        <v>4462315180.901969</v>
      </c>
      <c r="EC130" s="29">
        <f t="shared" si="45"/>
        <v>134249272.5982199</v>
      </c>
      <c r="ED130" s="29">
        <f t="shared" si="46"/>
        <v>116951624.50693204</v>
      </c>
      <c r="EE130" s="29">
        <f t="shared" si="47"/>
        <v>126137644.83116901</v>
      </c>
      <c r="EF130" s="29">
        <f t="shared" si="48"/>
        <v>92458870.730872735</v>
      </c>
      <c r="EG130" s="29">
        <f t="shared" si="49"/>
        <v>2458</v>
      </c>
      <c r="EH130" s="29">
        <f t="shared" si="50"/>
        <v>567212</v>
      </c>
      <c r="EI130" s="29">
        <f t="shared" si="51"/>
        <v>603185</v>
      </c>
      <c r="EJ130" s="29">
        <f t="shared" si="52"/>
        <v>8779147</v>
      </c>
      <c r="EK130" s="29">
        <f t="shared" si="53"/>
        <v>9373546.3553299494</v>
      </c>
      <c r="EL130" s="29">
        <f>IF(CD130=1,VLOOKUP(EA130,'EIA 2022'!$A$2:$J$213,4,0)*EH130,"")</f>
        <v>28927812</v>
      </c>
      <c r="EM130" s="29">
        <f>IF(CD130=1,VLOOKUP(EA130,'EIA 2022'!$A$2:$J$213,7,0)*EH130,"")</f>
        <v>368687.8</v>
      </c>
      <c r="EN130" s="29">
        <f>IF(CD130=1,VLOOKUP(EA130,'EIA 2022'!$A$2:$J$213,10,0),"")</f>
        <v>591</v>
      </c>
      <c r="EO130" s="28">
        <f>IF(CD130=1,VLOOKUP(EA130,'EIA 2022'!$A$2:$Z$213,26,0),"")</f>
        <v>0</v>
      </c>
      <c r="EP130" s="23">
        <f t="shared" si="54"/>
        <v>6.3412430343608869E-2</v>
      </c>
      <c r="EQ130" s="32">
        <f t="shared" si="55"/>
        <v>8785.6446700508241</v>
      </c>
      <c r="ER130" s="32">
        <f t="shared" si="56"/>
        <v>594399.35532994918</v>
      </c>
      <c r="ES130" s="32"/>
      <c r="ET130" s="32"/>
    </row>
    <row r="131" spans="1:150" ht="15.75" customHeight="1">
      <c r="A131" s="7" t="s">
        <v>595</v>
      </c>
      <c r="B131" s="7" t="s">
        <v>596</v>
      </c>
      <c r="C131" s="32" t="s">
        <v>1000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9952480</v>
      </c>
      <c r="J131" s="42">
        <v>4330808</v>
      </c>
      <c r="K131" s="42">
        <v>10565429</v>
      </c>
      <c r="L131" s="42">
        <v>13966541</v>
      </c>
      <c r="M131" s="42">
        <v>8914271</v>
      </c>
      <c r="N131" s="42">
        <v>1837028</v>
      </c>
      <c r="O131" s="42">
        <v>73325005</v>
      </c>
      <c r="P131" s="42">
        <v>323348</v>
      </c>
      <c r="Q131" s="42">
        <v>4426058</v>
      </c>
      <c r="R131" s="42">
        <v>12363</v>
      </c>
      <c r="S131" s="42">
        <v>9319571</v>
      </c>
      <c r="T131" s="42">
        <v>121496099</v>
      </c>
      <c r="U131" s="42">
        <v>30245910</v>
      </c>
      <c r="V131" s="42">
        <v>5189454</v>
      </c>
      <c r="W131" s="42">
        <v>1617686</v>
      </c>
      <c r="X131" s="42">
        <f>IFERROR(VLOOKUP(A131,'Trans 21-23'!$A$2:$J$229,8,0),0)</f>
        <v>0</v>
      </c>
      <c r="Y131" s="42">
        <v>33828159</v>
      </c>
      <c r="Z131" s="42">
        <v>17904562</v>
      </c>
      <c r="AA131" s="42">
        <v>22012808</v>
      </c>
      <c r="AB131" s="42">
        <v>50993345</v>
      </c>
      <c r="AC131" s="42">
        <v>0</v>
      </c>
      <c r="AD131" s="42">
        <v>558151046</v>
      </c>
      <c r="AE131" s="42">
        <v>0</v>
      </c>
      <c r="AF131" s="42">
        <v>2353688591</v>
      </c>
      <c r="AG131" s="42">
        <v>3867910</v>
      </c>
      <c r="AH131" s="42">
        <v>0</v>
      </c>
      <c r="AI131" s="42">
        <v>148662829</v>
      </c>
      <c r="AJ131" s="42">
        <v>0</v>
      </c>
      <c r="AK131" s="42">
        <v>0</v>
      </c>
      <c r="AL131" s="42">
        <v>48624782</v>
      </c>
      <c r="AM131" s="42">
        <v>49310904</v>
      </c>
      <c r="AN131" s="42">
        <v>50355953</v>
      </c>
      <c r="AO131" s="42">
        <v>371190</v>
      </c>
      <c r="AP131" s="42">
        <v>0</v>
      </c>
      <c r="AQ131" s="42">
        <v>148662829</v>
      </c>
      <c r="AR131" s="42">
        <v>0</v>
      </c>
      <c r="AS131" s="42">
        <v>148662829</v>
      </c>
      <c r="AT131" s="42">
        <v>0</v>
      </c>
      <c r="AU131" s="42">
        <v>0</v>
      </c>
      <c r="AV131" s="42">
        <v>0</v>
      </c>
      <c r="AW131" s="42">
        <v>1858934375</v>
      </c>
      <c r="AX131" s="42">
        <v>1190788252</v>
      </c>
      <c r="AY131" s="42">
        <v>2752160488</v>
      </c>
      <c r="AZ131" s="42">
        <v>582347184</v>
      </c>
      <c r="BA131" s="42">
        <v>463732095</v>
      </c>
      <c r="BB131" s="42">
        <v>17077662057</v>
      </c>
      <c r="BC131" s="42">
        <v>31488069032</v>
      </c>
      <c r="BD131" s="42">
        <v>1081451020</v>
      </c>
      <c r="BE131" s="42">
        <v>6177414326</v>
      </c>
      <c r="BF131" s="42">
        <v>405887022</v>
      </c>
      <c r="BG131" s="42">
        <v>0</v>
      </c>
      <c r="BH131" s="42">
        <v>151828332</v>
      </c>
      <c r="BI131" s="42">
        <v>10073326</v>
      </c>
      <c r="BJ131" s="42">
        <v>0</v>
      </c>
      <c r="BK131" s="42">
        <v>0</v>
      </c>
      <c r="BL131" s="42">
        <v>0</v>
      </c>
      <c r="BM131" s="42">
        <v>101118254</v>
      </c>
      <c r="BN131" s="42">
        <v>309418407</v>
      </c>
      <c r="BO131" s="42">
        <v>0</v>
      </c>
      <c r="BP131" s="42">
        <v>67301121</v>
      </c>
      <c r="BQ131" s="42">
        <v>674472748</v>
      </c>
      <c r="BR131" s="42">
        <v>0</v>
      </c>
      <c r="BS131" s="42">
        <f>IFERROR(VLOOKUP(A131,'Trans 21-23'!$A$2:$J$229,7,0),0)</f>
        <v>0</v>
      </c>
      <c r="BT131" s="63"/>
      <c r="BU131" s="32">
        <f t="shared" si="0"/>
        <v>17077662057</v>
      </c>
      <c r="BV131" s="32">
        <f t="shared" si="1"/>
        <v>0</v>
      </c>
      <c r="BW131" s="32">
        <f t="shared" si="2"/>
        <v>3867910</v>
      </c>
      <c r="BX131" s="32">
        <f t="shared" si="3"/>
        <v>295522051</v>
      </c>
      <c r="BY131" s="32">
        <f t="shared" si="4"/>
        <v>124738874</v>
      </c>
      <c r="BZ131" s="32">
        <f t="shared" si="5"/>
        <v>582347184</v>
      </c>
      <c r="CA131" s="32">
        <f t="shared" si="6"/>
        <v>558151046</v>
      </c>
      <c r="CB131" s="32">
        <f t="shared" si="7"/>
        <v>0</v>
      </c>
      <c r="CC131" s="32">
        <f t="shared" si="8"/>
        <v>148662829</v>
      </c>
      <c r="CD131" s="41">
        <f t="shared" si="67"/>
        <v>0</v>
      </c>
      <c r="CE131" s="44">
        <f t="shared" si="10"/>
        <v>23</v>
      </c>
      <c r="CF131" s="27"/>
      <c r="CG131" s="28" t="str">
        <f t="shared" si="11"/>
        <v/>
      </c>
      <c r="CH131" s="28" t="str">
        <f t="shared" si="12"/>
        <v/>
      </c>
      <c r="CI131" s="28" t="str">
        <f t="shared" si="13"/>
        <v/>
      </c>
      <c r="CJ131" s="28" t="str">
        <f t="shared" si="14"/>
        <v/>
      </c>
      <c r="CK131" s="23" t="str">
        <f t="shared" si="15"/>
        <v/>
      </c>
      <c r="CL131" s="29" t="str">
        <f t="shared" si="16"/>
        <v/>
      </c>
      <c r="CM131" s="29" t="str">
        <f t="shared" si="17"/>
        <v/>
      </c>
      <c r="CN131" s="29" t="str">
        <f t="shared" si="18"/>
        <v/>
      </c>
      <c r="CO131" s="29" t="str">
        <f t="shared" si="19"/>
        <v/>
      </c>
      <c r="CP131" s="29" t="str">
        <f t="shared" si="20"/>
        <v/>
      </c>
      <c r="CQ131" s="29" t="str">
        <f t="shared" si="21"/>
        <v/>
      </c>
      <c r="CR131" s="30"/>
      <c r="CS131" s="7" t="str">
        <f>VLOOKUP(A131,'Empresas 21-23'!$A$2:$M$228,13,0)</f>
        <v/>
      </c>
      <c r="CT131" s="30"/>
      <c r="CU131" s="6">
        <f t="shared" si="22"/>
        <v>13665813534</v>
      </c>
      <c r="CV131" s="6">
        <f t="shared" si="23"/>
        <v>582347184</v>
      </c>
      <c r="CW131" s="6">
        <f t="shared" si="24"/>
        <v>1081451020</v>
      </c>
      <c r="CX131" s="23">
        <f t="shared" si="69"/>
        <v>0.44943549883143119</v>
      </c>
      <c r="CY131" s="23">
        <f t="shared" si="70"/>
        <v>1.9151988023468316E-2</v>
      </c>
      <c r="CZ131" s="6">
        <f t="shared" si="27"/>
        <v>14151856012.63546</v>
      </c>
      <c r="DA131" s="6">
        <f t="shared" si="28"/>
        <v>603059120.98300755</v>
      </c>
      <c r="DB131" s="6">
        <f t="shared" si="29"/>
        <v>295522051</v>
      </c>
      <c r="DC131" s="6">
        <f t="shared" si="30"/>
        <v>295522051</v>
      </c>
      <c r="DD131" s="6">
        <f t="shared" si="31"/>
        <v>124738874</v>
      </c>
      <c r="DE131" s="6">
        <f t="shared" si="32"/>
        <v>558151046</v>
      </c>
      <c r="DF131" s="6">
        <f t="shared" si="71"/>
        <v>130640027.84841658</v>
      </c>
      <c r="DG131" s="30"/>
      <c r="DH131" s="32">
        <f>VLOOKUP(A131,'T_med_comp-USA'!$A$7:$Q$233,17,0)</f>
        <v>14.9721424480992</v>
      </c>
      <c r="DI131" s="6" t="str">
        <f t="shared" si="34"/>
        <v>1_2008</v>
      </c>
      <c r="DJ131" s="32">
        <f>IF(DI131="","",VLOOKUP(DI131,'CPI USA'!$T:$U,2,FALSE))</f>
        <v>215.303</v>
      </c>
      <c r="DK131" s="32">
        <f>IF(DI131="","",VLOOKUP(DI131,'PPI USA'!$S:$T,2,FALSE))</f>
        <v>159.30000000000001</v>
      </c>
      <c r="DL131" s="32">
        <f>IF(DI131="","",VLOOKUP(DI131,'CPI USA'!$T:$V,3,FALSE))</f>
        <v>0.67018812038291731</v>
      </c>
      <c r="DM131" s="32">
        <f>IF(DI131="","",VLOOKUP(DI131,'CPI USA'!$T:$X,5,FALSE))</f>
        <v>0.49838492968660258</v>
      </c>
      <c r="DN131" s="32">
        <f t="shared" si="35"/>
        <v>1.4884333659448254</v>
      </c>
      <c r="DO131" s="32">
        <f t="shared" si="36"/>
        <v>1.5036496327119213</v>
      </c>
      <c r="DP131" s="32">
        <f t="shared" si="37"/>
        <v>0.5137631235511424</v>
      </c>
      <c r="DQ131" s="32">
        <f>IF(DP131="","",DP131*$DO$1/'CPI USA'!$U$520+(1-DP131)*AVERAGE($DO$1,$DQ$1)/AVERAGE('CPI USA'!$U$520,'PPI USA'!$T$526))</f>
        <v>1.0749083602450549</v>
      </c>
      <c r="DR131" s="6">
        <f t="shared" si="38"/>
        <v>10073326</v>
      </c>
      <c r="DS131" s="32">
        <f t="shared" si="39"/>
        <v>0.2</v>
      </c>
      <c r="DT131" s="28">
        <f>IF(DS131="","",DS131*$DO$1/'CPI USA'!$U$520+(1-DS131)*AVERAGE($DO$1,$DQ$1)/AVERAGE('CPI USA'!$U$520,'PPI USA'!$T$526))</f>
        <v>1.0854630593748538</v>
      </c>
      <c r="DU131" s="6">
        <f t="shared" si="40"/>
        <v>101118254</v>
      </c>
      <c r="DV131" s="6">
        <f t="shared" si="57"/>
        <v>11208316.635920035</v>
      </c>
      <c r="DW131" s="6">
        <f t="shared" si="41"/>
        <v>58774325.030409612</v>
      </c>
      <c r="DX131" s="16">
        <f t="shared" si="42"/>
        <v>0.44989522735410215</v>
      </c>
      <c r="DY131" s="28">
        <f>IF(DX131="","",DX131*$DO$1/'CPI USA'!$U$520+(1-DX131)*AVERAGE($DO$1,$DQ$1)/AVERAGE('CPI USA'!$U$520,'PPI USA'!$T$526))</f>
        <v>1.077056816764685</v>
      </c>
      <c r="DZ131" s="30"/>
      <c r="EA131" s="29" t="str">
        <f t="shared" si="43"/>
        <v>C001486</v>
      </c>
      <c r="EB131" s="29" t="str">
        <f t="shared" si="44"/>
        <v/>
      </c>
      <c r="EC131" s="29" t="str">
        <f t="shared" si="45"/>
        <v/>
      </c>
      <c r="ED131" s="29" t="str">
        <f t="shared" si="46"/>
        <v/>
      </c>
      <c r="EE131" s="29" t="str">
        <f t="shared" si="47"/>
        <v/>
      </c>
      <c r="EF131" s="29" t="str">
        <f t="shared" si="48"/>
        <v/>
      </c>
      <c r="EG131" s="29" t="str">
        <f t="shared" si="49"/>
        <v/>
      </c>
      <c r="EH131" s="29" t="str">
        <f t="shared" si="50"/>
        <v/>
      </c>
      <c r="EI131" s="29" t="str">
        <f t="shared" si="51"/>
        <v/>
      </c>
      <c r="EJ131" s="29" t="str">
        <f t="shared" si="52"/>
        <v/>
      </c>
      <c r="EK131" s="29" t="str">
        <f t="shared" si="53"/>
        <v/>
      </c>
      <c r="EL131" s="29" t="str">
        <f>IF(CD131=1,VLOOKUP(EA131,'EIA 2022'!$A$2:$J$213,4,0)*EH131,"")</f>
        <v/>
      </c>
      <c r="EM131" s="29" t="str">
        <f>IF(CD131=1,VLOOKUP(EA131,'EIA 2022'!$A$2:$J$213,7,0)*EH131,"")</f>
        <v/>
      </c>
      <c r="EN131" s="29" t="str">
        <f>IF(CD131=1,VLOOKUP(EA131,'EIA 2022'!$A$2:$J$213,10,0),"")</f>
        <v/>
      </c>
      <c r="EO131" s="28" t="str">
        <f>IF(CD131=1,VLOOKUP(EA131,'EIA 2022'!$A$2:$Z$213,26,0),"")</f>
        <v/>
      </c>
      <c r="EP131" s="23" t="str">
        <f t="shared" si="54"/>
        <v/>
      </c>
      <c r="EQ131" s="32" t="str">
        <f t="shared" si="55"/>
        <v/>
      </c>
      <c r="ER131" s="32" t="str">
        <f t="shared" si="56"/>
        <v/>
      </c>
      <c r="ES131" s="32"/>
      <c r="ET131" s="32"/>
    </row>
    <row r="132" spans="1:150" ht="15.75" customHeight="1">
      <c r="A132" s="7" t="s">
        <v>598</v>
      </c>
      <c r="B132" s="7" t="s">
        <v>599</v>
      </c>
      <c r="C132" s="32" t="s">
        <v>1001</v>
      </c>
      <c r="D132" s="42">
        <v>977252767</v>
      </c>
      <c r="E132" s="42">
        <v>87652353</v>
      </c>
      <c r="F132" s="42">
        <v>774936447</v>
      </c>
      <c r="G132" s="42">
        <v>801182087</v>
      </c>
      <c r="H132" s="42">
        <v>813753176</v>
      </c>
      <c r="I132" s="42">
        <v>17000998</v>
      </c>
      <c r="J132" s="42">
        <v>3148865</v>
      </c>
      <c r="K132" s="42">
        <v>7375140</v>
      </c>
      <c r="L132" s="42">
        <v>39591</v>
      </c>
      <c r="M132" s="42">
        <v>9079272</v>
      </c>
      <c r="N132" s="42">
        <v>4785102</v>
      </c>
      <c r="O132" s="42">
        <v>26499896</v>
      </c>
      <c r="P132" s="42">
        <v>30379</v>
      </c>
      <c r="Q132" s="42">
        <v>16629640</v>
      </c>
      <c r="R132" s="42">
        <v>145293</v>
      </c>
      <c r="S132" s="42">
        <v>7363927</v>
      </c>
      <c r="T132" s="42">
        <v>298417177</v>
      </c>
      <c r="U132" s="42">
        <v>7405789</v>
      </c>
      <c r="V132" s="42">
        <v>8464284</v>
      </c>
      <c r="W132" s="42">
        <v>0</v>
      </c>
      <c r="X132" s="42">
        <f>IFERROR(VLOOKUP(A132,'Trans 21-23'!$A$2:$J$229,8,0),0)</f>
        <v>16386731</v>
      </c>
      <c r="Y132" s="42">
        <v>15601970</v>
      </c>
      <c r="Z132" s="42">
        <v>2016413</v>
      </c>
      <c r="AA132" s="42">
        <v>81112521</v>
      </c>
      <c r="AB132" s="42">
        <v>56804521</v>
      </c>
      <c r="AC132" s="42">
        <v>12068930</v>
      </c>
      <c r="AD132" s="42">
        <v>274308570</v>
      </c>
      <c r="AE132" s="42">
        <v>0</v>
      </c>
      <c r="AF132" s="42">
        <v>4366232965</v>
      </c>
      <c r="AG132" s="42">
        <v>1526836</v>
      </c>
      <c r="AH132" s="42">
        <v>3212969</v>
      </c>
      <c r="AI132" s="42">
        <v>72240880</v>
      </c>
      <c r="AJ132" s="42">
        <v>138706</v>
      </c>
      <c r="AK132" s="42">
        <v>1330</v>
      </c>
      <c r="AL132" s="42">
        <v>18413314</v>
      </c>
      <c r="AM132" s="42">
        <v>13072880</v>
      </c>
      <c r="AN132" s="42">
        <v>20936510</v>
      </c>
      <c r="AO132" s="42">
        <v>118829</v>
      </c>
      <c r="AP132" s="42">
        <v>0</v>
      </c>
      <c r="AQ132" s="42">
        <v>52541533</v>
      </c>
      <c r="AR132" s="42">
        <v>16344007</v>
      </c>
      <c r="AS132" s="42">
        <v>68885540</v>
      </c>
      <c r="AT132" s="42">
        <v>0</v>
      </c>
      <c r="AU132" s="42">
        <v>13604</v>
      </c>
      <c r="AV132" s="42">
        <v>0</v>
      </c>
      <c r="AW132" s="42">
        <v>1783467344</v>
      </c>
      <c r="AX132" s="42">
        <v>118650971</v>
      </c>
      <c r="AY132" s="42">
        <v>921804096</v>
      </c>
      <c r="AZ132" s="42">
        <v>456925346</v>
      </c>
      <c r="BA132" s="42">
        <v>382093991</v>
      </c>
      <c r="BB132" s="42">
        <v>9141582738</v>
      </c>
      <c r="BC132" s="42">
        <v>34262936281</v>
      </c>
      <c r="BD132" s="42">
        <v>2187643930</v>
      </c>
      <c r="BE132" s="42">
        <v>2704364027</v>
      </c>
      <c r="BF132" s="42">
        <v>227718528</v>
      </c>
      <c r="BG132" s="42">
        <v>0</v>
      </c>
      <c r="BH132" s="42">
        <v>104753026</v>
      </c>
      <c r="BI132" s="42">
        <v>50230586</v>
      </c>
      <c r="BJ132" s="42">
        <v>26981776</v>
      </c>
      <c r="BK132" s="42">
        <v>3291540</v>
      </c>
      <c r="BL132" s="42">
        <v>0</v>
      </c>
      <c r="BM132" s="42">
        <v>70270404</v>
      </c>
      <c r="BN132" s="42">
        <v>405693264</v>
      </c>
      <c r="BO132" s="42">
        <v>17074832</v>
      </c>
      <c r="BP132" s="42">
        <v>38042213</v>
      </c>
      <c r="BQ132" s="42">
        <v>685757076</v>
      </c>
      <c r="BR132" s="42">
        <v>0</v>
      </c>
      <c r="BS132" s="42">
        <f>IFERROR(VLOOKUP(A132,'Trans 21-23'!$A$2:$J$229,7,0),0)</f>
        <v>2691972276</v>
      </c>
      <c r="BT132" s="63"/>
      <c r="BU132" s="32">
        <f t="shared" si="0"/>
        <v>9141582738</v>
      </c>
      <c r="BV132" s="32">
        <f t="shared" si="1"/>
        <v>13604</v>
      </c>
      <c r="BW132" s="32">
        <f t="shared" si="2"/>
        <v>1526836</v>
      </c>
      <c r="BX132" s="32">
        <f t="shared" si="3"/>
        <v>406385353</v>
      </c>
      <c r="BY132" s="32">
        <f t="shared" si="4"/>
        <v>167604355</v>
      </c>
      <c r="BZ132" s="32">
        <f t="shared" si="5"/>
        <v>456925346</v>
      </c>
      <c r="CA132" s="32">
        <f t="shared" si="6"/>
        <v>274308570</v>
      </c>
      <c r="CB132" s="32">
        <f t="shared" si="7"/>
        <v>3212969</v>
      </c>
      <c r="CC132" s="32">
        <f t="shared" si="8"/>
        <v>52541533</v>
      </c>
      <c r="CD132" s="41">
        <f t="shared" si="67"/>
        <v>1</v>
      </c>
      <c r="CE132" s="44">
        <f t="shared" si="10"/>
        <v>8</v>
      </c>
      <c r="CF132" s="27"/>
      <c r="CG132" s="28">
        <f t="shared" si="11"/>
        <v>671.97756086445156</v>
      </c>
      <c r="CH132" s="28">
        <f t="shared" si="12"/>
        <v>8.9099287677261998</v>
      </c>
      <c r="CI132" s="28">
        <f t="shared" si="13"/>
        <v>266.16175738586202</v>
      </c>
      <c r="CJ132" s="28">
        <f t="shared" si="14"/>
        <v>299.26288481539603</v>
      </c>
      <c r="CK132" s="23">
        <f t="shared" si="15"/>
        <v>6.1151032650684174E-2</v>
      </c>
      <c r="CL132" s="29" t="str">
        <f t="shared" si="16"/>
        <v/>
      </c>
      <c r="CM132" s="29" t="str">
        <f t="shared" si="17"/>
        <v/>
      </c>
      <c r="CN132" s="29" t="str">
        <f t="shared" si="18"/>
        <v/>
      </c>
      <c r="CO132" s="29" t="str">
        <f t="shared" si="19"/>
        <v/>
      </c>
      <c r="CP132" s="29" t="str">
        <f t="shared" si="20"/>
        <v/>
      </c>
      <c r="CQ132" s="29">
        <f t="shared" si="21"/>
        <v>0</v>
      </c>
      <c r="CR132" s="30"/>
      <c r="CS132" s="7">
        <f>VLOOKUP(A132,'Empresas 21-23'!$A$2:$M$228,13,0)</f>
        <v>1</v>
      </c>
      <c r="CT132" s="30"/>
      <c r="CU132" s="6">
        <f t="shared" si="22"/>
        <v>10370262636.799999</v>
      </c>
      <c r="CV132" s="6">
        <f t="shared" si="23"/>
        <v>456925346</v>
      </c>
      <c r="CW132" s="6">
        <f t="shared" si="24"/>
        <v>2187643930</v>
      </c>
      <c r="CX132" s="23">
        <f t="shared" si="69"/>
        <v>0.32330999584721443</v>
      </c>
      <c r="CY132" s="23">
        <f t="shared" si="70"/>
        <v>1.4245399262456125E-2</v>
      </c>
      <c r="CZ132" s="6">
        <f t="shared" si="27"/>
        <v>11077549786.723484</v>
      </c>
      <c r="DA132" s="6">
        <f t="shared" si="28"/>
        <v>488089207.22693861</v>
      </c>
      <c r="DB132" s="6">
        <f t="shared" si="29"/>
        <v>406385353</v>
      </c>
      <c r="DC132" s="6">
        <f t="shared" si="30"/>
        <v>422772084</v>
      </c>
      <c r="DD132" s="6">
        <f t="shared" si="31"/>
        <v>167604355</v>
      </c>
      <c r="DE132" s="6">
        <f t="shared" si="32"/>
        <v>274308570</v>
      </c>
      <c r="DF132" s="6">
        <f t="shared" si="71"/>
        <v>112592628.90019473</v>
      </c>
      <c r="DG132" s="30"/>
      <c r="DH132" s="32">
        <f>VLOOKUP(A132,'T_med_comp-USA'!$A$7:$Q$233,17,0)</f>
        <v>11.242839369624525</v>
      </c>
      <c r="DI132" s="6" t="str">
        <f t="shared" si="34"/>
        <v>10_2011</v>
      </c>
      <c r="DJ132" s="32">
        <f>IF(DI132="","",VLOOKUP(DI132,'CPI USA'!$T:$U,2,FALSE))</f>
        <v>224.93899999999999</v>
      </c>
      <c r="DK132" s="32">
        <f>IF(DI132="","",VLOOKUP(DI132,'PPI USA'!$S:$T,2,FALSE))</f>
        <v>169.6</v>
      </c>
      <c r="DL132" s="32">
        <f>IF(DI132="","",VLOOKUP(DI132,'CPI USA'!$T:$V,3,FALSE))</f>
        <v>0.6684022975047168</v>
      </c>
      <c r="DM132" s="32">
        <f>IF(DI132="","",VLOOKUP(DI132,'CPI USA'!$T:$X,5,FALSE))</f>
        <v>0.49636791791307899</v>
      </c>
      <c r="DN132" s="32">
        <f t="shared" si="35"/>
        <v>1.4208751760332547</v>
      </c>
      <c r="DO132" s="32">
        <f t="shared" si="36"/>
        <v>1.4334111417560953</v>
      </c>
      <c r="DP132" s="32">
        <f t="shared" si="37"/>
        <v>0.26861665693104542</v>
      </c>
      <c r="DQ132" s="32">
        <f>IF(DP132="","",DP132*$DO$1/'CPI USA'!$U$520+(1-DP132)*AVERAGE($DO$1,$DQ$1)/AVERAGE('CPI USA'!$U$520,'PPI USA'!$T$526))</f>
        <v>1.0831548589687543</v>
      </c>
      <c r="DR132" s="6">
        <f t="shared" si="38"/>
        <v>80503902</v>
      </c>
      <c r="DS132" s="32">
        <f t="shared" si="39"/>
        <v>0.50053683262928395</v>
      </c>
      <c r="DT132" s="28">
        <f>IF(DS132="","",DS132*$DO$1/'CPI USA'!$U$520+(1-DS132)*AVERAGE($DO$1,$DQ$1)/AVERAGE('CPI USA'!$U$520,'PPI USA'!$T$526))</f>
        <v>1.0753532803481678</v>
      </c>
      <c r="DU132" s="6">
        <f t="shared" si="40"/>
        <v>73227947.172006249</v>
      </c>
      <c r="DV132" s="6">
        <f t="shared" si="57"/>
        <v>4127189.0291084028</v>
      </c>
      <c r="DW132" s="6">
        <f t="shared" si="41"/>
        <v>35323669.800048962</v>
      </c>
      <c r="DX132" s="16">
        <f t="shared" si="42"/>
        <v>0.31372986087180588</v>
      </c>
      <c r="DY132" s="28">
        <f>IF(DX132="","",DX132*$DO$1/'CPI USA'!$U$520+(1-DX132)*AVERAGE($DO$1,$DQ$1)/AVERAGE('CPI USA'!$U$520,'PPI USA'!$T$526))</f>
        <v>1.0816372928220799</v>
      </c>
      <c r="DZ132" s="30"/>
      <c r="EA132" s="29" t="str">
        <f t="shared" si="43"/>
        <v>C001552</v>
      </c>
      <c r="EB132" s="29">
        <f t="shared" si="44"/>
        <v>15739815503.227875</v>
      </c>
      <c r="EC132" s="29">
        <f t="shared" si="45"/>
        <v>699632507.80999351</v>
      </c>
      <c r="ED132" s="29">
        <f t="shared" si="46"/>
        <v>457927637.02094632</v>
      </c>
      <c r="EE132" s="29">
        <f t="shared" si="47"/>
        <v>180233892.94988883</v>
      </c>
      <c r="EF132" s="29">
        <f t="shared" si="48"/>
        <v>121784386.3153277</v>
      </c>
      <c r="EG132" s="29">
        <f t="shared" si="49"/>
        <v>13604</v>
      </c>
      <c r="EH132" s="29">
        <f t="shared" si="50"/>
        <v>1526836</v>
      </c>
      <c r="EI132" s="29">
        <f t="shared" si="51"/>
        <v>3212969</v>
      </c>
      <c r="EJ132" s="29">
        <f t="shared" si="52"/>
        <v>52541533</v>
      </c>
      <c r="EK132" s="29">
        <f t="shared" si="53"/>
        <v>55505608.49238579</v>
      </c>
      <c r="EL132" s="29">
        <f>IF(CD132=1,VLOOKUP(EA132,'EIA 2022'!$A$2:$J$213,4,0)*EH132,"")</f>
        <v>203221871.59999999</v>
      </c>
      <c r="EM132" s="29">
        <f>IF(CD132=1,VLOOKUP(EA132,'EIA 2022'!$A$2:$J$213,7,0)*EH132,"")</f>
        <v>2038326.06</v>
      </c>
      <c r="EN132" s="29">
        <f>IF(CD132=1,VLOOKUP(EA132,'EIA 2022'!$A$2:$J$213,10,0),"")</f>
        <v>1504025</v>
      </c>
      <c r="EO132" s="28">
        <f>IF(CD132=1,VLOOKUP(EA132,'EIA 2022'!$A$2:$Z$213,26,0),"")</f>
        <v>0</v>
      </c>
      <c r="EP132" s="23">
        <f t="shared" si="54"/>
        <v>5.3401369211048197E-2</v>
      </c>
      <c r="EQ132" s="32">
        <f t="shared" si="55"/>
        <v>248893.50761421397</v>
      </c>
      <c r="ER132" s="32">
        <f t="shared" si="56"/>
        <v>2964075.492385786</v>
      </c>
      <c r="ES132" s="32"/>
      <c r="ET132" s="32"/>
    </row>
    <row r="133" spans="1:150" ht="15.75" customHeight="1">
      <c r="A133" s="7" t="s">
        <v>601</v>
      </c>
      <c r="B133" s="7" t="s">
        <v>602</v>
      </c>
      <c r="C133" s="32" t="s">
        <v>1002</v>
      </c>
      <c r="D133" s="42">
        <v>641245781</v>
      </c>
      <c r="E133" s="42">
        <v>122119830</v>
      </c>
      <c r="F133" s="42">
        <v>1722485510</v>
      </c>
      <c r="G133" s="42">
        <v>2284753973</v>
      </c>
      <c r="H133" s="42">
        <v>2309682153</v>
      </c>
      <c r="I133" s="42">
        <v>24567564</v>
      </c>
      <c r="J133" s="42">
        <v>1365610</v>
      </c>
      <c r="K133" s="42">
        <v>8315033</v>
      </c>
      <c r="L133" s="42">
        <v>2506397</v>
      </c>
      <c r="M133" s="42">
        <v>20760781</v>
      </c>
      <c r="N133" s="42">
        <v>2977012</v>
      </c>
      <c r="O133" s="42">
        <v>49844869</v>
      </c>
      <c r="P133" s="42">
        <v>3314278</v>
      </c>
      <c r="Q133" s="42">
        <v>15063647</v>
      </c>
      <c r="R133" s="42">
        <v>1102000</v>
      </c>
      <c r="S133" s="42">
        <v>21291250</v>
      </c>
      <c r="T133" s="42">
        <v>201172289</v>
      </c>
      <c r="U133" s="42">
        <v>28860934</v>
      </c>
      <c r="V133" s="42">
        <v>6252535</v>
      </c>
      <c r="W133" s="42">
        <v>0</v>
      </c>
      <c r="X133" s="42">
        <f>IFERROR(VLOOKUP(A133,'Trans 21-23'!$A$2:$J$229,8,0),0)</f>
        <v>27934698</v>
      </c>
      <c r="Y133" s="42">
        <v>31085224</v>
      </c>
      <c r="Z133" s="42">
        <v>4732521</v>
      </c>
      <c r="AA133" s="42">
        <v>145178977</v>
      </c>
      <c r="AB133" s="42">
        <v>72854593</v>
      </c>
      <c r="AC133" s="42">
        <v>41263883</v>
      </c>
      <c r="AD133" s="42">
        <v>517914075</v>
      </c>
      <c r="AE133" s="42">
        <v>0</v>
      </c>
      <c r="AF133" s="42">
        <v>6802332052</v>
      </c>
      <c r="AG133" s="42">
        <v>2693353</v>
      </c>
      <c r="AH133" s="42">
        <v>3534078</v>
      </c>
      <c r="AI133" s="42">
        <v>92053334</v>
      </c>
      <c r="AJ133" s="42">
        <v>117215</v>
      </c>
      <c r="AK133" s="42">
        <v>0</v>
      </c>
      <c r="AL133" s="42">
        <v>29085636</v>
      </c>
      <c r="AM133" s="42">
        <v>32574680</v>
      </c>
      <c r="AN133" s="42">
        <v>23851133</v>
      </c>
      <c r="AO133" s="42">
        <v>301346</v>
      </c>
      <c r="AP133" s="42">
        <v>0</v>
      </c>
      <c r="AQ133" s="42">
        <v>85956486</v>
      </c>
      <c r="AR133" s="42">
        <v>2445555</v>
      </c>
      <c r="AS133" s="42">
        <v>88402041</v>
      </c>
      <c r="AT133" s="42">
        <v>143691</v>
      </c>
      <c r="AU133" s="42">
        <v>17074</v>
      </c>
      <c r="AV133" s="42">
        <v>0</v>
      </c>
      <c r="AW133" s="42">
        <v>1671077514</v>
      </c>
      <c r="AX133" s="42">
        <v>590663706</v>
      </c>
      <c r="AY133" s="42">
        <v>2795459128</v>
      </c>
      <c r="AZ133" s="42">
        <v>546368683</v>
      </c>
      <c r="BA133" s="42">
        <v>1052431046</v>
      </c>
      <c r="BB133" s="42">
        <v>13787010161</v>
      </c>
      <c r="BC133" s="42">
        <v>43320799473</v>
      </c>
      <c r="BD133" s="42">
        <v>2119689087</v>
      </c>
      <c r="BE133" s="42">
        <v>3495034087</v>
      </c>
      <c r="BF133" s="42">
        <v>348073979</v>
      </c>
      <c r="BG133" s="42">
        <v>0</v>
      </c>
      <c r="BH133" s="42">
        <v>130082025</v>
      </c>
      <c r="BI133" s="42">
        <v>57368938</v>
      </c>
      <c r="BJ133" s="42">
        <v>12669204</v>
      </c>
      <c r="BK133" s="42">
        <v>22488954</v>
      </c>
      <c r="BL133" s="42">
        <v>0</v>
      </c>
      <c r="BM133" s="42">
        <v>89895247</v>
      </c>
      <c r="BN133" s="42">
        <v>467707153</v>
      </c>
      <c r="BO133" s="42">
        <v>6641386</v>
      </c>
      <c r="BP133" s="42">
        <v>44734137</v>
      </c>
      <c r="BQ133" s="42">
        <v>785864380</v>
      </c>
      <c r="BR133" s="42">
        <v>0</v>
      </c>
      <c r="BS133" s="42">
        <f>IFERROR(VLOOKUP(A133,'Trans 21-23'!$A$2:$J$229,7,0),0)</f>
        <v>2529867151</v>
      </c>
      <c r="BT133" s="63"/>
      <c r="BU133" s="32">
        <f t="shared" si="0"/>
        <v>13787010161</v>
      </c>
      <c r="BV133" s="32">
        <f t="shared" si="1"/>
        <v>17074</v>
      </c>
      <c r="BW133" s="32">
        <f t="shared" si="2"/>
        <v>2693353</v>
      </c>
      <c r="BX133" s="32">
        <f t="shared" si="3"/>
        <v>387394199</v>
      </c>
      <c r="BY133" s="32">
        <f t="shared" si="4"/>
        <v>295115198</v>
      </c>
      <c r="BZ133" s="32">
        <f t="shared" si="5"/>
        <v>546368683</v>
      </c>
      <c r="CA133" s="32">
        <f t="shared" si="6"/>
        <v>517914075</v>
      </c>
      <c r="CB133" s="32">
        <f t="shared" si="7"/>
        <v>3534078</v>
      </c>
      <c r="CC133" s="32">
        <f t="shared" si="8"/>
        <v>85956486</v>
      </c>
      <c r="CD133" s="41">
        <f t="shared" si="67"/>
        <v>1</v>
      </c>
      <c r="CE133" s="44">
        <f t="shared" si="10"/>
        <v>8</v>
      </c>
      <c r="CF133" s="27"/>
      <c r="CG133" s="28">
        <f t="shared" si="11"/>
        <v>807.48566012650815</v>
      </c>
      <c r="CH133" s="28">
        <f t="shared" si="12"/>
        <v>6.3393101461264081</v>
      </c>
      <c r="CI133" s="28">
        <f t="shared" si="13"/>
        <v>143.83342955787822</v>
      </c>
      <c r="CJ133" s="28">
        <f t="shared" si="14"/>
        <v>202.85817826330228</v>
      </c>
      <c r="CK133" s="23">
        <f t="shared" si="15"/>
        <v>4.1114733331467271E-2</v>
      </c>
      <c r="CL133" s="29" t="str">
        <f t="shared" si="16"/>
        <v/>
      </c>
      <c r="CM133" s="29" t="str">
        <f t="shared" si="17"/>
        <v/>
      </c>
      <c r="CN133" s="29" t="str">
        <f t="shared" si="18"/>
        <v/>
      </c>
      <c r="CO133" s="29" t="str">
        <f t="shared" si="19"/>
        <v/>
      </c>
      <c r="CP133" s="29" t="str">
        <f t="shared" si="20"/>
        <v/>
      </c>
      <c r="CQ133" s="29">
        <f t="shared" si="21"/>
        <v>0</v>
      </c>
      <c r="CR133" s="30"/>
      <c r="CS133" s="7">
        <f>VLOOKUP(A133,'Empresas 21-23'!$A$2:$M$228,13,0)</f>
        <v>1</v>
      </c>
      <c r="CT133" s="30"/>
      <c r="CU133" s="6">
        <f t="shared" si="22"/>
        <v>12686403882.6</v>
      </c>
      <c r="CV133" s="6">
        <f t="shared" si="23"/>
        <v>546368683</v>
      </c>
      <c r="CW133" s="6">
        <f t="shared" si="24"/>
        <v>2119689087</v>
      </c>
      <c r="CX133" s="23">
        <f t="shared" si="69"/>
        <v>0.3079141257054761</v>
      </c>
      <c r="CY133" s="23">
        <f t="shared" si="70"/>
        <v>1.3261018401718956E-2</v>
      </c>
      <c r="CZ133" s="6">
        <f t="shared" si="27"/>
        <v>13339086094.591043</v>
      </c>
      <c r="DA133" s="6">
        <f t="shared" si="28"/>
        <v>574477918.98862982</v>
      </c>
      <c r="DB133" s="6">
        <f t="shared" si="29"/>
        <v>387394199</v>
      </c>
      <c r="DC133" s="6">
        <f t="shared" si="30"/>
        <v>415328897</v>
      </c>
      <c r="DD133" s="6">
        <f t="shared" si="31"/>
        <v>295115198</v>
      </c>
      <c r="DE133" s="6">
        <f t="shared" si="32"/>
        <v>517914075</v>
      </c>
      <c r="DF133" s="6">
        <f t="shared" si="71"/>
        <v>247130617.67626822</v>
      </c>
      <c r="DG133" s="30"/>
      <c r="DH133" s="32">
        <f>VLOOKUP(A133,'T_med_comp-USA'!$A$7:$Q$233,17,0)</f>
        <v>9.7630032447211974</v>
      </c>
      <c r="DI133" s="6" t="str">
        <f t="shared" si="34"/>
        <v>3_2013</v>
      </c>
      <c r="DJ133" s="32">
        <f>IF(DI133="","",VLOOKUP(DI133,'CPI USA'!$T:$U,2,FALSE))</f>
        <v>232.773</v>
      </c>
      <c r="DK133" s="32">
        <f>IF(DI133="","",VLOOKUP(DI133,'PPI USA'!$S:$T,2,FALSE))</f>
        <v>166</v>
      </c>
      <c r="DL133" s="32">
        <f>IF(DI133="","",VLOOKUP(DI133,'CPI USA'!$T:$V,3,FALSE))</f>
        <v>0.67305131835944076</v>
      </c>
      <c r="DM133" s="32">
        <f>IF(DI133="","",VLOOKUP(DI133,'CPI USA'!$T:$X,5,FALSE))</f>
        <v>0.50163050295255052</v>
      </c>
      <c r="DN133" s="32">
        <f t="shared" si="35"/>
        <v>1.3837971226169852</v>
      </c>
      <c r="DO133" s="32">
        <f t="shared" si="36"/>
        <v>1.4016715257319334</v>
      </c>
      <c r="DP133" s="32">
        <f t="shared" si="37"/>
        <v>0.34055536876729281</v>
      </c>
      <c r="DQ133" s="32">
        <f>IF(DP133="","",DP133*$DO$1/'CPI USA'!$U$520+(1-DP133)*AVERAGE($DO$1,$DQ$1)/AVERAGE('CPI USA'!$U$520,'PPI USA'!$T$526))</f>
        <v>1.0807349077309436</v>
      </c>
      <c r="DR133" s="6">
        <f t="shared" si="38"/>
        <v>92527096</v>
      </c>
      <c r="DS133" s="32">
        <f t="shared" si="39"/>
        <v>0.31798081022314018</v>
      </c>
      <c r="DT133" s="28">
        <f>IF(DS133="","",DS133*$DO$1/'CPI USA'!$U$520+(1-DS133)*AVERAGE($DO$1,$DQ$1)/AVERAGE('CPI USA'!$U$520,'PPI USA'!$T$526))</f>
        <v>1.0814942948466917</v>
      </c>
      <c r="DU133" s="6">
        <f t="shared" si="40"/>
        <v>91171748.826116696</v>
      </c>
      <c r="DV133" s="6">
        <f t="shared" si="57"/>
        <v>5426018.3455323372</v>
      </c>
      <c r="DW133" s="6">
        <f t="shared" si="41"/>
        <v>45976513.08669091</v>
      </c>
      <c r="DX133" s="16">
        <f t="shared" si="42"/>
        <v>0.2</v>
      </c>
      <c r="DY133" s="28">
        <f>IF(DX133="","",DX133*$DO$1/'CPI USA'!$U$520+(1-DX133)*AVERAGE($DO$1,$DQ$1)/AVERAGE('CPI USA'!$U$520,'PPI USA'!$T$526))</f>
        <v>1.0854630593748538</v>
      </c>
      <c r="DZ133" s="30"/>
      <c r="EA133" s="29" t="str">
        <f t="shared" si="43"/>
        <v>C001553</v>
      </c>
      <c r="EB133" s="29">
        <f t="shared" si="44"/>
        <v>18458588956.035324</v>
      </c>
      <c r="EC133" s="29">
        <f t="shared" si="45"/>
        <v>805229341.20809877</v>
      </c>
      <c r="ED133" s="29">
        <f t="shared" si="46"/>
        <v>448860437.17728961</v>
      </c>
      <c r="EE133" s="29">
        <f t="shared" si="47"/>
        <v>319165402.95955181</v>
      </c>
      <c r="EF133" s="29">
        <f t="shared" si="48"/>
        <v>268251156.3280794</v>
      </c>
      <c r="EG133" s="29">
        <f t="shared" si="49"/>
        <v>17074</v>
      </c>
      <c r="EH133" s="29">
        <f t="shared" si="50"/>
        <v>2693353</v>
      </c>
      <c r="EI133" s="29">
        <f t="shared" si="51"/>
        <v>3534078</v>
      </c>
      <c r="EJ133" s="29">
        <f t="shared" si="52"/>
        <v>85956486</v>
      </c>
      <c r="EK133" s="29">
        <f t="shared" si="53"/>
        <v>89453322.045685276</v>
      </c>
      <c r="EL133" s="29">
        <f>IF(CD133=1,VLOOKUP(EA133,'EIA 2022'!$A$2:$J$213,4,0)*EH133,"")</f>
        <v>383668134.84999996</v>
      </c>
      <c r="EM133" s="29">
        <f>IF(CD133=1,VLOOKUP(EA133,'EIA 2022'!$A$2:$J$213,7,0)*EH133,"")</f>
        <v>4309364.8</v>
      </c>
      <c r="EN133" s="29">
        <f>IF(CD133=1,VLOOKUP(EA133,'EIA 2022'!$A$2:$J$213,10,0),"")</f>
        <v>2676460</v>
      </c>
      <c r="EO133" s="28">
        <f>IF(CD133=1,VLOOKUP(EA133,'EIA 2022'!$A$2:$Z$213,26,0),"")</f>
        <v>0</v>
      </c>
      <c r="EP133" s="23">
        <f t="shared" si="54"/>
        <v>3.9091181475623543E-2</v>
      </c>
      <c r="EQ133" s="32">
        <f t="shared" si="55"/>
        <v>37241.954314720817</v>
      </c>
      <c r="ER133" s="32">
        <f t="shared" si="56"/>
        <v>3496836.0456852792</v>
      </c>
      <c r="ES133" s="32"/>
      <c r="ET133" s="32"/>
    </row>
    <row r="134" spans="1:150" ht="15.75" customHeight="1">
      <c r="A134" s="7" t="s">
        <v>607</v>
      </c>
      <c r="B134" s="7" t="s">
        <v>608</v>
      </c>
      <c r="C134" s="32" t="s">
        <v>1003</v>
      </c>
      <c r="D134" s="42">
        <v>304023151</v>
      </c>
      <c r="E134" s="42">
        <v>0</v>
      </c>
      <c r="F134" s="42">
        <v>439999396</v>
      </c>
      <c r="G134" s="42">
        <v>42666402</v>
      </c>
      <c r="H134" s="42">
        <v>46553163</v>
      </c>
      <c r="I134" s="42">
        <v>4816767</v>
      </c>
      <c r="J134" s="42">
        <v>491221</v>
      </c>
      <c r="K134" s="42">
        <v>104102</v>
      </c>
      <c r="L134" s="42">
        <v>1653407</v>
      </c>
      <c r="M134" s="42">
        <v>1117846</v>
      </c>
      <c r="N134" s="42">
        <v>292525</v>
      </c>
      <c r="O134" s="42">
        <v>9461631</v>
      </c>
      <c r="P134" s="42">
        <v>5287</v>
      </c>
      <c r="Q134" s="42">
        <v>1939282</v>
      </c>
      <c r="R134" s="42">
        <v>98929</v>
      </c>
      <c r="S134" s="42">
        <v>1177032</v>
      </c>
      <c r="T134" s="42">
        <v>21849649</v>
      </c>
      <c r="U134" s="42">
        <v>1149445</v>
      </c>
      <c r="V134" s="42">
        <v>112573</v>
      </c>
      <c r="W134" s="42">
        <v>1394461</v>
      </c>
      <c r="X134" s="42">
        <f>IFERROR(VLOOKUP(A134,'Trans 21-23'!$A$2:$J$229,8,0),0)</f>
        <v>3576903</v>
      </c>
      <c r="Y134" s="42">
        <v>3976530</v>
      </c>
      <c r="Z134" s="42">
        <v>558222</v>
      </c>
      <c r="AA134" s="42">
        <v>10660493</v>
      </c>
      <c r="AB134" s="42">
        <v>4928473</v>
      </c>
      <c r="AC134" s="42">
        <v>5416468</v>
      </c>
      <c r="AD134" s="42">
        <v>69350605</v>
      </c>
      <c r="AE134" s="42">
        <v>0</v>
      </c>
      <c r="AF134" s="42">
        <v>1081146285</v>
      </c>
      <c r="AG134" s="42">
        <v>191513</v>
      </c>
      <c r="AH134" s="42">
        <v>573279</v>
      </c>
      <c r="AI134" s="42">
        <v>19035272</v>
      </c>
      <c r="AJ134" s="42">
        <v>24894</v>
      </c>
      <c r="AK134" s="42">
        <v>0</v>
      </c>
      <c r="AL134" s="42">
        <v>2133666</v>
      </c>
      <c r="AM134" s="42">
        <v>2631724</v>
      </c>
      <c r="AN134" s="42">
        <v>4686402</v>
      </c>
      <c r="AO134" s="42">
        <v>30975</v>
      </c>
      <c r="AP134" s="42">
        <v>0</v>
      </c>
      <c r="AQ134" s="42">
        <v>9482767</v>
      </c>
      <c r="AR134" s="42">
        <v>8954332</v>
      </c>
      <c r="AS134" s="42">
        <v>18437099</v>
      </c>
      <c r="AT134" s="42">
        <v>0</v>
      </c>
      <c r="AU134" s="42">
        <v>2440</v>
      </c>
      <c r="AV134" s="42">
        <v>0</v>
      </c>
      <c r="AW134" s="42">
        <v>196166860</v>
      </c>
      <c r="AX134" s="42">
        <v>541193</v>
      </c>
      <c r="AY134" s="42">
        <v>106018492</v>
      </c>
      <c r="AZ134" s="42">
        <v>48061923</v>
      </c>
      <c r="BA134" s="42">
        <v>82859610</v>
      </c>
      <c r="BB134" s="42">
        <v>1226847554</v>
      </c>
      <c r="BC134" s="42">
        <v>5127071204</v>
      </c>
      <c r="BD134" s="42">
        <v>215023162</v>
      </c>
      <c r="BE134" s="42">
        <v>467622308</v>
      </c>
      <c r="BF134" s="42">
        <v>44147594</v>
      </c>
      <c r="BG134" s="42">
        <v>0</v>
      </c>
      <c r="BH134" s="42">
        <v>19269507</v>
      </c>
      <c r="BI134" s="42">
        <v>5720557</v>
      </c>
      <c r="BJ134" s="42">
        <v>2371401</v>
      </c>
      <c r="BK134" s="42">
        <v>2171036</v>
      </c>
      <c r="BL134" s="42">
        <v>0</v>
      </c>
      <c r="BM134" s="42">
        <v>20093725</v>
      </c>
      <c r="BN134" s="42">
        <v>85353175</v>
      </c>
      <c r="BO134" s="42">
        <v>5375218</v>
      </c>
      <c r="BP134" s="42">
        <v>186662</v>
      </c>
      <c r="BQ134" s="42">
        <v>114580900</v>
      </c>
      <c r="BR134" s="42">
        <v>0</v>
      </c>
      <c r="BS134" s="42">
        <f>IFERROR(VLOOKUP(A134,'Trans 21-23'!$A$2:$J$229,7,0),0)</f>
        <v>346203756</v>
      </c>
      <c r="BT134" s="63"/>
      <c r="BU134" s="32">
        <f t="shared" si="0"/>
        <v>1226847554</v>
      </c>
      <c r="BV134" s="32">
        <f t="shared" si="1"/>
        <v>2440</v>
      </c>
      <c r="BW134" s="32">
        <f t="shared" si="2"/>
        <v>191513</v>
      </c>
      <c r="BX134" s="32">
        <f t="shared" si="3"/>
        <v>45664157</v>
      </c>
      <c r="BY134" s="32">
        <f t="shared" si="4"/>
        <v>25540186</v>
      </c>
      <c r="BZ134" s="32">
        <f t="shared" si="5"/>
        <v>48061923</v>
      </c>
      <c r="CA134" s="32">
        <f t="shared" si="6"/>
        <v>69350605</v>
      </c>
      <c r="CB134" s="32">
        <f t="shared" si="7"/>
        <v>573279</v>
      </c>
      <c r="CC134" s="32">
        <f t="shared" si="8"/>
        <v>9482767</v>
      </c>
      <c r="CD134" s="41">
        <f t="shared" si="67"/>
        <v>1</v>
      </c>
      <c r="CE134" s="44">
        <f t="shared" si="10"/>
        <v>9</v>
      </c>
      <c r="CF134" s="27"/>
      <c r="CG134" s="28">
        <f t="shared" si="11"/>
        <v>502.80637459016395</v>
      </c>
      <c r="CH134" s="28">
        <f t="shared" si="12"/>
        <v>12.740649459827793</v>
      </c>
      <c r="CI134" s="28">
        <f t="shared" si="13"/>
        <v>238.4389414817793</v>
      </c>
      <c r="CJ134" s="28">
        <f t="shared" si="14"/>
        <v>250.95906283124384</v>
      </c>
      <c r="CK134" s="23">
        <f t="shared" si="15"/>
        <v>6.0454822943556454E-2</v>
      </c>
      <c r="CL134" s="29" t="str">
        <f t="shared" si="16"/>
        <v/>
      </c>
      <c r="CM134" s="29" t="str">
        <f t="shared" si="17"/>
        <v/>
      </c>
      <c r="CN134" s="29" t="str">
        <f t="shared" si="18"/>
        <v/>
      </c>
      <c r="CO134" s="29" t="str">
        <f t="shared" si="19"/>
        <v/>
      </c>
      <c r="CP134" s="29" t="str">
        <f t="shared" si="20"/>
        <v/>
      </c>
      <c r="CQ134" s="29">
        <f t="shared" si="21"/>
        <v>0</v>
      </c>
      <c r="CR134" s="30"/>
      <c r="CS134" s="7">
        <f>VLOOKUP(A134,'Empresas 21-23'!$A$2:$M$228,13,0)</f>
        <v>1</v>
      </c>
      <c r="CT134" s="30"/>
      <c r="CU134" s="6">
        <f t="shared" si="22"/>
        <v>1378193966</v>
      </c>
      <c r="CV134" s="6">
        <f t="shared" si="23"/>
        <v>48061923</v>
      </c>
      <c r="CW134" s="6">
        <f t="shared" si="24"/>
        <v>215023162</v>
      </c>
      <c r="CX134" s="23">
        <f t="shared" si="69"/>
        <v>0.28057420330906446</v>
      </c>
      <c r="CY134" s="23">
        <f t="shared" si="70"/>
        <v>9.784497746978673E-3</v>
      </c>
      <c r="CZ134" s="6">
        <f t="shared" si="27"/>
        <v>1438523918.371146</v>
      </c>
      <c r="DA134" s="6">
        <f t="shared" si="28"/>
        <v>50165816.644137233</v>
      </c>
      <c r="DB134" s="6">
        <f t="shared" si="29"/>
        <v>45664157</v>
      </c>
      <c r="DC134" s="6">
        <f t="shared" si="30"/>
        <v>49241060</v>
      </c>
      <c r="DD134" s="6">
        <f t="shared" si="31"/>
        <v>25540186</v>
      </c>
      <c r="DE134" s="6">
        <f t="shared" si="32"/>
        <v>69350605</v>
      </c>
      <c r="DF134" s="6">
        <f t="shared" si="71"/>
        <v>23443293.355269101</v>
      </c>
      <c r="DG134" s="30"/>
      <c r="DH134" s="32">
        <f>VLOOKUP(A134,'T_med_comp-USA'!$A$7:$Q$233,17,0)</f>
        <v>10.589602858026625</v>
      </c>
      <c r="DI134" s="6" t="str">
        <f t="shared" si="34"/>
        <v>5_2012</v>
      </c>
      <c r="DJ134" s="32">
        <f>IF(DI134="","",VLOOKUP(DI134,'CPI USA'!$T:$U,2,FALSE))</f>
        <v>229.59399999999999</v>
      </c>
      <c r="DK134" s="32">
        <f>IF(DI134="","",VLOOKUP(DI134,'PPI USA'!$S:$T,2,FALSE))</f>
        <v>175.1</v>
      </c>
      <c r="DL134" s="32">
        <f>IF(DI134="","",VLOOKUP(DI134,'CPI USA'!$T:$V,3,FALSE))</f>
        <v>0.66730871354337351</v>
      </c>
      <c r="DM134" s="32">
        <f>IF(DI134="","",VLOOKUP(DI134,'CPI USA'!$T:$X,5,FALSE))</f>
        <v>0.49513551903851311</v>
      </c>
      <c r="DN134" s="32">
        <f t="shared" si="35"/>
        <v>1.3897894616766442</v>
      </c>
      <c r="DO134" s="32">
        <f t="shared" si="36"/>
        <v>1.4008620811189902</v>
      </c>
      <c r="DP134" s="32">
        <f t="shared" si="37"/>
        <v>0.4485580930988935</v>
      </c>
      <c r="DQ134" s="32">
        <f>IF(DP134="","",DP134*$DO$1/'CPI USA'!$U$520+(1-DP134)*AVERAGE($DO$1,$DQ$1)/AVERAGE('CPI USA'!$U$520,'PPI USA'!$T$526))</f>
        <v>1.0771017967151655</v>
      </c>
      <c r="DR134" s="6">
        <f t="shared" si="38"/>
        <v>10262994</v>
      </c>
      <c r="DS134" s="32">
        <f t="shared" si="39"/>
        <v>0.42714325918617058</v>
      </c>
      <c r="DT134" s="28">
        <f>IF(DS134="","",DS134*$DO$1/'CPI USA'!$U$520+(1-DS134)*AVERAGE($DO$1,$DQ$1)/AVERAGE('CPI USA'!$U$520,'PPI USA'!$T$526))</f>
        <v>1.0778221717748768</v>
      </c>
      <c r="DU134" s="6">
        <f t="shared" si="40"/>
        <v>21359151.298518479</v>
      </c>
      <c r="DV134" s="6">
        <f t="shared" si="57"/>
        <v>32787.795622625679</v>
      </c>
      <c r="DW134" s="6">
        <f t="shared" si="41"/>
        <v>7401686.7291657431</v>
      </c>
      <c r="DX134" s="16">
        <f t="shared" si="42"/>
        <v>0.31572725798366313</v>
      </c>
      <c r="DY134" s="28">
        <f>IF(DX134="","",DX134*$DO$1/'CPI USA'!$U$520+(1-DX134)*AVERAGE($DO$1,$DQ$1)/AVERAGE('CPI USA'!$U$520,'PPI USA'!$T$526))</f>
        <v>1.0815701022442969</v>
      </c>
      <c r="DZ134" s="30"/>
      <c r="EA134" s="29" t="str">
        <f t="shared" si="43"/>
        <v>C001555</v>
      </c>
      <c r="EB134" s="29">
        <f t="shared" si="44"/>
        <v>1999245382.1220119</v>
      </c>
      <c r="EC134" s="29">
        <f t="shared" si="45"/>
        <v>70275390.305139765</v>
      </c>
      <c r="ED134" s="29">
        <f t="shared" si="46"/>
        <v>53037634.19815927</v>
      </c>
      <c r="EE134" s="29">
        <f t="shared" si="47"/>
        <v>27527778.742054306</v>
      </c>
      <c r="EF134" s="29">
        <f t="shared" si="48"/>
        <v>25355565.191201448</v>
      </c>
      <c r="EG134" s="29">
        <f t="shared" si="49"/>
        <v>2440</v>
      </c>
      <c r="EH134" s="29">
        <f t="shared" si="50"/>
        <v>191513</v>
      </c>
      <c r="EI134" s="29">
        <f t="shared" si="51"/>
        <v>573279</v>
      </c>
      <c r="EJ134" s="29">
        <f t="shared" si="52"/>
        <v>9482767</v>
      </c>
      <c r="EK134" s="29">
        <f t="shared" si="53"/>
        <v>9919685.6142131984</v>
      </c>
      <c r="EL134" s="29">
        <f>IF(CD134=1,VLOOKUP(EA134,'EIA 2022'!$A$2:$J$213,4,0)*EH134,"")</f>
        <v>14953335.039999999</v>
      </c>
      <c r="EM134" s="29">
        <f>IF(CD134=1,VLOOKUP(EA134,'EIA 2022'!$A$2:$J$213,7,0)*EH134,"")</f>
        <v>206834.04</v>
      </c>
      <c r="EN134" s="29">
        <f>IF(CD134=1,VLOOKUP(EA134,'EIA 2022'!$A$2:$J$213,10,0),"")</f>
        <v>191476</v>
      </c>
      <c r="EO134" s="28">
        <f>IF(CD134=1,VLOOKUP(EA134,'EIA 2022'!$A$2:$Z$213,26,0),"")</f>
        <v>0</v>
      </c>
      <c r="EP134" s="23">
        <f t="shared" si="54"/>
        <v>4.4045611041056525E-2</v>
      </c>
      <c r="EQ134" s="32">
        <f t="shared" si="55"/>
        <v>136360.38578680158</v>
      </c>
      <c r="ER134" s="32">
        <f t="shared" si="56"/>
        <v>436918.61421319842</v>
      </c>
      <c r="ES134" s="32"/>
      <c r="ET134" s="32"/>
    </row>
    <row r="135" spans="1:150" ht="15.75" customHeight="1">
      <c r="A135" s="7" t="s">
        <v>610</v>
      </c>
      <c r="B135" s="7" t="s">
        <v>611</v>
      </c>
      <c r="C135" s="32" t="s">
        <v>1004</v>
      </c>
      <c r="D135" s="42">
        <v>149193160</v>
      </c>
      <c r="E135" s="42">
        <v>0</v>
      </c>
      <c r="F135" s="42">
        <v>99520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v>0</v>
      </c>
      <c r="V135" s="42">
        <v>0</v>
      </c>
      <c r="W135" s="42">
        <v>0</v>
      </c>
      <c r="X135" s="42">
        <f>IFERROR(VLOOKUP(A135,'Trans 21-23'!$A$2:$J$229,8,0),0)</f>
        <v>0</v>
      </c>
      <c r="Y135" s="42">
        <v>0</v>
      </c>
      <c r="Z135" s="42">
        <v>0</v>
      </c>
      <c r="AA135" s="42">
        <v>0</v>
      </c>
      <c r="AB135" s="42">
        <v>0</v>
      </c>
      <c r="AC135" s="42">
        <v>0</v>
      </c>
      <c r="AD135" s="42">
        <v>5957892</v>
      </c>
      <c r="AE135" s="42">
        <v>0</v>
      </c>
      <c r="AF135" s="42">
        <v>210993348</v>
      </c>
      <c r="AG135" s="42">
        <v>0</v>
      </c>
      <c r="AH135" s="42">
        <v>0</v>
      </c>
      <c r="AI135" s="42">
        <v>1299654</v>
      </c>
      <c r="AJ135" s="42">
        <v>0</v>
      </c>
      <c r="AK135" s="42">
        <v>0</v>
      </c>
      <c r="AL135" s="42">
        <v>0</v>
      </c>
      <c r="AM135" s="42">
        <v>0</v>
      </c>
      <c r="AN135" s="42">
        <v>0</v>
      </c>
      <c r="AO135" s="42">
        <v>0</v>
      </c>
      <c r="AP135" s="42">
        <v>0</v>
      </c>
      <c r="AQ135" s="42">
        <v>0</v>
      </c>
      <c r="AR135" s="42">
        <v>1299654</v>
      </c>
      <c r="AS135" s="42">
        <v>1299654</v>
      </c>
      <c r="AT135" s="42">
        <v>0</v>
      </c>
      <c r="AU135" s="42">
        <v>891</v>
      </c>
      <c r="AV135" s="42">
        <v>0</v>
      </c>
      <c r="AW135" s="42">
        <v>0</v>
      </c>
      <c r="AX135" s="42">
        <v>0</v>
      </c>
      <c r="AY135" s="42">
        <v>0</v>
      </c>
      <c r="AZ135" s="42">
        <v>0</v>
      </c>
      <c r="BA135" s="42">
        <v>0</v>
      </c>
      <c r="BB135" s="42">
        <v>0</v>
      </c>
      <c r="BC135" s="42">
        <v>843410025</v>
      </c>
      <c r="BD135" s="42">
        <v>23648397</v>
      </c>
      <c r="BE135" s="42">
        <v>0</v>
      </c>
      <c r="BF135" s="42">
        <v>0</v>
      </c>
      <c r="BG135" s="42">
        <v>0</v>
      </c>
      <c r="BH135" s="42">
        <v>0</v>
      </c>
      <c r="BI135" s="42">
        <v>0</v>
      </c>
      <c r="BJ135" s="42">
        <v>0</v>
      </c>
      <c r="BK135" s="42">
        <v>0</v>
      </c>
      <c r="BL135" s="42">
        <v>0</v>
      </c>
      <c r="BM135" s="42">
        <v>0</v>
      </c>
      <c r="BN135" s="42">
        <v>0</v>
      </c>
      <c r="BO135" s="42">
        <v>0</v>
      </c>
      <c r="BP135" s="42">
        <v>0</v>
      </c>
      <c r="BQ135" s="42">
        <v>0</v>
      </c>
      <c r="BR135" s="42">
        <v>0</v>
      </c>
      <c r="BS135" s="42">
        <f>IFERROR(VLOOKUP(A135,'Trans 21-23'!$A$2:$J$229,7,0),0)</f>
        <v>0</v>
      </c>
      <c r="BT135" s="63"/>
      <c r="BU135" s="32">
        <f t="shared" si="0"/>
        <v>0</v>
      </c>
      <c r="BV135" s="32">
        <f t="shared" si="1"/>
        <v>891</v>
      </c>
      <c r="BW135" s="32">
        <f t="shared" si="2"/>
        <v>0</v>
      </c>
      <c r="BX135" s="32">
        <f t="shared" si="3"/>
        <v>0</v>
      </c>
      <c r="BY135" s="32">
        <f t="shared" si="4"/>
        <v>0</v>
      </c>
      <c r="BZ135" s="32">
        <f t="shared" si="5"/>
        <v>0</v>
      </c>
      <c r="CA135" s="32">
        <f t="shared" si="6"/>
        <v>5957892</v>
      </c>
      <c r="CB135" s="32">
        <f t="shared" si="7"/>
        <v>0</v>
      </c>
      <c r="CC135" s="32">
        <f t="shared" si="8"/>
        <v>0</v>
      </c>
      <c r="CD135" s="41">
        <f t="shared" si="67"/>
        <v>0</v>
      </c>
      <c r="CE135" s="44">
        <f t="shared" si="10"/>
        <v>58</v>
      </c>
      <c r="CF135" s="27"/>
      <c r="CG135" s="28" t="str">
        <f t="shared" si="11"/>
        <v/>
      </c>
      <c r="CH135" s="28" t="str">
        <f t="shared" si="12"/>
        <v/>
      </c>
      <c r="CI135" s="28" t="str">
        <f t="shared" si="13"/>
        <v/>
      </c>
      <c r="CJ135" s="28" t="str">
        <f t="shared" si="14"/>
        <v/>
      </c>
      <c r="CK135" s="23" t="str">
        <f t="shared" si="15"/>
        <v/>
      </c>
      <c r="CL135" s="29" t="str">
        <f t="shared" si="16"/>
        <v/>
      </c>
      <c r="CM135" s="29" t="str">
        <f t="shared" si="17"/>
        <v/>
      </c>
      <c r="CN135" s="29" t="str">
        <f t="shared" si="18"/>
        <v/>
      </c>
      <c r="CO135" s="29" t="str">
        <f t="shared" si="19"/>
        <v/>
      </c>
      <c r="CP135" s="29" t="str">
        <f t="shared" si="20"/>
        <v/>
      </c>
      <c r="CQ135" s="29" t="str">
        <f t="shared" si="21"/>
        <v/>
      </c>
      <c r="CR135" s="30"/>
      <c r="CS135" s="7" t="str">
        <f>VLOOKUP(A135,'Empresas 21-23'!$A$2:$M$228,13,0)</f>
        <v/>
      </c>
      <c r="CT135" s="30"/>
      <c r="CU135" s="6">
        <f t="shared" si="22"/>
        <v>0</v>
      </c>
      <c r="CV135" s="6">
        <f t="shared" si="23"/>
        <v>0</v>
      </c>
      <c r="CW135" s="6">
        <f t="shared" si="24"/>
        <v>23648397</v>
      </c>
      <c r="CX135" s="23">
        <f t="shared" si="69"/>
        <v>0</v>
      </c>
      <c r="CY135" s="23">
        <f t="shared" si="70"/>
        <v>0</v>
      </c>
      <c r="CZ135" s="6">
        <f t="shared" si="27"/>
        <v>0</v>
      </c>
      <c r="DA135" s="6">
        <f t="shared" si="28"/>
        <v>0</v>
      </c>
      <c r="DB135" s="6">
        <f t="shared" si="29"/>
        <v>0</v>
      </c>
      <c r="DC135" s="6">
        <f t="shared" si="30"/>
        <v>0</v>
      </c>
      <c r="DD135" s="6">
        <f t="shared" si="31"/>
        <v>0</v>
      </c>
      <c r="DE135" s="6">
        <f t="shared" si="32"/>
        <v>5957892</v>
      </c>
      <c r="DF135" s="6">
        <f t="shared" si="71"/>
        <v>0</v>
      </c>
      <c r="DG135" s="30"/>
      <c r="DH135" s="32" t="str">
        <f>VLOOKUP(A135,'T_med_comp-USA'!$A$7:$Q$233,17,0)</f>
        <v>-</v>
      </c>
      <c r="DI135" s="6" t="str">
        <f t="shared" si="34"/>
        <v/>
      </c>
      <c r="DJ135" s="32" t="str">
        <f>IF(DI135="","",VLOOKUP(DI135,'CPI USA'!$T:$U,2,FALSE))</f>
        <v/>
      </c>
      <c r="DK135" s="32" t="str">
        <f>IF(DI135="","",VLOOKUP(DI135,'PPI USA'!$S:$T,2,FALSE))</f>
        <v/>
      </c>
      <c r="DL135" s="32" t="str">
        <f>IF(DI135="","",VLOOKUP(DI135,'CPI USA'!$T:$V,3,FALSE))</f>
        <v/>
      </c>
      <c r="DM135" s="32" t="str">
        <f>IF(DI135="","",VLOOKUP(DI135,'CPI USA'!$T:$X,5,FALSE))</f>
        <v/>
      </c>
      <c r="DN135" s="32" t="str">
        <f t="shared" si="35"/>
        <v/>
      </c>
      <c r="DO135" s="32" t="str">
        <f t="shared" si="36"/>
        <v/>
      </c>
      <c r="DP135" s="32" t="str">
        <f t="shared" si="37"/>
        <v/>
      </c>
      <c r="DQ135" s="32" t="str">
        <f>IF(DP135="","",DP135*$DO$1/'CPI USA'!$U$520+(1-DP135)*AVERAGE($DO$1,$DQ$1)/AVERAGE('CPI USA'!$U$520,'PPI USA'!$T$526))</f>
        <v/>
      </c>
      <c r="DR135" s="6">
        <f t="shared" si="38"/>
        <v>0</v>
      </c>
      <c r="DS135" s="32" t="str">
        <f t="shared" si="39"/>
        <v/>
      </c>
      <c r="DT135" s="28" t="str">
        <f>IF(DS135="","",DS135*$DO$1/'CPI USA'!$U$520+(1-DS135)*AVERAGE($DO$1,$DQ$1)/AVERAGE('CPI USA'!$U$520,'PPI USA'!$T$526))</f>
        <v/>
      </c>
      <c r="DU135" s="6" t="str">
        <f t="shared" si="40"/>
        <v/>
      </c>
      <c r="DV135" s="6" t="str">
        <f t="shared" si="57"/>
        <v/>
      </c>
      <c r="DW135" s="6">
        <f t="shared" si="41"/>
        <v>0</v>
      </c>
      <c r="DX135" s="16" t="str">
        <f t="shared" si="42"/>
        <v/>
      </c>
      <c r="DY135" s="28" t="str">
        <f>IF(DX135="","",DX135*$DO$1/'CPI USA'!$U$520+(1-DX135)*AVERAGE($DO$1,$DQ$1)/AVERAGE('CPI USA'!$U$520,'PPI USA'!$T$526))</f>
        <v/>
      </c>
      <c r="DZ135" s="30"/>
      <c r="EA135" s="29" t="str">
        <f t="shared" si="43"/>
        <v>C001559</v>
      </c>
      <c r="EB135" s="29" t="str">
        <f t="shared" si="44"/>
        <v/>
      </c>
      <c r="EC135" s="29" t="str">
        <f t="shared" si="45"/>
        <v/>
      </c>
      <c r="ED135" s="29" t="str">
        <f t="shared" si="46"/>
        <v/>
      </c>
      <c r="EE135" s="29" t="str">
        <f t="shared" si="47"/>
        <v/>
      </c>
      <c r="EF135" s="29" t="str">
        <f t="shared" si="48"/>
        <v/>
      </c>
      <c r="EG135" s="29" t="str">
        <f t="shared" si="49"/>
        <v/>
      </c>
      <c r="EH135" s="29" t="str">
        <f t="shared" si="50"/>
        <v/>
      </c>
      <c r="EI135" s="29" t="str">
        <f t="shared" si="51"/>
        <v/>
      </c>
      <c r="EJ135" s="29" t="str">
        <f t="shared" si="52"/>
        <v/>
      </c>
      <c r="EK135" s="29" t="str">
        <f t="shared" si="53"/>
        <v/>
      </c>
      <c r="EL135" s="29" t="str">
        <f>IF(CD135=1,VLOOKUP(EA135,'EIA 2022'!$A$2:$J$213,4,0)*EH135,"")</f>
        <v/>
      </c>
      <c r="EM135" s="29" t="str">
        <f>IF(CD135=1,VLOOKUP(EA135,'EIA 2022'!$A$2:$J$213,7,0)*EH135,"")</f>
        <v/>
      </c>
      <c r="EN135" s="29" t="str">
        <f>IF(CD135=1,VLOOKUP(EA135,'EIA 2022'!$A$2:$J$213,10,0),"")</f>
        <v/>
      </c>
      <c r="EO135" s="28" t="str">
        <f>IF(CD135=1,VLOOKUP(EA135,'EIA 2022'!$A$2:$Z$213,26,0),"")</f>
        <v/>
      </c>
      <c r="EP135" s="23" t="str">
        <f t="shared" si="54"/>
        <v/>
      </c>
      <c r="EQ135" s="32" t="str">
        <f t="shared" si="55"/>
        <v/>
      </c>
      <c r="ER135" s="32" t="str">
        <f t="shared" si="56"/>
        <v/>
      </c>
      <c r="ES135" s="32"/>
      <c r="ET135" s="32"/>
    </row>
    <row r="136" spans="1:150" ht="15.75" customHeight="1">
      <c r="A136" s="7" t="s">
        <v>613</v>
      </c>
      <c r="B136" s="7" t="s">
        <v>614</v>
      </c>
      <c r="C136" s="32" t="s">
        <v>1005</v>
      </c>
      <c r="D136" s="42">
        <v>0</v>
      </c>
      <c r="E136" s="42">
        <v>0</v>
      </c>
      <c r="F136" s="42">
        <v>0</v>
      </c>
      <c r="G136" s="42">
        <v>405286195</v>
      </c>
      <c r="H136" s="42">
        <v>412978465</v>
      </c>
      <c r="I136" s="42">
        <v>9865468</v>
      </c>
      <c r="J136" s="42">
        <v>4542977</v>
      </c>
      <c r="K136" s="42">
        <v>0</v>
      </c>
      <c r="L136" s="42">
        <v>6482087</v>
      </c>
      <c r="M136" s="42">
        <v>1690745</v>
      </c>
      <c r="N136" s="42">
        <v>374494</v>
      </c>
      <c r="O136" s="42">
        <v>38499033</v>
      </c>
      <c r="P136" s="42">
        <v>4236544</v>
      </c>
      <c r="Q136" s="42">
        <v>2643115</v>
      </c>
      <c r="R136" s="42">
        <v>85626</v>
      </c>
      <c r="S136" s="42">
        <v>21446224</v>
      </c>
      <c r="T136" s="42">
        <v>20273757</v>
      </c>
      <c r="U136" s="42">
        <v>327170</v>
      </c>
      <c r="V136" s="42">
        <v>0</v>
      </c>
      <c r="W136" s="42">
        <v>1669953</v>
      </c>
      <c r="X136" s="42">
        <f>IFERROR(VLOOKUP(A136,'Trans 21-23'!$A$2:$J$229,8,0),0)</f>
        <v>2656531</v>
      </c>
      <c r="Y136" s="42">
        <v>1961862</v>
      </c>
      <c r="Z136" s="42">
        <v>0</v>
      </c>
      <c r="AA136" s="42">
        <v>64381454</v>
      </c>
      <c r="AB136" s="42">
        <v>36690058</v>
      </c>
      <c r="AC136" s="42">
        <v>1350555</v>
      </c>
      <c r="AD136" s="42">
        <v>32286103</v>
      </c>
      <c r="AE136" s="42">
        <v>0</v>
      </c>
      <c r="AF136" s="42">
        <v>701696816</v>
      </c>
      <c r="AG136" s="42">
        <v>343460</v>
      </c>
      <c r="AH136" s="42">
        <v>188728</v>
      </c>
      <c r="AI136" s="42">
        <v>5151863</v>
      </c>
      <c r="AJ136" s="42">
        <v>0</v>
      </c>
      <c r="AK136" s="42">
        <v>0</v>
      </c>
      <c r="AL136" s="42">
        <v>2183070</v>
      </c>
      <c r="AM136" s="42">
        <v>2352002</v>
      </c>
      <c r="AN136" s="42">
        <v>385281</v>
      </c>
      <c r="AO136" s="42">
        <v>22244</v>
      </c>
      <c r="AP136" s="42">
        <v>0</v>
      </c>
      <c r="AQ136" s="42">
        <v>4963135</v>
      </c>
      <c r="AR136" s="42">
        <v>0</v>
      </c>
      <c r="AS136" s="42">
        <v>4963135</v>
      </c>
      <c r="AT136" s="42">
        <v>0</v>
      </c>
      <c r="AU136" s="42">
        <v>1228</v>
      </c>
      <c r="AV136" s="42">
        <v>0</v>
      </c>
      <c r="AW136" s="42">
        <v>364925278</v>
      </c>
      <c r="AX136" s="42">
        <v>236590166</v>
      </c>
      <c r="AY136" s="42">
        <v>313396751</v>
      </c>
      <c r="AZ136" s="42">
        <v>91379257</v>
      </c>
      <c r="BA136" s="42">
        <v>64878296</v>
      </c>
      <c r="BB136" s="42">
        <v>1903486337</v>
      </c>
      <c r="BC136" s="42">
        <v>3631261667</v>
      </c>
      <c r="BD136" s="42">
        <v>316088529</v>
      </c>
      <c r="BE136" s="42">
        <v>525979121</v>
      </c>
      <c r="BF136" s="42">
        <v>55145617</v>
      </c>
      <c r="BG136" s="42">
        <v>0</v>
      </c>
      <c r="BH136" s="42">
        <v>55723058</v>
      </c>
      <c r="BI136" s="42">
        <v>0</v>
      </c>
      <c r="BJ136" s="42">
        <v>0</v>
      </c>
      <c r="BK136" s="42">
        <v>16455</v>
      </c>
      <c r="BL136" s="42">
        <v>0</v>
      </c>
      <c r="BM136" s="42">
        <v>5926491</v>
      </c>
      <c r="BN136" s="42">
        <v>74627086</v>
      </c>
      <c r="BO136" s="42">
        <v>0</v>
      </c>
      <c r="BP136" s="42">
        <v>839717</v>
      </c>
      <c r="BQ136" s="42">
        <v>106907915</v>
      </c>
      <c r="BR136" s="42">
        <v>20538</v>
      </c>
      <c r="BS136" s="42">
        <f>IFERROR(VLOOKUP(A136,'Trans 21-23'!$A$2:$J$229,7,0),0)</f>
        <v>240585077</v>
      </c>
      <c r="BT136" s="63"/>
      <c r="BU136" s="32">
        <f t="shared" si="0"/>
        <v>1903486337</v>
      </c>
      <c r="BV136" s="32">
        <f t="shared" si="1"/>
        <v>1228</v>
      </c>
      <c r="BW136" s="32">
        <f t="shared" si="2"/>
        <v>343460</v>
      </c>
      <c r="BX136" s="32">
        <f t="shared" si="3"/>
        <v>112137193</v>
      </c>
      <c r="BY136" s="32">
        <f t="shared" si="4"/>
        <v>104383929</v>
      </c>
      <c r="BZ136" s="32">
        <f t="shared" si="5"/>
        <v>91379257</v>
      </c>
      <c r="CA136" s="32">
        <f t="shared" si="6"/>
        <v>32286103</v>
      </c>
      <c r="CB136" s="32">
        <f t="shared" si="7"/>
        <v>188728</v>
      </c>
      <c r="CC136" s="32">
        <f t="shared" si="8"/>
        <v>4963135</v>
      </c>
      <c r="CD136" s="41">
        <f t="shared" si="67"/>
        <v>1</v>
      </c>
      <c r="CE136" s="44">
        <f t="shared" si="10"/>
        <v>18</v>
      </c>
      <c r="CF136" s="27"/>
      <c r="CG136" s="28">
        <f t="shared" si="11"/>
        <v>1550.0703070032573</v>
      </c>
      <c r="CH136" s="28">
        <f t="shared" si="12"/>
        <v>3.5753799569091016</v>
      </c>
      <c r="CI136" s="28">
        <f t="shared" si="13"/>
        <v>326.49272986665113</v>
      </c>
      <c r="CJ136" s="28">
        <f t="shared" si="14"/>
        <v>266.05501950736624</v>
      </c>
      <c r="CK136" s="23">
        <f t="shared" si="15"/>
        <v>3.8025965443212809E-2</v>
      </c>
      <c r="CL136" s="29" t="str">
        <f t="shared" si="16"/>
        <v/>
      </c>
      <c r="CM136" s="29" t="str">
        <f t="shared" si="17"/>
        <v/>
      </c>
      <c r="CN136" s="29" t="str">
        <f t="shared" si="18"/>
        <v/>
      </c>
      <c r="CO136" s="29" t="str">
        <f t="shared" si="19"/>
        <v/>
      </c>
      <c r="CP136" s="29" t="str">
        <f t="shared" si="20"/>
        <v/>
      </c>
      <c r="CQ136" s="29">
        <f t="shared" si="21"/>
        <v>0</v>
      </c>
      <c r="CR136" s="30"/>
      <c r="CS136" s="7">
        <f>VLOOKUP(A136,'Empresas 21-23'!$A$2:$M$228,13,0)</f>
        <v>1</v>
      </c>
      <c r="CT136" s="30"/>
      <c r="CU136" s="6">
        <f t="shared" si="22"/>
        <v>1657821710.8</v>
      </c>
      <c r="CV136" s="6">
        <f t="shared" si="23"/>
        <v>91379257</v>
      </c>
      <c r="CW136" s="6">
        <f t="shared" si="24"/>
        <v>316088529</v>
      </c>
      <c r="CX136" s="23">
        <f t="shared" si="69"/>
        <v>0.50007092896515859</v>
      </c>
      <c r="CY136" s="23">
        <f t="shared" si="70"/>
        <v>2.7563947099042887E-2</v>
      </c>
      <c r="CZ136" s="6">
        <f t="shared" si="27"/>
        <v>1815888395.1322603</v>
      </c>
      <c r="DA136" s="6">
        <f t="shared" si="28"/>
        <v>100091904.49197029</v>
      </c>
      <c r="DB136" s="6">
        <f t="shared" si="29"/>
        <v>112137193</v>
      </c>
      <c r="DC136" s="6">
        <f t="shared" si="30"/>
        <v>114793724</v>
      </c>
      <c r="DD136" s="6">
        <f t="shared" si="31"/>
        <v>104383929</v>
      </c>
      <c r="DE136" s="6">
        <f t="shared" si="32"/>
        <v>32286103</v>
      </c>
      <c r="DF136" s="6">
        <f t="shared" si="71"/>
        <v>27595563.098040067</v>
      </c>
      <c r="DG136" s="30"/>
      <c r="DH136" s="32">
        <f>VLOOKUP(A136,'T_med_comp-USA'!$A$7:$Q$233,17,0)</f>
        <v>9.5331964426378999</v>
      </c>
      <c r="DI136" s="6" t="str">
        <f t="shared" si="34"/>
        <v>6_2013</v>
      </c>
      <c r="DJ136" s="32">
        <f>IF(DI136="","",VLOOKUP(DI136,'CPI USA'!$T:$U,2,FALSE))</f>
        <v>233.50399999999999</v>
      </c>
      <c r="DK136" s="32">
        <f>IF(DI136="","",VLOOKUP(DI136,'PPI USA'!$S:$T,2,FALSE))</f>
        <v>176.6</v>
      </c>
      <c r="DL136" s="32">
        <f>IF(DI136="","",VLOOKUP(DI136,'CPI USA'!$T:$V,3,FALSE))</f>
        <v>0.67305131835944076</v>
      </c>
      <c r="DM136" s="32">
        <f>IF(DI136="","",VLOOKUP(DI136,'CPI USA'!$T:$X,5,FALSE))</f>
        <v>0.50163050295255052</v>
      </c>
      <c r="DN136" s="32">
        <f t="shared" si="35"/>
        <v>1.3678188100959208</v>
      </c>
      <c r="DO136" s="32">
        <f t="shared" si="36"/>
        <v>1.3795310735227622</v>
      </c>
      <c r="DP136" s="32">
        <f t="shared" si="37"/>
        <v>0.49691860933240944</v>
      </c>
      <c r="DQ136" s="32">
        <f>IF(DP136="","",DP136*$DO$1/'CPI USA'!$U$520+(1-DP136)*AVERAGE($DO$1,$DQ$1)/AVERAGE('CPI USA'!$U$520,'PPI USA'!$T$526))</f>
        <v>1.0754749940086219</v>
      </c>
      <c r="DR136" s="6">
        <f t="shared" si="38"/>
        <v>16455</v>
      </c>
      <c r="DS136" s="32">
        <f t="shared" si="39"/>
        <v>0.2</v>
      </c>
      <c r="DT136" s="28">
        <f>IF(DS136="","",DS136*$DO$1/'CPI USA'!$U$520+(1-DS136)*AVERAGE($DO$1,$DQ$1)/AVERAGE('CPI USA'!$U$520,'PPI USA'!$T$526))</f>
        <v>1.0854630593748538</v>
      </c>
      <c r="DU136" s="6">
        <f t="shared" si="40"/>
        <v>5926491</v>
      </c>
      <c r="DV136" s="6">
        <f t="shared" si="57"/>
        <v>46918.6366590955</v>
      </c>
      <c r="DW136" s="6">
        <f t="shared" si="41"/>
        <v>4461583.0785203772</v>
      </c>
      <c r="DX136" s="16">
        <f t="shared" si="42"/>
        <v>0.2</v>
      </c>
      <c r="DY136" s="28">
        <f>IF(DX136="","",DX136*$DO$1/'CPI USA'!$U$520+(1-DX136)*AVERAGE($DO$1,$DQ$1)/AVERAGE('CPI USA'!$U$520,'PPI USA'!$T$526))</f>
        <v>1.0854630593748538</v>
      </c>
      <c r="DZ136" s="30"/>
      <c r="EA136" s="29" t="str">
        <f t="shared" si="43"/>
        <v>C001607</v>
      </c>
      <c r="EB136" s="29">
        <f t="shared" si="44"/>
        <v>2483806303.8967996</v>
      </c>
      <c r="EC136" s="29">
        <f t="shared" si="45"/>
        <v>138079892.45474556</v>
      </c>
      <c r="ED136" s="29">
        <f t="shared" si="46"/>
        <v>123457779.6311274</v>
      </c>
      <c r="EE136" s="29">
        <f t="shared" si="47"/>
        <v>113304898.92190751</v>
      </c>
      <c r="EF136" s="29">
        <f t="shared" si="48"/>
        <v>29953964.345570389</v>
      </c>
      <c r="EG136" s="29">
        <f t="shared" si="49"/>
        <v>1228</v>
      </c>
      <c r="EH136" s="29">
        <f t="shared" si="50"/>
        <v>343460</v>
      </c>
      <c r="EI136" s="29">
        <f t="shared" si="51"/>
        <v>188728</v>
      </c>
      <c r="EJ136" s="29">
        <f t="shared" si="52"/>
        <v>4963135</v>
      </c>
      <c r="EK136" s="29">
        <f t="shared" si="53"/>
        <v>5151863</v>
      </c>
      <c r="EL136" s="29">
        <f>IF(CD136=1,VLOOKUP(EA136,'EIA 2022'!$A$2:$J$213,4,0)*EH136,"")</f>
        <v>13394940</v>
      </c>
      <c r="EM136" s="29">
        <f>IF(CD136=1,VLOOKUP(EA136,'EIA 2022'!$A$2:$J$213,7,0)*EH136,"")</f>
        <v>182033.80000000002</v>
      </c>
      <c r="EN136" s="29">
        <f>IF(CD136=1,VLOOKUP(EA136,'EIA 2022'!$A$2:$J$213,10,0),"")</f>
        <v>348095</v>
      </c>
      <c r="EO136" s="28">
        <f>IF(CD136=1,VLOOKUP(EA136,'EIA 2022'!$A$2:$Z$213,26,0),"")</f>
        <v>0</v>
      </c>
      <c r="EP136" s="23">
        <f t="shared" si="54"/>
        <v>3.6632961707250368E-2</v>
      </c>
      <c r="EQ136" s="32">
        <f t="shared" si="55"/>
        <v>0</v>
      </c>
      <c r="ER136" s="32">
        <f t="shared" si="56"/>
        <v>188728</v>
      </c>
      <c r="ES136" s="32"/>
      <c r="ET136" s="32"/>
    </row>
    <row r="137" spans="1:150" ht="15.75" customHeight="1">
      <c r="A137" s="7" t="s">
        <v>616</v>
      </c>
      <c r="B137" s="7" t="s">
        <v>617</v>
      </c>
      <c r="C137" s="32" t="s">
        <v>1006</v>
      </c>
      <c r="D137" s="42">
        <v>97610337</v>
      </c>
      <c r="E137" s="42">
        <v>0</v>
      </c>
      <c r="F137" s="42">
        <v>187033123</v>
      </c>
      <c r="G137" s="42">
        <v>403199819</v>
      </c>
      <c r="H137" s="42">
        <v>269590536</v>
      </c>
      <c r="I137" s="42">
        <v>1392797</v>
      </c>
      <c r="J137" s="42">
        <v>920754</v>
      </c>
      <c r="K137" s="42">
        <v>623860</v>
      </c>
      <c r="L137" s="42">
        <v>4899702</v>
      </c>
      <c r="M137" s="42">
        <v>2412628</v>
      </c>
      <c r="N137" s="42">
        <v>5573</v>
      </c>
      <c r="O137" s="42">
        <v>7751990</v>
      </c>
      <c r="P137" s="42">
        <v>1149425</v>
      </c>
      <c r="Q137" s="42">
        <v>95</v>
      </c>
      <c r="R137" s="42">
        <v>0</v>
      </c>
      <c r="S137" s="42">
        <v>2224511</v>
      </c>
      <c r="T137" s="42">
        <v>6218928</v>
      </c>
      <c r="U137" s="42">
        <v>716294</v>
      </c>
      <c r="V137" s="42">
        <v>0</v>
      </c>
      <c r="W137" s="42">
        <v>335831</v>
      </c>
      <c r="X137" s="42">
        <f>IFERROR(VLOOKUP(A137,'Trans 21-23'!$A$2:$J$229,8,0),0)</f>
        <v>681115</v>
      </c>
      <c r="Y137" s="42">
        <v>989993</v>
      </c>
      <c r="Z137" s="42">
        <v>263703</v>
      </c>
      <c r="AA137" s="42">
        <v>9469429</v>
      </c>
      <c r="AB137" s="42">
        <v>9923077</v>
      </c>
      <c r="AC137" s="42">
        <v>203929</v>
      </c>
      <c r="AD137" s="42">
        <v>55987812</v>
      </c>
      <c r="AE137" s="42">
        <v>0</v>
      </c>
      <c r="AF137" s="42">
        <v>719431781</v>
      </c>
      <c r="AG137" s="42">
        <v>370979</v>
      </c>
      <c r="AH137" s="42">
        <v>347428</v>
      </c>
      <c r="AI137" s="42">
        <v>9870258</v>
      </c>
      <c r="AJ137" s="42">
        <v>28427</v>
      </c>
      <c r="AK137" s="42">
        <v>0</v>
      </c>
      <c r="AL137" s="42">
        <v>2747233</v>
      </c>
      <c r="AM137" s="42">
        <v>3123916</v>
      </c>
      <c r="AN137" s="42">
        <v>2866782</v>
      </c>
      <c r="AO137" s="42">
        <v>13462</v>
      </c>
      <c r="AP137" s="42">
        <v>0</v>
      </c>
      <c r="AQ137" s="42">
        <v>8751393</v>
      </c>
      <c r="AR137" s="42">
        <v>743010</v>
      </c>
      <c r="AS137" s="42">
        <v>9494403</v>
      </c>
      <c r="AT137" s="42">
        <v>0</v>
      </c>
      <c r="AU137" s="42">
        <v>2393</v>
      </c>
      <c r="AV137" s="42">
        <v>0</v>
      </c>
      <c r="AW137" s="42">
        <v>202981971</v>
      </c>
      <c r="AX137" s="42">
        <v>89859056</v>
      </c>
      <c r="AY137" s="42">
        <v>407859554</v>
      </c>
      <c r="AZ137" s="42">
        <v>54377633</v>
      </c>
      <c r="BA137" s="42">
        <v>50891304</v>
      </c>
      <c r="BB137" s="42">
        <v>1979546024</v>
      </c>
      <c r="BC137" s="42">
        <v>4490584250</v>
      </c>
      <c r="BD137" s="42">
        <v>176159947</v>
      </c>
      <c r="BE137" s="42">
        <v>610652060</v>
      </c>
      <c r="BF137" s="42">
        <v>35632714</v>
      </c>
      <c r="BG137" s="42">
        <v>0</v>
      </c>
      <c r="BH137" s="42">
        <v>10741549</v>
      </c>
      <c r="BI137" s="42">
        <v>3701151</v>
      </c>
      <c r="BJ137" s="42">
        <v>493043</v>
      </c>
      <c r="BK137" s="42">
        <v>111422</v>
      </c>
      <c r="BL137" s="42">
        <v>0</v>
      </c>
      <c r="BM137" s="42">
        <v>12247350</v>
      </c>
      <c r="BN137" s="42">
        <v>45106936</v>
      </c>
      <c r="BO137" s="42">
        <v>11421563</v>
      </c>
      <c r="BP137" s="42">
        <v>3354117</v>
      </c>
      <c r="BQ137" s="42">
        <v>101033769</v>
      </c>
      <c r="BR137" s="42">
        <v>0</v>
      </c>
      <c r="BS137" s="42">
        <f>IFERROR(VLOOKUP(A137,'Trans 21-23'!$A$2:$J$229,7,0),0)</f>
        <v>26662430</v>
      </c>
      <c r="BT137" s="63"/>
      <c r="BU137" s="32">
        <f t="shared" si="0"/>
        <v>1979546024</v>
      </c>
      <c r="BV137" s="32">
        <f t="shared" si="1"/>
        <v>2393</v>
      </c>
      <c r="BW137" s="32">
        <f t="shared" si="2"/>
        <v>370979</v>
      </c>
      <c r="BX137" s="32">
        <f t="shared" si="3"/>
        <v>28652388</v>
      </c>
      <c r="BY137" s="32">
        <f t="shared" si="4"/>
        <v>20850131</v>
      </c>
      <c r="BZ137" s="32">
        <f t="shared" si="5"/>
        <v>54377633</v>
      </c>
      <c r="CA137" s="32">
        <f t="shared" si="6"/>
        <v>55987812</v>
      </c>
      <c r="CB137" s="32">
        <f t="shared" si="7"/>
        <v>347428</v>
      </c>
      <c r="CC137" s="32">
        <f t="shared" si="8"/>
        <v>8751393</v>
      </c>
      <c r="CD137" s="41">
        <f t="shared" si="67"/>
        <v>1</v>
      </c>
      <c r="CE137" s="44">
        <f t="shared" si="10"/>
        <v>11</v>
      </c>
      <c r="CF137" s="27"/>
      <c r="CG137" s="28">
        <f t="shared" si="11"/>
        <v>827.22357877141667</v>
      </c>
      <c r="CH137" s="28">
        <f t="shared" si="12"/>
        <v>6.4504998935249702</v>
      </c>
      <c r="CI137" s="28">
        <f t="shared" si="13"/>
        <v>77.234528099973318</v>
      </c>
      <c r="CJ137" s="28">
        <f t="shared" si="14"/>
        <v>146.57873626269949</v>
      </c>
      <c r="CK137" s="23">
        <f t="shared" si="15"/>
        <v>3.9699736944735539E-2</v>
      </c>
      <c r="CL137" s="29" t="str">
        <f t="shared" si="16"/>
        <v/>
      </c>
      <c r="CM137" s="29" t="str">
        <f t="shared" si="17"/>
        <v/>
      </c>
      <c r="CN137" s="29" t="str">
        <f t="shared" si="18"/>
        <v/>
      </c>
      <c r="CO137" s="29" t="str">
        <f t="shared" si="19"/>
        <v/>
      </c>
      <c r="CP137" s="29" t="str">
        <f t="shared" si="20"/>
        <v/>
      </c>
      <c r="CQ137" s="29">
        <f t="shared" si="21"/>
        <v>0</v>
      </c>
      <c r="CR137" s="30"/>
      <c r="CS137" s="7">
        <f>VLOOKUP(A137,'Empresas 21-23'!$A$2:$M$228,13,0)</f>
        <v>1</v>
      </c>
      <c r="CT137" s="30"/>
      <c r="CU137" s="6">
        <f t="shared" si="22"/>
        <v>1602308351</v>
      </c>
      <c r="CV137" s="6">
        <f t="shared" si="23"/>
        <v>54377633</v>
      </c>
      <c r="CW137" s="6">
        <f t="shared" si="24"/>
        <v>176159947</v>
      </c>
      <c r="CX137" s="23">
        <f t="shared" si="69"/>
        <v>0.37138404534895836</v>
      </c>
      <c r="CY137" s="23">
        <f t="shared" si="70"/>
        <v>1.2603682248449452E-2</v>
      </c>
      <c r="CZ137" s="6">
        <f t="shared" si="27"/>
        <v>1667731344.7453182</v>
      </c>
      <c r="DA137" s="6">
        <f t="shared" si="28"/>
        <v>56597896.9968917</v>
      </c>
      <c r="DB137" s="6">
        <f t="shared" si="29"/>
        <v>28652388</v>
      </c>
      <c r="DC137" s="6">
        <f t="shared" si="30"/>
        <v>29333503</v>
      </c>
      <c r="DD137" s="6">
        <f t="shared" si="31"/>
        <v>20850131</v>
      </c>
      <c r="DE137" s="6">
        <f t="shared" si="32"/>
        <v>55987812</v>
      </c>
      <c r="DF137" s="6">
        <f t="shared" si="71"/>
        <v>25727246.227492504</v>
      </c>
      <c r="DG137" s="30"/>
      <c r="DH137" s="32">
        <f>VLOOKUP(A137,'T_med_comp-USA'!$A$7:$Q$233,17,0)</f>
        <v>16.057205275795319</v>
      </c>
      <c r="DI137" s="6" t="str">
        <f t="shared" si="34"/>
        <v>12_2006</v>
      </c>
      <c r="DJ137" s="32">
        <f>IF(DI137="","",VLOOKUP(DI137,'CPI USA'!$T:$U,2,FALSE))</f>
        <v>201.6</v>
      </c>
      <c r="DK137" s="32">
        <f>IF(DI137="","",VLOOKUP(DI137,'PPI USA'!$S:$T,2,FALSE))</f>
        <v>145.30000000000001</v>
      </c>
      <c r="DL137" s="32">
        <f>IF(DI137="","",VLOOKUP(DI137,'CPI USA'!$T:$V,3,FALSE))</f>
        <v>0.67263024008352756</v>
      </c>
      <c r="DM137" s="32">
        <f>IF(DI137="","",VLOOKUP(DI137,'CPI USA'!$T:$X,5,FALSE))</f>
        <v>0.50115228263529643</v>
      </c>
      <c r="DN137" s="32">
        <f t="shared" si="35"/>
        <v>1.595396421204319</v>
      </c>
      <c r="DO137" s="32">
        <f t="shared" si="36"/>
        <v>1.6147712829199015</v>
      </c>
      <c r="DP137" s="32">
        <f t="shared" si="37"/>
        <v>0.46981861100568556</v>
      </c>
      <c r="DQ137" s="32">
        <f>IF(DP137="","",DP137*$DO$1/'CPI USA'!$U$520+(1-DP137)*AVERAGE($DO$1,$DQ$1)/AVERAGE('CPI USA'!$U$520,'PPI USA'!$T$526))</f>
        <v>1.0763866127021107</v>
      </c>
      <c r="DR137" s="6">
        <f t="shared" si="38"/>
        <v>4305616</v>
      </c>
      <c r="DS137" s="32">
        <f t="shared" si="39"/>
        <v>0.25879187226371292</v>
      </c>
      <c r="DT137" s="28">
        <f>IF(DS137="","",DS137*$DO$1/'CPI USA'!$U$520+(1-DS137)*AVERAGE($DO$1,$DQ$1)/AVERAGE('CPI USA'!$U$520,'PPI USA'!$T$526))</f>
        <v>1.0834853555707931</v>
      </c>
      <c r="DU137" s="6">
        <f t="shared" si="40"/>
        <v>15348511.19631912</v>
      </c>
      <c r="DV137" s="6">
        <f t="shared" si="57"/>
        <v>420548.64036524208</v>
      </c>
      <c r="DW137" s="6">
        <f t="shared" si="41"/>
        <v>5260380.471363931</v>
      </c>
      <c r="DX137" s="16">
        <f t="shared" si="42"/>
        <v>0.20446729606616867</v>
      </c>
      <c r="DY137" s="28">
        <f>IF(DX137="","",DX137*$DO$1/'CPI USA'!$U$520+(1-DX137)*AVERAGE($DO$1,$DQ$1)/AVERAGE('CPI USA'!$U$520,'PPI USA'!$T$526))</f>
        <v>1.085312783697558</v>
      </c>
      <c r="DZ137" s="30"/>
      <c r="EA137" s="29" t="str">
        <f t="shared" si="43"/>
        <v>C001609</v>
      </c>
      <c r="EB137" s="29">
        <f t="shared" si="44"/>
        <v>2660692618.9369469</v>
      </c>
      <c r="EC137" s="29">
        <f t="shared" si="45"/>
        <v>91392658.744239241</v>
      </c>
      <c r="ED137" s="29">
        <f t="shared" si="46"/>
        <v>31574189.932857201</v>
      </c>
      <c r="EE137" s="29">
        <f t="shared" si="47"/>
        <v>22590811.600232616</v>
      </c>
      <c r="EF137" s="29">
        <f t="shared" si="48"/>
        <v>27922109.220032386</v>
      </c>
      <c r="EG137" s="29">
        <f t="shared" si="49"/>
        <v>2393</v>
      </c>
      <c r="EH137" s="29">
        <f t="shared" si="50"/>
        <v>370979</v>
      </c>
      <c r="EI137" s="29">
        <f t="shared" si="51"/>
        <v>347428</v>
      </c>
      <c r="EJ137" s="29">
        <f t="shared" si="52"/>
        <v>8751393</v>
      </c>
      <c r="EK137" s="29">
        <f t="shared" si="53"/>
        <v>9087506.1269035526</v>
      </c>
      <c r="EL137" s="29">
        <f>IF(CD137=1,VLOOKUP(EA137,'EIA 2022'!$A$2:$J$213,4,0)*EH137,"")</f>
        <v>56136542.280000001</v>
      </c>
      <c r="EM137" s="29">
        <f>IF(CD137=1,VLOOKUP(EA137,'EIA 2022'!$A$2:$J$213,7,0)*EH137,"")</f>
        <v>749377.58</v>
      </c>
      <c r="EN137" s="29">
        <f>IF(CD137=1,VLOOKUP(EA137,'EIA 2022'!$A$2:$J$213,10,0),"")</f>
        <v>386277</v>
      </c>
      <c r="EO137" s="28">
        <f>IF(CD137=1,VLOOKUP(EA137,'EIA 2022'!$A$2:$Z$213,26,0),"")</f>
        <v>0</v>
      </c>
      <c r="EP137" s="23">
        <f t="shared" si="54"/>
        <v>3.698628889046806E-2</v>
      </c>
      <c r="EQ137" s="32">
        <f t="shared" si="55"/>
        <v>11314.87309644674</v>
      </c>
      <c r="ER137" s="32">
        <f t="shared" si="56"/>
        <v>336113.12690355326</v>
      </c>
      <c r="ES137" s="32"/>
      <c r="ET137" s="32"/>
    </row>
    <row r="138" spans="1:150" ht="15.75" customHeight="1">
      <c r="A138" s="7" t="s">
        <v>619</v>
      </c>
      <c r="B138" s="7" t="s">
        <v>620</v>
      </c>
      <c r="C138" s="32" t="s">
        <v>1007</v>
      </c>
      <c r="D138" s="42">
        <v>0</v>
      </c>
      <c r="E138" s="42">
        <v>0</v>
      </c>
      <c r="F138" s="42">
        <v>880150944</v>
      </c>
      <c r="G138" s="42">
        <v>994599042</v>
      </c>
      <c r="H138" s="42">
        <v>654701046</v>
      </c>
      <c r="I138" s="42">
        <v>1098103</v>
      </c>
      <c r="J138" s="42">
        <v>675341</v>
      </c>
      <c r="K138" s="42">
        <v>1092147</v>
      </c>
      <c r="L138" s="42">
        <v>1773959</v>
      </c>
      <c r="M138" s="42">
        <v>2883808</v>
      </c>
      <c r="N138" s="42">
        <v>6106</v>
      </c>
      <c r="O138" s="42">
        <v>7335957</v>
      </c>
      <c r="P138" s="42">
        <v>85492</v>
      </c>
      <c r="Q138" s="42">
        <v>14597</v>
      </c>
      <c r="R138" s="42">
        <v>0</v>
      </c>
      <c r="S138" s="42">
        <v>3352858</v>
      </c>
      <c r="T138" s="42">
        <v>2935449</v>
      </c>
      <c r="U138" s="42">
        <v>809603</v>
      </c>
      <c r="V138" s="42">
        <v>0</v>
      </c>
      <c r="W138" s="42">
        <v>2265670</v>
      </c>
      <c r="X138" s="42">
        <f>IFERROR(VLOOKUP(A138,'Trans 21-23'!$A$2:$J$229,8,0),0)</f>
        <v>2935365</v>
      </c>
      <c r="Y138" s="42">
        <v>2126972</v>
      </c>
      <c r="Z138" s="42">
        <v>997372</v>
      </c>
      <c r="AA138" s="42">
        <v>39187973</v>
      </c>
      <c r="AB138" s="42">
        <v>24903851</v>
      </c>
      <c r="AC138" s="42">
        <v>323018</v>
      </c>
      <c r="AD138" s="42">
        <v>94865416</v>
      </c>
      <c r="AE138" s="42">
        <v>0</v>
      </c>
      <c r="AF138" s="42">
        <v>1844024611</v>
      </c>
      <c r="AG138" s="42">
        <v>1001053</v>
      </c>
      <c r="AH138" s="42">
        <v>344508</v>
      </c>
      <c r="AI138" s="42">
        <v>23079963</v>
      </c>
      <c r="AJ138" s="42">
        <v>11136</v>
      </c>
      <c r="AK138" s="42">
        <v>0</v>
      </c>
      <c r="AL138" s="42">
        <v>10299679</v>
      </c>
      <c r="AM138" s="42">
        <v>4903759</v>
      </c>
      <c r="AN138" s="42">
        <v>5630396</v>
      </c>
      <c r="AO138" s="42">
        <v>134637</v>
      </c>
      <c r="AP138" s="42">
        <v>56764</v>
      </c>
      <c r="AQ138" s="42">
        <v>21025235</v>
      </c>
      <c r="AR138" s="42">
        <v>1699084</v>
      </c>
      <c r="AS138" s="42">
        <v>22724319</v>
      </c>
      <c r="AT138" s="42">
        <v>0</v>
      </c>
      <c r="AU138" s="42">
        <v>6033</v>
      </c>
      <c r="AV138" s="42">
        <v>0</v>
      </c>
      <c r="AW138" s="42">
        <v>120406648</v>
      </c>
      <c r="AX138" s="42">
        <v>347531271</v>
      </c>
      <c r="AY138" s="42">
        <v>1642527255</v>
      </c>
      <c r="AZ138" s="42">
        <v>167389853</v>
      </c>
      <c r="BA138" s="42">
        <v>1519931</v>
      </c>
      <c r="BB138" s="42">
        <v>4110180176</v>
      </c>
      <c r="BC138" s="42">
        <v>10446705934</v>
      </c>
      <c r="BD138" s="42">
        <v>444050750</v>
      </c>
      <c r="BE138" s="42">
        <v>1443576910</v>
      </c>
      <c r="BF138" s="42">
        <v>95312755</v>
      </c>
      <c r="BG138" s="42">
        <v>0</v>
      </c>
      <c r="BH138" s="42">
        <v>13327685</v>
      </c>
      <c r="BI138" s="42">
        <v>11964405</v>
      </c>
      <c r="BJ138" s="42">
        <v>552526</v>
      </c>
      <c r="BK138" s="42">
        <v>213183</v>
      </c>
      <c r="BL138" s="42">
        <v>0</v>
      </c>
      <c r="BM138" s="42">
        <v>21490080</v>
      </c>
      <c r="BN138" s="42">
        <v>73791354</v>
      </c>
      <c r="BO138" s="42">
        <v>18545845</v>
      </c>
      <c r="BP138" s="42">
        <v>5458718</v>
      </c>
      <c r="BQ138" s="42">
        <v>143672443</v>
      </c>
      <c r="BR138" s="42">
        <v>0</v>
      </c>
      <c r="BS138" s="42">
        <f>IFERROR(VLOOKUP(A138,'Trans 21-23'!$A$2:$J$229,7,0),0)</f>
        <v>70213676</v>
      </c>
      <c r="BT138" s="63"/>
      <c r="BU138" s="32">
        <f t="shared" si="0"/>
        <v>4110180176</v>
      </c>
      <c r="BV138" s="32">
        <f t="shared" si="1"/>
        <v>6033</v>
      </c>
      <c r="BW138" s="32">
        <f t="shared" si="2"/>
        <v>1001053</v>
      </c>
      <c r="BX138" s="32">
        <f t="shared" si="3"/>
        <v>24329090</v>
      </c>
      <c r="BY138" s="32">
        <f t="shared" si="4"/>
        <v>67539186</v>
      </c>
      <c r="BZ138" s="32">
        <f t="shared" si="5"/>
        <v>167389853</v>
      </c>
      <c r="CA138" s="32">
        <f t="shared" si="6"/>
        <v>94865416</v>
      </c>
      <c r="CB138" s="32">
        <f t="shared" si="7"/>
        <v>344508</v>
      </c>
      <c r="CC138" s="32">
        <f t="shared" si="8"/>
        <v>21025235</v>
      </c>
      <c r="CD138" s="41">
        <f t="shared" si="67"/>
        <v>1</v>
      </c>
      <c r="CE138" s="44">
        <f t="shared" si="10"/>
        <v>11</v>
      </c>
      <c r="CF138" s="27"/>
      <c r="CG138" s="28">
        <f t="shared" si="11"/>
        <v>681.28297298193274</v>
      </c>
      <c r="CH138" s="28">
        <f t="shared" si="12"/>
        <v>6.0266539334081211</v>
      </c>
      <c r="CI138" s="28">
        <f t="shared" si="13"/>
        <v>24.303498416167777</v>
      </c>
      <c r="CJ138" s="28">
        <f t="shared" si="14"/>
        <v>167.21377689293175</v>
      </c>
      <c r="CK138" s="23">
        <f t="shared" si="15"/>
        <v>1.6385453004449178E-2</v>
      </c>
      <c r="CL138" s="29" t="str">
        <f t="shared" si="16"/>
        <v/>
      </c>
      <c r="CM138" s="29" t="str">
        <f t="shared" si="17"/>
        <v/>
      </c>
      <c r="CN138" s="29" t="str">
        <f t="shared" si="18"/>
        <v/>
      </c>
      <c r="CO138" s="29" t="str">
        <f t="shared" si="19"/>
        <v/>
      </c>
      <c r="CP138" s="29" t="str">
        <f t="shared" si="20"/>
        <v/>
      </c>
      <c r="CQ138" s="29">
        <f t="shared" si="21"/>
        <v>0</v>
      </c>
      <c r="CR138" s="30"/>
      <c r="CS138" s="7">
        <f>VLOOKUP(A138,'Empresas 21-23'!$A$2:$M$228,13,0)</f>
        <v>1</v>
      </c>
      <c r="CT138" s="30"/>
      <c r="CU138" s="6">
        <f t="shared" si="22"/>
        <v>2817448952.4000001</v>
      </c>
      <c r="CV138" s="6">
        <f t="shared" si="23"/>
        <v>167389853</v>
      </c>
      <c r="CW138" s="6">
        <f t="shared" si="24"/>
        <v>444050750</v>
      </c>
      <c r="CX138" s="23">
        <f t="shared" si="69"/>
        <v>0.28167010664395609</v>
      </c>
      <c r="CY138" s="23">
        <f t="shared" si="70"/>
        <v>1.6734541971191078E-2</v>
      </c>
      <c r="CZ138" s="6">
        <f t="shared" si="27"/>
        <v>2942524774.5078287</v>
      </c>
      <c r="DA138" s="6">
        <f t="shared" si="28"/>
        <v>174820838.91321388</v>
      </c>
      <c r="DB138" s="6">
        <f t="shared" si="29"/>
        <v>24329090</v>
      </c>
      <c r="DC138" s="6">
        <f t="shared" si="30"/>
        <v>27264455</v>
      </c>
      <c r="DD138" s="6">
        <f t="shared" si="31"/>
        <v>67539186</v>
      </c>
      <c r="DE138" s="6">
        <f t="shared" si="32"/>
        <v>94865416</v>
      </c>
      <c r="DF138" s="6">
        <f t="shared" si="71"/>
        <v>41965863.171887554</v>
      </c>
      <c r="DG138" s="30"/>
      <c r="DH138" s="32">
        <f>VLOOKUP(A138,'T_med_comp-USA'!$A$7:$Q$233,17,0)</f>
        <v>15.100515372656531</v>
      </c>
      <c r="DI138" s="6" t="str">
        <f t="shared" si="34"/>
        <v>11_2007</v>
      </c>
      <c r="DJ138" s="32">
        <f>IF(DI138="","",VLOOKUP(DI138,'CPI USA'!$T:$U,2,FALSE))</f>
        <v>207.34200000000001</v>
      </c>
      <c r="DK138" s="32">
        <f>IF(DI138="","",VLOOKUP(DI138,'PPI USA'!$S:$T,2,FALSE))</f>
        <v>151.69999999999999</v>
      </c>
      <c r="DL138" s="32">
        <f>IF(DI138="","",VLOOKUP(DI138,'CPI USA'!$T:$V,3,FALSE))</f>
        <v>0.67123734379962852</v>
      </c>
      <c r="DM138" s="32">
        <f>IF(DI138="","",VLOOKUP(DI138,'CPI USA'!$T:$X,5,FALSE))</f>
        <v>0.49957259686190569</v>
      </c>
      <c r="DN138" s="32">
        <f t="shared" si="35"/>
        <v>1.5480022216582647</v>
      </c>
      <c r="DO138" s="32">
        <f t="shared" si="36"/>
        <v>1.5651038394149617</v>
      </c>
      <c r="DP138" s="32">
        <f t="shared" si="37"/>
        <v>0.68548833957705213</v>
      </c>
      <c r="DQ138" s="32">
        <f>IF(DP138="","",DP138*$DO$1/'CPI USA'!$U$520+(1-DP138)*AVERAGE($DO$1,$DQ$1)/AVERAGE('CPI USA'!$U$520,'PPI USA'!$T$526))</f>
        <v>1.0691316839816387</v>
      </c>
      <c r="DR138" s="6">
        <f t="shared" si="38"/>
        <v>12730114</v>
      </c>
      <c r="DS138" s="32">
        <f t="shared" si="39"/>
        <v>0.23585641214925487</v>
      </c>
      <c r="DT138" s="28">
        <f>IF(DS138="","",DS138*$DO$1/'CPI USA'!$U$520+(1-DS138)*AVERAGE($DO$1,$DQ$1)/AVERAGE('CPI USA'!$U$520,'PPI USA'!$T$526))</f>
        <v>1.0842568830790986</v>
      </c>
      <c r="DU138" s="6">
        <f t="shared" si="40"/>
        <v>26891142.199205615</v>
      </c>
      <c r="DV138" s="6">
        <f t="shared" si="57"/>
        <v>848745.56790535816</v>
      </c>
      <c r="DW138" s="6">
        <f t="shared" si="41"/>
        <v>9795733.2469863147</v>
      </c>
      <c r="DX138" s="16">
        <f t="shared" si="42"/>
        <v>0.23342146465245026</v>
      </c>
      <c r="DY138" s="28">
        <f>IF(DX138="","",DX138*$DO$1/'CPI USA'!$U$520+(1-DX138)*AVERAGE($DO$1,$DQ$1)/AVERAGE('CPI USA'!$U$520,'PPI USA'!$T$526))</f>
        <v>1.084338792444147</v>
      </c>
      <c r="DZ138" s="30"/>
      <c r="EA138" s="29" t="str">
        <f t="shared" si="43"/>
        <v>C001610</v>
      </c>
      <c r="EB138" s="29">
        <f t="shared" si="44"/>
        <v>4555034888.2226028</v>
      </c>
      <c r="EC138" s="29">
        <f t="shared" si="45"/>
        <v>273612766.1928156</v>
      </c>
      <c r="ED138" s="29">
        <f t="shared" si="46"/>
        <v>29149292.68699161</v>
      </c>
      <c r="EE138" s="29">
        <f t="shared" si="47"/>
        <v>73229827.298059493</v>
      </c>
      <c r="EF138" s="29">
        <f t="shared" si="48"/>
        <v>45505213.395680852</v>
      </c>
      <c r="EG138" s="29">
        <f t="shared" si="49"/>
        <v>6033</v>
      </c>
      <c r="EH138" s="29">
        <f t="shared" si="50"/>
        <v>1001053</v>
      </c>
      <c r="EI138" s="29">
        <f t="shared" si="51"/>
        <v>344508</v>
      </c>
      <c r="EJ138" s="29">
        <f t="shared" si="52"/>
        <v>21025235</v>
      </c>
      <c r="EK138" s="29">
        <f t="shared" si="53"/>
        <v>21343868.624365482</v>
      </c>
      <c r="EL138" s="29">
        <f>IF(CD138=1,VLOOKUP(EA138,'EIA 2022'!$A$2:$J$213,4,0)*EH138,"")</f>
        <v>52204913.949999996</v>
      </c>
      <c r="EM138" s="29">
        <f>IF(CD138=1,VLOOKUP(EA138,'EIA 2022'!$A$2:$J$213,7,0)*EH138,"")</f>
        <v>570600.21</v>
      </c>
      <c r="EN138" s="29">
        <f>IF(CD138=1,VLOOKUP(EA138,'EIA 2022'!$A$2:$J$213,10,0),"")</f>
        <v>1067059</v>
      </c>
      <c r="EO138" s="28">
        <f>IF(CD138=1,VLOOKUP(EA138,'EIA 2022'!$A$2:$Z$213,26,0),"")</f>
        <v>0</v>
      </c>
      <c r="EP138" s="23">
        <f t="shared" si="54"/>
        <v>1.4928578786403334E-2</v>
      </c>
      <c r="EQ138" s="32">
        <f t="shared" si="55"/>
        <v>25874.375634517753</v>
      </c>
      <c r="ER138" s="32">
        <f t="shared" si="56"/>
        <v>318633.62436548225</v>
      </c>
      <c r="ES138" s="32"/>
      <c r="ET138" s="32"/>
    </row>
    <row r="139" spans="1:150" ht="15.75" customHeight="1">
      <c r="A139" s="7" t="s">
        <v>622</v>
      </c>
      <c r="B139" s="7" t="s">
        <v>623</v>
      </c>
      <c r="C139" s="32" t="s">
        <v>1008</v>
      </c>
      <c r="D139" s="42">
        <v>669378298</v>
      </c>
      <c r="E139" s="42">
        <v>0</v>
      </c>
      <c r="F139" s="42">
        <v>562162331</v>
      </c>
      <c r="G139" s="42">
        <v>601324862</v>
      </c>
      <c r="H139" s="42">
        <v>647296775</v>
      </c>
      <c r="I139" s="42">
        <v>15162245</v>
      </c>
      <c r="J139" s="42">
        <v>4834720</v>
      </c>
      <c r="K139" s="42">
        <v>15291590</v>
      </c>
      <c r="L139" s="42">
        <v>9790876</v>
      </c>
      <c r="M139" s="42">
        <v>0</v>
      </c>
      <c r="N139" s="42">
        <v>19851739</v>
      </c>
      <c r="O139" s="42">
        <v>1031506</v>
      </c>
      <c r="P139" s="42">
        <v>3208385</v>
      </c>
      <c r="Q139" s="42">
        <v>120037</v>
      </c>
      <c r="R139" s="42">
        <v>2031776</v>
      </c>
      <c r="S139" s="42">
        <v>8874412</v>
      </c>
      <c r="T139" s="42">
        <v>98222980</v>
      </c>
      <c r="U139" s="42">
        <v>35886919</v>
      </c>
      <c r="V139" s="42">
        <v>963955</v>
      </c>
      <c r="W139" s="42">
        <v>4797944</v>
      </c>
      <c r="X139" s="42">
        <f>IFERROR(VLOOKUP(A139,'Trans 21-23'!$A$2:$J$229,8,0),0)</f>
        <v>7025318</v>
      </c>
      <c r="Y139" s="42">
        <v>2761700</v>
      </c>
      <c r="Z139" s="42">
        <v>616630</v>
      </c>
      <c r="AA139" s="42">
        <v>74982389</v>
      </c>
      <c r="AB139" s="42">
        <v>142437130</v>
      </c>
      <c r="AC139" s="42">
        <v>0</v>
      </c>
      <c r="AD139" s="42">
        <v>260189468</v>
      </c>
      <c r="AE139" s="42">
        <v>0</v>
      </c>
      <c r="AF139" s="42">
        <v>3245002734</v>
      </c>
      <c r="AG139" s="42">
        <v>2037048</v>
      </c>
      <c r="AH139" s="42">
        <v>4342866</v>
      </c>
      <c r="AI139" s="42">
        <v>66488092</v>
      </c>
      <c r="AJ139" s="42">
        <v>144838</v>
      </c>
      <c r="AK139" s="42">
        <v>0</v>
      </c>
      <c r="AL139" s="42">
        <v>18425415</v>
      </c>
      <c r="AM139" s="42">
        <v>19570243</v>
      </c>
      <c r="AN139" s="42">
        <v>19058783</v>
      </c>
      <c r="AO139" s="42">
        <v>109655</v>
      </c>
      <c r="AP139" s="42">
        <v>0</v>
      </c>
      <c r="AQ139" s="42">
        <v>57164096</v>
      </c>
      <c r="AR139" s="42">
        <v>4836292</v>
      </c>
      <c r="AS139" s="42">
        <v>62000388</v>
      </c>
      <c r="AT139" s="42">
        <v>0</v>
      </c>
      <c r="AU139" s="42">
        <v>11017</v>
      </c>
      <c r="AV139" s="42">
        <v>0</v>
      </c>
      <c r="AW139" s="42">
        <v>944782984</v>
      </c>
      <c r="AX139" s="42">
        <v>477665581</v>
      </c>
      <c r="AY139" s="42">
        <v>1088850385</v>
      </c>
      <c r="AZ139" s="42">
        <v>281685480</v>
      </c>
      <c r="BA139" s="42">
        <v>63026819</v>
      </c>
      <c r="BB139" s="42">
        <v>8467735670</v>
      </c>
      <c r="BC139" s="42">
        <v>32845782874</v>
      </c>
      <c r="BD139" s="42">
        <v>1467137711</v>
      </c>
      <c r="BE139" s="42">
        <v>3236081637</v>
      </c>
      <c r="BF139" s="42">
        <v>204800954</v>
      </c>
      <c r="BG139" s="42">
        <v>0</v>
      </c>
      <c r="BH139" s="42">
        <v>118755072</v>
      </c>
      <c r="BI139" s="42">
        <v>29588283</v>
      </c>
      <c r="BJ139" s="42">
        <v>8164767</v>
      </c>
      <c r="BK139" s="42">
        <v>0</v>
      </c>
      <c r="BL139" s="42">
        <v>0</v>
      </c>
      <c r="BM139" s="42">
        <v>36895696</v>
      </c>
      <c r="BN139" s="42">
        <v>365503661</v>
      </c>
      <c r="BO139" s="42">
        <v>0</v>
      </c>
      <c r="BP139" s="42">
        <v>16970127</v>
      </c>
      <c r="BQ139" s="42">
        <v>577907431</v>
      </c>
      <c r="BR139" s="42">
        <v>0</v>
      </c>
      <c r="BS139" s="42">
        <f>IFERROR(VLOOKUP(A139,'Trans 21-23'!$A$2:$J$229,7,0),0)</f>
        <v>1084564682</v>
      </c>
      <c r="BT139" s="63"/>
      <c r="BU139" s="32">
        <f t="shared" si="0"/>
        <v>8467735670</v>
      </c>
      <c r="BV139" s="32">
        <f t="shared" si="1"/>
        <v>11017</v>
      </c>
      <c r="BW139" s="32">
        <f t="shared" si="2"/>
        <v>2037048</v>
      </c>
      <c r="BX139" s="32">
        <f t="shared" si="3"/>
        <v>220069084</v>
      </c>
      <c r="BY139" s="32">
        <f t="shared" si="4"/>
        <v>220797849</v>
      </c>
      <c r="BZ139" s="32">
        <f t="shared" si="5"/>
        <v>281685480</v>
      </c>
      <c r="CA139" s="32">
        <f t="shared" si="6"/>
        <v>260189468</v>
      </c>
      <c r="CB139" s="32">
        <f t="shared" si="7"/>
        <v>4342866</v>
      </c>
      <c r="CC139" s="32">
        <f t="shared" si="8"/>
        <v>57164096</v>
      </c>
      <c r="CD139" s="41">
        <f t="shared" si="67"/>
        <v>1</v>
      </c>
      <c r="CE139" s="44">
        <f t="shared" si="10"/>
        <v>13</v>
      </c>
      <c r="CF139" s="27"/>
      <c r="CG139" s="28">
        <f t="shared" si="11"/>
        <v>768.60630570935825</v>
      </c>
      <c r="CH139" s="28">
        <f t="shared" si="12"/>
        <v>5.4083163479702003</v>
      </c>
      <c r="CI139" s="28">
        <f t="shared" si="13"/>
        <v>108.03333254788302</v>
      </c>
      <c r="CJ139" s="28">
        <f t="shared" si="14"/>
        <v>138.28121870471389</v>
      </c>
      <c r="CK139" s="23">
        <f t="shared" si="15"/>
        <v>7.5971917757607851E-2</v>
      </c>
      <c r="CL139" s="29" t="str">
        <f t="shared" si="16"/>
        <v/>
      </c>
      <c r="CM139" s="29" t="str">
        <f t="shared" si="17"/>
        <v/>
      </c>
      <c r="CN139" s="29" t="str">
        <f t="shared" si="18"/>
        <v/>
      </c>
      <c r="CO139" s="29" t="str">
        <f t="shared" si="19"/>
        <v/>
      </c>
      <c r="CP139" s="29" t="str">
        <f t="shared" si="20"/>
        <v/>
      </c>
      <c r="CQ139" s="29">
        <f t="shared" si="21"/>
        <v>0</v>
      </c>
      <c r="CR139" s="30"/>
      <c r="CS139" s="7">
        <f>VLOOKUP(A139,'Empresas 21-23'!$A$2:$M$228,13,0)</f>
        <v>1</v>
      </c>
      <c r="CT139" s="30"/>
      <c r="CU139" s="6">
        <f t="shared" si="22"/>
        <v>8267678473.3999996</v>
      </c>
      <c r="CV139" s="6">
        <f t="shared" si="23"/>
        <v>281685480</v>
      </c>
      <c r="CW139" s="6">
        <f t="shared" si="24"/>
        <v>1467137711</v>
      </c>
      <c r="CX139" s="23">
        <f t="shared" si="69"/>
        <v>0.26348105313191783</v>
      </c>
      <c r="CY139" s="23">
        <f t="shared" si="70"/>
        <v>8.9769803169242081E-3</v>
      </c>
      <c r="CZ139" s="6">
        <f t="shared" si="27"/>
        <v>8654241462.5838318</v>
      </c>
      <c r="DA139" s="6">
        <f t="shared" si="28"/>
        <v>294855946.35386425</v>
      </c>
      <c r="DB139" s="6">
        <f t="shared" si="29"/>
        <v>220069084</v>
      </c>
      <c r="DC139" s="6">
        <f t="shared" si="30"/>
        <v>227094402</v>
      </c>
      <c r="DD139" s="6">
        <f t="shared" si="31"/>
        <v>220797849</v>
      </c>
      <c r="DE139" s="6">
        <f t="shared" si="32"/>
        <v>260189468</v>
      </c>
      <c r="DF139" s="6">
        <f t="shared" si="71"/>
        <v>105370153.64718011</v>
      </c>
      <c r="DG139" s="30"/>
      <c r="DH139" s="32">
        <f>VLOOKUP(A139,'T_med_comp-USA'!$A$7:$Q$233,17,0)</f>
        <v>15.780569975532169</v>
      </c>
      <c r="DI139" s="6" t="str">
        <f t="shared" si="34"/>
        <v>3_2007</v>
      </c>
      <c r="DJ139" s="32">
        <f>IF(DI139="","",VLOOKUP(DI139,'CPI USA'!$T:$U,2,FALSE))</f>
        <v>207.34200000000001</v>
      </c>
      <c r="DK139" s="32">
        <f>IF(DI139="","",VLOOKUP(DI139,'PPI USA'!$S:$T,2,FALSE))</f>
        <v>151.69999999999999</v>
      </c>
      <c r="DL139" s="32">
        <f>IF(DI139="","",VLOOKUP(DI139,'CPI USA'!$T:$V,3,FALSE))</f>
        <v>0.67123734379962852</v>
      </c>
      <c r="DM139" s="32">
        <f>IF(DI139="","",VLOOKUP(DI139,'CPI USA'!$T:$X,5,FALSE))</f>
        <v>0.49957259686190569</v>
      </c>
      <c r="DN139" s="32">
        <f t="shared" si="35"/>
        <v>1.5480022216582647</v>
      </c>
      <c r="DO139" s="32">
        <f t="shared" si="36"/>
        <v>1.5651038394149617</v>
      </c>
      <c r="DP139" s="32">
        <f t="shared" si="37"/>
        <v>0.53962632933938148</v>
      </c>
      <c r="DQ139" s="32">
        <f>IF(DP139="","",DP139*$DO$1/'CPI USA'!$U$520+(1-DP139)*AVERAGE($DO$1,$DQ$1)/AVERAGE('CPI USA'!$U$520,'PPI USA'!$T$526))</f>
        <v>1.0740383461001888</v>
      </c>
      <c r="DR139" s="6">
        <f t="shared" si="38"/>
        <v>37753050</v>
      </c>
      <c r="DS139" s="32">
        <f t="shared" si="39"/>
        <v>0.2</v>
      </c>
      <c r="DT139" s="28">
        <f>IF(DS139="","",DS139*$DO$1/'CPI USA'!$U$520+(1-DS139)*AVERAGE($DO$1,$DQ$1)/AVERAGE('CPI USA'!$U$520,'PPI USA'!$T$526))</f>
        <v>1.0854630593748538</v>
      </c>
      <c r="DU139" s="6">
        <f t="shared" si="40"/>
        <v>36895696</v>
      </c>
      <c r="DV139" s="6">
        <f t="shared" si="57"/>
        <v>1116211.4596560902</v>
      </c>
      <c r="DW139" s="6">
        <f t="shared" si="41"/>
        <v>16276642.028350478</v>
      </c>
      <c r="DX139" s="16">
        <f t="shared" si="42"/>
        <v>0.2</v>
      </c>
      <c r="DY139" s="28">
        <f>IF(DX139="","",DX139*$DO$1/'CPI USA'!$U$520+(1-DX139)*AVERAGE($DO$1,$DQ$1)/AVERAGE('CPI USA'!$U$520,'PPI USA'!$T$526))</f>
        <v>1.0854630593748538</v>
      </c>
      <c r="DZ139" s="30"/>
      <c r="EA139" s="29" t="str">
        <f t="shared" si="43"/>
        <v>C001646</v>
      </c>
      <c r="EB139" s="29">
        <f t="shared" si="44"/>
        <v>13396785010.846842</v>
      </c>
      <c r="EC139" s="29">
        <f t="shared" si="45"/>
        <v>461480173.71276492</v>
      </c>
      <c r="ED139" s="29">
        <f t="shared" si="46"/>
        <v>243908095.9326914</v>
      </c>
      <c r="EE139" s="29">
        <f t="shared" si="47"/>
        <v>239667908.678927</v>
      </c>
      <c r="EF139" s="29">
        <f t="shared" si="48"/>
        <v>114375409.34466653</v>
      </c>
      <c r="EG139" s="29">
        <f t="shared" si="49"/>
        <v>11017</v>
      </c>
      <c r="EH139" s="29">
        <f t="shared" si="50"/>
        <v>2037048</v>
      </c>
      <c r="EI139" s="29">
        <f t="shared" si="51"/>
        <v>4342866</v>
      </c>
      <c r="EJ139" s="29">
        <f t="shared" si="52"/>
        <v>57164096</v>
      </c>
      <c r="EK139" s="29">
        <f t="shared" si="53"/>
        <v>61433312.883248731</v>
      </c>
      <c r="EL139" s="29">
        <f>IF(CD139=1,VLOOKUP(EA139,'EIA 2022'!$A$2:$J$213,4,0)*EH139,"")</f>
        <v>259953806.42399999</v>
      </c>
      <c r="EM139" s="29">
        <f>IF(CD139=1,VLOOKUP(EA139,'EIA 2022'!$A$2:$J$213,7,0)*EH139,"")</f>
        <v>7793745.648</v>
      </c>
      <c r="EN139" s="29">
        <f>IF(CD139=1,VLOOKUP(EA139,'EIA 2022'!$A$2:$J$213,10,0),"")</f>
        <v>45435</v>
      </c>
      <c r="EO139" s="28">
        <f>IF(CD139=1,VLOOKUP(EA139,'EIA 2022'!$A$2:$Z$213,26,0),"")</f>
        <v>0</v>
      </c>
      <c r="EP139" s="23">
        <f t="shared" si="54"/>
        <v>6.9493515535491088E-2</v>
      </c>
      <c r="EQ139" s="32">
        <f t="shared" si="55"/>
        <v>73649.116751269437</v>
      </c>
      <c r="ER139" s="32">
        <f t="shared" si="56"/>
        <v>4269216.8832487306</v>
      </c>
      <c r="ES139" s="32"/>
      <c r="ET139" s="32"/>
    </row>
    <row r="140" spans="1:150" ht="15.75" customHeight="1">
      <c r="A140" s="7" t="s">
        <v>625</v>
      </c>
      <c r="B140" s="7" t="s">
        <v>626</v>
      </c>
      <c r="C140" s="32" t="s">
        <v>1009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f>IFERROR(VLOOKUP(A140,'Trans 21-23'!$A$2:$J$229,8,0),0)</f>
        <v>0</v>
      </c>
      <c r="Y140" s="42">
        <v>0</v>
      </c>
      <c r="Z140" s="42">
        <v>0</v>
      </c>
      <c r="AA140" s="42">
        <v>4497</v>
      </c>
      <c r="AB140" s="42">
        <v>0</v>
      </c>
      <c r="AC140" s="42">
        <v>0</v>
      </c>
      <c r="AD140" s="42">
        <v>44745</v>
      </c>
      <c r="AE140" s="42">
        <v>0</v>
      </c>
      <c r="AF140" s="42">
        <v>103307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6069793</v>
      </c>
      <c r="BD140" s="42">
        <v>57076</v>
      </c>
      <c r="BE140" s="42">
        <v>0</v>
      </c>
      <c r="BF140" s="42">
        <v>0</v>
      </c>
      <c r="BG140" s="42">
        <v>0</v>
      </c>
      <c r="BH140" s="42">
        <v>16</v>
      </c>
      <c r="BI140" s="42">
        <v>29</v>
      </c>
      <c r="BJ140" s="42">
        <v>0</v>
      </c>
      <c r="BK140" s="42">
        <v>0</v>
      </c>
      <c r="BL140" s="42">
        <v>0</v>
      </c>
      <c r="BM140" s="42">
        <v>6511</v>
      </c>
      <c r="BN140" s="42">
        <v>6793</v>
      </c>
      <c r="BO140" s="42">
        <v>0</v>
      </c>
      <c r="BP140" s="42">
        <v>0</v>
      </c>
      <c r="BQ140" s="42">
        <v>6958</v>
      </c>
      <c r="BR140" s="42">
        <v>0</v>
      </c>
      <c r="BS140" s="42">
        <f>IFERROR(VLOOKUP(A140,'Trans 21-23'!$A$2:$J$229,7,0),0)</f>
        <v>0</v>
      </c>
      <c r="BT140" s="63"/>
      <c r="BU140" s="32">
        <f t="shared" si="0"/>
        <v>0</v>
      </c>
      <c r="BV140" s="32">
        <f t="shared" si="1"/>
        <v>0</v>
      </c>
      <c r="BW140" s="32">
        <f t="shared" si="2"/>
        <v>0</v>
      </c>
      <c r="BX140" s="32">
        <f t="shared" si="3"/>
        <v>0</v>
      </c>
      <c r="BY140" s="32">
        <f t="shared" si="4"/>
        <v>4497</v>
      </c>
      <c r="BZ140" s="32">
        <f t="shared" si="5"/>
        <v>0</v>
      </c>
      <c r="CA140" s="32">
        <f t="shared" si="6"/>
        <v>44745</v>
      </c>
      <c r="CB140" s="32">
        <f t="shared" si="7"/>
        <v>0</v>
      </c>
      <c r="CC140" s="32">
        <f t="shared" si="8"/>
        <v>0</v>
      </c>
      <c r="CD140" s="41">
        <f t="shared" si="67"/>
        <v>0</v>
      </c>
      <c r="CE140" s="44">
        <f t="shared" si="10"/>
        <v>58</v>
      </c>
      <c r="CF140" s="27"/>
      <c r="CG140" s="28" t="str">
        <f t="shared" si="11"/>
        <v/>
      </c>
      <c r="CH140" s="28" t="str">
        <f t="shared" si="12"/>
        <v/>
      </c>
      <c r="CI140" s="28" t="str">
        <f t="shared" si="13"/>
        <v/>
      </c>
      <c r="CJ140" s="28" t="str">
        <f t="shared" si="14"/>
        <v/>
      </c>
      <c r="CK140" s="23" t="str">
        <f t="shared" si="15"/>
        <v/>
      </c>
      <c r="CL140" s="29" t="str">
        <f t="shared" si="16"/>
        <v/>
      </c>
      <c r="CM140" s="29" t="str">
        <f t="shared" si="17"/>
        <v/>
      </c>
      <c r="CN140" s="29" t="str">
        <f t="shared" si="18"/>
        <v/>
      </c>
      <c r="CO140" s="29" t="str">
        <f t="shared" si="19"/>
        <v/>
      </c>
      <c r="CP140" s="29" t="str">
        <f t="shared" si="20"/>
        <v/>
      </c>
      <c r="CQ140" s="29" t="str">
        <f t="shared" si="21"/>
        <v/>
      </c>
      <c r="CR140" s="30"/>
      <c r="CS140" s="7" t="str">
        <f>VLOOKUP(A140,'Empresas 21-23'!$A$2:$M$228,13,0)</f>
        <v/>
      </c>
      <c r="CT140" s="30"/>
      <c r="CU140" s="6">
        <f t="shared" si="22"/>
        <v>0</v>
      </c>
      <c r="CV140" s="6">
        <f t="shared" si="23"/>
        <v>0</v>
      </c>
      <c r="CW140" s="6">
        <f t="shared" si="24"/>
        <v>57076</v>
      </c>
      <c r="CX140" s="23">
        <f t="shared" si="69"/>
        <v>0</v>
      </c>
      <c r="CY140" s="23">
        <f t="shared" si="70"/>
        <v>0</v>
      </c>
      <c r="CZ140" s="6">
        <f t="shared" si="27"/>
        <v>0</v>
      </c>
      <c r="DA140" s="6">
        <f t="shared" si="28"/>
        <v>0</v>
      </c>
      <c r="DB140" s="6">
        <f t="shared" si="29"/>
        <v>0</v>
      </c>
      <c r="DC140" s="6">
        <f t="shared" si="30"/>
        <v>0</v>
      </c>
      <c r="DD140" s="6">
        <f t="shared" si="31"/>
        <v>4497</v>
      </c>
      <c r="DE140" s="6">
        <f t="shared" si="32"/>
        <v>44745</v>
      </c>
      <c r="DF140" s="6">
        <f t="shared" si="71"/>
        <v>3435.9869027697141</v>
      </c>
      <c r="DG140" s="30"/>
      <c r="DH140" s="32" t="str">
        <f>VLOOKUP(A140,'T_med_comp-USA'!$A$7:$Q$233,17,0)</f>
        <v>-</v>
      </c>
      <c r="DI140" s="6" t="str">
        <f t="shared" si="34"/>
        <v/>
      </c>
      <c r="DJ140" s="32" t="str">
        <f>IF(DI140="","",VLOOKUP(DI140,'CPI USA'!$T:$U,2,FALSE))</f>
        <v/>
      </c>
      <c r="DK140" s="32" t="str">
        <f>IF(DI140="","",VLOOKUP(DI140,'PPI USA'!$S:$T,2,FALSE))</f>
        <v/>
      </c>
      <c r="DL140" s="32" t="str">
        <f>IF(DI140="","",VLOOKUP(DI140,'CPI USA'!$T:$V,3,FALSE))</f>
        <v/>
      </c>
      <c r="DM140" s="32" t="str">
        <f>IF(DI140="","",VLOOKUP(DI140,'CPI USA'!$T:$X,5,FALSE))</f>
        <v/>
      </c>
      <c r="DN140" s="32" t="str">
        <f t="shared" si="35"/>
        <v/>
      </c>
      <c r="DO140" s="32" t="str">
        <f t="shared" si="36"/>
        <v/>
      </c>
      <c r="DP140" s="32" t="str">
        <f t="shared" si="37"/>
        <v/>
      </c>
      <c r="DQ140" s="32" t="str">
        <f>IF(DP140="","",DP140*$DO$1/'CPI USA'!$U$520+(1-DP140)*AVERAGE($DO$1,$DQ$1)/AVERAGE('CPI USA'!$U$520,'PPI USA'!$T$526))</f>
        <v/>
      </c>
      <c r="DR140" s="6">
        <f t="shared" si="38"/>
        <v>29</v>
      </c>
      <c r="DS140" s="32">
        <f t="shared" si="39"/>
        <v>0.2</v>
      </c>
      <c r="DT140" s="28">
        <f>IF(DS140="","",DS140*$DO$1/'CPI USA'!$U$520+(1-DS140)*AVERAGE($DO$1,$DQ$1)/AVERAGE('CPI USA'!$U$520,'PPI USA'!$T$526))</f>
        <v>1.0854630593748538</v>
      </c>
      <c r="DU140" s="6" t="str">
        <f t="shared" si="40"/>
        <v/>
      </c>
      <c r="DV140" s="6">
        <f t="shared" si="57"/>
        <v>0</v>
      </c>
      <c r="DW140" s="6">
        <f t="shared" si="41"/>
        <v>0</v>
      </c>
      <c r="DX140" s="16" t="str">
        <f t="shared" si="42"/>
        <v/>
      </c>
      <c r="DY140" s="28" t="str">
        <f>IF(DX140="","",DX140*$DO$1/'CPI USA'!$U$520+(1-DX140)*AVERAGE($DO$1,$DQ$1)/AVERAGE('CPI USA'!$U$520,'PPI USA'!$T$526))</f>
        <v/>
      </c>
      <c r="DZ140" s="30"/>
      <c r="EA140" s="29" t="str">
        <f t="shared" si="43"/>
        <v>C001654</v>
      </c>
      <c r="EB140" s="29" t="str">
        <f t="shared" si="44"/>
        <v/>
      </c>
      <c r="EC140" s="29" t="str">
        <f t="shared" si="45"/>
        <v/>
      </c>
      <c r="ED140" s="29" t="str">
        <f t="shared" si="46"/>
        <v/>
      </c>
      <c r="EE140" s="29" t="str">
        <f t="shared" si="47"/>
        <v/>
      </c>
      <c r="EF140" s="29" t="str">
        <f t="shared" si="48"/>
        <v/>
      </c>
      <c r="EG140" s="29" t="str">
        <f t="shared" si="49"/>
        <v/>
      </c>
      <c r="EH140" s="29" t="str">
        <f t="shared" si="50"/>
        <v/>
      </c>
      <c r="EI140" s="29" t="str">
        <f t="shared" si="51"/>
        <v/>
      </c>
      <c r="EJ140" s="29" t="str">
        <f t="shared" si="52"/>
        <v/>
      </c>
      <c r="EK140" s="29" t="str">
        <f t="shared" si="53"/>
        <v/>
      </c>
      <c r="EL140" s="29" t="str">
        <f>IF(CD140=1,VLOOKUP(EA140,'EIA 2022'!$A$2:$J$213,4,0)*EH140,"")</f>
        <v/>
      </c>
      <c r="EM140" s="29" t="str">
        <f>IF(CD140=1,VLOOKUP(EA140,'EIA 2022'!$A$2:$J$213,7,0)*EH140,"")</f>
        <v/>
      </c>
      <c r="EN140" s="29" t="str">
        <f>IF(CD140=1,VLOOKUP(EA140,'EIA 2022'!$A$2:$J$213,10,0),"")</f>
        <v/>
      </c>
      <c r="EO140" s="28" t="str">
        <f>IF(CD140=1,VLOOKUP(EA140,'EIA 2022'!$A$2:$Z$213,26,0),"")</f>
        <v/>
      </c>
      <c r="EP140" s="23" t="str">
        <f t="shared" si="54"/>
        <v/>
      </c>
      <c r="EQ140" s="32" t="str">
        <f t="shared" si="55"/>
        <v/>
      </c>
      <c r="ER140" s="32" t="str">
        <f t="shared" si="56"/>
        <v/>
      </c>
      <c r="ES140" s="32"/>
      <c r="ET140" s="32"/>
    </row>
    <row r="141" spans="1:150" ht="15.75" customHeight="1">
      <c r="A141" s="7" t="s">
        <v>628</v>
      </c>
      <c r="B141" s="7" t="s">
        <v>629</v>
      </c>
      <c r="C141" s="32" t="s">
        <v>1010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>
        <v>1</v>
      </c>
      <c r="M141" s="42">
        <v>0</v>
      </c>
      <c r="N141" s="42">
        <v>0</v>
      </c>
      <c r="O141" s="42">
        <v>1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f>IFERROR(VLOOKUP(A141,'Trans 21-23'!$A$2:$J$229,8,0),0)</f>
        <v>0</v>
      </c>
      <c r="Y141" s="42">
        <v>0</v>
      </c>
      <c r="Z141" s="42">
        <v>0</v>
      </c>
      <c r="AA141" s="42">
        <v>29492</v>
      </c>
      <c r="AB141" s="42">
        <v>184</v>
      </c>
      <c r="AC141" s="42">
        <v>0</v>
      </c>
      <c r="AD141" s="42">
        <v>1113395</v>
      </c>
      <c r="AE141" s="42">
        <v>0</v>
      </c>
      <c r="AF141" s="42">
        <v>6894772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187564883</v>
      </c>
      <c r="BD141" s="42">
        <v>0</v>
      </c>
      <c r="BE141" s="42">
        <v>0</v>
      </c>
      <c r="BF141" s="42">
        <v>0</v>
      </c>
      <c r="BG141" s="42">
        <v>0</v>
      </c>
      <c r="BH141" s="42">
        <v>4965</v>
      </c>
      <c r="BI141" s="42">
        <v>500</v>
      </c>
      <c r="BJ141" s="42">
        <v>0</v>
      </c>
      <c r="BK141" s="42">
        <v>0</v>
      </c>
      <c r="BL141" s="42">
        <v>0</v>
      </c>
      <c r="BM141" s="42">
        <v>300272</v>
      </c>
      <c r="BN141" s="42">
        <v>348759</v>
      </c>
      <c r="BO141" s="42">
        <v>8368</v>
      </c>
      <c r="BP141" s="42">
        <v>195</v>
      </c>
      <c r="BQ141" s="42">
        <v>592047</v>
      </c>
      <c r="BR141" s="42">
        <v>0</v>
      </c>
      <c r="BS141" s="42">
        <f>IFERROR(VLOOKUP(A141,'Trans 21-23'!$A$2:$J$229,7,0),0)</f>
        <v>0</v>
      </c>
      <c r="BT141" s="63"/>
      <c r="BU141" s="32">
        <f t="shared" si="0"/>
        <v>0</v>
      </c>
      <c r="BV141" s="32">
        <f t="shared" si="1"/>
        <v>0</v>
      </c>
      <c r="BW141" s="32">
        <f t="shared" si="2"/>
        <v>0</v>
      </c>
      <c r="BX141" s="32">
        <f t="shared" si="3"/>
        <v>2</v>
      </c>
      <c r="BY141" s="32">
        <f t="shared" si="4"/>
        <v>29676</v>
      </c>
      <c r="BZ141" s="32">
        <f t="shared" si="5"/>
        <v>0</v>
      </c>
      <c r="CA141" s="32">
        <f t="shared" si="6"/>
        <v>1113395</v>
      </c>
      <c r="CB141" s="32">
        <f t="shared" si="7"/>
        <v>0</v>
      </c>
      <c r="CC141" s="32">
        <f t="shared" si="8"/>
        <v>0</v>
      </c>
      <c r="CD141" s="41">
        <f t="shared" si="67"/>
        <v>0</v>
      </c>
      <c r="CE141" s="44">
        <f t="shared" si="10"/>
        <v>54</v>
      </c>
      <c r="CF141" s="27"/>
      <c r="CG141" s="28" t="str">
        <f t="shared" si="11"/>
        <v/>
      </c>
      <c r="CH141" s="28" t="str">
        <f t="shared" si="12"/>
        <v/>
      </c>
      <c r="CI141" s="28" t="str">
        <f t="shared" si="13"/>
        <v/>
      </c>
      <c r="CJ141" s="28" t="str">
        <f t="shared" si="14"/>
        <v/>
      </c>
      <c r="CK141" s="23" t="str">
        <f t="shared" si="15"/>
        <v/>
      </c>
      <c r="CL141" s="29" t="str">
        <f t="shared" si="16"/>
        <v/>
      </c>
      <c r="CM141" s="29" t="str">
        <f t="shared" si="17"/>
        <v/>
      </c>
      <c r="CN141" s="29" t="str">
        <f t="shared" si="18"/>
        <v/>
      </c>
      <c r="CO141" s="29" t="str">
        <f t="shared" si="19"/>
        <v/>
      </c>
      <c r="CP141" s="29" t="str">
        <f t="shared" si="20"/>
        <v/>
      </c>
      <c r="CQ141" s="29" t="str">
        <f t="shared" si="21"/>
        <v/>
      </c>
      <c r="CR141" s="30"/>
      <c r="CS141" s="7" t="str">
        <f>VLOOKUP(A141,'Empresas 21-23'!$A$2:$M$228,13,0)</f>
        <v/>
      </c>
      <c r="CT141" s="30"/>
      <c r="CU141" s="6">
        <f t="shared" si="22"/>
        <v>0</v>
      </c>
      <c r="CV141" s="6">
        <f t="shared" si="23"/>
        <v>0</v>
      </c>
      <c r="CW141" s="6">
        <f t="shared" si="24"/>
        <v>0</v>
      </c>
      <c r="CX141" s="23">
        <f t="shared" si="69"/>
        <v>0</v>
      </c>
      <c r="CY141" s="23">
        <f t="shared" si="70"/>
        <v>0</v>
      </c>
      <c r="CZ141" s="6">
        <f t="shared" si="27"/>
        <v>0</v>
      </c>
      <c r="DA141" s="6">
        <f t="shared" si="28"/>
        <v>0</v>
      </c>
      <c r="DB141" s="6">
        <f t="shared" si="29"/>
        <v>2</v>
      </c>
      <c r="DC141" s="6">
        <f t="shared" si="30"/>
        <v>2</v>
      </c>
      <c r="DD141" s="6">
        <f t="shared" si="31"/>
        <v>29676</v>
      </c>
      <c r="DE141" s="6">
        <f t="shared" si="32"/>
        <v>1113395</v>
      </c>
      <c r="DF141" s="6">
        <f t="shared" si="71"/>
        <v>5715.4786498095527</v>
      </c>
      <c r="DG141" s="30"/>
      <c r="DH141" s="32" t="str">
        <f>VLOOKUP(A141,'T_med_comp-USA'!$A$7:$Q$233,17,0)</f>
        <v>-</v>
      </c>
      <c r="DI141" s="6" t="str">
        <f t="shared" si="34"/>
        <v/>
      </c>
      <c r="DJ141" s="32" t="str">
        <f>IF(DI141="","",VLOOKUP(DI141,'CPI USA'!$T:$U,2,FALSE))</f>
        <v/>
      </c>
      <c r="DK141" s="32" t="str">
        <f>IF(DI141="","",VLOOKUP(DI141,'PPI USA'!$S:$T,2,FALSE))</f>
        <v/>
      </c>
      <c r="DL141" s="32" t="str">
        <f>IF(DI141="","",VLOOKUP(DI141,'CPI USA'!$T:$V,3,FALSE))</f>
        <v/>
      </c>
      <c r="DM141" s="32" t="str">
        <f>IF(DI141="","",VLOOKUP(DI141,'CPI USA'!$T:$X,5,FALSE))</f>
        <v/>
      </c>
      <c r="DN141" s="32" t="str">
        <f t="shared" si="35"/>
        <v/>
      </c>
      <c r="DO141" s="32" t="str">
        <f t="shared" si="36"/>
        <v/>
      </c>
      <c r="DP141" s="32">
        <f t="shared" si="37"/>
        <v>0.8</v>
      </c>
      <c r="DQ141" s="32">
        <f>IF(DP141="","",DP141*$DO$1/'CPI USA'!$U$520+(1-DP141)*AVERAGE($DO$1,$DQ$1)/AVERAGE('CPI USA'!$U$520,'PPI USA'!$T$526))</f>
        <v>1.0652796184204005</v>
      </c>
      <c r="DR141" s="6">
        <f t="shared" si="38"/>
        <v>500</v>
      </c>
      <c r="DS141" s="32">
        <f t="shared" si="39"/>
        <v>0.2</v>
      </c>
      <c r="DT141" s="28">
        <f>IF(DS141="","",DS141*$DO$1/'CPI USA'!$U$520+(1-DS141)*AVERAGE($DO$1,$DQ$1)/AVERAGE('CPI USA'!$U$520,'PPI USA'!$T$526))</f>
        <v>1.0854630593748538</v>
      </c>
      <c r="DU141" s="6">
        <f t="shared" si="40"/>
        <v>307476.62008435623</v>
      </c>
      <c r="DV141" s="6">
        <f t="shared" si="57"/>
        <v>98.931895135946149</v>
      </c>
      <c r="DW141" s="6">
        <f t="shared" si="41"/>
        <v>4819.6616906457602</v>
      </c>
      <c r="DX141" s="16" t="str">
        <f t="shared" si="42"/>
        <v/>
      </c>
      <c r="DY141" s="28" t="str">
        <f>IF(DX141="","",DX141*$DO$1/'CPI USA'!$U$520+(1-DX141)*AVERAGE($DO$1,$DQ$1)/AVERAGE('CPI USA'!$U$520,'PPI USA'!$T$526))</f>
        <v/>
      </c>
      <c r="DZ141" s="30"/>
      <c r="EA141" s="29" t="str">
        <f t="shared" si="43"/>
        <v>C001655</v>
      </c>
      <c r="EB141" s="29" t="str">
        <f t="shared" si="44"/>
        <v/>
      </c>
      <c r="EC141" s="29" t="str">
        <f t="shared" si="45"/>
        <v/>
      </c>
      <c r="ED141" s="29" t="str">
        <f t="shared" si="46"/>
        <v/>
      </c>
      <c r="EE141" s="29" t="str">
        <f t="shared" si="47"/>
        <v/>
      </c>
      <c r="EF141" s="29" t="str">
        <f t="shared" si="48"/>
        <v/>
      </c>
      <c r="EG141" s="29" t="str">
        <f t="shared" si="49"/>
        <v/>
      </c>
      <c r="EH141" s="29" t="str">
        <f t="shared" si="50"/>
        <v/>
      </c>
      <c r="EI141" s="29" t="str">
        <f t="shared" si="51"/>
        <v/>
      </c>
      <c r="EJ141" s="29" t="str">
        <f t="shared" si="52"/>
        <v/>
      </c>
      <c r="EK141" s="29" t="str">
        <f t="shared" si="53"/>
        <v/>
      </c>
      <c r="EL141" s="29" t="str">
        <f>IF(CD141=1,VLOOKUP(EA141,'EIA 2022'!$A$2:$J$213,4,0)*EH141,"")</f>
        <v/>
      </c>
      <c r="EM141" s="29" t="str">
        <f>IF(CD141=1,VLOOKUP(EA141,'EIA 2022'!$A$2:$J$213,7,0)*EH141,"")</f>
        <v/>
      </c>
      <c r="EN141" s="29" t="str">
        <f>IF(CD141=1,VLOOKUP(EA141,'EIA 2022'!$A$2:$J$213,10,0),"")</f>
        <v/>
      </c>
      <c r="EO141" s="28" t="str">
        <f>IF(CD141=1,VLOOKUP(EA141,'EIA 2022'!$A$2:$Z$213,26,0),"")</f>
        <v/>
      </c>
      <c r="EP141" s="23" t="str">
        <f t="shared" si="54"/>
        <v/>
      </c>
      <c r="EQ141" s="32" t="str">
        <f t="shared" si="55"/>
        <v/>
      </c>
      <c r="ER141" s="32" t="str">
        <f t="shared" si="56"/>
        <v/>
      </c>
      <c r="ES141" s="32"/>
      <c r="ET141" s="32"/>
    </row>
    <row r="142" spans="1:150" ht="15.75" customHeight="1">
      <c r="A142" s="7" t="s">
        <v>631</v>
      </c>
      <c r="B142" s="7" t="s">
        <v>632</v>
      </c>
      <c r="C142" s="32" t="s">
        <v>1011</v>
      </c>
      <c r="D142" s="42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1</v>
      </c>
      <c r="M142" s="42">
        <v>0</v>
      </c>
      <c r="N142" s="42">
        <v>0</v>
      </c>
      <c r="O142" s="42">
        <v>58</v>
      </c>
      <c r="P142" s="42">
        <v>0</v>
      </c>
      <c r="Q142" s="42">
        <v>0</v>
      </c>
      <c r="R142" s="42">
        <v>0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f>IFERROR(VLOOKUP(A142,'Trans 21-23'!$A$2:$J$229,8,0),0)</f>
        <v>0</v>
      </c>
      <c r="Y142" s="42">
        <v>0</v>
      </c>
      <c r="Z142" s="42">
        <v>0</v>
      </c>
      <c r="AA142" s="42">
        <v>55629</v>
      </c>
      <c r="AB142" s="42">
        <v>233</v>
      </c>
      <c r="AC142" s="42">
        <v>0</v>
      </c>
      <c r="AD142" s="42">
        <v>2277169</v>
      </c>
      <c r="AE142" s="42">
        <v>0</v>
      </c>
      <c r="AF142" s="42">
        <v>6724700</v>
      </c>
      <c r="AG142" s="42">
        <v>0</v>
      </c>
      <c r="AH142" s="42">
        <v>0</v>
      </c>
      <c r="AI142" s="42">
        <v>0</v>
      </c>
      <c r="AJ142" s="42">
        <v>0</v>
      </c>
      <c r="AK142" s="42">
        <v>0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0</v>
      </c>
      <c r="AV142" s="42">
        <v>0</v>
      </c>
      <c r="AW142" s="42">
        <v>0</v>
      </c>
      <c r="AX142" s="42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271076918</v>
      </c>
      <c r="BD142" s="42">
        <v>1874866</v>
      </c>
      <c r="BE142" s="42">
        <v>0</v>
      </c>
      <c r="BF142" s="42">
        <v>0</v>
      </c>
      <c r="BG142" s="42">
        <v>0</v>
      </c>
      <c r="BH142" s="42">
        <v>28719</v>
      </c>
      <c r="BI142" s="42">
        <v>639</v>
      </c>
      <c r="BJ142" s="42">
        <v>0</v>
      </c>
      <c r="BK142" s="42">
        <v>0</v>
      </c>
      <c r="BL142" s="42">
        <v>0</v>
      </c>
      <c r="BM142" s="42">
        <v>710581</v>
      </c>
      <c r="BN142" s="42">
        <v>2373247</v>
      </c>
      <c r="BO142" s="42">
        <v>8550</v>
      </c>
      <c r="BP142" s="42">
        <v>245</v>
      </c>
      <c r="BQ142" s="42">
        <v>2623355</v>
      </c>
      <c r="BR142" s="42">
        <v>0</v>
      </c>
      <c r="BS142" s="42">
        <f>IFERROR(VLOOKUP(A142,'Trans 21-23'!$A$2:$J$229,7,0),0)</f>
        <v>0</v>
      </c>
      <c r="BT142" s="63"/>
      <c r="BU142" s="32">
        <f t="shared" si="0"/>
        <v>0</v>
      </c>
      <c r="BV142" s="32">
        <f t="shared" si="1"/>
        <v>0</v>
      </c>
      <c r="BW142" s="32">
        <f t="shared" si="2"/>
        <v>0</v>
      </c>
      <c r="BX142" s="32">
        <f t="shared" si="3"/>
        <v>59</v>
      </c>
      <c r="BY142" s="32">
        <f t="shared" si="4"/>
        <v>55862</v>
      </c>
      <c r="BZ142" s="32">
        <f t="shared" si="5"/>
        <v>0</v>
      </c>
      <c r="CA142" s="32">
        <f t="shared" si="6"/>
        <v>2277169</v>
      </c>
      <c r="CB142" s="32">
        <f t="shared" si="7"/>
        <v>0</v>
      </c>
      <c r="CC142" s="32">
        <f t="shared" si="8"/>
        <v>0</v>
      </c>
      <c r="CD142" s="41">
        <f t="shared" si="67"/>
        <v>0</v>
      </c>
      <c r="CE142" s="44">
        <f t="shared" si="10"/>
        <v>53</v>
      </c>
      <c r="CF142" s="27"/>
      <c r="CG142" s="28" t="str">
        <f t="shared" si="11"/>
        <v/>
      </c>
      <c r="CH142" s="28" t="str">
        <f t="shared" si="12"/>
        <v/>
      </c>
      <c r="CI142" s="28" t="str">
        <f t="shared" si="13"/>
        <v/>
      </c>
      <c r="CJ142" s="28" t="str">
        <f t="shared" si="14"/>
        <v/>
      </c>
      <c r="CK142" s="23" t="str">
        <f t="shared" si="15"/>
        <v/>
      </c>
      <c r="CL142" s="29" t="str">
        <f t="shared" si="16"/>
        <v/>
      </c>
      <c r="CM142" s="29" t="str">
        <f t="shared" si="17"/>
        <v/>
      </c>
      <c r="CN142" s="29" t="str">
        <f t="shared" si="18"/>
        <v/>
      </c>
      <c r="CO142" s="29" t="str">
        <f t="shared" si="19"/>
        <v/>
      </c>
      <c r="CP142" s="29" t="str">
        <f t="shared" si="20"/>
        <v/>
      </c>
      <c r="CQ142" s="29" t="str">
        <f t="shared" si="21"/>
        <v/>
      </c>
      <c r="CR142" s="30"/>
      <c r="CS142" s="7" t="str">
        <f>VLOOKUP(A142,'Empresas 21-23'!$A$2:$M$228,13,0)</f>
        <v/>
      </c>
      <c r="CT142" s="30"/>
      <c r="CU142" s="6">
        <f t="shared" si="22"/>
        <v>0</v>
      </c>
      <c r="CV142" s="6">
        <f t="shared" si="23"/>
        <v>0</v>
      </c>
      <c r="CW142" s="6">
        <f t="shared" si="24"/>
        <v>1874866</v>
      </c>
      <c r="CX142" s="23">
        <f t="shared" si="69"/>
        <v>0</v>
      </c>
      <c r="CY142" s="23">
        <f t="shared" si="70"/>
        <v>0</v>
      </c>
      <c r="CZ142" s="6">
        <f t="shared" si="27"/>
        <v>0</v>
      </c>
      <c r="DA142" s="6">
        <f t="shared" si="28"/>
        <v>0</v>
      </c>
      <c r="DB142" s="6">
        <f t="shared" si="29"/>
        <v>59</v>
      </c>
      <c r="DC142" s="6">
        <f t="shared" si="30"/>
        <v>59</v>
      </c>
      <c r="DD142" s="6">
        <f t="shared" si="31"/>
        <v>55862</v>
      </c>
      <c r="DE142" s="6">
        <f t="shared" si="32"/>
        <v>2277169</v>
      </c>
      <c r="DF142" s="6">
        <f t="shared" si="71"/>
        <v>28631.968534676882</v>
      </c>
      <c r="DG142" s="30"/>
      <c r="DH142" s="32" t="str">
        <f>VLOOKUP(A142,'T_med_comp-USA'!$A$7:$Q$233,17,0)</f>
        <v>-</v>
      </c>
      <c r="DI142" s="6" t="str">
        <f t="shared" si="34"/>
        <v/>
      </c>
      <c r="DJ142" s="32" t="str">
        <f>IF(DI142="","",VLOOKUP(DI142,'CPI USA'!$T:$U,2,FALSE))</f>
        <v/>
      </c>
      <c r="DK142" s="32" t="str">
        <f>IF(DI142="","",VLOOKUP(DI142,'PPI USA'!$S:$T,2,FALSE))</f>
        <v/>
      </c>
      <c r="DL142" s="32" t="str">
        <f>IF(DI142="","",VLOOKUP(DI142,'CPI USA'!$T:$V,3,FALSE))</f>
        <v/>
      </c>
      <c r="DM142" s="32" t="str">
        <f>IF(DI142="","",VLOOKUP(DI142,'CPI USA'!$T:$X,5,FALSE))</f>
        <v/>
      </c>
      <c r="DN142" s="32" t="str">
        <f t="shared" si="35"/>
        <v/>
      </c>
      <c r="DO142" s="32" t="str">
        <f t="shared" si="36"/>
        <v/>
      </c>
      <c r="DP142" s="32">
        <f t="shared" si="37"/>
        <v>0.8</v>
      </c>
      <c r="DQ142" s="32">
        <f>IF(DP142="","",DP142*$DO$1/'CPI USA'!$U$520+(1-DP142)*AVERAGE($DO$1,$DQ$1)/AVERAGE('CPI USA'!$U$520,'PPI USA'!$T$526))</f>
        <v>1.0652796184204005</v>
      </c>
      <c r="DR142" s="6">
        <f t="shared" si="38"/>
        <v>639</v>
      </c>
      <c r="DS142" s="32">
        <f t="shared" si="39"/>
        <v>0.2</v>
      </c>
      <c r="DT142" s="28">
        <f>IF(DS142="","",DS142*$DO$1/'CPI USA'!$U$520+(1-DS142)*AVERAGE($DO$1,$DQ$1)/AVERAGE('CPI USA'!$U$520,'PPI USA'!$T$526))</f>
        <v>1.0854630593748538</v>
      </c>
      <c r="DU142" s="6">
        <f t="shared" si="40"/>
        <v>713140.98113554972</v>
      </c>
      <c r="DV142" s="6">
        <f t="shared" si="57"/>
        <v>66.368678782056421</v>
      </c>
      <c r="DW142" s="6">
        <f t="shared" si="41"/>
        <v>8822.6557858702236</v>
      </c>
      <c r="DX142" s="16" t="str">
        <f t="shared" si="42"/>
        <v/>
      </c>
      <c r="DY142" s="28" t="str">
        <f>IF(DX142="","",DX142*$DO$1/'CPI USA'!$U$520+(1-DX142)*AVERAGE($DO$1,$DQ$1)/AVERAGE('CPI USA'!$U$520,'PPI USA'!$T$526))</f>
        <v/>
      </c>
      <c r="DZ142" s="30"/>
      <c r="EA142" s="29" t="str">
        <f t="shared" si="43"/>
        <v>C001656</v>
      </c>
      <c r="EB142" s="29" t="str">
        <f t="shared" si="44"/>
        <v/>
      </c>
      <c r="EC142" s="29" t="str">
        <f t="shared" si="45"/>
        <v/>
      </c>
      <c r="ED142" s="29" t="str">
        <f t="shared" si="46"/>
        <v/>
      </c>
      <c r="EE142" s="29" t="str">
        <f t="shared" si="47"/>
        <v/>
      </c>
      <c r="EF142" s="29" t="str">
        <f t="shared" si="48"/>
        <v/>
      </c>
      <c r="EG142" s="29" t="str">
        <f t="shared" si="49"/>
        <v/>
      </c>
      <c r="EH142" s="29" t="str">
        <f t="shared" si="50"/>
        <v/>
      </c>
      <c r="EI142" s="29" t="str">
        <f t="shared" si="51"/>
        <v/>
      </c>
      <c r="EJ142" s="29" t="str">
        <f t="shared" si="52"/>
        <v/>
      </c>
      <c r="EK142" s="29" t="str">
        <f t="shared" si="53"/>
        <v/>
      </c>
      <c r="EL142" s="29" t="str">
        <f>IF(CD142=1,VLOOKUP(EA142,'EIA 2022'!$A$2:$J$213,4,0)*EH142,"")</f>
        <v/>
      </c>
      <c r="EM142" s="29" t="str">
        <f>IF(CD142=1,VLOOKUP(EA142,'EIA 2022'!$A$2:$J$213,7,0)*EH142,"")</f>
        <v/>
      </c>
      <c r="EN142" s="29" t="str">
        <f>IF(CD142=1,VLOOKUP(EA142,'EIA 2022'!$A$2:$J$213,10,0),"")</f>
        <v/>
      </c>
      <c r="EO142" s="28" t="str">
        <f>IF(CD142=1,VLOOKUP(EA142,'EIA 2022'!$A$2:$Z$213,26,0),"")</f>
        <v/>
      </c>
      <c r="EP142" s="23" t="str">
        <f t="shared" si="54"/>
        <v/>
      </c>
      <c r="EQ142" s="32" t="str">
        <f t="shared" si="55"/>
        <v/>
      </c>
      <c r="ER142" s="32" t="str">
        <f t="shared" si="56"/>
        <v/>
      </c>
      <c r="ES142" s="32"/>
      <c r="ET142" s="32"/>
    </row>
    <row r="143" spans="1:150" ht="15.75" customHeight="1">
      <c r="A143" s="7" t="s">
        <v>634</v>
      </c>
      <c r="B143" s="7" t="s">
        <v>635</v>
      </c>
      <c r="C143" s="32" t="s">
        <v>1012</v>
      </c>
      <c r="D143" s="42">
        <v>137191524</v>
      </c>
      <c r="E143" s="42">
        <v>0</v>
      </c>
      <c r="F143" s="42">
        <v>0</v>
      </c>
      <c r="G143" s="42">
        <v>399192437</v>
      </c>
      <c r="H143" s="42">
        <v>401084895</v>
      </c>
      <c r="I143" s="42">
        <v>1035917</v>
      </c>
      <c r="J143" s="42">
        <v>1519</v>
      </c>
      <c r="K143" s="42">
        <v>540309</v>
      </c>
      <c r="L143" s="42">
        <v>309727</v>
      </c>
      <c r="M143" s="42">
        <v>195317</v>
      </c>
      <c r="N143" s="42">
        <v>9653</v>
      </c>
      <c r="O143" s="42">
        <v>7485995</v>
      </c>
      <c r="P143" s="42">
        <v>78669</v>
      </c>
      <c r="Q143" s="42">
        <v>760391</v>
      </c>
      <c r="R143" s="42">
        <v>0</v>
      </c>
      <c r="S143" s="42">
        <v>35481</v>
      </c>
      <c r="T143" s="42">
        <v>17065603</v>
      </c>
      <c r="U143" s="42">
        <v>1705990</v>
      </c>
      <c r="V143" s="42">
        <v>0</v>
      </c>
      <c r="W143" s="42">
        <v>823659</v>
      </c>
      <c r="X143" s="42">
        <f>IFERROR(VLOOKUP(A143,'Trans 21-23'!$A$2:$J$229,8,0),0)</f>
        <v>2200383</v>
      </c>
      <c r="Y143" s="42">
        <v>767795</v>
      </c>
      <c r="Z143" s="42">
        <v>0</v>
      </c>
      <c r="AA143" s="42">
        <v>6200143</v>
      </c>
      <c r="AB143" s="42">
        <v>13527080</v>
      </c>
      <c r="AC143" s="42">
        <v>17854</v>
      </c>
      <c r="AD143" s="42">
        <v>69034394</v>
      </c>
      <c r="AE143" s="42">
        <v>0</v>
      </c>
      <c r="AF143" s="42">
        <v>821914677</v>
      </c>
      <c r="AG143" s="42">
        <v>150480</v>
      </c>
      <c r="AH143" s="42">
        <v>467694</v>
      </c>
      <c r="AI143" s="42">
        <v>13424572</v>
      </c>
      <c r="AJ143" s="42">
        <v>17901</v>
      </c>
      <c r="AK143" s="42">
        <v>0</v>
      </c>
      <c r="AL143" s="42">
        <v>1053658</v>
      </c>
      <c r="AM143" s="42">
        <v>1181683</v>
      </c>
      <c r="AN143" s="42">
        <v>6045708</v>
      </c>
      <c r="AO143" s="42">
        <v>8744</v>
      </c>
      <c r="AP143" s="42">
        <v>43943</v>
      </c>
      <c r="AQ143" s="42">
        <v>8333736</v>
      </c>
      <c r="AR143" s="42">
        <v>4605241</v>
      </c>
      <c r="AS143" s="42">
        <v>12938977</v>
      </c>
      <c r="AT143" s="42">
        <v>0</v>
      </c>
      <c r="AU143" s="42">
        <v>1556</v>
      </c>
      <c r="AV143" s="42">
        <v>0</v>
      </c>
      <c r="AW143" s="42">
        <v>106972758</v>
      </c>
      <c r="AX143" s="42">
        <v>14464231</v>
      </c>
      <c r="AY143" s="42">
        <v>121828844</v>
      </c>
      <c r="AZ143" s="42">
        <v>69876125</v>
      </c>
      <c r="BA143" s="42">
        <v>8288223</v>
      </c>
      <c r="BB143" s="42">
        <v>704203940</v>
      </c>
      <c r="BC143" s="42">
        <v>5039490488</v>
      </c>
      <c r="BD143" s="42">
        <v>245393092</v>
      </c>
      <c r="BE143" s="42">
        <v>330918118</v>
      </c>
      <c r="BF143" s="42">
        <v>23215901</v>
      </c>
      <c r="BG143" s="42">
        <v>0</v>
      </c>
      <c r="BH143" s="42">
        <v>13024020</v>
      </c>
      <c r="BI143" s="42">
        <v>2663053</v>
      </c>
      <c r="BJ143" s="42">
        <v>1034069</v>
      </c>
      <c r="BK143" s="42">
        <v>303</v>
      </c>
      <c r="BL143" s="42">
        <v>0</v>
      </c>
      <c r="BM143" s="42">
        <v>28796927</v>
      </c>
      <c r="BN143" s="42">
        <v>80722083</v>
      </c>
      <c r="BO143" s="42">
        <v>989082</v>
      </c>
      <c r="BP143" s="42">
        <v>18537697</v>
      </c>
      <c r="BQ143" s="42">
        <v>117059771</v>
      </c>
      <c r="BR143" s="42">
        <v>0</v>
      </c>
      <c r="BS143" s="42">
        <f>IFERROR(VLOOKUP(A143,'Trans 21-23'!$A$2:$J$229,7,0),0)</f>
        <v>199274591</v>
      </c>
      <c r="BT143" s="63"/>
      <c r="BU143" s="32">
        <f t="shared" si="0"/>
        <v>704203940</v>
      </c>
      <c r="BV143" s="32">
        <f t="shared" si="1"/>
        <v>1556</v>
      </c>
      <c r="BW143" s="32">
        <f t="shared" si="2"/>
        <v>150480</v>
      </c>
      <c r="BX143" s="32">
        <f t="shared" si="3"/>
        <v>30048230</v>
      </c>
      <c r="BY143" s="32">
        <f t="shared" si="4"/>
        <v>20512872</v>
      </c>
      <c r="BZ143" s="32">
        <f t="shared" si="5"/>
        <v>69876125</v>
      </c>
      <c r="CA143" s="32">
        <f t="shared" si="6"/>
        <v>69034394</v>
      </c>
      <c r="CB143" s="32">
        <f t="shared" si="7"/>
        <v>467694</v>
      </c>
      <c r="CC143" s="32">
        <f t="shared" si="8"/>
        <v>8333736</v>
      </c>
      <c r="CD143" s="41">
        <f t="shared" si="67"/>
        <v>1</v>
      </c>
      <c r="CE143" s="44">
        <f t="shared" si="10"/>
        <v>12</v>
      </c>
      <c r="CF143" s="27"/>
      <c r="CG143" s="28">
        <f t="shared" si="11"/>
        <v>452.57322622107972</v>
      </c>
      <c r="CH143" s="28">
        <f t="shared" si="12"/>
        <v>10.340244550770867</v>
      </c>
      <c r="CI143" s="28">
        <f t="shared" si="13"/>
        <v>199.68254917597022</v>
      </c>
      <c r="CJ143" s="28">
        <f t="shared" si="14"/>
        <v>464.35489766081872</v>
      </c>
      <c r="CK143" s="23">
        <f t="shared" si="15"/>
        <v>5.612056825414196E-2</v>
      </c>
      <c r="CL143" s="29" t="str">
        <f t="shared" si="16"/>
        <v/>
      </c>
      <c r="CM143" s="29" t="str">
        <f t="shared" si="17"/>
        <v/>
      </c>
      <c r="CN143" s="29" t="str">
        <f t="shared" si="18"/>
        <v/>
      </c>
      <c r="CO143" s="29" t="str">
        <f t="shared" si="19"/>
        <v/>
      </c>
      <c r="CP143" s="29" t="str">
        <f t="shared" si="20"/>
        <v/>
      </c>
      <c r="CQ143" s="29">
        <f t="shared" si="21"/>
        <v>0</v>
      </c>
      <c r="CR143" s="30"/>
      <c r="CS143" s="7">
        <f>VLOOKUP(A143,'Empresas 21-23'!$A$2:$M$228,13,0)</f>
        <v>1</v>
      </c>
      <c r="CT143" s="30"/>
      <c r="CU143" s="6">
        <f t="shared" si="22"/>
        <v>743538338</v>
      </c>
      <c r="CV143" s="6">
        <f t="shared" si="23"/>
        <v>69876125</v>
      </c>
      <c r="CW143" s="6">
        <f t="shared" si="24"/>
        <v>245393092</v>
      </c>
      <c r="CX143" s="23">
        <f t="shared" si="69"/>
        <v>0.15509454159616745</v>
      </c>
      <c r="CY143" s="23">
        <f t="shared" si="70"/>
        <v>1.4575449605655029E-2</v>
      </c>
      <c r="CZ143" s="6">
        <f t="shared" si="27"/>
        <v>781597467.11460614</v>
      </c>
      <c r="DA143" s="6">
        <f t="shared" si="28"/>
        <v>73452839.646021873</v>
      </c>
      <c r="DB143" s="6">
        <f t="shared" si="29"/>
        <v>30048230</v>
      </c>
      <c r="DC143" s="6">
        <f t="shared" si="30"/>
        <v>32248613</v>
      </c>
      <c r="DD143" s="6">
        <f t="shared" si="31"/>
        <v>20512872</v>
      </c>
      <c r="DE143" s="6">
        <f t="shared" si="32"/>
        <v>69034394</v>
      </c>
      <c r="DF143" s="6">
        <f t="shared" si="71"/>
        <v>16972467.669617962</v>
      </c>
      <c r="DG143" s="30"/>
      <c r="DH143" s="32">
        <f>VLOOKUP(A143,'T_med_comp-USA'!$A$7:$Q$233,17,0)</f>
        <v>14.227950903717968</v>
      </c>
      <c r="DI143" s="6" t="str">
        <f t="shared" si="34"/>
        <v>10_2008</v>
      </c>
      <c r="DJ143" s="32">
        <f>IF(DI143="","",VLOOKUP(DI143,'CPI USA'!$T:$U,2,FALSE))</f>
        <v>215.303</v>
      </c>
      <c r="DK143" s="32">
        <f>IF(DI143="","",VLOOKUP(DI143,'PPI USA'!$S:$T,2,FALSE))</f>
        <v>159.30000000000001</v>
      </c>
      <c r="DL143" s="32">
        <f>IF(DI143="","",VLOOKUP(DI143,'CPI USA'!$T:$V,3,FALSE))</f>
        <v>0.67018812038291731</v>
      </c>
      <c r="DM143" s="32">
        <f>IF(DI143="","",VLOOKUP(DI143,'CPI USA'!$T:$X,5,FALSE))</f>
        <v>0.49838492968660258</v>
      </c>
      <c r="DN143" s="32">
        <f t="shared" si="35"/>
        <v>1.4884333659448254</v>
      </c>
      <c r="DO143" s="32">
        <f t="shared" si="36"/>
        <v>1.5036496327119213</v>
      </c>
      <c r="DP143" s="32">
        <f t="shared" si="37"/>
        <v>0.43874805271866174</v>
      </c>
      <c r="DQ143" s="32">
        <f>IF(DP143="","",DP143*$DO$1/'CPI USA'!$U$520+(1-DP143)*AVERAGE($DO$1,$DQ$1)/AVERAGE('CPI USA'!$U$520,'PPI USA'!$T$526))</f>
        <v>1.077431797333124</v>
      </c>
      <c r="DR143" s="6">
        <f t="shared" si="38"/>
        <v>3697425</v>
      </c>
      <c r="DS143" s="32">
        <f t="shared" si="39"/>
        <v>0.2</v>
      </c>
      <c r="DT143" s="28">
        <f>IF(DS143="","",DS143*$DO$1/'CPI USA'!$U$520+(1-DS143)*AVERAGE($DO$1,$DQ$1)/AVERAGE('CPI USA'!$U$520,'PPI USA'!$T$526))</f>
        <v>1.0854630593748538</v>
      </c>
      <c r="DU143" s="6">
        <f t="shared" si="40"/>
        <v>29149773.719168708</v>
      </c>
      <c r="DV143" s="6">
        <f t="shared" si="57"/>
        <v>5418366.5201477492</v>
      </c>
      <c r="DW143" s="6">
        <f t="shared" si="41"/>
        <v>7160732.6555735311</v>
      </c>
      <c r="DX143" s="16">
        <f t="shared" si="42"/>
        <v>0.42190286026538143</v>
      </c>
      <c r="DY143" s="28">
        <f>IF(DX143="","",DX143*$DO$1/'CPI USA'!$U$520+(1-DX143)*AVERAGE($DO$1,$DQ$1)/AVERAGE('CPI USA'!$U$520,'PPI USA'!$T$526))</f>
        <v>1.0779984539118694</v>
      </c>
      <c r="DZ143" s="30"/>
      <c r="EA143" s="29" t="str">
        <f t="shared" si="43"/>
        <v>C001673</v>
      </c>
      <c r="EB143" s="29">
        <f t="shared" si="44"/>
        <v>1163355748.7913432</v>
      </c>
      <c r="EC143" s="29">
        <f t="shared" si="45"/>
        <v>110447335.35538845</v>
      </c>
      <c r="ED143" s="29">
        <f t="shared" si="46"/>
        <v>34745681.066090345</v>
      </c>
      <c r="EE143" s="29">
        <f t="shared" si="47"/>
        <v>22265964.797684774</v>
      </c>
      <c r="EF143" s="29">
        <f t="shared" si="48"/>
        <v>18296293.906917352</v>
      </c>
      <c r="EG143" s="29">
        <f t="shared" si="49"/>
        <v>1556</v>
      </c>
      <c r="EH143" s="29">
        <f t="shared" si="50"/>
        <v>150480</v>
      </c>
      <c r="EI143" s="29">
        <f t="shared" si="51"/>
        <v>467694</v>
      </c>
      <c r="EJ143" s="29">
        <f t="shared" si="52"/>
        <v>8333736</v>
      </c>
      <c r="EK143" s="29">
        <f t="shared" si="53"/>
        <v>8731299.4263959378</v>
      </c>
      <c r="EL143" s="29">
        <f>IF(CD143=1,VLOOKUP(EA143,'EIA 2022'!$A$2:$J$213,4,0)*EH143,"")</f>
        <v>16959096</v>
      </c>
      <c r="EM143" s="29">
        <f>IF(CD143=1,VLOOKUP(EA143,'EIA 2022'!$A$2:$J$213,7,0)*EH143,"")</f>
        <v>308484</v>
      </c>
      <c r="EN143" s="29">
        <f>IF(CD143=1,VLOOKUP(EA143,'EIA 2022'!$A$2:$J$213,10,0),"")</f>
        <v>150464</v>
      </c>
      <c r="EO143" s="28">
        <f>IF(CD143=1,VLOOKUP(EA143,'EIA 2022'!$A$2:$Z$213,26,0),"")</f>
        <v>0</v>
      </c>
      <c r="EP143" s="23">
        <f t="shared" si="54"/>
        <v>4.5533133956447418E-2</v>
      </c>
      <c r="EQ143" s="32">
        <f t="shared" si="55"/>
        <v>70130.573604061268</v>
      </c>
      <c r="ER143" s="32">
        <f t="shared" si="56"/>
        <v>397563.42639593873</v>
      </c>
      <c r="ES143" s="32"/>
      <c r="ET143" s="32"/>
    </row>
    <row r="144" spans="1:150" ht="15.75" customHeight="1">
      <c r="A144" s="7" t="s">
        <v>637</v>
      </c>
      <c r="B144" s="7" t="s">
        <v>638</v>
      </c>
      <c r="C144" s="32" t="s">
        <v>1013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>
        <v>0</v>
      </c>
      <c r="M144" s="42">
        <v>0</v>
      </c>
      <c r="N144" s="42">
        <v>0</v>
      </c>
      <c r="O144" s="42">
        <v>0</v>
      </c>
      <c r="P144" s="42">
        <v>0</v>
      </c>
      <c r="Q144" s="42">
        <v>0</v>
      </c>
      <c r="R144" s="42">
        <v>0</v>
      </c>
      <c r="S144" s="42">
        <v>0</v>
      </c>
      <c r="T144" s="42">
        <v>0</v>
      </c>
      <c r="U144" s="42">
        <v>0</v>
      </c>
      <c r="V144" s="42">
        <v>0</v>
      </c>
      <c r="W144" s="42">
        <v>0</v>
      </c>
      <c r="X144" s="42">
        <f>IFERROR(VLOOKUP(A144,'Trans 21-23'!$A$2:$J$229,8,0),0)</f>
        <v>0</v>
      </c>
      <c r="Y144" s="42">
        <v>0</v>
      </c>
      <c r="Z144" s="42">
        <v>0</v>
      </c>
      <c r="AA144" s="42">
        <v>0</v>
      </c>
      <c r="AB144" s="42">
        <v>0</v>
      </c>
      <c r="AC144" s="42">
        <v>0</v>
      </c>
      <c r="AD144" s="42">
        <v>0</v>
      </c>
      <c r="AE144" s="42">
        <v>0</v>
      </c>
      <c r="AF144" s="42">
        <v>0</v>
      </c>
      <c r="AG144" s="42">
        <v>0</v>
      </c>
      <c r="AH144" s="42">
        <v>0</v>
      </c>
      <c r="AI144" s="42">
        <v>0</v>
      </c>
      <c r="AJ144" s="42">
        <v>0</v>
      </c>
      <c r="AK144" s="42">
        <v>0</v>
      </c>
      <c r="AL144" s="42">
        <v>0</v>
      </c>
      <c r="AM144" s="42">
        <v>0</v>
      </c>
      <c r="AN144" s="42">
        <v>0</v>
      </c>
      <c r="AO144" s="42">
        <v>0</v>
      </c>
      <c r="AP144" s="42">
        <v>0</v>
      </c>
      <c r="AQ144" s="42">
        <v>0</v>
      </c>
      <c r="AR144" s="42">
        <v>0</v>
      </c>
      <c r="AS144" s="42">
        <v>0</v>
      </c>
      <c r="AT144" s="42">
        <v>0</v>
      </c>
      <c r="AU144" s="42">
        <v>0</v>
      </c>
      <c r="AV144" s="42">
        <v>0</v>
      </c>
      <c r="AW144" s="42">
        <v>0</v>
      </c>
      <c r="AX144" s="42">
        <v>0</v>
      </c>
      <c r="AY144" s="42">
        <v>0</v>
      </c>
      <c r="AZ144" s="42">
        <v>0</v>
      </c>
      <c r="BA144" s="42">
        <v>0</v>
      </c>
      <c r="BB144" s="42">
        <v>0</v>
      </c>
      <c r="BC144" s="42">
        <v>358980</v>
      </c>
      <c r="BD144" s="42">
        <v>358980</v>
      </c>
      <c r="BE144" s="42">
        <v>0</v>
      </c>
      <c r="BF144" s="42">
        <v>0</v>
      </c>
      <c r="BG144" s="42">
        <v>0</v>
      </c>
      <c r="BH144" s="42">
        <v>0</v>
      </c>
      <c r="BI144" s="42">
        <v>0</v>
      </c>
      <c r="BJ144" s="42">
        <v>0</v>
      </c>
      <c r="BK144" s="42">
        <v>0</v>
      </c>
      <c r="BL144" s="42">
        <v>0</v>
      </c>
      <c r="BM144" s="42">
        <v>0</v>
      </c>
      <c r="BN144" s="42">
        <v>0</v>
      </c>
      <c r="BO144" s="42">
        <v>0</v>
      </c>
      <c r="BP144" s="42">
        <v>0</v>
      </c>
      <c r="BQ144" s="42">
        <v>0</v>
      </c>
      <c r="BR144" s="42">
        <v>0</v>
      </c>
      <c r="BS144" s="42">
        <f>IFERROR(VLOOKUP(A144,'Trans 21-23'!$A$2:$J$229,7,0),0)</f>
        <v>0</v>
      </c>
      <c r="BT144" s="63"/>
      <c r="BU144" s="32">
        <f t="shared" si="0"/>
        <v>0</v>
      </c>
      <c r="BV144" s="32">
        <f t="shared" si="1"/>
        <v>0</v>
      </c>
      <c r="BW144" s="32">
        <f t="shared" si="2"/>
        <v>0</v>
      </c>
      <c r="BX144" s="32">
        <f t="shared" si="3"/>
        <v>0</v>
      </c>
      <c r="BY144" s="32">
        <f t="shared" si="4"/>
        <v>0</v>
      </c>
      <c r="BZ144" s="32">
        <f t="shared" si="5"/>
        <v>0</v>
      </c>
      <c r="CA144" s="32">
        <f t="shared" si="6"/>
        <v>0</v>
      </c>
      <c r="CB144" s="32">
        <f t="shared" si="7"/>
        <v>0</v>
      </c>
      <c r="CC144" s="32">
        <f t="shared" si="8"/>
        <v>0</v>
      </c>
      <c r="CD144" s="41">
        <f t="shared" si="67"/>
        <v>0</v>
      </c>
      <c r="CE144" s="44">
        <f t="shared" si="10"/>
        <v>66</v>
      </c>
      <c r="CF144" s="27"/>
      <c r="CG144" s="28" t="str">
        <f t="shared" si="11"/>
        <v/>
      </c>
      <c r="CH144" s="28" t="str">
        <f t="shared" si="12"/>
        <v/>
      </c>
      <c r="CI144" s="28" t="str">
        <f t="shared" si="13"/>
        <v/>
      </c>
      <c r="CJ144" s="28" t="str">
        <f t="shared" si="14"/>
        <v/>
      </c>
      <c r="CK144" s="23" t="str">
        <f t="shared" si="15"/>
        <v/>
      </c>
      <c r="CL144" s="29" t="str">
        <f t="shared" si="16"/>
        <v/>
      </c>
      <c r="CM144" s="29" t="str">
        <f t="shared" si="17"/>
        <v/>
      </c>
      <c r="CN144" s="29" t="str">
        <f t="shared" si="18"/>
        <v/>
      </c>
      <c r="CO144" s="29" t="str">
        <f t="shared" si="19"/>
        <v/>
      </c>
      <c r="CP144" s="29" t="str">
        <f t="shared" si="20"/>
        <v/>
      </c>
      <c r="CQ144" s="29" t="str">
        <f t="shared" si="21"/>
        <v/>
      </c>
      <c r="CR144" s="30"/>
      <c r="CS144" s="7" t="str">
        <f>VLOOKUP(A144,'Empresas 21-23'!$A$2:$M$228,13,0)</f>
        <v/>
      </c>
      <c r="CT144" s="30"/>
      <c r="CU144" s="6">
        <f t="shared" si="22"/>
        <v>0</v>
      </c>
      <c r="CV144" s="6">
        <f t="shared" si="23"/>
        <v>0</v>
      </c>
      <c r="CW144" s="6">
        <f t="shared" si="24"/>
        <v>358980</v>
      </c>
      <c r="CX144" s="23" t="str">
        <f>IFERROR(CU144/(BC144-BD144),"")</f>
        <v/>
      </c>
      <c r="CY144" s="23" t="str">
        <f>IFERROR(CV144/(BC144-BD144),"")</f>
        <v/>
      </c>
      <c r="CZ144" s="6" t="e">
        <f t="shared" si="27"/>
        <v>#VALUE!</v>
      </c>
      <c r="DA144" s="6" t="e">
        <f t="shared" si="28"/>
        <v>#VALUE!</v>
      </c>
      <c r="DB144" s="6">
        <f t="shared" si="29"/>
        <v>0</v>
      </c>
      <c r="DC144" s="6">
        <f t="shared" si="30"/>
        <v>0</v>
      </c>
      <c r="DD144" s="6">
        <f t="shared" si="31"/>
        <v>0</v>
      </c>
      <c r="DE144" s="6">
        <f t="shared" si="32"/>
        <v>0</v>
      </c>
      <c r="DF144" s="6">
        <f>IFERROR(DE144*(DC144+DD144)/(AF144-AD144-F144-H144-E144-D144),0)</f>
        <v>0</v>
      </c>
      <c r="DG144" s="30"/>
      <c r="DH144" s="32" t="str">
        <f>VLOOKUP(A144,'T_med_comp-USA'!$A$7:$Q$233,17,0)</f>
        <v>-</v>
      </c>
      <c r="DI144" s="6" t="str">
        <f t="shared" si="34"/>
        <v/>
      </c>
      <c r="DJ144" s="32" t="str">
        <f>IF(DI144="","",VLOOKUP(DI144,'CPI USA'!$T:$U,2,FALSE))</f>
        <v/>
      </c>
      <c r="DK144" s="32" t="str">
        <f>IF(DI144="","",VLOOKUP(DI144,'PPI USA'!$S:$T,2,FALSE))</f>
        <v/>
      </c>
      <c r="DL144" s="32" t="str">
        <f>IF(DI144="","",VLOOKUP(DI144,'CPI USA'!$T:$V,3,FALSE))</f>
        <v/>
      </c>
      <c r="DM144" s="32" t="str">
        <f>IF(DI144="","",VLOOKUP(DI144,'CPI USA'!$T:$X,5,FALSE))</f>
        <v/>
      </c>
      <c r="DN144" s="32" t="str">
        <f t="shared" si="35"/>
        <v/>
      </c>
      <c r="DO144" s="32" t="str">
        <f t="shared" si="36"/>
        <v/>
      </c>
      <c r="DP144" s="32" t="str">
        <f t="shared" si="37"/>
        <v/>
      </c>
      <c r="DQ144" s="32" t="str">
        <f>IF(DP144="","",DP144*$DO$1/'CPI USA'!$U$520+(1-DP144)*AVERAGE($DO$1,$DQ$1)/AVERAGE('CPI USA'!$U$520,'PPI USA'!$T$526))</f>
        <v/>
      </c>
      <c r="DR144" s="6">
        <f t="shared" si="38"/>
        <v>0</v>
      </c>
      <c r="DS144" s="32" t="str">
        <f t="shared" si="39"/>
        <v/>
      </c>
      <c r="DT144" s="28" t="str">
        <f>IF(DS144="","",DS144*$DO$1/'CPI USA'!$U$520+(1-DS144)*AVERAGE($DO$1,$DQ$1)/AVERAGE('CPI USA'!$U$520,'PPI USA'!$T$526))</f>
        <v/>
      </c>
      <c r="DU144" s="6" t="str">
        <f t="shared" si="40"/>
        <v/>
      </c>
      <c r="DV144" s="6" t="str">
        <f t="shared" si="57"/>
        <v/>
      </c>
      <c r="DW144" s="6">
        <f t="shared" si="41"/>
        <v>0</v>
      </c>
      <c r="DX144" s="16" t="e">
        <f t="shared" si="42"/>
        <v>#VALUE!</v>
      </c>
      <c r="DY144" s="28" t="e">
        <f>IF(DX144="","",DX144*$DO$1/'CPI USA'!$U$520+(1-DX144)*AVERAGE($DO$1,$DQ$1)/AVERAGE('CPI USA'!$U$520,'PPI USA'!$T$526))</f>
        <v>#VALUE!</v>
      </c>
      <c r="DZ144" s="30"/>
      <c r="EA144" s="29" t="str">
        <f t="shared" si="43"/>
        <v>C001675</v>
      </c>
      <c r="EB144" s="29" t="str">
        <f t="shared" si="44"/>
        <v/>
      </c>
      <c r="EC144" s="29" t="str">
        <f t="shared" si="45"/>
        <v/>
      </c>
      <c r="ED144" s="29" t="str">
        <f t="shared" si="46"/>
        <v/>
      </c>
      <c r="EE144" s="29" t="str">
        <f t="shared" si="47"/>
        <v/>
      </c>
      <c r="EF144" s="29" t="str">
        <f t="shared" si="48"/>
        <v/>
      </c>
      <c r="EG144" s="29" t="str">
        <f t="shared" si="49"/>
        <v/>
      </c>
      <c r="EH144" s="29" t="str">
        <f t="shared" si="50"/>
        <v/>
      </c>
      <c r="EI144" s="29" t="str">
        <f t="shared" si="51"/>
        <v/>
      </c>
      <c r="EJ144" s="29" t="str">
        <f t="shared" si="52"/>
        <v/>
      </c>
      <c r="EK144" s="29" t="str">
        <f t="shared" si="53"/>
        <v/>
      </c>
      <c r="EL144" s="29" t="str">
        <f>IF(CD144=1,VLOOKUP(EA144,'EIA 2022'!$A$2:$J$213,4,0)*EH144,"")</f>
        <v/>
      </c>
      <c r="EM144" s="29" t="str">
        <f>IF(CD144=1,VLOOKUP(EA144,'EIA 2022'!$A$2:$J$213,7,0)*EH144,"")</f>
        <v/>
      </c>
      <c r="EN144" s="29" t="str">
        <f>IF(CD144=1,VLOOKUP(EA144,'EIA 2022'!$A$2:$J$213,10,0),"")</f>
        <v/>
      </c>
      <c r="EO144" s="28" t="str">
        <f>IF(CD144=1,VLOOKUP(EA144,'EIA 2022'!$A$2:$Z$213,26,0),"")</f>
        <v/>
      </c>
      <c r="EP144" s="23" t="str">
        <f t="shared" si="54"/>
        <v/>
      </c>
      <c r="EQ144" s="32" t="str">
        <f t="shared" si="55"/>
        <v/>
      </c>
      <c r="ER144" s="32" t="str">
        <f t="shared" si="56"/>
        <v/>
      </c>
      <c r="ES144" s="32"/>
      <c r="ET144" s="32"/>
    </row>
    <row r="145" spans="1:150" ht="15.75" customHeight="1">
      <c r="A145" s="7" t="s">
        <v>640</v>
      </c>
      <c r="B145" s="7" t="s">
        <v>641</v>
      </c>
      <c r="C145" s="32" t="s">
        <v>1014</v>
      </c>
      <c r="D145" s="42">
        <v>0</v>
      </c>
      <c r="E145" s="42">
        <v>0</v>
      </c>
      <c r="F145" s="42">
        <v>21521837</v>
      </c>
      <c r="G145" s="42">
        <v>144643473</v>
      </c>
      <c r="H145" s="42">
        <v>146364590</v>
      </c>
      <c r="I145" s="42">
        <v>760446</v>
      </c>
      <c r="J145" s="42">
        <v>11588</v>
      </c>
      <c r="K145" s="42">
        <v>513955</v>
      </c>
      <c r="L145" s="42">
        <v>434054</v>
      </c>
      <c r="M145" s="42">
        <v>1000144</v>
      </c>
      <c r="N145" s="42">
        <v>516629</v>
      </c>
      <c r="O145" s="42">
        <v>4094923</v>
      </c>
      <c r="P145" s="42">
        <v>13665</v>
      </c>
      <c r="Q145" s="42">
        <v>137375</v>
      </c>
      <c r="R145" s="42">
        <v>0</v>
      </c>
      <c r="S145" s="42">
        <v>637875</v>
      </c>
      <c r="T145" s="42">
        <v>4817373</v>
      </c>
      <c r="U145" s="42">
        <v>201207</v>
      </c>
      <c r="V145" s="42">
        <v>8372</v>
      </c>
      <c r="W145" s="42">
        <v>34614</v>
      </c>
      <c r="X145" s="42">
        <f>IFERROR(VLOOKUP(A145,'Trans 21-23'!$A$2:$J$229,8,0),0)</f>
        <v>1277367</v>
      </c>
      <c r="Y145" s="42">
        <v>766060</v>
      </c>
      <c r="Z145" s="42">
        <v>62715</v>
      </c>
      <c r="AA145" s="42">
        <v>3531936</v>
      </c>
      <c r="AB145" s="42">
        <v>672551</v>
      </c>
      <c r="AC145" s="42">
        <v>5634</v>
      </c>
      <c r="AD145" s="42">
        <v>28304306</v>
      </c>
      <c r="AE145" s="42">
        <v>0</v>
      </c>
      <c r="AF145" s="42">
        <v>226959050</v>
      </c>
      <c r="AG145" s="42">
        <v>101646</v>
      </c>
      <c r="AH145" s="42">
        <v>108118</v>
      </c>
      <c r="AI145" s="42">
        <v>2557322</v>
      </c>
      <c r="AJ145" s="42">
        <v>4305</v>
      </c>
      <c r="AK145" s="42">
        <v>22</v>
      </c>
      <c r="AL145" s="42">
        <v>634576</v>
      </c>
      <c r="AM145" s="42">
        <v>753807</v>
      </c>
      <c r="AN145" s="42">
        <v>388304</v>
      </c>
      <c r="AO145" s="42">
        <v>6159</v>
      </c>
      <c r="AP145" s="42">
        <v>115833</v>
      </c>
      <c r="AQ145" s="42">
        <v>1898678</v>
      </c>
      <c r="AR145" s="42">
        <v>546244</v>
      </c>
      <c r="AS145" s="42">
        <v>2444922</v>
      </c>
      <c r="AT145" s="42">
        <v>0</v>
      </c>
      <c r="AU145" s="42">
        <v>410</v>
      </c>
      <c r="AV145" s="42">
        <v>0</v>
      </c>
      <c r="AW145" s="42">
        <v>59389596</v>
      </c>
      <c r="AX145" s="42">
        <v>17479585</v>
      </c>
      <c r="AY145" s="42">
        <v>35247094</v>
      </c>
      <c r="AZ145" s="42">
        <v>18455483</v>
      </c>
      <c r="BA145" s="42">
        <v>11599969</v>
      </c>
      <c r="BB145" s="42">
        <v>410978288</v>
      </c>
      <c r="BC145" s="42">
        <v>1152934570</v>
      </c>
      <c r="BD145" s="42">
        <v>45008222</v>
      </c>
      <c r="BE145" s="42">
        <v>156335881</v>
      </c>
      <c r="BF145" s="42">
        <v>9055730</v>
      </c>
      <c r="BG145" s="42">
        <v>0</v>
      </c>
      <c r="BH145" s="42">
        <v>6309022</v>
      </c>
      <c r="BI145" s="42">
        <v>1019753</v>
      </c>
      <c r="BJ145" s="42">
        <v>226533</v>
      </c>
      <c r="BK145" s="42">
        <v>0</v>
      </c>
      <c r="BL145" s="42">
        <v>0</v>
      </c>
      <c r="BM145" s="42">
        <v>10381022</v>
      </c>
      <c r="BN145" s="42">
        <v>21622041</v>
      </c>
      <c r="BO145" s="42">
        <v>0</v>
      </c>
      <c r="BP145" s="42">
        <v>2652621</v>
      </c>
      <c r="BQ145" s="42">
        <v>28705217</v>
      </c>
      <c r="BR145" s="42">
        <v>0</v>
      </c>
      <c r="BS145" s="42">
        <f>IFERROR(VLOOKUP(A145,'Trans 21-23'!$A$2:$J$229,7,0),0)</f>
        <v>115682954</v>
      </c>
      <c r="BT145" s="63"/>
      <c r="BU145" s="32">
        <f t="shared" si="0"/>
        <v>410978288</v>
      </c>
      <c r="BV145" s="32">
        <f t="shared" si="1"/>
        <v>410</v>
      </c>
      <c r="BW145" s="32">
        <f t="shared" si="2"/>
        <v>101646</v>
      </c>
      <c r="BX145" s="32">
        <f t="shared" si="3"/>
        <v>13182220</v>
      </c>
      <c r="BY145" s="32">
        <f t="shared" si="4"/>
        <v>5038896</v>
      </c>
      <c r="BZ145" s="32">
        <f t="shared" si="5"/>
        <v>18455483</v>
      </c>
      <c r="CA145" s="32">
        <f t="shared" si="6"/>
        <v>28304306</v>
      </c>
      <c r="CB145" s="32">
        <f t="shared" si="7"/>
        <v>108118</v>
      </c>
      <c r="CC145" s="32">
        <f t="shared" si="8"/>
        <v>1898678</v>
      </c>
      <c r="CD145" s="41">
        <f t="shared" si="67"/>
        <v>1</v>
      </c>
      <c r="CE145" s="44">
        <f t="shared" si="10"/>
        <v>11</v>
      </c>
      <c r="CF145" s="27"/>
      <c r="CG145" s="28">
        <f t="shared" si="11"/>
        <v>1002.3860682926829</v>
      </c>
      <c r="CH145" s="28">
        <f t="shared" si="12"/>
        <v>4.0336068315526434</v>
      </c>
      <c r="CI145" s="28">
        <f t="shared" si="13"/>
        <v>129.68754304153632</v>
      </c>
      <c r="CJ145" s="28">
        <f t="shared" si="14"/>
        <v>181.5662495326919</v>
      </c>
      <c r="CK145" s="23">
        <f t="shared" si="15"/>
        <v>5.694383144482635E-2</v>
      </c>
      <c r="CL145" s="29" t="str">
        <f t="shared" si="16"/>
        <v/>
      </c>
      <c r="CM145" s="29" t="str">
        <f t="shared" si="17"/>
        <v/>
      </c>
      <c r="CN145" s="29" t="str">
        <f t="shared" si="18"/>
        <v/>
      </c>
      <c r="CO145" s="29" t="str">
        <f t="shared" si="19"/>
        <v/>
      </c>
      <c r="CP145" s="29" t="str">
        <f t="shared" si="20"/>
        <v/>
      </c>
      <c r="CQ145" s="29">
        <f t="shared" si="21"/>
        <v>0</v>
      </c>
      <c r="CR145" s="30"/>
      <c r="CS145" s="7">
        <f>VLOOKUP(A145,'Empresas 21-23'!$A$2:$M$228,13,0)</f>
        <v>1</v>
      </c>
      <c r="CT145" s="30"/>
      <c r="CU145" s="6">
        <f t="shared" si="22"/>
        <v>464969782.60000002</v>
      </c>
      <c r="CV145" s="6">
        <f t="shared" si="23"/>
        <v>18455483</v>
      </c>
      <c r="CW145" s="6">
        <f t="shared" si="24"/>
        <v>45008222</v>
      </c>
      <c r="CX145" s="23">
        <f t="shared" ref="CX145:CX156" si="72">CU145/(BC145-BD145)</f>
        <v>0.4196757153030537</v>
      </c>
      <c r="CY145" s="23">
        <f t="shared" ref="CY145:CY156" si="73">CV145/(BC145-BD145)</f>
        <v>1.6657680389418811E-2</v>
      </c>
      <c r="CZ145" s="6">
        <f t="shared" si="27"/>
        <v>483858640.36236864</v>
      </c>
      <c r="DA145" s="6">
        <f t="shared" si="28"/>
        <v>19205215.576972008</v>
      </c>
      <c r="DB145" s="6">
        <f t="shared" si="29"/>
        <v>13182220</v>
      </c>
      <c r="DC145" s="6">
        <f t="shared" si="30"/>
        <v>14459587</v>
      </c>
      <c r="DD145" s="6">
        <f t="shared" si="31"/>
        <v>5038896</v>
      </c>
      <c r="DE145" s="6">
        <f t="shared" si="32"/>
        <v>28304306</v>
      </c>
      <c r="DF145" s="6">
        <f t="shared" ref="DF145:DF153" si="74">DE145*(DC145+DD145)/(AF145-AD145-F145-H145-E145-D145)</f>
        <v>17936991.138247762</v>
      </c>
      <c r="DG145" s="30"/>
      <c r="DH145" s="32">
        <f>VLOOKUP(A145,'T_med_comp-USA'!$A$7:$Q$233,17,0)</f>
        <v>17.277984380726608</v>
      </c>
      <c r="DI145" s="6" t="str">
        <f t="shared" si="34"/>
        <v>9_2005</v>
      </c>
      <c r="DJ145" s="32">
        <f>IF(DI145="","",VLOOKUP(DI145,'CPI USA'!$T:$U,2,FALSE))</f>
        <v>195.3</v>
      </c>
      <c r="DK145" s="32">
        <f>IF(DI145="","",VLOOKUP(DI145,'PPI USA'!$S:$T,2,FALSE))</f>
        <v>131.30000000000001</v>
      </c>
      <c r="DL145" s="32">
        <f>IF(DI145="","",VLOOKUP(DI145,'CPI USA'!$T:$V,3,FALSE))</f>
        <v>0.67888602568792966</v>
      </c>
      <c r="DM145" s="32">
        <f>IF(DI145="","",VLOOKUP(DI145,'CPI USA'!$T:$X,5,FALSE))</f>
        <v>0.50828944385363772</v>
      </c>
      <c r="DN145" s="32">
        <f t="shared" si="35"/>
        <v>1.6621774217199745</v>
      </c>
      <c r="DO145" s="32">
        <f t="shared" si="36"/>
        <v>1.6905992787819408</v>
      </c>
      <c r="DP145" s="32">
        <f t="shared" si="37"/>
        <v>0.47860087299407839</v>
      </c>
      <c r="DQ145" s="32">
        <f>IF(DP145="","",DP145*$DO$1/'CPI USA'!$U$520+(1-DP145)*AVERAGE($DO$1,$DQ$1)/AVERAGE('CPI USA'!$U$520,'PPI USA'!$T$526))</f>
        <v>1.0760911855916286</v>
      </c>
      <c r="DR145" s="6">
        <f t="shared" si="38"/>
        <v>1246286</v>
      </c>
      <c r="DS145" s="32">
        <f t="shared" si="39"/>
        <v>0.24733314599070907</v>
      </c>
      <c r="DT145" s="28">
        <f>IF(DS145="","",DS145*$DO$1/'CPI USA'!$U$520+(1-DS145)*AVERAGE($DO$1,$DQ$1)/AVERAGE('CPI USA'!$U$520,'PPI USA'!$T$526))</f>
        <v>1.0838708164460338</v>
      </c>
      <c r="DU145" s="6">
        <f t="shared" si="40"/>
        <v>10381022</v>
      </c>
      <c r="DV145" s="6">
        <f t="shared" si="57"/>
        <v>1056974.013593962</v>
      </c>
      <c r="DW145" s="6">
        <f t="shared" si="41"/>
        <v>3996735.6821437245</v>
      </c>
      <c r="DX145" s="16">
        <f t="shared" si="42"/>
        <v>0.22282085391798659</v>
      </c>
      <c r="DY145" s="28">
        <f>IF(DX145="","",DX145*$DO$1/'CPI USA'!$U$520+(1-DX145)*AVERAGE($DO$1,$DQ$1)/AVERAGE('CPI USA'!$U$520,'PPI USA'!$T$526))</f>
        <v>1.084695387112214</v>
      </c>
      <c r="DZ145" s="30"/>
      <c r="EA145" s="29" t="str">
        <f t="shared" si="43"/>
        <v>C001696</v>
      </c>
      <c r="EB145" s="29">
        <f t="shared" si="44"/>
        <v>804258907.31445432</v>
      </c>
      <c r="EC145" s="29">
        <f t="shared" si="45"/>
        <v>32468323.60328057</v>
      </c>
      <c r="ED145" s="29">
        <f t="shared" si="46"/>
        <v>15559834.117995301</v>
      </c>
      <c r="EE145" s="29">
        <f t="shared" si="47"/>
        <v>5461512.3215066539</v>
      </c>
      <c r="EF145" s="29">
        <f t="shared" si="48"/>
        <v>19456171.546330009</v>
      </c>
      <c r="EG145" s="29">
        <f t="shared" si="49"/>
        <v>410</v>
      </c>
      <c r="EH145" s="29">
        <f t="shared" si="50"/>
        <v>101646</v>
      </c>
      <c r="EI145" s="29">
        <f t="shared" si="51"/>
        <v>108118</v>
      </c>
      <c r="EJ145" s="29">
        <f t="shared" si="52"/>
        <v>1898678</v>
      </c>
      <c r="EK145" s="29">
        <f t="shared" si="53"/>
        <v>1998477.5634517767</v>
      </c>
      <c r="EL145" s="29">
        <f>IF(CD145=1,VLOOKUP(EA145,'EIA 2022'!$A$2:$J$213,4,0)*EH145,"")</f>
        <v>8878574.8080000002</v>
      </c>
      <c r="EM145" s="29">
        <f>IF(CD145=1,VLOOKUP(EA145,'EIA 2022'!$A$2:$J$213,7,0)*EH145,"")</f>
        <v>172391.61600000001</v>
      </c>
      <c r="EN145" s="29">
        <f>IF(CD145=1,VLOOKUP(EA145,'EIA 2022'!$A$2:$J$213,10,0),"")</f>
        <v>100423</v>
      </c>
      <c r="EO145" s="28">
        <f>IF(CD145=1,VLOOKUP(EA145,'EIA 2022'!$A$2:$Z$213,26,0),"")</f>
        <v>0</v>
      </c>
      <c r="EP145" s="23">
        <f t="shared" si="54"/>
        <v>4.9937795288230565E-2</v>
      </c>
      <c r="EQ145" s="32">
        <f t="shared" si="55"/>
        <v>8318.4365482233698</v>
      </c>
      <c r="ER145" s="32">
        <f t="shared" si="56"/>
        <v>99799.56345177663</v>
      </c>
      <c r="ES145" s="32"/>
      <c r="ET145" s="32"/>
    </row>
    <row r="146" spans="1:150" ht="15.75" customHeight="1">
      <c r="A146" s="7" t="s">
        <v>643</v>
      </c>
      <c r="B146" s="7" t="s">
        <v>644</v>
      </c>
      <c r="C146" s="32" t="s">
        <v>1015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  <c r="M146" s="42">
        <v>0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0</v>
      </c>
      <c r="U146" s="42">
        <v>0</v>
      </c>
      <c r="V146" s="42">
        <v>0</v>
      </c>
      <c r="W146" s="42">
        <v>0</v>
      </c>
      <c r="X146" s="42">
        <f>IFERROR(VLOOKUP(A146,'Trans 21-23'!$A$2:$J$229,8,0),0)</f>
        <v>0</v>
      </c>
      <c r="Y146" s="42">
        <v>0</v>
      </c>
      <c r="Z146" s="42">
        <v>0</v>
      </c>
      <c r="AA146" s="42">
        <v>0</v>
      </c>
      <c r="AB146" s="42">
        <v>0</v>
      </c>
      <c r="AC146" s="42">
        <v>0</v>
      </c>
      <c r="AD146" s="42">
        <v>587461</v>
      </c>
      <c r="AE146" s="42">
        <v>0</v>
      </c>
      <c r="AF146" s="42">
        <v>3032071</v>
      </c>
      <c r="AG146" s="42">
        <v>0</v>
      </c>
      <c r="AH146" s="42">
        <v>0</v>
      </c>
      <c r="AI146" s="42">
        <v>0</v>
      </c>
      <c r="AJ146" s="42">
        <v>0</v>
      </c>
      <c r="AK146" s="42">
        <v>0</v>
      </c>
      <c r="AL146" s="42">
        <v>0</v>
      </c>
      <c r="AM146" s="42">
        <v>0</v>
      </c>
      <c r="AN146" s="42">
        <v>0</v>
      </c>
      <c r="AO146" s="42">
        <v>0</v>
      </c>
      <c r="AP146" s="42">
        <v>0</v>
      </c>
      <c r="AQ146" s="42">
        <v>0</v>
      </c>
      <c r="AR146" s="42">
        <v>0</v>
      </c>
      <c r="AS146" s="42">
        <v>0</v>
      </c>
      <c r="AT146" s="42">
        <v>0</v>
      </c>
      <c r="AU146" s="42">
        <v>0</v>
      </c>
      <c r="AV146" s="42">
        <v>0</v>
      </c>
      <c r="AW146" s="42">
        <v>0</v>
      </c>
      <c r="AX146" s="42">
        <v>0</v>
      </c>
      <c r="AY146" s="42">
        <v>0</v>
      </c>
      <c r="AZ146" s="42">
        <v>0</v>
      </c>
      <c r="BA146" s="42">
        <v>0</v>
      </c>
      <c r="BB146" s="42">
        <v>0</v>
      </c>
      <c r="BC146" s="42">
        <v>101137674</v>
      </c>
      <c r="BD146" s="42">
        <v>18755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v>0</v>
      </c>
      <c r="BP146" s="42">
        <v>0</v>
      </c>
      <c r="BQ146" s="42">
        <v>0</v>
      </c>
      <c r="BR146" s="42">
        <v>0</v>
      </c>
      <c r="BS146" s="42">
        <f>IFERROR(VLOOKUP(A146,'Trans 21-23'!$A$2:$J$229,7,0),0)</f>
        <v>0</v>
      </c>
      <c r="BT146" s="63"/>
      <c r="BU146" s="32">
        <f t="shared" si="0"/>
        <v>0</v>
      </c>
      <c r="BV146" s="32">
        <f t="shared" si="1"/>
        <v>0</v>
      </c>
      <c r="BW146" s="32">
        <f t="shared" si="2"/>
        <v>0</v>
      </c>
      <c r="BX146" s="32">
        <f t="shared" si="3"/>
        <v>0</v>
      </c>
      <c r="BY146" s="32">
        <f t="shared" si="4"/>
        <v>0</v>
      </c>
      <c r="BZ146" s="32">
        <f t="shared" si="5"/>
        <v>0</v>
      </c>
      <c r="CA146" s="32">
        <f t="shared" si="6"/>
        <v>587461</v>
      </c>
      <c r="CB146" s="32">
        <f t="shared" si="7"/>
        <v>0</v>
      </c>
      <c r="CC146" s="32">
        <f t="shared" si="8"/>
        <v>0</v>
      </c>
      <c r="CD146" s="41">
        <f t="shared" si="67"/>
        <v>0</v>
      </c>
      <c r="CE146" s="44">
        <f t="shared" si="10"/>
        <v>64</v>
      </c>
      <c r="CF146" s="27"/>
      <c r="CG146" s="28" t="str">
        <f t="shared" si="11"/>
        <v/>
      </c>
      <c r="CH146" s="28" t="str">
        <f t="shared" si="12"/>
        <v/>
      </c>
      <c r="CI146" s="28" t="str">
        <f t="shared" si="13"/>
        <v/>
      </c>
      <c r="CJ146" s="28" t="str">
        <f t="shared" si="14"/>
        <v/>
      </c>
      <c r="CK146" s="23" t="str">
        <f t="shared" si="15"/>
        <v/>
      </c>
      <c r="CL146" s="29" t="str">
        <f t="shared" si="16"/>
        <v/>
      </c>
      <c r="CM146" s="29" t="str">
        <f t="shared" si="17"/>
        <v/>
      </c>
      <c r="CN146" s="29" t="str">
        <f t="shared" si="18"/>
        <v/>
      </c>
      <c r="CO146" s="29" t="str">
        <f t="shared" si="19"/>
        <v/>
      </c>
      <c r="CP146" s="29" t="str">
        <f t="shared" si="20"/>
        <v/>
      </c>
      <c r="CQ146" s="29" t="str">
        <f t="shared" si="21"/>
        <v/>
      </c>
      <c r="CR146" s="30"/>
      <c r="CS146" s="7" t="str">
        <f>VLOOKUP(A146,'Empresas 21-23'!$A$2:$M$228,13,0)</f>
        <v/>
      </c>
      <c r="CT146" s="30"/>
      <c r="CU146" s="6">
        <f t="shared" si="22"/>
        <v>0</v>
      </c>
      <c r="CV146" s="6">
        <f t="shared" si="23"/>
        <v>0</v>
      </c>
      <c r="CW146" s="6">
        <f t="shared" si="24"/>
        <v>18755</v>
      </c>
      <c r="CX146" s="23">
        <f t="shared" si="72"/>
        <v>0</v>
      </c>
      <c r="CY146" s="23">
        <f t="shared" si="73"/>
        <v>0</v>
      </c>
      <c r="CZ146" s="6">
        <f t="shared" si="27"/>
        <v>0</v>
      </c>
      <c r="DA146" s="6">
        <f t="shared" si="28"/>
        <v>0</v>
      </c>
      <c r="DB146" s="6">
        <f t="shared" si="29"/>
        <v>0</v>
      </c>
      <c r="DC146" s="6">
        <f t="shared" si="30"/>
        <v>0</v>
      </c>
      <c r="DD146" s="6">
        <f t="shared" si="31"/>
        <v>0</v>
      </c>
      <c r="DE146" s="6">
        <f t="shared" si="32"/>
        <v>587461</v>
      </c>
      <c r="DF146" s="6">
        <f t="shared" si="74"/>
        <v>0</v>
      </c>
      <c r="DG146" s="30"/>
      <c r="DH146" s="32" t="str">
        <f>VLOOKUP(A146,'T_med_comp-USA'!$A$7:$Q$233,17,0)</f>
        <v>-</v>
      </c>
      <c r="DI146" s="6" t="str">
        <f t="shared" si="34"/>
        <v/>
      </c>
      <c r="DJ146" s="32" t="str">
        <f>IF(DI146="","",VLOOKUP(DI146,'CPI USA'!$T:$U,2,FALSE))</f>
        <v/>
      </c>
      <c r="DK146" s="32" t="str">
        <f>IF(DI146="","",VLOOKUP(DI146,'PPI USA'!$S:$T,2,FALSE))</f>
        <v/>
      </c>
      <c r="DL146" s="32" t="str">
        <f>IF(DI146="","",VLOOKUP(DI146,'CPI USA'!$T:$V,3,FALSE))</f>
        <v/>
      </c>
      <c r="DM146" s="32" t="str">
        <f>IF(DI146="","",VLOOKUP(DI146,'CPI USA'!$T:$X,5,FALSE))</f>
        <v/>
      </c>
      <c r="DN146" s="32" t="str">
        <f t="shared" si="35"/>
        <v/>
      </c>
      <c r="DO146" s="32" t="str">
        <f t="shared" si="36"/>
        <v/>
      </c>
      <c r="DP146" s="32" t="str">
        <f t="shared" si="37"/>
        <v/>
      </c>
      <c r="DQ146" s="32" t="str">
        <f>IF(DP146="","",DP146*$DO$1/'CPI USA'!$U$520+(1-DP146)*AVERAGE($DO$1,$DQ$1)/AVERAGE('CPI USA'!$U$520,'PPI USA'!$T$526))</f>
        <v/>
      </c>
      <c r="DR146" s="6">
        <f t="shared" si="38"/>
        <v>0</v>
      </c>
      <c r="DS146" s="32" t="str">
        <f t="shared" si="39"/>
        <v/>
      </c>
      <c r="DT146" s="28" t="str">
        <f>IF(DS146="","",DS146*$DO$1/'CPI USA'!$U$520+(1-DS146)*AVERAGE($DO$1,$DQ$1)/AVERAGE('CPI USA'!$U$520,'PPI USA'!$T$526))</f>
        <v/>
      </c>
      <c r="DU146" s="6" t="str">
        <f t="shared" si="40"/>
        <v/>
      </c>
      <c r="DV146" s="6" t="str">
        <f t="shared" si="57"/>
        <v/>
      </c>
      <c r="DW146" s="6">
        <f t="shared" si="41"/>
        <v>0</v>
      </c>
      <c r="DX146" s="16" t="str">
        <f t="shared" si="42"/>
        <v/>
      </c>
      <c r="DY146" s="28" t="str">
        <f>IF(DX146="","",DX146*$DO$1/'CPI USA'!$U$520+(1-DX146)*AVERAGE($DO$1,$DQ$1)/AVERAGE('CPI USA'!$U$520,'PPI USA'!$T$526))</f>
        <v/>
      </c>
      <c r="DZ146" s="30"/>
      <c r="EA146" s="29" t="str">
        <f t="shared" si="43"/>
        <v>C001702</v>
      </c>
      <c r="EB146" s="29" t="str">
        <f t="shared" si="44"/>
        <v/>
      </c>
      <c r="EC146" s="29" t="str">
        <f t="shared" si="45"/>
        <v/>
      </c>
      <c r="ED146" s="29" t="str">
        <f t="shared" si="46"/>
        <v/>
      </c>
      <c r="EE146" s="29" t="str">
        <f t="shared" si="47"/>
        <v/>
      </c>
      <c r="EF146" s="29" t="str">
        <f t="shared" si="48"/>
        <v/>
      </c>
      <c r="EG146" s="29" t="str">
        <f t="shared" si="49"/>
        <v/>
      </c>
      <c r="EH146" s="29" t="str">
        <f t="shared" si="50"/>
        <v/>
      </c>
      <c r="EI146" s="29" t="str">
        <f t="shared" si="51"/>
        <v/>
      </c>
      <c r="EJ146" s="29" t="str">
        <f t="shared" si="52"/>
        <v/>
      </c>
      <c r="EK146" s="29" t="str">
        <f t="shared" si="53"/>
        <v/>
      </c>
      <c r="EL146" s="29" t="str">
        <f>IF(CD146=1,VLOOKUP(EA146,'EIA 2022'!$A$2:$J$213,4,0)*EH146,"")</f>
        <v/>
      </c>
      <c r="EM146" s="29" t="str">
        <f>IF(CD146=1,VLOOKUP(EA146,'EIA 2022'!$A$2:$J$213,7,0)*EH146,"")</f>
        <v/>
      </c>
      <c r="EN146" s="29" t="str">
        <f>IF(CD146=1,VLOOKUP(EA146,'EIA 2022'!$A$2:$J$213,10,0),"")</f>
        <v/>
      </c>
      <c r="EO146" s="28" t="str">
        <f>IF(CD146=1,VLOOKUP(EA146,'EIA 2022'!$A$2:$Z$213,26,0),"")</f>
        <v/>
      </c>
      <c r="EP146" s="23" t="str">
        <f t="shared" si="54"/>
        <v/>
      </c>
      <c r="EQ146" s="32" t="str">
        <f t="shared" si="55"/>
        <v/>
      </c>
      <c r="ER146" s="32" t="str">
        <f t="shared" si="56"/>
        <v/>
      </c>
      <c r="ES146" s="32"/>
      <c r="ET146" s="32"/>
    </row>
    <row r="147" spans="1:150" ht="15.75" customHeight="1">
      <c r="A147" s="7" t="s">
        <v>646</v>
      </c>
      <c r="B147" s="7" t="s">
        <v>647</v>
      </c>
      <c r="C147" s="32" t="s">
        <v>1016</v>
      </c>
      <c r="D147" s="42">
        <v>0</v>
      </c>
      <c r="E147" s="42">
        <v>0</v>
      </c>
      <c r="F147" s="42">
        <v>0</v>
      </c>
      <c r="G147" s="42">
        <v>37715180</v>
      </c>
      <c r="H147" s="42">
        <v>37718775</v>
      </c>
      <c r="I147" s="42">
        <v>0</v>
      </c>
      <c r="J147" s="42">
        <v>0</v>
      </c>
      <c r="K147" s="42">
        <v>0</v>
      </c>
      <c r="L147" s="42">
        <v>94683</v>
      </c>
      <c r="M147" s="42">
        <v>0</v>
      </c>
      <c r="N147" s="42">
        <v>0</v>
      </c>
      <c r="O147" s="42">
        <v>0</v>
      </c>
      <c r="P147" s="42">
        <v>0</v>
      </c>
      <c r="Q147" s="42">
        <v>0</v>
      </c>
      <c r="R147" s="42">
        <v>0</v>
      </c>
      <c r="S147" s="42">
        <v>0</v>
      </c>
      <c r="T147" s="42">
        <v>6224</v>
      </c>
      <c r="U147" s="42">
        <v>29965</v>
      </c>
      <c r="V147" s="42">
        <v>2193</v>
      </c>
      <c r="W147" s="42">
        <v>0</v>
      </c>
      <c r="X147" s="42">
        <f>IFERROR(VLOOKUP(A147,'Trans 21-23'!$A$2:$J$229,8,0),0)</f>
        <v>861380</v>
      </c>
      <c r="Y147" s="42">
        <v>0</v>
      </c>
      <c r="Z147" s="42">
        <v>0</v>
      </c>
      <c r="AA147" s="42">
        <v>42417</v>
      </c>
      <c r="AB147" s="42">
        <v>8847</v>
      </c>
      <c r="AC147" s="42">
        <v>0</v>
      </c>
      <c r="AD147" s="42">
        <v>3157357</v>
      </c>
      <c r="AE147" s="42">
        <v>0</v>
      </c>
      <c r="AF147" s="42">
        <v>46521037</v>
      </c>
      <c r="AG147" s="42">
        <v>103</v>
      </c>
      <c r="AH147" s="42">
        <v>6397</v>
      </c>
      <c r="AI147" s="42">
        <v>678777</v>
      </c>
      <c r="AJ147" s="42">
        <v>654</v>
      </c>
      <c r="AK147" s="42">
        <v>0</v>
      </c>
      <c r="AL147" s="42">
        <v>678</v>
      </c>
      <c r="AM147" s="42">
        <v>8337</v>
      </c>
      <c r="AN147" s="42">
        <v>662551</v>
      </c>
      <c r="AO147" s="42">
        <v>25</v>
      </c>
      <c r="AP147" s="42">
        <v>135</v>
      </c>
      <c r="AQ147" s="42">
        <v>671726</v>
      </c>
      <c r="AR147" s="42">
        <v>0</v>
      </c>
      <c r="AS147" s="42">
        <v>671726</v>
      </c>
      <c r="AT147" s="42">
        <v>0</v>
      </c>
      <c r="AU147" s="42">
        <v>106</v>
      </c>
      <c r="AV147" s="42">
        <v>0</v>
      </c>
      <c r="AW147" s="42">
        <v>32908</v>
      </c>
      <c r="AX147" s="42">
        <v>0</v>
      </c>
      <c r="AY147" s="42">
        <v>86760</v>
      </c>
      <c r="AZ147" s="42">
        <v>253326</v>
      </c>
      <c r="BA147" s="42">
        <v>0</v>
      </c>
      <c r="BB147" s="42">
        <v>860542</v>
      </c>
      <c r="BC147" s="42">
        <v>68915058</v>
      </c>
      <c r="BD147" s="42">
        <v>4404861</v>
      </c>
      <c r="BE147" s="42">
        <v>393900</v>
      </c>
      <c r="BF147" s="42">
        <v>27575</v>
      </c>
      <c r="BG147" s="42">
        <v>0</v>
      </c>
      <c r="BH147" s="42">
        <v>41592</v>
      </c>
      <c r="BI147" s="42">
        <v>0</v>
      </c>
      <c r="BJ147" s="42">
        <v>0</v>
      </c>
      <c r="BK147" s="42">
        <v>0</v>
      </c>
      <c r="BL147" s="42">
        <v>0</v>
      </c>
      <c r="BM147" s="42">
        <v>1078013</v>
      </c>
      <c r="BN147" s="42">
        <v>3181284</v>
      </c>
      <c r="BO147" s="42">
        <v>0</v>
      </c>
      <c r="BP147" s="42">
        <v>0</v>
      </c>
      <c r="BQ147" s="42">
        <v>3181284</v>
      </c>
      <c r="BR147" s="42">
        <v>0</v>
      </c>
      <c r="BS147" s="42">
        <f>IFERROR(VLOOKUP(A147,'Trans 21-23'!$A$2:$J$229,7,0),0)</f>
        <v>5096007</v>
      </c>
      <c r="BT147" s="63"/>
      <c r="BU147" s="32">
        <f t="shared" si="0"/>
        <v>860542</v>
      </c>
      <c r="BV147" s="32">
        <f t="shared" si="1"/>
        <v>106</v>
      </c>
      <c r="BW147" s="32">
        <f t="shared" si="2"/>
        <v>103</v>
      </c>
      <c r="BX147" s="32">
        <f t="shared" si="3"/>
        <v>133065</v>
      </c>
      <c r="BY147" s="32">
        <f t="shared" si="4"/>
        <v>51264</v>
      </c>
      <c r="BZ147" s="32">
        <f t="shared" si="5"/>
        <v>253326</v>
      </c>
      <c r="CA147" s="32">
        <f t="shared" si="6"/>
        <v>3157357</v>
      </c>
      <c r="CB147" s="32">
        <f t="shared" si="7"/>
        <v>6397</v>
      </c>
      <c r="CC147" s="32">
        <f t="shared" si="8"/>
        <v>671726</v>
      </c>
      <c r="CD147" s="41">
        <v>0</v>
      </c>
      <c r="CE147" s="44">
        <f t="shared" si="10"/>
        <v>32</v>
      </c>
      <c r="CF147" s="27"/>
      <c r="CG147" s="28" t="str">
        <f t="shared" si="11"/>
        <v/>
      </c>
      <c r="CH147" s="28" t="str">
        <f t="shared" si="12"/>
        <v/>
      </c>
      <c r="CI147" s="28" t="str">
        <f t="shared" si="13"/>
        <v/>
      </c>
      <c r="CJ147" s="28" t="str">
        <f t="shared" si="14"/>
        <v/>
      </c>
      <c r="CK147" s="23" t="str">
        <f t="shared" si="15"/>
        <v/>
      </c>
      <c r="CL147" s="29" t="str">
        <f t="shared" si="16"/>
        <v/>
      </c>
      <c r="CM147" s="29" t="str">
        <f t="shared" si="17"/>
        <v/>
      </c>
      <c r="CN147" s="29" t="str">
        <f t="shared" si="18"/>
        <v/>
      </c>
      <c r="CO147" s="29" t="str">
        <f t="shared" si="19"/>
        <v/>
      </c>
      <c r="CP147" s="29" t="str">
        <f t="shared" si="20"/>
        <v/>
      </c>
      <c r="CQ147" s="29" t="str">
        <f t="shared" si="21"/>
        <v/>
      </c>
      <c r="CR147" s="30"/>
      <c r="CS147" s="7" t="str">
        <f>VLOOKUP(A147,'Empresas 21-23'!$A$2:$M$228,13,0)</f>
        <v/>
      </c>
      <c r="CT147" s="30"/>
      <c r="CU147" s="6">
        <f t="shared" si="22"/>
        <v>5651167</v>
      </c>
      <c r="CV147" s="6">
        <f t="shared" si="23"/>
        <v>253326</v>
      </c>
      <c r="CW147" s="6">
        <f t="shared" si="24"/>
        <v>4404861</v>
      </c>
      <c r="CX147" s="23">
        <f t="shared" si="72"/>
        <v>8.7601143118505739E-2</v>
      </c>
      <c r="CY147" s="23">
        <f t="shared" si="73"/>
        <v>3.9269140660041701E-3</v>
      </c>
      <c r="CZ147" s="6">
        <f t="shared" si="27"/>
        <v>6037037.8588781245</v>
      </c>
      <c r="DA147" s="6">
        <f t="shared" si="28"/>
        <v>270623.5106196932</v>
      </c>
      <c r="DB147" s="6">
        <f t="shared" si="29"/>
        <v>133065</v>
      </c>
      <c r="DC147" s="6">
        <f t="shared" si="30"/>
        <v>994445</v>
      </c>
      <c r="DD147" s="6">
        <f t="shared" si="31"/>
        <v>51264</v>
      </c>
      <c r="DE147" s="6">
        <f t="shared" si="32"/>
        <v>3157357</v>
      </c>
      <c r="DF147" s="6">
        <f t="shared" si="74"/>
        <v>584894.98602952575</v>
      </c>
      <c r="DG147" s="30"/>
      <c r="DH147" s="32">
        <f>VLOOKUP(A147,'T_med_comp-USA'!$A$7:$Q$233,17,0)</f>
        <v>16.369745813818195</v>
      </c>
      <c r="DI147" s="6" t="str">
        <f t="shared" si="34"/>
        <v>8_2006</v>
      </c>
      <c r="DJ147" s="32">
        <f>IF(DI147="","",VLOOKUP(DI147,'CPI USA'!$T:$U,2,FALSE))</f>
        <v>201.6</v>
      </c>
      <c r="DK147" s="32">
        <f>IF(DI147="","",VLOOKUP(DI147,'PPI USA'!$S:$T,2,FALSE))</f>
        <v>145.30000000000001</v>
      </c>
      <c r="DL147" s="32">
        <f>IF(DI147="","",VLOOKUP(DI147,'CPI USA'!$T:$V,3,FALSE))</f>
        <v>0.67263024008352756</v>
      </c>
      <c r="DM147" s="32">
        <f>IF(DI147="","",VLOOKUP(DI147,'CPI USA'!$T:$X,5,FALSE))</f>
        <v>0.50115228263529643</v>
      </c>
      <c r="DN147" s="32">
        <f t="shared" si="35"/>
        <v>1.595396421204319</v>
      </c>
      <c r="DO147" s="32">
        <f t="shared" si="36"/>
        <v>1.6147712829199015</v>
      </c>
      <c r="DP147" s="32">
        <f t="shared" si="37"/>
        <v>0.31256904520347201</v>
      </c>
      <c r="DQ147" s="32">
        <f>IF(DP147="","",DP147*$DO$1/'CPI USA'!$U$520+(1-DP147)*AVERAGE($DO$1,$DQ$1)/AVERAGE('CPI USA'!$U$520,'PPI USA'!$T$526))</f>
        <v>1.0816763415795814</v>
      </c>
      <c r="DR147" s="6">
        <f t="shared" si="38"/>
        <v>0</v>
      </c>
      <c r="DS147" s="32">
        <f t="shared" si="39"/>
        <v>0.2</v>
      </c>
      <c r="DT147" s="28">
        <f>IF(DS147="","",DS147*$DO$1/'CPI USA'!$U$520+(1-DS147)*AVERAGE($DO$1,$DQ$1)/AVERAGE('CPI USA'!$U$520,'PPI USA'!$T$526))</f>
        <v>1.0854630593748538</v>
      </c>
      <c r="DU147" s="6">
        <f t="shared" si="40"/>
        <v>1078013</v>
      </c>
      <c r="DV147" s="6">
        <f t="shared" si="57"/>
        <v>0</v>
      </c>
      <c r="DW147" s="6">
        <f t="shared" si="41"/>
        <v>14093.905698453833</v>
      </c>
      <c r="DX147" s="16">
        <f t="shared" si="42"/>
        <v>0.2</v>
      </c>
      <c r="DY147" s="28">
        <f>IF(DX147="","",DX147*$DO$1/'CPI USA'!$U$520+(1-DX147)*AVERAGE($DO$1,$DQ$1)/AVERAGE('CPI USA'!$U$520,'PPI USA'!$T$526))</f>
        <v>1.0854630593748538</v>
      </c>
      <c r="DZ147" s="30"/>
      <c r="EA147" s="29" t="str">
        <f t="shared" si="43"/>
        <v>C001731</v>
      </c>
      <c r="EB147" s="29" t="str">
        <f t="shared" si="44"/>
        <v/>
      </c>
      <c r="EC147" s="29" t="str">
        <f t="shared" si="45"/>
        <v/>
      </c>
      <c r="ED147" s="29" t="str">
        <f t="shared" si="46"/>
        <v/>
      </c>
      <c r="EE147" s="29" t="str">
        <f t="shared" si="47"/>
        <v/>
      </c>
      <c r="EF147" s="29" t="str">
        <f t="shared" si="48"/>
        <v/>
      </c>
      <c r="EG147" s="29" t="str">
        <f t="shared" si="49"/>
        <v/>
      </c>
      <c r="EH147" s="29" t="str">
        <f t="shared" si="50"/>
        <v/>
      </c>
      <c r="EI147" s="29" t="str">
        <f t="shared" si="51"/>
        <v/>
      </c>
      <c r="EJ147" s="29" t="str">
        <f t="shared" si="52"/>
        <v/>
      </c>
      <c r="EK147" s="29" t="str">
        <f t="shared" si="53"/>
        <v/>
      </c>
      <c r="EL147" s="29" t="str">
        <f>IF(CD147=1,VLOOKUP(EA147,'EIA 2022'!$A$2:$J$213,4,0)*EH147,"")</f>
        <v/>
      </c>
      <c r="EM147" s="29" t="str">
        <f>IF(CD147=1,VLOOKUP(EA147,'EIA 2022'!$A$2:$J$213,7,0)*EH147,"")</f>
        <v/>
      </c>
      <c r="EN147" s="29" t="str">
        <f>IF(CD147=1,VLOOKUP(EA147,'EIA 2022'!$A$2:$J$213,10,0),"")</f>
        <v/>
      </c>
      <c r="EO147" s="28" t="str">
        <f>IF(CD147=1,VLOOKUP(EA147,'EIA 2022'!$A$2:$Z$213,26,0),"")</f>
        <v/>
      </c>
      <c r="EP147" s="23" t="str">
        <f t="shared" si="54"/>
        <v/>
      </c>
      <c r="EQ147" s="32" t="str">
        <f t="shared" si="55"/>
        <v/>
      </c>
      <c r="ER147" s="32" t="str">
        <f t="shared" si="56"/>
        <v/>
      </c>
      <c r="ES147" s="32"/>
      <c r="ET147" s="32"/>
    </row>
    <row r="148" spans="1:150" ht="15.75" customHeight="1">
      <c r="A148" s="7" t="s">
        <v>649</v>
      </c>
      <c r="B148" s="7" t="s">
        <v>650</v>
      </c>
      <c r="C148" s="32" t="s">
        <v>1017</v>
      </c>
      <c r="D148" s="42">
        <v>5624199</v>
      </c>
      <c r="E148" s="42">
        <v>1079719</v>
      </c>
      <c r="F148" s="42">
        <v>2006526</v>
      </c>
      <c r="G148" s="42">
        <v>386481418</v>
      </c>
      <c r="H148" s="42">
        <v>388299686</v>
      </c>
      <c r="I148" s="42">
        <v>950193</v>
      </c>
      <c r="J148" s="42">
        <v>275356</v>
      </c>
      <c r="K148" s="42">
        <v>161718</v>
      </c>
      <c r="L148" s="42">
        <v>1338512</v>
      </c>
      <c r="M148" s="42">
        <v>81670</v>
      </c>
      <c r="N148" s="42">
        <v>23285</v>
      </c>
      <c r="O148" s="42">
        <v>2944127</v>
      </c>
      <c r="P148" s="42">
        <v>408185</v>
      </c>
      <c r="Q148" s="42">
        <v>41070</v>
      </c>
      <c r="R148" s="42">
        <v>0</v>
      </c>
      <c r="S148" s="42">
        <v>2089540</v>
      </c>
      <c r="T148" s="42">
        <v>37406853</v>
      </c>
      <c r="U148" s="42">
        <v>642187</v>
      </c>
      <c r="V148" s="42">
        <v>0</v>
      </c>
      <c r="W148" s="42">
        <v>247570</v>
      </c>
      <c r="X148" s="42">
        <f>IFERROR(VLOOKUP(A148,'Trans 21-23'!$A$2:$J$229,8,0),0)</f>
        <v>1264314</v>
      </c>
      <c r="Y148" s="42">
        <v>88591</v>
      </c>
      <c r="Z148" s="42">
        <v>484463</v>
      </c>
      <c r="AA148" s="42">
        <v>8438447</v>
      </c>
      <c r="AB148" s="42">
        <v>2639573</v>
      </c>
      <c r="AC148" s="42">
        <v>3500</v>
      </c>
      <c r="AD148" s="42">
        <v>43341257</v>
      </c>
      <c r="AE148" s="42">
        <v>0</v>
      </c>
      <c r="AF148" s="42">
        <v>648666630</v>
      </c>
      <c r="AG148" s="42">
        <v>271468</v>
      </c>
      <c r="AH148" s="42">
        <v>200640</v>
      </c>
      <c r="AI148" s="42">
        <v>4923853</v>
      </c>
      <c r="AJ148" s="42">
        <v>9330</v>
      </c>
      <c r="AK148" s="42">
        <v>0</v>
      </c>
      <c r="AL148" s="42">
        <v>1567812</v>
      </c>
      <c r="AM148" s="42">
        <v>1452876</v>
      </c>
      <c r="AN148" s="42">
        <v>1105029</v>
      </c>
      <c r="AO148" s="42">
        <v>3716</v>
      </c>
      <c r="AP148" s="42">
        <v>0</v>
      </c>
      <c r="AQ148" s="42">
        <v>4129433</v>
      </c>
      <c r="AR148" s="42">
        <v>584450</v>
      </c>
      <c r="AS148" s="42">
        <v>4713883</v>
      </c>
      <c r="AT148" s="42">
        <v>0</v>
      </c>
      <c r="AU148" s="42">
        <v>627</v>
      </c>
      <c r="AV148" s="42">
        <v>0</v>
      </c>
      <c r="AW148" s="42">
        <v>256726051</v>
      </c>
      <c r="AX148" s="42">
        <v>21161293</v>
      </c>
      <c r="AY148" s="42">
        <v>55107738</v>
      </c>
      <c r="AZ148" s="42">
        <v>44595124</v>
      </c>
      <c r="BA148" s="42">
        <v>19767031</v>
      </c>
      <c r="BB148" s="42">
        <v>1055705383</v>
      </c>
      <c r="BC148" s="42">
        <v>2202994975</v>
      </c>
      <c r="BD148" s="42">
        <v>144149614</v>
      </c>
      <c r="BE148" s="42">
        <v>360931368</v>
      </c>
      <c r="BF148" s="42">
        <v>25011480</v>
      </c>
      <c r="BG148" s="42">
        <v>0</v>
      </c>
      <c r="BH148" s="42">
        <v>20066311</v>
      </c>
      <c r="BI148" s="42">
        <v>2336595</v>
      </c>
      <c r="BJ148" s="42">
        <v>2512119</v>
      </c>
      <c r="BK148" s="42">
        <v>3500</v>
      </c>
      <c r="BL148" s="42">
        <v>0</v>
      </c>
      <c r="BM148" s="42">
        <v>12862039</v>
      </c>
      <c r="BN148" s="42">
        <v>43347240</v>
      </c>
      <c r="BO148" s="42">
        <v>0</v>
      </c>
      <c r="BP148" s="42">
        <v>6143143</v>
      </c>
      <c r="BQ148" s="42">
        <v>65176273</v>
      </c>
      <c r="BR148" s="42">
        <v>0</v>
      </c>
      <c r="BS148" s="42">
        <f>IFERROR(VLOOKUP(A148,'Trans 21-23'!$A$2:$J$229,7,0),0)</f>
        <v>114500877</v>
      </c>
      <c r="BT148" s="63"/>
      <c r="BU148" s="32">
        <f t="shared" si="0"/>
        <v>1055705383</v>
      </c>
      <c r="BV148" s="32">
        <f t="shared" si="1"/>
        <v>627</v>
      </c>
      <c r="BW148" s="32">
        <f t="shared" si="2"/>
        <v>271468</v>
      </c>
      <c r="BX148" s="32">
        <f t="shared" si="3"/>
        <v>46610266</v>
      </c>
      <c r="BY148" s="32">
        <f t="shared" si="4"/>
        <v>11654574</v>
      </c>
      <c r="BZ148" s="32">
        <f t="shared" si="5"/>
        <v>44595124</v>
      </c>
      <c r="CA148" s="32">
        <f t="shared" si="6"/>
        <v>43341257</v>
      </c>
      <c r="CB148" s="32">
        <f t="shared" si="7"/>
        <v>200640</v>
      </c>
      <c r="CC148" s="32">
        <f t="shared" si="8"/>
        <v>4129433</v>
      </c>
      <c r="CD148" s="41">
        <f t="shared" ref="CD148:CD212" si="75">IF(OR(BU148&lt;=0,BV148&lt;=0,BW148&lt;=0,BX148&lt;=0,BY148&lt;=0,BZ148&lt;=0,CA148&lt;=0,CB148&lt;=0,CC148&lt;=0,DH148="-"),0,1)</f>
        <v>1</v>
      </c>
      <c r="CE148" s="44">
        <f t="shared" si="10"/>
        <v>11</v>
      </c>
      <c r="CF148" s="27"/>
      <c r="CG148" s="28">
        <f t="shared" si="11"/>
        <v>1683.7406427432218</v>
      </c>
      <c r="CH148" s="28">
        <f t="shared" si="12"/>
        <v>2.3096644908423829</v>
      </c>
      <c r="CI148" s="28">
        <f t="shared" si="13"/>
        <v>171.69709136988521</v>
      </c>
      <c r="CJ148" s="28">
        <f t="shared" si="14"/>
        <v>164.27396230863306</v>
      </c>
      <c r="CK148" s="23">
        <f t="shared" si="15"/>
        <v>4.8587784327775753E-2</v>
      </c>
      <c r="CL148" s="29" t="str">
        <f t="shared" si="16"/>
        <v/>
      </c>
      <c r="CM148" s="29" t="str">
        <f t="shared" si="17"/>
        <v/>
      </c>
      <c r="CN148" s="29" t="str">
        <f t="shared" si="18"/>
        <v/>
      </c>
      <c r="CO148" s="29" t="str">
        <f t="shared" si="19"/>
        <v/>
      </c>
      <c r="CP148" s="29" t="str">
        <f t="shared" si="20"/>
        <v/>
      </c>
      <c r="CQ148" s="29">
        <f t="shared" si="21"/>
        <v>0</v>
      </c>
      <c r="CR148" s="30"/>
      <c r="CS148" s="7">
        <f>VLOOKUP(A148,'Empresas 21-23'!$A$2:$M$228,13,0)</f>
        <v>1</v>
      </c>
      <c r="CT148" s="30"/>
      <c r="CU148" s="6">
        <f t="shared" si="22"/>
        <v>1060082686.4</v>
      </c>
      <c r="CV148" s="6">
        <f t="shared" si="23"/>
        <v>44595124</v>
      </c>
      <c r="CW148" s="6">
        <f t="shared" si="24"/>
        <v>144149614</v>
      </c>
      <c r="CX148" s="23">
        <f t="shared" si="72"/>
        <v>0.51489184495386686</v>
      </c>
      <c r="CY148" s="23">
        <f t="shared" si="73"/>
        <v>2.1660259116468922E-2</v>
      </c>
      <c r="CZ148" s="6">
        <f t="shared" si="27"/>
        <v>1134304147.1018476</v>
      </c>
      <c r="DA148" s="6">
        <f t="shared" si="28"/>
        <v>47717441.990778975</v>
      </c>
      <c r="DB148" s="6">
        <f t="shared" si="29"/>
        <v>46610266</v>
      </c>
      <c r="DC148" s="6">
        <f t="shared" si="30"/>
        <v>47874580</v>
      </c>
      <c r="DD148" s="6">
        <f t="shared" si="31"/>
        <v>11654574</v>
      </c>
      <c r="DE148" s="6">
        <f t="shared" si="32"/>
        <v>43341257</v>
      </c>
      <c r="DF148" s="6">
        <f t="shared" si="74"/>
        <v>12385403.609214416</v>
      </c>
      <c r="DG148" s="30"/>
      <c r="DH148" s="32">
        <f>VLOOKUP(A148,'T_med_comp-USA'!$A$7:$Q$233,17,0)</f>
        <v>14.323765946624684</v>
      </c>
      <c r="DI148" s="6" t="str">
        <f t="shared" si="34"/>
        <v>9_2008</v>
      </c>
      <c r="DJ148" s="32">
        <f>IF(DI148="","",VLOOKUP(DI148,'CPI USA'!$T:$U,2,FALSE))</f>
        <v>215.303</v>
      </c>
      <c r="DK148" s="32">
        <f>IF(DI148="","",VLOOKUP(DI148,'PPI USA'!$S:$T,2,FALSE))</f>
        <v>159.30000000000001</v>
      </c>
      <c r="DL148" s="32">
        <f>IF(DI148="","",VLOOKUP(DI148,'CPI USA'!$T:$V,3,FALSE))</f>
        <v>0.67018812038291731</v>
      </c>
      <c r="DM148" s="32">
        <f>IF(DI148="","",VLOOKUP(DI148,'CPI USA'!$T:$X,5,FALSE))</f>
        <v>0.49838492968660258</v>
      </c>
      <c r="DN148" s="32">
        <f t="shared" si="35"/>
        <v>1.4884333659448254</v>
      </c>
      <c r="DO148" s="32">
        <f t="shared" si="36"/>
        <v>1.5036496327119213</v>
      </c>
      <c r="DP148" s="32">
        <f t="shared" si="37"/>
        <v>0.43051269005845194</v>
      </c>
      <c r="DQ148" s="32">
        <f>IF(DP148="","",DP148*$DO$1/'CPI USA'!$U$520+(1-DP148)*AVERAGE($DO$1,$DQ$1)/AVERAGE('CPI USA'!$U$520,'PPI USA'!$T$526))</f>
        <v>1.0777088272597755</v>
      </c>
      <c r="DR148" s="6">
        <f t="shared" si="38"/>
        <v>4852214</v>
      </c>
      <c r="DS148" s="32">
        <f t="shared" si="39"/>
        <v>0.41633559493465827</v>
      </c>
      <c r="DT148" s="28">
        <f>IF(DS148="","",DS148*$DO$1/'CPI USA'!$U$520+(1-DS148)*AVERAGE($DO$1,$DQ$1)/AVERAGE('CPI USA'!$U$520,'PPI USA'!$T$526))</f>
        <v>1.0781857315303367</v>
      </c>
      <c r="DU148" s="6">
        <f t="shared" si="40"/>
        <v>12862039</v>
      </c>
      <c r="DV148" s="6">
        <f t="shared" si="57"/>
        <v>1338457.656718812</v>
      </c>
      <c r="DW148" s="6">
        <f t="shared" si="41"/>
        <v>8163274.7771914471</v>
      </c>
      <c r="DX148" s="16">
        <f t="shared" si="42"/>
        <v>0.65910446157105329</v>
      </c>
      <c r="DY148" s="28">
        <f>IF(DX148="","",DX148*$DO$1/'CPI USA'!$U$520+(1-DX148)*AVERAGE($DO$1,$DQ$1)/AVERAGE('CPI USA'!$U$520,'PPI USA'!$T$526))</f>
        <v>1.0700192130547781</v>
      </c>
      <c r="DZ148" s="30"/>
      <c r="EA148" s="29" t="str">
        <f t="shared" si="43"/>
        <v>C001745</v>
      </c>
      <c r="EB148" s="29">
        <f t="shared" si="44"/>
        <v>1688336139.6759775</v>
      </c>
      <c r="EC148" s="29">
        <f t="shared" si="45"/>
        <v>71750314.123387218</v>
      </c>
      <c r="ED148" s="29">
        <f t="shared" si="46"/>
        <v>51594857.467354298</v>
      </c>
      <c r="EE148" s="29">
        <f t="shared" si="47"/>
        <v>12565795.393864442</v>
      </c>
      <c r="EF148" s="29">
        <f t="shared" si="48"/>
        <v>13252619.823297417</v>
      </c>
      <c r="EG148" s="29">
        <f t="shared" si="49"/>
        <v>627</v>
      </c>
      <c r="EH148" s="29">
        <f t="shared" si="50"/>
        <v>271468</v>
      </c>
      <c r="EI148" s="29">
        <f t="shared" si="51"/>
        <v>200640</v>
      </c>
      <c r="EJ148" s="29">
        <f t="shared" si="52"/>
        <v>4129433</v>
      </c>
      <c r="EK148" s="29">
        <f t="shared" si="53"/>
        <v>4321172.746192893</v>
      </c>
      <c r="EL148" s="29">
        <f>IF(CD148=1,VLOOKUP(EA148,'EIA 2022'!$A$2:$J$213,4,0)*EH148,"")</f>
        <v>76228214.400000006</v>
      </c>
      <c r="EM148" s="29">
        <f>IF(CD148=1,VLOOKUP(EA148,'EIA 2022'!$A$2:$J$213,7,0)*EH148,"")</f>
        <v>751966.36</v>
      </c>
      <c r="EN148" s="29">
        <f>IF(CD148=1,VLOOKUP(EA148,'EIA 2022'!$A$2:$J$213,10,0),"")</f>
        <v>275840</v>
      </c>
      <c r="EO148" s="28">
        <f>IF(CD148=1,VLOOKUP(EA148,'EIA 2022'!$A$2:$Z$213,26,0),"")</f>
        <v>0</v>
      </c>
      <c r="EP148" s="23">
        <f t="shared" si="54"/>
        <v>4.4372154841951852E-2</v>
      </c>
      <c r="EQ148" s="32">
        <f t="shared" si="55"/>
        <v>8900.2538071066374</v>
      </c>
      <c r="ER148" s="32">
        <f t="shared" si="56"/>
        <v>191739.74619289336</v>
      </c>
      <c r="ES148" s="32"/>
      <c r="ET148" s="32"/>
    </row>
    <row r="149" spans="1:150" ht="15.75" customHeight="1">
      <c r="A149" s="7" t="s">
        <v>652</v>
      </c>
      <c r="B149" s="7" t="s">
        <v>653</v>
      </c>
      <c r="C149" s="32" t="s">
        <v>1018</v>
      </c>
      <c r="D149" s="42">
        <v>440938515</v>
      </c>
      <c r="E149" s="42">
        <v>0</v>
      </c>
      <c r="F149" s="42">
        <v>310530683</v>
      </c>
      <c r="G149" s="42">
        <v>834736110</v>
      </c>
      <c r="H149" s="42">
        <v>938026702</v>
      </c>
      <c r="I149" s="42">
        <v>5800915</v>
      </c>
      <c r="J149" s="42">
        <v>3525515</v>
      </c>
      <c r="K149" s="42">
        <v>0</v>
      </c>
      <c r="L149" s="42">
        <v>746414</v>
      </c>
      <c r="M149" s="42">
        <v>4401225</v>
      </c>
      <c r="N149" s="42">
        <v>42172</v>
      </c>
      <c r="O149" s="42">
        <v>4691489</v>
      </c>
      <c r="P149" s="42">
        <v>877922</v>
      </c>
      <c r="Q149" s="42">
        <v>9328680</v>
      </c>
      <c r="R149" s="42">
        <v>0</v>
      </c>
      <c r="S149" s="42">
        <v>4735384</v>
      </c>
      <c r="T149" s="42">
        <v>82750272</v>
      </c>
      <c r="U149" s="42">
        <v>870217</v>
      </c>
      <c r="V149" s="42">
        <v>2266338</v>
      </c>
      <c r="W149" s="42">
        <v>914373</v>
      </c>
      <c r="X149" s="42">
        <f>IFERROR(VLOOKUP(A149,'Trans 21-23'!$A$2:$J$229,8,0),0)</f>
        <v>8697377</v>
      </c>
      <c r="Y149" s="42">
        <v>96397</v>
      </c>
      <c r="Z149" s="42">
        <v>1919910</v>
      </c>
      <c r="AA149" s="42">
        <v>21997353</v>
      </c>
      <c r="AB149" s="42">
        <v>49381194</v>
      </c>
      <c r="AC149" s="42">
        <v>3845397</v>
      </c>
      <c r="AD149" s="42">
        <v>122311284</v>
      </c>
      <c r="AE149" s="42">
        <v>0</v>
      </c>
      <c r="AF149" s="42">
        <v>2342207140</v>
      </c>
      <c r="AG149" s="42">
        <v>884781</v>
      </c>
      <c r="AH149" s="42">
        <v>1420294</v>
      </c>
      <c r="AI149" s="42">
        <v>32640620</v>
      </c>
      <c r="AJ149" s="42">
        <v>52997</v>
      </c>
      <c r="AK149" s="42">
        <v>90624</v>
      </c>
      <c r="AL149" s="42">
        <v>10392048</v>
      </c>
      <c r="AM149" s="42">
        <v>7856517</v>
      </c>
      <c r="AN149" s="42">
        <v>8638385</v>
      </c>
      <c r="AO149" s="42">
        <v>59243</v>
      </c>
      <c r="AP149" s="42">
        <v>2993710</v>
      </c>
      <c r="AQ149" s="42">
        <v>29939903</v>
      </c>
      <c r="AR149" s="42">
        <v>1136802</v>
      </c>
      <c r="AS149" s="42">
        <v>31076705</v>
      </c>
      <c r="AT149" s="42">
        <v>0</v>
      </c>
      <c r="AU149" s="42">
        <v>7301</v>
      </c>
      <c r="AV149" s="42">
        <v>0</v>
      </c>
      <c r="AW149" s="42">
        <v>1101396816</v>
      </c>
      <c r="AX149" s="42">
        <v>335409585</v>
      </c>
      <c r="AY149" s="42">
        <v>971654867</v>
      </c>
      <c r="AZ149" s="42">
        <v>224451888</v>
      </c>
      <c r="BA149" s="42">
        <v>316836037</v>
      </c>
      <c r="BB149" s="42">
        <v>5634881253</v>
      </c>
      <c r="BC149" s="42">
        <v>15181417229</v>
      </c>
      <c r="BD149" s="42">
        <v>545391340</v>
      </c>
      <c r="BE149" s="42">
        <v>1597144690</v>
      </c>
      <c r="BF149" s="42">
        <v>144203917</v>
      </c>
      <c r="BG149" s="42">
        <v>0</v>
      </c>
      <c r="BH149" s="42">
        <v>40339030</v>
      </c>
      <c r="BI149" s="42">
        <v>8868359</v>
      </c>
      <c r="BJ149" s="42">
        <v>3139596</v>
      </c>
      <c r="BK149" s="42">
        <v>3101533</v>
      </c>
      <c r="BL149" s="42">
        <v>0</v>
      </c>
      <c r="BM149" s="42">
        <v>35183959</v>
      </c>
      <c r="BN149" s="42">
        <v>165242229</v>
      </c>
      <c r="BO149" s="42">
        <v>0</v>
      </c>
      <c r="BP149" s="42">
        <v>9041612</v>
      </c>
      <c r="BQ149" s="42">
        <v>277705627</v>
      </c>
      <c r="BR149" s="42">
        <v>0</v>
      </c>
      <c r="BS149" s="42">
        <f>IFERROR(VLOOKUP(A149,'Trans 21-23'!$A$2:$J$229,7,0),0)</f>
        <v>189786805</v>
      </c>
      <c r="BT149" s="63"/>
      <c r="BU149" s="32">
        <f t="shared" si="0"/>
        <v>5634881253</v>
      </c>
      <c r="BV149" s="32">
        <f t="shared" si="1"/>
        <v>7301</v>
      </c>
      <c r="BW149" s="32">
        <f t="shared" si="2"/>
        <v>884781</v>
      </c>
      <c r="BX149" s="32">
        <f t="shared" si="3"/>
        <v>120950916</v>
      </c>
      <c r="BY149" s="32">
        <f t="shared" si="4"/>
        <v>77240251</v>
      </c>
      <c r="BZ149" s="32">
        <f t="shared" si="5"/>
        <v>224451888</v>
      </c>
      <c r="CA149" s="32">
        <f t="shared" si="6"/>
        <v>122311284</v>
      </c>
      <c r="CB149" s="32">
        <f t="shared" si="7"/>
        <v>1420294</v>
      </c>
      <c r="CC149" s="32">
        <f t="shared" si="8"/>
        <v>29939903</v>
      </c>
      <c r="CD149" s="41">
        <f t="shared" si="75"/>
        <v>1</v>
      </c>
      <c r="CE149" s="44">
        <f t="shared" si="10"/>
        <v>10</v>
      </c>
      <c r="CF149" s="27"/>
      <c r="CG149" s="28">
        <f t="shared" si="11"/>
        <v>771.79581605259546</v>
      </c>
      <c r="CH149" s="28">
        <f t="shared" si="12"/>
        <v>8.2517594749435172</v>
      </c>
      <c r="CI149" s="28">
        <f t="shared" si="13"/>
        <v>136.7015295310365</v>
      </c>
      <c r="CJ149" s="28">
        <f t="shared" si="14"/>
        <v>253.68072777331341</v>
      </c>
      <c r="CK149" s="23">
        <f t="shared" si="15"/>
        <v>4.74381630428128E-2</v>
      </c>
      <c r="CL149" s="29" t="str">
        <f t="shared" si="16"/>
        <v/>
      </c>
      <c r="CM149" s="29" t="str">
        <f t="shared" si="17"/>
        <v/>
      </c>
      <c r="CN149" s="29" t="str">
        <f t="shared" si="18"/>
        <v/>
      </c>
      <c r="CO149" s="29" t="str">
        <f t="shared" si="19"/>
        <v/>
      </c>
      <c r="CP149" s="29" t="str">
        <f t="shared" si="20"/>
        <v/>
      </c>
      <c r="CQ149" s="29">
        <f t="shared" si="21"/>
        <v>0</v>
      </c>
      <c r="CR149" s="30"/>
      <c r="CS149" s="7">
        <f>VLOOKUP(A149,'Empresas 21-23'!$A$2:$M$228,13,0)</f>
        <v>1</v>
      </c>
      <c r="CT149" s="30"/>
      <c r="CU149" s="6">
        <f t="shared" si="22"/>
        <v>4499141461.8000002</v>
      </c>
      <c r="CV149" s="6">
        <f t="shared" si="23"/>
        <v>224451888</v>
      </c>
      <c r="CW149" s="6">
        <f t="shared" si="24"/>
        <v>545391340</v>
      </c>
      <c r="CX149" s="23">
        <f t="shared" si="72"/>
        <v>0.3074018518361204</v>
      </c>
      <c r="CY149" s="23">
        <f t="shared" si="73"/>
        <v>1.533557604381469E-2</v>
      </c>
      <c r="CZ149" s="6">
        <f t="shared" si="27"/>
        <v>4666795769.6913834</v>
      </c>
      <c r="DA149" s="6">
        <f t="shared" si="28"/>
        <v>232815778.36820799</v>
      </c>
      <c r="DB149" s="6">
        <f t="shared" si="29"/>
        <v>120950916</v>
      </c>
      <c r="DC149" s="6">
        <f t="shared" si="30"/>
        <v>129648293</v>
      </c>
      <c r="DD149" s="6">
        <f t="shared" si="31"/>
        <v>77240251</v>
      </c>
      <c r="DE149" s="6">
        <f t="shared" si="32"/>
        <v>122311284</v>
      </c>
      <c r="DF149" s="6">
        <f t="shared" si="74"/>
        <v>47708909.428209864</v>
      </c>
      <c r="DG149" s="30"/>
      <c r="DH149" s="32">
        <f>VLOOKUP(A149,'T_med_comp-USA'!$A$7:$Q$233,17,0)</f>
        <v>11.054206078650724</v>
      </c>
      <c r="DI149" s="6" t="str">
        <f t="shared" si="34"/>
        <v>12_2011</v>
      </c>
      <c r="DJ149" s="32">
        <f>IF(DI149="","",VLOOKUP(DI149,'CPI USA'!$T:$U,2,FALSE))</f>
        <v>224.93899999999999</v>
      </c>
      <c r="DK149" s="32">
        <f>IF(DI149="","",VLOOKUP(DI149,'PPI USA'!$S:$T,2,FALSE))</f>
        <v>169.6</v>
      </c>
      <c r="DL149" s="32">
        <f>IF(DI149="","",VLOOKUP(DI149,'CPI USA'!$T:$V,3,FALSE))</f>
        <v>0.6684022975047168</v>
      </c>
      <c r="DM149" s="32">
        <f>IF(DI149="","",VLOOKUP(DI149,'CPI USA'!$T:$X,5,FALSE))</f>
        <v>0.49636791791307899</v>
      </c>
      <c r="DN149" s="32">
        <f t="shared" si="35"/>
        <v>1.4208751760332547</v>
      </c>
      <c r="DO149" s="32">
        <f t="shared" si="36"/>
        <v>1.4334111417560953</v>
      </c>
      <c r="DP149" s="32">
        <f t="shared" si="37"/>
        <v>0.33351570483352105</v>
      </c>
      <c r="DQ149" s="32">
        <f>IF(DP149="","",DP149*$DO$1/'CPI USA'!$U$520+(1-DP149)*AVERAGE($DO$1,$DQ$1)/AVERAGE('CPI USA'!$U$520,'PPI USA'!$T$526))</f>
        <v>1.080971715466521</v>
      </c>
      <c r="DR149" s="6">
        <f t="shared" si="38"/>
        <v>15109488</v>
      </c>
      <c r="DS149" s="32">
        <f t="shared" si="39"/>
        <v>0.2</v>
      </c>
      <c r="DT149" s="28">
        <f>IF(DS149="","",DS149*$DO$1/'CPI USA'!$U$520+(1-DS149)*AVERAGE($DO$1,$DQ$1)/AVERAGE('CPI USA'!$U$520,'PPI USA'!$T$526))</f>
        <v>1.0854630593748538</v>
      </c>
      <c r="DU149" s="6">
        <f t="shared" si="40"/>
        <v>35183959</v>
      </c>
      <c r="DV149" s="6">
        <f t="shared" si="57"/>
        <v>1184080.0707973787</v>
      </c>
      <c r="DW149" s="6">
        <f t="shared" si="41"/>
        <v>12203623.016013732</v>
      </c>
      <c r="DX149" s="16">
        <f t="shared" si="42"/>
        <v>0.25579337616964759</v>
      </c>
      <c r="DY149" s="28">
        <f>IF(DX149="","",DX149*$DO$1/'CPI USA'!$U$520+(1-DX149)*AVERAGE($DO$1,$DQ$1)/AVERAGE('CPI USA'!$U$520,'PPI USA'!$T$526))</f>
        <v>1.0835862221855708</v>
      </c>
      <c r="DZ149" s="30"/>
      <c r="EA149" s="29" t="str">
        <f t="shared" si="43"/>
        <v>C001775</v>
      </c>
      <c r="EB149" s="29">
        <f t="shared" si="44"/>
        <v>6630934260.771493</v>
      </c>
      <c r="EC149" s="29">
        <f t="shared" si="45"/>
        <v>333720730.68960702</v>
      </c>
      <c r="ED149" s="29">
        <f t="shared" si="46"/>
        <v>140146137.69151616</v>
      </c>
      <c r="EE149" s="29">
        <f t="shared" si="47"/>
        <v>83841439.157341614</v>
      </c>
      <c r="EF149" s="29">
        <f t="shared" si="48"/>
        <v>51696716.931907482</v>
      </c>
      <c r="EG149" s="29">
        <f t="shared" si="49"/>
        <v>7301</v>
      </c>
      <c r="EH149" s="29">
        <f t="shared" si="50"/>
        <v>884781</v>
      </c>
      <c r="EI149" s="29">
        <f t="shared" si="51"/>
        <v>1420294</v>
      </c>
      <c r="EJ149" s="29">
        <f t="shared" si="52"/>
        <v>29939903</v>
      </c>
      <c r="EK149" s="29">
        <f t="shared" si="53"/>
        <v>31342885.294416245</v>
      </c>
      <c r="EL149" s="29">
        <f>IF(CD149=1,VLOOKUP(EA149,'EIA 2022'!$A$2:$J$213,4,0)*EH149,"")</f>
        <v>120232890.08999999</v>
      </c>
      <c r="EM149" s="29">
        <f>IF(CD149=1,VLOOKUP(EA149,'EIA 2022'!$A$2:$J$213,7,0)*EH149,"")</f>
        <v>846735.41700000002</v>
      </c>
      <c r="EN149" s="29">
        <f>IF(CD149=1,VLOOKUP(EA149,'EIA 2022'!$A$2:$J$213,10,0),"")</f>
        <v>71329</v>
      </c>
      <c r="EO149" s="28">
        <f>IF(CD149=1,VLOOKUP(EA149,'EIA 2022'!$A$2:$Z$213,26,0),"")</f>
        <v>0</v>
      </c>
      <c r="EP149" s="23">
        <f t="shared" si="54"/>
        <v>4.4762384867808765E-2</v>
      </c>
      <c r="EQ149" s="32">
        <f t="shared" si="55"/>
        <v>17311.705583756324</v>
      </c>
      <c r="ER149" s="32">
        <f t="shared" si="56"/>
        <v>1402982.2944162437</v>
      </c>
      <c r="ES149" s="32"/>
      <c r="ET149" s="32"/>
    </row>
    <row r="150" spans="1:150" ht="15.75" customHeight="1">
      <c r="A150" s="7" t="s">
        <v>655</v>
      </c>
      <c r="B150" s="7" t="s">
        <v>656</v>
      </c>
      <c r="C150" s="32" t="s">
        <v>1019</v>
      </c>
      <c r="D150" s="42">
        <v>54117061</v>
      </c>
      <c r="E150" s="42">
        <v>0</v>
      </c>
      <c r="F150" s="42">
        <v>33724390</v>
      </c>
      <c r="G150" s="42">
        <v>289399612</v>
      </c>
      <c r="H150" s="42">
        <v>250637614</v>
      </c>
      <c r="I150" s="42">
        <v>3603183</v>
      </c>
      <c r="J150" s="42">
        <v>1518190</v>
      </c>
      <c r="K150" s="42">
        <v>0</v>
      </c>
      <c r="L150" s="42">
        <v>2133592</v>
      </c>
      <c r="M150" s="42">
        <v>2859334</v>
      </c>
      <c r="N150" s="42">
        <v>1927758</v>
      </c>
      <c r="O150" s="42">
        <v>3145062</v>
      </c>
      <c r="P150" s="42">
        <v>81786</v>
      </c>
      <c r="Q150" s="42">
        <v>1647819</v>
      </c>
      <c r="R150" s="42">
        <v>28996</v>
      </c>
      <c r="S150" s="42">
        <v>652201</v>
      </c>
      <c r="T150" s="42">
        <v>14913075</v>
      </c>
      <c r="U150" s="42">
        <v>1493511</v>
      </c>
      <c r="V150" s="42">
        <v>47628</v>
      </c>
      <c r="W150" s="42">
        <v>43662</v>
      </c>
      <c r="X150" s="42">
        <f>IFERROR(VLOOKUP(A150,'Trans 21-23'!$A$2:$J$229,8,0),0)</f>
        <v>3236931</v>
      </c>
      <c r="Y150" s="42">
        <v>2369994</v>
      </c>
      <c r="Z150" s="42">
        <v>1694997</v>
      </c>
      <c r="AA150" s="42">
        <v>10799222</v>
      </c>
      <c r="AB150" s="42">
        <v>4663172</v>
      </c>
      <c r="AC150" s="42">
        <v>1119259</v>
      </c>
      <c r="AD150" s="42">
        <v>106755883</v>
      </c>
      <c r="AE150" s="42">
        <v>0</v>
      </c>
      <c r="AF150" s="42">
        <v>594798983</v>
      </c>
      <c r="AG150" s="42">
        <v>460509</v>
      </c>
      <c r="AH150" s="42">
        <v>600462</v>
      </c>
      <c r="AI150" s="42">
        <v>9804532</v>
      </c>
      <c r="AJ150" s="42">
        <v>8320</v>
      </c>
      <c r="AK150" s="42">
        <v>0</v>
      </c>
      <c r="AL150" s="42">
        <v>3463605</v>
      </c>
      <c r="AM150" s="42">
        <v>3861758</v>
      </c>
      <c r="AN150" s="42">
        <v>756160</v>
      </c>
      <c r="AO150" s="42">
        <v>40667</v>
      </c>
      <c r="AP150" s="42">
        <v>7275</v>
      </c>
      <c r="AQ150" s="42">
        <v>8136907</v>
      </c>
      <c r="AR150" s="42">
        <v>1058843</v>
      </c>
      <c r="AS150" s="42">
        <v>9195750</v>
      </c>
      <c r="AT150" s="42">
        <v>0</v>
      </c>
      <c r="AU150" s="42">
        <v>2425</v>
      </c>
      <c r="AV150" s="42">
        <v>0</v>
      </c>
      <c r="AW150" s="42">
        <v>172262323</v>
      </c>
      <c r="AX150" s="42">
        <v>179237133</v>
      </c>
      <c r="AY150" s="42">
        <v>328626662</v>
      </c>
      <c r="AZ150" s="42">
        <v>90993396</v>
      </c>
      <c r="BA150" s="42">
        <v>91192236</v>
      </c>
      <c r="BB150" s="42">
        <v>2141321193</v>
      </c>
      <c r="BC150" s="42">
        <v>5282352602</v>
      </c>
      <c r="BD150" s="42">
        <v>174455135</v>
      </c>
      <c r="BE150" s="42">
        <v>912728089</v>
      </c>
      <c r="BF150" s="42">
        <v>60164686</v>
      </c>
      <c r="BG150" s="42">
        <v>0</v>
      </c>
      <c r="BH150" s="42">
        <v>22299378</v>
      </c>
      <c r="BI150" s="42">
        <v>4468787</v>
      </c>
      <c r="BJ150" s="42">
        <v>3530297</v>
      </c>
      <c r="BK150" s="42">
        <v>2938</v>
      </c>
      <c r="BL150" s="42">
        <v>0</v>
      </c>
      <c r="BM150" s="42">
        <v>30662808</v>
      </c>
      <c r="BN150" s="42">
        <v>80749883</v>
      </c>
      <c r="BO150" s="42">
        <v>0</v>
      </c>
      <c r="BP150" s="42">
        <v>1993772</v>
      </c>
      <c r="BQ150" s="42">
        <v>156801056</v>
      </c>
      <c r="BR150" s="42">
        <v>7442</v>
      </c>
      <c r="BS150" s="42">
        <f>IFERROR(VLOOKUP(A150,'Trans 21-23'!$A$2:$J$229,7,0),0)</f>
        <v>534236578</v>
      </c>
      <c r="BT150" s="63"/>
      <c r="BU150" s="32">
        <f t="shared" si="0"/>
        <v>2141321193</v>
      </c>
      <c r="BV150" s="32">
        <f t="shared" si="1"/>
        <v>2425</v>
      </c>
      <c r="BW150" s="32">
        <f t="shared" si="2"/>
        <v>460509</v>
      </c>
      <c r="BX150" s="32">
        <f t="shared" si="3"/>
        <v>34095797</v>
      </c>
      <c r="BY150" s="32">
        <f t="shared" si="4"/>
        <v>20646644</v>
      </c>
      <c r="BZ150" s="32">
        <f t="shared" si="5"/>
        <v>90993396</v>
      </c>
      <c r="CA150" s="32">
        <f t="shared" si="6"/>
        <v>106755883</v>
      </c>
      <c r="CB150" s="32">
        <f t="shared" si="7"/>
        <v>600462</v>
      </c>
      <c r="CC150" s="32">
        <f t="shared" si="8"/>
        <v>8136907</v>
      </c>
      <c r="CD150" s="41">
        <f t="shared" si="75"/>
        <v>1</v>
      </c>
      <c r="CE150" s="44">
        <f t="shared" si="10"/>
        <v>9</v>
      </c>
      <c r="CF150" s="27"/>
      <c r="CG150" s="28">
        <f t="shared" si="11"/>
        <v>883.01904865979384</v>
      </c>
      <c r="CH150" s="28">
        <f t="shared" si="12"/>
        <v>5.2659122840161645</v>
      </c>
      <c r="CI150" s="28">
        <f t="shared" si="13"/>
        <v>74.039371651802682</v>
      </c>
      <c r="CJ150" s="28">
        <f t="shared" si="14"/>
        <v>197.5930893858752</v>
      </c>
      <c r="CK150" s="23">
        <f t="shared" si="15"/>
        <v>7.3794870704556412E-2</v>
      </c>
      <c r="CL150" s="29" t="str">
        <f t="shared" si="16"/>
        <v/>
      </c>
      <c r="CM150" s="29" t="str">
        <f t="shared" si="17"/>
        <v/>
      </c>
      <c r="CN150" s="29" t="str">
        <f t="shared" si="18"/>
        <v/>
      </c>
      <c r="CO150" s="29" t="str">
        <f t="shared" si="19"/>
        <v/>
      </c>
      <c r="CP150" s="29" t="str">
        <f t="shared" si="20"/>
        <v/>
      </c>
      <c r="CQ150" s="29">
        <f t="shared" si="21"/>
        <v>0</v>
      </c>
      <c r="CR150" s="30"/>
      <c r="CS150" s="7">
        <f>VLOOKUP(A150,'Empresas 21-23'!$A$2:$M$228,13,0)</f>
        <v>1</v>
      </c>
      <c r="CT150" s="30"/>
      <c r="CU150" s="6">
        <f t="shared" si="22"/>
        <v>2188653862</v>
      </c>
      <c r="CV150" s="6">
        <f t="shared" si="23"/>
        <v>90993396</v>
      </c>
      <c r="CW150" s="6">
        <f t="shared" si="24"/>
        <v>174455135</v>
      </c>
      <c r="CX150" s="23">
        <f t="shared" si="72"/>
        <v>0.42848429831256046</v>
      </c>
      <c r="CY150" s="23">
        <f t="shared" si="73"/>
        <v>1.7814256567965678E-2</v>
      </c>
      <c r="CZ150" s="6">
        <f t="shared" si="27"/>
        <v>2263405148.1074982</v>
      </c>
      <c r="DA150" s="6">
        <f t="shared" si="28"/>
        <v>94101184.534489095</v>
      </c>
      <c r="DB150" s="6">
        <f t="shared" si="29"/>
        <v>34095797</v>
      </c>
      <c r="DC150" s="6">
        <f t="shared" si="30"/>
        <v>37332728</v>
      </c>
      <c r="DD150" s="6">
        <f t="shared" si="31"/>
        <v>20646644</v>
      </c>
      <c r="DE150" s="6">
        <f t="shared" si="32"/>
        <v>106755883</v>
      </c>
      <c r="DF150" s="6">
        <f t="shared" si="74"/>
        <v>41384541.769319586</v>
      </c>
      <c r="DG150" s="30"/>
      <c r="DH150" s="32">
        <f>VLOOKUP(A150,'T_med_comp-USA'!$A$7:$Q$233,17,0)</f>
        <v>15.085986648318963</v>
      </c>
      <c r="DI150" s="6" t="str">
        <f t="shared" si="34"/>
        <v>12_2007</v>
      </c>
      <c r="DJ150" s="32">
        <f>IF(DI150="","",VLOOKUP(DI150,'CPI USA'!$T:$U,2,FALSE))</f>
        <v>207.34200000000001</v>
      </c>
      <c r="DK150" s="32">
        <f>IF(DI150="","",VLOOKUP(DI150,'PPI USA'!$S:$T,2,FALSE))</f>
        <v>151.69999999999999</v>
      </c>
      <c r="DL150" s="32">
        <f>IF(DI150="","",VLOOKUP(DI150,'CPI USA'!$T:$V,3,FALSE))</f>
        <v>0.67123734379962852</v>
      </c>
      <c r="DM150" s="32">
        <f>IF(DI150="","",VLOOKUP(DI150,'CPI USA'!$T:$X,5,FALSE))</f>
        <v>0.49957259686190569</v>
      </c>
      <c r="DN150" s="32">
        <f t="shared" si="35"/>
        <v>1.5480022216582647</v>
      </c>
      <c r="DO150" s="32">
        <f t="shared" si="36"/>
        <v>1.5651038394149617</v>
      </c>
      <c r="DP150" s="32">
        <f t="shared" si="37"/>
        <v>0.65402131529584129</v>
      </c>
      <c r="DQ150" s="32">
        <f>IF(DP150="","",DP150*$DO$1/'CPI USA'!$U$520+(1-DP150)*AVERAGE($DO$1,$DQ$1)/AVERAGE('CPI USA'!$U$520,'PPI USA'!$T$526))</f>
        <v>1.0701902053592924</v>
      </c>
      <c r="DR150" s="6">
        <f t="shared" si="38"/>
        <v>8002022</v>
      </c>
      <c r="DS150" s="32">
        <f t="shared" si="39"/>
        <v>0.38757010582446233</v>
      </c>
      <c r="DT150" s="28">
        <f>IF(DS150="","",DS150*$DO$1/'CPI USA'!$U$520+(1-DS150)*AVERAGE($DO$1,$DQ$1)/AVERAGE('CPI USA'!$U$520,'PPI USA'!$T$526))</f>
        <v>1.0791533757819729</v>
      </c>
      <c r="DU150" s="6">
        <f t="shared" si="40"/>
        <v>30662808</v>
      </c>
      <c r="DV150" s="6">
        <f t="shared" si="57"/>
        <v>394908.08476283326</v>
      </c>
      <c r="DW150" s="6">
        <f t="shared" si="41"/>
        <v>11654410.423985785</v>
      </c>
      <c r="DX150" s="16">
        <f t="shared" si="42"/>
        <v>0.28161264872638453</v>
      </c>
      <c r="DY150" s="28">
        <f>IF(DX150="","",DX150*$DO$1/'CPI USA'!$U$520+(1-DX150)*AVERAGE($DO$1,$DQ$1)/AVERAGE('CPI USA'!$U$520,'PPI USA'!$T$526))</f>
        <v>1.082717685913678</v>
      </c>
      <c r="DZ150" s="30"/>
      <c r="EA150" s="29" t="str">
        <f t="shared" si="43"/>
        <v>C001789</v>
      </c>
      <c r="EB150" s="29">
        <f t="shared" si="44"/>
        <v>3503756197.7831607</v>
      </c>
      <c r="EC150" s="29">
        <f t="shared" si="45"/>
        <v>147278125.20842469</v>
      </c>
      <c r="ED150" s="29">
        <f t="shared" si="46"/>
        <v>39953119.844942607</v>
      </c>
      <c r="EE150" s="29">
        <f t="shared" si="47"/>
        <v>22280895.571168616</v>
      </c>
      <c r="EF150" s="29">
        <f t="shared" si="48"/>
        <v>44807775.297075652</v>
      </c>
      <c r="EG150" s="29">
        <f t="shared" si="49"/>
        <v>2425</v>
      </c>
      <c r="EH150" s="29">
        <f t="shared" si="50"/>
        <v>460509</v>
      </c>
      <c r="EI150" s="29">
        <f t="shared" si="51"/>
        <v>600462</v>
      </c>
      <c r="EJ150" s="29">
        <f t="shared" si="52"/>
        <v>8136907</v>
      </c>
      <c r="EK150" s="29">
        <f t="shared" si="53"/>
        <v>8721244.487309644</v>
      </c>
      <c r="EL150" s="29">
        <f>IF(CD150=1,VLOOKUP(EA150,'EIA 2022'!$A$2:$J$213,4,0)*EH150,"")</f>
        <v>54595183.986000001</v>
      </c>
      <c r="EM150" s="29">
        <f>IF(CD150=1,VLOOKUP(EA150,'EIA 2022'!$A$2:$J$213,7,0)*EH150,"")</f>
        <v>525901.27799999993</v>
      </c>
      <c r="EN150" s="29">
        <f>IF(CD150=1,VLOOKUP(EA150,'EIA 2022'!$A$2:$J$213,10,0),"")</f>
        <v>373943</v>
      </c>
      <c r="EO150" s="28">
        <f>IF(CD150=1,VLOOKUP(EA150,'EIA 2022'!$A$2:$Z$213,26,0),"")</f>
        <v>0</v>
      </c>
      <c r="EP150" s="23">
        <f t="shared" si="54"/>
        <v>6.7001617505382291E-2</v>
      </c>
      <c r="EQ150" s="32">
        <f t="shared" si="55"/>
        <v>16124.512690355303</v>
      </c>
      <c r="ER150" s="32">
        <f t="shared" si="56"/>
        <v>584337.4873096447</v>
      </c>
      <c r="ES150" s="32"/>
      <c r="ET150" s="32"/>
    </row>
    <row r="151" spans="1:150" ht="15.75" customHeight="1">
      <c r="A151" s="7" t="s">
        <v>658</v>
      </c>
      <c r="B151" s="7" t="s">
        <v>659</v>
      </c>
      <c r="C151" s="32" t="s">
        <v>1020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27708316</v>
      </c>
      <c r="J151" s="42">
        <v>1127048</v>
      </c>
      <c r="K151" s="42">
        <v>2682388</v>
      </c>
      <c r="L151" s="42">
        <v>2393726</v>
      </c>
      <c r="M151" s="42">
        <v>12071255</v>
      </c>
      <c r="N151" s="42">
        <v>2875924</v>
      </c>
      <c r="O151" s="42">
        <v>26745575</v>
      </c>
      <c r="P151" s="42">
        <v>51634</v>
      </c>
      <c r="Q151" s="42">
        <v>4187904</v>
      </c>
      <c r="R151" s="42">
        <v>817397</v>
      </c>
      <c r="S151" s="42">
        <v>12327271</v>
      </c>
      <c r="T151" s="42">
        <v>68943094</v>
      </c>
      <c r="U151" s="42">
        <v>12015754</v>
      </c>
      <c r="V151" s="42">
        <v>4768082</v>
      </c>
      <c r="W151" s="42">
        <v>1113493</v>
      </c>
      <c r="X151" s="42">
        <f>IFERROR(VLOOKUP(A151,'Trans 21-23'!$A$2:$J$229,8,0),0)</f>
        <v>0</v>
      </c>
      <c r="Y151" s="42">
        <v>27056539</v>
      </c>
      <c r="Z151" s="42">
        <v>5448682</v>
      </c>
      <c r="AA151" s="42">
        <v>19678732</v>
      </c>
      <c r="AB151" s="42">
        <v>34558974</v>
      </c>
      <c r="AC151" s="42">
        <v>0</v>
      </c>
      <c r="AD151" s="42">
        <v>238144313</v>
      </c>
      <c r="AE151" s="42">
        <v>0</v>
      </c>
      <c r="AF151" s="42">
        <v>1631416442</v>
      </c>
      <c r="AG151" s="42">
        <v>2703618</v>
      </c>
      <c r="AH151" s="42">
        <v>0</v>
      </c>
      <c r="AI151" s="42">
        <v>0</v>
      </c>
      <c r="AJ151" s="42">
        <v>0</v>
      </c>
      <c r="AK151" s="42">
        <v>0</v>
      </c>
      <c r="AL151" s="42">
        <v>33675901</v>
      </c>
      <c r="AM151" s="42">
        <v>27442878</v>
      </c>
      <c r="AN151" s="42">
        <v>38861550</v>
      </c>
      <c r="AO151" s="42">
        <v>81747</v>
      </c>
      <c r="AP151" s="42">
        <v>0</v>
      </c>
      <c r="AQ151" s="42">
        <v>100062076</v>
      </c>
      <c r="AR151" s="42">
        <v>0</v>
      </c>
      <c r="AS151" s="42">
        <v>100062076</v>
      </c>
      <c r="AT151" s="42">
        <v>0</v>
      </c>
      <c r="AU151" s="42">
        <v>0</v>
      </c>
      <c r="AV151" s="42">
        <v>0</v>
      </c>
      <c r="AW151" s="42">
        <v>1313986189</v>
      </c>
      <c r="AX151" s="42">
        <v>736292976</v>
      </c>
      <c r="AY151" s="42">
        <v>1360965192</v>
      </c>
      <c r="AZ151" s="42">
        <v>294180004</v>
      </c>
      <c r="BA151" s="42">
        <v>762299803</v>
      </c>
      <c r="BB151" s="42">
        <v>9339086057</v>
      </c>
      <c r="BC151" s="42">
        <v>16045041180</v>
      </c>
      <c r="BD151" s="42">
        <v>1262323298</v>
      </c>
      <c r="BE151" s="42">
        <v>3018748992</v>
      </c>
      <c r="BF151" s="42">
        <v>273884800</v>
      </c>
      <c r="BG151" s="42">
        <v>0</v>
      </c>
      <c r="BH151" s="42">
        <v>106677009</v>
      </c>
      <c r="BI151" s="42">
        <v>5402736</v>
      </c>
      <c r="BJ151" s="42">
        <v>1512699</v>
      </c>
      <c r="BK151" s="42">
        <v>0</v>
      </c>
      <c r="BL151" s="42">
        <v>0</v>
      </c>
      <c r="BM151" s="42">
        <v>6656397</v>
      </c>
      <c r="BN151" s="42">
        <v>144945999</v>
      </c>
      <c r="BO151" s="42">
        <v>13599687</v>
      </c>
      <c r="BP151" s="42">
        <v>0</v>
      </c>
      <c r="BQ151" s="42">
        <v>353137261</v>
      </c>
      <c r="BR151" s="42">
        <v>0</v>
      </c>
      <c r="BS151" s="42">
        <f>IFERROR(VLOOKUP(A151,'Trans 21-23'!$A$2:$J$229,7,0),0)</f>
        <v>0</v>
      </c>
      <c r="BT151" s="63"/>
      <c r="BU151" s="32">
        <f t="shared" si="0"/>
        <v>9339086057</v>
      </c>
      <c r="BV151" s="32">
        <f t="shared" si="1"/>
        <v>0</v>
      </c>
      <c r="BW151" s="32">
        <f t="shared" si="2"/>
        <v>2703618</v>
      </c>
      <c r="BX151" s="32">
        <f t="shared" si="3"/>
        <v>179828861</v>
      </c>
      <c r="BY151" s="32">
        <f t="shared" si="4"/>
        <v>86742927</v>
      </c>
      <c r="BZ151" s="32">
        <f t="shared" si="5"/>
        <v>294180004</v>
      </c>
      <c r="CA151" s="32">
        <f t="shared" si="6"/>
        <v>238144313</v>
      </c>
      <c r="CB151" s="32">
        <f t="shared" si="7"/>
        <v>0</v>
      </c>
      <c r="CC151" s="32">
        <f t="shared" si="8"/>
        <v>100062076</v>
      </c>
      <c r="CD151" s="41">
        <f t="shared" si="75"/>
        <v>0</v>
      </c>
      <c r="CE151" s="44">
        <f t="shared" si="10"/>
        <v>23</v>
      </c>
      <c r="CF151" s="27"/>
      <c r="CG151" s="28" t="str">
        <f t="shared" si="11"/>
        <v/>
      </c>
      <c r="CH151" s="28" t="str">
        <f t="shared" si="12"/>
        <v/>
      </c>
      <c r="CI151" s="28" t="str">
        <f t="shared" si="13"/>
        <v/>
      </c>
      <c r="CJ151" s="28" t="str">
        <f t="shared" si="14"/>
        <v/>
      </c>
      <c r="CK151" s="23" t="str">
        <f t="shared" si="15"/>
        <v/>
      </c>
      <c r="CL151" s="29" t="str">
        <f t="shared" si="16"/>
        <v/>
      </c>
      <c r="CM151" s="29" t="str">
        <f t="shared" si="17"/>
        <v/>
      </c>
      <c r="CN151" s="29" t="str">
        <f t="shared" si="18"/>
        <v/>
      </c>
      <c r="CO151" s="29" t="str">
        <f t="shared" si="19"/>
        <v/>
      </c>
      <c r="CP151" s="29" t="str">
        <f t="shared" si="20"/>
        <v/>
      </c>
      <c r="CQ151" s="29" t="str">
        <f t="shared" si="21"/>
        <v/>
      </c>
      <c r="CR151" s="30"/>
      <c r="CS151" s="7" t="str">
        <f>VLOOKUP(A151,'Empresas 21-23'!$A$2:$M$228,13,0)</f>
        <v/>
      </c>
      <c r="CT151" s="30"/>
      <c r="CU151" s="6">
        <f t="shared" si="22"/>
        <v>7024251349.1999998</v>
      </c>
      <c r="CV151" s="6">
        <f t="shared" si="23"/>
        <v>294180004</v>
      </c>
      <c r="CW151" s="6">
        <f t="shared" si="24"/>
        <v>1262323298</v>
      </c>
      <c r="CX151" s="23">
        <f t="shared" si="72"/>
        <v>0.47516643456701529</v>
      </c>
      <c r="CY151" s="23">
        <f t="shared" si="73"/>
        <v>1.9900265049244074E-2</v>
      </c>
      <c r="CZ151" s="6">
        <f t="shared" si="27"/>
        <v>7624065009.9815359</v>
      </c>
      <c r="DA151" s="6">
        <f t="shared" si="28"/>
        <v>319300572.20803589</v>
      </c>
      <c r="DB151" s="6">
        <f t="shared" si="29"/>
        <v>179828861</v>
      </c>
      <c r="DC151" s="6">
        <f t="shared" si="30"/>
        <v>179828861</v>
      </c>
      <c r="DD151" s="6">
        <f t="shared" si="31"/>
        <v>86742927</v>
      </c>
      <c r="DE151" s="6">
        <f t="shared" si="32"/>
        <v>238144313</v>
      </c>
      <c r="DF151" s="6">
        <f t="shared" si="74"/>
        <v>45563644.026960686</v>
      </c>
      <c r="DG151" s="30"/>
      <c r="DH151" s="32">
        <f>VLOOKUP(A151,'T_med_comp-USA'!$A$7:$Q$233,17,0)</f>
        <v>10.962829095865596</v>
      </c>
      <c r="DI151" s="6" t="str">
        <f t="shared" si="34"/>
        <v>1_2012</v>
      </c>
      <c r="DJ151" s="32">
        <f>IF(DI151="","",VLOOKUP(DI151,'CPI USA'!$T:$U,2,FALSE))</f>
        <v>229.59399999999999</v>
      </c>
      <c r="DK151" s="32">
        <f>IF(DI151="","",VLOOKUP(DI151,'PPI USA'!$S:$T,2,FALSE))</f>
        <v>175.1</v>
      </c>
      <c r="DL151" s="32">
        <f>IF(DI151="","",VLOOKUP(DI151,'CPI USA'!$T:$V,3,FALSE))</f>
        <v>0.66730871354337351</v>
      </c>
      <c r="DM151" s="32">
        <f>IF(DI151="","",VLOOKUP(DI151,'CPI USA'!$T:$X,5,FALSE))</f>
        <v>0.49513551903851311</v>
      </c>
      <c r="DN151" s="32">
        <f t="shared" si="35"/>
        <v>1.3897894616766442</v>
      </c>
      <c r="DO151" s="32">
        <f t="shared" si="36"/>
        <v>1.4008620811189902</v>
      </c>
      <c r="DP151" s="32">
        <f t="shared" si="37"/>
        <v>0.6488728972620198</v>
      </c>
      <c r="DQ151" s="32">
        <f>IF(DP151="","",DP151*$DO$1/'CPI USA'!$U$520+(1-DP151)*AVERAGE($DO$1,$DQ$1)/AVERAGE('CPI USA'!$U$520,'PPI USA'!$T$526))</f>
        <v>1.0703633933449499</v>
      </c>
      <c r="DR151" s="6">
        <f t="shared" si="38"/>
        <v>6915435</v>
      </c>
      <c r="DS151" s="32">
        <f t="shared" si="39"/>
        <v>0.2</v>
      </c>
      <c r="DT151" s="28">
        <f>IF(DS151="","",DS151*$DO$1/'CPI USA'!$U$520+(1-DS151)*AVERAGE($DO$1,$DQ$1)/AVERAGE('CPI USA'!$U$520,'PPI USA'!$T$526))</f>
        <v>1.0854630593748538</v>
      </c>
      <c r="DU151" s="6">
        <f t="shared" si="40"/>
        <v>7280939.3562725522</v>
      </c>
      <c r="DV151" s="6">
        <f t="shared" si="57"/>
        <v>0</v>
      </c>
      <c r="DW151" s="6">
        <f t="shared" si="41"/>
        <v>5705984.9999363273</v>
      </c>
      <c r="DX151" s="16">
        <f t="shared" si="42"/>
        <v>0.2</v>
      </c>
      <c r="DY151" s="28">
        <f>IF(DX151="","",DX151*$DO$1/'CPI USA'!$U$520+(1-DX151)*AVERAGE($DO$1,$DQ$1)/AVERAGE('CPI USA'!$U$520,'PPI USA'!$T$526))</f>
        <v>1.0854630593748538</v>
      </c>
      <c r="DZ151" s="30"/>
      <c r="EA151" s="29" t="str">
        <f t="shared" si="43"/>
        <v>C002012</v>
      </c>
      <c r="EB151" s="29" t="str">
        <f t="shared" si="44"/>
        <v/>
      </c>
      <c r="EC151" s="29" t="str">
        <f t="shared" si="45"/>
        <v/>
      </c>
      <c r="ED151" s="29" t="str">
        <f t="shared" si="46"/>
        <v/>
      </c>
      <c r="EE151" s="29" t="str">
        <f t="shared" si="47"/>
        <v/>
      </c>
      <c r="EF151" s="29" t="str">
        <f t="shared" si="48"/>
        <v/>
      </c>
      <c r="EG151" s="29" t="str">
        <f t="shared" si="49"/>
        <v/>
      </c>
      <c r="EH151" s="29" t="str">
        <f t="shared" si="50"/>
        <v/>
      </c>
      <c r="EI151" s="29" t="str">
        <f t="shared" si="51"/>
        <v/>
      </c>
      <c r="EJ151" s="29" t="str">
        <f t="shared" si="52"/>
        <v/>
      </c>
      <c r="EK151" s="29" t="str">
        <f t="shared" si="53"/>
        <v/>
      </c>
      <c r="EL151" s="29" t="str">
        <f>IF(CD151=1,VLOOKUP(EA151,'EIA 2022'!$A$2:$J$213,4,0)*EH151,"")</f>
        <v/>
      </c>
      <c r="EM151" s="29" t="str">
        <f>IF(CD151=1,VLOOKUP(EA151,'EIA 2022'!$A$2:$J$213,7,0)*EH151,"")</f>
        <v/>
      </c>
      <c r="EN151" s="29" t="str">
        <f>IF(CD151=1,VLOOKUP(EA151,'EIA 2022'!$A$2:$J$213,10,0),"")</f>
        <v/>
      </c>
      <c r="EO151" s="28" t="str">
        <f>IF(CD151=1,VLOOKUP(EA151,'EIA 2022'!$A$2:$Z$213,26,0),"")</f>
        <v/>
      </c>
      <c r="EP151" s="23" t="str">
        <f t="shared" si="54"/>
        <v/>
      </c>
      <c r="EQ151" s="32" t="str">
        <f t="shared" si="55"/>
        <v/>
      </c>
      <c r="ER151" s="32" t="str">
        <f t="shared" si="56"/>
        <v/>
      </c>
      <c r="ES151" s="32"/>
      <c r="ET151" s="32"/>
    </row>
    <row r="152" spans="1:150" ht="15.75" customHeight="1">
      <c r="A152" s="7" t="s">
        <v>661</v>
      </c>
      <c r="B152" s="7" t="s">
        <v>662</v>
      </c>
      <c r="C152" s="32" t="s">
        <v>1021</v>
      </c>
      <c r="D152" s="42">
        <v>29711841</v>
      </c>
      <c r="E152" s="42">
        <v>0</v>
      </c>
      <c r="F152" s="42">
        <v>3600762</v>
      </c>
      <c r="G152" s="42">
        <v>58694346</v>
      </c>
      <c r="H152" s="42">
        <v>60639537</v>
      </c>
      <c r="I152" s="42">
        <v>1877053</v>
      </c>
      <c r="J152" s="42">
        <v>693439</v>
      </c>
      <c r="K152" s="42">
        <v>0</v>
      </c>
      <c r="L152" s="42">
        <v>927077</v>
      </c>
      <c r="M152" s="42">
        <v>1540374</v>
      </c>
      <c r="N152" s="42">
        <v>238830</v>
      </c>
      <c r="O152" s="42">
        <v>3800866</v>
      </c>
      <c r="P152" s="42">
        <v>127681</v>
      </c>
      <c r="Q152" s="42">
        <v>822803</v>
      </c>
      <c r="R152" s="42">
        <v>0</v>
      </c>
      <c r="S152" s="42">
        <v>195653</v>
      </c>
      <c r="T152" s="42">
        <v>3180795</v>
      </c>
      <c r="U152" s="42">
        <v>829132</v>
      </c>
      <c r="V152" s="42">
        <v>93840</v>
      </c>
      <c r="W152" s="42">
        <v>1052041</v>
      </c>
      <c r="X152" s="42">
        <f>IFERROR(VLOOKUP(A152,'Trans 21-23'!$A$2:$J$229,8,0),0)</f>
        <v>0</v>
      </c>
      <c r="Y152" s="42">
        <v>1336622</v>
      </c>
      <c r="Z152" s="42">
        <v>69340</v>
      </c>
      <c r="AA152" s="42">
        <v>4115680</v>
      </c>
      <c r="AB152" s="42">
        <v>400673</v>
      </c>
      <c r="AC152" s="42">
        <v>158975</v>
      </c>
      <c r="AD152" s="42">
        <v>29510421</v>
      </c>
      <c r="AE152" s="42">
        <v>0</v>
      </c>
      <c r="AF152" s="42">
        <v>210295366</v>
      </c>
      <c r="AG152" s="42">
        <v>144458</v>
      </c>
      <c r="AH152" s="42">
        <v>227556</v>
      </c>
      <c r="AI152" s="42">
        <v>3624407</v>
      </c>
      <c r="AJ152" s="42">
        <v>0</v>
      </c>
      <c r="AK152" s="42">
        <v>0</v>
      </c>
      <c r="AL152" s="42">
        <v>1226401</v>
      </c>
      <c r="AM152" s="42">
        <v>1437712</v>
      </c>
      <c r="AN152" s="42">
        <v>596085</v>
      </c>
      <c r="AO152" s="42">
        <v>18140</v>
      </c>
      <c r="AP152" s="42">
        <v>58917</v>
      </c>
      <c r="AQ152" s="42">
        <v>3343914</v>
      </c>
      <c r="AR152" s="42">
        <v>52937</v>
      </c>
      <c r="AS152" s="42">
        <v>3396851</v>
      </c>
      <c r="AT152" s="42">
        <v>0</v>
      </c>
      <c r="AU152" s="42">
        <v>590</v>
      </c>
      <c r="AV152" s="42">
        <v>0</v>
      </c>
      <c r="AW152" s="42">
        <v>38616235</v>
      </c>
      <c r="AX152" s="42">
        <v>237464</v>
      </c>
      <c r="AY152" s="42">
        <v>144232260</v>
      </c>
      <c r="AZ152" s="42">
        <v>19567767</v>
      </c>
      <c r="BA152" s="42">
        <v>9349790</v>
      </c>
      <c r="BB152" s="42">
        <v>489350999</v>
      </c>
      <c r="BC152" s="42">
        <v>2087722283</v>
      </c>
      <c r="BD152" s="42">
        <v>36968749</v>
      </c>
      <c r="BE152" s="42">
        <v>165719531</v>
      </c>
      <c r="BF152" s="42">
        <v>11444179</v>
      </c>
      <c r="BG152" s="42">
        <v>0</v>
      </c>
      <c r="BH152" s="42">
        <v>10762430</v>
      </c>
      <c r="BI152" s="42">
        <v>2066637</v>
      </c>
      <c r="BJ152" s="42">
        <v>257265</v>
      </c>
      <c r="BK152" s="42">
        <v>135908</v>
      </c>
      <c r="BL152" s="42">
        <v>0</v>
      </c>
      <c r="BM152" s="42">
        <v>7757111</v>
      </c>
      <c r="BN152" s="42">
        <v>30943596</v>
      </c>
      <c r="BO152" s="42">
        <v>3945476</v>
      </c>
      <c r="BP152" s="42">
        <v>10036852</v>
      </c>
      <c r="BQ152" s="42">
        <v>97118272</v>
      </c>
      <c r="BR152" s="42">
        <v>6659</v>
      </c>
      <c r="BS152" s="42">
        <f>IFERROR(VLOOKUP(A152,'Trans 21-23'!$A$2:$J$229,7,0),0)</f>
        <v>0</v>
      </c>
      <c r="BT152" s="63"/>
      <c r="BU152" s="32">
        <f t="shared" si="0"/>
        <v>489350999</v>
      </c>
      <c r="BV152" s="32">
        <f t="shared" si="1"/>
        <v>590</v>
      </c>
      <c r="BW152" s="32">
        <f t="shared" si="2"/>
        <v>144458</v>
      </c>
      <c r="BX152" s="32">
        <f t="shared" si="3"/>
        <v>15379584</v>
      </c>
      <c r="BY152" s="32">
        <f t="shared" si="4"/>
        <v>6081290</v>
      </c>
      <c r="BZ152" s="32">
        <f t="shared" si="5"/>
        <v>19567767</v>
      </c>
      <c r="CA152" s="32">
        <f t="shared" si="6"/>
        <v>29510421</v>
      </c>
      <c r="CB152" s="32">
        <f t="shared" si="7"/>
        <v>227556</v>
      </c>
      <c r="CC152" s="32">
        <f t="shared" si="8"/>
        <v>3343914</v>
      </c>
      <c r="CD152" s="41">
        <f t="shared" si="75"/>
        <v>1</v>
      </c>
      <c r="CE152" s="44">
        <f t="shared" si="10"/>
        <v>12</v>
      </c>
      <c r="CF152" s="27"/>
      <c r="CG152" s="28">
        <f t="shared" si="11"/>
        <v>829.40847288135592</v>
      </c>
      <c r="CH152" s="28">
        <f t="shared" si="12"/>
        <v>4.0842320951418403</v>
      </c>
      <c r="CI152" s="28">
        <f t="shared" si="13"/>
        <v>106.46405183513548</v>
      </c>
      <c r="CJ152" s="28">
        <f t="shared" si="14"/>
        <v>135.45644408755487</v>
      </c>
      <c r="CK152" s="23">
        <f t="shared" si="15"/>
        <v>6.805079317231244E-2</v>
      </c>
      <c r="CL152" s="29" t="str">
        <f t="shared" si="16"/>
        <v/>
      </c>
      <c r="CM152" s="29" t="str">
        <f t="shared" si="17"/>
        <v/>
      </c>
      <c r="CN152" s="29" t="str">
        <f t="shared" si="18"/>
        <v/>
      </c>
      <c r="CO152" s="29" t="str">
        <f t="shared" si="19"/>
        <v/>
      </c>
      <c r="CP152" s="29" t="str">
        <f t="shared" si="20"/>
        <v/>
      </c>
      <c r="CQ152" s="29">
        <f t="shared" si="21"/>
        <v>0</v>
      </c>
      <c r="CR152" s="30"/>
      <c r="CS152" s="7" t="str">
        <f>VLOOKUP(A152,'Empresas 21-23'!$A$2:$M$228,13,0)</f>
        <v/>
      </c>
      <c r="CT152" s="30"/>
      <c r="CU152" s="6">
        <f t="shared" si="22"/>
        <v>373751607.60000002</v>
      </c>
      <c r="CV152" s="6">
        <f t="shared" si="23"/>
        <v>19567767</v>
      </c>
      <c r="CW152" s="6">
        <f t="shared" si="24"/>
        <v>36968749</v>
      </c>
      <c r="CX152" s="23">
        <f t="shared" si="72"/>
        <v>0.18225086603703008</v>
      </c>
      <c r="CY152" s="23">
        <f t="shared" si="73"/>
        <v>9.5417448638174581E-3</v>
      </c>
      <c r="CZ152" s="6">
        <f t="shared" si="27"/>
        <v>380489194.12155563</v>
      </c>
      <c r="DA152" s="6">
        <f t="shared" si="28"/>
        <v>19920513.370892506</v>
      </c>
      <c r="DB152" s="6">
        <f t="shared" si="29"/>
        <v>15379584</v>
      </c>
      <c r="DC152" s="6">
        <f t="shared" si="30"/>
        <v>15379584</v>
      </c>
      <c r="DD152" s="6">
        <f t="shared" si="31"/>
        <v>6081290</v>
      </c>
      <c r="DE152" s="6">
        <f t="shared" si="32"/>
        <v>29510421</v>
      </c>
      <c r="DF152" s="6">
        <f t="shared" si="74"/>
        <v>7293550.2517505223</v>
      </c>
      <c r="DG152" s="30"/>
      <c r="DH152" s="32">
        <f>VLOOKUP(A152,'T_med_comp-USA'!$A$7:$Q$233,17,0)</f>
        <v>14.511392747343061</v>
      </c>
      <c r="DI152" s="6" t="str">
        <f t="shared" si="34"/>
        <v>6_2008</v>
      </c>
      <c r="DJ152" s="32">
        <f>IF(DI152="","",VLOOKUP(DI152,'CPI USA'!$T:$U,2,FALSE))</f>
        <v>215.303</v>
      </c>
      <c r="DK152" s="32">
        <f>IF(DI152="","",VLOOKUP(DI152,'PPI USA'!$S:$T,2,FALSE))</f>
        <v>159.30000000000001</v>
      </c>
      <c r="DL152" s="32">
        <f>IF(DI152="","",VLOOKUP(DI152,'CPI USA'!$T:$V,3,FALSE))</f>
        <v>0.67018812038291731</v>
      </c>
      <c r="DM152" s="32">
        <f>IF(DI152="","",VLOOKUP(DI152,'CPI USA'!$T:$X,5,FALSE))</f>
        <v>0.49838492968660258</v>
      </c>
      <c r="DN152" s="32">
        <f t="shared" si="35"/>
        <v>1.4884333659448254</v>
      </c>
      <c r="DO152" s="32">
        <f t="shared" si="36"/>
        <v>1.5036496327119213</v>
      </c>
      <c r="DP152" s="32">
        <f t="shared" si="37"/>
        <v>0.78901341455768859</v>
      </c>
      <c r="DQ152" s="32">
        <f>IF(DP152="","",DP152*$DO$1/'CPI USA'!$U$520+(1-DP152)*AVERAGE($DO$1,$DQ$1)/AVERAGE('CPI USA'!$U$520,'PPI USA'!$T$526))</f>
        <v>1.0656491969180104</v>
      </c>
      <c r="DR152" s="6">
        <f t="shared" si="38"/>
        <v>2459810</v>
      </c>
      <c r="DS152" s="32">
        <f t="shared" si="39"/>
        <v>0.45606262666810471</v>
      </c>
      <c r="DT152" s="28">
        <f>IF(DS152="","",DS152*$DO$1/'CPI USA'!$U$520+(1-DS152)*AVERAGE($DO$1,$DQ$1)/AVERAGE('CPI USA'!$U$520,'PPI USA'!$T$526))</f>
        <v>1.0768493511981905</v>
      </c>
      <c r="DU152" s="6">
        <f t="shared" si="40"/>
        <v>8746184.6448289976</v>
      </c>
      <c r="DV152" s="6">
        <f t="shared" si="57"/>
        <v>894071.03208206757</v>
      </c>
      <c r="DW152" s="6">
        <f t="shared" si="41"/>
        <v>4119294.1577145904</v>
      </c>
      <c r="DX152" s="16">
        <f t="shared" si="42"/>
        <v>0.56478587457814799</v>
      </c>
      <c r="DY152" s="28">
        <f>IF(DX152="","",DX152*$DO$1/'CPI USA'!$U$520+(1-DX152)*AVERAGE($DO$1,$DQ$1)/AVERAGE('CPI USA'!$U$520,'PPI USA'!$T$526))</f>
        <v>1.0731920024405761</v>
      </c>
      <c r="DZ152" s="30"/>
      <c r="EA152" s="29" t="str">
        <f t="shared" si="43"/>
        <v>C002045</v>
      </c>
      <c r="EB152" s="29">
        <f t="shared" si="44"/>
        <v>566332811.91198111</v>
      </c>
      <c r="EC152" s="29">
        <f t="shared" si="45"/>
        <v>29953472.613575436</v>
      </c>
      <c r="ED152" s="29">
        <f t="shared" si="46"/>
        <v>16389241.338533083</v>
      </c>
      <c r="EE152" s="29">
        <f t="shared" si="47"/>
        <v>6548633.1909480439</v>
      </c>
      <c r="EF152" s="29">
        <f t="shared" si="48"/>
        <v>7827379.7995771114</v>
      </c>
      <c r="EG152" s="29">
        <f t="shared" si="49"/>
        <v>590</v>
      </c>
      <c r="EH152" s="29">
        <f t="shared" si="50"/>
        <v>144458</v>
      </c>
      <c r="EI152" s="29">
        <f t="shared" si="51"/>
        <v>227556</v>
      </c>
      <c r="EJ152" s="29">
        <f t="shared" si="52"/>
        <v>3343914</v>
      </c>
      <c r="EK152" s="29">
        <f t="shared" si="53"/>
        <v>3570663.8527918784</v>
      </c>
      <c r="EL152" s="29" t="e">
        <f>IF(CD152=1,VLOOKUP(EA152,'EIA 2022'!$A$2:$J$213,4,0)*EH152,"")</f>
        <v>#VALUE!</v>
      </c>
      <c r="EM152" s="29">
        <f>IF(CD152=1,VLOOKUP(EA152,'EIA 2022'!$A$2:$J$213,7,0)*EH152,"")</f>
        <v>173927.432</v>
      </c>
      <c r="EN152" s="29">
        <f>IF(CD152=1,VLOOKUP(EA152,'EIA 2022'!$A$2:$J$213,10,0),"")</f>
        <v>25477</v>
      </c>
      <c r="EO152" s="28">
        <f>IF(CD152=1,VLOOKUP(EA152,'EIA 2022'!$A$2:$Z$213,26,0),"")</f>
        <v>0</v>
      </c>
      <c r="EP152" s="23">
        <f t="shared" si="54"/>
        <v>6.3503556240552844E-2</v>
      </c>
      <c r="EQ152" s="32">
        <f t="shared" si="55"/>
        <v>806.14720812183077</v>
      </c>
      <c r="ER152" s="32">
        <f t="shared" si="56"/>
        <v>226749.85279187816</v>
      </c>
      <c r="ES152" s="32"/>
      <c r="ET152" s="32"/>
    </row>
    <row r="153" spans="1:150" ht="15.75" customHeight="1">
      <c r="A153" s="7" t="s">
        <v>664</v>
      </c>
      <c r="B153" s="7" t="s">
        <v>665</v>
      </c>
      <c r="C153" s="32" t="s">
        <v>1022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f>IFERROR(VLOOKUP(A153,'Trans 21-23'!$A$2:$J$229,8,0),0)</f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1475496</v>
      </c>
      <c r="AE153" s="42">
        <v>0</v>
      </c>
      <c r="AF153" s="42">
        <v>1493490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2">
        <v>0</v>
      </c>
      <c r="AR153" s="42">
        <v>0</v>
      </c>
      <c r="AS153" s="42">
        <v>0</v>
      </c>
      <c r="AT153" s="42">
        <v>0</v>
      </c>
      <c r="AU153" s="42">
        <v>0</v>
      </c>
      <c r="AV153" s="42">
        <v>0</v>
      </c>
      <c r="AW153" s="42">
        <v>0</v>
      </c>
      <c r="AX153" s="42">
        <v>0</v>
      </c>
      <c r="AY153" s="42">
        <v>0</v>
      </c>
      <c r="AZ153" s="42">
        <v>0</v>
      </c>
      <c r="BA153" s="42">
        <v>0</v>
      </c>
      <c r="BB153" s="42">
        <v>0</v>
      </c>
      <c r="BC153" s="42">
        <v>23858475</v>
      </c>
      <c r="BD153" s="42">
        <v>521755</v>
      </c>
      <c r="BE153" s="42">
        <v>0</v>
      </c>
      <c r="BF153" s="42">
        <v>0</v>
      </c>
      <c r="BG153" s="42">
        <v>0</v>
      </c>
      <c r="BH153" s="42">
        <v>0</v>
      </c>
      <c r="BI153" s="42">
        <v>0</v>
      </c>
      <c r="BJ153" s="42">
        <v>0</v>
      </c>
      <c r="BK153" s="42">
        <v>0</v>
      </c>
      <c r="BL153" s="42">
        <v>0</v>
      </c>
      <c r="BM153" s="42">
        <v>0</v>
      </c>
      <c r="BN153" s="42">
        <v>0</v>
      </c>
      <c r="BO153" s="42">
        <v>0</v>
      </c>
      <c r="BP153" s="42">
        <v>0</v>
      </c>
      <c r="BQ153" s="42">
        <v>0</v>
      </c>
      <c r="BR153" s="42">
        <v>0</v>
      </c>
      <c r="BS153" s="42">
        <f>IFERROR(VLOOKUP(A153,'Trans 21-23'!$A$2:$J$229,7,0),0)</f>
        <v>0</v>
      </c>
      <c r="BT153" s="63"/>
      <c r="BU153" s="32">
        <f t="shared" si="0"/>
        <v>0</v>
      </c>
      <c r="BV153" s="32">
        <f t="shared" si="1"/>
        <v>0</v>
      </c>
      <c r="BW153" s="32">
        <f t="shared" si="2"/>
        <v>0</v>
      </c>
      <c r="BX153" s="32">
        <f t="shared" si="3"/>
        <v>0</v>
      </c>
      <c r="BY153" s="32">
        <f t="shared" si="4"/>
        <v>0</v>
      </c>
      <c r="BZ153" s="32">
        <f t="shared" si="5"/>
        <v>0</v>
      </c>
      <c r="CA153" s="32">
        <f t="shared" si="6"/>
        <v>1475496</v>
      </c>
      <c r="CB153" s="32">
        <f t="shared" si="7"/>
        <v>0</v>
      </c>
      <c r="CC153" s="32">
        <f t="shared" si="8"/>
        <v>0</v>
      </c>
      <c r="CD153" s="41">
        <f t="shared" si="75"/>
        <v>0</v>
      </c>
      <c r="CE153" s="44">
        <f t="shared" si="10"/>
        <v>64</v>
      </c>
      <c r="CF153" s="27"/>
      <c r="CG153" s="28" t="str">
        <f t="shared" si="11"/>
        <v/>
      </c>
      <c r="CH153" s="28" t="str">
        <f t="shared" si="12"/>
        <v/>
      </c>
      <c r="CI153" s="28" t="str">
        <f t="shared" si="13"/>
        <v/>
      </c>
      <c r="CJ153" s="28" t="str">
        <f t="shared" si="14"/>
        <v/>
      </c>
      <c r="CK153" s="23" t="str">
        <f t="shared" si="15"/>
        <v/>
      </c>
      <c r="CL153" s="29" t="str">
        <f t="shared" si="16"/>
        <v/>
      </c>
      <c r="CM153" s="29" t="str">
        <f t="shared" si="17"/>
        <v/>
      </c>
      <c r="CN153" s="29" t="str">
        <f t="shared" si="18"/>
        <v/>
      </c>
      <c r="CO153" s="29" t="str">
        <f t="shared" si="19"/>
        <v/>
      </c>
      <c r="CP153" s="29" t="str">
        <f t="shared" si="20"/>
        <v/>
      </c>
      <c r="CQ153" s="29" t="str">
        <f t="shared" si="21"/>
        <v/>
      </c>
      <c r="CR153" s="30"/>
      <c r="CS153" s="7" t="str">
        <f>VLOOKUP(A153,'Empresas 21-23'!$A$2:$M$228,13,0)</f>
        <v/>
      </c>
      <c r="CT153" s="30"/>
      <c r="CU153" s="6">
        <f t="shared" si="22"/>
        <v>0</v>
      </c>
      <c r="CV153" s="6">
        <f t="shared" si="23"/>
        <v>0</v>
      </c>
      <c r="CW153" s="6">
        <f t="shared" si="24"/>
        <v>521755</v>
      </c>
      <c r="CX153" s="23">
        <f t="shared" si="72"/>
        <v>0</v>
      </c>
      <c r="CY153" s="23">
        <f t="shared" si="73"/>
        <v>0</v>
      </c>
      <c r="CZ153" s="6">
        <f t="shared" si="27"/>
        <v>0</v>
      </c>
      <c r="DA153" s="6">
        <f t="shared" si="28"/>
        <v>0</v>
      </c>
      <c r="DB153" s="6">
        <f t="shared" si="29"/>
        <v>0</v>
      </c>
      <c r="DC153" s="6">
        <f t="shared" si="30"/>
        <v>0</v>
      </c>
      <c r="DD153" s="6">
        <f t="shared" si="31"/>
        <v>0</v>
      </c>
      <c r="DE153" s="6">
        <f t="shared" si="32"/>
        <v>1475496</v>
      </c>
      <c r="DF153" s="6">
        <f t="shared" si="74"/>
        <v>0</v>
      </c>
      <c r="DG153" s="30"/>
      <c r="DH153" s="32" t="str">
        <f>VLOOKUP(A153,'T_med_comp-USA'!$A$7:$Q$233,17,0)</f>
        <v>-</v>
      </c>
      <c r="DI153" s="6" t="str">
        <f t="shared" si="34"/>
        <v/>
      </c>
      <c r="DJ153" s="32" t="str">
        <f>IF(DI153="","",VLOOKUP(DI153,'CPI USA'!$T:$U,2,FALSE))</f>
        <v/>
      </c>
      <c r="DK153" s="32" t="str">
        <f>IF(DI153="","",VLOOKUP(DI153,'PPI USA'!$S:$T,2,FALSE))</f>
        <v/>
      </c>
      <c r="DL153" s="32" t="str">
        <f>IF(DI153="","",VLOOKUP(DI153,'CPI USA'!$T:$V,3,FALSE))</f>
        <v/>
      </c>
      <c r="DM153" s="32" t="str">
        <f>IF(DI153="","",VLOOKUP(DI153,'CPI USA'!$T:$X,5,FALSE))</f>
        <v/>
      </c>
      <c r="DN153" s="32" t="str">
        <f t="shared" si="35"/>
        <v/>
      </c>
      <c r="DO153" s="32" t="str">
        <f t="shared" si="36"/>
        <v/>
      </c>
      <c r="DP153" s="32" t="str">
        <f t="shared" si="37"/>
        <v/>
      </c>
      <c r="DQ153" s="32" t="str">
        <f>IF(DP153="","",DP153*$DO$1/'CPI USA'!$U$520+(1-DP153)*AVERAGE($DO$1,$DQ$1)/AVERAGE('CPI USA'!$U$520,'PPI USA'!$T$526))</f>
        <v/>
      </c>
      <c r="DR153" s="6">
        <f t="shared" si="38"/>
        <v>0</v>
      </c>
      <c r="DS153" s="32" t="str">
        <f t="shared" si="39"/>
        <v/>
      </c>
      <c r="DT153" s="28" t="str">
        <f>IF(DS153="","",DS153*$DO$1/'CPI USA'!$U$520+(1-DS153)*AVERAGE($DO$1,$DQ$1)/AVERAGE('CPI USA'!$U$520,'PPI USA'!$T$526))</f>
        <v/>
      </c>
      <c r="DU153" s="6" t="str">
        <f t="shared" si="40"/>
        <v/>
      </c>
      <c r="DV153" s="6" t="str">
        <f t="shared" si="57"/>
        <v/>
      </c>
      <c r="DW153" s="6">
        <f t="shared" si="41"/>
        <v>0</v>
      </c>
      <c r="DX153" s="16" t="str">
        <f t="shared" si="42"/>
        <v/>
      </c>
      <c r="DY153" s="28" t="str">
        <f>IF(DX153="","",DX153*$DO$1/'CPI USA'!$U$520+(1-DX153)*AVERAGE($DO$1,$DQ$1)/AVERAGE('CPI USA'!$U$520,'PPI USA'!$T$526))</f>
        <v/>
      </c>
      <c r="DZ153" s="30"/>
      <c r="EA153" s="29" t="str">
        <f t="shared" si="43"/>
        <v>C002073</v>
      </c>
      <c r="EB153" s="29" t="str">
        <f t="shared" si="44"/>
        <v/>
      </c>
      <c r="EC153" s="29" t="str">
        <f t="shared" si="45"/>
        <v/>
      </c>
      <c r="ED153" s="29" t="str">
        <f t="shared" si="46"/>
        <v/>
      </c>
      <c r="EE153" s="29" t="str">
        <f t="shared" si="47"/>
        <v/>
      </c>
      <c r="EF153" s="29" t="str">
        <f t="shared" si="48"/>
        <v/>
      </c>
      <c r="EG153" s="29" t="str">
        <f t="shared" si="49"/>
        <v/>
      </c>
      <c r="EH153" s="29" t="str">
        <f t="shared" si="50"/>
        <v/>
      </c>
      <c r="EI153" s="29" t="str">
        <f t="shared" si="51"/>
        <v/>
      </c>
      <c r="EJ153" s="29" t="str">
        <f t="shared" si="52"/>
        <v/>
      </c>
      <c r="EK153" s="29" t="str">
        <f t="shared" si="53"/>
        <v/>
      </c>
      <c r="EL153" s="29" t="str">
        <f>IF(CD153=1,VLOOKUP(EA153,'EIA 2022'!$A$2:$J$213,4,0)*EH153,"")</f>
        <v/>
      </c>
      <c r="EM153" s="29" t="str">
        <f>IF(CD153=1,VLOOKUP(EA153,'EIA 2022'!$A$2:$J$213,7,0)*EH153,"")</f>
        <v/>
      </c>
      <c r="EN153" s="29" t="str">
        <f>IF(CD153=1,VLOOKUP(EA153,'EIA 2022'!$A$2:$J$213,10,0),"")</f>
        <v/>
      </c>
      <c r="EO153" s="28" t="str">
        <f>IF(CD153=1,VLOOKUP(EA153,'EIA 2022'!$A$2:$Z$213,26,0),"")</f>
        <v/>
      </c>
      <c r="EP153" s="23" t="str">
        <f t="shared" si="54"/>
        <v/>
      </c>
      <c r="EQ153" s="32" t="str">
        <f t="shared" si="55"/>
        <v/>
      </c>
      <c r="ER153" s="32" t="str">
        <f t="shared" si="56"/>
        <v/>
      </c>
      <c r="ES153" s="32"/>
      <c r="ET153" s="32"/>
    </row>
    <row r="154" spans="1:150" ht="15.75" customHeight="1">
      <c r="A154" s="7" t="s">
        <v>667</v>
      </c>
      <c r="B154" s="7" t="s">
        <v>668</v>
      </c>
      <c r="C154" s="32" t="s">
        <v>1023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f>IFERROR(VLOOKUP(A154,'Trans 21-23'!$A$2:$J$229,8,0),0)</f>
        <v>0</v>
      </c>
      <c r="Y154" s="42">
        <v>0</v>
      </c>
      <c r="Z154" s="42">
        <v>0</v>
      </c>
      <c r="AA154" s="42">
        <v>0</v>
      </c>
      <c r="AB154" s="42">
        <v>0</v>
      </c>
      <c r="AC154" s="42">
        <v>0</v>
      </c>
      <c r="AD154" s="42">
        <v>890949</v>
      </c>
      <c r="AE154" s="42">
        <v>0</v>
      </c>
      <c r="AF154" s="42">
        <v>890949</v>
      </c>
      <c r="AG154" s="42">
        <v>0</v>
      </c>
      <c r="AH154" s="42">
        <v>0</v>
      </c>
      <c r="AI154" s="42">
        <v>0</v>
      </c>
      <c r="AJ154" s="42">
        <v>0</v>
      </c>
      <c r="AK154" s="42">
        <v>0</v>
      </c>
      <c r="AL154" s="42">
        <v>0</v>
      </c>
      <c r="AM154" s="42">
        <v>0</v>
      </c>
      <c r="AN154" s="42">
        <v>0</v>
      </c>
      <c r="AO154" s="42">
        <v>0</v>
      </c>
      <c r="AP154" s="42">
        <v>0</v>
      </c>
      <c r="AQ154" s="42">
        <v>0</v>
      </c>
      <c r="AR154" s="42">
        <v>0</v>
      </c>
      <c r="AS154" s="42">
        <v>0</v>
      </c>
      <c r="AT154" s="42">
        <v>0</v>
      </c>
      <c r="AU154" s="42">
        <v>0</v>
      </c>
      <c r="AV154" s="42">
        <v>0</v>
      </c>
      <c r="AW154" s="42">
        <v>0</v>
      </c>
      <c r="AX154" s="42">
        <v>0</v>
      </c>
      <c r="AY154" s="42">
        <v>0</v>
      </c>
      <c r="AZ154" s="42">
        <v>0</v>
      </c>
      <c r="BA154" s="42">
        <v>0</v>
      </c>
      <c r="BB154" s="42">
        <v>0</v>
      </c>
      <c r="BC154" s="42">
        <v>151611726</v>
      </c>
      <c r="BD154" s="42">
        <v>0</v>
      </c>
      <c r="BE154" s="42">
        <v>0</v>
      </c>
      <c r="BF154" s="42">
        <v>0</v>
      </c>
      <c r="BG154" s="42">
        <v>0</v>
      </c>
      <c r="BH154" s="42">
        <v>0</v>
      </c>
      <c r="BI154" s="42">
        <v>0</v>
      </c>
      <c r="BJ154" s="42">
        <v>0</v>
      </c>
      <c r="BK154" s="42">
        <v>0</v>
      </c>
      <c r="BL154" s="42">
        <v>0</v>
      </c>
      <c r="BM154" s="42">
        <v>0</v>
      </c>
      <c r="BN154" s="42">
        <v>0</v>
      </c>
      <c r="BO154" s="42">
        <v>0</v>
      </c>
      <c r="BP154" s="42">
        <v>0</v>
      </c>
      <c r="BQ154" s="42">
        <v>0</v>
      </c>
      <c r="BR154" s="42">
        <v>0</v>
      </c>
      <c r="BS154" s="42">
        <f>IFERROR(VLOOKUP(A154,'Trans 21-23'!$A$2:$J$229,7,0),0)</f>
        <v>0</v>
      </c>
      <c r="BT154" s="63"/>
      <c r="BU154" s="32">
        <f t="shared" si="0"/>
        <v>0</v>
      </c>
      <c r="BV154" s="32">
        <f t="shared" si="1"/>
        <v>0</v>
      </c>
      <c r="BW154" s="32">
        <f t="shared" si="2"/>
        <v>0</v>
      </c>
      <c r="BX154" s="32">
        <f t="shared" si="3"/>
        <v>0</v>
      </c>
      <c r="BY154" s="32">
        <f t="shared" si="4"/>
        <v>0</v>
      </c>
      <c r="BZ154" s="32">
        <f t="shared" si="5"/>
        <v>0</v>
      </c>
      <c r="CA154" s="32">
        <f t="shared" si="6"/>
        <v>890949</v>
      </c>
      <c r="CB154" s="32">
        <f t="shared" si="7"/>
        <v>0</v>
      </c>
      <c r="CC154" s="32">
        <f t="shared" si="8"/>
        <v>0</v>
      </c>
      <c r="CD154" s="41">
        <f t="shared" si="75"/>
        <v>0</v>
      </c>
      <c r="CE154" s="44">
        <f t="shared" si="10"/>
        <v>65</v>
      </c>
      <c r="CF154" s="27"/>
      <c r="CG154" s="28" t="str">
        <f t="shared" si="11"/>
        <v/>
      </c>
      <c r="CH154" s="28" t="str">
        <f t="shared" si="12"/>
        <v/>
      </c>
      <c r="CI154" s="28" t="str">
        <f t="shared" si="13"/>
        <v/>
      </c>
      <c r="CJ154" s="28" t="str">
        <f t="shared" si="14"/>
        <v/>
      </c>
      <c r="CK154" s="23" t="str">
        <f t="shared" si="15"/>
        <v/>
      </c>
      <c r="CL154" s="29" t="str">
        <f t="shared" si="16"/>
        <v/>
      </c>
      <c r="CM154" s="29" t="str">
        <f t="shared" si="17"/>
        <v/>
      </c>
      <c r="CN154" s="29" t="str">
        <f t="shared" si="18"/>
        <v/>
      </c>
      <c r="CO154" s="29" t="str">
        <f t="shared" si="19"/>
        <v/>
      </c>
      <c r="CP154" s="29" t="str">
        <f t="shared" si="20"/>
        <v/>
      </c>
      <c r="CQ154" s="29" t="str">
        <f t="shared" si="21"/>
        <v/>
      </c>
      <c r="CR154" s="30"/>
      <c r="CS154" s="7" t="str">
        <f>VLOOKUP(A154,'Empresas 21-23'!$A$2:$M$228,13,0)</f>
        <v/>
      </c>
      <c r="CT154" s="30"/>
      <c r="CU154" s="6">
        <f t="shared" si="22"/>
        <v>0</v>
      </c>
      <c r="CV154" s="6">
        <f t="shared" si="23"/>
        <v>0</v>
      </c>
      <c r="CW154" s="6">
        <f t="shared" si="24"/>
        <v>0</v>
      </c>
      <c r="CX154" s="23">
        <f t="shared" si="72"/>
        <v>0</v>
      </c>
      <c r="CY154" s="23">
        <f t="shared" si="73"/>
        <v>0</v>
      </c>
      <c r="CZ154" s="6">
        <f t="shared" si="27"/>
        <v>0</v>
      </c>
      <c r="DA154" s="6">
        <f t="shared" si="28"/>
        <v>0</v>
      </c>
      <c r="DB154" s="6">
        <f t="shared" si="29"/>
        <v>0</v>
      </c>
      <c r="DC154" s="6">
        <f t="shared" si="30"/>
        <v>0</v>
      </c>
      <c r="DD154" s="6">
        <f t="shared" si="31"/>
        <v>0</v>
      </c>
      <c r="DE154" s="6">
        <f t="shared" si="32"/>
        <v>890949</v>
      </c>
      <c r="DF154" s="6">
        <f>IFERROR(DE154*(DC154+DD154)/(AF154-AD154-F154-H154-E154-D154),0)</f>
        <v>0</v>
      </c>
      <c r="DG154" s="30"/>
      <c r="DH154" s="32" t="str">
        <f>VLOOKUP(A154,'T_med_comp-USA'!$A$7:$Q$233,17,0)</f>
        <v>-</v>
      </c>
      <c r="DI154" s="6" t="str">
        <f t="shared" si="34"/>
        <v/>
      </c>
      <c r="DJ154" s="32" t="str">
        <f>IF(DI154="","",VLOOKUP(DI154,'CPI USA'!$T:$U,2,FALSE))</f>
        <v/>
      </c>
      <c r="DK154" s="32" t="str">
        <f>IF(DI154="","",VLOOKUP(DI154,'PPI USA'!$S:$T,2,FALSE))</f>
        <v/>
      </c>
      <c r="DL154" s="32" t="str">
        <f>IF(DI154="","",VLOOKUP(DI154,'CPI USA'!$T:$V,3,FALSE))</f>
        <v/>
      </c>
      <c r="DM154" s="32" t="str">
        <f>IF(DI154="","",VLOOKUP(DI154,'CPI USA'!$T:$X,5,FALSE))</f>
        <v/>
      </c>
      <c r="DN154" s="32" t="str">
        <f t="shared" si="35"/>
        <v/>
      </c>
      <c r="DO154" s="32" t="str">
        <f t="shared" si="36"/>
        <v/>
      </c>
      <c r="DP154" s="32" t="str">
        <f t="shared" si="37"/>
        <v/>
      </c>
      <c r="DQ154" s="32" t="str">
        <f>IF(DP154="","",DP154*$DO$1/'CPI USA'!$U$520+(1-DP154)*AVERAGE($DO$1,$DQ$1)/AVERAGE('CPI USA'!$U$520,'PPI USA'!$T$526))</f>
        <v/>
      </c>
      <c r="DR154" s="6">
        <f t="shared" si="38"/>
        <v>0</v>
      </c>
      <c r="DS154" s="32" t="str">
        <f t="shared" si="39"/>
        <v/>
      </c>
      <c r="DT154" s="28" t="str">
        <f>IF(DS154="","",DS154*$DO$1/'CPI USA'!$U$520+(1-DS154)*AVERAGE($DO$1,$DQ$1)/AVERAGE('CPI USA'!$U$520,'PPI USA'!$T$526))</f>
        <v/>
      </c>
      <c r="DU154" s="6" t="str">
        <f t="shared" si="40"/>
        <v/>
      </c>
      <c r="DV154" s="6" t="str">
        <f t="shared" si="57"/>
        <v/>
      </c>
      <c r="DW154" s="6">
        <f t="shared" si="41"/>
        <v>0</v>
      </c>
      <c r="DX154" s="16" t="str">
        <f t="shared" si="42"/>
        <v/>
      </c>
      <c r="DY154" s="28" t="str">
        <f>IF(DX154="","",DX154*$DO$1/'CPI USA'!$U$520+(1-DX154)*AVERAGE($DO$1,$DQ$1)/AVERAGE('CPI USA'!$U$520,'PPI USA'!$T$526))</f>
        <v/>
      </c>
      <c r="DZ154" s="30"/>
      <c r="EA154" s="29" t="str">
        <f t="shared" si="43"/>
        <v>C002083</v>
      </c>
      <c r="EB154" s="29" t="str">
        <f t="shared" si="44"/>
        <v/>
      </c>
      <c r="EC154" s="29" t="str">
        <f t="shared" si="45"/>
        <v/>
      </c>
      <c r="ED154" s="29" t="str">
        <f t="shared" si="46"/>
        <v/>
      </c>
      <c r="EE154" s="29" t="str">
        <f t="shared" si="47"/>
        <v/>
      </c>
      <c r="EF154" s="29" t="str">
        <f t="shared" si="48"/>
        <v/>
      </c>
      <c r="EG154" s="29" t="str">
        <f t="shared" si="49"/>
        <v/>
      </c>
      <c r="EH154" s="29" t="str">
        <f t="shared" si="50"/>
        <v/>
      </c>
      <c r="EI154" s="29" t="str">
        <f t="shared" si="51"/>
        <v/>
      </c>
      <c r="EJ154" s="29" t="str">
        <f t="shared" si="52"/>
        <v/>
      </c>
      <c r="EK154" s="29" t="str">
        <f t="shared" si="53"/>
        <v/>
      </c>
      <c r="EL154" s="29" t="str">
        <f>IF(CD154=1,VLOOKUP(EA154,'EIA 2022'!$A$2:$J$213,4,0)*EH154,"")</f>
        <v/>
      </c>
      <c r="EM154" s="29" t="str">
        <f>IF(CD154=1,VLOOKUP(EA154,'EIA 2022'!$A$2:$J$213,7,0)*EH154,"")</f>
        <v/>
      </c>
      <c r="EN154" s="29" t="str">
        <f>IF(CD154=1,VLOOKUP(EA154,'EIA 2022'!$A$2:$J$213,10,0),"")</f>
        <v/>
      </c>
      <c r="EO154" s="28" t="str">
        <f>IF(CD154=1,VLOOKUP(EA154,'EIA 2022'!$A$2:$Z$213,26,0),"")</f>
        <v/>
      </c>
      <c r="EP154" s="23" t="str">
        <f t="shared" si="54"/>
        <v/>
      </c>
      <c r="EQ154" s="32" t="str">
        <f t="shared" si="55"/>
        <v/>
      </c>
      <c r="ER154" s="32" t="str">
        <f t="shared" si="56"/>
        <v/>
      </c>
      <c r="ES154" s="32"/>
      <c r="ET154" s="32"/>
    </row>
    <row r="155" spans="1:150" ht="15.75" customHeight="1">
      <c r="A155" s="7" t="s">
        <v>670</v>
      </c>
      <c r="B155" s="7" t="s">
        <v>671</v>
      </c>
      <c r="C155" s="32" t="s">
        <v>1024</v>
      </c>
      <c r="D155" s="42">
        <v>0</v>
      </c>
      <c r="E155" s="42">
        <v>0</v>
      </c>
      <c r="F155" s="42">
        <v>0</v>
      </c>
      <c r="G155" s="42">
        <v>82176137</v>
      </c>
      <c r="H155" s="42">
        <v>82176137</v>
      </c>
      <c r="I155" s="42">
        <v>338883</v>
      </c>
      <c r="J155" s="42">
        <v>39674</v>
      </c>
      <c r="K155" s="42">
        <v>310947</v>
      </c>
      <c r="L155" s="42">
        <v>221247</v>
      </c>
      <c r="M155" s="42">
        <v>41747</v>
      </c>
      <c r="N155" s="42">
        <v>93201</v>
      </c>
      <c r="O155" s="42">
        <v>271763</v>
      </c>
      <c r="P155" s="42">
        <v>133671</v>
      </c>
      <c r="Q155" s="42">
        <v>153065</v>
      </c>
      <c r="R155" s="42">
        <v>0</v>
      </c>
      <c r="S155" s="42">
        <v>266690</v>
      </c>
      <c r="T155" s="42">
        <v>8841910</v>
      </c>
      <c r="U155" s="42">
        <v>47616</v>
      </c>
      <c r="V155" s="42">
        <v>103030</v>
      </c>
      <c r="W155" s="42">
        <v>64035</v>
      </c>
      <c r="X155" s="42">
        <f>IFERROR(VLOOKUP(A155,'Trans 21-23'!$A$2:$J$229,8,0),0)</f>
        <v>923024</v>
      </c>
      <c r="Y155" s="42">
        <v>437698</v>
      </c>
      <c r="Z155" s="42">
        <v>40106</v>
      </c>
      <c r="AA155" s="42">
        <v>4782868</v>
      </c>
      <c r="AB155" s="42">
        <v>45660</v>
      </c>
      <c r="AC155" s="42">
        <v>3719</v>
      </c>
      <c r="AD155" s="42">
        <v>9366310</v>
      </c>
      <c r="AE155" s="42">
        <v>0</v>
      </c>
      <c r="AF155" s="42">
        <v>116505695</v>
      </c>
      <c r="AG155" s="42">
        <v>62692</v>
      </c>
      <c r="AH155" s="42">
        <v>75737</v>
      </c>
      <c r="AI155" s="42">
        <v>1078466</v>
      </c>
      <c r="AJ155" s="42">
        <v>1527</v>
      </c>
      <c r="AK155" s="42">
        <v>0</v>
      </c>
      <c r="AL155" s="42">
        <v>577132</v>
      </c>
      <c r="AM155" s="42">
        <v>311771</v>
      </c>
      <c r="AN155" s="42">
        <v>107111</v>
      </c>
      <c r="AO155" s="42">
        <v>4285</v>
      </c>
      <c r="AP155" s="42">
        <v>764</v>
      </c>
      <c r="AQ155" s="42">
        <v>1001063</v>
      </c>
      <c r="AR155" s="42">
        <v>139</v>
      </c>
      <c r="AS155" s="42">
        <v>1001202</v>
      </c>
      <c r="AT155" s="42">
        <v>0</v>
      </c>
      <c r="AU155" s="42">
        <v>207</v>
      </c>
      <c r="AV155" s="42">
        <v>0</v>
      </c>
      <c r="AW155" s="42">
        <v>54452676</v>
      </c>
      <c r="AX155" s="42">
        <v>8886995</v>
      </c>
      <c r="AY155" s="42">
        <v>14953213</v>
      </c>
      <c r="AZ155" s="42">
        <v>9956766</v>
      </c>
      <c r="BA155" s="42">
        <v>2346180</v>
      </c>
      <c r="BB155" s="42">
        <v>205598892</v>
      </c>
      <c r="BC155" s="42">
        <v>293187553</v>
      </c>
      <c r="BD155" s="42">
        <v>15332298</v>
      </c>
      <c r="BE155" s="42">
        <v>68641549</v>
      </c>
      <c r="BF155" s="42">
        <v>5174985</v>
      </c>
      <c r="BG155" s="42">
        <v>0</v>
      </c>
      <c r="BH155" s="42">
        <v>2528044</v>
      </c>
      <c r="BI155" s="42">
        <v>1025829</v>
      </c>
      <c r="BJ155" s="42">
        <v>40202</v>
      </c>
      <c r="BK155" s="42">
        <v>0</v>
      </c>
      <c r="BL155" s="42">
        <v>0</v>
      </c>
      <c r="BM155" s="42">
        <v>3139134</v>
      </c>
      <c r="BN155" s="42">
        <v>7712989</v>
      </c>
      <c r="BO155" s="42">
        <v>0</v>
      </c>
      <c r="BP155" s="42">
        <v>5623002</v>
      </c>
      <c r="BQ155" s="42">
        <v>159623325</v>
      </c>
      <c r="BR155" s="42">
        <v>0</v>
      </c>
      <c r="BS155" s="42">
        <f>IFERROR(VLOOKUP(A155,'Trans 21-23'!$A$2:$J$229,7,0),0)</f>
        <v>27516347</v>
      </c>
      <c r="BT155" s="63"/>
      <c r="BU155" s="32">
        <f t="shared" si="0"/>
        <v>205598892</v>
      </c>
      <c r="BV155" s="32">
        <f t="shared" si="1"/>
        <v>207</v>
      </c>
      <c r="BW155" s="32">
        <f t="shared" si="2"/>
        <v>62692</v>
      </c>
      <c r="BX155" s="32">
        <f t="shared" si="3"/>
        <v>10927479</v>
      </c>
      <c r="BY155" s="32">
        <f t="shared" si="4"/>
        <v>5310051</v>
      </c>
      <c r="BZ155" s="32">
        <f t="shared" si="5"/>
        <v>9956766</v>
      </c>
      <c r="CA155" s="32">
        <f t="shared" si="6"/>
        <v>9366310</v>
      </c>
      <c r="CB155" s="32">
        <f t="shared" si="7"/>
        <v>75737</v>
      </c>
      <c r="CC155" s="32">
        <f t="shared" si="8"/>
        <v>1001063</v>
      </c>
      <c r="CD155" s="41">
        <f t="shared" si="75"/>
        <v>1</v>
      </c>
      <c r="CE155" s="44">
        <f t="shared" si="10"/>
        <v>13</v>
      </c>
      <c r="CF155" s="27"/>
      <c r="CG155" s="28">
        <f t="shared" si="11"/>
        <v>993.23136231884052</v>
      </c>
      <c r="CH155" s="28">
        <f t="shared" si="12"/>
        <v>3.301856696229184</v>
      </c>
      <c r="CI155" s="28">
        <f t="shared" si="13"/>
        <v>174.30420149301347</v>
      </c>
      <c r="CJ155" s="28">
        <f t="shared" si="14"/>
        <v>158.82035985452688</v>
      </c>
      <c r="CK155" s="23">
        <f t="shared" si="15"/>
        <v>7.5656577058586721E-2</v>
      </c>
      <c r="CL155" s="29" t="str">
        <f t="shared" si="16"/>
        <v/>
      </c>
      <c r="CM155" s="29" t="str">
        <f t="shared" si="17"/>
        <v/>
      </c>
      <c r="CN155" s="29" t="str">
        <f t="shared" si="18"/>
        <v/>
      </c>
      <c r="CO155" s="29" t="str">
        <f t="shared" si="19"/>
        <v/>
      </c>
      <c r="CP155" s="29" t="str">
        <f t="shared" si="20"/>
        <v/>
      </c>
      <c r="CQ155" s="29">
        <f t="shared" si="21"/>
        <v>0</v>
      </c>
      <c r="CR155" s="30"/>
      <c r="CS155" s="7">
        <f>VLOOKUP(A155,'Empresas 21-23'!$A$2:$M$228,13,0)</f>
        <v>1</v>
      </c>
      <c r="CT155" s="30"/>
      <c r="CU155" s="6">
        <f t="shared" si="22"/>
        <v>206508168.19999999</v>
      </c>
      <c r="CV155" s="6">
        <f t="shared" si="23"/>
        <v>9956766</v>
      </c>
      <c r="CW155" s="6">
        <f t="shared" si="24"/>
        <v>15332298</v>
      </c>
      <c r="CX155" s="23">
        <f t="shared" si="72"/>
        <v>0.74322210749622131</v>
      </c>
      <c r="CY155" s="23">
        <f t="shared" si="73"/>
        <v>3.5834362751210158E-2</v>
      </c>
      <c r="CZ155" s="6">
        <f t="shared" si="27"/>
        <v>217903471.03232008</v>
      </c>
      <c r="DA155" s="6">
        <f t="shared" si="28"/>
        <v>10506189.128341654</v>
      </c>
      <c r="DB155" s="6">
        <f t="shared" si="29"/>
        <v>10927479</v>
      </c>
      <c r="DC155" s="6">
        <f t="shared" si="30"/>
        <v>11850503</v>
      </c>
      <c r="DD155" s="6">
        <f t="shared" si="31"/>
        <v>5310051</v>
      </c>
      <c r="DE155" s="6">
        <f t="shared" si="32"/>
        <v>9366310</v>
      </c>
      <c r="DF155" s="6">
        <f t="shared" ref="DF155:DF156" si="76">DE155*(DC155+DD155)/(AF155-AD155-F155-H155-E155-D155)</f>
        <v>6438708.1575178038</v>
      </c>
      <c r="DG155" s="30"/>
      <c r="DH155" s="32">
        <f>VLOOKUP(A155,'T_med_comp-USA'!$A$7:$Q$233,17,0)</f>
        <v>13.421813261713515</v>
      </c>
      <c r="DI155" s="6" t="str">
        <f t="shared" si="34"/>
        <v>8_2009</v>
      </c>
      <c r="DJ155" s="32">
        <f>IF(DI155="","",VLOOKUP(DI155,'CPI USA'!$T:$U,2,FALSE))</f>
        <v>214.53700000000001</v>
      </c>
      <c r="DK155" s="32">
        <f>IF(DI155="","",VLOOKUP(DI155,'PPI USA'!$S:$T,2,FALSE))</f>
        <v>159.1</v>
      </c>
      <c r="DL155" s="32">
        <f>IF(DI155="","",VLOOKUP(DI155,'CPI USA'!$T:$V,3,FALSE))</f>
        <v>0.66997101349938215</v>
      </c>
      <c r="DM155" s="32">
        <f>IF(DI155="","",VLOOKUP(DI155,'CPI USA'!$T:$X,5,FALSE))</f>
        <v>0.49813941766071862</v>
      </c>
      <c r="DN155" s="32">
        <f t="shared" si="35"/>
        <v>1.4932638886873792</v>
      </c>
      <c r="DO155" s="32">
        <f t="shared" si="36"/>
        <v>1.5082750176818205</v>
      </c>
      <c r="DP155" s="32">
        <f t="shared" si="37"/>
        <v>0.23134741325057684</v>
      </c>
      <c r="DQ155" s="32">
        <f>IF(DP155="","",DP155*$DO$1/'CPI USA'!$U$520+(1-DP155)*AVERAGE($DO$1,$DQ$1)/AVERAGE('CPI USA'!$U$520,'PPI USA'!$T$526))</f>
        <v>1.0844085616008239</v>
      </c>
      <c r="DR155" s="6">
        <f t="shared" si="38"/>
        <v>1066031</v>
      </c>
      <c r="DS155" s="32">
        <f t="shared" si="39"/>
        <v>0.20075720553343085</v>
      </c>
      <c r="DT155" s="28">
        <f>IF(DS155="","",DS155*$DO$1/'CPI USA'!$U$520+(1-DS155)*AVERAGE($DO$1,$DQ$1)/AVERAGE('CPI USA'!$U$520,'PPI USA'!$T$526))</f>
        <v>1.0854375876862299</v>
      </c>
      <c r="DU155" s="6">
        <f t="shared" si="40"/>
        <v>3139134</v>
      </c>
      <c r="DV155" s="6">
        <f t="shared" si="57"/>
        <v>114618.95933989697</v>
      </c>
      <c r="DW155" s="6">
        <f t="shared" si="41"/>
        <v>1516173.8422470901</v>
      </c>
      <c r="DX155" s="16">
        <f t="shared" si="42"/>
        <v>0.23547795693718668</v>
      </c>
      <c r="DY155" s="28">
        <f>IF(DX155="","",DX155*$DO$1/'CPI USA'!$U$520+(1-DX155)*AVERAGE($DO$1,$DQ$1)/AVERAGE('CPI USA'!$U$520,'PPI USA'!$T$526))</f>
        <v>1.0842696139598098</v>
      </c>
      <c r="DZ155" s="30"/>
      <c r="EA155" s="29" t="str">
        <f t="shared" si="43"/>
        <v>C002089</v>
      </c>
      <c r="EB155" s="29">
        <f t="shared" si="44"/>
        <v>325387384.5122</v>
      </c>
      <c r="EC155" s="29">
        <f t="shared" si="45"/>
        <v>15846222.593318058</v>
      </c>
      <c r="ED155" s="29">
        <f t="shared" si="46"/>
        <v>12850786.912476249</v>
      </c>
      <c r="EE155" s="29">
        <f t="shared" si="47"/>
        <v>5763728.9479308529</v>
      </c>
      <c r="EF155" s="29">
        <f t="shared" si="48"/>
        <v>6981295.6083517075</v>
      </c>
      <c r="EG155" s="29">
        <f t="shared" si="49"/>
        <v>207</v>
      </c>
      <c r="EH155" s="29">
        <f t="shared" si="50"/>
        <v>62692</v>
      </c>
      <c r="EI155" s="29">
        <f t="shared" si="51"/>
        <v>75737</v>
      </c>
      <c r="EJ155" s="29">
        <f t="shared" si="52"/>
        <v>1001063</v>
      </c>
      <c r="EK155" s="29">
        <f t="shared" si="53"/>
        <v>1076797.883248731</v>
      </c>
      <c r="EL155" s="29">
        <f>IF(CD155=1,VLOOKUP(EA155,'EIA 2022'!$A$2:$J$213,4,0)*EH155,"")</f>
        <v>6958812</v>
      </c>
      <c r="EM155" s="29">
        <f>IF(CD155=1,VLOOKUP(EA155,'EIA 2022'!$A$2:$J$213,7,0)*EH155,"")</f>
        <v>54542.04</v>
      </c>
      <c r="EN155" s="29">
        <f>IF(CD155=1,VLOOKUP(EA155,'EIA 2022'!$A$2:$J$213,10,0),"")</f>
        <v>59646</v>
      </c>
      <c r="EO155" s="28">
        <f>IF(CD155=1,VLOOKUP(EA155,'EIA 2022'!$A$2:$Z$213,26,0),"")</f>
        <v>0</v>
      </c>
      <c r="EP155" s="23">
        <f t="shared" si="54"/>
        <v>7.0333425080885734E-2</v>
      </c>
      <c r="EQ155" s="32">
        <f t="shared" si="55"/>
        <v>2.1167512690355466</v>
      </c>
      <c r="ER155" s="32">
        <f t="shared" si="56"/>
        <v>75734.88324873097</v>
      </c>
      <c r="ES155" s="32"/>
      <c r="ET155" s="32"/>
    </row>
    <row r="156" spans="1:150" ht="15.75" customHeight="1">
      <c r="A156" s="7" t="s">
        <v>673</v>
      </c>
      <c r="B156" s="7" t="s">
        <v>674</v>
      </c>
      <c r="C156" s="32" t="s">
        <v>1025</v>
      </c>
      <c r="D156" s="42">
        <v>0</v>
      </c>
      <c r="E156" s="42">
        <v>0</v>
      </c>
      <c r="F156" s="42">
        <v>0</v>
      </c>
      <c r="G156" s="42">
        <v>0</v>
      </c>
      <c r="H156" s="42">
        <v>364038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f>IFERROR(VLOOKUP(A156,'Trans 21-23'!$A$2:$J$229,8,0),0)</f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30505945</v>
      </c>
      <c r="AE156" s="42">
        <v>0</v>
      </c>
      <c r="AF156" s="42">
        <v>77900257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2">
        <v>0</v>
      </c>
      <c r="AR156" s="42">
        <v>0</v>
      </c>
      <c r="AS156" s="42">
        <v>0</v>
      </c>
      <c r="AT156" s="42">
        <v>0</v>
      </c>
      <c r="AU156" s="42">
        <v>8621</v>
      </c>
      <c r="AV156" s="42">
        <v>0</v>
      </c>
      <c r="AW156" s="42">
        <v>0</v>
      </c>
      <c r="AX156" s="42">
        <v>0</v>
      </c>
      <c r="AY156" s="42">
        <v>0</v>
      </c>
      <c r="AZ156" s="42">
        <v>0</v>
      </c>
      <c r="BA156" s="42">
        <v>0</v>
      </c>
      <c r="BB156" s="42">
        <v>0</v>
      </c>
      <c r="BC156" s="42">
        <v>3080027594</v>
      </c>
      <c r="BD156" s="42">
        <v>127709570</v>
      </c>
      <c r="BE156" s="42">
        <v>0</v>
      </c>
      <c r="BF156" s="42">
        <v>0</v>
      </c>
      <c r="BG156" s="42">
        <v>0</v>
      </c>
      <c r="BH156" s="42">
        <v>0</v>
      </c>
      <c r="BI156" s="42">
        <v>0</v>
      </c>
      <c r="BJ156" s="42">
        <v>0</v>
      </c>
      <c r="BK156" s="42">
        <v>0</v>
      </c>
      <c r="BL156" s="42">
        <v>0</v>
      </c>
      <c r="BM156" s="42">
        <v>8072494</v>
      </c>
      <c r="BN156" s="42">
        <v>11425334</v>
      </c>
      <c r="BO156" s="42">
        <v>0</v>
      </c>
      <c r="BP156" s="42">
        <v>171714</v>
      </c>
      <c r="BQ156" s="42">
        <v>23327915</v>
      </c>
      <c r="BR156" s="42">
        <v>0</v>
      </c>
      <c r="BS156" s="42">
        <f>IFERROR(VLOOKUP(A156,'Trans 21-23'!$A$2:$J$229,7,0),0)</f>
        <v>0</v>
      </c>
      <c r="BT156" s="63"/>
      <c r="BU156" s="32">
        <f t="shared" si="0"/>
        <v>0</v>
      </c>
      <c r="BV156" s="32">
        <f t="shared" si="1"/>
        <v>8621</v>
      </c>
      <c r="BW156" s="32">
        <f t="shared" si="2"/>
        <v>0</v>
      </c>
      <c r="BX156" s="32">
        <f t="shared" si="3"/>
        <v>0</v>
      </c>
      <c r="BY156" s="32">
        <f t="shared" si="4"/>
        <v>0</v>
      </c>
      <c r="BZ156" s="32">
        <f t="shared" si="5"/>
        <v>0</v>
      </c>
      <c r="CA156" s="32">
        <f t="shared" si="6"/>
        <v>30505945</v>
      </c>
      <c r="CB156" s="32">
        <f t="shared" si="7"/>
        <v>0</v>
      </c>
      <c r="CC156" s="32">
        <f t="shared" si="8"/>
        <v>0</v>
      </c>
      <c r="CD156" s="41">
        <f t="shared" si="75"/>
        <v>0</v>
      </c>
      <c r="CE156" s="44">
        <f t="shared" si="10"/>
        <v>58</v>
      </c>
      <c r="CF156" s="27"/>
      <c r="CG156" s="28" t="str">
        <f t="shared" si="11"/>
        <v/>
      </c>
      <c r="CH156" s="28" t="str">
        <f t="shared" si="12"/>
        <v/>
      </c>
      <c r="CI156" s="28" t="str">
        <f t="shared" si="13"/>
        <v/>
      </c>
      <c r="CJ156" s="28" t="str">
        <f t="shared" si="14"/>
        <v/>
      </c>
      <c r="CK156" s="23" t="str">
        <f t="shared" si="15"/>
        <v/>
      </c>
      <c r="CL156" s="29" t="str">
        <f t="shared" si="16"/>
        <v/>
      </c>
      <c r="CM156" s="29" t="str">
        <f t="shared" si="17"/>
        <v/>
      </c>
      <c r="CN156" s="29" t="str">
        <f t="shared" si="18"/>
        <v/>
      </c>
      <c r="CO156" s="29" t="str">
        <f t="shared" si="19"/>
        <v/>
      </c>
      <c r="CP156" s="29" t="str">
        <f t="shared" si="20"/>
        <v/>
      </c>
      <c r="CQ156" s="29" t="str">
        <f t="shared" si="21"/>
        <v/>
      </c>
      <c r="CR156" s="30"/>
      <c r="CS156" s="7" t="str">
        <f>VLOOKUP(A156,'Empresas 21-23'!$A$2:$M$228,13,0)</f>
        <v/>
      </c>
      <c r="CT156" s="30"/>
      <c r="CU156" s="6">
        <f t="shared" si="22"/>
        <v>0</v>
      </c>
      <c r="CV156" s="6">
        <f t="shared" si="23"/>
        <v>0</v>
      </c>
      <c r="CW156" s="6">
        <f t="shared" si="24"/>
        <v>127709570</v>
      </c>
      <c r="CX156" s="23">
        <f t="shared" si="72"/>
        <v>0</v>
      </c>
      <c r="CY156" s="23">
        <f t="shared" si="73"/>
        <v>0</v>
      </c>
      <c r="CZ156" s="6">
        <f t="shared" si="27"/>
        <v>0</v>
      </c>
      <c r="DA156" s="6">
        <f t="shared" si="28"/>
        <v>0</v>
      </c>
      <c r="DB156" s="6">
        <f t="shared" si="29"/>
        <v>0</v>
      </c>
      <c r="DC156" s="6">
        <f t="shared" si="30"/>
        <v>0</v>
      </c>
      <c r="DD156" s="6">
        <f t="shared" si="31"/>
        <v>0</v>
      </c>
      <c r="DE156" s="6">
        <f t="shared" si="32"/>
        <v>30505945</v>
      </c>
      <c r="DF156" s="6">
        <f t="shared" si="76"/>
        <v>0</v>
      </c>
      <c r="DG156" s="30"/>
      <c r="DH156" s="32" t="str">
        <f>VLOOKUP(A156,'T_med_comp-USA'!$A$7:$Q$233,17,0)</f>
        <v>-</v>
      </c>
      <c r="DI156" s="6" t="str">
        <f t="shared" si="34"/>
        <v/>
      </c>
      <c r="DJ156" s="32" t="str">
        <f>IF(DI156="","",VLOOKUP(DI156,'CPI USA'!$T:$U,2,FALSE))</f>
        <v/>
      </c>
      <c r="DK156" s="32" t="str">
        <f>IF(DI156="","",VLOOKUP(DI156,'PPI USA'!$S:$T,2,FALSE))</f>
        <v/>
      </c>
      <c r="DL156" s="32" t="str">
        <f>IF(DI156="","",VLOOKUP(DI156,'CPI USA'!$T:$V,3,FALSE))</f>
        <v/>
      </c>
      <c r="DM156" s="32" t="str">
        <f>IF(DI156="","",VLOOKUP(DI156,'CPI USA'!$T:$X,5,FALSE))</f>
        <v/>
      </c>
      <c r="DN156" s="32" t="str">
        <f t="shared" si="35"/>
        <v/>
      </c>
      <c r="DO156" s="32" t="str">
        <f t="shared" si="36"/>
        <v/>
      </c>
      <c r="DP156" s="32" t="str">
        <f t="shared" si="37"/>
        <v/>
      </c>
      <c r="DQ156" s="32" t="str">
        <f>IF(DP156="","",DP156*$DO$1/'CPI USA'!$U$520+(1-DP156)*AVERAGE($DO$1,$DQ$1)/AVERAGE('CPI USA'!$U$520,'PPI USA'!$T$526))</f>
        <v/>
      </c>
      <c r="DR156" s="6">
        <f t="shared" si="38"/>
        <v>0</v>
      </c>
      <c r="DS156" s="32" t="str">
        <f t="shared" si="39"/>
        <v/>
      </c>
      <c r="DT156" s="28" t="str">
        <f>IF(DS156="","",DS156*$DO$1/'CPI USA'!$U$520+(1-DS156)*AVERAGE($DO$1,$DQ$1)/AVERAGE('CPI USA'!$U$520,'PPI USA'!$T$526))</f>
        <v/>
      </c>
      <c r="DU156" s="6" t="str">
        <f t="shared" si="40"/>
        <v/>
      </c>
      <c r="DV156" s="6">
        <f t="shared" si="57"/>
        <v>59861.297400035524</v>
      </c>
      <c r="DW156" s="6">
        <f t="shared" si="41"/>
        <v>0</v>
      </c>
      <c r="DX156" s="16" t="str">
        <f t="shared" si="42"/>
        <v/>
      </c>
      <c r="DY156" s="28" t="str">
        <f>IF(DX156="","",DX156*$DO$1/'CPI USA'!$U$520+(1-DX156)*AVERAGE($DO$1,$DQ$1)/AVERAGE('CPI USA'!$U$520,'PPI USA'!$T$526))</f>
        <v/>
      </c>
      <c r="DZ156" s="30"/>
      <c r="EA156" s="29" t="str">
        <f t="shared" si="43"/>
        <v>C002101</v>
      </c>
      <c r="EB156" s="29" t="str">
        <f t="shared" si="44"/>
        <v/>
      </c>
      <c r="EC156" s="29" t="str">
        <f t="shared" si="45"/>
        <v/>
      </c>
      <c r="ED156" s="29" t="str">
        <f t="shared" si="46"/>
        <v/>
      </c>
      <c r="EE156" s="29" t="str">
        <f t="shared" si="47"/>
        <v/>
      </c>
      <c r="EF156" s="29" t="str">
        <f t="shared" si="48"/>
        <v/>
      </c>
      <c r="EG156" s="29" t="str">
        <f t="shared" si="49"/>
        <v/>
      </c>
      <c r="EH156" s="29" t="str">
        <f t="shared" si="50"/>
        <v/>
      </c>
      <c r="EI156" s="29" t="str">
        <f t="shared" si="51"/>
        <v/>
      </c>
      <c r="EJ156" s="29" t="str">
        <f t="shared" si="52"/>
        <v/>
      </c>
      <c r="EK156" s="29" t="str">
        <f t="shared" si="53"/>
        <v/>
      </c>
      <c r="EL156" s="29" t="str">
        <f>IF(CD156=1,VLOOKUP(EA156,'EIA 2022'!$A$2:$J$213,4,0)*EH156,"")</f>
        <v/>
      </c>
      <c r="EM156" s="29" t="str">
        <f>IF(CD156=1,VLOOKUP(EA156,'EIA 2022'!$A$2:$J$213,7,0)*EH156,"")</f>
        <v/>
      </c>
      <c r="EN156" s="29" t="str">
        <f>IF(CD156=1,VLOOKUP(EA156,'EIA 2022'!$A$2:$J$213,10,0),"")</f>
        <v/>
      </c>
      <c r="EO156" s="28" t="str">
        <f>IF(CD156=1,VLOOKUP(EA156,'EIA 2022'!$A$2:$Z$213,26,0),"")</f>
        <v/>
      </c>
      <c r="EP156" s="23" t="str">
        <f t="shared" si="54"/>
        <v/>
      </c>
      <c r="EQ156" s="32" t="str">
        <f t="shared" si="55"/>
        <v/>
      </c>
      <c r="ER156" s="32" t="str">
        <f t="shared" si="56"/>
        <v/>
      </c>
      <c r="ES156" s="32"/>
      <c r="ET156" s="32"/>
    </row>
    <row r="157" spans="1:150" ht="15.75" customHeight="1">
      <c r="A157" s="7" t="s">
        <v>676</v>
      </c>
      <c r="B157" s="7" t="s">
        <v>677</v>
      </c>
      <c r="C157" s="32" t="s">
        <v>1026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f>IFERROR(VLOOKUP(A157,'Trans 21-23'!$A$2:$J$229,8,0),0)</f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21</v>
      </c>
      <c r="AE157" s="42">
        <v>0</v>
      </c>
      <c r="AF157" s="42">
        <v>21</v>
      </c>
      <c r="AG157" s="42">
        <v>9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2">
        <v>0</v>
      </c>
      <c r="AR157" s="42">
        <v>0</v>
      </c>
      <c r="AS157" s="42">
        <v>0</v>
      </c>
      <c r="AT157" s="42">
        <v>0</v>
      </c>
      <c r="AU157" s="42">
        <v>0</v>
      </c>
      <c r="AV157" s="42">
        <v>0</v>
      </c>
      <c r="AW157" s="42">
        <v>0</v>
      </c>
      <c r="AX157" s="42">
        <v>0</v>
      </c>
      <c r="AY157" s="42">
        <v>0</v>
      </c>
      <c r="AZ157" s="42">
        <v>0</v>
      </c>
      <c r="BA157" s="42">
        <v>0</v>
      </c>
      <c r="BB157" s="42">
        <v>0</v>
      </c>
      <c r="BC157" s="42">
        <v>0</v>
      </c>
      <c r="BD157" s="42">
        <v>0</v>
      </c>
      <c r="BE157" s="42">
        <v>0</v>
      </c>
      <c r="BF157" s="42">
        <v>0</v>
      </c>
      <c r="BG157" s="42">
        <v>0</v>
      </c>
      <c r="BH157" s="42">
        <v>0</v>
      </c>
      <c r="BI157" s="42">
        <v>0</v>
      </c>
      <c r="BJ157" s="42">
        <v>0</v>
      </c>
      <c r="BK157" s="42">
        <v>0</v>
      </c>
      <c r="BL157" s="42">
        <v>0</v>
      </c>
      <c r="BM157" s="42">
        <v>0</v>
      </c>
      <c r="BN157" s="42">
        <v>0</v>
      </c>
      <c r="BO157" s="42">
        <v>0</v>
      </c>
      <c r="BP157" s="42">
        <v>1366839</v>
      </c>
      <c r="BQ157" s="42">
        <v>1366839</v>
      </c>
      <c r="BR157" s="42">
        <v>0</v>
      </c>
      <c r="BS157" s="42">
        <f>IFERROR(VLOOKUP(A157,'Trans 21-23'!$A$2:$J$229,7,0),0)</f>
        <v>0</v>
      </c>
      <c r="BT157" s="63"/>
      <c r="BU157" s="32">
        <f t="shared" si="0"/>
        <v>0</v>
      </c>
      <c r="BV157" s="32">
        <f t="shared" si="1"/>
        <v>0</v>
      </c>
      <c r="BW157" s="32">
        <f t="shared" si="2"/>
        <v>9</v>
      </c>
      <c r="BX157" s="32">
        <f t="shared" si="3"/>
        <v>0</v>
      </c>
      <c r="BY157" s="32">
        <f t="shared" si="4"/>
        <v>0</v>
      </c>
      <c r="BZ157" s="32">
        <f t="shared" si="5"/>
        <v>0</v>
      </c>
      <c r="CA157" s="32">
        <f t="shared" si="6"/>
        <v>21</v>
      </c>
      <c r="CB157" s="32">
        <f t="shared" si="7"/>
        <v>0</v>
      </c>
      <c r="CC157" s="32">
        <f t="shared" si="8"/>
        <v>0</v>
      </c>
      <c r="CD157" s="41">
        <f t="shared" si="75"/>
        <v>0</v>
      </c>
      <c r="CE157" s="44">
        <f t="shared" si="10"/>
        <v>63</v>
      </c>
      <c r="CF157" s="27"/>
      <c r="CG157" s="28" t="str">
        <f t="shared" si="11"/>
        <v/>
      </c>
      <c r="CH157" s="28" t="str">
        <f t="shared" si="12"/>
        <v/>
      </c>
      <c r="CI157" s="28" t="str">
        <f t="shared" si="13"/>
        <v/>
      </c>
      <c r="CJ157" s="28" t="str">
        <f t="shared" si="14"/>
        <v/>
      </c>
      <c r="CK157" s="23" t="str">
        <f t="shared" si="15"/>
        <v/>
      </c>
      <c r="CL157" s="29" t="str">
        <f t="shared" si="16"/>
        <v/>
      </c>
      <c r="CM157" s="29" t="str">
        <f t="shared" si="17"/>
        <v/>
      </c>
      <c r="CN157" s="29" t="str">
        <f t="shared" si="18"/>
        <v/>
      </c>
      <c r="CO157" s="29" t="str">
        <f t="shared" si="19"/>
        <v/>
      </c>
      <c r="CP157" s="29" t="str">
        <f t="shared" si="20"/>
        <v/>
      </c>
      <c r="CQ157" s="29" t="str">
        <f t="shared" si="21"/>
        <v/>
      </c>
      <c r="CR157" s="30"/>
      <c r="CS157" s="7" t="str">
        <f>VLOOKUP(A157,'Empresas 21-23'!$A$2:$M$228,13,0)</f>
        <v/>
      </c>
      <c r="CT157" s="30"/>
      <c r="CU157" s="6">
        <f t="shared" si="22"/>
        <v>0</v>
      </c>
      <c r="CV157" s="6">
        <f t="shared" si="23"/>
        <v>0</v>
      </c>
      <c r="CW157" s="6">
        <f t="shared" si="24"/>
        <v>0</v>
      </c>
      <c r="CX157" s="23" t="str">
        <f t="shared" ref="CX157:CX158" si="77">IFERROR(CU157/(BC157-BD157),"")</f>
        <v/>
      </c>
      <c r="CY157" s="23" t="str">
        <f t="shared" ref="CY157:CY158" si="78">IFERROR(CV157/(BC157-BD157),"")</f>
        <v/>
      </c>
      <c r="CZ157" s="6" t="e">
        <f t="shared" si="27"/>
        <v>#VALUE!</v>
      </c>
      <c r="DA157" s="6" t="e">
        <f t="shared" si="28"/>
        <v>#VALUE!</v>
      </c>
      <c r="DB157" s="6">
        <f t="shared" si="29"/>
        <v>0</v>
      </c>
      <c r="DC157" s="6">
        <f t="shared" si="30"/>
        <v>0</v>
      </c>
      <c r="DD157" s="6">
        <f t="shared" si="31"/>
        <v>0</v>
      </c>
      <c r="DE157" s="6">
        <f t="shared" si="32"/>
        <v>21</v>
      </c>
      <c r="DF157" s="6">
        <f t="shared" ref="DF157:DF158" si="79">IFERROR(DE157*(DC157+DD157)/(AF157-AD157-F157-H157-E157-D157),0)</f>
        <v>0</v>
      </c>
      <c r="DG157" s="30"/>
      <c r="DH157" s="32" t="str">
        <f>VLOOKUP(A157,'T_med_comp-USA'!$A$7:$Q$233,17,0)</f>
        <v>-</v>
      </c>
      <c r="DI157" s="6" t="str">
        <f t="shared" si="34"/>
        <v/>
      </c>
      <c r="DJ157" s="32" t="str">
        <f>IF(DI157="","",VLOOKUP(DI157,'CPI USA'!$T:$U,2,FALSE))</f>
        <v/>
      </c>
      <c r="DK157" s="32" t="str">
        <f>IF(DI157="","",VLOOKUP(DI157,'PPI USA'!$S:$T,2,FALSE))</f>
        <v/>
      </c>
      <c r="DL157" s="32" t="str">
        <f>IF(DI157="","",VLOOKUP(DI157,'CPI USA'!$T:$V,3,FALSE))</f>
        <v/>
      </c>
      <c r="DM157" s="32" t="str">
        <f>IF(DI157="","",VLOOKUP(DI157,'CPI USA'!$T:$X,5,FALSE))</f>
        <v/>
      </c>
      <c r="DN157" s="32" t="str">
        <f t="shared" si="35"/>
        <v/>
      </c>
      <c r="DO157" s="32" t="str">
        <f t="shared" si="36"/>
        <v/>
      </c>
      <c r="DP157" s="32" t="str">
        <f t="shared" si="37"/>
        <v/>
      </c>
      <c r="DQ157" s="32" t="str">
        <f>IF(DP157="","",DP157*$DO$1/'CPI USA'!$U$520+(1-DP157)*AVERAGE($DO$1,$DQ$1)/AVERAGE('CPI USA'!$U$520,'PPI USA'!$T$526))</f>
        <v/>
      </c>
      <c r="DR157" s="6">
        <f t="shared" si="38"/>
        <v>0</v>
      </c>
      <c r="DS157" s="32" t="str">
        <f t="shared" si="39"/>
        <v/>
      </c>
      <c r="DT157" s="28" t="str">
        <f>IF(DS157="","",DS157*$DO$1/'CPI USA'!$U$520+(1-DS157)*AVERAGE($DO$1,$DQ$1)/AVERAGE('CPI USA'!$U$520,'PPI USA'!$T$526))</f>
        <v/>
      </c>
      <c r="DU157" s="6" t="str">
        <f t="shared" si="40"/>
        <v/>
      </c>
      <c r="DV157" s="6" t="str">
        <f t="shared" ref="DV157:DV158" si="80">IFERROR(IF(BQ157=0,"",BP157/(BQ157-BP157)*BM157),"")</f>
        <v/>
      </c>
      <c r="DW157" s="6">
        <f t="shared" si="41"/>
        <v>0</v>
      </c>
      <c r="DX157" s="16" t="e">
        <f t="shared" si="42"/>
        <v>#VALUE!</v>
      </c>
      <c r="DY157" s="28" t="e">
        <f>IF(DX157="","",DX157*$DO$1/'CPI USA'!$U$520+(1-DX157)*AVERAGE($DO$1,$DQ$1)/AVERAGE('CPI USA'!$U$520,'PPI USA'!$T$526))</f>
        <v>#VALUE!</v>
      </c>
      <c r="DZ157" s="30"/>
      <c r="EA157" s="29" t="str">
        <f t="shared" si="43"/>
        <v>C002115</v>
      </c>
      <c r="EB157" s="29" t="str">
        <f t="shared" si="44"/>
        <v/>
      </c>
      <c r="EC157" s="29" t="str">
        <f t="shared" si="45"/>
        <v/>
      </c>
      <c r="ED157" s="29" t="str">
        <f t="shared" si="46"/>
        <v/>
      </c>
      <c r="EE157" s="29" t="str">
        <f t="shared" si="47"/>
        <v/>
      </c>
      <c r="EF157" s="29" t="str">
        <f t="shared" si="48"/>
        <v/>
      </c>
      <c r="EG157" s="29" t="str">
        <f t="shared" si="49"/>
        <v/>
      </c>
      <c r="EH157" s="29" t="str">
        <f t="shared" si="50"/>
        <v/>
      </c>
      <c r="EI157" s="29" t="str">
        <f t="shared" si="51"/>
        <v/>
      </c>
      <c r="EJ157" s="29" t="str">
        <f t="shared" si="52"/>
        <v/>
      </c>
      <c r="EK157" s="29" t="str">
        <f t="shared" si="53"/>
        <v/>
      </c>
      <c r="EL157" s="29" t="str">
        <f>IF(CD157=1,VLOOKUP(EA157,'EIA 2022'!$A$2:$J$213,4,0)*EH157,"")</f>
        <v/>
      </c>
      <c r="EM157" s="29" t="str">
        <f>IF(CD157=1,VLOOKUP(EA157,'EIA 2022'!$A$2:$J$213,7,0)*EH157,"")</f>
        <v/>
      </c>
      <c r="EN157" s="29" t="str">
        <f>IF(CD157=1,VLOOKUP(EA157,'EIA 2022'!$A$2:$J$213,10,0),"")</f>
        <v/>
      </c>
      <c r="EO157" s="28" t="str">
        <f>IF(CD157=1,VLOOKUP(EA157,'EIA 2022'!$A$2:$Z$213,26,0),"")</f>
        <v/>
      </c>
      <c r="EP157" s="23" t="str">
        <f t="shared" si="54"/>
        <v/>
      </c>
      <c r="EQ157" s="32" t="str">
        <f t="shared" si="55"/>
        <v/>
      </c>
      <c r="ER157" s="32" t="str">
        <f t="shared" si="56"/>
        <v/>
      </c>
      <c r="ES157" s="32"/>
      <c r="ET157" s="32"/>
    </row>
    <row r="158" spans="1:150" ht="15.75" customHeight="1">
      <c r="A158" s="7" t="s">
        <v>679</v>
      </c>
      <c r="B158" s="7" t="s">
        <v>680</v>
      </c>
      <c r="C158" s="32" t="s">
        <v>1027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f>IFERROR(VLOOKUP(A158,'Trans 21-23'!$A$2:$J$229,8,0),0)</f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357</v>
      </c>
      <c r="AE158" s="42">
        <v>0</v>
      </c>
      <c r="AF158" s="42">
        <v>357</v>
      </c>
      <c r="AG158" s="42">
        <v>9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0</v>
      </c>
      <c r="AN158" s="42">
        <v>0</v>
      </c>
      <c r="AO158" s="42">
        <v>0</v>
      </c>
      <c r="AP158" s="42">
        <v>0</v>
      </c>
      <c r="AQ158" s="42">
        <v>0</v>
      </c>
      <c r="AR158" s="42">
        <v>0</v>
      </c>
      <c r="AS158" s="42">
        <v>0</v>
      </c>
      <c r="AT158" s="42">
        <v>0</v>
      </c>
      <c r="AU158" s="42">
        <v>0</v>
      </c>
      <c r="AV158" s="42">
        <v>0</v>
      </c>
      <c r="AW158" s="42">
        <v>0</v>
      </c>
      <c r="AX158" s="42">
        <v>0</v>
      </c>
      <c r="AY158" s="42">
        <v>0</v>
      </c>
      <c r="AZ158" s="42">
        <v>0</v>
      </c>
      <c r="BA158" s="42">
        <v>0</v>
      </c>
      <c r="BB158" s="42">
        <v>0</v>
      </c>
      <c r="BC158" s="42">
        <v>0</v>
      </c>
      <c r="BD158" s="42">
        <v>0</v>
      </c>
      <c r="BE158" s="42">
        <v>0</v>
      </c>
      <c r="BF158" s="42">
        <v>0</v>
      </c>
      <c r="BG158" s="42">
        <v>0</v>
      </c>
      <c r="BH158" s="42">
        <v>0</v>
      </c>
      <c r="BI158" s="42">
        <v>0</v>
      </c>
      <c r="BJ158" s="42">
        <v>0</v>
      </c>
      <c r="BK158" s="42">
        <v>0</v>
      </c>
      <c r="BL158" s="42">
        <v>0</v>
      </c>
      <c r="BM158" s="42">
        <v>0</v>
      </c>
      <c r="BN158" s="42">
        <v>0</v>
      </c>
      <c r="BO158" s="42">
        <v>0</v>
      </c>
      <c r="BP158" s="42">
        <v>2631139</v>
      </c>
      <c r="BQ158" s="42">
        <v>2631139</v>
      </c>
      <c r="BR158" s="42">
        <v>0</v>
      </c>
      <c r="BS158" s="42">
        <f>IFERROR(VLOOKUP(A158,'Trans 21-23'!$A$2:$J$229,7,0),0)</f>
        <v>0</v>
      </c>
      <c r="BT158" s="63"/>
      <c r="BU158" s="32">
        <f t="shared" si="0"/>
        <v>0</v>
      </c>
      <c r="BV158" s="32">
        <f t="shared" si="1"/>
        <v>0</v>
      </c>
      <c r="BW158" s="32">
        <f t="shared" si="2"/>
        <v>9</v>
      </c>
      <c r="BX158" s="32">
        <f t="shared" si="3"/>
        <v>0</v>
      </c>
      <c r="BY158" s="32">
        <f t="shared" si="4"/>
        <v>0</v>
      </c>
      <c r="BZ158" s="32">
        <f t="shared" si="5"/>
        <v>0</v>
      </c>
      <c r="CA158" s="32">
        <f t="shared" si="6"/>
        <v>357</v>
      </c>
      <c r="CB158" s="32">
        <f t="shared" si="7"/>
        <v>0</v>
      </c>
      <c r="CC158" s="32">
        <f t="shared" si="8"/>
        <v>0</v>
      </c>
      <c r="CD158" s="41">
        <f t="shared" si="75"/>
        <v>0</v>
      </c>
      <c r="CE158" s="44">
        <f t="shared" si="10"/>
        <v>63</v>
      </c>
      <c r="CF158" s="27"/>
      <c r="CG158" s="28" t="str">
        <f t="shared" si="11"/>
        <v/>
      </c>
      <c r="CH158" s="28" t="str">
        <f t="shared" si="12"/>
        <v/>
      </c>
      <c r="CI158" s="28" t="str">
        <f t="shared" si="13"/>
        <v/>
      </c>
      <c r="CJ158" s="28" t="str">
        <f t="shared" si="14"/>
        <v/>
      </c>
      <c r="CK158" s="23" t="str">
        <f t="shared" si="15"/>
        <v/>
      </c>
      <c r="CL158" s="29" t="str">
        <f t="shared" si="16"/>
        <v/>
      </c>
      <c r="CM158" s="29" t="str">
        <f t="shared" si="17"/>
        <v/>
      </c>
      <c r="CN158" s="29" t="str">
        <f t="shared" si="18"/>
        <v/>
      </c>
      <c r="CO158" s="29" t="str">
        <f t="shared" si="19"/>
        <v/>
      </c>
      <c r="CP158" s="29" t="str">
        <f t="shared" si="20"/>
        <v/>
      </c>
      <c r="CQ158" s="29" t="str">
        <f t="shared" si="21"/>
        <v/>
      </c>
      <c r="CR158" s="30"/>
      <c r="CS158" s="7" t="str">
        <f>VLOOKUP(A158,'Empresas 21-23'!$A$2:$M$228,13,0)</f>
        <v/>
      </c>
      <c r="CT158" s="30"/>
      <c r="CU158" s="6">
        <f t="shared" si="22"/>
        <v>0</v>
      </c>
      <c r="CV158" s="6">
        <f t="shared" si="23"/>
        <v>0</v>
      </c>
      <c r="CW158" s="6">
        <f t="shared" si="24"/>
        <v>0</v>
      </c>
      <c r="CX158" s="23" t="str">
        <f t="shared" si="77"/>
        <v/>
      </c>
      <c r="CY158" s="23" t="str">
        <f t="shared" si="78"/>
        <v/>
      </c>
      <c r="CZ158" s="6" t="e">
        <f t="shared" si="27"/>
        <v>#VALUE!</v>
      </c>
      <c r="DA158" s="6" t="e">
        <f t="shared" si="28"/>
        <v>#VALUE!</v>
      </c>
      <c r="DB158" s="6">
        <f t="shared" si="29"/>
        <v>0</v>
      </c>
      <c r="DC158" s="6">
        <f t="shared" si="30"/>
        <v>0</v>
      </c>
      <c r="DD158" s="6">
        <f t="shared" si="31"/>
        <v>0</v>
      </c>
      <c r="DE158" s="6">
        <f t="shared" si="32"/>
        <v>357</v>
      </c>
      <c r="DF158" s="6">
        <f t="shared" si="79"/>
        <v>0</v>
      </c>
      <c r="DG158" s="30"/>
      <c r="DH158" s="32" t="str">
        <f>VLOOKUP(A158,'T_med_comp-USA'!$A$7:$Q$233,17,0)</f>
        <v>-</v>
      </c>
      <c r="DI158" s="6" t="str">
        <f t="shared" si="34"/>
        <v/>
      </c>
      <c r="DJ158" s="32" t="str">
        <f>IF(DI158="","",VLOOKUP(DI158,'CPI USA'!$T:$U,2,FALSE))</f>
        <v/>
      </c>
      <c r="DK158" s="32" t="str">
        <f>IF(DI158="","",VLOOKUP(DI158,'PPI USA'!$S:$T,2,FALSE))</f>
        <v/>
      </c>
      <c r="DL158" s="32" t="str">
        <f>IF(DI158="","",VLOOKUP(DI158,'CPI USA'!$T:$V,3,FALSE))</f>
        <v/>
      </c>
      <c r="DM158" s="32" t="str">
        <f>IF(DI158="","",VLOOKUP(DI158,'CPI USA'!$T:$X,5,FALSE))</f>
        <v/>
      </c>
      <c r="DN158" s="32" t="str">
        <f t="shared" si="35"/>
        <v/>
      </c>
      <c r="DO158" s="32" t="str">
        <f t="shared" si="36"/>
        <v/>
      </c>
      <c r="DP158" s="32" t="str">
        <f t="shared" si="37"/>
        <v/>
      </c>
      <c r="DQ158" s="32" t="str">
        <f>IF(DP158="","",DP158*$DO$1/'CPI USA'!$U$520+(1-DP158)*AVERAGE($DO$1,$DQ$1)/AVERAGE('CPI USA'!$U$520,'PPI USA'!$T$526))</f>
        <v/>
      </c>
      <c r="DR158" s="6">
        <f t="shared" si="38"/>
        <v>0</v>
      </c>
      <c r="DS158" s="32" t="str">
        <f t="shared" si="39"/>
        <v/>
      </c>
      <c r="DT158" s="28" t="str">
        <f>IF(DS158="","",DS158*$DO$1/'CPI USA'!$U$520+(1-DS158)*AVERAGE($DO$1,$DQ$1)/AVERAGE('CPI USA'!$U$520,'PPI USA'!$T$526))</f>
        <v/>
      </c>
      <c r="DU158" s="6" t="str">
        <f t="shared" si="40"/>
        <v/>
      </c>
      <c r="DV158" s="6" t="str">
        <f t="shared" si="80"/>
        <v/>
      </c>
      <c r="DW158" s="6">
        <f t="shared" si="41"/>
        <v>0</v>
      </c>
      <c r="DX158" s="16" t="e">
        <f t="shared" si="42"/>
        <v>#VALUE!</v>
      </c>
      <c r="DY158" s="28" t="e">
        <f>IF(DX158="","",DX158*$DO$1/'CPI USA'!$U$520+(1-DX158)*AVERAGE($DO$1,$DQ$1)/AVERAGE('CPI USA'!$U$520,'PPI USA'!$T$526))</f>
        <v>#VALUE!</v>
      </c>
      <c r="DZ158" s="30"/>
      <c r="EA158" s="29" t="str">
        <f t="shared" si="43"/>
        <v>C002116</v>
      </c>
      <c r="EB158" s="29" t="str">
        <f t="shared" si="44"/>
        <v/>
      </c>
      <c r="EC158" s="29" t="str">
        <f t="shared" si="45"/>
        <v/>
      </c>
      <c r="ED158" s="29" t="str">
        <f t="shared" si="46"/>
        <v/>
      </c>
      <c r="EE158" s="29" t="str">
        <f t="shared" si="47"/>
        <v/>
      </c>
      <c r="EF158" s="29" t="str">
        <f t="shared" si="48"/>
        <v/>
      </c>
      <c r="EG158" s="29" t="str">
        <f t="shared" si="49"/>
        <v/>
      </c>
      <c r="EH158" s="29" t="str">
        <f t="shared" si="50"/>
        <v/>
      </c>
      <c r="EI158" s="29" t="str">
        <f t="shared" si="51"/>
        <v/>
      </c>
      <c r="EJ158" s="29" t="str">
        <f t="shared" si="52"/>
        <v/>
      </c>
      <c r="EK158" s="29" t="str">
        <f t="shared" si="53"/>
        <v/>
      </c>
      <c r="EL158" s="29" t="str">
        <f>IF(CD158=1,VLOOKUP(EA158,'EIA 2022'!$A$2:$J$213,4,0)*EH158,"")</f>
        <v/>
      </c>
      <c r="EM158" s="29" t="str">
        <f>IF(CD158=1,VLOOKUP(EA158,'EIA 2022'!$A$2:$J$213,7,0)*EH158,"")</f>
        <v/>
      </c>
      <c r="EN158" s="29" t="str">
        <f>IF(CD158=1,VLOOKUP(EA158,'EIA 2022'!$A$2:$J$213,10,0),"")</f>
        <v/>
      </c>
      <c r="EO158" s="28" t="str">
        <f>IF(CD158=1,VLOOKUP(EA158,'EIA 2022'!$A$2:$Z$213,26,0),"")</f>
        <v/>
      </c>
      <c r="EP158" s="23" t="str">
        <f t="shared" si="54"/>
        <v/>
      </c>
      <c r="EQ158" s="32" t="str">
        <f t="shared" si="55"/>
        <v/>
      </c>
      <c r="ER158" s="32" t="str">
        <f t="shared" si="56"/>
        <v/>
      </c>
      <c r="ES158" s="32"/>
      <c r="ET158" s="32"/>
    </row>
    <row r="159" spans="1:150" ht="15.75" customHeight="1">
      <c r="A159" s="7" t="s">
        <v>682</v>
      </c>
      <c r="B159" s="7" t="s">
        <v>683</v>
      </c>
      <c r="C159" s="32" t="s">
        <v>1028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f>IFERROR(VLOOKUP(A159,'Trans 21-23'!$A$2:$J$229,8,0),0)</f>
        <v>0</v>
      </c>
      <c r="Y159" s="42">
        <v>0</v>
      </c>
      <c r="Z159" s="42">
        <v>0</v>
      </c>
      <c r="AA159" s="42">
        <v>0</v>
      </c>
      <c r="AB159" s="42">
        <v>0</v>
      </c>
      <c r="AC159" s="42">
        <v>0</v>
      </c>
      <c r="AD159" s="42">
        <v>6112480</v>
      </c>
      <c r="AE159" s="42">
        <v>0</v>
      </c>
      <c r="AF159" s="42">
        <v>9793941</v>
      </c>
      <c r="AG159" s="42">
        <v>0</v>
      </c>
      <c r="AH159" s="42">
        <v>0</v>
      </c>
      <c r="AI159" s="42">
        <v>0</v>
      </c>
      <c r="AJ159" s="42">
        <v>0</v>
      </c>
      <c r="AK159" s="42">
        <v>0</v>
      </c>
      <c r="AL159" s="42">
        <v>0</v>
      </c>
      <c r="AM159" s="42">
        <v>0</v>
      </c>
      <c r="AN159" s="42">
        <v>0</v>
      </c>
      <c r="AO159" s="42">
        <v>0</v>
      </c>
      <c r="AP159" s="42">
        <v>0</v>
      </c>
      <c r="AQ159" s="42">
        <v>0</v>
      </c>
      <c r="AR159" s="42">
        <v>0</v>
      </c>
      <c r="AS159" s="42">
        <v>0</v>
      </c>
      <c r="AT159" s="42">
        <v>0</v>
      </c>
      <c r="AU159" s="42">
        <v>0</v>
      </c>
      <c r="AV159" s="42">
        <v>0</v>
      </c>
      <c r="AW159" s="42">
        <v>0</v>
      </c>
      <c r="AX159" s="42">
        <v>0</v>
      </c>
      <c r="AY159" s="42">
        <v>0</v>
      </c>
      <c r="AZ159" s="42">
        <v>0</v>
      </c>
      <c r="BA159" s="42">
        <v>0</v>
      </c>
      <c r="BB159" s="42">
        <v>0</v>
      </c>
      <c r="BC159" s="42">
        <v>1829294328</v>
      </c>
      <c r="BD159" s="42">
        <v>7271083</v>
      </c>
      <c r="BE159" s="42">
        <v>0</v>
      </c>
      <c r="BF159" s="42">
        <v>0</v>
      </c>
      <c r="BG159" s="42">
        <v>0</v>
      </c>
      <c r="BH159" s="42">
        <v>0</v>
      </c>
      <c r="BI159" s="42">
        <v>0</v>
      </c>
      <c r="BJ159" s="42">
        <v>0</v>
      </c>
      <c r="BK159" s="42">
        <v>0</v>
      </c>
      <c r="BL159" s="42">
        <v>0</v>
      </c>
      <c r="BM159" s="42">
        <v>2177933</v>
      </c>
      <c r="BN159" s="42">
        <v>4387134</v>
      </c>
      <c r="BO159" s="42">
        <v>11487</v>
      </c>
      <c r="BP159" s="42">
        <v>448075</v>
      </c>
      <c r="BQ159" s="42">
        <v>9447026</v>
      </c>
      <c r="BR159" s="42">
        <v>0</v>
      </c>
      <c r="BS159" s="42">
        <f>IFERROR(VLOOKUP(A159,'Trans 21-23'!$A$2:$J$229,7,0),0)</f>
        <v>0</v>
      </c>
      <c r="BT159" s="63"/>
      <c r="BU159" s="32">
        <f t="shared" si="0"/>
        <v>0</v>
      </c>
      <c r="BV159" s="32">
        <f t="shared" si="1"/>
        <v>0</v>
      </c>
      <c r="BW159" s="32">
        <f t="shared" si="2"/>
        <v>0</v>
      </c>
      <c r="BX159" s="32">
        <f t="shared" si="3"/>
        <v>0</v>
      </c>
      <c r="BY159" s="32">
        <f t="shared" si="4"/>
        <v>0</v>
      </c>
      <c r="BZ159" s="32">
        <f t="shared" si="5"/>
        <v>0</v>
      </c>
      <c r="CA159" s="32">
        <f t="shared" si="6"/>
        <v>6112480</v>
      </c>
      <c r="CB159" s="32">
        <f t="shared" si="7"/>
        <v>0</v>
      </c>
      <c r="CC159" s="32">
        <f t="shared" si="8"/>
        <v>0</v>
      </c>
      <c r="CD159" s="41">
        <f t="shared" si="75"/>
        <v>0</v>
      </c>
      <c r="CE159" s="44">
        <f t="shared" si="10"/>
        <v>59</v>
      </c>
      <c r="CF159" s="27"/>
      <c r="CG159" s="28" t="str">
        <f t="shared" si="11"/>
        <v/>
      </c>
      <c r="CH159" s="28" t="str">
        <f t="shared" si="12"/>
        <v/>
      </c>
      <c r="CI159" s="28" t="str">
        <f t="shared" si="13"/>
        <v/>
      </c>
      <c r="CJ159" s="28" t="str">
        <f t="shared" si="14"/>
        <v/>
      </c>
      <c r="CK159" s="23" t="str">
        <f t="shared" si="15"/>
        <v/>
      </c>
      <c r="CL159" s="29" t="str">
        <f t="shared" si="16"/>
        <v/>
      </c>
      <c r="CM159" s="29" t="str">
        <f t="shared" si="17"/>
        <v/>
      </c>
      <c r="CN159" s="29" t="str">
        <f t="shared" si="18"/>
        <v/>
      </c>
      <c r="CO159" s="29" t="str">
        <f t="shared" si="19"/>
        <v/>
      </c>
      <c r="CP159" s="29" t="str">
        <f t="shared" si="20"/>
        <v/>
      </c>
      <c r="CQ159" s="29" t="str">
        <f t="shared" si="21"/>
        <v/>
      </c>
      <c r="CR159" s="30"/>
      <c r="CS159" s="7" t="str">
        <f>VLOOKUP(A159,'Empresas 21-23'!$A$2:$M$228,13,0)</f>
        <v/>
      </c>
      <c r="CT159" s="30"/>
      <c r="CU159" s="6">
        <f t="shared" si="22"/>
        <v>0</v>
      </c>
      <c r="CV159" s="6">
        <f t="shared" si="23"/>
        <v>0</v>
      </c>
      <c r="CW159" s="6">
        <f t="shared" si="24"/>
        <v>7271083</v>
      </c>
      <c r="CX159" s="23">
        <f t="shared" ref="CX159:CX165" si="81">CU159/(BC159-BD159)</f>
        <v>0</v>
      </c>
      <c r="CY159" s="23">
        <f t="shared" ref="CY159:CY165" si="82">CV159/(BC159-BD159)</f>
        <v>0</v>
      </c>
      <c r="CZ159" s="6">
        <f t="shared" si="27"/>
        <v>0</v>
      </c>
      <c r="DA159" s="6">
        <f t="shared" si="28"/>
        <v>0</v>
      </c>
      <c r="DB159" s="6">
        <f t="shared" si="29"/>
        <v>0</v>
      </c>
      <c r="DC159" s="6">
        <f t="shared" si="30"/>
        <v>0</v>
      </c>
      <c r="DD159" s="6">
        <f t="shared" si="31"/>
        <v>0</v>
      </c>
      <c r="DE159" s="6">
        <f t="shared" si="32"/>
        <v>6112480</v>
      </c>
      <c r="DF159" s="6">
        <f t="shared" ref="DF159:DF160" si="83">DE159*(DC159+DD159)/(AF159-AD159-F159-H159-E159-D159)</f>
        <v>0</v>
      </c>
      <c r="DG159" s="30"/>
      <c r="DH159" s="32" t="str">
        <f>VLOOKUP(A159,'T_med_comp-USA'!$A$7:$Q$233,17,0)</f>
        <v>-</v>
      </c>
      <c r="DI159" s="6" t="str">
        <f t="shared" si="34"/>
        <v/>
      </c>
      <c r="DJ159" s="32" t="str">
        <f>IF(DI159="","",VLOOKUP(DI159,'CPI USA'!$T:$U,2,FALSE))</f>
        <v/>
      </c>
      <c r="DK159" s="32" t="str">
        <f>IF(DI159="","",VLOOKUP(DI159,'PPI USA'!$S:$T,2,FALSE))</f>
        <v/>
      </c>
      <c r="DL159" s="32" t="str">
        <f>IF(DI159="","",VLOOKUP(DI159,'CPI USA'!$T:$V,3,FALSE))</f>
        <v/>
      </c>
      <c r="DM159" s="32" t="str">
        <f>IF(DI159="","",VLOOKUP(DI159,'CPI USA'!$T:$X,5,FALSE))</f>
        <v/>
      </c>
      <c r="DN159" s="32" t="str">
        <f t="shared" si="35"/>
        <v/>
      </c>
      <c r="DO159" s="32" t="str">
        <f t="shared" si="36"/>
        <v/>
      </c>
      <c r="DP159" s="32" t="str">
        <f t="shared" si="37"/>
        <v/>
      </c>
      <c r="DQ159" s="32" t="str">
        <f>IF(DP159="","",DP159*$DO$1/'CPI USA'!$U$520+(1-DP159)*AVERAGE($DO$1,$DQ$1)/AVERAGE('CPI USA'!$U$520,'PPI USA'!$T$526))</f>
        <v/>
      </c>
      <c r="DR159" s="6">
        <f t="shared" si="38"/>
        <v>0</v>
      </c>
      <c r="DS159" s="32" t="str">
        <f t="shared" si="39"/>
        <v/>
      </c>
      <c r="DT159" s="28" t="str">
        <f>IF(DS159="","",DS159*$DO$1/'CPI USA'!$U$520+(1-DS159)*AVERAGE($DO$1,$DQ$1)/AVERAGE('CPI USA'!$U$520,'PPI USA'!$T$526))</f>
        <v/>
      </c>
      <c r="DU159" s="6" t="str">
        <f t="shared" si="40"/>
        <v/>
      </c>
      <c r="DV159" s="6">
        <f t="shared" ref="DV159:DV212" si="84">IF(BQ159=0,"",BP159/(BQ159-BP159)*BM159)</f>
        <v>108443.45401758494</v>
      </c>
      <c r="DW159" s="6">
        <f t="shared" si="41"/>
        <v>0</v>
      </c>
      <c r="DX159" s="16" t="str">
        <f t="shared" si="42"/>
        <v/>
      </c>
      <c r="DY159" s="28" t="str">
        <f>IF(DX159="","",DX159*$DO$1/'CPI USA'!$U$520+(1-DX159)*AVERAGE($DO$1,$DQ$1)/AVERAGE('CPI USA'!$U$520,'PPI USA'!$T$526))</f>
        <v/>
      </c>
      <c r="DZ159" s="30"/>
      <c r="EA159" s="29" t="str">
        <f t="shared" si="43"/>
        <v>C002196</v>
      </c>
      <c r="EB159" s="29" t="str">
        <f t="shared" si="44"/>
        <v/>
      </c>
      <c r="EC159" s="29" t="str">
        <f t="shared" si="45"/>
        <v/>
      </c>
      <c r="ED159" s="29" t="str">
        <f t="shared" si="46"/>
        <v/>
      </c>
      <c r="EE159" s="29" t="str">
        <f t="shared" si="47"/>
        <v/>
      </c>
      <c r="EF159" s="29" t="str">
        <f t="shared" si="48"/>
        <v/>
      </c>
      <c r="EG159" s="29" t="str">
        <f t="shared" si="49"/>
        <v/>
      </c>
      <c r="EH159" s="29" t="str">
        <f t="shared" si="50"/>
        <v/>
      </c>
      <c r="EI159" s="29" t="str">
        <f t="shared" si="51"/>
        <v/>
      </c>
      <c r="EJ159" s="29" t="str">
        <f t="shared" si="52"/>
        <v/>
      </c>
      <c r="EK159" s="29" t="str">
        <f t="shared" si="53"/>
        <v/>
      </c>
      <c r="EL159" s="29" t="str">
        <f>IF(CD159=1,VLOOKUP(EA159,'EIA 2022'!$A$2:$J$213,4,0)*EH159,"")</f>
        <v/>
      </c>
      <c r="EM159" s="29" t="str">
        <f>IF(CD159=1,VLOOKUP(EA159,'EIA 2022'!$A$2:$J$213,7,0)*EH159,"")</f>
        <v/>
      </c>
      <c r="EN159" s="29" t="str">
        <f>IF(CD159=1,VLOOKUP(EA159,'EIA 2022'!$A$2:$J$213,10,0),"")</f>
        <v/>
      </c>
      <c r="EO159" s="28" t="str">
        <f>IF(CD159=1,VLOOKUP(EA159,'EIA 2022'!$A$2:$Z$213,26,0),"")</f>
        <v/>
      </c>
      <c r="EP159" s="23" t="str">
        <f t="shared" si="54"/>
        <v/>
      </c>
      <c r="EQ159" s="32" t="str">
        <f t="shared" si="55"/>
        <v/>
      </c>
      <c r="ER159" s="32" t="str">
        <f t="shared" si="56"/>
        <v/>
      </c>
      <c r="ES159" s="32"/>
      <c r="ET159" s="32"/>
    </row>
    <row r="160" spans="1:150" ht="15.75" customHeight="1">
      <c r="A160" s="7" t="s">
        <v>685</v>
      </c>
      <c r="B160" s="7" t="s">
        <v>686</v>
      </c>
      <c r="C160" s="32" t="s">
        <v>1029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f>IFERROR(VLOOKUP(A160,'Trans 21-23'!$A$2:$J$229,8,0),0)</f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11325345</v>
      </c>
      <c r="AE160" s="42">
        <v>0</v>
      </c>
      <c r="AF160" s="42">
        <v>23969061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0</v>
      </c>
      <c r="AN160" s="42">
        <v>0</v>
      </c>
      <c r="AO160" s="42">
        <v>0</v>
      </c>
      <c r="AP160" s="42">
        <v>0</v>
      </c>
      <c r="AQ160" s="42">
        <v>0</v>
      </c>
      <c r="AR160" s="42">
        <v>0</v>
      </c>
      <c r="AS160" s="42">
        <v>0</v>
      </c>
      <c r="AT160" s="42">
        <v>0</v>
      </c>
      <c r="AU160" s="42">
        <v>0</v>
      </c>
      <c r="AV160" s="42">
        <v>0</v>
      </c>
      <c r="AW160" s="42">
        <v>0</v>
      </c>
      <c r="AX160" s="42">
        <v>0</v>
      </c>
      <c r="AY160" s="42">
        <v>0</v>
      </c>
      <c r="AZ160" s="42">
        <v>0</v>
      </c>
      <c r="BA160" s="42">
        <v>0</v>
      </c>
      <c r="BB160" s="42">
        <v>0</v>
      </c>
      <c r="BC160" s="42">
        <v>683158455</v>
      </c>
      <c r="BD160" s="42">
        <v>33724964</v>
      </c>
      <c r="BE160" s="42">
        <v>0</v>
      </c>
      <c r="BF160" s="42">
        <v>0</v>
      </c>
      <c r="BG160" s="42">
        <v>0</v>
      </c>
      <c r="BH160" s="42">
        <v>0</v>
      </c>
      <c r="BI160" s="42">
        <v>0</v>
      </c>
      <c r="BJ160" s="42">
        <v>0</v>
      </c>
      <c r="BK160" s="42">
        <v>0</v>
      </c>
      <c r="BL160" s="42">
        <v>0</v>
      </c>
      <c r="BM160" s="42">
        <v>1166309</v>
      </c>
      <c r="BN160" s="42">
        <v>2153512</v>
      </c>
      <c r="BO160" s="42">
        <v>0</v>
      </c>
      <c r="BP160" s="42">
        <v>0</v>
      </c>
      <c r="BQ160" s="42">
        <v>3062795</v>
      </c>
      <c r="BR160" s="42">
        <v>0</v>
      </c>
      <c r="BS160" s="42">
        <f>IFERROR(VLOOKUP(A160,'Trans 21-23'!$A$2:$J$229,7,0),0)</f>
        <v>0</v>
      </c>
      <c r="BT160" s="63"/>
      <c r="BU160" s="32">
        <f t="shared" si="0"/>
        <v>0</v>
      </c>
      <c r="BV160" s="32">
        <f t="shared" si="1"/>
        <v>0</v>
      </c>
      <c r="BW160" s="32">
        <f t="shared" si="2"/>
        <v>0</v>
      </c>
      <c r="BX160" s="32">
        <f t="shared" si="3"/>
        <v>0</v>
      </c>
      <c r="BY160" s="32">
        <f t="shared" si="4"/>
        <v>0</v>
      </c>
      <c r="BZ160" s="32">
        <f t="shared" si="5"/>
        <v>0</v>
      </c>
      <c r="CA160" s="32">
        <f t="shared" si="6"/>
        <v>11325345</v>
      </c>
      <c r="CB160" s="32">
        <f t="shared" si="7"/>
        <v>0</v>
      </c>
      <c r="CC160" s="32">
        <f t="shared" si="8"/>
        <v>0</v>
      </c>
      <c r="CD160" s="41">
        <f t="shared" si="75"/>
        <v>0</v>
      </c>
      <c r="CE160" s="44">
        <f t="shared" si="10"/>
        <v>61</v>
      </c>
      <c r="CF160" s="27"/>
      <c r="CG160" s="28" t="str">
        <f t="shared" si="11"/>
        <v/>
      </c>
      <c r="CH160" s="28" t="str">
        <f t="shared" si="12"/>
        <v/>
      </c>
      <c r="CI160" s="28" t="str">
        <f t="shared" si="13"/>
        <v/>
      </c>
      <c r="CJ160" s="28" t="str">
        <f t="shared" si="14"/>
        <v/>
      </c>
      <c r="CK160" s="23" t="str">
        <f t="shared" si="15"/>
        <v/>
      </c>
      <c r="CL160" s="29" t="str">
        <f t="shared" si="16"/>
        <v/>
      </c>
      <c r="CM160" s="29" t="str">
        <f t="shared" si="17"/>
        <v/>
      </c>
      <c r="CN160" s="29" t="str">
        <f t="shared" si="18"/>
        <v/>
      </c>
      <c r="CO160" s="29" t="str">
        <f t="shared" si="19"/>
        <v/>
      </c>
      <c r="CP160" s="29" t="str">
        <f t="shared" si="20"/>
        <v/>
      </c>
      <c r="CQ160" s="29" t="str">
        <f t="shared" si="21"/>
        <v/>
      </c>
      <c r="CR160" s="30"/>
      <c r="CS160" s="7" t="str">
        <f>VLOOKUP(A160,'Empresas 21-23'!$A$2:$M$228,13,0)</f>
        <v/>
      </c>
      <c r="CT160" s="30"/>
      <c r="CU160" s="6">
        <f t="shared" si="22"/>
        <v>0</v>
      </c>
      <c r="CV160" s="6">
        <f t="shared" si="23"/>
        <v>0</v>
      </c>
      <c r="CW160" s="6">
        <f t="shared" si="24"/>
        <v>33724964</v>
      </c>
      <c r="CX160" s="23">
        <f t="shared" si="81"/>
        <v>0</v>
      </c>
      <c r="CY160" s="23">
        <f t="shared" si="82"/>
        <v>0</v>
      </c>
      <c r="CZ160" s="6">
        <f t="shared" si="27"/>
        <v>0</v>
      </c>
      <c r="DA160" s="6">
        <f t="shared" si="28"/>
        <v>0</v>
      </c>
      <c r="DB160" s="6">
        <f t="shared" si="29"/>
        <v>0</v>
      </c>
      <c r="DC160" s="6">
        <f t="shared" si="30"/>
        <v>0</v>
      </c>
      <c r="DD160" s="6">
        <f t="shared" si="31"/>
        <v>0</v>
      </c>
      <c r="DE160" s="6">
        <f t="shared" si="32"/>
        <v>11325345</v>
      </c>
      <c r="DF160" s="6">
        <f t="shared" si="83"/>
        <v>0</v>
      </c>
      <c r="DG160" s="30"/>
      <c r="DH160" s="32" t="str">
        <f>VLOOKUP(A160,'T_med_comp-USA'!$A$7:$Q$233,17,0)</f>
        <v>-</v>
      </c>
      <c r="DI160" s="6" t="str">
        <f t="shared" si="34"/>
        <v/>
      </c>
      <c r="DJ160" s="32" t="str">
        <f>IF(DI160="","",VLOOKUP(DI160,'CPI USA'!$T:$U,2,FALSE))</f>
        <v/>
      </c>
      <c r="DK160" s="32" t="str">
        <f>IF(DI160="","",VLOOKUP(DI160,'PPI USA'!$S:$T,2,FALSE))</f>
        <v/>
      </c>
      <c r="DL160" s="32" t="str">
        <f>IF(DI160="","",VLOOKUP(DI160,'CPI USA'!$T:$V,3,FALSE))</f>
        <v/>
      </c>
      <c r="DM160" s="32" t="str">
        <f>IF(DI160="","",VLOOKUP(DI160,'CPI USA'!$T:$X,5,FALSE))</f>
        <v/>
      </c>
      <c r="DN160" s="32" t="str">
        <f t="shared" si="35"/>
        <v/>
      </c>
      <c r="DO160" s="32" t="str">
        <f t="shared" si="36"/>
        <v/>
      </c>
      <c r="DP160" s="32" t="str">
        <f t="shared" si="37"/>
        <v/>
      </c>
      <c r="DQ160" s="32" t="str">
        <f>IF(DP160="","",DP160*$DO$1/'CPI USA'!$U$520+(1-DP160)*AVERAGE($DO$1,$DQ$1)/AVERAGE('CPI USA'!$U$520,'PPI USA'!$T$526))</f>
        <v/>
      </c>
      <c r="DR160" s="6">
        <f t="shared" si="38"/>
        <v>0</v>
      </c>
      <c r="DS160" s="32" t="str">
        <f t="shared" si="39"/>
        <v/>
      </c>
      <c r="DT160" s="28" t="str">
        <f>IF(DS160="","",DS160*$DO$1/'CPI USA'!$U$520+(1-DS160)*AVERAGE($DO$1,$DQ$1)/AVERAGE('CPI USA'!$U$520,'PPI USA'!$T$526))</f>
        <v/>
      </c>
      <c r="DU160" s="6" t="str">
        <f t="shared" si="40"/>
        <v/>
      </c>
      <c r="DV160" s="6">
        <f t="shared" si="84"/>
        <v>0</v>
      </c>
      <c r="DW160" s="6">
        <f t="shared" si="41"/>
        <v>0</v>
      </c>
      <c r="DX160" s="16" t="str">
        <f t="shared" si="42"/>
        <v/>
      </c>
      <c r="DY160" s="28" t="str">
        <f>IF(DX160="","",DX160*$DO$1/'CPI USA'!$U$520+(1-DX160)*AVERAGE($DO$1,$DQ$1)/AVERAGE('CPI USA'!$U$520,'PPI USA'!$T$526))</f>
        <v/>
      </c>
      <c r="DZ160" s="30"/>
      <c r="EA160" s="29" t="str">
        <f t="shared" si="43"/>
        <v>C002308</v>
      </c>
      <c r="EB160" s="29" t="str">
        <f t="shared" si="44"/>
        <v/>
      </c>
      <c r="EC160" s="29" t="str">
        <f t="shared" si="45"/>
        <v/>
      </c>
      <c r="ED160" s="29" t="str">
        <f t="shared" si="46"/>
        <v/>
      </c>
      <c r="EE160" s="29" t="str">
        <f t="shared" si="47"/>
        <v/>
      </c>
      <c r="EF160" s="29" t="str">
        <f t="shared" si="48"/>
        <v/>
      </c>
      <c r="EG160" s="29" t="str">
        <f t="shared" si="49"/>
        <v/>
      </c>
      <c r="EH160" s="29" t="str">
        <f t="shared" si="50"/>
        <v/>
      </c>
      <c r="EI160" s="29" t="str">
        <f t="shared" si="51"/>
        <v/>
      </c>
      <c r="EJ160" s="29" t="str">
        <f t="shared" si="52"/>
        <v/>
      </c>
      <c r="EK160" s="29" t="str">
        <f t="shared" si="53"/>
        <v/>
      </c>
      <c r="EL160" s="29" t="str">
        <f>IF(CD160=1,VLOOKUP(EA160,'EIA 2022'!$A$2:$J$213,4,0)*EH160,"")</f>
        <v/>
      </c>
      <c r="EM160" s="29" t="str">
        <f>IF(CD160=1,VLOOKUP(EA160,'EIA 2022'!$A$2:$J$213,7,0)*EH160,"")</f>
        <v/>
      </c>
      <c r="EN160" s="29" t="str">
        <f>IF(CD160=1,VLOOKUP(EA160,'EIA 2022'!$A$2:$J$213,10,0),"")</f>
        <v/>
      </c>
      <c r="EO160" s="28" t="str">
        <f>IF(CD160=1,VLOOKUP(EA160,'EIA 2022'!$A$2:$Z$213,26,0),"")</f>
        <v/>
      </c>
      <c r="EP160" s="23" t="str">
        <f t="shared" si="54"/>
        <v/>
      </c>
      <c r="EQ160" s="32" t="str">
        <f t="shared" si="55"/>
        <v/>
      </c>
      <c r="ER160" s="32" t="str">
        <f t="shared" si="56"/>
        <v/>
      </c>
      <c r="ES160" s="32"/>
      <c r="ET160" s="32"/>
    </row>
    <row r="161" spans="1:150" ht="15.75" customHeight="1">
      <c r="A161" s="7" t="s">
        <v>688</v>
      </c>
      <c r="B161" s="7" t="s">
        <v>689</v>
      </c>
      <c r="C161" s="32" t="s">
        <v>1030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f>IFERROR(VLOOKUP(A161,'Trans 21-23'!$A$2:$J$229,8,0),0)</f>
        <v>0</v>
      </c>
      <c r="Y161" s="42">
        <v>0</v>
      </c>
      <c r="Z161" s="42">
        <v>0</v>
      </c>
      <c r="AA161" s="42">
        <v>0</v>
      </c>
      <c r="AB161" s="42">
        <v>0</v>
      </c>
      <c r="AC161" s="42">
        <v>0</v>
      </c>
      <c r="AD161" s="42">
        <v>556889</v>
      </c>
      <c r="AE161" s="42">
        <v>0</v>
      </c>
      <c r="AF161" s="42">
        <v>556889</v>
      </c>
      <c r="AG161" s="42">
        <v>0</v>
      </c>
      <c r="AH161" s="42">
        <v>0</v>
      </c>
      <c r="AI161" s="42">
        <v>0</v>
      </c>
      <c r="AJ161" s="42">
        <v>0</v>
      </c>
      <c r="AK161" s="42">
        <v>0</v>
      </c>
      <c r="AL161" s="42">
        <v>0</v>
      </c>
      <c r="AM161" s="42">
        <v>0</v>
      </c>
      <c r="AN161" s="42">
        <v>0</v>
      </c>
      <c r="AO161" s="42">
        <v>0</v>
      </c>
      <c r="AP161" s="42">
        <v>0</v>
      </c>
      <c r="AQ161" s="42">
        <v>0</v>
      </c>
      <c r="AR161" s="42">
        <v>0</v>
      </c>
      <c r="AS161" s="42">
        <v>0</v>
      </c>
      <c r="AT161" s="42">
        <v>0</v>
      </c>
      <c r="AU161" s="42">
        <v>0</v>
      </c>
      <c r="AV161" s="42">
        <v>0</v>
      </c>
      <c r="AW161" s="42">
        <v>0</v>
      </c>
      <c r="AX161" s="42">
        <v>0</v>
      </c>
      <c r="AY161" s="42">
        <v>0</v>
      </c>
      <c r="AZ161" s="42">
        <v>0</v>
      </c>
      <c r="BA161" s="42">
        <v>0</v>
      </c>
      <c r="BB161" s="42">
        <v>0</v>
      </c>
      <c r="BC161" s="42">
        <v>192357502</v>
      </c>
      <c r="BD161" s="42">
        <v>0</v>
      </c>
      <c r="BE161" s="42">
        <v>0</v>
      </c>
      <c r="BF161" s="42">
        <v>0</v>
      </c>
      <c r="BG161" s="42">
        <v>0</v>
      </c>
      <c r="BH161" s="42">
        <v>0</v>
      </c>
      <c r="BI161" s="42">
        <v>0</v>
      </c>
      <c r="BJ161" s="42">
        <v>0</v>
      </c>
      <c r="BK161" s="42">
        <v>0</v>
      </c>
      <c r="BL161" s="42">
        <v>0</v>
      </c>
      <c r="BM161" s="42">
        <v>0</v>
      </c>
      <c r="BN161" s="42">
        <v>0</v>
      </c>
      <c r="BO161" s="42">
        <v>0</v>
      </c>
      <c r="BP161" s="42">
        <v>0</v>
      </c>
      <c r="BQ161" s="42">
        <v>0</v>
      </c>
      <c r="BR161" s="42">
        <v>0</v>
      </c>
      <c r="BS161" s="42">
        <f>IFERROR(VLOOKUP(A161,'Trans 21-23'!$A$2:$J$229,7,0),0)</f>
        <v>0</v>
      </c>
      <c r="BT161" s="63"/>
      <c r="BU161" s="32">
        <f t="shared" si="0"/>
        <v>0</v>
      </c>
      <c r="BV161" s="32">
        <f t="shared" si="1"/>
        <v>0</v>
      </c>
      <c r="BW161" s="32">
        <f t="shared" si="2"/>
        <v>0</v>
      </c>
      <c r="BX161" s="32">
        <f t="shared" si="3"/>
        <v>0</v>
      </c>
      <c r="BY161" s="32">
        <f t="shared" si="4"/>
        <v>0</v>
      </c>
      <c r="BZ161" s="32">
        <f t="shared" si="5"/>
        <v>0</v>
      </c>
      <c r="CA161" s="32">
        <f t="shared" si="6"/>
        <v>556889</v>
      </c>
      <c r="CB161" s="32">
        <f t="shared" si="7"/>
        <v>0</v>
      </c>
      <c r="CC161" s="32">
        <f t="shared" si="8"/>
        <v>0</v>
      </c>
      <c r="CD161" s="41">
        <f t="shared" si="75"/>
        <v>0</v>
      </c>
      <c r="CE161" s="44">
        <f t="shared" si="10"/>
        <v>65</v>
      </c>
      <c r="CF161" s="27"/>
      <c r="CG161" s="28" t="str">
        <f t="shared" si="11"/>
        <v/>
      </c>
      <c r="CH161" s="28" t="str">
        <f t="shared" si="12"/>
        <v/>
      </c>
      <c r="CI161" s="28" t="str">
        <f t="shared" si="13"/>
        <v/>
      </c>
      <c r="CJ161" s="28" t="str">
        <f t="shared" si="14"/>
        <v/>
      </c>
      <c r="CK161" s="23" t="str">
        <f t="shared" si="15"/>
        <v/>
      </c>
      <c r="CL161" s="29" t="str">
        <f t="shared" si="16"/>
        <v/>
      </c>
      <c r="CM161" s="29" t="str">
        <f t="shared" si="17"/>
        <v/>
      </c>
      <c r="CN161" s="29" t="str">
        <f t="shared" si="18"/>
        <v/>
      </c>
      <c r="CO161" s="29" t="str">
        <f t="shared" si="19"/>
        <v/>
      </c>
      <c r="CP161" s="29" t="str">
        <f t="shared" si="20"/>
        <v/>
      </c>
      <c r="CQ161" s="29" t="str">
        <f t="shared" si="21"/>
        <v/>
      </c>
      <c r="CR161" s="30"/>
      <c r="CS161" s="7" t="str">
        <f>VLOOKUP(A161,'Empresas 21-23'!$A$2:$M$228,13,0)</f>
        <v/>
      </c>
      <c r="CT161" s="30"/>
      <c r="CU161" s="6">
        <f t="shared" si="22"/>
        <v>0</v>
      </c>
      <c r="CV161" s="6">
        <f t="shared" si="23"/>
        <v>0</v>
      </c>
      <c r="CW161" s="6">
        <f t="shared" si="24"/>
        <v>0</v>
      </c>
      <c r="CX161" s="23">
        <f t="shared" si="81"/>
        <v>0</v>
      </c>
      <c r="CY161" s="23">
        <f t="shared" si="82"/>
        <v>0</v>
      </c>
      <c r="CZ161" s="6">
        <f t="shared" si="27"/>
        <v>0</v>
      </c>
      <c r="DA161" s="6">
        <f t="shared" si="28"/>
        <v>0</v>
      </c>
      <c r="DB161" s="6">
        <f t="shared" si="29"/>
        <v>0</v>
      </c>
      <c r="DC161" s="6">
        <f t="shared" si="30"/>
        <v>0</v>
      </c>
      <c r="DD161" s="6">
        <f t="shared" si="31"/>
        <v>0</v>
      </c>
      <c r="DE161" s="6">
        <f t="shared" si="32"/>
        <v>556889</v>
      </c>
      <c r="DF161" s="6">
        <f>IFERROR(DE161*(DC161+DD161)/(AF161-AD161-F161-H161-E161-D161),0)</f>
        <v>0</v>
      </c>
      <c r="DG161" s="30"/>
      <c r="DH161" s="32" t="str">
        <f>VLOOKUP(A161,'T_med_comp-USA'!$A$7:$Q$233,17,0)</f>
        <v>-</v>
      </c>
      <c r="DI161" s="6" t="str">
        <f t="shared" si="34"/>
        <v/>
      </c>
      <c r="DJ161" s="32" t="str">
        <f>IF(DI161="","",VLOOKUP(DI161,'CPI USA'!$T:$U,2,FALSE))</f>
        <v/>
      </c>
      <c r="DK161" s="32" t="str">
        <f>IF(DI161="","",VLOOKUP(DI161,'PPI USA'!$S:$T,2,FALSE))</f>
        <v/>
      </c>
      <c r="DL161" s="32" t="str">
        <f>IF(DI161="","",VLOOKUP(DI161,'CPI USA'!$T:$V,3,FALSE))</f>
        <v/>
      </c>
      <c r="DM161" s="32" t="str">
        <f>IF(DI161="","",VLOOKUP(DI161,'CPI USA'!$T:$X,5,FALSE))</f>
        <v/>
      </c>
      <c r="DN161" s="32" t="str">
        <f t="shared" si="35"/>
        <v/>
      </c>
      <c r="DO161" s="32" t="str">
        <f t="shared" si="36"/>
        <v/>
      </c>
      <c r="DP161" s="32" t="str">
        <f t="shared" si="37"/>
        <v/>
      </c>
      <c r="DQ161" s="32" t="str">
        <f>IF(DP161="","",DP161*$DO$1/'CPI USA'!$U$520+(1-DP161)*AVERAGE($DO$1,$DQ$1)/AVERAGE('CPI USA'!$U$520,'PPI USA'!$T$526))</f>
        <v/>
      </c>
      <c r="DR161" s="6">
        <f t="shared" si="38"/>
        <v>0</v>
      </c>
      <c r="DS161" s="32" t="str">
        <f t="shared" si="39"/>
        <v/>
      </c>
      <c r="DT161" s="28" t="str">
        <f>IF(DS161="","",DS161*$DO$1/'CPI USA'!$U$520+(1-DS161)*AVERAGE($DO$1,$DQ$1)/AVERAGE('CPI USA'!$U$520,'PPI USA'!$T$526))</f>
        <v/>
      </c>
      <c r="DU161" s="6" t="str">
        <f t="shared" si="40"/>
        <v/>
      </c>
      <c r="DV161" s="6" t="str">
        <f t="shared" si="84"/>
        <v/>
      </c>
      <c r="DW161" s="6">
        <f t="shared" si="41"/>
        <v>0</v>
      </c>
      <c r="DX161" s="16" t="str">
        <f t="shared" si="42"/>
        <v/>
      </c>
      <c r="DY161" s="28" t="str">
        <f>IF(DX161="","",DX161*$DO$1/'CPI USA'!$U$520+(1-DX161)*AVERAGE($DO$1,$DQ$1)/AVERAGE('CPI USA'!$U$520,'PPI USA'!$T$526))</f>
        <v/>
      </c>
      <c r="DZ161" s="30"/>
      <c r="EA161" s="29" t="str">
        <f t="shared" si="43"/>
        <v>C002335</v>
      </c>
      <c r="EB161" s="29" t="str">
        <f t="shared" si="44"/>
        <v/>
      </c>
      <c r="EC161" s="29" t="str">
        <f t="shared" si="45"/>
        <v/>
      </c>
      <c r="ED161" s="29" t="str">
        <f t="shared" si="46"/>
        <v/>
      </c>
      <c r="EE161" s="29" t="str">
        <f t="shared" si="47"/>
        <v/>
      </c>
      <c r="EF161" s="29" t="str">
        <f t="shared" si="48"/>
        <v/>
      </c>
      <c r="EG161" s="29" t="str">
        <f t="shared" si="49"/>
        <v/>
      </c>
      <c r="EH161" s="29" t="str">
        <f t="shared" si="50"/>
        <v/>
      </c>
      <c r="EI161" s="29" t="str">
        <f t="shared" si="51"/>
        <v/>
      </c>
      <c r="EJ161" s="29" t="str">
        <f t="shared" si="52"/>
        <v/>
      </c>
      <c r="EK161" s="29" t="str">
        <f t="shared" si="53"/>
        <v/>
      </c>
      <c r="EL161" s="29" t="str">
        <f>IF(CD161=1,VLOOKUP(EA161,'EIA 2022'!$A$2:$J$213,4,0)*EH161,"")</f>
        <v/>
      </c>
      <c r="EM161" s="29" t="str">
        <f>IF(CD161=1,VLOOKUP(EA161,'EIA 2022'!$A$2:$J$213,7,0)*EH161,"")</f>
        <v/>
      </c>
      <c r="EN161" s="29" t="str">
        <f>IF(CD161=1,VLOOKUP(EA161,'EIA 2022'!$A$2:$J$213,10,0),"")</f>
        <v/>
      </c>
      <c r="EO161" s="28" t="str">
        <f>IF(CD161=1,VLOOKUP(EA161,'EIA 2022'!$A$2:$Z$213,26,0),"")</f>
        <v/>
      </c>
      <c r="EP161" s="23" t="str">
        <f t="shared" si="54"/>
        <v/>
      </c>
      <c r="EQ161" s="32" t="str">
        <f t="shared" si="55"/>
        <v/>
      </c>
      <c r="ER161" s="32" t="str">
        <f t="shared" si="56"/>
        <v/>
      </c>
      <c r="ES161" s="32"/>
      <c r="ET161" s="32"/>
    </row>
    <row r="162" spans="1:150" ht="15.75" customHeight="1">
      <c r="A162" s="7" t="s">
        <v>691</v>
      </c>
      <c r="B162" s="7" t="s">
        <v>692</v>
      </c>
      <c r="C162" s="32" t="s">
        <v>1031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f>IFERROR(VLOOKUP(A162,'Trans 21-23'!$A$2:$J$229,8,0),0)</f>
        <v>0</v>
      </c>
      <c r="Y162" s="42">
        <v>0</v>
      </c>
      <c r="Z162" s="42">
        <v>0</v>
      </c>
      <c r="AA162" s="42">
        <v>0</v>
      </c>
      <c r="AB162" s="42">
        <v>0</v>
      </c>
      <c r="AC162" s="42">
        <v>0</v>
      </c>
      <c r="AD162" s="42">
        <v>298146</v>
      </c>
      <c r="AE162" s="42">
        <v>0</v>
      </c>
      <c r="AF162" s="42">
        <v>311427</v>
      </c>
      <c r="AG162" s="42">
        <v>0</v>
      </c>
      <c r="AH162" s="42">
        <v>0</v>
      </c>
      <c r="AI162" s="42">
        <v>0</v>
      </c>
      <c r="AJ162" s="42">
        <v>0</v>
      </c>
      <c r="AK162" s="42">
        <v>0</v>
      </c>
      <c r="AL162" s="42">
        <v>0</v>
      </c>
      <c r="AM162" s="42">
        <v>0</v>
      </c>
      <c r="AN162" s="42">
        <v>0</v>
      </c>
      <c r="AO162" s="42">
        <v>0</v>
      </c>
      <c r="AP162" s="42">
        <v>0</v>
      </c>
      <c r="AQ162" s="42">
        <v>0</v>
      </c>
      <c r="AR162" s="42">
        <v>0</v>
      </c>
      <c r="AS162" s="42">
        <v>0</v>
      </c>
      <c r="AT162" s="42">
        <v>0</v>
      </c>
      <c r="AU162" s="42">
        <v>0</v>
      </c>
      <c r="AV162" s="42">
        <v>0</v>
      </c>
      <c r="AW162" s="42">
        <v>0</v>
      </c>
      <c r="AX162" s="42">
        <v>0</v>
      </c>
      <c r="AY162" s="42">
        <v>0</v>
      </c>
      <c r="AZ162" s="42">
        <v>0</v>
      </c>
      <c r="BA162" s="42">
        <v>0</v>
      </c>
      <c r="BB162" s="42">
        <v>0</v>
      </c>
      <c r="BC162" s="42">
        <v>157955512</v>
      </c>
      <c r="BD162" s="42">
        <v>0</v>
      </c>
      <c r="BE162" s="42">
        <v>0</v>
      </c>
      <c r="BF162" s="42">
        <v>0</v>
      </c>
      <c r="BG162" s="42">
        <v>0</v>
      </c>
      <c r="BH162" s="42">
        <v>0</v>
      </c>
      <c r="BI162" s="42">
        <v>0</v>
      </c>
      <c r="BJ162" s="42">
        <v>0</v>
      </c>
      <c r="BK162" s="42">
        <v>0</v>
      </c>
      <c r="BL162" s="42">
        <v>0</v>
      </c>
      <c r="BM162" s="42">
        <v>0</v>
      </c>
      <c r="BN162" s="42">
        <v>0</v>
      </c>
      <c r="BO162" s="42">
        <v>0</v>
      </c>
      <c r="BP162" s="42">
        <v>0</v>
      </c>
      <c r="BQ162" s="42">
        <v>0</v>
      </c>
      <c r="BR162" s="42">
        <v>0</v>
      </c>
      <c r="BS162" s="42">
        <f>IFERROR(VLOOKUP(A162,'Trans 21-23'!$A$2:$J$229,7,0),0)</f>
        <v>0</v>
      </c>
      <c r="BT162" s="63"/>
      <c r="BU162" s="32">
        <f t="shared" si="0"/>
        <v>0</v>
      </c>
      <c r="BV162" s="32">
        <f t="shared" si="1"/>
        <v>0</v>
      </c>
      <c r="BW162" s="32">
        <f t="shared" si="2"/>
        <v>0</v>
      </c>
      <c r="BX162" s="32">
        <f t="shared" si="3"/>
        <v>0</v>
      </c>
      <c r="BY162" s="32">
        <f t="shared" si="4"/>
        <v>0</v>
      </c>
      <c r="BZ162" s="32">
        <f t="shared" si="5"/>
        <v>0</v>
      </c>
      <c r="CA162" s="32">
        <f t="shared" si="6"/>
        <v>298146</v>
      </c>
      <c r="CB162" s="32">
        <f t="shared" si="7"/>
        <v>0</v>
      </c>
      <c r="CC162" s="32">
        <f t="shared" si="8"/>
        <v>0</v>
      </c>
      <c r="CD162" s="41">
        <f t="shared" si="75"/>
        <v>0</v>
      </c>
      <c r="CE162" s="44">
        <f t="shared" si="10"/>
        <v>65</v>
      </c>
      <c r="CF162" s="27"/>
      <c r="CG162" s="28" t="str">
        <f t="shared" si="11"/>
        <v/>
      </c>
      <c r="CH162" s="28" t="str">
        <f t="shared" si="12"/>
        <v/>
      </c>
      <c r="CI162" s="28" t="str">
        <f t="shared" si="13"/>
        <v/>
      </c>
      <c r="CJ162" s="28" t="str">
        <f t="shared" si="14"/>
        <v/>
      </c>
      <c r="CK162" s="23" t="str">
        <f t="shared" si="15"/>
        <v/>
      </c>
      <c r="CL162" s="29" t="str">
        <f t="shared" si="16"/>
        <v/>
      </c>
      <c r="CM162" s="29" t="str">
        <f t="shared" si="17"/>
        <v/>
      </c>
      <c r="CN162" s="29" t="str">
        <f t="shared" si="18"/>
        <v/>
      </c>
      <c r="CO162" s="29" t="str">
        <f t="shared" si="19"/>
        <v/>
      </c>
      <c r="CP162" s="29" t="str">
        <f t="shared" si="20"/>
        <v/>
      </c>
      <c r="CQ162" s="29" t="str">
        <f t="shared" si="21"/>
        <v/>
      </c>
      <c r="CR162" s="30"/>
      <c r="CS162" s="7" t="str">
        <f>VLOOKUP(A162,'Empresas 21-23'!$A$2:$M$228,13,0)</f>
        <v/>
      </c>
      <c r="CT162" s="30"/>
      <c r="CU162" s="6">
        <f t="shared" si="22"/>
        <v>0</v>
      </c>
      <c r="CV162" s="6">
        <f t="shared" si="23"/>
        <v>0</v>
      </c>
      <c r="CW162" s="6">
        <f t="shared" si="24"/>
        <v>0</v>
      </c>
      <c r="CX162" s="23">
        <f t="shared" si="81"/>
        <v>0</v>
      </c>
      <c r="CY162" s="23">
        <f t="shared" si="82"/>
        <v>0</v>
      </c>
      <c r="CZ162" s="6">
        <f t="shared" si="27"/>
        <v>0</v>
      </c>
      <c r="DA162" s="6">
        <f t="shared" si="28"/>
        <v>0</v>
      </c>
      <c r="DB162" s="6">
        <f t="shared" si="29"/>
        <v>0</v>
      </c>
      <c r="DC162" s="6">
        <f t="shared" si="30"/>
        <v>0</v>
      </c>
      <c r="DD162" s="6">
        <f t="shared" si="31"/>
        <v>0</v>
      </c>
      <c r="DE162" s="6">
        <f t="shared" si="32"/>
        <v>298146</v>
      </c>
      <c r="DF162" s="6">
        <f t="shared" ref="DF162:DF171" si="85">DE162*(DC162+DD162)/(AF162-AD162-F162-H162-E162-D162)</f>
        <v>0</v>
      </c>
      <c r="DG162" s="30"/>
      <c r="DH162" s="32" t="str">
        <f>VLOOKUP(A162,'T_med_comp-USA'!$A$7:$Q$233,17,0)</f>
        <v>-</v>
      </c>
      <c r="DI162" s="6" t="str">
        <f t="shared" si="34"/>
        <v/>
      </c>
      <c r="DJ162" s="32" t="str">
        <f>IF(DI162="","",VLOOKUP(DI162,'CPI USA'!$T:$U,2,FALSE))</f>
        <v/>
      </c>
      <c r="DK162" s="32" t="str">
        <f>IF(DI162="","",VLOOKUP(DI162,'PPI USA'!$S:$T,2,FALSE))</f>
        <v/>
      </c>
      <c r="DL162" s="32" t="str">
        <f>IF(DI162="","",VLOOKUP(DI162,'CPI USA'!$T:$V,3,FALSE))</f>
        <v/>
      </c>
      <c r="DM162" s="32" t="str">
        <f>IF(DI162="","",VLOOKUP(DI162,'CPI USA'!$T:$X,5,FALSE))</f>
        <v/>
      </c>
      <c r="DN162" s="32" t="str">
        <f t="shared" si="35"/>
        <v/>
      </c>
      <c r="DO162" s="32" t="str">
        <f t="shared" si="36"/>
        <v/>
      </c>
      <c r="DP162" s="32" t="str">
        <f t="shared" si="37"/>
        <v/>
      </c>
      <c r="DQ162" s="32" t="str">
        <f>IF(DP162="","",DP162*$DO$1/'CPI USA'!$U$520+(1-DP162)*AVERAGE($DO$1,$DQ$1)/AVERAGE('CPI USA'!$U$520,'PPI USA'!$T$526))</f>
        <v/>
      </c>
      <c r="DR162" s="6">
        <f t="shared" si="38"/>
        <v>0</v>
      </c>
      <c r="DS162" s="32" t="str">
        <f t="shared" si="39"/>
        <v/>
      </c>
      <c r="DT162" s="28" t="str">
        <f>IF(DS162="","",DS162*$DO$1/'CPI USA'!$U$520+(1-DS162)*AVERAGE($DO$1,$DQ$1)/AVERAGE('CPI USA'!$U$520,'PPI USA'!$T$526))</f>
        <v/>
      </c>
      <c r="DU162" s="6" t="str">
        <f t="shared" si="40"/>
        <v/>
      </c>
      <c r="DV162" s="6" t="str">
        <f t="shared" si="84"/>
        <v/>
      </c>
      <c r="DW162" s="6">
        <f t="shared" si="41"/>
        <v>0</v>
      </c>
      <c r="DX162" s="16" t="str">
        <f t="shared" si="42"/>
        <v/>
      </c>
      <c r="DY162" s="28" t="str">
        <f>IF(DX162="","",DX162*$DO$1/'CPI USA'!$U$520+(1-DX162)*AVERAGE($DO$1,$DQ$1)/AVERAGE('CPI USA'!$U$520,'PPI USA'!$T$526))</f>
        <v/>
      </c>
      <c r="DZ162" s="30"/>
      <c r="EA162" s="29" t="str">
        <f t="shared" si="43"/>
        <v>C002336</v>
      </c>
      <c r="EB162" s="29" t="str">
        <f t="shared" si="44"/>
        <v/>
      </c>
      <c r="EC162" s="29" t="str">
        <f t="shared" si="45"/>
        <v/>
      </c>
      <c r="ED162" s="29" t="str">
        <f t="shared" si="46"/>
        <v/>
      </c>
      <c r="EE162" s="29" t="str">
        <f t="shared" si="47"/>
        <v/>
      </c>
      <c r="EF162" s="29" t="str">
        <f t="shared" si="48"/>
        <v/>
      </c>
      <c r="EG162" s="29" t="str">
        <f t="shared" si="49"/>
        <v/>
      </c>
      <c r="EH162" s="29" t="str">
        <f t="shared" si="50"/>
        <v/>
      </c>
      <c r="EI162" s="29" t="str">
        <f t="shared" si="51"/>
        <v/>
      </c>
      <c r="EJ162" s="29" t="str">
        <f t="shared" si="52"/>
        <v/>
      </c>
      <c r="EK162" s="29" t="str">
        <f t="shared" si="53"/>
        <v/>
      </c>
      <c r="EL162" s="29" t="str">
        <f>IF(CD162=1,VLOOKUP(EA162,'EIA 2022'!$A$2:$J$213,4,0)*EH162,"")</f>
        <v/>
      </c>
      <c r="EM162" s="29" t="str">
        <f>IF(CD162=1,VLOOKUP(EA162,'EIA 2022'!$A$2:$J$213,7,0)*EH162,"")</f>
        <v/>
      </c>
      <c r="EN162" s="29" t="str">
        <f>IF(CD162=1,VLOOKUP(EA162,'EIA 2022'!$A$2:$J$213,10,0),"")</f>
        <v/>
      </c>
      <c r="EO162" s="28" t="str">
        <f>IF(CD162=1,VLOOKUP(EA162,'EIA 2022'!$A$2:$Z$213,26,0),"")</f>
        <v/>
      </c>
      <c r="EP162" s="23" t="str">
        <f t="shared" si="54"/>
        <v/>
      </c>
      <c r="EQ162" s="32" t="str">
        <f t="shared" si="55"/>
        <v/>
      </c>
      <c r="ER162" s="32" t="str">
        <f t="shared" si="56"/>
        <v/>
      </c>
      <c r="ES162" s="32"/>
      <c r="ET162" s="32"/>
    </row>
    <row r="163" spans="1:150" ht="15.75" customHeight="1">
      <c r="A163" s="7" t="s">
        <v>694</v>
      </c>
      <c r="B163" s="7" t="s">
        <v>695</v>
      </c>
      <c r="C163" s="32" t="s">
        <v>1032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f>IFERROR(VLOOKUP(A163,'Trans 21-23'!$A$2:$J$229,8,0),0)</f>
        <v>0</v>
      </c>
      <c r="Y163" s="42">
        <v>0</v>
      </c>
      <c r="Z163" s="42">
        <v>0</v>
      </c>
      <c r="AA163" s="42">
        <v>0</v>
      </c>
      <c r="AB163" s="42">
        <v>0</v>
      </c>
      <c r="AC163" s="42">
        <v>0</v>
      </c>
      <c r="AD163" s="42">
        <v>30143659</v>
      </c>
      <c r="AE163" s="42">
        <v>0</v>
      </c>
      <c r="AF163" s="42">
        <v>68179871</v>
      </c>
      <c r="AG163" s="42">
        <v>0</v>
      </c>
      <c r="AH163" s="42">
        <v>0</v>
      </c>
      <c r="AI163" s="42">
        <v>0</v>
      </c>
      <c r="AJ163" s="42">
        <v>0</v>
      </c>
      <c r="AK163" s="42">
        <v>0</v>
      </c>
      <c r="AL163" s="42">
        <v>0</v>
      </c>
      <c r="AM163" s="42">
        <v>0</v>
      </c>
      <c r="AN163" s="42">
        <v>0</v>
      </c>
      <c r="AO163" s="42">
        <v>0</v>
      </c>
      <c r="AP163" s="42">
        <v>0</v>
      </c>
      <c r="AQ163" s="42">
        <v>0</v>
      </c>
      <c r="AR163" s="42">
        <v>0</v>
      </c>
      <c r="AS163" s="42">
        <v>0</v>
      </c>
      <c r="AT163" s="42">
        <v>0</v>
      </c>
      <c r="AU163" s="42">
        <v>11022</v>
      </c>
      <c r="AV163" s="42">
        <v>0</v>
      </c>
      <c r="AW163" s="42">
        <v>0</v>
      </c>
      <c r="AX163" s="42">
        <v>0</v>
      </c>
      <c r="AY163" s="42">
        <v>0</v>
      </c>
      <c r="AZ163" s="42">
        <v>0</v>
      </c>
      <c r="BA163" s="42">
        <v>0</v>
      </c>
      <c r="BB163" s="42">
        <v>0</v>
      </c>
      <c r="BC163" s="42">
        <v>3709338863</v>
      </c>
      <c r="BD163" s="42">
        <v>334537425</v>
      </c>
      <c r="BE163" s="42">
        <v>0</v>
      </c>
      <c r="BF163" s="42">
        <v>0</v>
      </c>
      <c r="BG163" s="42">
        <v>0</v>
      </c>
      <c r="BH163" s="42">
        <v>0</v>
      </c>
      <c r="BI163" s="42">
        <v>0</v>
      </c>
      <c r="BJ163" s="42">
        <v>0</v>
      </c>
      <c r="BK163" s="42">
        <v>0</v>
      </c>
      <c r="BL163" s="42">
        <v>0</v>
      </c>
      <c r="BM163" s="42">
        <v>9118463</v>
      </c>
      <c r="BN163" s="42">
        <v>13363409</v>
      </c>
      <c r="BO163" s="42">
        <v>0</v>
      </c>
      <c r="BP163" s="42">
        <v>167333</v>
      </c>
      <c r="BQ163" s="42">
        <v>31215261</v>
      </c>
      <c r="BR163" s="42">
        <v>0</v>
      </c>
      <c r="BS163" s="42">
        <f>IFERROR(VLOOKUP(A163,'Trans 21-23'!$A$2:$J$229,7,0),0)</f>
        <v>0</v>
      </c>
      <c r="BT163" s="63"/>
      <c r="BU163" s="32">
        <f t="shared" si="0"/>
        <v>0</v>
      </c>
      <c r="BV163" s="32">
        <f t="shared" si="1"/>
        <v>11022</v>
      </c>
      <c r="BW163" s="32">
        <f t="shared" si="2"/>
        <v>0</v>
      </c>
      <c r="BX163" s="32">
        <f t="shared" si="3"/>
        <v>0</v>
      </c>
      <c r="BY163" s="32">
        <f t="shared" si="4"/>
        <v>0</v>
      </c>
      <c r="BZ163" s="32">
        <f t="shared" si="5"/>
        <v>0</v>
      </c>
      <c r="CA163" s="32">
        <f t="shared" si="6"/>
        <v>30143659</v>
      </c>
      <c r="CB163" s="32">
        <f t="shared" si="7"/>
        <v>0</v>
      </c>
      <c r="CC163" s="32">
        <f t="shared" si="8"/>
        <v>0</v>
      </c>
      <c r="CD163" s="41">
        <f t="shared" si="75"/>
        <v>0</v>
      </c>
      <c r="CE163" s="44">
        <f t="shared" si="10"/>
        <v>59</v>
      </c>
      <c r="CF163" s="27"/>
      <c r="CG163" s="28" t="str">
        <f t="shared" si="11"/>
        <v/>
      </c>
      <c r="CH163" s="28" t="str">
        <f t="shared" si="12"/>
        <v/>
      </c>
      <c r="CI163" s="28" t="str">
        <f t="shared" si="13"/>
        <v/>
      </c>
      <c r="CJ163" s="28" t="str">
        <f t="shared" si="14"/>
        <v/>
      </c>
      <c r="CK163" s="23" t="str">
        <f t="shared" si="15"/>
        <v/>
      </c>
      <c r="CL163" s="29" t="str">
        <f t="shared" si="16"/>
        <v/>
      </c>
      <c r="CM163" s="29" t="str">
        <f t="shared" si="17"/>
        <v/>
      </c>
      <c r="CN163" s="29" t="str">
        <f t="shared" si="18"/>
        <v/>
      </c>
      <c r="CO163" s="29" t="str">
        <f t="shared" si="19"/>
        <v/>
      </c>
      <c r="CP163" s="29" t="str">
        <f t="shared" si="20"/>
        <v/>
      </c>
      <c r="CQ163" s="29" t="str">
        <f t="shared" si="21"/>
        <v/>
      </c>
      <c r="CR163" s="30"/>
      <c r="CS163" s="7" t="str">
        <f>VLOOKUP(A163,'Empresas 21-23'!$A$2:$M$228,13,0)</f>
        <v/>
      </c>
      <c r="CT163" s="30"/>
      <c r="CU163" s="6">
        <f t="shared" si="22"/>
        <v>0</v>
      </c>
      <c r="CV163" s="6">
        <f t="shared" si="23"/>
        <v>0</v>
      </c>
      <c r="CW163" s="6">
        <f t="shared" si="24"/>
        <v>334537425</v>
      </c>
      <c r="CX163" s="23">
        <f t="shared" si="81"/>
        <v>0</v>
      </c>
      <c r="CY163" s="23">
        <f t="shared" si="82"/>
        <v>0</v>
      </c>
      <c r="CZ163" s="6">
        <f t="shared" si="27"/>
        <v>0</v>
      </c>
      <c r="DA163" s="6">
        <f t="shared" si="28"/>
        <v>0</v>
      </c>
      <c r="DB163" s="6">
        <f t="shared" si="29"/>
        <v>0</v>
      </c>
      <c r="DC163" s="6">
        <f t="shared" si="30"/>
        <v>0</v>
      </c>
      <c r="DD163" s="6">
        <f t="shared" si="31"/>
        <v>0</v>
      </c>
      <c r="DE163" s="6">
        <f t="shared" si="32"/>
        <v>30143659</v>
      </c>
      <c r="DF163" s="6">
        <f t="shared" si="85"/>
        <v>0</v>
      </c>
      <c r="DG163" s="30"/>
      <c r="DH163" s="32" t="str">
        <f>VLOOKUP(A163,'T_med_comp-USA'!$A$7:$Q$233,17,0)</f>
        <v>-</v>
      </c>
      <c r="DI163" s="6" t="str">
        <f t="shared" si="34"/>
        <v/>
      </c>
      <c r="DJ163" s="32" t="str">
        <f>IF(DI163="","",VLOOKUP(DI163,'CPI USA'!$T:$U,2,FALSE))</f>
        <v/>
      </c>
      <c r="DK163" s="32" t="str">
        <f>IF(DI163="","",VLOOKUP(DI163,'PPI USA'!$S:$T,2,FALSE))</f>
        <v/>
      </c>
      <c r="DL163" s="32" t="str">
        <f>IF(DI163="","",VLOOKUP(DI163,'CPI USA'!$T:$V,3,FALSE))</f>
        <v/>
      </c>
      <c r="DM163" s="32" t="str">
        <f>IF(DI163="","",VLOOKUP(DI163,'CPI USA'!$T:$X,5,FALSE))</f>
        <v/>
      </c>
      <c r="DN163" s="32" t="str">
        <f t="shared" si="35"/>
        <v/>
      </c>
      <c r="DO163" s="32" t="str">
        <f t="shared" si="36"/>
        <v/>
      </c>
      <c r="DP163" s="32" t="str">
        <f t="shared" si="37"/>
        <v/>
      </c>
      <c r="DQ163" s="32" t="str">
        <f>IF(DP163="","",DP163*$DO$1/'CPI USA'!$U$520+(1-DP163)*AVERAGE($DO$1,$DQ$1)/AVERAGE('CPI USA'!$U$520,'PPI USA'!$T$526))</f>
        <v/>
      </c>
      <c r="DR163" s="6">
        <f t="shared" si="38"/>
        <v>0</v>
      </c>
      <c r="DS163" s="32" t="str">
        <f t="shared" si="39"/>
        <v/>
      </c>
      <c r="DT163" s="28" t="str">
        <f>IF(DS163="","",DS163*$DO$1/'CPI USA'!$U$520+(1-DS163)*AVERAGE($DO$1,$DQ$1)/AVERAGE('CPI USA'!$U$520,'PPI USA'!$T$526))</f>
        <v/>
      </c>
      <c r="DU163" s="6" t="str">
        <f t="shared" si="40"/>
        <v/>
      </c>
      <c r="DV163" s="6">
        <f t="shared" si="84"/>
        <v>49144.012739883961</v>
      </c>
      <c r="DW163" s="6">
        <f t="shared" si="41"/>
        <v>0</v>
      </c>
      <c r="DX163" s="16" t="str">
        <f t="shared" si="42"/>
        <v/>
      </c>
      <c r="DY163" s="28" t="str">
        <f>IF(DX163="","",DX163*$DO$1/'CPI USA'!$U$520+(1-DX163)*AVERAGE($DO$1,$DQ$1)/AVERAGE('CPI USA'!$U$520,'PPI USA'!$T$526))</f>
        <v/>
      </c>
      <c r="DZ163" s="30"/>
      <c r="EA163" s="29" t="str">
        <f t="shared" si="43"/>
        <v>C002446</v>
      </c>
      <c r="EB163" s="29" t="str">
        <f t="shared" si="44"/>
        <v/>
      </c>
      <c r="EC163" s="29" t="str">
        <f t="shared" si="45"/>
        <v/>
      </c>
      <c r="ED163" s="29" t="str">
        <f t="shared" si="46"/>
        <v/>
      </c>
      <c r="EE163" s="29" t="str">
        <f t="shared" si="47"/>
        <v/>
      </c>
      <c r="EF163" s="29" t="str">
        <f t="shared" si="48"/>
        <v/>
      </c>
      <c r="EG163" s="29" t="str">
        <f t="shared" si="49"/>
        <v/>
      </c>
      <c r="EH163" s="29" t="str">
        <f t="shared" si="50"/>
        <v/>
      </c>
      <c r="EI163" s="29" t="str">
        <f t="shared" si="51"/>
        <v/>
      </c>
      <c r="EJ163" s="29" t="str">
        <f t="shared" si="52"/>
        <v/>
      </c>
      <c r="EK163" s="29" t="str">
        <f t="shared" si="53"/>
        <v/>
      </c>
      <c r="EL163" s="29" t="str">
        <f>IF(CD163=1,VLOOKUP(EA163,'EIA 2022'!$A$2:$J$213,4,0)*EH163,"")</f>
        <v/>
      </c>
      <c r="EM163" s="29" t="str">
        <f>IF(CD163=1,VLOOKUP(EA163,'EIA 2022'!$A$2:$J$213,7,0)*EH163,"")</f>
        <v/>
      </c>
      <c r="EN163" s="29" t="str">
        <f>IF(CD163=1,VLOOKUP(EA163,'EIA 2022'!$A$2:$J$213,10,0),"")</f>
        <v/>
      </c>
      <c r="EO163" s="28" t="str">
        <f>IF(CD163=1,VLOOKUP(EA163,'EIA 2022'!$A$2:$Z$213,26,0),"")</f>
        <v/>
      </c>
      <c r="EP163" s="23" t="str">
        <f t="shared" si="54"/>
        <v/>
      </c>
      <c r="EQ163" s="32" t="str">
        <f t="shared" si="55"/>
        <v/>
      </c>
      <c r="ER163" s="32" t="str">
        <f t="shared" si="56"/>
        <v/>
      </c>
      <c r="ES163" s="32"/>
      <c r="ET163" s="32"/>
    </row>
    <row r="164" spans="1:150" ht="15.75" customHeight="1">
      <c r="A164" s="7" t="s">
        <v>697</v>
      </c>
      <c r="B164" s="7" t="s">
        <v>698</v>
      </c>
      <c r="C164" s="32" t="s">
        <v>1033</v>
      </c>
      <c r="D164" s="42">
        <v>56018469</v>
      </c>
      <c r="E164" s="42">
        <v>0</v>
      </c>
      <c r="F164" s="42">
        <v>9073831</v>
      </c>
      <c r="G164" s="42">
        <v>62382179</v>
      </c>
      <c r="H164" s="42">
        <v>63533773</v>
      </c>
      <c r="I164" s="42">
        <v>1102048</v>
      </c>
      <c r="J164" s="42">
        <v>1903484</v>
      </c>
      <c r="K164" s="42">
        <v>1410148</v>
      </c>
      <c r="L164" s="42">
        <v>10180</v>
      </c>
      <c r="M164" s="42">
        <v>624827</v>
      </c>
      <c r="N164" s="42">
        <v>85880</v>
      </c>
      <c r="O164" s="42">
        <v>3729541</v>
      </c>
      <c r="P164" s="42">
        <v>19728</v>
      </c>
      <c r="Q164" s="42">
        <v>78043</v>
      </c>
      <c r="R164" s="42">
        <v>0</v>
      </c>
      <c r="S164" s="42">
        <v>303834</v>
      </c>
      <c r="T164" s="42">
        <v>4678779</v>
      </c>
      <c r="U164" s="42">
        <v>391374</v>
      </c>
      <c r="V164" s="42">
        <v>297111</v>
      </c>
      <c r="W164" s="42">
        <v>0</v>
      </c>
      <c r="X164" s="42">
        <f>IFERROR(VLOOKUP(A164,'Trans 21-23'!$A$2:$J$229,8,0),0)</f>
        <v>0</v>
      </c>
      <c r="Y164" s="42">
        <v>778936</v>
      </c>
      <c r="Z164" s="42">
        <v>0</v>
      </c>
      <c r="AA164" s="42">
        <v>9520355</v>
      </c>
      <c r="AB164" s="42">
        <v>9850060</v>
      </c>
      <c r="AC164" s="42">
        <v>459614</v>
      </c>
      <c r="AD164" s="42">
        <v>33517203</v>
      </c>
      <c r="AE164" s="42">
        <v>0</v>
      </c>
      <c r="AF164" s="42">
        <v>272114385</v>
      </c>
      <c r="AG164" s="42">
        <v>163413</v>
      </c>
      <c r="AH164" s="42">
        <v>108478</v>
      </c>
      <c r="AI164" s="42">
        <v>3741207</v>
      </c>
      <c r="AJ164" s="42">
        <v>6327</v>
      </c>
      <c r="AK164" s="42">
        <v>0</v>
      </c>
      <c r="AL164" s="42">
        <v>884476</v>
      </c>
      <c r="AM164" s="42">
        <v>1790397</v>
      </c>
      <c r="AN164" s="42">
        <v>152733</v>
      </c>
      <c r="AO164" s="42">
        <v>9372</v>
      </c>
      <c r="AP164" s="42">
        <v>353841</v>
      </c>
      <c r="AQ164" s="42">
        <v>3190895</v>
      </c>
      <c r="AR164" s="42">
        <v>435507</v>
      </c>
      <c r="AS164" s="42">
        <v>3626402</v>
      </c>
      <c r="AT164" s="42">
        <v>0</v>
      </c>
      <c r="AU164" s="42">
        <v>698</v>
      </c>
      <c r="AV164" s="42">
        <v>0</v>
      </c>
      <c r="AW164" s="42">
        <v>56704027</v>
      </c>
      <c r="AX164" s="42">
        <v>138810872</v>
      </c>
      <c r="AY164" s="42">
        <v>182324104</v>
      </c>
      <c r="AZ164" s="42">
        <v>29151876</v>
      </c>
      <c r="BA164" s="42">
        <v>3416115</v>
      </c>
      <c r="BB164" s="42">
        <v>787599278</v>
      </c>
      <c r="BC164" s="42">
        <v>1741089240</v>
      </c>
      <c r="BD164" s="42">
        <v>10418219</v>
      </c>
      <c r="BE164" s="42">
        <v>213824980</v>
      </c>
      <c r="BF164" s="42">
        <v>17194720</v>
      </c>
      <c r="BG164" s="42">
        <v>0</v>
      </c>
      <c r="BH164" s="42">
        <v>6548049</v>
      </c>
      <c r="BI164" s="42">
        <v>943370</v>
      </c>
      <c r="BJ164" s="42">
        <v>3161807</v>
      </c>
      <c r="BK164" s="42">
        <v>125356</v>
      </c>
      <c r="BL164" s="42">
        <v>0</v>
      </c>
      <c r="BM164" s="42">
        <v>11644107</v>
      </c>
      <c r="BN164" s="42">
        <v>28171984</v>
      </c>
      <c r="BO164" s="42">
        <v>10566962</v>
      </c>
      <c r="BP164" s="42">
        <v>2405397</v>
      </c>
      <c r="BQ164" s="42">
        <v>60462349</v>
      </c>
      <c r="BR164" s="42">
        <v>76</v>
      </c>
      <c r="BS164" s="42">
        <f>IFERROR(VLOOKUP(A164,'Trans 21-23'!$A$2:$J$229,7,0),0)</f>
        <v>0</v>
      </c>
      <c r="BT164" s="63"/>
      <c r="BU164" s="32">
        <f t="shared" si="0"/>
        <v>787599278</v>
      </c>
      <c r="BV164" s="32">
        <f t="shared" si="1"/>
        <v>698</v>
      </c>
      <c r="BW164" s="32">
        <f t="shared" si="2"/>
        <v>163413</v>
      </c>
      <c r="BX164" s="32">
        <f t="shared" si="3"/>
        <v>14634977</v>
      </c>
      <c r="BY164" s="32">
        <f t="shared" si="4"/>
        <v>20608965</v>
      </c>
      <c r="BZ164" s="32">
        <f t="shared" si="5"/>
        <v>29151876</v>
      </c>
      <c r="CA164" s="32">
        <f t="shared" si="6"/>
        <v>33517203</v>
      </c>
      <c r="CB164" s="32">
        <f t="shared" si="7"/>
        <v>108478</v>
      </c>
      <c r="CC164" s="32">
        <f t="shared" si="8"/>
        <v>3190895</v>
      </c>
      <c r="CD164" s="41">
        <f t="shared" si="75"/>
        <v>1</v>
      </c>
      <c r="CE164" s="44">
        <f t="shared" si="10"/>
        <v>12</v>
      </c>
      <c r="CF164" s="27"/>
      <c r="CG164" s="28">
        <f t="shared" si="11"/>
        <v>1128.3657277936964</v>
      </c>
      <c r="CH164" s="28">
        <f t="shared" si="12"/>
        <v>4.2713859974420636</v>
      </c>
      <c r="CI164" s="28">
        <f t="shared" si="13"/>
        <v>89.558217522473726</v>
      </c>
      <c r="CJ164" s="28">
        <f t="shared" si="14"/>
        <v>178.3938609535349</v>
      </c>
      <c r="CK164" s="23">
        <f t="shared" si="15"/>
        <v>3.3996104541202388E-2</v>
      </c>
      <c r="CL164" s="29" t="str">
        <f t="shared" si="16"/>
        <v/>
      </c>
      <c r="CM164" s="29" t="str">
        <f t="shared" si="17"/>
        <v/>
      </c>
      <c r="CN164" s="29" t="str">
        <f t="shared" si="18"/>
        <v/>
      </c>
      <c r="CO164" s="29" t="str">
        <f t="shared" si="19"/>
        <v/>
      </c>
      <c r="CP164" s="29" t="str">
        <f t="shared" si="20"/>
        <v/>
      </c>
      <c r="CQ164" s="29">
        <f t="shared" si="21"/>
        <v>0</v>
      </c>
      <c r="CR164" s="30"/>
      <c r="CS164" s="7">
        <f>VLOOKUP(A164,'Empresas 21-23'!$A$2:$M$228,13,0)</f>
        <v>1</v>
      </c>
      <c r="CT164" s="30"/>
      <c r="CU164" s="6">
        <f t="shared" si="22"/>
        <v>562350301.39999998</v>
      </c>
      <c r="CV164" s="6">
        <f t="shared" si="23"/>
        <v>29151876</v>
      </c>
      <c r="CW164" s="6">
        <f t="shared" si="24"/>
        <v>10418219</v>
      </c>
      <c r="CX164" s="23">
        <f t="shared" si="81"/>
        <v>0.32493194522611701</v>
      </c>
      <c r="CY164" s="23">
        <f t="shared" si="82"/>
        <v>1.6844261934400299E-2</v>
      </c>
      <c r="CZ164" s="6">
        <f t="shared" si="27"/>
        <v>565735513.56546164</v>
      </c>
      <c r="DA164" s="6">
        <f t="shared" si="28"/>
        <v>29327363.209725946</v>
      </c>
      <c r="DB164" s="6">
        <f t="shared" si="29"/>
        <v>14634977</v>
      </c>
      <c r="DC164" s="6">
        <f t="shared" si="30"/>
        <v>14634977</v>
      </c>
      <c r="DD164" s="6">
        <f t="shared" si="31"/>
        <v>20608965</v>
      </c>
      <c r="DE164" s="6">
        <f t="shared" si="32"/>
        <v>33517203</v>
      </c>
      <c r="DF164" s="6">
        <f t="shared" si="85"/>
        <v>10741715.431224996</v>
      </c>
      <c r="DG164" s="30"/>
      <c r="DH164" s="32">
        <f>VLOOKUP(A164,'T_med_comp-USA'!$A$7:$Q$233,17,0)</f>
        <v>12.396353928660782</v>
      </c>
      <c r="DI164" s="6" t="str">
        <f t="shared" si="34"/>
        <v>8_2010</v>
      </c>
      <c r="DJ164" s="32">
        <f>IF(DI164="","",VLOOKUP(DI164,'CPI USA'!$T:$U,2,FALSE))</f>
        <v>218.05600000000001</v>
      </c>
      <c r="DK164" s="32">
        <f>IF(DI164="","",VLOOKUP(DI164,'PPI USA'!$S:$T,2,FALSE))</f>
        <v>160.80000000000001</v>
      </c>
      <c r="DL164" s="32">
        <f>IF(DI164="","",VLOOKUP(DI164,'CPI USA'!$T:$V,3,FALSE))</f>
        <v>0.67050107279443949</v>
      </c>
      <c r="DM164" s="32">
        <f>IF(DI164="","",VLOOKUP(DI164,'CPI USA'!$T:$X,5,FALSE))</f>
        <v>0.4987389730136107</v>
      </c>
      <c r="DN164" s="32">
        <f t="shared" si="35"/>
        <v>1.4703278680244813</v>
      </c>
      <c r="DO164" s="32">
        <f t="shared" si="36"/>
        <v>1.4857204383544427</v>
      </c>
      <c r="DP164" s="32">
        <f t="shared" si="37"/>
        <v>0.61524804687325729</v>
      </c>
      <c r="DQ164" s="32">
        <f>IF(DP164="","",DP164*$DO$1/'CPI USA'!$U$520+(1-DP164)*AVERAGE($DO$1,$DQ$1)/AVERAGE('CPI USA'!$U$520,'PPI USA'!$T$526))</f>
        <v>1.071494501982323</v>
      </c>
      <c r="DR164" s="6">
        <f t="shared" si="38"/>
        <v>4230533</v>
      </c>
      <c r="DS164" s="32">
        <f t="shared" si="39"/>
        <v>0.28227295693129656</v>
      </c>
      <c r="DT164" s="28">
        <f>IF(DS164="","",DS164*$DO$1/'CPI USA'!$U$520+(1-DS164)*AVERAGE($DO$1,$DQ$1)/AVERAGE('CPI USA'!$U$520,'PPI USA'!$T$526))</f>
        <v>1.082695473760902</v>
      </c>
      <c r="DU164" s="6">
        <f t="shared" si="40"/>
        <v>16011667.204241704</v>
      </c>
      <c r="DV164" s="6">
        <f t="shared" si="84"/>
        <v>482434.90366974485</v>
      </c>
      <c r="DW164" s="6">
        <f t="shared" si="41"/>
        <v>6310632.2964863386</v>
      </c>
      <c r="DX164" s="16">
        <f t="shared" si="42"/>
        <v>0.58748831477531216</v>
      </c>
      <c r="DY164" s="28">
        <f>IF(DX164="","",DX164*$DO$1/'CPI USA'!$U$520+(1-DX164)*AVERAGE($DO$1,$DQ$1)/AVERAGE('CPI USA'!$U$520,'PPI USA'!$T$526))</f>
        <v>1.0724283135051735</v>
      </c>
      <c r="DZ164" s="30"/>
      <c r="EA164" s="29" t="str">
        <f t="shared" si="43"/>
        <v>C002498</v>
      </c>
      <c r="EB164" s="29">
        <f t="shared" si="44"/>
        <v>831816691.52644026</v>
      </c>
      <c r="EC164" s="29">
        <f t="shared" si="45"/>
        <v>43572262.923733987</v>
      </c>
      <c r="ED164" s="29">
        <f t="shared" si="46"/>
        <v>15681297.392137751</v>
      </c>
      <c r="EE164" s="29">
        <f t="shared" si="47"/>
        <v>22313233.124396849</v>
      </c>
      <c r="EF164" s="29">
        <f t="shared" si="48"/>
        <v>11519719.764061121</v>
      </c>
      <c r="EG164" s="29">
        <f t="shared" si="49"/>
        <v>698</v>
      </c>
      <c r="EH164" s="29">
        <f t="shared" si="50"/>
        <v>163413</v>
      </c>
      <c r="EI164" s="29">
        <f t="shared" si="51"/>
        <v>108478</v>
      </c>
      <c r="EJ164" s="29">
        <f t="shared" si="52"/>
        <v>3190895</v>
      </c>
      <c r="EK164" s="29">
        <f t="shared" si="53"/>
        <v>3292740.9137055837</v>
      </c>
      <c r="EL164" s="29">
        <f>IF(CD164=1,VLOOKUP(EA164,'EIA 2022'!$A$2:$J$213,4,0)*EH164,"")</f>
        <v>3639207.51</v>
      </c>
      <c r="EM164" s="29">
        <f>IF(CD164=1,VLOOKUP(EA164,'EIA 2022'!$A$2:$J$213,7,0)*EH164,"")</f>
        <v>63731.07</v>
      </c>
      <c r="EN164" s="29">
        <f>IF(CD164=1,VLOOKUP(EA164,'EIA 2022'!$A$2:$J$213,10,0),"")</f>
        <v>164136</v>
      </c>
      <c r="EO164" s="28">
        <f>IF(CD164=1,VLOOKUP(EA164,'EIA 2022'!$A$2:$Z$213,26,0),"")</f>
        <v>0</v>
      </c>
      <c r="EP164" s="23">
        <f t="shared" si="54"/>
        <v>3.09304364888425E-2</v>
      </c>
      <c r="EQ164" s="32">
        <f t="shared" si="55"/>
        <v>6632.0862944162218</v>
      </c>
      <c r="ER164" s="32">
        <f t="shared" si="56"/>
        <v>101845.91370558378</v>
      </c>
      <c r="ES164" s="32"/>
      <c r="ET164" s="32"/>
    </row>
    <row r="165" spans="1:150" ht="15.75" customHeight="1">
      <c r="A165" s="7" t="s">
        <v>700</v>
      </c>
      <c r="B165" s="7" t="s">
        <v>701</v>
      </c>
      <c r="C165" s="32" t="s">
        <v>1034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f>IFERROR(VLOOKUP(A165,'Trans 21-23'!$A$2:$J$229,8,0),0)</f>
        <v>15042801</v>
      </c>
      <c r="Y165" s="42">
        <v>0</v>
      </c>
      <c r="Z165" s="42">
        <v>0</v>
      </c>
      <c r="AA165" s="42">
        <v>0</v>
      </c>
      <c r="AB165" s="42">
        <v>0</v>
      </c>
      <c r="AC165" s="42">
        <v>0</v>
      </c>
      <c r="AD165" s="42">
        <v>32330452</v>
      </c>
      <c r="AE165" s="42">
        <v>0</v>
      </c>
      <c r="AF165" s="42">
        <v>72350698</v>
      </c>
      <c r="AG165" s="42">
        <v>0</v>
      </c>
      <c r="AH165" s="42">
        <v>0</v>
      </c>
      <c r="AI165" s="42">
        <v>0</v>
      </c>
      <c r="AJ165" s="42">
        <v>0</v>
      </c>
      <c r="AK165" s="42">
        <v>0</v>
      </c>
      <c r="AL165" s="42">
        <v>0</v>
      </c>
      <c r="AM165" s="42">
        <v>0</v>
      </c>
      <c r="AN165" s="42">
        <v>0</v>
      </c>
      <c r="AO165" s="42">
        <v>0</v>
      </c>
      <c r="AP165" s="42">
        <v>0</v>
      </c>
      <c r="AQ165" s="42">
        <v>0</v>
      </c>
      <c r="AR165" s="42">
        <v>0</v>
      </c>
      <c r="AS165" s="42">
        <v>0</v>
      </c>
      <c r="AT165" s="42">
        <v>0</v>
      </c>
      <c r="AU165" s="42">
        <v>3406</v>
      </c>
      <c r="AV165" s="42">
        <v>0</v>
      </c>
      <c r="AW165" s="42">
        <v>0</v>
      </c>
      <c r="AX165" s="42">
        <v>0</v>
      </c>
      <c r="AY165" s="42">
        <v>0</v>
      </c>
      <c r="AZ165" s="42">
        <v>0</v>
      </c>
      <c r="BA165" s="42">
        <v>0</v>
      </c>
      <c r="BB165" s="42">
        <v>0</v>
      </c>
      <c r="BC165" s="42">
        <v>4649537580</v>
      </c>
      <c r="BD165" s="42">
        <v>173036795</v>
      </c>
      <c r="BE165" s="42">
        <v>0</v>
      </c>
      <c r="BF165" s="42">
        <v>0</v>
      </c>
      <c r="BG165" s="42">
        <v>0</v>
      </c>
      <c r="BH165" s="42">
        <v>0</v>
      </c>
      <c r="BI165" s="42">
        <v>0</v>
      </c>
      <c r="BJ165" s="42">
        <v>0</v>
      </c>
      <c r="BK165" s="42">
        <v>0</v>
      </c>
      <c r="BL165" s="42">
        <v>0</v>
      </c>
      <c r="BM165" s="42">
        <v>8352455</v>
      </c>
      <c r="BN165" s="42">
        <v>13104878</v>
      </c>
      <c r="BO165" s="42">
        <v>0</v>
      </c>
      <c r="BP165" s="42">
        <v>163543</v>
      </c>
      <c r="BQ165" s="42">
        <v>28939649</v>
      </c>
      <c r="BR165" s="42">
        <v>0</v>
      </c>
      <c r="BS165" s="42">
        <f>IFERROR(VLOOKUP(A165,'Trans 21-23'!$A$2:$J$229,7,0),0)</f>
        <v>1362330425</v>
      </c>
      <c r="BT165" s="63"/>
      <c r="BU165" s="32">
        <f t="shared" si="0"/>
        <v>0</v>
      </c>
      <c r="BV165" s="32">
        <f t="shared" si="1"/>
        <v>3406</v>
      </c>
      <c r="BW165" s="32">
        <f t="shared" si="2"/>
        <v>0</v>
      </c>
      <c r="BX165" s="32">
        <f t="shared" si="3"/>
        <v>0</v>
      </c>
      <c r="BY165" s="32">
        <f t="shared" si="4"/>
        <v>0</v>
      </c>
      <c r="BZ165" s="32">
        <f t="shared" si="5"/>
        <v>0</v>
      </c>
      <c r="CA165" s="32">
        <f t="shared" si="6"/>
        <v>32330452</v>
      </c>
      <c r="CB165" s="32">
        <f t="shared" si="7"/>
        <v>0</v>
      </c>
      <c r="CC165" s="32">
        <f t="shared" si="8"/>
        <v>0</v>
      </c>
      <c r="CD165" s="41">
        <f t="shared" si="75"/>
        <v>0</v>
      </c>
      <c r="CE165" s="44">
        <f t="shared" si="10"/>
        <v>57</v>
      </c>
      <c r="CF165" s="27"/>
      <c r="CG165" s="28" t="str">
        <f t="shared" si="11"/>
        <v/>
      </c>
      <c r="CH165" s="28" t="str">
        <f t="shared" si="12"/>
        <v/>
      </c>
      <c r="CI165" s="28" t="str">
        <f t="shared" si="13"/>
        <v/>
      </c>
      <c r="CJ165" s="28" t="str">
        <f t="shared" si="14"/>
        <v/>
      </c>
      <c r="CK165" s="23" t="str">
        <f t="shared" si="15"/>
        <v/>
      </c>
      <c r="CL165" s="29" t="str">
        <f t="shared" si="16"/>
        <v/>
      </c>
      <c r="CM165" s="29" t="str">
        <f t="shared" si="17"/>
        <v/>
      </c>
      <c r="CN165" s="29" t="str">
        <f t="shared" si="18"/>
        <v/>
      </c>
      <c r="CO165" s="29" t="str">
        <f t="shared" si="19"/>
        <v/>
      </c>
      <c r="CP165" s="29" t="str">
        <f t="shared" si="20"/>
        <v/>
      </c>
      <c r="CQ165" s="29" t="str">
        <f t="shared" si="21"/>
        <v/>
      </c>
      <c r="CR165" s="30"/>
      <c r="CS165" s="7" t="str">
        <f>VLOOKUP(A165,'Empresas 21-23'!$A$2:$M$228,13,0)</f>
        <v/>
      </c>
      <c r="CT165" s="30"/>
      <c r="CU165" s="6">
        <f t="shared" si="22"/>
        <v>1362330425</v>
      </c>
      <c r="CV165" s="6">
        <f t="shared" si="23"/>
        <v>0</v>
      </c>
      <c r="CW165" s="6">
        <f t="shared" si="24"/>
        <v>173036795</v>
      </c>
      <c r="CX165" s="23">
        <f t="shared" si="81"/>
        <v>0.30432931667630658</v>
      </c>
      <c r="CY165" s="23">
        <f t="shared" si="82"/>
        <v>0</v>
      </c>
      <c r="CZ165" s="6">
        <f t="shared" si="27"/>
        <v>1414990594.5822082</v>
      </c>
      <c r="DA165" s="6">
        <f t="shared" si="28"/>
        <v>0</v>
      </c>
      <c r="DB165" s="6">
        <f t="shared" si="29"/>
        <v>0</v>
      </c>
      <c r="DC165" s="6">
        <f t="shared" si="30"/>
        <v>15042801</v>
      </c>
      <c r="DD165" s="6">
        <f t="shared" si="31"/>
        <v>0</v>
      </c>
      <c r="DE165" s="6">
        <f t="shared" si="32"/>
        <v>32330452</v>
      </c>
      <c r="DF165" s="6">
        <f t="shared" si="85"/>
        <v>12152362.973382322</v>
      </c>
      <c r="DG165" s="30"/>
      <c r="DH165" s="32" t="str">
        <f>VLOOKUP(A165,'T_med_comp-USA'!$A$7:$Q$233,17,0)</f>
        <v>-</v>
      </c>
      <c r="DI165" s="6" t="str">
        <f t="shared" si="34"/>
        <v/>
      </c>
      <c r="DJ165" s="32" t="str">
        <f>IF(DI165="","",VLOOKUP(DI165,'CPI USA'!$T:$U,2,FALSE))</f>
        <v/>
      </c>
      <c r="DK165" s="32" t="str">
        <f>IF(DI165="","",VLOOKUP(DI165,'PPI USA'!$S:$T,2,FALSE))</f>
        <v/>
      </c>
      <c r="DL165" s="32" t="str">
        <f>IF(DI165="","",VLOOKUP(DI165,'CPI USA'!$T:$V,3,FALSE))</f>
        <v/>
      </c>
      <c r="DM165" s="32" t="str">
        <f>IF(DI165="","",VLOOKUP(DI165,'CPI USA'!$T:$X,5,FALSE))</f>
        <v/>
      </c>
      <c r="DN165" s="32" t="str">
        <f t="shared" si="35"/>
        <v/>
      </c>
      <c r="DO165" s="32" t="str">
        <f t="shared" si="36"/>
        <v/>
      </c>
      <c r="DP165" s="32" t="str">
        <f t="shared" si="37"/>
        <v/>
      </c>
      <c r="DQ165" s="32" t="str">
        <f>IF(DP165="","",DP165*$DO$1/'CPI USA'!$U$520+(1-DP165)*AVERAGE($DO$1,$DQ$1)/AVERAGE('CPI USA'!$U$520,'PPI USA'!$T$526))</f>
        <v/>
      </c>
      <c r="DR165" s="6">
        <f t="shared" si="38"/>
        <v>0</v>
      </c>
      <c r="DS165" s="32" t="str">
        <f t="shared" si="39"/>
        <v/>
      </c>
      <c r="DT165" s="28" t="str">
        <f>IF(DS165="","",DS165*$DO$1/'CPI USA'!$U$520+(1-DS165)*AVERAGE($DO$1,$DQ$1)/AVERAGE('CPI USA'!$U$520,'PPI USA'!$T$526))</f>
        <v/>
      </c>
      <c r="DU165" s="6" t="str">
        <f t="shared" si="40"/>
        <v/>
      </c>
      <c r="DV165" s="6">
        <f t="shared" si="84"/>
        <v>47469.436902442605</v>
      </c>
      <c r="DW165" s="6">
        <f t="shared" si="41"/>
        <v>0</v>
      </c>
      <c r="DX165" s="16" t="str">
        <f t="shared" si="42"/>
        <v/>
      </c>
      <c r="DY165" s="28" t="str">
        <f>IF(DX165="","",DX165*$DO$1/'CPI USA'!$U$520+(1-DX165)*AVERAGE($DO$1,$DQ$1)/AVERAGE('CPI USA'!$U$520,'PPI USA'!$T$526))</f>
        <v/>
      </c>
      <c r="DZ165" s="30"/>
      <c r="EA165" s="29" t="str">
        <f t="shared" si="43"/>
        <v>C002525</v>
      </c>
      <c r="EB165" s="29" t="str">
        <f t="shared" si="44"/>
        <v/>
      </c>
      <c r="EC165" s="29" t="str">
        <f t="shared" si="45"/>
        <v/>
      </c>
      <c r="ED165" s="29" t="str">
        <f t="shared" si="46"/>
        <v/>
      </c>
      <c r="EE165" s="29" t="str">
        <f t="shared" si="47"/>
        <v/>
      </c>
      <c r="EF165" s="29" t="str">
        <f t="shared" si="48"/>
        <v/>
      </c>
      <c r="EG165" s="29" t="str">
        <f t="shared" si="49"/>
        <v/>
      </c>
      <c r="EH165" s="29" t="str">
        <f t="shared" si="50"/>
        <v/>
      </c>
      <c r="EI165" s="29" t="str">
        <f t="shared" si="51"/>
        <v/>
      </c>
      <c r="EJ165" s="29" t="str">
        <f t="shared" si="52"/>
        <v/>
      </c>
      <c r="EK165" s="29" t="str">
        <f t="shared" si="53"/>
        <v/>
      </c>
      <c r="EL165" s="29" t="str">
        <f>IF(CD165=1,VLOOKUP(EA165,'EIA 2022'!$A$2:$J$213,4,0)*EH165,"")</f>
        <v/>
      </c>
      <c r="EM165" s="29" t="str">
        <f>IF(CD165=1,VLOOKUP(EA165,'EIA 2022'!$A$2:$J$213,7,0)*EH165,"")</f>
        <v/>
      </c>
      <c r="EN165" s="29" t="str">
        <f>IF(CD165=1,VLOOKUP(EA165,'EIA 2022'!$A$2:$J$213,10,0),"")</f>
        <v/>
      </c>
      <c r="EO165" s="28" t="str">
        <f>IF(CD165=1,VLOOKUP(EA165,'EIA 2022'!$A$2:$Z$213,26,0),"")</f>
        <v/>
      </c>
      <c r="EP165" s="23" t="str">
        <f t="shared" si="54"/>
        <v/>
      </c>
      <c r="EQ165" s="32" t="str">
        <f t="shared" si="55"/>
        <v/>
      </c>
      <c r="ER165" s="32" t="str">
        <f t="shared" si="56"/>
        <v/>
      </c>
      <c r="ES165" s="32"/>
      <c r="ET165" s="32"/>
    </row>
    <row r="166" spans="1:150" ht="15.75" customHeight="1">
      <c r="A166" s="7" t="s">
        <v>703</v>
      </c>
      <c r="B166" s="7" t="s">
        <v>704</v>
      </c>
      <c r="C166" s="32" t="s">
        <v>1035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f>IFERROR(VLOOKUP(A166,'Trans 21-23'!$A$2:$J$229,8,0),0)</f>
        <v>0</v>
      </c>
      <c r="Y166" s="42">
        <v>0</v>
      </c>
      <c r="Z166" s="42">
        <v>0</v>
      </c>
      <c r="AA166" s="42">
        <v>0</v>
      </c>
      <c r="AB166" s="42">
        <v>0</v>
      </c>
      <c r="AC166" s="42">
        <v>0</v>
      </c>
      <c r="AD166" s="42">
        <v>79494</v>
      </c>
      <c r="AE166" s="42">
        <v>0</v>
      </c>
      <c r="AF166" s="42">
        <v>113952</v>
      </c>
      <c r="AG166" s="42">
        <v>0</v>
      </c>
      <c r="AH166" s="42">
        <v>0</v>
      </c>
      <c r="AI166" s="42">
        <v>0</v>
      </c>
      <c r="AJ166" s="42">
        <v>0</v>
      </c>
      <c r="AK166" s="42">
        <v>0</v>
      </c>
      <c r="AL166" s="42">
        <v>0</v>
      </c>
      <c r="AM166" s="42">
        <v>0</v>
      </c>
      <c r="AN166" s="42">
        <v>0</v>
      </c>
      <c r="AO166" s="42">
        <v>0</v>
      </c>
      <c r="AP166" s="42">
        <v>0</v>
      </c>
      <c r="AQ166" s="42">
        <v>0</v>
      </c>
      <c r="AR166" s="42">
        <v>0</v>
      </c>
      <c r="AS166" s="42">
        <v>0</v>
      </c>
      <c r="AT166" s="42">
        <v>0</v>
      </c>
      <c r="AU166" s="42">
        <v>0</v>
      </c>
      <c r="AV166" s="42">
        <v>0</v>
      </c>
      <c r="AW166" s="42">
        <v>0</v>
      </c>
      <c r="AX166" s="42">
        <v>0</v>
      </c>
      <c r="AY166" s="42">
        <v>0</v>
      </c>
      <c r="AZ166" s="42">
        <v>0</v>
      </c>
      <c r="BA166" s="42">
        <v>0</v>
      </c>
      <c r="BB166" s="42">
        <v>0</v>
      </c>
      <c r="BC166" s="42">
        <v>0</v>
      </c>
      <c r="BD166" s="42">
        <v>0</v>
      </c>
      <c r="BE166" s="42">
        <v>0</v>
      </c>
      <c r="BF166" s="42">
        <v>0</v>
      </c>
      <c r="BG166" s="42">
        <v>0</v>
      </c>
      <c r="BH166" s="42">
        <v>0</v>
      </c>
      <c r="BI166" s="42">
        <v>0</v>
      </c>
      <c r="BJ166" s="42">
        <v>0</v>
      </c>
      <c r="BK166" s="42">
        <v>0</v>
      </c>
      <c r="BL166" s="42">
        <v>0</v>
      </c>
      <c r="BM166" s="42">
        <v>0</v>
      </c>
      <c r="BN166" s="42">
        <v>0</v>
      </c>
      <c r="BO166" s="42">
        <v>0</v>
      </c>
      <c r="BP166" s="42">
        <v>0</v>
      </c>
      <c r="BQ166" s="42">
        <v>0</v>
      </c>
      <c r="BR166" s="42">
        <v>0</v>
      </c>
      <c r="BS166" s="42">
        <f>IFERROR(VLOOKUP(A166,'Trans 21-23'!$A$2:$J$229,7,0),0)</f>
        <v>0</v>
      </c>
      <c r="BT166" s="63"/>
      <c r="BU166" s="32">
        <f t="shared" si="0"/>
        <v>0</v>
      </c>
      <c r="BV166" s="32">
        <f t="shared" si="1"/>
        <v>0</v>
      </c>
      <c r="BW166" s="32">
        <f t="shared" si="2"/>
        <v>0</v>
      </c>
      <c r="BX166" s="32">
        <f t="shared" si="3"/>
        <v>0</v>
      </c>
      <c r="BY166" s="32">
        <f t="shared" si="4"/>
        <v>0</v>
      </c>
      <c r="BZ166" s="32">
        <f t="shared" si="5"/>
        <v>0</v>
      </c>
      <c r="CA166" s="32">
        <f t="shared" si="6"/>
        <v>79494</v>
      </c>
      <c r="CB166" s="32">
        <f t="shared" si="7"/>
        <v>0</v>
      </c>
      <c r="CC166" s="32">
        <f t="shared" si="8"/>
        <v>0</v>
      </c>
      <c r="CD166" s="41">
        <f t="shared" si="75"/>
        <v>0</v>
      </c>
      <c r="CE166" s="44">
        <f t="shared" si="10"/>
        <v>66</v>
      </c>
      <c r="CF166" s="27"/>
      <c r="CG166" s="28" t="str">
        <f t="shared" si="11"/>
        <v/>
      </c>
      <c r="CH166" s="28" t="str">
        <f t="shared" si="12"/>
        <v/>
      </c>
      <c r="CI166" s="28" t="str">
        <f t="shared" si="13"/>
        <v/>
      </c>
      <c r="CJ166" s="28" t="str">
        <f t="shared" si="14"/>
        <v/>
      </c>
      <c r="CK166" s="23" t="str">
        <f t="shared" si="15"/>
        <v/>
      </c>
      <c r="CL166" s="29" t="str">
        <f t="shared" si="16"/>
        <v/>
      </c>
      <c r="CM166" s="29" t="str">
        <f t="shared" si="17"/>
        <v/>
      </c>
      <c r="CN166" s="29" t="str">
        <f t="shared" si="18"/>
        <v/>
      </c>
      <c r="CO166" s="29" t="str">
        <f t="shared" si="19"/>
        <v/>
      </c>
      <c r="CP166" s="29" t="str">
        <f t="shared" si="20"/>
        <v/>
      </c>
      <c r="CQ166" s="29" t="str">
        <f t="shared" si="21"/>
        <v/>
      </c>
      <c r="CR166" s="30"/>
      <c r="CS166" s="7" t="str">
        <f>VLOOKUP(A166,'Empresas 21-23'!$A$2:$M$228,13,0)</f>
        <v/>
      </c>
      <c r="CT166" s="30"/>
      <c r="CU166" s="6">
        <f t="shared" si="22"/>
        <v>0</v>
      </c>
      <c r="CV166" s="6">
        <f t="shared" si="23"/>
        <v>0</v>
      </c>
      <c r="CW166" s="6">
        <f t="shared" si="24"/>
        <v>0</v>
      </c>
      <c r="CX166" s="23" t="str">
        <f>IFERROR(CU166/(BC166-BD166),"")</f>
        <v/>
      </c>
      <c r="CY166" s="23" t="str">
        <f>IFERROR(CV166/(BC166-BD166),"")</f>
        <v/>
      </c>
      <c r="CZ166" s="6" t="e">
        <f t="shared" si="27"/>
        <v>#VALUE!</v>
      </c>
      <c r="DA166" s="6" t="e">
        <f t="shared" si="28"/>
        <v>#VALUE!</v>
      </c>
      <c r="DB166" s="6">
        <f t="shared" si="29"/>
        <v>0</v>
      </c>
      <c r="DC166" s="6">
        <f t="shared" si="30"/>
        <v>0</v>
      </c>
      <c r="DD166" s="6">
        <f t="shared" si="31"/>
        <v>0</v>
      </c>
      <c r="DE166" s="6">
        <f t="shared" si="32"/>
        <v>79494</v>
      </c>
      <c r="DF166" s="6">
        <f t="shared" si="85"/>
        <v>0</v>
      </c>
      <c r="DG166" s="30"/>
      <c r="DH166" s="32" t="str">
        <f>VLOOKUP(A166,'T_med_comp-USA'!$A$7:$Q$233,17,0)</f>
        <v>-</v>
      </c>
      <c r="DI166" s="6" t="str">
        <f t="shared" si="34"/>
        <v/>
      </c>
      <c r="DJ166" s="32" t="str">
        <f>IF(DI166="","",VLOOKUP(DI166,'CPI USA'!$T:$U,2,FALSE))</f>
        <v/>
      </c>
      <c r="DK166" s="32" t="str">
        <f>IF(DI166="","",VLOOKUP(DI166,'PPI USA'!$S:$T,2,FALSE))</f>
        <v/>
      </c>
      <c r="DL166" s="32" t="str">
        <f>IF(DI166="","",VLOOKUP(DI166,'CPI USA'!$T:$V,3,FALSE))</f>
        <v/>
      </c>
      <c r="DM166" s="32" t="str">
        <f>IF(DI166="","",VLOOKUP(DI166,'CPI USA'!$T:$X,5,FALSE))</f>
        <v/>
      </c>
      <c r="DN166" s="32" t="str">
        <f t="shared" si="35"/>
        <v/>
      </c>
      <c r="DO166" s="32" t="str">
        <f t="shared" si="36"/>
        <v/>
      </c>
      <c r="DP166" s="32" t="str">
        <f t="shared" si="37"/>
        <v/>
      </c>
      <c r="DQ166" s="32" t="str">
        <f>IF(DP166="","",DP166*$DO$1/'CPI USA'!$U$520+(1-DP166)*AVERAGE($DO$1,$DQ$1)/AVERAGE('CPI USA'!$U$520,'PPI USA'!$T$526))</f>
        <v/>
      </c>
      <c r="DR166" s="6">
        <f t="shared" si="38"/>
        <v>0</v>
      </c>
      <c r="DS166" s="32" t="str">
        <f t="shared" si="39"/>
        <v/>
      </c>
      <c r="DT166" s="28" t="str">
        <f>IF(DS166="","",DS166*$DO$1/'CPI USA'!$U$520+(1-DS166)*AVERAGE($DO$1,$DQ$1)/AVERAGE('CPI USA'!$U$520,'PPI USA'!$T$526))</f>
        <v/>
      </c>
      <c r="DU166" s="6" t="str">
        <f t="shared" si="40"/>
        <v/>
      </c>
      <c r="DV166" s="6" t="str">
        <f t="shared" si="84"/>
        <v/>
      </c>
      <c r="DW166" s="6">
        <f t="shared" si="41"/>
        <v>0</v>
      </c>
      <c r="DX166" s="16" t="e">
        <f t="shared" si="42"/>
        <v>#VALUE!</v>
      </c>
      <c r="DY166" s="28" t="e">
        <f>IF(DX166="","",DX166*$DO$1/'CPI USA'!$U$520+(1-DX166)*AVERAGE($DO$1,$DQ$1)/AVERAGE('CPI USA'!$U$520,'PPI USA'!$T$526))</f>
        <v>#VALUE!</v>
      </c>
      <c r="DZ166" s="30"/>
      <c r="EA166" s="29" t="str">
        <f t="shared" si="43"/>
        <v>C002827</v>
      </c>
      <c r="EB166" s="29" t="str">
        <f t="shared" si="44"/>
        <v/>
      </c>
      <c r="EC166" s="29" t="str">
        <f t="shared" si="45"/>
        <v/>
      </c>
      <c r="ED166" s="29" t="str">
        <f t="shared" si="46"/>
        <v/>
      </c>
      <c r="EE166" s="29" t="str">
        <f t="shared" si="47"/>
        <v/>
      </c>
      <c r="EF166" s="29" t="str">
        <f t="shared" si="48"/>
        <v/>
      </c>
      <c r="EG166" s="29" t="str">
        <f t="shared" si="49"/>
        <v/>
      </c>
      <c r="EH166" s="29" t="str">
        <f t="shared" si="50"/>
        <v/>
      </c>
      <c r="EI166" s="29" t="str">
        <f t="shared" si="51"/>
        <v/>
      </c>
      <c r="EJ166" s="29" t="str">
        <f t="shared" si="52"/>
        <v/>
      </c>
      <c r="EK166" s="29" t="str">
        <f t="shared" si="53"/>
        <v/>
      </c>
      <c r="EL166" s="29" t="str">
        <f>IF(CD166=1,VLOOKUP(EA166,'EIA 2022'!$A$2:$J$213,4,0)*EH166,"")</f>
        <v/>
      </c>
      <c r="EM166" s="29" t="str">
        <f>IF(CD166=1,VLOOKUP(EA166,'EIA 2022'!$A$2:$J$213,7,0)*EH166,"")</f>
        <v/>
      </c>
      <c r="EN166" s="29" t="str">
        <f>IF(CD166=1,VLOOKUP(EA166,'EIA 2022'!$A$2:$J$213,10,0),"")</f>
        <v/>
      </c>
      <c r="EO166" s="28" t="str">
        <f>IF(CD166=1,VLOOKUP(EA166,'EIA 2022'!$A$2:$Z$213,26,0),"")</f>
        <v/>
      </c>
      <c r="EP166" s="23" t="str">
        <f t="shared" si="54"/>
        <v/>
      </c>
      <c r="EQ166" s="32" t="str">
        <f t="shared" si="55"/>
        <v/>
      </c>
      <c r="ER166" s="32" t="str">
        <f t="shared" si="56"/>
        <v/>
      </c>
      <c r="ES166" s="32"/>
      <c r="ET166" s="32"/>
    </row>
    <row r="167" spans="1:150" ht="15.75" customHeight="1">
      <c r="A167" s="7" t="s">
        <v>706</v>
      </c>
      <c r="B167" s="7" t="s">
        <v>707</v>
      </c>
      <c r="C167" s="32" t="s">
        <v>1036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f>IFERROR(VLOOKUP(A167,'Trans 21-23'!$A$2:$J$229,8,0),0)</f>
        <v>0</v>
      </c>
      <c r="Y167" s="42">
        <v>0</v>
      </c>
      <c r="Z167" s="42">
        <v>0</v>
      </c>
      <c r="AA167" s="42">
        <v>0</v>
      </c>
      <c r="AB167" s="42">
        <v>1409146</v>
      </c>
      <c r="AC167" s="42">
        <v>0</v>
      </c>
      <c r="AD167" s="42">
        <v>1081165</v>
      </c>
      <c r="AE167" s="42">
        <v>0</v>
      </c>
      <c r="AF167" s="42">
        <v>10608863</v>
      </c>
      <c r="AG167" s="42">
        <v>0</v>
      </c>
      <c r="AH167" s="42">
        <v>0</v>
      </c>
      <c r="AI167" s="42">
        <v>0</v>
      </c>
      <c r="AJ167" s="42">
        <v>0</v>
      </c>
      <c r="AK167" s="42">
        <v>0</v>
      </c>
      <c r="AL167" s="42">
        <v>0</v>
      </c>
      <c r="AM167" s="42">
        <v>0</v>
      </c>
      <c r="AN167" s="42">
        <v>0</v>
      </c>
      <c r="AO167" s="42">
        <v>0</v>
      </c>
      <c r="AP167" s="42">
        <v>0</v>
      </c>
      <c r="AQ167" s="42">
        <v>0</v>
      </c>
      <c r="AR167" s="42">
        <v>0</v>
      </c>
      <c r="AS167" s="42">
        <v>0</v>
      </c>
      <c r="AT167" s="42">
        <v>0</v>
      </c>
      <c r="AU167" s="42">
        <v>0</v>
      </c>
      <c r="AV167" s="42">
        <v>0</v>
      </c>
      <c r="AW167" s="42">
        <v>0</v>
      </c>
      <c r="AX167" s="42">
        <v>0</v>
      </c>
      <c r="AY167" s="42">
        <v>0</v>
      </c>
      <c r="AZ167" s="42">
        <v>0</v>
      </c>
      <c r="BA167" s="42">
        <v>0</v>
      </c>
      <c r="BB167" s="42">
        <v>0</v>
      </c>
      <c r="BC167" s="42">
        <v>9443020</v>
      </c>
      <c r="BD167" s="42">
        <v>0</v>
      </c>
      <c r="BE167" s="42">
        <v>0</v>
      </c>
      <c r="BF167" s="42">
        <v>0</v>
      </c>
      <c r="BG167" s="42">
        <v>0</v>
      </c>
      <c r="BH167" s="42">
        <v>0</v>
      </c>
      <c r="BI167" s="42">
        <v>0</v>
      </c>
      <c r="BJ167" s="42">
        <v>0</v>
      </c>
      <c r="BK167" s="42">
        <v>0</v>
      </c>
      <c r="BL167" s="42">
        <v>0</v>
      </c>
      <c r="BM167" s="42">
        <v>0</v>
      </c>
      <c r="BN167" s="42">
        <v>0</v>
      </c>
      <c r="BO167" s="42">
        <v>0</v>
      </c>
      <c r="BP167" s="42">
        <v>0</v>
      </c>
      <c r="BQ167" s="42">
        <v>0</v>
      </c>
      <c r="BR167" s="42">
        <v>0</v>
      </c>
      <c r="BS167" s="42">
        <f>IFERROR(VLOOKUP(A167,'Trans 21-23'!$A$2:$J$229,7,0),0)</f>
        <v>0</v>
      </c>
      <c r="BT167" s="63"/>
      <c r="BU167" s="32">
        <f t="shared" si="0"/>
        <v>0</v>
      </c>
      <c r="BV167" s="32">
        <f t="shared" si="1"/>
        <v>0</v>
      </c>
      <c r="BW167" s="32">
        <f t="shared" si="2"/>
        <v>0</v>
      </c>
      <c r="BX167" s="32">
        <f t="shared" si="3"/>
        <v>0</v>
      </c>
      <c r="BY167" s="32">
        <f t="shared" si="4"/>
        <v>1409146</v>
      </c>
      <c r="BZ167" s="32">
        <f t="shared" si="5"/>
        <v>0</v>
      </c>
      <c r="CA167" s="32">
        <f t="shared" si="6"/>
        <v>1081165</v>
      </c>
      <c r="CB167" s="32">
        <f t="shared" si="7"/>
        <v>0</v>
      </c>
      <c r="CC167" s="32">
        <f t="shared" si="8"/>
        <v>0</v>
      </c>
      <c r="CD167" s="41">
        <f t="shared" si="75"/>
        <v>0</v>
      </c>
      <c r="CE167" s="44">
        <f t="shared" si="10"/>
        <v>64</v>
      </c>
      <c r="CF167" s="27"/>
      <c r="CG167" s="28" t="str">
        <f t="shared" si="11"/>
        <v/>
      </c>
      <c r="CH167" s="28" t="str">
        <f t="shared" si="12"/>
        <v/>
      </c>
      <c r="CI167" s="28" t="str">
        <f t="shared" si="13"/>
        <v/>
      </c>
      <c r="CJ167" s="28" t="str">
        <f t="shared" si="14"/>
        <v/>
      </c>
      <c r="CK167" s="23" t="str">
        <f t="shared" si="15"/>
        <v/>
      </c>
      <c r="CL167" s="29" t="str">
        <f t="shared" si="16"/>
        <v/>
      </c>
      <c r="CM167" s="29" t="str">
        <f t="shared" si="17"/>
        <v/>
      </c>
      <c r="CN167" s="29" t="str">
        <f t="shared" si="18"/>
        <v/>
      </c>
      <c r="CO167" s="29" t="str">
        <f t="shared" si="19"/>
        <v/>
      </c>
      <c r="CP167" s="29" t="str">
        <f t="shared" si="20"/>
        <v/>
      </c>
      <c r="CQ167" s="29" t="str">
        <f t="shared" si="21"/>
        <v/>
      </c>
      <c r="CR167" s="30"/>
      <c r="CS167" s="7" t="str">
        <f>VLOOKUP(A167,'Empresas 21-23'!$A$2:$M$228,13,0)</f>
        <v/>
      </c>
      <c r="CT167" s="30"/>
      <c r="CU167" s="6">
        <f t="shared" si="22"/>
        <v>0</v>
      </c>
      <c r="CV167" s="6">
        <f t="shared" si="23"/>
        <v>0</v>
      </c>
      <c r="CW167" s="6">
        <f t="shared" si="24"/>
        <v>0</v>
      </c>
      <c r="CX167" s="23">
        <f t="shared" ref="CX167:CX171" si="86">CU167/(BC167-BD167)</f>
        <v>0</v>
      </c>
      <c r="CY167" s="23">
        <f t="shared" ref="CY167:CY171" si="87">CV167/(BC167-BD167)</f>
        <v>0</v>
      </c>
      <c r="CZ167" s="6">
        <f t="shared" si="27"/>
        <v>0</v>
      </c>
      <c r="DA167" s="6">
        <f t="shared" si="28"/>
        <v>0</v>
      </c>
      <c r="DB167" s="6">
        <f t="shared" si="29"/>
        <v>0</v>
      </c>
      <c r="DC167" s="6">
        <f t="shared" si="30"/>
        <v>0</v>
      </c>
      <c r="DD167" s="6">
        <f t="shared" si="31"/>
        <v>1409146</v>
      </c>
      <c r="DE167" s="6">
        <f t="shared" si="32"/>
        <v>1081165</v>
      </c>
      <c r="DF167" s="6">
        <f t="shared" si="85"/>
        <v>159904.24288112405</v>
      </c>
      <c r="DG167" s="30"/>
      <c r="DH167" s="32" t="str">
        <f>VLOOKUP(A167,'T_med_comp-USA'!$A$7:$Q$233,17,0)</f>
        <v>-</v>
      </c>
      <c r="DI167" s="6" t="str">
        <f t="shared" si="34"/>
        <v/>
      </c>
      <c r="DJ167" s="32" t="str">
        <f>IF(DI167="","",VLOOKUP(DI167,'CPI USA'!$T:$U,2,FALSE))</f>
        <v/>
      </c>
      <c r="DK167" s="32" t="str">
        <f>IF(DI167="","",VLOOKUP(DI167,'PPI USA'!$S:$T,2,FALSE))</f>
        <v/>
      </c>
      <c r="DL167" s="32" t="str">
        <f>IF(DI167="","",VLOOKUP(DI167,'CPI USA'!$T:$V,3,FALSE))</f>
        <v/>
      </c>
      <c r="DM167" s="32" t="str">
        <f>IF(DI167="","",VLOOKUP(DI167,'CPI USA'!$T:$X,5,FALSE))</f>
        <v/>
      </c>
      <c r="DN167" s="32" t="str">
        <f t="shared" si="35"/>
        <v/>
      </c>
      <c r="DO167" s="32" t="str">
        <f t="shared" si="36"/>
        <v/>
      </c>
      <c r="DP167" s="32" t="str">
        <f t="shared" si="37"/>
        <v/>
      </c>
      <c r="DQ167" s="32" t="str">
        <f>IF(DP167="","",DP167*$DO$1/'CPI USA'!$U$520+(1-DP167)*AVERAGE($DO$1,$DQ$1)/AVERAGE('CPI USA'!$U$520,'PPI USA'!$T$526))</f>
        <v/>
      </c>
      <c r="DR167" s="6">
        <f t="shared" si="38"/>
        <v>0</v>
      </c>
      <c r="DS167" s="32">
        <f t="shared" si="39"/>
        <v>0.2</v>
      </c>
      <c r="DT167" s="28">
        <f>IF(DS167="","",DS167*$DO$1/'CPI USA'!$U$520+(1-DS167)*AVERAGE($DO$1,$DQ$1)/AVERAGE('CPI USA'!$U$520,'PPI USA'!$T$526))</f>
        <v>1.0854630593748538</v>
      </c>
      <c r="DU167" s="6" t="str">
        <f t="shared" si="40"/>
        <v/>
      </c>
      <c r="DV167" s="6" t="str">
        <f t="shared" si="84"/>
        <v/>
      </c>
      <c r="DW167" s="6">
        <f t="shared" si="41"/>
        <v>0</v>
      </c>
      <c r="DX167" s="16" t="str">
        <f t="shared" si="42"/>
        <v/>
      </c>
      <c r="DY167" s="28" t="str">
        <f>IF(DX167="","",DX167*$DO$1/'CPI USA'!$U$520+(1-DX167)*AVERAGE($DO$1,$DQ$1)/AVERAGE('CPI USA'!$U$520,'PPI USA'!$T$526))</f>
        <v/>
      </c>
      <c r="DZ167" s="30"/>
      <c r="EA167" s="29" t="str">
        <f t="shared" si="43"/>
        <v>C002854</v>
      </c>
      <c r="EB167" s="29" t="str">
        <f t="shared" si="44"/>
        <v/>
      </c>
      <c r="EC167" s="29" t="str">
        <f t="shared" si="45"/>
        <v/>
      </c>
      <c r="ED167" s="29" t="str">
        <f t="shared" si="46"/>
        <v/>
      </c>
      <c r="EE167" s="29" t="str">
        <f t="shared" si="47"/>
        <v/>
      </c>
      <c r="EF167" s="29" t="str">
        <f t="shared" si="48"/>
        <v/>
      </c>
      <c r="EG167" s="29" t="str">
        <f t="shared" si="49"/>
        <v/>
      </c>
      <c r="EH167" s="29" t="str">
        <f t="shared" si="50"/>
        <v/>
      </c>
      <c r="EI167" s="29" t="str">
        <f t="shared" si="51"/>
        <v/>
      </c>
      <c r="EJ167" s="29" t="str">
        <f t="shared" si="52"/>
        <v/>
      </c>
      <c r="EK167" s="29" t="str">
        <f t="shared" si="53"/>
        <v/>
      </c>
      <c r="EL167" s="29" t="str">
        <f>IF(CD167=1,VLOOKUP(EA167,'EIA 2022'!$A$2:$J$213,4,0)*EH167,"")</f>
        <v/>
      </c>
      <c r="EM167" s="29" t="str">
        <f>IF(CD167=1,VLOOKUP(EA167,'EIA 2022'!$A$2:$J$213,7,0)*EH167,"")</f>
        <v/>
      </c>
      <c r="EN167" s="29" t="str">
        <f>IF(CD167=1,VLOOKUP(EA167,'EIA 2022'!$A$2:$J$213,10,0),"")</f>
        <v/>
      </c>
      <c r="EO167" s="28" t="str">
        <f>IF(CD167=1,VLOOKUP(EA167,'EIA 2022'!$A$2:$Z$213,26,0),"")</f>
        <v/>
      </c>
      <c r="EP167" s="23" t="str">
        <f t="shared" si="54"/>
        <v/>
      </c>
      <c r="EQ167" s="32" t="str">
        <f t="shared" si="55"/>
        <v/>
      </c>
      <c r="ER167" s="32" t="str">
        <f t="shared" si="56"/>
        <v/>
      </c>
      <c r="ES167" s="32"/>
      <c r="ET167" s="32"/>
    </row>
    <row r="168" spans="1:150" ht="15.75" customHeight="1">
      <c r="A168" s="7" t="s">
        <v>709</v>
      </c>
      <c r="B168" s="7" t="s">
        <v>710</v>
      </c>
      <c r="C168" s="32" t="s">
        <v>1037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f>IFERROR(VLOOKUP(A168,'Trans 21-23'!$A$2:$J$229,8,0),0)</f>
        <v>0</v>
      </c>
      <c r="Y168" s="42">
        <v>0</v>
      </c>
      <c r="Z168" s="42">
        <v>0</v>
      </c>
      <c r="AA168" s="42">
        <v>0</v>
      </c>
      <c r="AB168" s="42">
        <v>0</v>
      </c>
      <c r="AC168" s="42">
        <v>0</v>
      </c>
      <c r="AD168" s="42">
        <v>8639165</v>
      </c>
      <c r="AE168" s="42">
        <v>0</v>
      </c>
      <c r="AF168" s="42">
        <v>14194139</v>
      </c>
      <c r="AG168" s="42">
        <v>0</v>
      </c>
      <c r="AH168" s="42">
        <v>0</v>
      </c>
      <c r="AI168" s="42">
        <v>0</v>
      </c>
      <c r="AJ168" s="42">
        <v>0</v>
      </c>
      <c r="AK168" s="42">
        <v>0</v>
      </c>
      <c r="AL168" s="42">
        <v>0</v>
      </c>
      <c r="AM168" s="42">
        <v>0</v>
      </c>
      <c r="AN168" s="42">
        <v>0</v>
      </c>
      <c r="AO168" s="42">
        <v>0</v>
      </c>
      <c r="AP168" s="42">
        <v>0</v>
      </c>
      <c r="AQ168" s="42">
        <v>0</v>
      </c>
      <c r="AR168" s="42">
        <v>0</v>
      </c>
      <c r="AS168" s="42">
        <v>0</v>
      </c>
      <c r="AT168" s="42">
        <v>0</v>
      </c>
      <c r="AU168" s="42">
        <v>0</v>
      </c>
      <c r="AV168" s="42">
        <v>0</v>
      </c>
      <c r="AW168" s="42">
        <v>0</v>
      </c>
      <c r="AX168" s="42">
        <v>0</v>
      </c>
      <c r="AY168" s="42">
        <v>0</v>
      </c>
      <c r="AZ168" s="42">
        <v>0</v>
      </c>
      <c r="BA168" s="42">
        <v>0</v>
      </c>
      <c r="BB168" s="42">
        <v>0</v>
      </c>
      <c r="BC168" s="42">
        <v>596479568</v>
      </c>
      <c r="BD168" s="42">
        <v>593358</v>
      </c>
      <c r="BE168" s="42">
        <v>0</v>
      </c>
      <c r="BF168" s="42">
        <v>0</v>
      </c>
      <c r="BG168" s="42">
        <v>0</v>
      </c>
      <c r="BH168" s="42">
        <v>0</v>
      </c>
      <c r="BI168" s="42">
        <v>0</v>
      </c>
      <c r="BJ168" s="42">
        <v>0</v>
      </c>
      <c r="BK168" s="42">
        <v>0</v>
      </c>
      <c r="BL168" s="42">
        <v>0</v>
      </c>
      <c r="BM168" s="42">
        <v>2868814</v>
      </c>
      <c r="BN168" s="42">
        <v>3108198</v>
      </c>
      <c r="BO168" s="42">
        <v>0</v>
      </c>
      <c r="BP168" s="42">
        <v>7347</v>
      </c>
      <c r="BQ168" s="42">
        <v>3141754</v>
      </c>
      <c r="BR168" s="42">
        <v>0</v>
      </c>
      <c r="BS168" s="42">
        <f>IFERROR(VLOOKUP(A168,'Trans 21-23'!$A$2:$J$229,7,0),0)</f>
        <v>0</v>
      </c>
      <c r="BT168" s="63"/>
      <c r="BU168" s="32">
        <f t="shared" si="0"/>
        <v>0</v>
      </c>
      <c r="BV168" s="32">
        <f t="shared" si="1"/>
        <v>0</v>
      </c>
      <c r="BW168" s="32">
        <f t="shared" si="2"/>
        <v>0</v>
      </c>
      <c r="BX168" s="32">
        <f t="shared" si="3"/>
        <v>0</v>
      </c>
      <c r="BY168" s="32">
        <f t="shared" si="4"/>
        <v>0</v>
      </c>
      <c r="BZ168" s="32">
        <f t="shared" si="5"/>
        <v>0</v>
      </c>
      <c r="CA168" s="32">
        <f t="shared" si="6"/>
        <v>8639165</v>
      </c>
      <c r="CB168" s="32">
        <f t="shared" si="7"/>
        <v>0</v>
      </c>
      <c r="CC168" s="32">
        <f t="shared" si="8"/>
        <v>0</v>
      </c>
      <c r="CD168" s="41">
        <f t="shared" si="75"/>
        <v>0</v>
      </c>
      <c r="CE168" s="44">
        <f t="shared" si="10"/>
        <v>60</v>
      </c>
      <c r="CF168" s="27"/>
      <c r="CG168" s="28" t="str">
        <f t="shared" si="11"/>
        <v/>
      </c>
      <c r="CH168" s="28" t="str">
        <f t="shared" si="12"/>
        <v/>
      </c>
      <c r="CI168" s="28" t="str">
        <f t="shared" si="13"/>
        <v/>
      </c>
      <c r="CJ168" s="28" t="str">
        <f t="shared" si="14"/>
        <v/>
      </c>
      <c r="CK168" s="23" t="str">
        <f t="shared" si="15"/>
        <v/>
      </c>
      <c r="CL168" s="29" t="str">
        <f t="shared" si="16"/>
        <v/>
      </c>
      <c r="CM168" s="29" t="str">
        <f t="shared" si="17"/>
        <v/>
      </c>
      <c r="CN168" s="29" t="str">
        <f t="shared" si="18"/>
        <v/>
      </c>
      <c r="CO168" s="29" t="str">
        <f t="shared" si="19"/>
        <v/>
      </c>
      <c r="CP168" s="29" t="str">
        <f t="shared" si="20"/>
        <v/>
      </c>
      <c r="CQ168" s="29" t="str">
        <f t="shared" si="21"/>
        <v/>
      </c>
      <c r="CR168" s="30"/>
      <c r="CS168" s="7" t="str">
        <f>VLOOKUP(A168,'Empresas 21-23'!$A$2:$M$228,13,0)</f>
        <v/>
      </c>
      <c r="CT168" s="30"/>
      <c r="CU168" s="6">
        <f t="shared" si="22"/>
        <v>0</v>
      </c>
      <c r="CV168" s="6">
        <f t="shared" si="23"/>
        <v>0</v>
      </c>
      <c r="CW168" s="6">
        <f t="shared" si="24"/>
        <v>593358</v>
      </c>
      <c r="CX168" s="23">
        <f t="shared" si="86"/>
        <v>0</v>
      </c>
      <c r="CY168" s="23">
        <f t="shared" si="87"/>
        <v>0</v>
      </c>
      <c r="CZ168" s="6">
        <f t="shared" si="27"/>
        <v>0</v>
      </c>
      <c r="DA168" s="6">
        <f t="shared" si="28"/>
        <v>0</v>
      </c>
      <c r="DB168" s="6">
        <f t="shared" si="29"/>
        <v>0</v>
      </c>
      <c r="DC168" s="6">
        <f t="shared" si="30"/>
        <v>0</v>
      </c>
      <c r="DD168" s="6">
        <f t="shared" si="31"/>
        <v>0</v>
      </c>
      <c r="DE168" s="6">
        <f t="shared" si="32"/>
        <v>8639165</v>
      </c>
      <c r="DF168" s="6">
        <f t="shared" si="85"/>
        <v>0</v>
      </c>
      <c r="DG168" s="30"/>
      <c r="DH168" s="32" t="str">
        <f>VLOOKUP(A168,'T_med_comp-USA'!$A$7:$Q$233,17,0)</f>
        <v>-</v>
      </c>
      <c r="DI168" s="6" t="str">
        <f t="shared" si="34"/>
        <v/>
      </c>
      <c r="DJ168" s="32" t="str">
        <f>IF(DI168="","",VLOOKUP(DI168,'CPI USA'!$T:$U,2,FALSE))</f>
        <v/>
      </c>
      <c r="DK168" s="32" t="str">
        <f>IF(DI168="","",VLOOKUP(DI168,'PPI USA'!$S:$T,2,FALSE))</f>
        <v/>
      </c>
      <c r="DL168" s="32" t="str">
        <f>IF(DI168="","",VLOOKUP(DI168,'CPI USA'!$T:$V,3,FALSE))</f>
        <v/>
      </c>
      <c r="DM168" s="32" t="str">
        <f>IF(DI168="","",VLOOKUP(DI168,'CPI USA'!$T:$X,5,FALSE))</f>
        <v/>
      </c>
      <c r="DN168" s="32" t="str">
        <f t="shared" si="35"/>
        <v/>
      </c>
      <c r="DO168" s="32" t="str">
        <f t="shared" si="36"/>
        <v/>
      </c>
      <c r="DP168" s="32" t="str">
        <f t="shared" si="37"/>
        <v/>
      </c>
      <c r="DQ168" s="32" t="str">
        <f>IF(DP168="","",DP168*$DO$1/'CPI USA'!$U$520+(1-DP168)*AVERAGE($DO$1,$DQ$1)/AVERAGE('CPI USA'!$U$520,'PPI USA'!$T$526))</f>
        <v/>
      </c>
      <c r="DR168" s="6">
        <f t="shared" si="38"/>
        <v>0</v>
      </c>
      <c r="DS168" s="32" t="str">
        <f t="shared" si="39"/>
        <v/>
      </c>
      <c r="DT168" s="28" t="str">
        <f>IF(DS168="","",DS168*$DO$1/'CPI USA'!$U$520+(1-DS168)*AVERAGE($DO$1,$DQ$1)/AVERAGE('CPI USA'!$U$520,'PPI USA'!$T$526))</f>
        <v/>
      </c>
      <c r="DU168" s="6" t="str">
        <f t="shared" si="40"/>
        <v/>
      </c>
      <c r="DV168" s="6">
        <f t="shared" si="84"/>
        <v>6724.4542454122902</v>
      </c>
      <c r="DW168" s="6">
        <f t="shared" si="41"/>
        <v>0</v>
      </c>
      <c r="DX168" s="16" t="str">
        <f t="shared" si="42"/>
        <v/>
      </c>
      <c r="DY168" s="28" t="str">
        <f>IF(DX168="","",DX168*$DO$1/'CPI USA'!$U$520+(1-DX168)*AVERAGE($DO$1,$DQ$1)/AVERAGE('CPI USA'!$U$520,'PPI USA'!$T$526))</f>
        <v/>
      </c>
      <c r="DZ168" s="30"/>
      <c r="EA168" s="29" t="str">
        <f t="shared" si="43"/>
        <v>C003138</v>
      </c>
      <c r="EB168" s="29" t="str">
        <f t="shared" si="44"/>
        <v/>
      </c>
      <c r="EC168" s="29" t="str">
        <f t="shared" si="45"/>
        <v/>
      </c>
      <c r="ED168" s="29" t="str">
        <f t="shared" si="46"/>
        <v/>
      </c>
      <c r="EE168" s="29" t="str">
        <f t="shared" si="47"/>
        <v/>
      </c>
      <c r="EF168" s="29" t="str">
        <f t="shared" si="48"/>
        <v/>
      </c>
      <c r="EG168" s="29" t="str">
        <f t="shared" si="49"/>
        <v/>
      </c>
      <c r="EH168" s="29" t="str">
        <f t="shared" si="50"/>
        <v/>
      </c>
      <c r="EI168" s="29" t="str">
        <f t="shared" si="51"/>
        <v/>
      </c>
      <c r="EJ168" s="29" t="str">
        <f t="shared" si="52"/>
        <v/>
      </c>
      <c r="EK168" s="29" t="str">
        <f t="shared" si="53"/>
        <v/>
      </c>
      <c r="EL168" s="29" t="str">
        <f>IF(CD168=1,VLOOKUP(EA168,'EIA 2022'!$A$2:$J$213,4,0)*EH168,"")</f>
        <v/>
      </c>
      <c r="EM168" s="29" t="str">
        <f>IF(CD168=1,VLOOKUP(EA168,'EIA 2022'!$A$2:$J$213,7,0)*EH168,"")</f>
        <v/>
      </c>
      <c r="EN168" s="29" t="str">
        <f>IF(CD168=1,VLOOKUP(EA168,'EIA 2022'!$A$2:$J$213,10,0),"")</f>
        <v/>
      </c>
      <c r="EO168" s="28" t="str">
        <f>IF(CD168=1,VLOOKUP(EA168,'EIA 2022'!$A$2:$Z$213,26,0),"")</f>
        <v/>
      </c>
      <c r="EP168" s="23" t="str">
        <f t="shared" si="54"/>
        <v/>
      </c>
      <c r="EQ168" s="32" t="str">
        <f t="shared" si="55"/>
        <v/>
      </c>
      <c r="ER168" s="32" t="str">
        <f t="shared" si="56"/>
        <v/>
      </c>
      <c r="ES168" s="32"/>
      <c r="ET168" s="32"/>
    </row>
    <row r="169" spans="1:150" ht="15.75" customHeight="1">
      <c r="A169" s="7" t="s">
        <v>712</v>
      </c>
      <c r="B169" s="7" t="s">
        <v>713</v>
      </c>
      <c r="C169" s="32" t="s">
        <v>1038</v>
      </c>
      <c r="D169" s="42">
        <v>116240683</v>
      </c>
      <c r="E169" s="42">
        <v>0</v>
      </c>
      <c r="F169" s="42">
        <v>0</v>
      </c>
      <c r="G169" s="42">
        <v>0</v>
      </c>
      <c r="H169" s="42">
        <v>289488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f>IFERROR(VLOOKUP(A169,'Trans 21-23'!$A$2:$J$229,8,0),0)</f>
        <v>0</v>
      </c>
      <c r="Y169" s="42">
        <v>0</v>
      </c>
      <c r="Z169" s="42">
        <v>0</v>
      </c>
      <c r="AA169" s="42">
        <v>0</v>
      </c>
      <c r="AB169" s="42">
        <v>0</v>
      </c>
      <c r="AC169" s="42">
        <v>0</v>
      </c>
      <c r="AD169" s="42">
        <v>1226266</v>
      </c>
      <c r="AE169" s="42">
        <v>0</v>
      </c>
      <c r="AF169" s="42">
        <v>227253160</v>
      </c>
      <c r="AG169" s="42">
        <v>2</v>
      </c>
      <c r="AH169" s="42">
        <v>0</v>
      </c>
      <c r="AI169" s="42">
        <v>2961175</v>
      </c>
      <c r="AJ169" s="42">
        <v>0</v>
      </c>
      <c r="AK169" s="42">
        <v>0</v>
      </c>
      <c r="AL169" s="42">
        <v>0</v>
      </c>
      <c r="AM169" s="42">
        <v>0</v>
      </c>
      <c r="AN169" s="42">
        <v>0</v>
      </c>
      <c r="AO169" s="42">
        <v>0</v>
      </c>
      <c r="AP169" s="42">
        <v>0</v>
      </c>
      <c r="AQ169" s="42">
        <v>0</v>
      </c>
      <c r="AR169" s="42">
        <v>2961175</v>
      </c>
      <c r="AS169" s="42">
        <v>2961175</v>
      </c>
      <c r="AT169" s="42">
        <v>0</v>
      </c>
      <c r="AU169" s="42">
        <v>1133</v>
      </c>
      <c r="AV169" s="42">
        <v>0</v>
      </c>
      <c r="AW169" s="42">
        <v>0</v>
      </c>
      <c r="AX169" s="42">
        <v>0</v>
      </c>
      <c r="AY169" s="42">
        <v>0</v>
      </c>
      <c r="AZ169" s="42">
        <v>0</v>
      </c>
      <c r="BA169" s="42">
        <v>0</v>
      </c>
      <c r="BB169" s="42">
        <v>0</v>
      </c>
      <c r="BC169" s="42">
        <v>1864569530</v>
      </c>
      <c r="BD169" s="42">
        <v>680490</v>
      </c>
      <c r="BE169" s="42">
        <v>0</v>
      </c>
      <c r="BF169" s="42">
        <v>0</v>
      </c>
      <c r="BG169" s="42">
        <v>0</v>
      </c>
      <c r="BH169" s="42">
        <v>0</v>
      </c>
      <c r="BI169" s="42">
        <v>0</v>
      </c>
      <c r="BJ169" s="42">
        <v>0</v>
      </c>
      <c r="BK169" s="42">
        <v>0</v>
      </c>
      <c r="BL169" s="42">
        <v>0</v>
      </c>
      <c r="BM169" s="42">
        <v>4175389</v>
      </c>
      <c r="BN169" s="42">
        <v>12234454</v>
      </c>
      <c r="BO169" s="42">
        <v>2531449</v>
      </c>
      <c r="BP169" s="42">
        <v>2657067</v>
      </c>
      <c r="BQ169" s="42">
        <v>15498504</v>
      </c>
      <c r="BR169" s="42">
        <v>0</v>
      </c>
      <c r="BS169" s="42">
        <f>IFERROR(VLOOKUP(A169,'Trans 21-23'!$A$2:$J$229,7,0),0)</f>
        <v>0</v>
      </c>
      <c r="BT169" s="63"/>
      <c r="BU169" s="32">
        <f t="shared" si="0"/>
        <v>0</v>
      </c>
      <c r="BV169" s="32">
        <f t="shared" si="1"/>
        <v>1133</v>
      </c>
      <c r="BW169" s="32">
        <f t="shared" si="2"/>
        <v>2</v>
      </c>
      <c r="BX169" s="32">
        <f t="shared" si="3"/>
        <v>0</v>
      </c>
      <c r="BY169" s="32">
        <f t="shared" si="4"/>
        <v>0</v>
      </c>
      <c r="BZ169" s="32">
        <f t="shared" si="5"/>
        <v>0</v>
      </c>
      <c r="CA169" s="32">
        <f t="shared" si="6"/>
        <v>1226266</v>
      </c>
      <c r="CB169" s="32">
        <f t="shared" si="7"/>
        <v>0</v>
      </c>
      <c r="CC169" s="32">
        <f t="shared" si="8"/>
        <v>0</v>
      </c>
      <c r="CD169" s="41">
        <f t="shared" si="75"/>
        <v>0</v>
      </c>
      <c r="CE169" s="44">
        <f t="shared" si="10"/>
        <v>52</v>
      </c>
      <c r="CF169" s="27"/>
      <c r="CG169" s="28" t="str">
        <f t="shared" si="11"/>
        <v/>
      </c>
      <c r="CH169" s="28" t="str">
        <f t="shared" si="12"/>
        <v/>
      </c>
      <c r="CI169" s="28" t="str">
        <f t="shared" si="13"/>
        <v/>
      </c>
      <c r="CJ169" s="28" t="str">
        <f t="shared" si="14"/>
        <v/>
      </c>
      <c r="CK169" s="23" t="str">
        <f t="shared" si="15"/>
        <v/>
      </c>
      <c r="CL169" s="29" t="str">
        <f t="shared" si="16"/>
        <v/>
      </c>
      <c r="CM169" s="29" t="str">
        <f t="shared" si="17"/>
        <v/>
      </c>
      <c r="CN169" s="29" t="str">
        <f t="shared" si="18"/>
        <v/>
      </c>
      <c r="CO169" s="29" t="str">
        <f t="shared" si="19"/>
        <v/>
      </c>
      <c r="CP169" s="29" t="str">
        <f t="shared" si="20"/>
        <v/>
      </c>
      <c r="CQ169" s="29" t="str">
        <f t="shared" si="21"/>
        <v/>
      </c>
      <c r="CR169" s="30"/>
      <c r="CS169" s="7" t="str">
        <f>VLOOKUP(A169,'Empresas 21-23'!$A$2:$M$228,13,0)</f>
        <v/>
      </c>
      <c r="CT169" s="30"/>
      <c r="CU169" s="6">
        <f t="shared" si="22"/>
        <v>0</v>
      </c>
      <c r="CV169" s="6">
        <f t="shared" si="23"/>
        <v>0</v>
      </c>
      <c r="CW169" s="6">
        <f t="shared" si="24"/>
        <v>680490</v>
      </c>
      <c r="CX169" s="23">
        <f t="shared" si="86"/>
        <v>0</v>
      </c>
      <c r="CY169" s="23">
        <f t="shared" si="87"/>
        <v>0</v>
      </c>
      <c r="CZ169" s="6">
        <f t="shared" si="27"/>
        <v>0</v>
      </c>
      <c r="DA169" s="6">
        <f t="shared" si="28"/>
        <v>0</v>
      </c>
      <c r="DB169" s="6">
        <f t="shared" si="29"/>
        <v>0</v>
      </c>
      <c r="DC169" s="6">
        <f t="shared" si="30"/>
        <v>0</v>
      </c>
      <c r="DD169" s="6">
        <f t="shared" si="31"/>
        <v>0</v>
      </c>
      <c r="DE169" s="6">
        <f t="shared" si="32"/>
        <v>1226266</v>
      </c>
      <c r="DF169" s="6">
        <f t="shared" si="85"/>
        <v>0</v>
      </c>
      <c r="DG169" s="30"/>
      <c r="DH169" s="32" t="str">
        <f>VLOOKUP(A169,'T_med_comp-USA'!$A$7:$Q$233,17,0)</f>
        <v>-</v>
      </c>
      <c r="DI169" s="6" t="str">
        <f t="shared" si="34"/>
        <v/>
      </c>
      <c r="DJ169" s="32" t="str">
        <f>IF(DI169="","",VLOOKUP(DI169,'CPI USA'!$T:$U,2,FALSE))</f>
        <v/>
      </c>
      <c r="DK169" s="32" t="str">
        <f>IF(DI169="","",VLOOKUP(DI169,'PPI USA'!$S:$T,2,FALSE))</f>
        <v/>
      </c>
      <c r="DL169" s="32" t="str">
        <f>IF(DI169="","",VLOOKUP(DI169,'CPI USA'!$T:$V,3,FALSE))</f>
        <v/>
      </c>
      <c r="DM169" s="32" t="str">
        <f>IF(DI169="","",VLOOKUP(DI169,'CPI USA'!$T:$X,5,FALSE))</f>
        <v/>
      </c>
      <c r="DN169" s="32" t="str">
        <f t="shared" si="35"/>
        <v/>
      </c>
      <c r="DO169" s="32" t="str">
        <f t="shared" si="36"/>
        <v/>
      </c>
      <c r="DP169" s="32" t="str">
        <f t="shared" si="37"/>
        <v/>
      </c>
      <c r="DQ169" s="32" t="str">
        <f>IF(DP169="","",DP169*$DO$1/'CPI USA'!$U$520+(1-DP169)*AVERAGE($DO$1,$DQ$1)/AVERAGE('CPI USA'!$U$520,'PPI USA'!$T$526))</f>
        <v/>
      </c>
      <c r="DR169" s="6">
        <f t="shared" si="38"/>
        <v>0</v>
      </c>
      <c r="DS169" s="32" t="str">
        <f t="shared" si="39"/>
        <v/>
      </c>
      <c r="DT169" s="28" t="str">
        <f>IF(DS169="","",DS169*$DO$1/'CPI USA'!$U$520+(1-DS169)*AVERAGE($DO$1,$DQ$1)/AVERAGE('CPI USA'!$U$520,'PPI USA'!$T$526))</f>
        <v/>
      </c>
      <c r="DU169" s="6" t="str">
        <f t="shared" si="40"/>
        <v/>
      </c>
      <c r="DV169" s="6">
        <f t="shared" si="84"/>
        <v>863944.45762285008</v>
      </c>
      <c r="DW169" s="6">
        <f t="shared" si="41"/>
        <v>0</v>
      </c>
      <c r="DX169" s="16" t="str">
        <f t="shared" si="42"/>
        <v/>
      </c>
      <c r="DY169" s="28" t="str">
        <f>IF(DX169="","",DX169*$DO$1/'CPI USA'!$U$520+(1-DX169)*AVERAGE($DO$1,$DQ$1)/AVERAGE('CPI USA'!$U$520,'PPI USA'!$T$526))</f>
        <v/>
      </c>
      <c r="DZ169" s="30"/>
      <c r="EA169" s="29" t="str">
        <f t="shared" si="43"/>
        <v>C003184</v>
      </c>
      <c r="EB169" s="29" t="str">
        <f t="shared" si="44"/>
        <v/>
      </c>
      <c r="EC169" s="29" t="str">
        <f t="shared" si="45"/>
        <v/>
      </c>
      <c r="ED169" s="29" t="str">
        <f t="shared" si="46"/>
        <v/>
      </c>
      <c r="EE169" s="29" t="str">
        <f t="shared" si="47"/>
        <v/>
      </c>
      <c r="EF169" s="29" t="str">
        <f t="shared" si="48"/>
        <v/>
      </c>
      <c r="EG169" s="29" t="str">
        <f t="shared" si="49"/>
        <v/>
      </c>
      <c r="EH169" s="29" t="str">
        <f t="shared" si="50"/>
        <v/>
      </c>
      <c r="EI169" s="29" t="str">
        <f t="shared" si="51"/>
        <v/>
      </c>
      <c r="EJ169" s="29" t="str">
        <f t="shared" si="52"/>
        <v/>
      </c>
      <c r="EK169" s="29" t="str">
        <f t="shared" si="53"/>
        <v/>
      </c>
      <c r="EL169" s="29" t="str">
        <f>IF(CD169=1,VLOOKUP(EA169,'EIA 2022'!$A$2:$J$213,4,0)*EH169,"")</f>
        <v/>
      </c>
      <c r="EM169" s="29" t="str">
        <f>IF(CD169=1,VLOOKUP(EA169,'EIA 2022'!$A$2:$J$213,7,0)*EH169,"")</f>
        <v/>
      </c>
      <c r="EN169" s="29" t="str">
        <f>IF(CD169=1,VLOOKUP(EA169,'EIA 2022'!$A$2:$J$213,10,0),"")</f>
        <v/>
      </c>
      <c r="EO169" s="28" t="str">
        <f>IF(CD169=1,VLOOKUP(EA169,'EIA 2022'!$A$2:$Z$213,26,0),"")</f>
        <v/>
      </c>
      <c r="EP169" s="23" t="str">
        <f t="shared" si="54"/>
        <v/>
      </c>
      <c r="EQ169" s="32" t="str">
        <f t="shared" si="55"/>
        <v/>
      </c>
      <c r="ER169" s="32" t="str">
        <f t="shared" si="56"/>
        <v/>
      </c>
      <c r="ES169" s="32"/>
      <c r="ET169" s="32"/>
    </row>
    <row r="170" spans="1:150" ht="15.75" customHeight="1">
      <c r="A170" s="7" t="s">
        <v>715</v>
      </c>
      <c r="B170" s="7" t="s">
        <v>716</v>
      </c>
      <c r="C170" s="32" t="s">
        <v>1039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f>IFERROR(VLOOKUP(A170,'Trans 21-23'!$A$2:$J$229,8,0),0)</f>
        <v>0</v>
      </c>
      <c r="Y170" s="42">
        <v>0</v>
      </c>
      <c r="Z170" s="42">
        <v>0</v>
      </c>
      <c r="AA170" s="42">
        <v>0</v>
      </c>
      <c r="AB170" s="42">
        <v>0</v>
      </c>
      <c r="AC170" s="42">
        <v>0</v>
      </c>
      <c r="AD170" s="42">
        <v>827911</v>
      </c>
      <c r="AE170" s="42">
        <v>0</v>
      </c>
      <c r="AF170" s="42">
        <v>2391145</v>
      </c>
      <c r="AG170" s="42">
        <v>0</v>
      </c>
      <c r="AH170" s="42">
        <v>0</v>
      </c>
      <c r="AI170" s="42">
        <v>0</v>
      </c>
      <c r="AJ170" s="42">
        <v>0</v>
      </c>
      <c r="AK170" s="42">
        <v>0</v>
      </c>
      <c r="AL170" s="42">
        <v>0</v>
      </c>
      <c r="AM170" s="42">
        <v>0</v>
      </c>
      <c r="AN170" s="42">
        <v>0</v>
      </c>
      <c r="AO170" s="42">
        <v>0</v>
      </c>
      <c r="AP170" s="42">
        <v>0</v>
      </c>
      <c r="AQ170" s="42">
        <v>0</v>
      </c>
      <c r="AR170" s="42">
        <v>0</v>
      </c>
      <c r="AS170" s="42">
        <v>0</v>
      </c>
      <c r="AT170" s="42">
        <v>0</v>
      </c>
      <c r="AU170" s="42">
        <v>0</v>
      </c>
      <c r="AV170" s="42">
        <v>0</v>
      </c>
      <c r="AW170" s="42">
        <v>0</v>
      </c>
      <c r="AX170" s="42">
        <v>0</v>
      </c>
      <c r="AY170" s="42">
        <v>0</v>
      </c>
      <c r="AZ170" s="42">
        <v>0</v>
      </c>
      <c r="BA170" s="42">
        <v>0</v>
      </c>
      <c r="BB170" s="42">
        <v>0</v>
      </c>
      <c r="BC170" s="42">
        <v>313343973</v>
      </c>
      <c r="BD170" s="42">
        <v>0</v>
      </c>
      <c r="BE170" s="42">
        <v>0</v>
      </c>
      <c r="BF170" s="42">
        <v>0</v>
      </c>
      <c r="BG170" s="42">
        <v>0</v>
      </c>
      <c r="BH170" s="42">
        <v>0</v>
      </c>
      <c r="BI170" s="42">
        <v>0</v>
      </c>
      <c r="BJ170" s="42">
        <v>0</v>
      </c>
      <c r="BK170" s="42">
        <v>0</v>
      </c>
      <c r="BL170" s="42">
        <v>0</v>
      </c>
      <c r="BM170" s="42">
        <v>0</v>
      </c>
      <c r="BN170" s="42">
        <v>0</v>
      </c>
      <c r="BO170" s="42">
        <v>0</v>
      </c>
      <c r="BP170" s="42">
        <v>0</v>
      </c>
      <c r="BQ170" s="42">
        <v>0</v>
      </c>
      <c r="BR170" s="42">
        <v>0</v>
      </c>
      <c r="BS170" s="42">
        <f>IFERROR(VLOOKUP(A170,'Trans 21-23'!$A$2:$J$229,7,0),0)</f>
        <v>0</v>
      </c>
      <c r="BT170" s="63"/>
      <c r="BU170" s="32">
        <f t="shared" si="0"/>
        <v>0</v>
      </c>
      <c r="BV170" s="32">
        <f t="shared" si="1"/>
        <v>0</v>
      </c>
      <c r="BW170" s="32">
        <f t="shared" si="2"/>
        <v>0</v>
      </c>
      <c r="BX170" s="32">
        <f t="shared" si="3"/>
        <v>0</v>
      </c>
      <c r="BY170" s="32">
        <f t="shared" si="4"/>
        <v>0</v>
      </c>
      <c r="BZ170" s="32">
        <f t="shared" si="5"/>
        <v>0</v>
      </c>
      <c r="CA170" s="32">
        <f t="shared" si="6"/>
        <v>827911</v>
      </c>
      <c r="CB170" s="32">
        <f t="shared" si="7"/>
        <v>0</v>
      </c>
      <c r="CC170" s="32">
        <f t="shared" si="8"/>
        <v>0</v>
      </c>
      <c r="CD170" s="41">
        <f t="shared" si="75"/>
        <v>0</v>
      </c>
      <c r="CE170" s="44">
        <f t="shared" si="10"/>
        <v>65</v>
      </c>
      <c r="CF170" s="27"/>
      <c r="CG170" s="28" t="str">
        <f t="shared" si="11"/>
        <v/>
      </c>
      <c r="CH170" s="28" t="str">
        <f t="shared" si="12"/>
        <v/>
      </c>
      <c r="CI170" s="28" t="str">
        <f t="shared" si="13"/>
        <v/>
      </c>
      <c r="CJ170" s="28" t="str">
        <f t="shared" si="14"/>
        <v/>
      </c>
      <c r="CK170" s="23" t="str">
        <f t="shared" si="15"/>
        <v/>
      </c>
      <c r="CL170" s="29" t="str">
        <f t="shared" si="16"/>
        <v/>
      </c>
      <c r="CM170" s="29" t="str">
        <f t="shared" si="17"/>
        <v/>
      </c>
      <c r="CN170" s="29" t="str">
        <f t="shared" si="18"/>
        <v/>
      </c>
      <c r="CO170" s="29" t="str">
        <f t="shared" si="19"/>
        <v/>
      </c>
      <c r="CP170" s="29" t="str">
        <f t="shared" si="20"/>
        <v/>
      </c>
      <c r="CQ170" s="29" t="str">
        <f t="shared" si="21"/>
        <v/>
      </c>
      <c r="CR170" s="30"/>
      <c r="CS170" s="7" t="str">
        <f>VLOOKUP(A170,'Empresas 21-23'!$A$2:$M$228,13,0)</f>
        <v/>
      </c>
      <c r="CT170" s="30"/>
      <c r="CU170" s="6">
        <f t="shared" si="22"/>
        <v>0</v>
      </c>
      <c r="CV170" s="6">
        <f t="shared" si="23"/>
        <v>0</v>
      </c>
      <c r="CW170" s="6">
        <f t="shared" si="24"/>
        <v>0</v>
      </c>
      <c r="CX170" s="23">
        <f t="shared" si="86"/>
        <v>0</v>
      </c>
      <c r="CY170" s="23">
        <f t="shared" si="87"/>
        <v>0</v>
      </c>
      <c r="CZ170" s="6">
        <f t="shared" si="27"/>
        <v>0</v>
      </c>
      <c r="DA170" s="6">
        <f t="shared" si="28"/>
        <v>0</v>
      </c>
      <c r="DB170" s="6">
        <f t="shared" si="29"/>
        <v>0</v>
      </c>
      <c r="DC170" s="6">
        <f t="shared" si="30"/>
        <v>0</v>
      </c>
      <c r="DD170" s="6">
        <f t="shared" si="31"/>
        <v>0</v>
      </c>
      <c r="DE170" s="6">
        <f t="shared" si="32"/>
        <v>827911</v>
      </c>
      <c r="DF170" s="6">
        <f t="shared" si="85"/>
        <v>0</v>
      </c>
      <c r="DG170" s="30"/>
      <c r="DH170" s="32" t="str">
        <f>VLOOKUP(A170,'T_med_comp-USA'!$A$7:$Q$233,17,0)</f>
        <v>-</v>
      </c>
      <c r="DI170" s="6" t="str">
        <f t="shared" si="34"/>
        <v/>
      </c>
      <c r="DJ170" s="32" t="str">
        <f>IF(DI170="","",VLOOKUP(DI170,'CPI USA'!$T:$U,2,FALSE))</f>
        <v/>
      </c>
      <c r="DK170" s="32" t="str">
        <f>IF(DI170="","",VLOOKUP(DI170,'PPI USA'!$S:$T,2,FALSE))</f>
        <v/>
      </c>
      <c r="DL170" s="32" t="str">
        <f>IF(DI170="","",VLOOKUP(DI170,'CPI USA'!$T:$V,3,FALSE))</f>
        <v/>
      </c>
      <c r="DM170" s="32" t="str">
        <f>IF(DI170="","",VLOOKUP(DI170,'CPI USA'!$T:$X,5,FALSE))</f>
        <v/>
      </c>
      <c r="DN170" s="32" t="str">
        <f t="shared" si="35"/>
        <v/>
      </c>
      <c r="DO170" s="32" t="str">
        <f t="shared" si="36"/>
        <v/>
      </c>
      <c r="DP170" s="32" t="str">
        <f t="shared" si="37"/>
        <v/>
      </c>
      <c r="DQ170" s="32" t="str">
        <f>IF(DP170="","",DP170*$DO$1/'CPI USA'!$U$520+(1-DP170)*AVERAGE($DO$1,$DQ$1)/AVERAGE('CPI USA'!$U$520,'PPI USA'!$T$526))</f>
        <v/>
      </c>
      <c r="DR170" s="6">
        <f t="shared" si="38"/>
        <v>0</v>
      </c>
      <c r="DS170" s="32" t="str">
        <f t="shared" si="39"/>
        <v/>
      </c>
      <c r="DT170" s="28" t="str">
        <f>IF(DS170="","",DS170*$DO$1/'CPI USA'!$U$520+(1-DS170)*AVERAGE($DO$1,$DQ$1)/AVERAGE('CPI USA'!$U$520,'PPI USA'!$T$526))</f>
        <v/>
      </c>
      <c r="DU170" s="6" t="str">
        <f t="shared" si="40"/>
        <v/>
      </c>
      <c r="DV170" s="6" t="str">
        <f t="shared" si="84"/>
        <v/>
      </c>
      <c r="DW170" s="6">
        <f t="shared" si="41"/>
        <v>0</v>
      </c>
      <c r="DX170" s="16" t="str">
        <f t="shared" si="42"/>
        <v/>
      </c>
      <c r="DY170" s="28" t="str">
        <f>IF(DX170="","",DX170*$DO$1/'CPI USA'!$U$520+(1-DX170)*AVERAGE($DO$1,$DQ$1)/AVERAGE('CPI USA'!$U$520,'PPI USA'!$T$526))</f>
        <v/>
      </c>
      <c r="DZ170" s="30"/>
      <c r="EA170" s="29" t="str">
        <f t="shared" si="43"/>
        <v>C003194</v>
      </c>
      <c r="EB170" s="29" t="str">
        <f t="shared" si="44"/>
        <v/>
      </c>
      <c r="EC170" s="29" t="str">
        <f t="shared" si="45"/>
        <v/>
      </c>
      <c r="ED170" s="29" t="str">
        <f t="shared" si="46"/>
        <v/>
      </c>
      <c r="EE170" s="29" t="str">
        <f t="shared" si="47"/>
        <v/>
      </c>
      <c r="EF170" s="29" t="str">
        <f t="shared" si="48"/>
        <v/>
      </c>
      <c r="EG170" s="29" t="str">
        <f t="shared" si="49"/>
        <v/>
      </c>
      <c r="EH170" s="29" t="str">
        <f t="shared" si="50"/>
        <v/>
      </c>
      <c r="EI170" s="29" t="str">
        <f t="shared" si="51"/>
        <v/>
      </c>
      <c r="EJ170" s="29" t="str">
        <f t="shared" si="52"/>
        <v/>
      </c>
      <c r="EK170" s="29" t="str">
        <f t="shared" si="53"/>
        <v/>
      </c>
      <c r="EL170" s="29" t="str">
        <f>IF(CD170=1,VLOOKUP(EA170,'EIA 2022'!$A$2:$J$213,4,0)*EH170,"")</f>
        <v/>
      </c>
      <c r="EM170" s="29" t="str">
        <f>IF(CD170=1,VLOOKUP(EA170,'EIA 2022'!$A$2:$J$213,7,0)*EH170,"")</f>
        <v/>
      </c>
      <c r="EN170" s="29" t="str">
        <f>IF(CD170=1,VLOOKUP(EA170,'EIA 2022'!$A$2:$J$213,10,0),"")</f>
        <v/>
      </c>
      <c r="EO170" s="28" t="str">
        <f>IF(CD170=1,VLOOKUP(EA170,'EIA 2022'!$A$2:$Z$213,26,0),"")</f>
        <v/>
      </c>
      <c r="EP170" s="23" t="str">
        <f t="shared" si="54"/>
        <v/>
      </c>
      <c r="EQ170" s="32" t="str">
        <f t="shared" si="55"/>
        <v/>
      </c>
      <c r="ER170" s="32" t="str">
        <f t="shared" si="56"/>
        <v/>
      </c>
      <c r="ES170" s="32"/>
      <c r="ET170" s="32"/>
    </row>
    <row r="171" spans="1:150" ht="15.75" customHeight="1">
      <c r="A171" s="7" t="s">
        <v>718</v>
      </c>
      <c r="B171" s="7" t="s">
        <v>719</v>
      </c>
      <c r="C171" s="32" t="s">
        <v>1040</v>
      </c>
      <c r="D171" s="42">
        <v>0</v>
      </c>
      <c r="E171" s="42">
        <v>0</v>
      </c>
      <c r="F171" s="42">
        <v>46592008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3140</v>
      </c>
      <c r="X171" s="42">
        <f>IFERROR(VLOOKUP(A171,'Trans 21-23'!$A$2:$J$229,8,0),0)</f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2739058</v>
      </c>
      <c r="AE171" s="42">
        <v>0</v>
      </c>
      <c r="AF171" s="42">
        <v>52348315</v>
      </c>
      <c r="AG171" s="42">
        <v>0</v>
      </c>
      <c r="AH171" s="42">
        <v>0</v>
      </c>
      <c r="AI171" s="42">
        <v>899462</v>
      </c>
      <c r="AJ171" s="42">
        <v>0</v>
      </c>
      <c r="AK171" s="42">
        <v>0</v>
      </c>
      <c r="AL171" s="42">
        <v>0</v>
      </c>
      <c r="AM171" s="42">
        <v>0</v>
      </c>
      <c r="AN171" s="42">
        <v>0</v>
      </c>
      <c r="AO171" s="42">
        <v>0</v>
      </c>
      <c r="AP171" s="42">
        <v>0</v>
      </c>
      <c r="AQ171" s="42">
        <v>0</v>
      </c>
      <c r="AR171" s="42">
        <v>899462</v>
      </c>
      <c r="AS171" s="42">
        <v>899462</v>
      </c>
      <c r="AT171" s="42">
        <v>0</v>
      </c>
      <c r="AU171" s="42">
        <v>0</v>
      </c>
      <c r="AV171" s="42">
        <v>0</v>
      </c>
      <c r="AW171" s="42">
        <v>0</v>
      </c>
      <c r="AX171" s="42">
        <v>0</v>
      </c>
      <c r="AY171" s="42">
        <v>0</v>
      </c>
      <c r="AZ171" s="42">
        <v>0</v>
      </c>
      <c r="BA171" s="42">
        <v>0</v>
      </c>
      <c r="BB171" s="42">
        <v>0</v>
      </c>
      <c r="BC171" s="42">
        <v>114970694</v>
      </c>
      <c r="BD171" s="42">
        <v>0</v>
      </c>
      <c r="BE171" s="42">
        <v>0</v>
      </c>
      <c r="BF171" s="42">
        <v>0</v>
      </c>
      <c r="BG171" s="42">
        <v>0</v>
      </c>
      <c r="BH171" s="42">
        <v>0</v>
      </c>
      <c r="BI171" s="42">
        <v>0</v>
      </c>
      <c r="BJ171" s="42">
        <v>0</v>
      </c>
      <c r="BK171" s="42">
        <v>0</v>
      </c>
      <c r="BL171" s="42">
        <v>0</v>
      </c>
      <c r="BM171" s="42">
        <v>0</v>
      </c>
      <c r="BN171" s="42">
        <v>0</v>
      </c>
      <c r="BO171" s="42">
        <v>0</v>
      </c>
      <c r="BP171" s="42">
        <v>0</v>
      </c>
      <c r="BQ171" s="42">
        <v>0</v>
      </c>
      <c r="BR171" s="42">
        <v>0</v>
      </c>
      <c r="BS171" s="42">
        <f>IFERROR(VLOOKUP(A171,'Trans 21-23'!$A$2:$J$229,7,0),0)</f>
        <v>0</v>
      </c>
      <c r="BT171" s="63"/>
      <c r="BU171" s="32">
        <f t="shared" si="0"/>
        <v>0</v>
      </c>
      <c r="BV171" s="32">
        <f t="shared" si="1"/>
        <v>0</v>
      </c>
      <c r="BW171" s="32">
        <f t="shared" si="2"/>
        <v>0</v>
      </c>
      <c r="BX171" s="32">
        <f t="shared" si="3"/>
        <v>3140</v>
      </c>
      <c r="BY171" s="32">
        <f t="shared" si="4"/>
        <v>0</v>
      </c>
      <c r="BZ171" s="32">
        <f t="shared" si="5"/>
        <v>0</v>
      </c>
      <c r="CA171" s="32">
        <f t="shared" si="6"/>
        <v>2739058</v>
      </c>
      <c r="CB171" s="32">
        <f t="shared" si="7"/>
        <v>0</v>
      </c>
      <c r="CC171" s="32">
        <f t="shared" si="8"/>
        <v>0</v>
      </c>
      <c r="CD171" s="41">
        <f t="shared" si="75"/>
        <v>0</v>
      </c>
      <c r="CE171" s="44">
        <f t="shared" si="10"/>
        <v>60</v>
      </c>
      <c r="CF171" s="27"/>
      <c r="CG171" s="28" t="str">
        <f t="shared" si="11"/>
        <v/>
      </c>
      <c r="CH171" s="28" t="str">
        <f t="shared" si="12"/>
        <v/>
      </c>
      <c r="CI171" s="28" t="str">
        <f t="shared" si="13"/>
        <v/>
      </c>
      <c r="CJ171" s="28" t="str">
        <f t="shared" si="14"/>
        <v/>
      </c>
      <c r="CK171" s="23" t="str">
        <f t="shared" si="15"/>
        <v/>
      </c>
      <c r="CL171" s="29" t="str">
        <f t="shared" si="16"/>
        <v/>
      </c>
      <c r="CM171" s="29" t="str">
        <f t="shared" si="17"/>
        <v/>
      </c>
      <c r="CN171" s="29" t="str">
        <f t="shared" si="18"/>
        <v/>
      </c>
      <c r="CO171" s="29" t="str">
        <f t="shared" si="19"/>
        <v/>
      </c>
      <c r="CP171" s="29" t="str">
        <f t="shared" si="20"/>
        <v/>
      </c>
      <c r="CQ171" s="29" t="str">
        <f t="shared" si="21"/>
        <v/>
      </c>
      <c r="CR171" s="30"/>
      <c r="CS171" s="7" t="str">
        <f>VLOOKUP(A171,'Empresas 21-23'!$A$2:$M$228,13,0)</f>
        <v/>
      </c>
      <c r="CT171" s="30"/>
      <c r="CU171" s="6">
        <f t="shared" si="22"/>
        <v>0</v>
      </c>
      <c r="CV171" s="6">
        <f t="shared" si="23"/>
        <v>0</v>
      </c>
      <c r="CW171" s="6">
        <f t="shared" si="24"/>
        <v>0</v>
      </c>
      <c r="CX171" s="23">
        <f t="shared" si="86"/>
        <v>0</v>
      </c>
      <c r="CY171" s="23">
        <f t="shared" si="87"/>
        <v>0</v>
      </c>
      <c r="CZ171" s="6">
        <f t="shared" si="27"/>
        <v>0</v>
      </c>
      <c r="DA171" s="6">
        <f t="shared" si="28"/>
        <v>0</v>
      </c>
      <c r="DB171" s="6">
        <f t="shared" si="29"/>
        <v>3140</v>
      </c>
      <c r="DC171" s="6">
        <f t="shared" si="30"/>
        <v>3140</v>
      </c>
      <c r="DD171" s="6">
        <f t="shared" si="31"/>
        <v>0</v>
      </c>
      <c r="DE171" s="6">
        <f t="shared" si="32"/>
        <v>2739058</v>
      </c>
      <c r="DF171" s="6">
        <f t="shared" si="85"/>
        <v>2850.4913316733223</v>
      </c>
      <c r="DG171" s="30"/>
      <c r="DH171" s="32" t="str">
        <f>VLOOKUP(A171,'T_med_comp-USA'!$A$7:$Q$233,17,0)</f>
        <v>-</v>
      </c>
      <c r="DI171" s="6" t="str">
        <f t="shared" si="34"/>
        <v/>
      </c>
      <c r="DJ171" s="32" t="str">
        <f>IF(DI171="","",VLOOKUP(DI171,'CPI USA'!$T:$U,2,FALSE))</f>
        <v/>
      </c>
      <c r="DK171" s="32" t="str">
        <f>IF(DI171="","",VLOOKUP(DI171,'PPI USA'!$S:$T,2,FALSE))</f>
        <v/>
      </c>
      <c r="DL171" s="32" t="str">
        <f>IF(DI171="","",VLOOKUP(DI171,'CPI USA'!$T:$V,3,FALSE))</f>
        <v/>
      </c>
      <c r="DM171" s="32" t="str">
        <f>IF(DI171="","",VLOOKUP(DI171,'CPI USA'!$T:$X,5,FALSE))</f>
        <v/>
      </c>
      <c r="DN171" s="32" t="str">
        <f t="shared" si="35"/>
        <v/>
      </c>
      <c r="DO171" s="32" t="str">
        <f t="shared" si="36"/>
        <v/>
      </c>
      <c r="DP171" s="32">
        <f t="shared" si="37"/>
        <v>0.2</v>
      </c>
      <c r="DQ171" s="32">
        <f>IF(DP171="","",DP171*$DO$1/'CPI USA'!$U$520+(1-DP171)*AVERAGE($DO$1,$DQ$1)/AVERAGE('CPI USA'!$U$520,'PPI USA'!$T$526))</f>
        <v>1.0854630593748538</v>
      </c>
      <c r="DR171" s="6">
        <f t="shared" si="38"/>
        <v>0</v>
      </c>
      <c r="DS171" s="32" t="str">
        <f t="shared" si="39"/>
        <v/>
      </c>
      <c r="DT171" s="28" t="str">
        <f>IF(DS171="","",DS171*$DO$1/'CPI USA'!$U$520+(1-DS171)*AVERAGE($DO$1,$DQ$1)/AVERAGE('CPI USA'!$U$520,'PPI USA'!$T$526))</f>
        <v/>
      </c>
      <c r="DU171" s="6">
        <f t="shared" si="40"/>
        <v>0</v>
      </c>
      <c r="DV171" s="6" t="str">
        <f t="shared" si="84"/>
        <v/>
      </c>
      <c r="DW171" s="6">
        <f t="shared" si="41"/>
        <v>0</v>
      </c>
      <c r="DX171" s="16" t="str">
        <f t="shared" si="42"/>
        <v/>
      </c>
      <c r="DY171" s="28" t="str">
        <f>IF(DX171="","",DX171*$DO$1/'CPI USA'!$U$520+(1-DX171)*AVERAGE($DO$1,$DQ$1)/AVERAGE('CPI USA'!$U$520,'PPI USA'!$T$526))</f>
        <v/>
      </c>
      <c r="DZ171" s="30"/>
      <c r="EA171" s="29" t="str">
        <f t="shared" si="43"/>
        <v>C003435</v>
      </c>
      <c r="EB171" s="29" t="str">
        <f t="shared" si="44"/>
        <v/>
      </c>
      <c r="EC171" s="29" t="str">
        <f t="shared" si="45"/>
        <v/>
      </c>
      <c r="ED171" s="29" t="str">
        <f t="shared" si="46"/>
        <v/>
      </c>
      <c r="EE171" s="29" t="str">
        <f t="shared" si="47"/>
        <v/>
      </c>
      <c r="EF171" s="29" t="str">
        <f t="shared" si="48"/>
        <v/>
      </c>
      <c r="EG171" s="29" t="str">
        <f t="shared" si="49"/>
        <v/>
      </c>
      <c r="EH171" s="29" t="str">
        <f t="shared" si="50"/>
        <v/>
      </c>
      <c r="EI171" s="29" t="str">
        <f t="shared" si="51"/>
        <v/>
      </c>
      <c r="EJ171" s="29" t="str">
        <f t="shared" si="52"/>
        <v/>
      </c>
      <c r="EK171" s="29" t="str">
        <f t="shared" si="53"/>
        <v/>
      </c>
      <c r="EL171" s="29" t="str">
        <f>IF(CD171=1,VLOOKUP(EA171,'EIA 2022'!$A$2:$J$213,4,0)*EH171,"")</f>
        <v/>
      </c>
      <c r="EM171" s="29" t="str">
        <f>IF(CD171=1,VLOOKUP(EA171,'EIA 2022'!$A$2:$J$213,7,0)*EH171,"")</f>
        <v/>
      </c>
      <c r="EN171" s="29" t="str">
        <f>IF(CD171=1,VLOOKUP(EA171,'EIA 2022'!$A$2:$J$213,10,0),"")</f>
        <v/>
      </c>
      <c r="EO171" s="28" t="str">
        <f>IF(CD171=1,VLOOKUP(EA171,'EIA 2022'!$A$2:$Z$213,26,0),"")</f>
        <v/>
      </c>
      <c r="EP171" s="23" t="str">
        <f t="shared" si="54"/>
        <v/>
      </c>
      <c r="EQ171" s="32" t="str">
        <f t="shared" si="55"/>
        <v/>
      </c>
      <c r="ER171" s="32" t="str">
        <f t="shared" si="56"/>
        <v/>
      </c>
      <c r="ES171" s="32"/>
      <c r="ET171" s="32"/>
    </row>
    <row r="172" spans="1:150" ht="15.75" customHeight="1">
      <c r="A172" s="7" t="s">
        <v>721</v>
      </c>
      <c r="B172" s="7" t="s">
        <v>722</v>
      </c>
      <c r="C172" s="32" t="s">
        <v>1041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f>IFERROR(VLOOKUP(A172,'Trans 21-23'!$A$2:$J$229,8,0),0)</f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27179</v>
      </c>
      <c r="AE172" s="42">
        <v>0</v>
      </c>
      <c r="AF172" s="42">
        <v>27179</v>
      </c>
      <c r="AG172" s="42">
        <v>7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2">
        <v>0</v>
      </c>
      <c r="AR172" s="42">
        <v>0</v>
      </c>
      <c r="AS172" s="42">
        <v>0</v>
      </c>
      <c r="AT172" s="42">
        <v>0</v>
      </c>
      <c r="AU172" s="42">
        <v>0</v>
      </c>
      <c r="AV172" s="42">
        <v>0</v>
      </c>
      <c r="AW172" s="42">
        <v>0</v>
      </c>
      <c r="AX172" s="42">
        <v>0</v>
      </c>
      <c r="AY172" s="42">
        <v>0</v>
      </c>
      <c r="AZ172" s="42">
        <v>0</v>
      </c>
      <c r="BA172" s="42">
        <v>0</v>
      </c>
      <c r="BB172" s="42">
        <v>0</v>
      </c>
      <c r="BC172" s="42">
        <v>0</v>
      </c>
      <c r="BD172" s="42">
        <v>0</v>
      </c>
      <c r="BE172" s="42">
        <v>0</v>
      </c>
      <c r="BF172" s="42">
        <v>0</v>
      </c>
      <c r="BG172" s="42">
        <v>0</v>
      </c>
      <c r="BH172" s="42">
        <v>0</v>
      </c>
      <c r="BI172" s="42">
        <v>0</v>
      </c>
      <c r="BJ172" s="42">
        <v>0</v>
      </c>
      <c r="BK172" s="42">
        <v>0</v>
      </c>
      <c r="BL172" s="42">
        <v>0</v>
      </c>
      <c r="BM172" s="42">
        <v>0</v>
      </c>
      <c r="BN172" s="42">
        <v>0</v>
      </c>
      <c r="BO172" s="42">
        <v>0</v>
      </c>
      <c r="BP172" s="42">
        <v>0</v>
      </c>
      <c r="BQ172" s="42">
        <v>1693021</v>
      </c>
      <c r="BR172" s="42">
        <v>0</v>
      </c>
      <c r="BS172" s="42">
        <f>IFERROR(VLOOKUP(A172,'Trans 21-23'!$A$2:$J$229,7,0),0)</f>
        <v>0</v>
      </c>
      <c r="BT172" s="63"/>
      <c r="BU172" s="32">
        <f t="shared" si="0"/>
        <v>0</v>
      </c>
      <c r="BV172" s="32">
        <f t="shared" si="1"/>
        <v>0</v>
      </c>
      <c r="BW172" s="32">
        <f t="shared" si="2"/>
        <v>7</v>
      </c>
      <c r="BX172" s="32">
        <f t="shared" si="3"/>
        <v>0</v>
      </c>
      <c r="BY172" s="32">
        <f t="shared" si="4"/>
        <v>0</v>
      </c>
      <c r="BZ172" s="32">
        <f t="shared" si="5"/>
        <v>0</v>
      </c>
      <c r="CA172" s="32">
        <f t="shared" si="6"/>
        <v>27179</v>
      </c>
      <c r="CB172" s="32">
        <f t="shared" si="7"/>
        <v>0</v>
      </c>
      <c r="CC172" s="32">
        <f t="shared" si="8"/>
        <v>0</v>
      </c>
      <c r="CD172" s="41">
        <f t="shared" si="75"/>
        <v>0</v>
      </c>
      <c r="CE172" s="44">
        <f t="shared" si="10"/>
        <v>64</v>
      </c>
      <c r="CF172" s="27"/>
      <c r="CG172" s="28" t="str">
        <f t="shared" si="11"/>
        <v/>
      </c>
      <c r="CH172" s="28" t="str">
        <f t="shared" si="12"/>
        <v/>
      </c>
      <c r="CI172" s="28" t="str">
        <f t="shared" si="13"/>
        <v/>
      </c>
      <c r="CJ172" s="28" t="str">
        <f t="shared" si="14"/>
        <v/>
      </c>
      <c r="CK172" s="23" t="str">
        <f t="shared" si="15"/>
        <v/>
      </c>
      <c r="CL172" s="29" t="str">
        <f t="shared" si="16"/>
        <v/>
      </c>
      <c r="CM172" s="29" t="str">
        <f t="shared" si="17"/>
        <v/>
      </c>
      <c r="CN172" s="29" t="str">
        <f t="shared" si="18"/>
        <v/>
      </c>
      <c r="CO172" s="29" t="str">
        <f t="shared" si="19"/>
        <v/>
      </c>
      <c r="CP172" s="29" t="str">
        <f t="shared" si="20"/>
        <v/>
      </c>
      <c r="CQ172" s="29" t="str">
        <f t="shared" si="21"/>
        <v/>
      </c>
      <c r="CR172" s="30"/>
      <c r="CS172" s="7" t="str">
        <f>VLOOKUP(A172,'Empresas 21-23'!$A$2:$M$228,13,0)</f>
        <v/>
      </c>
      <c r="CT172" s="30"/>
      <c r="CU172" s="6">
        <f t="shared" si="22"/>
        <v>0</v>
      </c>
      <c r="CV172" s="6">
        <f t="shared" si="23"/>
        <v>0</v>
      </c>
      <c r="CW172" s="6">
        <f t="shared" si="24"/>
        <v>0</v>
      </c>
      <c r="CX172" s="23" t="str">
        <f>IFERROR(CU172/(BC172-BD172),"")</f>
        <v/>
      </c>
      <c r="CY172" s="23" t="str">
        <f>IFERROR(CV172/(BC172-BD172),"")</f>
        <v/>
      </c>
      <c r="CZ172" s="6" t="e">
        <f t="shared" si="27"/>
        <v>#VALUE!</v>
      </c>
      <c r="DA172" s="6" t="e">
        <f t="shared" si="28"/>
        <v>#VALUE!</v>
      </c>
      <c r="DB172" s="6">
        <f t="shared" si="29"/>
        <v>0</v>
      </c>
      <c r="DC172" s="6">
        <f t="shared" si="30"/>
        <v>0</v>
      </c>
      <c r="DD172" s="6">
        <f t="shared" si="31"/>
        <v>0</v>
      </c>
      <c r="DE172" s="6">
        <f t="shared" si="32"/>
        <v>27179</v>
      </c>
      <c r="DF172" s="6">
        <f>IFERROR(DE172*(DC172+DD172)/(AF172-AD172-F172-H172-E172-D172),0)</f>
        <v>0</v>
      </c>
      <c r="DG172" s="30"/>
      <c r="DH172" s="32" t="str">
        <f>VLOOKUP(A172,'T_med_comp-USA'!$A$7:$Q$233,17,0)</f>
        <v>-</v>
      </c>
      <c r="DI172" s="6" t="str">
        <f t="shared" si="34"/>
        <v/>
      </c>
      <c r="DJ172" s="32" t="str">
        <f>IF(DI172="","",VLOOKUP(DI172,'CPI USA'!$T:$U,2,FALSE))</f>
        <v/>
      </c>
      <c r="DK172" s="32" t="str">
        <f>IF(DI172="","",VLOOKUP(DI172,'PPI USA'!$S:$T,2,FALSE))</f>
        <v/>
      </c>
      <c r="DL172" s="32" t="str">
        <f>IF(DI172="","",VLOOKUP(DI172,'CPI USA'!$T:$V,3,FALSE))</f>
        <v/>
      </c>
      <c r="DM172" s="32" t="str">
        <f>IF(DI172="","",VLOOKUP(DI172,'CPI USA'!$T:$X,5,FALSE))</f>
        <v/>
      </c>
      <c r="DN172" s="32" t="str">
        <f t="shared" si="35"/>
        <v/>
      </c>
      <c r="DO172" s="32" t="str">
        <f t="shared" si="36"/>
        <v/>
      </c>
      <c r="DP172" s="32" t="str">
        <f t="shared" si="37"/>
        <v/>
      </c>
      <c r="DQ172" s="32" t="str">
        <f>IF(DP172="","",DP172*$DO$1/'CPI USA'!$U$520+(1-DP172)*AVERAGE($DO$1,$DQ$1)/AVERAGE('CPI USA'!$U$520,'PPI USA'!$T$526))</f>
        <v/>
      </c>
      <c r="DR172" s="6">
        <f t="shared" si="38"/>
        <v>0</v>
      </c>
      <c r="DS172" s="32" t="str">
        <f t="shared" si="39"/>
        <v/>
      </c>
      <c r="DT172" s="28" t="str">
        <f>IF(DS172="","",DS172*$DO$1/'CPI USA'!$U$520+(1-DS172)*AVERAGE($DO$1,$DQ$1)/AVERAGE('CPI USA'!$U$520,'PPI USA'!$T$526))</f>
        <v/>
      </c>
      <c r="DU172" s="6" t="str">
        <f t="shared" si="40"/>
        <v/>
      </c>
      <c r="DV172" s="6">
        <f t="shared" si="84"/>
        <v>0</v>
      </c>
      <c r="DW172" s="6">
        <f t="shared" si="41"/>
        <v>0</v>
      </c>
      <c r="DX172" s="16" t="e">
        <f t="shared" si="42"/>
        <v>#VALUE!</v>
      </c>
      <c r="DY172" s="28" t="e">
        <f>IF(DX172="","",DX172*$DO$1/'CPI USA'!$U$520+(1-DX172)*AVERAGE($DO$1,$DQ$1)/AVERAGE('CPI USA'!$U$520,'PPI USA'!$T$526))</f>
        <v>#VALUE!</v>
      </c>
      <c r="DZ172" s="30"/>
      <c r="EA172" s="29" t="str">
        <f t="shared" si="43"/>
        <v>C003483</v>
      </c>
      <c r="EB172" s="29" t="str">
        <f t="shared" si="44"/>
        <v/>
      </c>
      <c r="EC172" s="29" t="str">
        <f t="shared" si="45"/>
        <v/>
      </c>
      <c r="ED172" s="29" t="str">
        <f t="shared" si="46"/>
        <v/>
      </c>
      <c r="EE172" s="29" t="str">
        <f t="shared" si="47"/>
        <v/>
      </c>
      <c r="EF172" s="29" t="str">
        <f t="shared" si="48"/>
        <v/>
      </c>
      <c r="EG172" s="29" t="str">
        <f t="shared" si="49"/>
        <v/>
      </c>
      <c r="EH172" s="29" t="str">
        <f t="shared" si="50"/>
        <v/>
      </c>
      <c r="EI172" s="29" t="str">
        <f t="shared" si="51"/>
        <v/>
      </c>
      <c r="EJ172" s="29" t="str">
        <f t="shared" si="52"/>
        <v/>
      </c>
      <c r="EK172" s="29" t="str">
        <f t="shared" si="53"/>
        <v/>
      </c>
      <c r="EL172" s="29" t="str">
        <f>IF(CD172=1,VLOOKUP(EA172,'EIA 2022'!$A$2:$J$213,4,0)*EH172,"")</f>
        <v/>
      </c>
      <c r="EM172" s="29" t="str">
        <f>IF(CD172=1,VLOOKUP(EA172,'EIA 2022'!$A$2:$J$213,7,0)*EH172,"")</f>
        <v/>
      </c>
      <c r="EN172" s="29" t="str">
        <f>IF(CD172=1,VLOOKUP(EA172,'EIA 2022'!$A$2:$J$213,10,0),"")</f>
        <v/>
      </c>
      <c r="EO172" s="28" t="str">
        <f>IF(CD172=1,VLOOKUP(EA172,'EIA 2022'!$A$2:$Z$213,26,0),"")</f>
        <v/>
      </c>
      <c r="EP172" s="23" t="str">
        <f t="shared" si="54"/>
        <v/>
      </c>
      <c r="EQ172" s="32" t="str">
        <f t="shared" si="55"/>
        <v/>
      </c>
      <c r="ER172" s="32" t="str">
        <f t="shared" si="56"/>
        <v/>
      </c>
      <c r="ES172" s="32"/>
      <c r="ET172" s="32"/>
    </row>
    <row r="173" spans="1:150" ht="15.75" customHeight="1">
      <c r="A173" s="7" t="s">
        <v>724</v>
      </c>
      <c r="B173" s="7" t="s">
        <v>725</v>
      </c>
      <c r="C173" s="32" t="s">
        <v>1042</v>
      </c>
      <c r="D173" s="42">
        <v>73989468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f>IFERROR(VLOOKUP(A173,'Trans 21-23'!$A$2:$J$229,8,0),0)</f>
        <v>0</v>
      </c>
      <c r="Y173" s="42">
        <v>0</v>
      </c>
      <c r="Z173" s="42">
        <v>0</v>
      </c>
      <c r="AA173" s="42">
        <v>0</v>
      </c>
      <c r="AB173" s="42">
        <v>0</v>
      </c>
      <c r="AC173" s="42">
        <v>0</v>
      </c>
      <c r="AD173" s="42">
        <v>4301858</v>
      </c>
      <c r="AE173" s="42">
        <v>0</v>
      </c>
      <c r="AF173" s="42">
        <v>94291429</v>
      </c>
      <c r="AG173" s="42">
        <v>1</v>
      </c>
      <c r="AH173" s="42">
        <v>0</v>
      </c>
      <c r="AI173" s="42">
        <v>1741918</v>
      </c>
      <c r="AJ173" s="42">
        <v>0</v>
      </c>
      <c r="AK173" s="42">
        <v>0</v>
      </c>
      <c r="AL173" s="42">
        <v>0</v>
      </c>
      <c r="AM173" s="42">
        <v>0</v>
      </c>
      <c r="AN173" s="42">
        <v>0</v>
      </c>
      <c r="AO173" s="42">
        <v>0</v>
      </c>
      <c r="AP173" s="42">
        <v>0</v>
      </c>
      <c r="AQ173" s="42">
        <v>0</v>
      </c>
      <c r="AR173" s="42">
        <v>1741918</v>
      </c>
      <c r="AS173" s="42">
        <v>0</v>
      </c>
      <c r="AT173" s="42">
        <v>0</v>
      </c>
      <c r="AU173" s="42">
        <v>589</v>
      </c>
      <c r="AV173" s="42">
        <v>0</v>
      </c>
      <c r="AW173" s="42">
        <v>0</v>
      </c>
      <c r="AX173" s="42">
        <v>0</v>
      </c>
      <c r="AY173" s="42">
        <v>0</v>
      </c>
      <c r="AZ173" s="42">
        <v>0</v>
      </c>
      <c r="BA173" s="42">
        <v>0</v>
      </c>
      <c r="BB173" s="42">
        <v>0</v>
      </c>
      <c r="BC173" s="42">
        <v>781256365</v>
      </c>
      <c r="BD173" s="42">
        <v>0</v>
      </c>
      <c r="BE173" s="42">
        <v>0</v>
      </c>
      <c r="BF173" s="42">
        <v>0</v>
      </c>
      <c r="BG173" s="42">
        <v>0</v>
      </c>
      <c r="BH173" s="42">
        <v>0</v>
      </c>
      <c r="BI173" s="42">
        <v>0</v>
      </c>
      <c r="BJ173" s="42">
        <v>0</v>
      </c>
      <c r="BK173" s="42">
        <v>0</v>
      </c>
      <c r="BL173" s="42">
        <v>0</v>
      </c>
      <c r="BM173" s="42">
        <v>1137266</v>
      </c>
      <c r="BN173" s="42">
        <v>7301650</v>
      </c>
      <c r="BO173" s="42">
        <v>0</v>
      </c>
      <c r="BP173" s="42">
        <v>3246</v>
      </c>
      <c r="BQ173" s="42">
        <v>7304896</v>
      </c>
      <c r="BR173" s="42">
        <v>0</v>
      </c>
      <c r="BS173" s="42">
        <f>IFERROR(VLOOKUP(A173,'Trans 21-23'!$A$2:$J$229,7,0),0)</f>
        <v>0</v>
      </c>
      <c r="BT173" s="63"/>
      <c r="BU173" s="32">
        <f t="shared" si="0"/>
        <v>0</v>
      </c>
      <c r="BV173" s="32">
        <f t="shared" si="1"/>
        <v>589</v>
      </c>
      <c r="BW173" s="32">
        <f t="shared" si="2"/>
        <v>1</v>
      </c>
      <c r="BX173" s="32">
        <f t="shared" si="3"/>
        <v>0</v>
      </c>
      <c r="BY173" s="32">
        <f t="shared" si="4"/>
        <v>0</v>
      </c>
      <c r="BZ173" s="32">
        <f t="shared" si="5"/>
        <v>0</v>
      </c>
      <c r="CA173" s="32">
        <f t="shared" si="6"/>
        <v>4301858</v>
      </c>
      <c r="CB173" s="32">
        <f t="shared" si="7"/>
        <v>0</v>
      </c>
      <c r="CC173" s="32">
        <f t="shared" si="8"/>
        <v>0</v>
      </c>
      <c r="CD173" s="41">
        <f t="shared" si="75"/>
        <v>0</v>
      </c>
      <c r="CE173" s="44">
        <f t="shared" si="10"/>
        <v>56</v>
      </c>
      <c r="CF173" s="27"/>
      <c r="CG173" s="28" t="str">
        <f t="shared" si="11"/>
        <v/>
      </c>
      <c r="CH173" s="28" t="str">
        <f t="shared" si="12"/>
        <v/>
      </c>
      <c r="CI173" s="28" t="str">
        <f t="shared" si="13"/>
        <v/>
      </c>
      <c r="CJ173" s="28" t="str">
        <f t="shared" si="14"/>
        <v/>
      </c>
      <c r="CK173" s="23" t="str">
        <f t="shared" si="15"/>
        <v/>
      </c>
      <c r="CL173" s="29" t="str">
        <f t="shared" si="16"/>
        <v/>
      </c>
      <c r="CM173" s="29" t="str">
        <f t="shared" si="17"/>
        <v/>
      </c>
      <c r="CN173" s="29" t="str">
        <f t="shared" si="18"/>
        <v/>
      </c>
      <c r="CO173" s="29" t="str">
        <f t="shared" si="19"/>
        <v/>
      </c>
      <c r="CP173" s="29" t="str">
        <f t="shared" si="20"/>
        <v/>
      </c>
      <c r="CQ173" s="29" t="str">
        <f t="shared" si="21"/>
        <v/>
      </c>
      <c r="CR173" s="30"/>
      <c r="CS173" s="7" t="str">
        <f>VLOOKUP(A173,'Empresas 21-23'!$A$2:$M$228,13,0)</f>
        <v/>
      </c>
      <c r="CT173" s="30"/>
      <c r="CU173" s="6">
        <f t="shared" si="22"/>
        <v>0</v>
      </c>
      <c r="CV173" s="6">
        <f t="shared" si="23"/>
        <v>0</v>
      </c>
      <c r="CW173" s="6">
        <f t="shared" si="24"/>
        <v>0</v>
      </c>
      <c r="CX173" s="23">
        <f t="shared" ref="CX173:CX176" si="88">CU173/(BC173-BD173)</f>
        <v>0</v>
      </c>
      <c r="CY173" s="23">
        <f t="shared" ref="CY173:CY176" si="89">CV173/(BC173-BD173)</f>
        <v>0</v>
      </c>
      <c r="CZ173" s="6">
        <f t="shared" si="27"/>
        <v>0</v>
      </c>
      <c r="DA173" s="6">
        <f t="shared" si="28"/>
        <v>0</v>
      </c>
      <c r="DB173" s="6">
        <f t="shared" si="29"/>
        <v>0</v>
      </c>
      <c r="DC173" s="6">
        <f t="shared" si="30"/>
        <v>0</v>
      </c>
      <c r="DD173" s="6">
        <f t="shared" si="31"/>
        <v>0</v>
      </c>
      <c r="DE173" s="6">
        <f t="shared" si="32"/>
        <v>4301858</v>
      </c>
      <c r="DF173" s="6">
        <f t="shared" ref="DF173:DF212" si="90">DE173*(DC173+DD173)/(AF173-AD173-F173-H173-E173-D173)</f>
        <v>0</v>
      </c>
      <c r="DG173" s="30"/>
      <c r="DH173" s="32" t="str">
        <f>VLOOKUP(A173,'T_med_comp-USA'!$A$7:$Q$233,17,0)</f>
        <v>-</v>
      </c>
      <c r="DI173" s="6" t="str">
        <f t="shared" si="34"/>
        <v/>
      </c>
      <c r="DJ173" s="32" t="str">
        <f>IF(DI173="","",VLOOKUP(DI173,'CPI USA'!$T:$U,2,FALSE))</f>
        <v/>
      </c>
      <c r="DK173" s="32" t="str">
        <f>IF(DI173="","",VLOOKUP(DI173,'PPI USA'!$S:$T,2,FALSE))</f>
        <v/>
      </c>
      <c r="DL173" s="32" t="str">
        <f>IF(DI173="","",VLOOKUP(DI173,'CPI USA'!$T:$V,3,FALSE))</f>
        <v/>
      </c>
      <c r="DM173" s="32" t="str">
        <f>IF(DI173="","",VLOOKUP(DI173,'CPI USA'!$T:$X,5,FALSE))</f>
        <v/>
      </c>
      <c r="DN173" s="32" t="str">
        <f t="shared" si="35"/>
        <v/>
      </c>
      <c r="DO173" s="32" t="str">
        <f t="shared" si="36"/>
        <v/>
      </c>
      <c r="DP173" s="32" t="str">
        <f t="shared" si="37"/>
        <v/>
      </c>
      <c r="DQ173" s="32" t="str">
        <f>IF(DP173="","",DP173*$DO$1/'CPI USA'!$U$520+(1-DP173)*AVERAGE($DO$1,$DQ$1)/AVERAGE('CPI USA'!$U$520,'PPI USA'!$T$526))</f>
        <v/>
      </c>
      <c r="DR173" s="6">
        <f t="shared" si="38"/>
        <v>0</v>
      </c>
      <c r="DS173" s="32" t="str">
        <f t="shared" si="39"/>
        <v/>
      </c>
      <c r="DT173" s="28" t="str">
        <f>IF(DS173="","",DS173*$DO$1/'CPI USA'!$U$520+(1-DS173)*AVERAGE($DO$1,$DQ$1)/AVERAGE('CPI USA'!$U$520,'PPI USA'!$T$526))</f>
        <v/>
      </c>
      <c r="DU173" s="6" t="str">
        <f t="shared" si="40"/>
        <v/>
      </c>
      <c r="DV173" s="6">
        <f t="shared" si="84"/>
        <v>505.57962049673705</v>
      </c>
      <c r="DW173" s="6">
        <f t="shared" si="41"/>
        <v>0</v>
      </c>
      <c r="DX173" s="16" t="str">
        <f t="shared" si="42"/>
        <v/>
      </c>
      <c r="DY173" s="28" t="str">
        <f>IF(DX173="","",DX173*$DO$1/'CPI USA'!$U$520+(1-DX173)*AVERAGE($DO$1,$DQ$1)/AVERAGE('CPI USA'!$U$520,'PPI USA'!$T$526))</f>
        <v/>
      </c>
      <c r="DZ173" s="30"/>
      <c r="EA173" s="29" t="str">
        <f t="shared" si="43"/>
        <v>C003646</v>
      </c>
      <c r="EB173" s="29" t="str">
        <f t="shared" si="44"/>
        <v/>
      </c>
      <c r="EC173" s="29" t="str">
        <f t="shared" si="45"/>
        <v/>
      </c>
      <c r="ED173" s="29" t="str">
        <f t="shared" si="46"/>
        <v/>
      </c>
      <c r="EE173" s="29" t="str">
        <f t="shared" si="47"/>
        <v/>
      </c>
      <c r="EF173" s="29" t="str">
        <f t="shared" si="48"/>
        <v/>
      </c>
      <c r="EG173" s="29" t="str">
        <f t="shared" si="49"/>
        <v/>
      </c>
      <c r="EH173" s="29" t="str">
        <f t="shared" si="50"/>
        <v/>
      </c>
      <c r="EI173" s="29" t="str">
        <f t="shared" si="51"/>
        <v/>
      </c>
      <c r="EJ173" s="29" t="str">
        <f t="shared" si="52"/>
        <v/>
      </c>
      <c r="EK173" s="29" t="str">
        <f t="shared" si="53"/>
        <v/>
      </c>
      <c r="EL173" s="29" t="str">
        <f>IF(CD173=1,VLOOKUP(EA173,'EIA 2022'!$A$2:$J$213,4,0)*EH173,"")</f>
        <v/>
      </c>
      <c r="EM173" s="29" t="str">
        <f>IF(CD173=1,VLOOKUP(EA173,'EIA 2022'!$A$2:$J$213,7,0)*EH173,"")</f>
        <v/>
      </c>
      <c r="EN173" s="29" t="str">
        <f>IF(CD173=1,VLOOKUP(EA173,'EIA 2022'!$A$2:$J$213,10,0),"")</f>
        <v/>
      </c>
      <c r="EO173" s="28" t="str">
        <f>IF(CD173=1,VLOOKUP(EA173,'EIA 2022'!$A$2:$Z$213,26,0),"")</f>
        <v/>
      </c>
      <c r="EP173" s="23" t="str">
        <f t="shared" si="54"/>
        <v/>
      </c>
      <c r="EQ173" s="32" t="str">
        <f t="shared" si="55"/>
        <v/>
      </c>
      <c r="ER173" s="32" t="str">
        <f t="shared" si="56"/>
        <v/>
      </c>
      <c r="ES173" s="32"/>
      <c r="ET173" s="32"/>
    </row>
    <row r="174" spans="1:150" ht="15.75" customHeight="1">
      <c r="A174" s="7" t="s">
        <v>727</v>
      </c>
      <c r="B174" s="7" t="s">
        <v>728</v>
      </c>
      <c r="C174" s="32" t="s">
        <v>1043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f>IFERROR(VLOOKUP(A174,'Trans 21-23'!$A$2:$J$229,8,0),0)</f>
        <v>0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2">
        <v>1382929</v>
      </c>
      <c r="AE174" s="42">
        <v>0</v>
      </c>
      <c r="AF174" s="42">
        <v>5036180</v>
      </c>
      <c r="AG174" s="42">
        <v>0</v>
      </c>
      <c r="AH174" s="42">
        <v>0</v>
      </c>
      <c r="AI174" s="42">
        <v>0</v>
      </c>
      <c r="AJ174" s="42">
        <v>0</v>
      </c>
      <c r="AK174" s="42">
        <v>0</v>
      </c>
      <c r="AL174" s="42">
        <v>0</v>
      </c>
      <c r="AM174" s="42">
        <v>0</v>
      </c>
      <c r="AN174" s="42">
        <v>0</v>
      </c>
      <c r="AO174" s="42">
        <v>0</v>
      </c>
      <c r="AP174" s="42">
        <v>0</v>
      </c>
      <c r="AQ174" s="42">
        <v>0</v>
      </c>
      <c r="AR174" s="42">
        <v>0</v>
      </c>
      <c r="AS174" s="42">
        <v>0</v>
      </c>
      <c r="AT174" s="42">
        <v>0</v>
      </c>
      <c r="AU174" s="42">
        <v>0</v>
      </c>
      <c r="AV174" s="42">
        <v>0</v>
      </c>
      <c r="AW174" s="42">
        <v>0</v>
      </c>
      <c r="AX174" s="42">
        <v>0</v>
      </c>
      <c r="AY174" s="42">
        <v>0</v>
      </c>
      <c r="AZ174" s="42">
        <v>0</v>
      </c>
      <c r="BA174" s="42">
        <v>0</v>
      </c>
      <c r="BB174" s="42">
        <v>0</v>
      </c>
      <c r="BC174" s="42">
        <v>140434896</v>
      </c>
      <c r="BD174" s="42">
        <v>1556715</v>
      </c>
      <c r="BE174" s="42">
        <v>0</v>
      </c>
      <c r="BF174" s="42">
        <v>0</v>
      </c>
      <c r="BG174" s="42">
        <v>0</v>
      </c>
      <c r="BH174" s="42">
        <v>0</v>
      </c>
      <c r="BI174" s="42">
        <v>0</v>
      </c>
      <c r="BJ174" s="42">
        <v>0</v>
      </c>
      <c r="BK174" s="42">
        <v>0</v>
      </c>
      <c r="BL174" s="42">
        <v>0</v>
      </c>
      <c r="BM174" s="42">
        <v>0</v>
      </c>
      <c r="BN174" s="42">
        <v>0</v>
      </c>
      <c r="BO174" s="42">
        <v>0</v>
      </c>
      <c r="BP174" s="42">
        <v>0</v>
      </c>
      <c r="BQ174" s="42">
        <v>0</v>
      </c>
      <c r="BR174" s="42">
        <v>0</v>
      </c>
      <c r="BS174" s="42">
        <f>IFERROR(VLOOKUP(A174,'Trans 21-23'!$A$2:$J$229,7,0),0)</f>
        <v>0</v>
      </c>
      <c r="BT174" s="63"/>
      <c r="BU174" s="32">
        <f t="shared" si="0"/>
        <v>0</v>
      </c>
      <c r="BV174" s="32">
        <f t="shared" si="1"/>
        <v>0</v>
      </c>
      <c r="BW174" s="32">
        <f t="shared" si="2"/>
        <v>0</v>
      </c>
      <c r="BX174" s="32">
        <f t="shared" si="3"/>
        <v>0</v>
      </c>
      <c r="BY174" s="32">
        <f t="shared" si="4"/>
        <v>0</v>
      </c>
      <c r="BZ174" s="32">
        <f t="shared" si="5"/>
        <v>0</v>
      </c>
      <c r="CA174" s="32">
        <f t="shared" si="6"/>
        <v>1382929</v>
      </c>
      <c r="CB174" s="32">
        <f t="shared" si="7"/>
        <v>0</v>
      </c>
      <c r="CC174" s="32">
        <f t="shared" si="8"/>
        <v>0</v>
      </c>
      <c r="CD174" s="41">
        <f t="shared" si="75"/>
        <v>0</v>
      </c>
      <c r="CE174" s="44">
        <f t="shared" si="10"/>
        <v>64</v>
      </c>
      <c r="CF174" s="27"/>
      <c r="CG174" s="28" t="str">
        <f t="shared" si="11"/>
        <v/>
      </c>
      <c r="CH174" s="28" t="str">
        <f t="shared" si="12"/>
        <v/>
      </c>
      <c r="CI174" s="28" t="str">
        <f t="shared" si="13"/>
        <v/>
      </c>
      <c r="CJ174" s="28" t="str">
        <f t="shared" si="14"/>
        <v/>
      </c>
      <c r="CK174" s="23" t="str">
        <f t="shared" si="15"/>
        <v/>
      </c>
      <c r="CL174" s="29" t="str">
        <f t="shared" si="16"/>
        <v/>
      </c>
      <c r="CM174" s="29" t="str">
        <f t="shared" si="17"/>
        <v/>
      </c>
      <c r="CN174" s="29" t="str">
        <f t="shared" si="18"/>
        <v/>
      </c>
      <c r="CO174" s="29" t="str">
        <f t="shared" si="19"/>
        <v/>
      </c>
      <c r="CP174" s="29" t="str">
        <f t="shared" si="20"/>
        <v/>
      </c>
      <c r="CQ174" s="29" t="str">
        <f t="shared" si="21"/>
        <v/>
      </c>
      <c r="CR174" s="30"/>
      <c r="CS174" s="7" t="str">
        <f>VLOOKUP(A174,'Empresas 21-23'!$A$2:$M$228,13,0)</f>
        <v/>
      </c>
      <c r="CT174" s="30"/>
      <c r="CU174" s="6">
        <f t="shared" si="22"/>
        <v>0</v>
      </c>
      <c r="CV174" s="6">
        <f t="shared" si="23"/>
        <v>0</v>
      </c>
      <c r="CW174" s="6">
        <f t="shared" si="24"/>
        <v>1556715</v>
      </c>
      <c r="CX174" s="23">
        <f t="shared" si="88"/>
        <v>0</v>
      </c>
      <c r="CY174" s="23">
        <f t="shared" si="89"/>
        <v>0</v>
      </c>
      <c r="CZ174" s="6">
        <f t="shared" si="27"/>
        <v>0</v>
      </c>
      <c r="DA174" s="6">
        <f t="shared" si="28"/>
        <v>0</v>
      </c>
      <c r="DB174" s="6">
        <f t="shared" si="29"/>
        <v>0</v>
      </c>
      <c r="DC174" s="6">
        <f t="shared" si="30"/>
        <v>0</v>
      </c>
      <c r="DD174" s="6">
        <f t="shared" si="31"/>
        <v>0</v>
      </c>
      <c r="DE174" s="6">
        <f t="shared" si="32"/>
        <v>1382929</v>
      </c>
      <c r="DF174" s="6">
        <f t="shared" si="90"/>
        <v>0</v>
      </c>
      <c r="DG174" s="30"/>
      <c r="DH174" s="32" t="str">
        <f>VLOOKUP(A174,'T_med_comp-USA'!$A$7:$Q$233,17,0)</f>
        <v>-</v>
      </c>
      <c r="DI174" s="6" t="str">
        <f t="shared" si="34"/>
        <v/>
      </c>
      <c r="DJ174" s="32" t="str">
        <f>IF(DI174="","",VLOOKUP(DI174,'CPI USA'!$T:$U,2,FALSE))</f>
        <v/>
      </c>
      <c r="DK174" s="32" t="str">
        <f>IF(DI174="","",VLOOKUP(DI174,'PPI USA'!$S:$T,2,FALSE))</f>
        <v/>
      </c>
      <c r="DL174" s="32" t="str">
        <f>IF(DI174="","",VLOOKUP(DI174,'CPI USA'!$T:$V,3,FALSE))</f>
        <v/>
      </c>
      <c r="DM174" s="32" t="str">
        <f>IF(DI174="","",VLOOKUP(DI174,'CPI USA'!$T:$X,5,FALSE))</f>
        <v/>
      </c>
      <c r="DN174" s="32" t="str">
        <f t="shared" si="35"/>
        <v/>
      </c>
      <c r="DO174" s="32" t="str">
        <f t="shared" si="36"/>
        <v/>
      </c>
      <c r="DP174" s="32" t="str">
        <f t="shared" si="37"/>
        <v/>
      </c>
      <c r="DQ174" s="32" t="str">
        <f>IF(DP174="","",DP174*$DO$1/'CPI USA'!$U$520+(1-DP174)*AVERAGE($DO$1,$DQ$1)/AVERAGE('CPI USA'!$U$520,'PPI USA'!$T$526))</f>
        <v/>
      </c>
      <c r="DR174" s="6">
        <f t="shared" si="38"/>
        <v>0</v>
      </c>
      <c r="DS174" s="32" t="str">
        <f t="shared" si="39"/>
        <v/>
      </c>
      <c r="DT174" s="28" t="str">
        <f>IF(DS174="","",DS174*$DO$1/'CPI USA'!$U$520+(1-DS174)*AVERAGE($DO$1,$DQ$1)/AVERAGE('CPI USA'!$U$520,'PPI USA'!$T$526))</f>
        <v/>
      </c>
      <c r="DU174" s="6" t="str">
        <f t="shared" si="40"/>
        <v/>
      </c>
      <c r="DV174" s="6" t="str">
        <f t="shared" si="84"/>
        <v/>
      </c>
      <c r="DW174" s="6">
        <f t="shared" si="41"/>
        <v>0</v>
      </c>
      <c r="DX174" s="16" t="str">
        <f t="shared" si="42"/>
        <v/>
      </c>
      <c r="DY174" s="28" t="str">
        <f>IF(DX174="","",DX174*$DO$1/'CPI USA'!$U$520+(1-DX174)*AVERAGE($DO$1,$DQ$1)/AVERAGE('CPI USA'!$U$520,'PPI USA'!$T$526))</f>
        <v/>
      </c>
      <c r="DZ174" s="30"/>
      <c r="EA174" s="29" t="str">
        <f t="shared" si="43"/>
        <v>C003713</v>
      </c>
      <c r="EB174" s="29" t="str">
        <f t="shared" si="44"/>
        <v/>
      </c>
      <c r="EC174" s="29" t="str">
        <f t="shared" si="45"/>
        <v/>
      </c>
      <c r="ED174" s="29" t="str">
        <f t="shared" si="46"/>
        <v/>
      </c>
      <c r="EE174" s="29" t="str">
        <f t="shared" si="47"/>
        <v/>
      </c>
      <c r="EF174" s="29" t="str">
        <f t="shared" si="48"/>
        <v/>
      </c>
      <c r="EG174" s="29" t="str">
        <f t="shared" si="49"/>
        <v/>
      </c>
      <c r="EH174" s="29" t="str">
        <f t="shared" si="50"/>
        <v/>
      </c>
      <c r="EI174" s="29" t="str">
        <f t="shared" si="51"/>
        <v/>
      </c>
      <c r="EJ174" s="29" t="str">
        <f t="shared" si="52"/>
        <v/>
      </c>
      <c r="EK174" s="29" t="str">
        <f t="shared" si="53"/>
        <v/>
      </c>
      <c r="EL174" s="29" t="str">
        <f>IF(CD174=1,VLOOKUP(EA174,'EIA 2022'!$A$2:$J$213,4,0)*EH174,"")</f>
        <v/>
      </c>
      <c r="EM174" s="29" t="str">
        <f>IF(CD174=1,VLOOKUP(EA174,'EIA 2022'!$A$2:$J$213,7,0)*EH174,"")</f>
        <v/>
      </c>
      <c r="EN174" s="29" t="str">
        <f>IF(CD174=1,VLOOKUP(EA174,'EIA 2022'!$A$2:$J$213,10,0),"")</f>
        <v/>
      </c>
      <c r="EO174" s="28" t="str">
        <f>IF(CD174=1,VLOOKUP(EA174,'EIA 2022'!$A$2:$Z$213,26,0),"")</f>
        <v/>
      </c>
      <c r="EP174" s="23" t="str">
        <f t="shared" si="54"/>
        <v/>
      </c>
      <c r="EQ174" s="32" t="str">
        <f t="shared" si="55"/>
        <v/>
      </c>
      <c r="ER174" s="32" t="str">
        <f t="shared" si="56"/>
        <v/>
      </c>
      <c r="ES174" s="32"/>
      <c r="ET174" s="32"/>
    </row>
    <row r="175" spans="1:150" ht="15.75" customHeight="1">
      <c r="A175" s="7" t="s">
        <v>730</v>
      </c>
      <c r="B175" s="7" t="s">
        <v>731</v>
      </c>
      <c r="C175" s="32" t="s">
        <v>1044</v>
      </c>
      <c r="D175" s="42">
        <v>223455414</v>
      </c>
      <c r="E175" s="42">
        <v>0</v>
      </c>
      <c r="F175" s="42">
        <v>81758922</v>
      </c>
      <c r="G175" s="42">
        <v>396478110</v>
      </c>
      <c r="H175" s="42">
        <v>411272423</v>
      </c>
      <c r="I175" s="42">
        <v>107866</v>
      </c>
      <c r="J175" s="42">
        <v>1379569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151752</v>
      </c>
      <c r="T175" s="42">
        <v>0</v>
      </c>
      <c r="U175" s="42">
        <v>0</v>
      </c>
      <c r="V175" s="42">
        <v>0</v>
      </c>
      <c r="W175" s="42">
        <v>0</v>
      </c>
      <c r="X175" s="42">
        <f>IFERROR(VLOOKUP(A175,'Trans 21-23'!$A$2:$J$229,8,0),0)</f>
        <v>4041516</v>
      </c>
      <c r="Y175" s="42">
        <v>0</v>
      </c>
      <c r="Z175" s="42">
        <v>0</v>
      </c>
      <c r="AA175" s="42">
        <v>659171</v>
      </c>
      <c r="AB175" s="42">
        <v>4724054</v>
      </c>
      <c r="AC175" s="42">
        <v>0</v>
      </c>
      <c r="AD175" s="42">
        <v>73854483</v>
      </c>
      <c r="AE175" s="42">
        <v>0</v>
      </c>
      <c r="AF175" s="42">
        <v>1198158782</v>
      </c>
      <c r="AG175" s="42">
        <v>0</v>
      </c>
      <c r="AH175" s="42">
        <v>692573</v>
      </c>
      <c r="AI175" s="42">
        <v>19127845</v>
      </c>
      <c r="AJ175" s="42">
        <v>0</v>
      </c>
      <c r="AK175" s="42">
        <v>0</v>
      </c>
      <c r="AL175" s="42">
        <v>0</v>
      </c>
      <c r="AM175" s="42">
        <v>0</v>
      </c>
      <c r="AN175" s="42">
        <v>0</v>
      </c>
      <c r="AO175" s="42">
        <v>0</v>
      </c>
      <c r="AP175" s="42">
        <v>0</v>
      </c>
      <c r="AQ175" s="42">
        <v>0</v>
      </c>
      <c r="AR175" s="42">
        <v>18435272</v>
      </c>
      <c r="AS175" s="42">
        <v>18435272</v>
      </c>
      <c r="AT175" s="42">
        <v>0</v>
      </c>
      <c r="AU175" s="42">
        <v>3064</v>
      </c>
      <c r="AV175" s="42">
        <v>0</v>
      </c>
      <c r="AW175" s="42">
        <v>0</v>
      </c>
      <c r="AX175" s="42">
        <v>0</v>
      </c>
      <c r="AY175" s="42">
        <v>0</v>
      </c>
      <c r="AZ175" s="42">
        <v>0</v>
      </c>
      <c r="BA175" s="42">
        <v>0</v>
      </c>
      <c r="BB175" s="42">
        <v>125481154</v>
      </c>
      <c r="BC175" s="42">
        <v>4588541717</v>
      </c>
      <c r="BD175" s="42">
        <v>412878826</v>
      </c>
      <c r="BE175" s="42">
        <v>39350149</v>
      </c>
      <c r="BF175" s="42">
        <v>1962618</v>
      </c>
      <c r="BG175" s="42">
        <v>0</v>
      </c>
      <c r="BH175" s="42">
        <v>584327</v>
      </c>
      <c r="BI175" s="42">
        <v>481805</v>
      </c>
      <c r="BJ175" s="42">
        <v>0</v>
      </c>
      <c r="BK175" s="42">
        <v>0</v>
      </c>
      <c r="BL175" s="42">
        <v>0</v>
      </c>
      <c r="BM175" s="42">
        <v>58863530</v>
      </c>
      <c r="BN175" s="42">
        <v>162970094</v>
      </c>
      <c r="BO175" s="42">
        <v>0</v>
      </c>
      <c r="BP175" s="42">
        <v>0</v>
      </c>
      <c r="BQ175" s="42">
        <v>215629039</v>
      </c>
      <c r="BR175" s="42">
        <v>0</v>
      </c>
      <c r="BS175" s="42">
        <f>IFERROR(VLOOKUP(A175,'Trans 21-23'!$A$2:$J$229,7,0),0)</f>
        <v>366014301</v>
      </c>
      <c r="BT175" s="63"/>
      <c r="BU175" s="32">
        <f t="shared" si="0"/>
        <v>125481154</v>
      </c>
      <c r="BV175" s="32">
        <f t="shared" si="1"/>
        <v>3064</v>
      </c>
      <c r="BW175" s="32">
        <f t="shared" si="2"/>
        <v>0</v>
      </c>
      <c r="BX175" s="32">
        <f t="shared" si="3"/>
        <v>1639187</v>
      </c>
      <c r="BY175" s="32">
        <f t="shared" si="4"/>
        <v>5383225</v>
      </c>
      <c r="BZ175" s="32">
        <f t="shared" si="5"/>
        <v>0</v>
      </c>
      <c r="CA175" s="32">
        <f t="shared" si="6"/>
        <v>73854483</v>
      </c>
      <c r="CB175" s="32">
        <f t="shared" si="7"/>
        <v>692573</v>
      </c>
      <c r="CC175" s="32">
        <f t="shared" si="8"/>
        <v>0</v>
      </c>
      <c r="CD175" s="41">
        <f t="shared" si="75"/>
        <v>0</v>
      </c>
      <c r="CE175" s="44">
        <f t="shared" si="10"/>
        <v>40</v>
      </c>
      <c r="CF175" s="27"/>
      <c r="CG175" s="28" t="str">
        <f t="shared" si="11"/>
        <v/>
      </c>
      <c r="CH175" s="28" t="str">
        <f t="shared" si="12"/>
        <v/>
      </c>
      <c r="CI175" s="28" t="str">
        <f t="shared" si="13"/>
        <v/>
      </c>
      <c r="CJ175" s="28" t="str">
        <f t="shared" si="14"/>
        <v/>
      </c>
      <c r="CK175" s="23" t="str">
        <f t="shared" si="15"/>
        <v/>
      </c>
      <c r="CL175" s="29" t="str">
        <f t="shared" si="16"/>
        <v/>
      </c>
      <c r="CM175" s="29" t="str">
        <f t="shared" si="17"/>
        <v/>
      </c>
      <c r="CN175" s="29" t="str">
        <f t="shared" si="18"/>
        <v/>
      </c>
      <c r="CO175" s="29" t="str">
        <f t="shared" si="19"/>
        <v/>
      </c>
      <c r="CP175" s="29" t="str">
        <f t="shared" si="20"/>
        <v/>
      </c>
      <c r="CQ175" s="29" t="str">
        <f t="shared" si="21"/>
        <v/>
      </c>
      <c r="CR175" s="30"/>
      <c r="CS175" s="7" t="str">
        <f>VLOOKUP(A175,'Empresas 21-23'!$A$2:$M$228,13,0)</f>
        <v/>
      </c>
      <c r="CT175" s="30"/>
      <c r="CU175" s="6">
        <f t="shared" si="22"/>
        <v>491495455</v>
      </c>
      <c r="CV175" s="6">
        <f t="shared" si="23"/>
        <v>0</v>
      </c>
      <c r="CW175" s="6">
        <f t="shared" si="24"/>
        <v>412878826</v>
      </c>
      <c r="CX175" s="23">
        <f t="shared" si="88"/>
        <v>0.11770477354849286</v>
      </c>
      <c r="CY175" s="23">
        <f t="shared" si="89"/>
        <v>0</v>
      </c>
      <c r="CZ175" s="6">
        <f t="shared" si="27"/>
        <v>540093263.71729755</v>
      </c>
      <c r="DA175" s="6">
        <f t="shared" si="28"/>
        <v>0</v>
      </c>
      <c r="DB175" s="6">
        <f t="shared" si="29"/>
        <v>1639187</v>
      </c>
      <c r="DC175" s="6">
        <f t="shared" si="30"/>
        <v>5680703</v>
      </c>
      <c r="DD175" s="6">
        <f t="shared" si="31"/>
        <v>5383225</v>
      </c>
      <c r="DE175" s="6">
        <f t="shared" si="32"/>
        <v>73854483</v>
      </c>
      <c r="DF175" s="6">
        <f t="shared" si="90"/>
        <v>2003642.8114132218</v>
      </c>
      <c r="DG175" s="30"/>
      <c r="DH175" s="32">
        <f>VLOOKUP(A175,'T_med_comp-USA'!$A$7:$Q$233,17,0)</f>
        <v>20.254599241590924</v>
      </c>
      <c r="DI175" s="6" t="str">
        <f t="shared" si="34"/>
        <v>10_2002</v>
      </c>
      <c r="DJ175" s="32">
        <f>IF(DI175="","",VLOOKUP(DI175,'CPI USA'!$T:$U,2,FALSE))</f>
        <v>179.9</v>
      </c>
      <c r="DK175" s="32">
        <f>IF(DI175="","",VLOOKUP(DI175,'PPI USA'!$S:$T,2,FALSE))</f>
        <v>117.7</v>
      </c>
      <c r="DL175" s="32">
        <f>IF(DI175="","",VLOOKUP(DI175,'CPI USA'!$T:$V,3,FALSE))</f>
        <v>0.68124675757695474</v>
      </c>
      <c r="DM175" s="32">
        <f>IF(DI175="","",VLOOKUP(DI175,'CPI USA'!$T:$X,5,FALSE))</f>
        <v>0.51100097296585234</v>
      </c>
      <c r="DN175" s="32">
        <f t="shared" si="35"/>
        <v>1.8107397595358932</v>
      </c>
      <c r="DO175" s="32">
        <f t="shared" si="36"/>
        <v>1.8451105665988905</v>
      </c>
      <c r="DP175" s="32">
        <f t="shared" si="37"/>
        <v>0.35647366651882917</v>
      </c>
      <c r="DQ175" s="32">
        <f>IF(DP175="","",DP175*$DO$1/'CPI USA'!$U$520+(1-DP175)*AVERAGE($DO$1,$DQ$1)/AVERAGE('CPI USA'!$U$520,'PPI USA'!$T$526))</f>
        <v>1.0801994310263376</v>
      </c>
      <c r="DR175" s="6">
        <f t="shared" si="38"/>
        <v>481805</v>
      </c>
      <c r="DS175" s="32">
        <f t="shared" si="39"/>
        <v>0.2</v>
      </c>
      <c r="DT175" s="28">
        <f>IF(DS175="","",DS175*$DO$1/'CPI USA'!$U$520+(1-DS175)*AVERAGE($DO$1,$DQ$1)/AVERAGE('CPI USA'!$U$520,'PPI USA'!$T$526))</f>
        <v>1.0854630593748538</v>
      </c>
      <c r="DU175" s="6">
        <f t="shared" si="40"/>
        <v>58863530</v>
      </c>
      <c r="DV175" s="6">
        <f t="shared" si="84"/>
        <v>0</v>
      </c>
      <c r="DW175" s="6">
        <f t="shared" si="41"/>
        <v>385078.58359558904</v>
      </c>
      <c r="DX175" s="16" t="str">
        <f t="shared" si="42"/>
        <v/>
      </c>
      <c r="DY175" s="28" t="str">
        <f>IF(DX175="","",DX175*$DO$1/'CPI USA'!$U$520+(1-DX175)*AVERAGE($DO$1,$DQ$1)/AVERAGE('CPI USA'!$U$520,'PPI USA'!$T$526))</f>
        <v/>
      </c>
      <c r="DZ175" s="30"/>
      <c r="EA175" s="29" t="str">
        <f t="shared" si="43"/>
        <v>C003836</v>
      </c>
      <c r="EB175" s="29" t="str">
        <f t="shared" si="44"/>
        <v/>
      </c>
      <c r="EC175" s="29" t="str">
        <f t="shared" si="45"/>
        <v/>
      </c>
      <c r="ED175" s="29" t="str">
        <f t="shared" si="46"/>
        <v/>
      </c>
      <c r="EE175" s="29" t="str">
        <f t="shared" si="47"/>
        <v/>
      </c>
      <c r="EF175" s="29" t="str">
        <f t="shared" si="48"/>
        <v/>
      </c>
      <c r="EG175" s="29" t="str">
        <f t="shared" si="49"/>
        <v/>
      </c>
      <c r="EH175" s="29" t="str">
        <f t="shared" si="50"/>
        <v/>
      </c>
      <c r="EI175" s="29" t="str">
        <f t="shared" si="51"/>
        <v/>
      </c>
      <c r="EJ175" s="29" t="str">
        <f t="shared" si="52"/>
        <v/>
      </c>
      <c r="EK175" s="29" t="str">
        <f t="shared" si="53"/>
        <v/>
      </c>
      <c r="EL175" s="29" t="str">
        <f>IF(CD175=1,VLOOKUP(EA175,'EIA 2022'!$A$2:$J$213,4,0)*EH175,"")</f>
        <v/>
      </c>
      <c r="EM175" s="29" t="str">
        <f>IF(CD175=1,VLOOKUP(EA175,'EIA 2022'!$A$2:$J$213,7,0)*EH175,"")</f>
        <v/>
      </c>
      <c r="EN175" s="29" t="str">
        <f>IF(CD175=1,VLOOKUP(EA175,'EIA 2022'!$A$2:$J$213,10,0),"")</f>
        <v/>
      </c>
      <c r="EO175" s="28" t="str">
        <f>IF(CD175=1,VLOOKUP(EA175,'EIA 2022'!$A$2:$Z$213,26,0),"")</f>
        <v/>
      </c>
      <c r="EP175" s="23" t="str">
        <f t="shared" si="54"/>
        <v/>
      </c>
      <c r="EQ175" s="32" t="str">
        <f t="shared" si="55"/>
        <v/>
      </c>
      <c r="ER175" s="32" t="str">
        <f t="shared" si="56"/>
        <v/>
      </c>
      <c r="ES175" s="32"/>
      <c r="ET175" s="32"/>
    </row>
    <row r="176" spans="1:150" ht="15.75" customHeight="1">
      <c r="A176" s="7" t="s">
        <v>733</v>
      </c>
      <c r="B176" s="7" t="s">
        <v>734</v>
      </c>
      <c r="C176" s="32" t="s">
        <v>1045</v>
      </c>
      <c r="D176" s="42">
        <v>275855533</v>
      </c>
      <c r="E176" s="42">
        <v>0</v>
      </c>
      <c r="F176" s="42">
        <v>100138895</v>
      </c>
      <c r="G176" s="42">
        <v>577463208</v>
      </c>
      <c r="H176" s="42">
        <v>584308770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f>IFERROR(VLOOKUP(A176,'Trans 21-23'!$A$2:$J$229,8,0),0)</f>
        <v>370168</v>
      </c>
      <c r="Y176" s="42">
        <v>0</v>
      </c>
      <c r="Z176" s="42">
        <v>0</v>
      </c>
      <c r="AA176" s="42">
        <v>0</v>
      </c>
      <c r="AB176" s="42">
        <v>0</v>
      </c>
      <c r="AC176" s="42">
        <v>0</v>
      </c>
      <c r="AD176" s="42">
        <v>143790636</v>
      </c>
      <c r="AE176" s="42">
        <v>0</v>
      </c>
      <c r="AF176" s="42">
        <v>1643794823</v>
      </c>
      <c r="AG176" s="42">
        <v>21</v>
      </c>
      <c r="AH176" s="42">
        <v>5242</v>
      </c>
      <c r="AI176" s="42">
        <v>35709501</v>
      </c>
      <c r="AJ176" s="42">
        <v>0</v>
      </c>
      <c r="AK176" s="42">
        <v>0</v>
      </c>
      <c r="AL176" s="42">
        <v>0</v>
      </c>
      <c r="AM176" s="42">
        <v>0</v>
      </c>
      <c r="AN176" s="42">
        <v>1118895</v>
      </c>
      <c r="AO176" s="42">
        <v>0</v>
      </c>
      <c r="AP176" s="42">
        <v>0</v>
      </c>
      <c r="AQ176" s="42">
        <v>1118895</v>
      </c>
      <c r="AR176" s="42">
        <v>34585364</v>
      </c>
      <c r="AS176" s="42">
        <v>35704259</v>
      </c>
      <c r="AT176" s="42">
        <v>0</v>
      </c>
      <c r="AU176" s="42">
        <v>4240</v>
      </c>
      <c r="AV176" s="42">
        <v>0</v>
      </c>
      <c r="AW176" s="42">
        <v>0</v>
      </c>
      <c r="AX176" s="42">
        <v>0</v>
      </c>
      <c r="AY176" s="42">
        <v>0</v>
      </c>
      <c r="AZ176" s="42">
        <v>0</v>
      </c>
      <c r="BA176" s="42">
        <v>0</v>
      </c>
      <c r="BB176" s="42">
        <v>0</v>
      </c>
      <c r="BC176" s="42">
        <v>7398784067</v>
      </c>
      <c r="BD176" s="42">
        <v>305091989</v>
      </c>
      <c r="BE176" s="42">
        <v>0</v>
      </c>
      <c r="BF176" s="42">
        <v>0</v>
      </c>
      <c r="BG176" s="42">
        <v>0</v>
      </c>
      <c r="BH176" s="42">
        <v>0</v>
      </c>
      <c r="BI176" s="42">
        <v>0</v>
      </c>
      <c r="BJ176" s="42">
        <v>0</v>
      </c>
      <c r="BK176" s="42">
        <v>0</v>
      </c>
      <c r="BL176" s="42">
        <v>0</v>
      </c>
      <c r="BM176" s="42">
        <v>53130391</v>
      </c>
      <c r="BN176" s="42">
        <v>112979725</v>
      </c>
      <c r="BO176" s="42">
        <v>0</v>
      </c>
      <c r="BP176" s="42">
        <v>483705</v>
      </c>
      <c r="BQ176" s="42">
        <v>118072017</v>
      </c>
      <c r="BR176" s="42">
        <v>0</v>
      </c>
      <c r="BS176" s="42">
        <f>IFERROR(VLOOKUP(A176,'Trans 21-23'!$A$2:$J$229,7,0),0)</f>
        <v>33523713</v>
      </c>
      <c r="BT176" s="63"/>
      <c r="BU176" s="32">
        <f t="shared" si="0"/>
        <v>0</v>
      </c>
      <c r="BV176" s="32">
        <f t="shared" si="1"/>
        <v>4240</v>
      </c>
      <c r="BW176" s="32">
        <f t="shared" si="2"/>
        <v>21</v>
      </c>
      <c r="BX176" s="32">
        <f t="shared" si="3"/>
        <v>0</v>
      </c>
      <c r="BY176" s="32">
        <f t="shared" si="4"/>
        <v>0</v>
      </c>
      <c r="BZ176" s="32">
        <f t="shared" si="5"/>
        <v>0</v>
      </c>
      <c r="CA176" s="32">
        <f t="shared" si="6"/>
        <v>143790636</v>
      </c>
      <c r="CB176" s="32">
        <f t="shared" si="7"/>
        <v>5242</v>
      </c>
      <c r="CC176" s="32">
        <f t="shared" si="8"/>
        <v>1118895</v>
      </c>
      <c r="CD176" s="41">
        <f t="shared" si="75"/>
        <v>0</v>
      </c>
      <c r="CE176" s="44">
        <f t="shared" si="10"/>
        <v>46</v>
      </c>
      <c r="CF176" s="27"/>
      <c r="CG176" s="28" t="str">
        <f t="shared" si="11"/>
        <v/>
      </c>
      <c r="CH176" s="28" t="str">
        <f t="shared" si="12"/>
        <v/>
      </c>
      <c r="CI176" s="28" t="str">
        <f t="shared" si="13"/>
        <v/>
      </c>
      <c r="CJ176" s="28" t="str">
        <f t="shared" si="14"/>
        <v/>
      </c>
      <c r="CK176" s="23" t="str">
        <f t="shared" si="15"/>
        <v/>
      </c>
      <c r="CL176" s="29" t="str">
        <f t="shared" si="16"/>
        <v/>
      </c>
      <c r="CM176" s="29" t="str">
        <f t="shared" si="17"/>
        <v/>
      </c>
      <c r="CN176" s="29" t="str">
        <f t="shared" si="18"/>
        <v/>
      </c>
      <c r="CO176" s="29" t="str">
        <f t="shared" si="19"/>
        <v/>
      </c>
      <c r="CP176" s="29" t="str">
        <f t="shared" si="20"/>
        <v/>
      </c>
      <c r="CQ176" s="29" t="str">
        <f t="shared" si="21"/>
        <v/>
      </c>
      <c r="CR176" s="30"/>
      <c r="CS176" s="7" t="str">
        <f>VLOOKUP(A176,'Empresas 21-23'!$A$2:$M$228,13,0)</f>
        <v/>
      </c>
      <c r="CT176" s="30"/>
      <c r="CU176" s="6">
        <f t="shared" si="22"/>
        <v>33523713</v>
      </c>
      <c r="CV176" s="6">
        <f t="shared" si="23"/>
        <v>0</v>
      </c>
      <c r="CW176" s="6">
        <f t="shared" si="24"/>
        <v>305091989</v>
      </c>
      <c r="CX176" s="23">
        <f t="shared" si="88"/>
        <v>4.7258483496864295E-3</v>
      </c>
      <c r="CY176" s="23">
        <f t="shared" si="89"/>
        <v>0</v>
      </c>
      <c r="CZ176" s="6">
        <f t="shared" si="27"/>
        <v>34965531.472718202</v>
      </c>
      <c r="DA176" s="6">
        <f t="shared" si="28"/>
        <v>0</v>
      </c>
      <c r="DB176" s="6">
        <f t="shared" si="29"/>
        <v>0</v>
      </c>
      <c r="DC176" s="6">
        <f t="shared" si="30"/>
        <v>370168</v>
      </c>
      <c r="DD176" s="6">
        <f t="shared" si="31"/>
        <v>0</v>
      </c>
      <c r="DE176" s="6">
        <f t="shared" si="32"/>
        <v>143790636</v>
      </c>
      <c r="DF176" s="6">
        <f t="shared" si="90"/>
        <v>98622.558104758267</v>
      </c>
      <c r="DG176" s="30"/>
      <c r="DH176" s="32" t="str">
        <f>VLOOKUP(A176,'T_med_comp-USA'!$A$7:$Q$233,17,0)</f>
        <v>-</v>
      </c>
      <c r="DI176" s="6" t="str">
        <f t="shared" si="34"/>
        <v/>
      </c>
      <c r="DJ176" s="32" t="str">
        <f>IF(DI176="","",VLOOKUP(DI176,'CPI USA'!$T:$U,2,FALSE))</f>
        <v/>
      </c>
      <c r="DK176" s="32" t="str">
        <f>IF(DI176="","",VLOOKUP(DI176,'PPI USA'!$S:$T,2,FALSE))</f>
        <v/>
      </c>
      <c r="DL176" s="32" t="str">
        <f>IF(DI176="","",VLOOKUP(DI176,'CPI USA'!$T:$V,3,FALSE))</f>
        <v/>
      </c>
      <c r="DM176" s="32" t="str">
        <f>IF(DI176="","",VLOOKUP(DI176,'CPI USA'!$T:$X,5,FALSE))</f>
        <v/>
      </c>
      <c r="DN176" s="32" t="str">
        <f t="shared" si="35"/>
        <v/>
      </c>
      <c r="DO176" s="32" t="str">
        <f t="shared" si="36"/>
        <v/>
      </c>
      <c r="DP176" s="32" t="str">
        <f t="shared" si="37"/>
        <v/>
      </c>
      <c r="DQ176" s="32" t="str">
        <f>IF(DP176="","",DP176*$DO$1/'CPI USA'!$U$520+(1-DP176)*AVERAGE($DO$1,$DQ$1)/AVERAGE('CPI USA'!$U$520,'PPI USA'!$T$526))</f>
        <v/>
      </c>
      <c r="DR176" s="6">
        <f t="shared" si="38"/>
        <v>0</v>
      </c>
      <c r="DS176" s="32" t="str">
        <f t="shared" si="39"/>
        <v/>
      </c>
      <c r="DT176" s="28" t="str">
        <f>IF(DS176="","",DS176*$DO$1/'CPI USA'!$U$520+(1-DS176)*AVERAGE($DO$1,$DQ$1)/AVERAGE('CPI USA'!$U$520,'PPI USA'!$T$526))</f>
        <v/>
      </c>
      <c r="DU176" s="6" t="str">
        <f t="shared" si="40"/>
        <v/>
      </c>
      <c r="DV176" s="6">
        <f t="shared" si="84"/>
        <v>218554.33879053389</v>
      </c>
      <c r="DW176" s="6">
        <f t="shared" si="41"/>
        <v>0</v>
      </c>
      <c r="DX176" s="16" t="str">
        <f t="shared" si="42"/>
        <v/>
      </c>
      <c r="DY176" s="28" t="str">
        <f>IF(DX176="","",DX176*$DO$1/'CPI USA'!$U$520+(1-DX176)*AVERAGE($DO$1,$DQ$1)/AVERAGE('CPI USA'!$U$520,'PPI USA'!$T$526))</f>
        <v/>
      </c>
      <c r="DZ176" s="30"/>
      <c r="EA176" s="29" t="str">
        <f t="shared" si="43"/>
        <v>C003849</v>
      </c>
      <c r="EB176" s="29" t="str">
        <f t="shared" si="44"/>
        <v/>
      </c>
      <c r="EC176" s="29" t="str">
        <f t="shared" si="45"/>
        <v/>
      </c>
      <c r="ED176" s="29" t="str">
        <f t="shared" si="46"/>
        <v/>
      </c>
      <c r="EE176" s="29" t="str">
        <f t="shared" si="47"/>
        <v/>
      </c>
      <c r="EF176" s="29" t="str">
        <f t="shared" si="48"/>
        <v/>
      </c>
      <c r="EG176" s="29" t="str">
        <f t="shared" si="49"/>
        <v/>
      </c>
      <c r="EH176" s="29" t="str">
        <f t="shared" si="50"/>
        <v/>
      </c>
      <c r="EI176" s="29" t="str">
        <f t="shared" si="51"/>
        <v/>
      </c>
      <c r="EJ176" s="29" t="str">
        <f t="shared" si="52"/>
        <v/>
      </c>
      <c r="EK176" s="29" t="str">
        <f t="shared" si="53"/>
        <v/>
      </c>
      <c r="EL176" s="29" t="str">
        <f>IF(CD176=1,VLOOKUP(EA176,'EIA 2022'!$A$2:$J$213,4,0)*EH176,"")</f>
        <v/>
      </c>
      <c r="EM176" s="29" t="str">
        <f>IF(CD176=1,VLOOKUP(EA176,'EIA 2022'!$A$2:$J$213,7,0)*EH176,"")</f>
        <v/>
      </c>
      <c r="EN176" s="29" t="str">
        <f>IF(CD176=1,VLOOKUP(EA176,'EIA 2022'!$A$2:$J$213,10,0),"")</f>
        <v/>
      </c>
      <c r="EO176" s="28" t="str">
        <f>IF(CD176=1,VLOOKUP(EA176,'EIA 2022'!$A$2:$Z$213,26,0),"")</f>
        <v/>
      </c>
      <c r="EP176" s="23" t="str">
        <f t="shared" si="54"/>
        <v/>
      </c>
      <c r="EQ176" s="32" t="str">
        <f t="shared" si="55"/>
        <v/>
      </c>
      <c r="ER176" s="32" t="str">
        <f t="shared" si="56"/>
        <v/>
      </c>
      <c r="ES176" s="32"/>
      <c r="ET176" s="32"/>
    </row>
    <row r="177" spans="1:150" ht="15.75" customHeight="1">
      <c r="A177" s="7" t="s">
        <v>736</v>
      </c>
      <c r="B177" s="7" t="s">
        <v>737</v>
      </c>
      <c r="C177" s="32" t="s">
        <v>1046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f>IFERROR(VLOOKUP(A177,'Trans 21-23'!$A$2:$J$229,8,0),0)</f>
        <v>0</v>
      </c>
      <c r="Y177" s="42">
        <v>0</v>
      </c>
      <c r="Z177" s="42">
        <v>0</v>
      </c>
      <c r="AA177" s="42">
        <v>0</v>
      </c>
      <c r="AB177" s="42">
        <v>0</v>
      </c>
      <c r="AC177" s="42">
        <v>0</v>
      </c>
      <c r="AD177" s="42">
        <v>142811</v>
      </c>
      <c r="AE177" s="42">
        <v>0</v>
      </c>
      <c r="AF177" s="42">
        <v>525675</v>
      </c>
      <c r="AG177" s="42">
        <v>0</v>
      </c>
      <c r="AH177" s="42">
        <v>0</v>
      </c>
      <c r="AI177" s="42">
        <v>0</v>
      </c>
      <c r="AJ177" s="42">
        <v>0</v>
      </c>
      <c r="AK177" s="42">
        <v>0</v>
      </c>
      <c r="AL177" s="42">
        <v>0</v>
      </c>
      <c r="AM177" s="42">
        <v>0</v>
      </c>
      <c r="AN177" s="42">
        <v>0</v>
      </c>
      <c r="AO177" s="42">
        <v>0</v>
      </c>
      <c r="AP177" s="42">
        <v>0</v>
      </c>
      <c r="AQ177" s="42">
        <v>0</v>
      </c>
      <c r="AR177" s="42">
        <v>0</v>
      </c>
      <c r="AS177" s="42">
        <v>0</v>
      </c>
      <c r="AT177" s="42">
        <v>0</v>
      </c>
      <c r="AU177" s="42">
        <v>0</v>
      </c>
      <c r="AV177" s="42">
        <v>0</v>
      </c>
      <c r="AW177" s="42">
        <v>0</v>
      </c>
      <c r="AX177" s="42">
        <v>0</v>
      </c>
      <c r="AY177" s="42">
        <v>0</v>
      </c>
      <c r="AZ177" s="42">
        <v>0</v>
      </c>
      <c r="BA177" s="42">
        <v>0</v>
      </c>
      <c r="BB177" s="42">
        <v>0</v>
      </c>
      <c r="BC177" s="42">
        <v>0</v>
      </c>
      <c r="BD177" s="42">
        <v>0</v>
      </c>
      <c r="BE177" s="42">
        <v>0</v>
      </c>
      <c r="BF177" s="42">
        <v>0</v>
      </c>
      <c r="BG177" s="42">
        <v>0</v>
      </c>
      <c r="BH177" s="42">
        <v>0</v>
      </c>
      <c r="BI177" s="42">
        <v>0</v>
      </c>
      <c r="BJ177" s="42">
        <v>0</v>
      </c>
      <c r="BK177" s="42">
        <v>0</v>
      </c>
      <c r="BL177" s="42">
        <v>0</v>
      </c>
      <c r="BM177" s="42">
        <v>0</v>
      </c>
      <c r="BN177" s="42">
        <v>0</v>
      </c>
      <c r="BO177" s="42">
        <v>0</v>
      </c>
      <c r="BP177" s="42">
        <v>0</v>
      </c>
      <c r="BQ177" s="42">
        <v>0</v>
      </c>
      <c r="BR177" s="42">
        <v>0</v>
      </c>
      <c r="BS177" s="42">
        <f>IFERROR(VLOOKUP(A177,'Trans 21-23'!$A$2:$J$229,7,0),0)</f>
        <v>0</v>
      </c>
      <c r="BT177" s="63"/>
      <c r="BU177" s="32">
        <f t="shared" si="0"/>
        <v>0</v>
      </c>
      <c r="BV177" s="32">
        <f t="shared" si="1"/>
        <v>0</v>
      </c>
      <c r="BW177" s="32">
        <f t="shared" si="2"/>
        <v>0</v>
      </c>
      <c r="BX177" s="32">
        <f t="shared" si="3"/>
        <v>0</v>
      </c>
      <c r="BY177" s="32">
        <f t="shared" si="4"/>
        <v>0</v>
      </c>
      <c r="BZ177" s="32">
        <f t="shared" si="5"/>
        <v>0</v>
      </c>
      <c r="CA177" s="32">
        <f t="shared" si="6"/>
        <v>142811</v>
      </c>
      <c r="CB177" s="32">
        <f t="shared" si="7"/>
        <v>0</v>
      </c>
      <c r="CC177" s="32">
        <f t="shared" si="8"/>
        <v>0</v>
      </c>
      <c r="CD177" s="41">
        <f t="shared" si="75"/>
        <v>0</v>
      </c>
      <c r="CE177" s="44">
        <f t="shared" si="10"/>
        <v>66</v>
      </c>
      <c r="CF177" s="27"/>
      <c r="CG177" s="28" t="str">
        <f t="shared" si="11"/>
        <v/>
      </c>
      <c r="CH177" s="28" t="str">
        <f t="shared" si="12"/>
        <v/>
      </c>
      <c r="CI177" s="28" t="str">
        <f t="shared" si="13"/>
        <v/>
      </c>
      <c r="CJ177" s="28" t="str">
        <f t="shared" si="14"/>
        <v/>
      </c>
      <c r="CK177" s="23" t="str">
        <f t="shared" si="15"/>
        <v/>
      </c>
      <c r="CL177" s="29" t="str">
        <f t="shared" si="16"/>
        <v/>
      </c>
      <c r="CM177" s="29" t="str">
        <f t="shared" si="17"/>
        <v/>
      </c>
      <c r="CN177" s="29" t="str">
        <f t="shared" si="18"/>
        <v/>
      </c>
      <c r="CO177" s="29" t="str">
        <f t="shared" si="19"/>
        <v/>
      </c>
      <c r="CP177" s="29" t="str">
        <f t="shared" si="20"/>
        <v/>
      </c>
      <c r="CQ177" s="29" t="str">
        <f t="shared" si="21"/>
        <v/>
      </c>
      <c r="CR177" s="30"/>
      <c r="CS177" s="7" t="str">
        <f>VLOOKUP(A177,'Empresas 21-23'!$A$2:$M$228,13,0)</f>
        <v/>
      </c>
      <c r="CT177" s="30"/>
      <c r="CU177" s="6">
        <f t="shared" si="22"/>
        <v>0</v>
      </c>
      <c r="CV177" s="6">
        <f t="shared" si="23"/>
        <v>0</v>
      </c>
      <c r="CW177" s="6">
        <f t="shared" si="24"/>
        <v>0</v>
      </c>
      <c r="CX177" s="23" t="str">
        <f>IFERROR(CU177/(BC177-BD177),"")</f>
        <v/>
      </c>
      <c r="CY177" s="23" t="str">
        <f>IFERROR(CV177/(BC177-BD177),"")</f>
        <v/>
      </c>
      <c r="CZ177" s="6" t="e">
        <f t="shared" si="27"/>
        <v>#VALUE!</v>
      </c>
      <c r="DA177" s="6" t="e">
        <f t="shared" si="28"/>
        <v>#VALUE!</v>
      </c>
      <c r="DB177" s="6">
        <f t="shared" si="29"/>
        <v>0</v>
      </c>
      <c r="DC177" s="6">
        <f t="shared" si="30"/>
        <v>0</v>
      </c>
      <c r="DD177" s="6">
        <f t="shared" si="31"/>
        <v>0</v>
      </c>
      <c r="DE177" s="6">
        <f t="shared" si="32"/>
        <v>142811</v>
      </c>
      <c r="DF177" s="6">
        <f t="shared" si="90"/>
        <v>0</v>
      </c>
      <c r="DG177" s="30"/>
      <c r="DH177" s="32" t="str">
        <f>VLOOKUP(A177,'T_med_comp-USA'!$A$7:$Q$233,17,0)</f>
        <v>-</v>
      </c>
      <c r="DI177" s="6" t="str">
        <f t="shared" si="34"/>
        <v/>
      </c>
      <c r="DJ177" s="32" t="str">
        <f>IF(DI177="","",VLOOKUP(DI177,'CPI USA'!$T:$U,2,FALSE))</f>
        <v/>
      </c>
      <c r="DK177" s="32" t="str">
        <f>IF(DI177="","",VLOOKUP(DI177,'PPI USA'!$S:$T,2,FALSE))</f>
        <v/>
      </c>
      <c r="DL177" s="32" t="str">
        <f>IF(DI177="","",VLOOKUP(DI177,'CPI USA'!$T:$V,3,FALSE))</f>
        <v/>
      </c>
      <c r="DM177" s="32" t="str">
        <f>IF(DI177="","",VLOOKUP(DI177,'CPI USA'!$T:$X,5,FALSE))</f>
        <v/>
      </c>
      <c r="DN177" s="32" t="str">
        <f t="shared" si="35"/>
        <v/>
      </c>
      <c r="DO177" s="32" t="str">
        <f t="shared" si="36"/>
        <v/>
      </c>
      <c r="DP177" s="32" t="str">
        <f t="shared" si="37"/>
        <v/>
      </c>
      <c r="DQ177" s="32" t="str">
        <f>IF(DP177="","",DP177*$DO$1/'CPI USA'!$U$520+(1-DP177)*AVERAGE($DO$1,$DQ$1)/AVERAGE('CPI USA'!$U$520,'PPI USA'!$T$526))</f>
        <v/>
      </c>
      <c r="DR177" s="6">
        <f t="shared" si="38"/>
        <v>0</v>
      </c>
      <c r="DS177" s="32" t="str">
        <f t="shared" si="39"/>
        <v/>
      </c>
      <c r="DT177" s="28" t="str">
        <f>IF(DS177="","",DS177*$DO$1/'CPI USA'!$U$520+(1-DS177)*AVERAGE($DO$1,$DQ$1)/AVERAGE('CPI USA'!$U$520,'PPI USA'!$T$526))</f>
        <v/>
      </c>
      <c r="DU177" s="6" t="str">
        <f t="shared" si="40"/>
        <v/>
      </c>
      <c r="DV177" s="6" t="str">
        <f t="shared" si="84"/>
        <v/>
      </c>
      <c r="DW177" s="6">
        <f t="shared" si="41"/>
        <v>0</v>
      </c>
      <c r="DX177" s="16" t="e">
        <f t="shared" si="42"/>
        <v>#VALUE!</v>
      </c>
      <c r="DY177" s="28" t="e">
        <f>IF(DX177="","",DX177*$DO$1/'CPI USA'!$U$520+(1-DX177)*AVERAGE($DO$1,$DQ$1)/AVERAGE('CPI USA'!$U$520,'PPI USA'!$T$526))</f>
        <v>#VALUE!</v>
      </c>
      <c r="DZ177" s="30"/>
      <c r="EA177" s="29" t="str">
        <f t="shared" si="43"/>
        <v>C003988</v>
      </c>
      <c r="EB177" s="29" t="str">
        <f t="shared" si="44"/>
        <v/>
      </c>
      <c r="EC177" s="29" t="str">
        <f t="shared" si="45"/>
        <v/>
      </c>
      <c r="ED177" s="29" t="str">
        <f t="shared" si="46"/>
        <v/>
      </c>
      <c r="EE177" s="29" t="str">
        <f t="shared" si="47"/>
        <v/>
      </c>
      <c r="EF177" s="29" t="str">
        <f t="shared" si="48"/>
        <v/>
      </c>
      <c r="EG177" s="29" t="str">
        <f t="shared" si="49"/>
        <v/>
      </c>
      <c r="EH177" s="29" t="str">
        <f t="shared" si="50"/>
        <v/>
      </c>
      <c r="EI177" s="29" t="str">
        <f t="shared" si="51"/>
        <v/>
      </c>
      <c r="EJ177" s="29" t="str">
        <f t="shared" si="52"/>
        <v/>
      </c>
      <c r="EK177" s="29" t="str">
        <f t="shared" si="53"/>
        <v/>
      </c>
      <c r="EL177" s="29" t="str">
        <f>IF(CD177=1,VLOOKUP(EA177,'EIA 2022'!$A$2:$J$213,4,0)*EH177,"")</f>
        <v/>
      </c>
      <c r="EM177" s="29" t="str">
        <f>IF(CD177=1,VLOOKUP(EA177,'EIA 2022'!$A$2:$J$213,7,0)*EH177,"")</f>
        <v/>
      </c>
      <c r="EN177" s="29" t="str">
        <f>IF(CD177=1,VLOOKUP(EA177,'EIA 2022'!$A$2:$J$213,10,0),"")</f>
        <v/>
      </c>
      <c r="EO177" s="28" t="str">
        <f>IF(CD177=1,VLOOKUP(EA177,'EIA 2022'!$A$2:$Z$213,26,0),"")</f>
        <v/>
      </c>
      <c r="EP177" s="23" t="str">
        <f t="shared" si="54"/>
        <v/>
      </c>
      <c r="EQ177" s="32" t="str">
        <f t="shared" si="55"/>
        <v/>
      </c>
      <c r="ER177" s="32" t="str">
        <f t="shared" si="56"/>
        <v/>
      </c>
      <c r="ES177" s="32"/>
      <c r="ET177" s="32"/>
    </row>
    <row r="178" spans="1:150" ht="15.75" customHeight="1">
      <c r="A178" s="7" t="s">
        <v>739</v>
      </c>
      <c r="B178" s="7" t="s">
        <v>740</v>
      </c>
      <c r="C178" s="32" t="s">
        <v>1047</v>
      </c>
      <c r="D178" s="42">
        <v>158605591</v>
      </c>
      <c r="E178" s="42">
        <v>27755822</v>
      </c>
      <c r="F178" s="42">
        <v>4004</v>
      </c>
      <c r="G178" s="42">
        <v>116955499</v>
      </c>
      <c r="H178" s="42">
        <v>123215344</v>
      </c>
      <c r="I178" s="42">
        <v>850227</v>
      </c>
      <c r="J178" s="42">
        <v>149423</v>
      </c>
      <c r="K178" s="42">
        <v>2447603</v>
      </c>
      <c r="L178" s="42">
        <v>324791</v>
      </c>
      <c r="M178" s="42">
        <v>756628</v>
      </c>
      <c r="N178" s="42">
        <v>26206</v>
      </c>
      <c r="O178" s="42">
        <v>3445493</v>
      </c>
      <c r="P178" s="42">
        <v>176029</v>
      </c>
      <c r="Q178" s="42">
        <v>198628</v>
      </c>
      <c r="R178" s="42">
        <v>0</v>
      </c>
      <c r="S178" s="42">
        <v>1644789</v>
      </c>
      <c r="T178" s="42">
        <v>15820411</v>
      </c>
      <c r="U178" s="42">
        <v>1913222</v>
      </c>
      <c r="V178" s="42">
        <v>78657</v>
      </c>
      <c r="W178" s="42">
        <v>3186554</v>
      </c>
      <c r="X178" s="42">
        <f>IFERROR(VLOOKUP(A178,'Trans 21-23'!$A$2:$J$229,8,0),0)</f>
        <v>5056849</v>
      </c>
      <c r="Y178" s="42">
        <v>387913</v>
      </c>
      <c r="Z178" s="42">
        <v>195236</v>
      </c>
      <c r="AA178" s="42">
        <v>17703893</v>
      </c>
      <c r="AB178" s="42">
        <v>2436460</v>
      </c>
      <c r="AC178" s="42">
        <v>919636</v>
      </c>
      <c r="AD178" s="42">
        <v>108713527</v>
      </c>
      <c r="AE178" s="42">
        <v>0</v>
      </c>
      <c r="AF178" s="42">
        <v>752043986</v>
      </c>
      <c r="AG178" s="42">
        <v>339992</v>
      </c>
      <c r="AH178" s="42">
        <v>804066</v>
      </c>
      <c r="AI178" s="42">
        <v>11171313</v>
      </c>
      <c r="AJ178" s="42">
        <v>8535</v>
      </c>
      <c r="AK178" s="42">
        <v>0</v>
      </c>
      <c r="AL178" s="42">
        <v>3330071</v>
      </c>
      <c r="AM178" s="42">
        <v>3143145</v>
      </c>
      <c r="AN178" s="42">
        <v>3608580</v>
      </c>
      <c r="AO178" s="42">
        <v>16834</v>
      </c>
      <c r="AP178" s="42">
        <v>0</v>
      </c>
      <c r="AQ178" s="42">
        <v>10098630</v>
      </c>
      <c r="AR178" s="42">
        <v>1868214</v>
      </c>
      <c r="AS178" s="42">
        <v>11966844</v>
      </c>
      <c r="AT178" s="42">
        <v>0</v>
      </c>
      <c r="AU178" s="42">
        <v>2328</v>
      </c>
      <c r="AV178" s="42">
        <v>0</v>
      </c>
      <c r="AW178" s="42">
        <v>207064237</v>
      </c>
      <c r="AX178" s="42">
        <v>65846738</v>
      </c>
      <c r="AY178" s="42">
        <v>184830202</v>
      </c>
      <c r="AZ178" s="42">
        <v>84808234</v>
      </c>
      <c r="BA178" s="42">
        <v>43927287</v>
      </c>
      <c r="BB178" s="42">
        <v>1496184344</v>
      </c>
      <c r="BC178" s="42">
        <v>7130013162</v>
      </c>
      <c r="BD178" s="42">
        <v>185527233</v>
      </c>
      <c r="BE178" s="42">
        <v>367363214</v>
      </c>
      <c r="BF178" s="42">
        <v>36484658</v>
      </c>
      <c r="BG178" s="42">
        <v>0</v>
      </c>
      <c r="BH178" s="42">
        <v>9865980</v>
      </c>
      <c r="BI178" s="42">
        <v>5262309</v>
      </c>
      <c r="BJ178" s="42">
        <v>908992</v>
      </c>
      <c r="BK178" s="42">
        <v>854921</v>
      </c>
      <c r="BL178" s="42">
        <v>0</v>
      </c>
      <c r="BM178" s="42">
        <v>20051860</v>
      </c>
      <c r="BN178" s="42">
        <v>95487941</v>
      </c>
      <c r="BO178" s="42">
        <v>4926700</v>
      </c>
      <c r="BP178" s="42">
        <v>511570</v>
      </c>
      <c r="BQ178" s="42">
        <v>113419398</v>
      </c>
      <c r="BR178" s="42">
        <v>0</v>
      </c>
      <c r="BS178" s="42">
        <f>IFERROR(VLOOKUP(A178,'Trans 21-23'!$A$2:$J$229,7,0),0)</f>
        <v>457966546</v>
      </c>
      <c r="BT178" s="63"/>
      <c r="BU178" s="32">
        <f t="shared" si="0"/>
        <v>1496184344</v>
      </c>
      <c r="BV178" s="32">
        <f t="shared" si="1"/>
        <v>2328</v>
      </c>
      <c r="BW178" s="32">
        <f t="shared" si="2"/>
        <v>339992</v>
      </c>
      <c r="BX178" s="32">
        <f t="shared" si="3"/>
        <v>31018661</v>
      </c>
      <c r="BY178" s="32">
        <f t="shared" si="4"/>
        <v>21643138</v>
      </c>
      <c r="BZ178" s="32">
        <f t="shared" si="5"/>
        <v>84808234</v>
      </c>
      <c r="CA178" s="32">
        <f t="shared" si="6"/>
        <v>108713527</v>
      </c>
      <c r="CB178" s="32">
        <f t="shared" si="7"/>
        <v>804066</v>
      </c>
      <c r="CC178" s="32">
        <f t="shared" si="8"/>
        <v>10098630</v>
      </c>
      <c r="CD178" s="41">
        <f t="shared" si="75"/>
        <v>1</v>
      </c>
      <c r="CE178" s="44">
        <f t="shared" si="10"/>
        <v>9</v>
      </c>
      <c r="CF178" s="27"/>
      <c r="CG178" s="28">
        <f t="shared" si="11"/>
        <v>642.69086941580758</v>
      </c>
      <c r="CH178" s="28">
        <f t="shared" si="12"/>
        <v>6.847219934586696</v>
      </c>
      <c r="CI178" s="28">
        <f t="shared" si="13"/>
        <v>91.233502553001244</v>
      </c>
      <c r="CJ178" s="28">
        <f t="shared" si="14"/>
        <v>249.44185157297818</v>
      </c>
      <c r="CK178" s="23">
        <f t="shared" si="15"/>
        <v>7.9621295165779912E-2</v>
      </c>
      <c r="CL178" s="29" t="str">
        <f t="shared" si="16"/>
        <v/>
      </c>
      <c r="CM178" s="29" t="str">
        <f t="shared" si="17"/>
        <v/>
      </c>
      <c r="CN178" s="29" t="str">
        <f t="shared" si="18"/>
        <v/>
      </c>
      <c r="CO178" s="29" t="str">
        <f t="shared" si="19"/>
        <v/>
      </c>
      <c r="CP178" s="29" t="str">
        <f t="shared" si="20"/>
        <v/>
      </c>
      <c r="CQ178" s="29">
        <f t="shared" si="21"/>
        <v>0</v>
      </c>
      <c r="CR178" s="30"/>
      <c r="CS178" s="7">
        <f>VLOOKUP(A178,'Empresas 21-23'!$A$2:$M$228,13,0)</f>
        <v>1</v>
      </c>
      <c r="CT178" s="30"/>
      <c r="CU178" s="6">
        <f t="shared" si="22"/>
        <v>1675009205</v>
      </c>
      <c r="CV178" s="6">
        <f t="shared" si="23"/>
        <v>84808234</v>
      </c>
      <c r="CW178" s="6">
        <f t="shared" si="24"/>
        <v>185527233</v>
      </c>
      <c r="CX178" s="23">
        <f t="shared" ref="CX178:CX206" si="91">CU178/(BC178-BD178)</f>
        <v>0.24119988464591791</v>
      </c>
      <c r="CY178" s="23">
        <f t="shared" ref="CY178:CY206" si="92">CV178/(BC178-BD178)</f>
        <v>1.2212312742379236E-2</v>
      </c>
      <c r="CZ178" s="6">
        <f t="shared" si="27"/>
        <v>1719758352.1982763</v>
      </c>
      <c r="DA178" s="6">
        <f t="shared" si="28"/>
        <v>87073950.59162426</v>
      </c>
      <c r="DB178" s="6">
        <f t="shared" si="29"/>
        <v>31018661</v>
      </c>
      <c r="DC178" s="6">
        <f t="shared" si="30"/>
        <v>36075510</v>
      </c>
      <c r="DD178" s="6">
        <f t="shared" si="31"/>
        <v>21643138</v>
      </c>
      <c r="DE178" s="6">
        <f t="shared" si="32"/>
        <v>108713527</v>
      </c>
      <c r="DF178" s="6">
        <f t="shared" si="90"/>
        <v>18800909.290265474</v>
      </c>
      <c r="DG178" s="30"/>
      <c r="DH178" s="32">
        <f>VLOOKUP(A178,'T_med_comp-USA'!$A$7:$Q$233,17,0)</f>
        <v>10.120551736946226</v>
      </c>
      <c r="DI178" s="6" t="str">
        <f t="shared" si="34"/>
        <v>11_2012</v>
      </c>
      <c r="DJ178" s="32">
        <f>IF(DI178="","",VLOOKUP(DI178,'CPI USA'!$T:$U,2,FALSE))</f>
        <v>229.59399999999999</v>
      </c>
      <c r="DK178" s="32">
        <f>IF(DI178="","",VLOOKUP(DI178,'PPI USA'!$S:$T,2,FALSE))</f>
        <v>175.1</v>
      </c>
      <c r="DL178" s="32">
        <f>IF(DI178="","",VLOOKUP(DI178,'CPI USA'!$T:$V,3,FALSE))</f>
        <v>0.66730871354337351</v>
      </c>
      <c r="DM178" s="32">
        <f>IF(DI178="","",VLOOKUP(DI178,'CPI USA'!$T:$X,5,FALSE))</f>
        <v>0.49513551903851311</v>
      </c>
      <c r="DN178" s="32">
        <f t="shared" si="35"/>
        <v>1.3897894616766442</v>
      </c>
      <c r="DO178" s="32">
        <f t="shared" si="36"/>
        <v>1.4008620811189902</v>
      </c>
      <c r="DP178" s="32">
        <f t="shared" si="37"/>
        <v>0.33447656575057122</v>
      </c>
      <c r="DQ178" s="32">
        <f>IF(DP178="","",DP178*$DO$1/'CPI USA'!$U$520+(1-DP178)*AVERAGE($DO$1,$DQ$1)/AVERAGE('CPI USA'!$U$520,'PPI USA'!$T$526))</f>
        <v>1.0809393930005464</v>
      </c>
      <c r="DR178" s="6">
        <f t="shared" si="38"/>
        <v>7026222</v>
      </c>
      <c r="DS178" s="32">
        <f t="shared" si="39"/>
        <v>0.34138949263483515</v>
      </c>
      <c r="DT178" s="28">
        <f>IF(DS178="","",DS178*$DO$1/'CPI USA'!$U$520+(1-DS178)*AVERAGE($DO$1,$DQ$1)/AVERAGE('CPI USA'!$U$520,'PPI USA'!$T$526))</f>
        <v>1.0807068485812283</v>
      </c>
      <c r="DU178" s="6">
        <f t="shared" si="40"/>
        <v>21086435.65036406</v>
      </c>
      <c r="DV178" s="6">
        <f t="shared" si="84"/>
        <v>90852.248262184265</v>
      </c>
      <c r="DW178" s="6">
        <f t="shared" si="41"/>
        <v>3746347.6670394442</v>
      </c>
      <c r="DX178" s="16">
        <f t="shared" si="42"/>
        <v>0.2</v>
      </c>
      <c r="DY178" s="28">
        <f>IF(DX178="","",DX178*$DO$1/'CPI USA'!$U$520+(1-DX178)*AVERAGE($DO$1,$DQ$1)/AVERAGE('CPI USA'!$U$520,'PPI USA'!$T$526))</f>
        <v>1.0854630593748538</v>
      </c>
      <c r="DZ178" s="30"/>
      <c r="EA178" s="29" t="str">
        <f t="shared" si="43"/>
        <v>C004044</v>
      </c>
      <c r="EB178" s="29">
        <f t="shared" si="44"/>
        <v>2390102034.5155549</v>
      </c>
      <c r="EC178" s="29">
        <f t="shared" si="45"/>
        <v>121978595.63703489</v>
      </c>
      <c r="ED178" s="29">
        <f t="shared" si="46"/>
        <v>38995439.881585144</v>
      </c>
      <c r="EE178" s="29">
        <f t="shared" si="47"/>
        <v>23389887.461388629</v>
      </c>
      <c r="EF178" s="29">
        <f t="shared" si="48"/>
        <v>20407692.517240673</v>
      </c>
      <c r="EG178" s="29">
        <f t="shared" si="49"/>
        <v>2328</v>
      </c>
      <c r="EH178" s="29">
        <f t="shared" si="50"/>
        <v>339992</v>
      </c>
      <c r="EI178" s="29">
        <f t="shared" si="51"/>
        <v>804066</v>
      </c>
      <c r="EJ178" s="29">
        <f t="shared" si="52"/>
        <v>10098630</v>
      </c>
      <c r="EK178" s="29">
        <f t="shared" si="53"/>
        <v>10874246.040609136</v>
      </c>
      <c r="EL178" s="29">
        <f>IF(CD178=1,VLOOKUP(EA178,'EIA 2022'!$A$2:$J$213,4,0)*EH178,"")</f>
        <v>32938424.959999997</v>
      </c>
      <c r="EM178" s="29">
        <f>IF(CD178=1,VLOOKUP(EA178,'EIA 2022'!$A$2:$J$213,7,0)*EH178,"")</f>
        <v>425669.984</v>
      </c>
      <c r="EN178" s="29">
        <f>IF(CD178=1,VLOOKUP(EA178,'EIA 2022'!$A$2:$J$213,10,0),"")</f>
        <v>340010</v>
      </c>
      <c r="EO178" s="28">
        <f>IF(CD178=1,VLOOKUP(EA178,'EIA 2022'!$A$2:$Z$213,26,0),"")</f>
        <v>0</v>
      </c>
      <c r="EP178" s="23">
        <f t="shared" si="54"/>
        <v>7.1325960228658725E-2</v>
      </c>
      <c r="EQ178" s="32">
        <f t="shared" si="55"/>
        <v>28449.959390863078</v>
      </c>
      <c r="ER178" s="32">
        <f t="shared" si="56"/>
        <v>775616.04060913692</v>
      </c>
      <c r="ES178" s="32"/>
      <c r="ET178" s="32"/>
    </row>
    <row r="179" spans="1:150" ht="15.75" customHeight="1">
      <c r="A179" s="7" t="s">
        <v>1048</v>
      </c>
      <c r="B179" s="7" t="s">
        <v>1049</v>
      </c>
      <c r="C179" s="32" t="s">
        <v>1050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f>IFERROR(VLOOKUP(A179,'Trans 21-23'!$A$2:$J$229,8,0),0)</f>
        <v>0</v>
      </c>
      <c r="Y179" s="42">
        <v>0</v>
      </c>
      <c r="Z179" s="42">
        <v>0</v>
      </c>
      <c r="AA179" s="42">
        <v>0</v>
      </c>
      <c r="AB179" s="42">
        <v>0</v>
      </c>
      <c r="AC179" s="42">
        <v>0</v>
      </c>
      <c r="AD179" s="42">
        <v>72618</v>
      </c>
      <c r="AE179" s="42">
        <v>0</v>
      </c>
      <c r="AF179" s="42">
        <v>120454</v>
      </c>
      <c r="AG179" s="42">
        <v>0</v>
      </c>
      <c r="AH179" s="42">
        <v>0</v>
      </c>
      <c r="AI179" s="42">
        <v>0</v>
      </c>
      <c r="AJ179" s="42">
        <v>0</v>
      </c>
      <c r="AK179" s="42">
        <v>0</v>
      </c>
      <c r="AL179" s="42">
        <v>0</v>
      </c>
      <c r="AM179" s="42">
        <v>0</v>
      </c>
      <c r="AN179" s="42">
        <v>0</v>
      </c>
      <c r="AO179" s="42">
        <v>0</v>
      </c>
      <c r="AP179" s="42">
        <v>0</v>
      </c>
      <c r="AQ179" s="42">
        <v>0</v>
      </c>
      <c r="AR179" s="42">
        <v>0</v>
      </c>
      <c r="AS179" s="42">
        <v>0</v>
      </c>
      <c r="AT179" s="42">
        <v>0</v>
      </c>
      <c r="AU179" s="42">
        <v>0</v>
      </c>
      <c r="AV179" s="42">
        <v>0</v>
      </c>
      <c r="AW179" s="42">
        <v>0</v>
      </c>
      <c r="AX179" s="42">
        <v>0</v>
      </c>
      <c r="AY179" s="42">
        <v>0</v>
      </c>
      <c r="AZ179" s="42">
        <v>0</v>
      </c>
      <c r="BA179" s="42">
        <v>0</v>
      </c>
      <c r="BB179" s="42">
        <v>0</v>
      </c>
      <c r="BC179" s="42">
        <v>28293</v>
      </c>
      <c r="BD179" s="42">
        <v>0</v>
      </c>
      <c r="BE179" s="42">
        <v>0</v>
      </c>
      <c r="BF179" s="42">
        <v>0</v>
      </c>
      <c r="BG179" s="42">
        <v>0</v>
      </c>
      <c r="BH179" s="42">
        <v>0</v>
      </c>
      <c r="BI179" s="42">
        <v>0</v>
      </c>
      <c r="BJ179" s="42">
        <v>0</v>
      </c>
      <c r="BK179" s="42">
        <v>0</v>
      </c>
      <c r="BL179" s="42">
        <v>0</v>
      </c>
      <c r="BM179" s="42">
        <v>0</v>
      </c>
      <c r="BN179" s="42">
        <v>0</v>
      </c>
      <c r="BO179" s="42">
        <v>0</v>
      </c>
      <c r="BP179" s="42">
        <v>0</v>
      </c>
      <c r="BQ179" s="42">
        <v>0</v>
      </c>
      <c r="BR179" s="42">
        <v>0</v>
      </c>
      <c r="BS179" s="42">
        <f>IFERROR(VLOOKUP(A179,'Trans 21-23'!$A$2:$J$229,7,0),0)</f>
        <v>0</v>
      </c>
      <c r="BT179" s="63"/>
      <c r="BU179" s="32">
        <f t="shared" si="0"/>
        <v>0</v>
      </c>
      <c r="BV179" s="32">
        <f t="shared" si="1"/>
        <v>0</v>
      </c>
      <c r="BW179" s="32">
        <f t="shared" si="2"/>
        <v>0</v>
      </c>
      <c r="BX179" s="32">
        <f t="shared" si="3"/>
        <v>0</v>
      </c>
      <c r="BY179" s="32">
        <f t="shared" si="4"/>
        <v>0</v>
      </c>
      <c r="BZ179" s="32">
        <f t="shared" si="5"/>
        <v>0</v>
      </c>
      <c r="CA179" s="32">
        <f t="shared" si="6"/>
        <v>72618</v>
      </c>
      <c r="CB179" s="32">
        <f t="shared" si="7"/>
        <v>0</v>
      </c>
      <c r="CC179" s="32">
        <f t="shared" si="8"/>
        <v>0</v>
      </c>
      <c r="CD179" s="41">
        <f t="shared" si="75"/>
        <v>0</v>
      </c>
      <c r="CE179" s="44">
        <f t="shared" si="10"/>
        <v>65</v>
      </c>
      <c r="CF179" s="27"/>
      <c r="CG179" s="28" t="str">
        <f t="shared" si="11"/>
        <v/>
      </c>
      <c r="CH179" s="28" t="str">
        <f t="shared" si="12"/>
        <v/>
      </c>
      <c r="CI179" s="28" t="str">
        <f t="shared" si="13"/>
        <v/>
      </c>
      <c r="CJ179" s="28" t="str">
        <f t="shared" si="14"/>
        <v/>
      </c>
      <c r="CK179" s="23" t="str">
        <f t="shared" si="15"/>
        <v/>
      </c>
      <c r="CL179" s="29" t="str">
        <f t="shared" si="16"/>
        <v/>
      </c>
      <c r="CM179" s="29" t="str">
        <f t="shared" si="17"/>
        <v/>
      </c>
      <c r="CN179" s="29" t="str">
        <f t="shared" si="18"/>
        <v/>
      </c>
      <c r="CO179" s="29" t="str">
        <f t="shared" si="19"/>
        <v/>
      </c>
      <c r="CP179" s="29" t="str">
        <f t="shared" si="20"/>
        <v/>
      </c>
      <c r="CQ179" s="29" t="str">
        <f t="shared" si="21"/>
        <v/>
      </c>
      <c r="CR179" s="30"/>
      <c r="CS179" s="7" t="str">
        <f>VLOOKUP(A179,'Empresas 21-23'!$A$2:$M$228,13,0)</f>
        <v/>
      </c>
      <c r="CT179" s="30"/>
      <c r="CU179" s="6">
        <f t="shared" si="22"/>
        <v>0</v>
      </c>
      <c r="CV179" s="6">
        <f t="shared" si="23"/>
        <v>0</v>
      </c>
      <c r="CW179" s="6">
        <f t="shared" si="24"/>
        <v>0</v>
      </c>
      <c r="CX179" s="23">
        <f t="shared" si="91"/>
        <v>0</v>
      </c>
      <c r="CY179" s="23">
        <f t="shared" si="92"/>
        <v>0</v>
      </c>
      <c r="CZ179" s="6">
        <f t="shared" si="27"/>
        <v>0</v>
      </c>
      <c r="DA179" s="6">
        <f t="shared" si="28"/>
        <v>0</v>
      </c>
      <c r="DB179" s="6">
        <f t="shared" si="29"/>
        <v>0</v>
      </c>
      <c r="DC179" s="6">
        <f t="shared" si="30"/>
        <v>0</v>
      </c>
      <c r="DD179" s="6">
        <f t="shared" si="31"/>
        <v>0</v>
      </c>
      <c r="DE179" s="6">
        <f t="shared" si="32"/>
        <v>72618</v>
      </c>
      <c r="DF179" s="6">
        <f t="shared" si="90"/>
        <v>0</v>
      </c>
      <c r="DG179" s="30"/>
      <c r="DH179" s="32" t="str">
        <f>VLOOKUP(A179,'T_med_comp-USA'!$A$7:$Q$233,17,0)</f>
        <v>-</v>
      </c>
      <c r="DI179" s="6" t="str">
        <f t="shared" si="34"/>
        <v/>
      </c>
      <c r="DJ179" s="32" t="str">
        <f>IF(DI179="","",VLOOKUP(DI179,'CPI USA'!$T:$U,2,FALSE))</f>
        <v/>
      </c>
      <c r="DK179" s="32" t="str">
        <f>IF(DI179="","",VLOOKUP(DI179,'PPI USA'!$S:$T,2,FALSE))</f>
        <v/>
      </c>
      <c r="DL179" s="32" t="str">
        <f>IF(DI179="","",VLOOKUP(DI179,'CPI USA'!$T:$V,3,FALSE))</f>
        <v/>
      </c>
      <c r="DM179" s="32" t="str">
        <f>IF(DI179="","",VLOOKUP(DI179,'CPI USA'!$T:$X,5,FALSE))</f>
        <v/>
      </c>
      <c r="DN179" s="32" t="str">
        <f t="shared" si="35"/>
        <v/>
      </c>
      <c r="DO179" s="32" t="str">
        <f t="shared" si="36"/>
        <v/>
      </c>
      <c r="DP179" s="32" t="str">
        <f t="shared" si="37"/>
        <v/>
      </c>
      <c r="DQ179" s="32" t="str">
        <f>IF(DP179="","",DP179*$DO$1/'CPI USA'!$U$520+(1-DP179)*AVERAGE($DO$1,$DQ$1)/AVERAGE('CPI USA'!$U$520,'PPI USA'!$T$526))</f>
        <v/>
      </c>
      <c r="DR179" s="6">
        <f t="shared" si="38"/>
        <v>0</v>
      </c>
      <c r="DS179" s="32" t="str">
        <f t="shared" si="39"/>
        <v/>
      </c>
      <c r="DT179" s="28" t="str">
        <f>IF(DS179="","",DS179*$DO$1/'CPI USA'!$U$520+(1-DS179)*AVERAGE($DO$1,$DQ$1)/AVERAGE('CPI USA'!$U$520,'PPI USA'!$T$526))</f>
        <v/>
      </c>
      <c r="DU179" s="6" t="str">
        <f t="shared" si="40"/>
        <v/>
      </c>
      <c r="DV179" s="6" t="str">
        <f t="shared" si="84"/>
        <v/>
      </c>
      <c r="DW179" s="6">
        <f t="shared" si="41"/>
        <v>0</v>
      </c>
      <c r="DX179" s="16" t="str">
        <f t="shared" si="42"/>
        <v/>
      </c>
      <c r="DY179" s="28" t="str">
        <f>IF(DX179="","",DX179*$DO$1/'CPI USA'!$U$520+(1-DX179)*AVERAGE($DO$1,$DQ$1)/AVERAGE('CPI USA'!$U$520,'PPI USA'!$T$526))</f>
        <v/>
      </c>
      <c r="DZ179" s="30"/>
      <c r="EA179" s="29" t="str">
        <f t="shared" si="43"/>
        <v>C004679</v>
      </c>
      <c r="EB179" s="29" t="str">
        <f t="shared" si="44"/>
        <v/>
      </c>
      <c r="EC179" s="29" t="str">
        <f t="shared" si="45"/>
        <v/>
      </c>
      <c r="ED179" s="29" t="str">
        <f t="shared" si="46"/>
        <v/>
      </c>
      <c r="EE179" s="29" t="str">
        <f t="shared" si="47"/>
        <v/>
      </c>
      <c r="EF179" s="29" t="str">
        <f t="shared" si="48"/>
        <v/>
      </c>
      <c r="EG179" s="29" t="str">
        <f t="shared" si="49"/>
        <v/>
      </c>
      <c r="EH179" s="29" t="str">
        <f t="shared" si="50"/>
        <v/>
      </c>
      <c r="EI179" s="29" t="str">
        <f t="shared" si="51"/>
        <v/>
      </c>
      <c r="EJ179" s="29" t="str">
        <f t="shared" si="52"/>
        <v/>
      </c>
      <c r="EK179" s="29" t="str">
        <f t="shared" si="53"/>
        <v/>
      </c>
      <c r="EL179" s="29" t="str">
        <f>IF(CD179=1,VLOOKUP(EA179,'EIA 2022'!$A$2:$J$213,4,0)*EH179,"")</f>
        <v/>
      </c>
      <c r="EM179" s="29" t="str">
        <f>IF(CD179=1,VLOOKUP(EA179,'EIA 2022'!$A$2:$J$213,7,0)*EH179,"")</f>
        <v/>
      </c>
      <c r="EN179" s="29" t="str">
        <f>IF(CD179=1,VLOOKUP(EA179,'EIA 2022'!$A$2:$J$213,10,0),"")</f>
        <v/>
      </c>
      <c r="EO179" s="28" t="str">
        <f>IF(CD179=1,VLOOKUP(EA179,'EIA 2022'!$A$2:$Z$213,26,0),"")</f>
        <v/>
      </c>
      <c r="EP179" s="23" t="str">
        <f t="shared" si="54"/>
        <v/>
      </c>
      <c r="EQ179" s="32" t="str">
        <f t="shared" si="55"/>
        <v/>
      </c>
      <c r="ER179" s="32" t="str">
        <f t="shared" si="56"/>
        <v/>
      </c>
      <c r="ES179" s="32"/>
      <c r="ET179" s="32"/>
    </row>
    <row r="180" spans="1:150" ht="15.75" customHeight="1">
      <c r="A180" s="7" t="s">
        <v>742</v>
      </c>
      <c r="B180" s="7" t="s">
        <v>743</v>
      </c>
      <c r="C180" s="32" t="s">
        <v>1051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f>IFERROR(VLOOKUP(A180,'Trans 21-23'!$A$2:$J$229,8,0),0)</f>
        <v>0</v>
      </c>
      <c r="Y180" s="42">
        <v>0</v>
      </c>
      <c r="Z180" s="42">
        <v>0</v>
      </c>
      <c r="AA180" s="42">
        <v>0</v>
      </c>
      <c r="AB180" s="42">
        <v>0</v>
      </c>
      <c r="AC180" s="42">
        <v>0</v>
      </c>
      <c r="AD180" s="42">
        <v>246579</v>
      </c>
      <c r="AE180" s="42">
        <v>0</v>
      </c>
      <c r="AF180" s="42">
        <v>765257</v>
      </c>
      <c r="AG180" s="42">
        <v>0</v>
      </c>
      <c r="AH180" s="42">
        <v>0</v>
      </c>
      <c r="AI180" s="42">
        <v>0</v>
      </c>
      <c r="AJ180" s="42">
        <v>0</v>
      </c>
      <c r="AK180" s="42">
        <v>0</v>
      </c>
      <c r="AL180" s="42">
        <v>0</v>
      </c>
      <c r="AM180" s="42">
        <v>0</v>
      </c>
      <c r="AN180" s="42">
        <v>0</v>
      </c>
      <c r="AO180" s="42">
        <v>0</v>
      </c>
      <c r="AP180" s="42">
        <v>0</v>
      </c>
      <c r="AQ180" s="42">
        <v>0</v>
      </c>
      <c r="AR180" s="42">
        <v>0</v>
      </c>
      <c r="AS180" s="42">
        <v>0</v>
      </c>
      <c r="AT180" s="42">
        <v>0</v>
      </c>
      <c r="AU180" s="42">
        <v>0</v>
      </c>
      <c r="AV180" s="42">
        <v>0</v>
      </c>
      <c r="AW180" s="42">
        <v>0</v>
      </c>
      <c r="AX180" s="42">
        <v>0</v>
      </c>
      <c r="AY180" s="42">
        <v>0</v>
      </c>
      <c r="AZ180" s="42">
        <v>0</v>
      </c>
      <c r="BA180" s="42">
        <v>0</v>
      </c>
      <c r="BB180" s="42">
        <v>0</v>
      </c>
      <c r="BC180" s="42">
        <v>85051035</v>
      </c>
      <c r="BD180" s="42">
        <v>0</v>
      </c>
      <c r="BE180" s="42">
        <v>0</v>
      </c>
      <c r="BF180" s="42">
        <v>0</v>
      </c>
      <c r="BG180" s="42">
        <v>0</v>
      </c>
      <c r="BH180" s="42">
        <v>0</v>
      </c>
      <c r="BI180" s="42">
        <v>0</v>
      </c>
      <c r="BJ180" s="42">
        <v>0</v>
      </c>
      <c r="BK180" s="42">
        <v>0</v>
      </c>
      <c r="BL180" s="42">
        <v>0</v>
      </c>
      <c r="BM180" s="42">
        <v>0</v>
      </c>
      <c r="BN180" s="42">
        <v>0</v>
      </c>
      <c r="BO180" s="42">
        <v>0</v>
      </c>
      <c r="BP180" s="42">
        <v>0</v>
      </c>
      <c r="BQ180" s="42">
        <v>0</v>
      </c>
      <c r="BR180" s="42">
        <v>0</v>
      </c>
      <c r="BS180" s="42">
        <f>IFERROR(VLOOKUP(A180,'Trans 21-23'!$A$2:$J$229,7,0),0)</f>
        <v>0</v>
      </c>
      <c r="BT180" s="63"/>
      <c r="BU180" s="32">
        <f t="shared" si="0"/>
        <v>0</v>
      </c>
      <c r="BV180" s="32">
        <f t="shared" si="1"/>
        <v>0</v>
      </c>
      <c r="BW180" s="32">
        <f t="shared" si="2"/>
        <v>0</v>
      </c>
      <c r="BX180" s="32">
        <f t="shared" si="3"/>
        <v>0</v>
      </c>
      <c r="BY180" s="32">
        <f t="shared" si="4"/>
        <v>0</v>
      </c>
      <c r="BZ180" s="32">
        <f t="shared" si="5"/>
        <v>0</v>
      </c>
      <c r="CA180" s="32">
        <f t="shared" si="6"/>
        <v>246579</v>
      </c>
      <c r="CB180" s="32">
        <f t="shared" si="7"/>
        <v>0</v>
      </c>
      <c r="CC180" s="32">
        <f t="shared" si="8"/>
        <v>0</v>
      </c>
      <c r="CD180" s="41">
        <f t="shared" si="75"/>
        <v>0</v>
      </c>
      <c r="CE180" s="44">
        <f t="shared" si="10"/>
        <v>65</v>
      </c>
      <c r="CF180" s="27"/>
      <c r="CG180" s="28" t="str">
        <f t="shared" si="11"/>
        <v/>
      </c>
      <c r="CH180" s="28" t="str">
        <f t="shared" si="12"/>
        <v/>
      </c>
      <c r="CI180" s="28" t="str">
        <f t="shared" si="13"/>
        <v/>
      </c>
      <c r="CJ180" s="28" t="str">
        <f t="shared" si="14"/>
        <v/>
      </c>
      <c r="CK180" s="23" t="str">
        <f t="shared" si="15"/>
        <v/>
      </c>
      <c r="CL180" s="29" t="str">
        <f t="shared" si="16"/>
        <v/>
      </c>
      <c r="CM180" s="29" t="str">
        <f t="shared" si="17"/>
        <v/>
      </c>
      <c r="CN180" s="29" t="str">
        <f t="shared" si="18"/>
        <v/>
      </c>
      <c r="CO180" s="29" t="str">
        <f t="shared" si="19"/>
        <v/>
      </c>
      <c r="CP180" s="29" t="str">
        <f t="shared" si="20"/>
        <v/>
      </c>
      <c r="CQ180" s="29" t="str">
        <f t="shared" si="21"/>
        <v/>
      </c>
      <c r="CR180" s="30"/>
      <c r="CS180" s="7" t="str">
        <f>VLOOKUP(A180,'Empresas 21-23'!$A$2:$M$228,13,0)</f>
        <v/>
      </c>
      <c r="CT180" s="30"/>
      <c r="CU180" s="6">
        <f t="shared" si="22"/>
        <v>0</v>
      </c>
      <c r="CV180" s="6">
        <f t="shared" si="23"/>
        <v>0</v>
      </c>
      <c r="CW180" s="6">
        <f t="shared" si="24"/>
        <v>0</v>
      </c>
      <c r="CX180" s="23">
        <f t="shared" si="91"/>
        <v>0</v>
      </c>
      <c r="CY180" s="23">
        <f t="shared" si="92"/>
        <v>0</v>
      </c>
      <c r="CZ180" s="6">
        <f t="shared" si="27"/>
        <v>0</v>
      </c>
      <c r="DA180" s="6">
        <f t="shared" si="28"/>
        <v>0</v>
      </c>
      <c r="DB180" s="6">
        <f t="shared" si="29"/>
        <v>0</v>
      </c>
      <c r="DC180" s="6">
        <f t="shared" si="30"/>
        <v>0</v>
      </c>
      <c r="DD180" s="6">
        <f t="shared" si="31"/>
        <v>0</v>
      </c>
      <c r="DE180" s="6">
        <f t="shared" si="32"/>
        <v>246579</v>
      </c>
      <c r="DF180" s="6">
        <f t="shared" si="90"/>
        <v>0</v>
      </c>
      <c r="DG180" s="30"/>
      <c r="DH180" s="32" t="str">
        <f>VLOOKUP(A180,'T_med_comp-USA'!$A$7:$Q$233,17,0)</f>
        <v>-</v>
      </c>
      <c r="DI180" s="6" t="str">
        <f t="shared" si="34"/>
        <v/>
      </c>
      <c r="DJ180" s="32" t="str">
        <f>IF(DI180="","",VLOOKUP(DI180,'CPI USA'!$T:$U,2,FALSE))</f>
        <v/>
      </c>
      <c r="DK180" s="32" t="str">
        <f>IF(DI180="","",VLOOKUP(DI180,'PPI USA'!$S:$T,2,FALSE))</f>
        <v/>
      </c>
      <c r="DL180" s="32" t="str">
        <f>IF(DI180="","",VLOOKUP(DI180,'CPI USA'!$T:$V,3,FALSE))</f>
        <v/>
      </c>
      <c r="DM180" s="32" t="str">
        <f>IF(DI180="","",VLOOKUP(DI180,'CPI USA'!$T:$X,5,FALSE))</f>
        <v/>
      </c>
      <c r="DN180" s="32" t="str">
        <f t="shared" si="35"/>
        <v/>
      </c>
      <c r="DO180" s="32" t="str">
        <f t="shared" si="36"/>
        <v/>
      </c>
      <c r="DP180" s="32" t="str">
        <f t="shared" si="37"/>
        <v/>
      </c>
      <c r="DQ180" s="32" t="str">
        <f>IF(DP180="","",DP180*$DO$1/'CPI USA'!$U$520+(1-DP180)*AVERAGE($DO$1,$DQ$1)/AVERAGE('CPI USA'!$U$520,'PPI USA'!$T$526))</f>
        <v/>
      </c>
      <c r="DR180" s="6">
        <f t="shared" si="38"/>
        <v>0</v>
      </c>
      <c r="DS180" s="32" t="str">
        <f t="shared" si="39"/>
        <v/>
      </c>
      <c r="DT180" s="28" t="str">
        <f>IF(DS180="","",DS180*$DO$1/'CPI USA'!$U$520+(1-DS180)*AVERAGE($DO$1,$DQ$1)/AVERAGE('CPI USA'!$U$520,'PPI USA'!$T$526))</f>
        <v/>
      </c>
      <c r="DU180" s="6" t="str">
        <f t="shared" si="40"/>
        <v/>
      </c>
      <c r="DV180" s="6" t="str">
        <f t="shared" si="84"/>
        <v/>
      </c>
      <c r="DW180" s="6">
        <f t="shared" si="41"/>
        <v>0</v>
      </c>
      <c r="DX180" s="16" t="str">
        <f t="shared" si="42"/>
        <v/>
      </c>
      <c r="DY180" s="28" t="str">
        <f>IF(DX180="","",DX180*$DO$1/'CPI USA'!$U$520+(1-DX180)*AVERAGE($DO$1,$DQ$1)/AVERAGE('CPI USA'!$U$520,'PPI USA'!$T$526))</f>
        <v/>
      </c>
      <c r="DZ180" s="30"/>
      <c r="EA180" s="29" t="str">
        <f t="shared" si="43"/>
        <v>C004872</v>
      </c>
      <c r="EB180" s="29" t="str">
        <f t="shared" si="44"/>
        <v/>
      </c>
      <c r="EC180" s="29" t="str">
        <f t="shared" si="45"/>
        <v/>
      </c>
      <c r="ED180" s="29" t="str">
        <f t="shared" si="46"/>
        <v/>
      </c>
      <c r="EE180" s="29" t="str">
        <f t="shared" si="47"/>
        <v/>
      </c>
      <c r="EF180" s="29" t="str">
        <f t="shared" si="48"/>
        <v/>
      </c>
      <c r="EG180" s="29" t="str">
        <f t="shared" si="49"/>
        <v/>
      </c>
      <c r="EH180" s="29" t="str">
        <f t="shared" si="50"/>
        <v/>
      </c>
      <c r="EI180" s="29" t="str">
        <f t="shared" si="51"/>
        <v/>
      </c>
      <c r="EJ180" s="29" t="str">
        <f t="shared" si="52"/>
        <v/>
      </c>
      <c r="EK180" s="29" t="str">
        <f t="shared" si="53"/>
        <v/>
      </c>
      <c r="EL180" s="29" t="str">
        <f>IF(CD180=1,VLOOKUP(EA180,'EIA 2022'!$A$2:$J$213,4,0)*EH180,"")</f>
        <v/>
      </c>
      <c r="EM180" s="29" t="str">
        <f>IF(CD180=1,VLOOKUP(EA180,'EIA 2022'!$A$2:$J$213,7,0)*EH180,"")</f>
        <v/>
      </c>
      <c r="EN180" s="29" t="str">
        <f>IF(CD180=1,VLOOKUP(EA180,'EIA 2022'!$A$2:$J$213,10,0),"")</f>
        <v/>
      </c>
      <c r="EO180" s="28" t="str">
        <f>IF(CD180=1,VLOOKUP(EA180,'EIA 2022'!$A$2:$Z$213,26,0),"")</f>
        <v/>
      </c>
      <c r="EP180" s="23" t="str">
        <f t="shared" si="54"/>
        <v/>
      </c>
      <c r="EQ180" s="32" t="str">
        <f t="shared" si="55"/>
        <v/>
      </c>
      <c r="ER180" s="32" t="str">
        <f t="shared" si="56"/>
        <v/>
      </c>
      <c r="ES180" s="32"/>
      <c r="ET180" s="32"/>
    </row>
    <row r="181" spans="1:150" ht="15.75" customHeight="1">
      <c r="A181" s="7" t="s">
        <v>745</v>
      </c>
      <c r="B181" s="7" t="s">
        <v>746</v>
      </c>
      <c r="C181" s="32" t="s">
        <v>1052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f>IFERROR(VLOOKUP(A181,'Trans 21-23'!$A$2:$J$229,8,0),0)</f>
        <v>0</v>
      </c>
      <c r="Y181" s="42">
        <v>0</v>
      </c>
      <c r="Z181" s="42">
        <v>0</v>
      </c>
      <c r="AA181" s="42">
        <v>0</v>
      </c>
      <c r="AB181" s="42">
        <v>0</v>
      </c>
      <c r="AC181" s="42">
        <v>0</v>
      </c>
      <c r="AD181" s="42">
        <v>576046</v>
      </c>
      <c r="AE181" s="42">
        <v>0</v>
      </c>
      <c r="AF181" s="42">
        <v>16195798</v>
      </c>
      <c r="AG181" s="42">
        <v>0</v>
      </c>
      <c r="AH181" s="42">
        <v>0</v>
      </c>
      <c r="AI181" s="42">
        <v>0</v>
      </c>
      <c r="AJ181" s="42">
        <v>0</v>
      </c>
      <c r="AK181" s="42">
        <v>0</v>
      </c>
      <c r="AL181" s="42">
        <v>0</v>
      </c>
      <c r="AM181" s="42">
        <v>0</v>
      </c>
      <c r="AN181" s="42">
        <v>0</v>
      </c>
      <c r="AO181" s="42">
        <v>0</v>
      </c>
      <c r="AP181" s="42">
        <v>0</v>
      </c>
      <c r="AQ181" s="42">
        <v>0</v>
      </c>
      <c r="AR181" s="42">
        <v>0</v>
      </c>
      <c r="AS181" s="42">
        <v>0</v>
      </c>
      <c r="AT181" s="42">
        <v>0</v>
      </c>
      <c r="AU181" s="42">
        <v>0</v>
      </c>
      <c r="AV181" s="42">
        <v>0</v>
      </c>
      <c r="AW181" s="42">
        <v>0</v>
      </c>
      <c r="AX181" s="42">
        <v>0</v>
      </c>
      <c r="AY181" s="42">
        <v>0</v>
      </c>
      <c r="AZ181" s="42">
        <v>0</v>
      </c>
      <c r="BA181" s="42">
        <v>0</v>
      </c>
      <c r="BB181" s="42">
        <v>0</v>
      </c>
      <c r="BC181" s="42">
        <v>74199250</v>
      </c>
      <c r="BD181" s="42">
        <v>483002</v>
      </c>
      <c r="BE181" s="42">
        <v>0</v>
      </c>
      <c r="BF181" s="42">
        <v>0</v>
      </c>
      <c r="BG181" s="42">
        <v>0</v>
      </c>
      <c r="BH181" s="42">
        <v>0</v>
      </c>
      <c r="BI181" s="42">
        <v>0</v>
      </c>
      <c r="BJ181" s="42">
        <v>0</v>
      </c>
      <c r="BK181" s="42">
        <v>0</v>
      </c>
      <c r="BL181" s="42">
        <v>0</v>
      </c>
      <c r="BM181" s="42">
        <v>0</v>
      </c>
      <c r="BN181" s="42">
        <v>0</v>
      </c>
      <c r="BO181" s="42">
        <v>0</v>
      </c>
      <c r="BP181" s="42">
        <v>0</v>
      </c>
      <c r="BQ181" s="42">
        <v>0</v>
      </c>
      <c r="BR181" s="42">
        <v>0</v>
      </c>
      <c r="BS181" s="42">
        <f>IFERROR(VLOOKUP(A181,'Trans 21-23'!$A$2:$J$229,7,0),0)</f>
        <v>0</v>
      </c>
      <c r="BT181" s="63"/>
      <c r="BU181" s="32">
        <f t="shared" si="0"/>
        <v>0</v>
      </c>
      <c r="BV181" s="32">
        <f t="shared" si="1"/>
        <v>0</v>
      </c>
      <c r="BW181" s="32">
        <f t="shared" si="2"/>
        <v>0</v>
      </c>
      <c r="BX181" s="32">
        <f t="shared" si="3"/>
        <v>0</v>
      </c>
      <c r="BY181" s="32">
        <f t="shared" si="4"/>
        <v>0</v>
      </c>
      <c r="BZ181" s="32">
        <f t="shared" si="5"/>
        <v>0</v>
      </c>
      <c r="CA181" s="32">
        <f t="shared" si="6"/>
        <v>576046</v>
      </c>
      <c r="CB181" s="32">
        <f t="shared" si="7"/>
        <v>0</v>
      </c>
      <c r="CC181" s="32">
        <f t="shared" si="8"/>
        <v>0</v>
      </c>
      <c r="CD181" s="41">
        <f t="shared" si="75"/>
        <v>0</v>
      </c>
      <c r="CE181" s="44">
        <f t="shared" si="10"/>
        <v>64</v>
      </c>
      <c r="CF181" s="27"/>
      <c r="CG181" s="28" t="str">
        <f t="shared" si="11"/>
        <v/>
      </c>
      <c r="CH181" s="28" t="str">
        <f t="shared" si="12"/>
        <v/>
      </c>
      <c r="CI181" s="28" t="str">
        <f t="shared" si="13"/>
        <v/>
      </c>
      <c r="CJ181" s="28" t="str">
        <f t="shared" si="14"/>
        <v/>
      </c>
      <c r="CK181" s="23" t="str">
        <f t="shared" si="15"/>
        <v/>
      </c>
      <c r="CL181" s="29" t="str">
        <f t="shared" si="16"/>
        <v/>
      </c>
      <c r="CM181" s="29" t="str">
        <f t="shared" si="17"/>
        <v/>
      </c>
      <c r="CN181" s="29" t="str">
        <f t="shared" si="18"/>
        <v/>
      </c>
      <c r="CO181" s="29" t="str">
        <f t="shared" si="19"/>
        <v/>
      </c>
      <c r="CP181" s="29" t="str">
        <f t="shared" si="20"/>
        <v/>
      </c>
      <c r="CQ181" s="29" t="str">
        <f t="shared" si="21"/>
        <v/>
      </c>
      <c r="CR181" s="30"/>
      <c r="CS181" s="7" t="str">
        <f>VLOOKUP(A181,'Empresas 21-23'!$A$2:$M$228,13,0)</f>
        <v/>
      </c>
      <c r="CT181" s="30"/>
      <c r="CU181" s="6">
        <f t="shared" si="22"/>
        <v>0</v>
      </c>
      <c r="CV181" s="6">
        <f t="shared" si="23"/>
        <v>0</v>
      </c>
      <c r="CW181" s="6">
        <f t="shared" si="24"/>
        <v>483002</v>
      </c>
      <c r="CX181" s="23">
        <f t="shared" si="91"/>
        <v>0</v>
      </c>
      <c r="CY181" s="23">
        <f t="shared" si="92"/>
        <v>0</v>
      </c>
      <c r="CZ181" s="6">
        <f t="shared" si="27"/>
        <v>0</v>
      </c>
      <c r="DA181" s="6">
        <f t="shared" si="28"/>
        <v>0</v>
      </c>
      <c r="DB181" s="6">
        <f t="shared" si="29"/>
        <v>0</v>
      </c>
      <c r="DC181" s="6">
        <f t="shared" si="30"/>
        <v>0</v>
      </c>
      <c r="DD181" s="6">
        <f t="shared" si="31"/>
        <v>0</v>
      </c>
      <c r="DE181" s="6">
        <f t="shared" si="32"/>
        <v>576046</v>
      </c>
      <c r="DF181" s="6">
        <f t="shared" si="90"/>
        <v>0</v>
      </c>
      <c r="DG181" s="30"/>
      <c r="DH181" s="32" t="str">
        <f>VLOOKUP(A181,'T_med_comp-USA'!$A$7:$Q$233,17,0)</f>
        <v>-</v>
      </c>
      <c r="DI181" s="6" t="str">
        <f t="shared" si="34"/>
        <v/>
      </c>
      <c r="DJ181" s="32" t="str">
        <f>IF(DI181="","",VLOOKUP(DI181,'CPI USA'!$T:$U,2,FALSE))</f>
        <v/>
      </c>
      <c r="DK181" s="32" t="str">
        <f>IF(DI181="","",VLOOKUP(DI181,'PPI USA'!$S:$T,2,FALSE))</f>
        <v/>
      </c>
      <c r="DL181" s="32" t="str">
        <f>IF(DI181="","",VLOOKUP(DI181,'CPI USA'!$T:$V,3,FALSE))</f>
        <v/>
      </c>
      <c r="DM181" s="32" t="str">
        <f>IF(DI181="","",VLOOKUP(DI181,'CPI USA'!$T:$X,5,FALSE))</f>
        <v/>
      </c>
      <c r="DN181" s="32" t="str">
        <f t="shared" si="35"/>
        <v/>
      </c>
      <c r="DO181" s="32" t="str">
        <f t="shared" si="36"/>
        <v/>
      </c>
      <c r="DP181" s="32" t="str">
        <f t="shared" si="37"/>
        <v/>
      </c>
      <c r="DQ181" s="32" t="str">
        <f>IF(DP181="","",DP181*$DO$1/'CPI USA'!$U$520+(1-DP181)*AVERAGE($DO$1,$DQ$1)/AVERAGE('CPI USA'!$U$520,'PPI USA'!$T$526))</f>
        <v/>
      </c>
      <c r="DR181" s="6">
        <f t="shared" si="38"/>
        <v>0</v>
      </c>
      <c r="DS181" s="32" t="str">
        <f t="shared" si="39"/>
        <v/>
      </c>
      <c r="DT181" s="28" t="str">
        <f>IF(DS181="","",DS181*$DO$1/'CPI USA'!$U$520+(1-DS181)*AVERAGE($DO$1,$DQ$1)/AVERAGE('CPI USA'!$U$520,'PPI USA'!$T$526))</f>
        <v/>
      </c>
      <c r="DU181" s="6" t="str">
        <f t="shared" si="40"/>
        <v/>
      </c>
      <c r="DV181" s="6" t="str">
        <f t="shared" si="84"/>
        <v/>
      </c>
      <c r="DW181" s="6">
        <f t="shared" si="41"/>
        <v>0</v>
      </c>
      <c r="DX181" s="16" t="str">
        <f t="shared" si="42"/>
        <v/>
      </c>
      <c r="DY181" s="28" t="str">
        <f>IF(DX181="","",DX181*$DO$1/'CPI USA'!$U$520+(1-DX181)*AVERAGE($DO$1,$DQ$1)/AVERAGE('CPI USA'!$U$520,'PPI USA'!$T$526))</f>
        <v/>
      </c>
      <c r="DZ181" s="30"/>
      <c r="EA181" s="29" t="str">
        <f t="shared" si="43"/>
        <v>C004881</v>
      </c>
      <c r="EB181" s="29" t="str">
        <f t="shared" si="44"/>
        <v/>
      </c>
      <c r="EC181" s="29" t="str">
        <f t="shared" si="45"/>
        <v/>
      </c>
      <c r="ED181" s="29" t="str">
        <f t="shared" si="46"/>
        <v/>
      </c>
      <c r="EE181" s="29" t="str">
        <f t="shared" si="47"/>
        <v/>
      </c>
      <c r="EF181" s="29" t="str">
        <f t="shared" si="48"/>
        <v/>
      </c>
      <c r="EG181" s="29" t="str">
        <f t="shared" si="49"/>
        <v/>
      </c>
      <c r="EH181" s="29" t="str">
        <f t="shared" si="50"/>
        <v/>
      </c>
      <c r="EI181" s="29" t="str">
        <f t="shared" si="51"/>
        <v/>
      </c>
      <c r="EJ181" s="29" t="str">
        <f t="shared" si="52"/>
        <v/>
      </c>
      <c r="EK181" s="29" t="str">
        <f t="shared" si="53"/>
        <v/>
      </c>
      <c r="EL181" s="29" t="str">
        <f>IF(CD181=1,VLOOKUP(EA181,'EIA 2022'!$A$2:$J$213,4,0)*EH181,"")</f>
        <v/>
      </c>
      <c r="EM181" s="29" t="str">
        <f>IF(CD181=1,VLOOKUP(EA181,'EIA 2022'!$A$2:$J$213,7,0)*EH181,"")</f>
        <v/>
      </c>
      <c r="EN181" s="29" t="str">
        <f>IF(CD181=1,VLOOKUP(EA181,'EIA 2022'!$A$2:$J$213,10,0),"")</f>
        <v/>
      </c>
      <c r="EO181" s="28" t="str">
        <f>IF(CD181=1,VLOOKUP(EA181,'EIA 2022'!$A$2:$Z$213,26,0),"")</f>
        <v/>
      </c>
      <c r="EP181" s="23" t="str">
        <f t="shared" si="54"/>
        <v/>
      </c>
      <c r="EQ181" s="32" t="str">
        <f t="shared" si="55"/>
        <v/>
      </c>
      <c r="ER181" s="32" t="str">
        <f t="shared" si="56"/>
        <v/>
      </c>
      <c r="ES181" s="32"/>
      <c r="ET181" s="32"/>
    </row>
    <row r="182" spans="1:150" ht="15.75" customHeight="1">
      <c r="A182" s="7" t="s">
        <v>748</v>
      </c>
      <c r="B182" s="7" t="s">
        <v>749</v>
      </c>
      <c r="C182" s="32" t="s">
        <v>1053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  <c r="M182" s="42">
        <v>0</v>
      </c>
      <c r="N182" s="42">
        <v>0</v>
      </c>
      <c r="O182" s="42">
        <v>0</v>
      </c>
      <c r="P182" s="42">
        <v>0</v>
      </c>
      <c r="Q182" s="42">
        <v>0</v>
      </c>
      <c r="R182" s="42">
        <v>0</v>
      </c>
      <c r="S182" s="42">
        <v>0</v>
      </c>
      <c r="T182" s="42">
        <v>0</v>
      </c>
      <c r="U182" s="42">
        <v>0</v>
      </c>
      <c r="V182" s="42">
        <v>0</v>
      </c>
      <c r="W182" s="42">
        <v>0</v>
      </c>
      <c r="X182" s="42">
        <f>IFERROR(VLOOKUP(A182,'Trans 21-23'!$A$2:$J$229,8,0),0)</f>
        <v>0</v>
      </c>
      <c r="Y182" s="42">
        <v>0</v>
      </c>
      <c r="Z182" s="42">
        <v>0</v>
      </c>
      <c r="AA182" s="42">
        <v>0</v>
      </c>
      <c r="AB182" s="42">
        <v>0</v>
      </c>
      <c r="AC182" s="42">
        <v>0</v>
      </c>
      <c r="AD182" s="42">
        <v>348166</v>
      </c>
      <c r="AE182" s="42">
        <v>0</v>
      </c>
      <c r="AF182" s="42">
        <v>443943</v>
      </c>
      <c r="AG182" s="42">
        <v>0</v>
      </c>
      <c r="AH182" s="42">
        <v>0</v>
      </c>
      <c r="AI182" s="42">
        <v>0</v>
      </c>
      <c r="AJ182" s="42">
        <v>0</v>
      </c>
      <c r="AK182" s="42">
        <v>0</v>
      </c>
      <c r="AL182" s="42">
        <v>0</v>
      </c>
      <c r="AM182" s="42">
        <v>0</v>
      </c>
      <c r="AN182" s="42">
        <v>0</v>
      </c>
      <c r="AO182" s="42">
        <v>0</v>
      </c>
      <c r="AP182" s="42">
        <v>0</v>
      </c>
      <c r="AQ182" s="42">
        <v>0</v>
      </c>
      <c r="AR182" s="42">
        <v>0</v>
      </c>
      <c r="AS182" s="42">
        <v>0</v>
      </c>
      <c r="AT182" s="42">
        <v>0</v>
      </c>
      <c r="AU182" s="42">
        <v>0</v>
      </c>
      <c r="AV182" s="42">
        <v>0</v>
      </c>
      <c r="AW182" s="42">
        <v>0</v>
      </c>
      <c r="AX182" s="42">
        <v>0</v>
      </c>
      <c r="AY182" s="42">
        <v>0</v>
      </c>
      <c r="AZ182" s="42">
        <v>0</v>
      </c>
      <c r="BA182" s="42">
        <v>0</v>
      </c>
      <c r="BB182" s="42">
        <v>0</v>
      </c>
      <c r="BC182" s="42">
        <v>19610316</v>
      </c>
      <c r="BD182" s="42">
        <v>0</v>
      </c>
      <c r="BE182" s="42">
        <v>0</v>
      </c>
      <c r="BF182" s="42">
        <v>0</v>
      </c>
      <c r="BG182" s="42">
        <v>0</v>
      </c>
      <c r="BH182" s="42">
        <v>0</v>
      </c>
      <c r="BI182" s="42">
        <v>0</v>
      </c>
      <c r="BJ182" s="42">
        <v>0</v>
      </c>
      <c r="BK182" s="42">
        <v>0</v>
      </c>
      <c r="BL182" s="42">
        <v>0</v>
      </c>
      <c r="BM182" s="42">
        <v>425348</v>
      </c>
      <c r="BN182" s="42">
        <v>431564</v>
      </c>
      <c r="BO182" s="42">
        <v>0</v>
      </c>
      <c r="BP182" s="42">
        <v>503</v>
      </c>
      <c r="BQ182" s="42">
        <v>432067</v>
      </c>
      <c r="BR182" s="42">
        <v>0</v>
      </c>
      <c r="BS182" s="42">
        <f>IFERROR(VLOOKUP(A182,'Trans 21-23'!$A$2:$J$229,7,0),0)</f>
        <v>0</v>
      </c>
      <c r="BT182" s="63"/>
      <c r="BU182" s="32">
        <f t="shared" si="0"/>
        <v>0</v>
      </c>
      <c r="BV182" s="32">
        <f t="shared" si="1"/>
        <v>0</v>
      </c>
      <c r="BW182" s="32">
        <f t="shared" si="2"/>
        <v>0</v>
      </c>
      <c r="BX182" s="32">
        <f t="shared" si="3"/>
        <v>0</v>
      </c>
      <c r="BY182" s="32">
        <f t="shared" si="4"/>
        <v>0</v>
      </c>
      <c r="BZ182" s="32">
        <f t="shared" si="5"/>
        <v>0</v>
      </c>
      <c r="CA182" s="32">
        <f t="shared" si="6"/>
        <v>348166</v>
      </c>
      <c r="CB182" s="32">
        <f t="shared" si="7"/>
        <v>0</v>
      </c>
      <c r="CC182" s="32">
        <f t="shared" si="8"/>
        <v>0</v>
      </c>
      <c r="CD182" s="41">
        <f t="shared" si="75"/>
        <v>0</v>
      </c>
      <c r="CE182" s="44">
        <f t="shared" si="10"/>
        <v>61</v>
      </c>
      <c r="CF182" s="27"/>
      <c r="CG182" s="28" t="str">
        <f t="shared" si="11"/>
        <v/>
      </c>
      <c r="CH182" s="28" t="str">
        <f t="shared" si="12"/>
        <v/>
      </c>
      <c r="CI182" s="28" t="str">
        <f t="shared" si="13"/>
        <v/>
      </c>
      <c r="CJ182" s="28" t="str">
        <f t="shared" si="14"/>
        <v/>
      </c>
      <c r="CK182" s="23" t="str">
        <f t="shared" si="15"/>
        <v/>
      </c>
      <c r="CL182" s="29" t="str">
        <f t="shared" si="16"/>
        <v/>
      </c>
      <c r="CM182" s="29" t="str">
        <f t="shared" si="17"/>
        <v/>
      </c>
      <c r="CN182" s="29" t="str">
        <f t="shared" si="18"/>
        <v/>
      </c>
      <c r="CO182" s="29" t="str">
        <f t="shared" si="19"/>
        <v/>
      </c>
      <c r="CP182" s="29" t="str">
        <f t="shared" si="20"/>
        <v/>
      </c>
      <c r="CQ182" s="29" t="str">
        <f t="shared" si="21"/>
        <v/>
      </c>
      <c r="CR182" s="30"/>
      <c r="CS182" s="7" t="str">
        <f>VLOOKUP(A182,'Empresas 21-23'!$A$2:$M$228,13,0)</f>
        <v/>
      </c>
      <c r="CT182" s="30"/>
      <c r="CU182" s="6">
        <f t="shared" si="22"/>
        <v>0</v>
      </c>
      <c r="CV182" s="6">
        <f t="shared" si="23"/>
        <v>0</v>
      </c>
      <c r="CW182" s="6">
        <f t="shared" si="24"/>
        <v>0</v>
      </c>
      <c r="CX182" s="23">
        <f t="shared" si="91"/>
        <v>0</v>
      </c>
      <c r="CY182" s="23">
        <f t="shared" si="92"/>
        <v>0</v>
      </c>
      <c r="CZ182" s="6">
        <f t="shared" si="27"/>
        <v>0</v>
      </c>
      <c r="DA182" s="6">
        <f t="shared" si="28"/>
        <v>0</v>
      </c>
      <c r="DB182" s="6">
        <f t="shared" si="29"/>
        <v>0</v>
      </c>
      <c r="DC182" s="6">
        <f t="shared" si="30"/>
        <v>0</v>
      </c>
      <c r="DD182" s="6">
        <f t="shared" si="31"/>
        <v>0</v>
      </c>
      <c r="DE182" s="6">
        <f t="shared" si="32"/>
        <v>348166</v>
      </c>
      <c r="DF182" s="6">
        <f t="shared" si="90"/>
        <v>0</v>
      </c>
      <c r="DG182" s="30"/>
      <c r="DH182" s="32" t="str">
        <f>VLOOKUP(A182,'T_med_comp-USA'!$A$7:$Q$233,17,0)</f>
        <v>-</v>
      </c>
      <c r="DI182" s="6" t="str">
        <f t="shared" si="34"/>
        <v/>
      </c>
      <c r="DJ182" s="32" t="str">
        <f>IF(DI182="","",VLOOKUP(DI182,'CPI USA'!$T:$U,2,FALSE))</f>
        <v/>
      </c>
      <c r="DK182" s="32" t="str">
        <f>IF(DI182="","",VLOOKUP(DI182,'PPI USA'!$S:$T,2,FALSE))</f>
        <v/>
      </c>
      <c r="DL182" s="32" t="str">
        <f>IF(DI182="","",VLOOKUP(DI182,'CPI USA'!$T:$V,3,FALSE))</f>
        <v/>
      </c>
      <c r="DM182" s="32" t="str">
        <f>IF(DI182="","",VLOOKUP(DI182,'CPI USA'!$T:$X,5,FALSE))</f>
        <v/>
      </c>
      <c r="DN182" s="32" t="str">
        <f t="shared" si="35"/>
        <v/>
      </c>
      <c r="DO182" s="32" t="str">
        <f t="shared" si="36"/>
        <v/>
      </c>
      <c r="DP182" s="32" t="str">
        <f t="shared" si="37"/>
        <v/>
      </c>
      <c r="DQ182" s="32" t="str">
        <f>IF(DP182="","",DP182*$DO$1/'CPI USA'!$U$520+(1-DP182)*AVERAGE($DO$1,$DQ$1)/AVERAGE('CPI USA'!$U$520,'PPI USA'!$T$526))</f>
        <v/>
      </c>
      <c r="DR182" s="6">
        <f t="shared" si="38"/>
        <v>0</v>
      </c>
      <c r="DS182" s="32" t="str">
        <f t="shared" si="39"/>
        <v/>
      </c>
      <c r="DT182" s="28" t="str">
        <f>IF(DS182="","",DS182*$DO$1/'CPI USA'!$U$520+(1-DS182)*AVERAGE($DO$1,$DQ$1)/AVERAGE('CPI USA'!$U$520,'PPI USA'!$T$526))</f>
        <v/>
      </c>
      <c r="DU182" s="6" t="str">
        <f t="shared" si="40"/>
        <v/>
      </c>
      <c r="DV182" s="6">
        <f t="shared" si="84"/>
        <v>495.75507688315065</v>
      </c>
      <c r="DW182" s="6">
        <f t="shared" si="41"/>
        <v>0</v>
      </c>
      <c r="DX182" s="16" t="str">
        <f t="shared" si="42"/>
        <v/>
      </c>
      <c r="DY182" s="28" t="str">
        <f>IF(DX182="","",DX182*$DO$1/'CPI USA'!$U$520+(1-DX182)*AVERAGE($DO$1,$DQ$1)/AVERAGE('CPI USA'!$U$520,'PPI USA'!$T$526))</f>
        <v/>
      </c>
      <c r="DZ182" s="30"/>
      <c r="EA182" s="29" t="str">
        <f t="shared" si="43"/>
        <v>C004936</v>
      </c>
      <c r="EB182" s="29" t="str">
        <f t="shared" si="44"/>
        <v/>
      </c>
      <c r="EC182" s="29" t="str">
        <f t="shared" si="45"/>
        <v/>
      </c>
      <c r="ED182" s="29" t="str">
        <f t="shared" si="46"/>
        <v/>
      </c>
      <c r="EE182" s="29" t="str">
        <f t="shared" si="47"/>
        <v/>
      </c>
      <c r="EF182" s="29" t="str">
        <f t="shared" si="48"/>
        <v/>
      </c>
      <c r="EG182" s="29" t="str">
        <f t="shared" si="49"/>
        <v/>
      </c>
      <c r="EH182" s="29" t="str">
        <f t="shared" si="50"/>
        <v/>
      </c>
      <c r="EI182" s="29" t="str">
        <f t="shared" si="51"/>
        <v/>
      </c>
      <c r="EJ182" s="29" t="str">
        <f t="shared" si="52"/>
        <v/>
      </c>
      <c r="EK182" s="29" t="str">
        <f t="shared" si="53"/>
        <v/>
      </c>
      <c r="EL182" s="29" t="str">
        <f>IF(CD182=1,VLOOKUP(EA182,'EIA 2022'!$A$2:$J$213,4,0)*EH182,"")</f>
        <v/>
      </c>
      <c r="EM182" s="29" t="str">
        <f>IF(CD182=1,VLOOKUP(EA182,'EIA 2022'!$A$2:$J$213,7,0)*EH182,"")</f>
        <v/>
      </c>
      <c r="EN182" s="29" t="str">
        <f>IF(CD182=1,VLOOKUP(EA182,'EIA 2022'!$A$2:$J$213,10,0),"")</f>
        <v/>
      </c>
      <c r="EO182" s="28" t="str">
        <f>IF(CD182=1,VLOOKUP(EA182,'EIA 2022'!$A$2:$Z$213,26,0),"")</f>
        <v/>
      </c>
      <c r="EP182" s="23" t="str">
        <f t="shared" si="54"/>
        <v/>
      </c>
      <c r="EQ182" s="32" t="str">
        <f t="shared" si="55"/>
        <v/>
      </c>
      <c r="ER182" s="32" t="str">
        <f t="shared" si="56"/>
        <v/>
      </c>
      <c r="ES182" s="32"/>
      <c r="ET182" s="32"/>
    </row>
    <row r="183" spans="1:150" ht="15.75" customHeight="1">
      <c r="A183" s="7" t="s">
        <v>751</v>
      </c>
      <c r="B183" s="7" t="s">
        <v>752</v>
      </c>
      <c r="C183" s="32" t="s">
        <v>1054</v>
      </c>
      <c r="D183" s="42">
        <v>1970407353</v>
      </c>
      <c r="E183" s="42">
        <v>92516376</v>
      </c>
      <c r="F183" s="42">
        <v>0</v>
      </c>
      <c r="G183" s="42">
        <v>1076516278</v>
      </c>
      <c r="H183" s="42">
        <v>969191574</v>
      </c>
      <c r="I183" s="42">
        <v>31474270</v>
      </c>
      <c r="J183" s="42">
        <v>839083</v>
      </c>
      <c r="K183" s="42">
        <v>3748271</v>
      </c>
      <c r="L183" s="42">
        <v>1279628</v>
      </c>
      <c r="M183" s="42">
        <v>3071610</v>
      </c>
      <c r="N183" s="42">
        <v>2389024</v>
      </c>
      <c r="O183" s="42">
        <v>9057613</v>
      </c>
      <c r="P183" s="42">
        <v>5091597</v>
      </c>
      <c r="Q183" s="42">
        <v>3444089</v>
      </c>
      <c r="R183" s="42">
        <v>2963649</v>
      </c>
      <c r="S183" s="42">
        <v>4790423</v>
      </c>
      <c r="T183" s="42">
        <v>52899012</v>
      </c>
      <c r="U183" s="42">
        <v>5673318</v>
      </c>
      <c r="V183" s="42">
        <v>296259</v>
      </c>
      <c r="W183" s="42">
        <v>2336527</v>
      </c>
      <c r="X183" s="42">
        <f>IFERROR(VLOOKUP(A183,'Trans 21-23'!$A$2:$J$229,8,0),0)</f>
        <v>14654756</v>
      </c>
      <c r="Y183" s="42">
        <v>3857048</v>
      </c>
      <c r="Z183" s="42">
        <v>245152</v>
      </c>
      <c r="AA183" s="42">
        <v>64127685</v>
      </c>
      <c r="AB183" s="42">
        <v>33844565</v>
      </c>
      <c r="AC183" s="42">
        <v>4860945</v>
      </c>
      <c r="AD183" s="42">
        <v>346019632</v>
      </c>
      <c r="AE183" s="42">
        <v>0</v>
      </c>
      <c r="AF183" s="42">
        <v>4251569856</v>
      </c>
      <c r="AG183" s="42">
        <v>1102557</v>
      </c>
      <c r="AH183" s="42">
        <v>1704474</v>
      </c>
      <c r="AI183" s="42">
        <v>68038284</v>
      </c>
      <c r="AJ183" s="42">
        <v>47507</v>
      </c>
      <c r="AK183" s="42">
        <v>0</v>
      </c>
      <c r="AL183" s="42">
        <v>13986531</v>
      </c>
      <c r="AM183" s="42">
        <v>10908235</v>
      </c>
      <c r="AN183" s="42">
        <v>31736415</v>
      </c>
      <c r="AO183" s="42">
        <v>169038</v>
      </c>
      <c r="AP183" s="42">
        <v>647114</v>
      </c>
      <c r="AQ183" s="42">
        <v>57447333</v>
      </c>
      <c r="AR183" s="42">
        <v>8838970</v>
      </c>
      <c r="AS183" s="42">
        <v>66286303</v>
      </c>
      <c r="AT183" s="42">
        <v>0</v>
      </c>
      <c r="AU183" s="42">
        <v>10134</v>
      </c>
      <c r="AV183" s="42">
        <v>0</v>
      </c>
      <c r="AW183" s="42">
        <v>1295988592</v>
      </c>
      <c r="AX183" s="42">
        <v>159135869</v>
      </c>
      <c r="AY183" s="42">
        <v>389929562</v>
      </c>
      <c r="AZ183" s="42">
        <v>241224084</v>
      </c>
      <c r="BA183" s="42">
        <v>105431202</v>
      </c>
      <c r="BB183" s="42">
        <v>6456101327</v>
      </c>
      <c r="BC183" s="42">
        <v>27496724962</v>
      </c>
      <c r="BD183" s="42">
        <v>418618183</v>
      </c>
      <c r="BE183" s="42">
        <v>1248238153</v>
      </c>
      <c r="BF183" s="42">
        <v>168815513</v>
      </c>
      <c r="BG183" s="42">
        <v>0</v>
      </c>
      <c r="BH183" s="42">
        <v>28763704</v>
      </c>
      <c r="BI183" s="42">
        <v>2929819</v>
      </c>
      <c r="BJ183" s="42">
        <v>3437507</v>
      </c>
      <c r="BK183" s="42">
        <v>2466364</v>
      </c>
      <c r="BL183" s="42">
        <v>0</v>
      </c>
      <c r="BM183" s="42">
        <v>4282043</v>
      </c>
      <c r="BN183" s="42">
        <v>84953727</v>
      </c>
      <c r="BO183" s="42">
        <v>0</v>
      </c>
      <c r="BP183" s="42">
        <v>24206771</v>
      </c>
      <c r="BQ183" s="42">
        <v>188696767</v>
      </c>
      <c r="BR183" s="42">
        <v>0</v>
      </c>
      <c r="BS183" s="42">
        <f>IFERROR(VLOOKUP(A183,'Trans 21-23'!$A$2:$J$229,7,0),0)</f>
        <v>1327187650</v>
      </c>
      <c r="BT183" s="63"/>
      <c r="BU183" s="32">
        <f t="shared" si="0"/>
        <v>6456101327</v>
      </c>
      <c r="BV183" s="32">
        <f t="shared" si="1"/>
        <v>10134</v>
      </c>
      <c r="BW183" s="32">
        <f t="shared" si="2"/>
        <v>1102557</v>
      </c>
      <c r="BX183" s="32">
        <f t="shared" si="3"/>
        <v>129354373</v>
      </c>
      <c r="BY183" s="32">
        <f t="shared" si="4"/>
        <v>106935395</v>
      </c>
      <c r="BZ183" s="32">
        <f t="shared" si="5"/>
        <v>241224084</v>
      </c>
      <c r="CA183" s="32">
        <f t="shared" si="6"/>
        <v>346019632</v>
      </c>
      <c r="CB183" s="32">
        <f t="shared" si="7"/>
        <v>1704474</v>
      </c>
      <c r="CC183" s="32">
        <f t="shared" si="8"/>
        <v>57447333</v>
      </c>
      <c r="CD183" s="41">
        <f t="shared" si="75"/>
        <v>1</v>
      </c>
      <c r="CE183" s="44">
        <f t="shared" si="10"/>
        <v>9</v>
      </c>
      <c r="CF183" s="27"/>
      <c r="CG183" s="28">
        <f t="shared" si="11"/>
        <v>637.07334981251233</v>
      </c>
      <c r="CH183" s="28">
        <f t="shared" si="12"/>
        <v>9.1913615350498894</v>
      </c>
      <c r="CI183" s="28">
        <f t="shared" si="13"/>
        <v>117.32216384277638</v>
      </c>
      <c r="CJ183" s="28">
        <f t="shared" si="14"/>
        <v>218.78604371474671</v>
      </c>
      <c r="CK183" s="23">
        <f t="shared" si="15"/>
        <v>2.9670202444385015E-2</v>
      </c>
      <c r="CL183" s="29" t="str">
        <f t="shared" si="16"/>
        <v/>
      </c>
      <c r="CM183" s="29" t="str">
        <f t="shared" si="17"/>
        <v/>
      </c>
      <c r="CN183" s="29" t="str">
        <f t="shared" si="18"/>
        <v/>
      </c>
      <c r="CO183" s="29" t="str">
        <f t="shared" si="19"/>
        <v/>
      </c>
      <c r="CP183" s="29" t="str">
        <f t="shared" si="20"/>
        <v/>
      </c>
      <c r="CQ183" s="29">
        <f t="shared" si="21"/>
        <v>0</v>
      </c>
      <c r="CR183" s="30"/>
      <c r="CS183" s="7">
        <f>VLOOKUP(A183,'Empresas 21-23'!$A$2:$M$228,13,0)</f>
        <v>1</v>
      </c>
      <c r="CT183" s="30"/>
      <c r="CU183" s="6">
        <f t="shared" si="22"/>
        <v>7107194432.3999996</v>
      </c>
      <c r="CV183" s="6">
        <f t="shared" si="23"/>
        <v>241224084</v>
      </c>
      <c r="CW183" s="6">
        <f t="shared" si="24"/>
        <v>418618183</v>
      </c>
      <c r="CX183" s="23">
        <f t="shared" si="91"/>
        <v>0.26247013834482225</v>
      </c>
      <c r="CY183" s="23">
        <f t="shared" si="92"/>
        <v>8.9084545669595172E-3</v>
      </c>
      <c r="CZ183" s="6">
        <f t="shared" si="27"/>
        <v>7217069204.8056679</v>
      </c>
      <c r="DA183" s="6">
        <f t="shared" si="28"/>
        <v>244953325.06415865</v>
      </c>
      <c r="DB183" s="6">
        <f t="shared" si="29"/>
        <v>129354373</v>
      </c>
      <c r="DC183" s="6">
        <f t="shared" si="30"/>
        <v>144009129</v>
      </c>
      <c r="DD183" s="6">
        <f t="shared" si="31"/>
        <v>106935395</v>
      </c>
      <c r="DE183" s="6">
        <f t="shared" si="32"/>
        <v>346019632</v>
      </c>
      <c r="DF183" s="6">
        <f t="shared" si="90"/>
        <v>99414083.13223964</v>
      </c>
      <c r="DG183" s="30"/>
      <c r="DH183" s="32">
        <f>VLOOKUP(A183,'T_med_comp-USA'!$A$7:$Q$233,17,0)</f>
        <v>7.4928353767629376</v>
      </c>
      <c r="DI183" s="6" t="str">
        <f t="shared" si="34"/>
        <v>7_2015</v>
      </c>
      <c r="DJ183" s="32">
        <f>IF(DI183="","",VLOOKUP(DI183,'CPI USA'!$T:$U,2,FALSE))</f>
        <v>238.654</v>
      </c>
      <c r="DK183" s="32">
        <f>IF(DI183="","",VLOOKUP(DI183,'PPI USA'!$S:$T,2,FALSE))</f>
        <v>197.7</v>
      </c>
      <c r="DL183" s="32">
        <f>IF(DI183="","",VLOOKUP(DI183,'CPI USA'!$T:$V,3,FALSE))</f>
        <v>0.6679408278919865</v>
      </c>
      <c r="DM183" s="32">
        <f>IF(DI183="","",VLOOKUP(DI183,'CPI USA'!$T:$X,5,FALSE))</f>
        <v>0.49584761624008583</v>
      </c>
      <c r="DN183" s="32">
        <f t="shared" si="35"/>
        <v>1.3205326005639353</v>
      </c>
      <c r="DO183" s="32">
        <f t="shared" si="36"/>
        <v>1.3226507501026812</v>
      </c>
      <c r="DP183" s="32">
        <f t="shared" si="37"/>
        <v>0.22236359956690446</v>
      </c>
      <c r="DQ183" s="32">
        <f>IF(DP183="","",DP183*$DO$1/'CPI USA'!$U$520+(1-DP183)*AVERAGE($DO$1,$DQ$1)/AVERAGE('CPI USA'!$U$520,'PPI USA'!$T$526))</f>
        <v>1.084710768722541</v>
      </c>
      <c r="DR183" s="6">
        <f t="shared" si="38"/>
        <v>8833690</v>
      </c>
      <c r="DS183" s="32">
        <f t="shared" si="39"/>
        <v>0.2</v>
      </c>
      <c r="DT183" s="28">
        <f>IF(DS183="","",DS183*$DO$1/'CPI USA'!$U$520+(1-DS183)*AVERAGE($DO$1,$DQ$1)/AVERAGE('CPI USA'!$U$520,'PPI USA'!$T$526))</f>
        <v>1.0854630593748538</v>
      </c>
      <c r="DU183" s="6">
        <f t="shared" si="40"/>
        <v>4282043</v>
      </c>
      <c r="DV183" s="6">
        <f t="shared" si="84"/>
        <v>630156.46442810411</v>
      </c>
      <c r="DW183" s="6">
        <f t="shared" si="41"/>
        <v>2173958.7560495427</v>
      </c>
      <c r="DX183" s="16">
        <f t="shared" si="42"/>
        <v>0.2</v>
      </c>
      <c r="DY183" s="28">
        <f>IF(DX183="","",DX183*$DO$1/'CPI USA'!$U$520+(1-DX183)*AVERAGE($DO$1,$DQ$1)/AVERAGE('CPI USA'!$U$520,'PPI USA'!$T$526))</f>
        <v>1.0854630593748538</v>
      </c>
      <c r="DZ183" s="30"/>
      <c r="EA183" s="29" t="str">
        <f t="shared" si="43"/>
        <v>C004995</v>
      </c>
      <c r="EB183" s="29">
        <f t="shared" si="44"/>
        <v>9530375165.4719219</v>
      </c>
      <c r="EC183" s="29">
        <f t="shared" si="45"/>
        <v>323987699.13625532</v>
      </c>
      <c r="ED183" s="29">
        <f t="shared" si="46"/>
        <v>156208253.02065358</v>
      </c>
      <c r="EE183" s="29">
        <f t="shared" si="47"/>
        <v>116074421.01215844</v>
      </c>
      <c r="EF183" s="29">
        <f t="shared" si="48"/>
        <v>107910314.82166688</v>
      </c>
      <c r="EG183" s="29">
        <f t="shared" si="49"/>
        <v>10134</v>
      </c>
      <c r="EH183" s="29">
        <f t="shared" si="50"/>
        <v>1102557</v>
      </c>
      <c r="EI183" s="29">
        <f t="shared" si="51"/>
        <v>1704474</v>
      </c>
      <c r="EJ183" s="29">
        <f t="shared" si="52"/>
        <v>57447333</v>
      </c>
      <c r="EK183" s="29">
        <f t="shared" si="53"/>
        <v>59017203.395939082</v>
      </c>
      <c r="EL183" s="29">
        <f>IF(CD183=1,VLOOKUP(EA183,'EIA 2022'!$A$2:$J$213,4,0)*EH183,"")</f>
        <v>257777826.60000002</v>
      </c>
      <c r="EM183" s="29">
        <f>IF(CD183=1,VLOOKUP(EA183,'EIA 2022'!$A$2:$J$213,7,0)*EH183,"")</f>
        <v>1931679.8640000001</v>
      </c>
      <c r="EN183" s="29">
        <f>IF(CD183=1,VLOOKUP(EA183,'EIA 2022'!$A$2:$J$213,10,0),"")</f>
        <v>1190569</v>
      </c>
      <c r="EO183" s="28">
        <f>IF(CD183=1,VLOOKUP(EA183,'EIA 2022'!$A$2:$Z$213,26,0),"")</f>
        <v>0</v>
      </c>
      <c r="EP183" s="23">
        <f t="shared" si="54"/>
        <v>2.6600216642036056E-2</v>
      </c>
      <c r="EQ183" s="32">
        <f t="shared" si="55"/>
        <v>134603.60406091437</v>
      </c>
      <c r="ER183" s="32">
        <f t="shared" si="56"/>
        <v>1569870.3959390856</v>
      </c>
      <c r="ES183" s="32"/>
      <c r="ET183" s="32"/>
    </row>
    <row r="184" spans="1:150" ht="15.75" customHeight="1">
      <c r="A184" s="7" t="s">
        <v>754</v>
      </c>
      <c r="B184" s="7" t="s">
        <v>755</v>
      </c>
      <c r="C184" s="32" t="s">
        <v>1055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  <c r="M184" s="42">
        <v>0</v>
      </c>
      <c r="N184" s="42">
        <v>0</v>
      </c>
      <c r="O184" s="42">
        <v>0</v>
      </c>
      <c r="P184" s="42">
        <v>0</v>
      </c>
      <c r="Q184" s="42">
        <v>0</v>
      </c>
      <c r="R184" s="42">
        <v>0</v>
      </c>
      <c r="S184" s="42">
        <v>0</v>
      </c>
      <c r="T184" s="42">
        <v>0</v>
      </c>
      <c r="U184" s="42">
        <v>0</v>
      </c>
      <c r="V184" s="42">
        <v>0</v>
      </c>
      <c r="W184" s="42">
        <v>0</v>
      </c>
      <c r="X184" s="42">
        <f>IFERROR(VLOOKUP(A184,'Trans 21-23'!$A$2:$J$229,8,0),0)</f>
        <v>0</v>
      </c>
      <c r="Y184" s="42">
        <v>0</v>
      </c>
      <c r="Z184" s="42">
        <v>0</v>
      </c>
      <c r="AA184" s="42">
        <v>0</v>
      </c>
      <c r="AB184" s="42">
        <v>0</v>
      </c>
      <c r="AC184" s="42">
        <v>0</v>
      </c>
      <c r="AD184" s="42">
        <v>1885048</v>
      </c>
      <c r="AE184" s="42">
        <v>0</v>
      </c>
      <c r="AF184" s="42">
        <v>6771687</v>
      </c>
      <c r="AG184" s="42">
        <v>0</v>
      </c>
      <c r="AH184" s="42">
        <v>0</v>
      </c>
      <c r="AI184" s="42">
        <v>0</v>
      </c>
      <c r="AJ184" s="42">
        <v>0</v>
      </c>
      <c r="AK184" s="42">
        <v>0</v>
      </c>
      <c r="AL184" s="42">
        <v>0</v>
      </c>
      <c r="AM184" s="42">
        <v>0</v>
      </c>
      <c r="AN184" s="42">
        <v>0</v>
      </c>
      <c r="AO184" s="42">
        <v>0</v>
      </c>
      <c r="AP184" s="42">
        <v>0</v>
      </c>
      <c r="AQ184" s="42">
        <v>0</v>
      </c>
      <c r="AR184" s="42">
        <v>0</v>
      </c>
      <c r="AS184" s="42">
        <v>0</v>
      </c>
      <c r="AT184" s="42">
        <v>0</v>
      </c>
      <c r="AU184" s="42">
        <v>0</v>
      </c>
      <c r="AV184" s="42">
        <v>0</v>
      </c>
      <c r="AW184" s="42">
        <v>0</v>
      </c>
      <c r="AX184" s="42">
        <v>0</v>
      </c>
      <c r="AY184" s="42">
        <v>0</v>
      </c>
      <c r="AZ184" s="42">
        <v>0</v>
      </c>
      <c r="BA184" s="42">
        <v>0</v>
      </c>
      <c r="BB184" s="42">
        <v>0</v>
      </c>
      <c r="BC184" s="42">
        <v>158162664</v>
      </c>
      <c r="BD184" s="42">
        <v>798912</v>
      </c>
      <c r="BE184" s="42">
        <v>0</v>
      </c>
      <c r="BF184" s="42">
        <v>0</v>
      </c>
      <c r="BG184" s="42">
        <v>0</v>
      </c>
      <c r="BH184" s="42">
        <v>0</v>
      </c>
      <c r="BI184" s="42">
        <v>0</v>
      </c>
      <c r="BJ184" s="42">
        <v>0</v>
      </c>
      <c r="BK184" s="42">
        <v>0</v>
      </c>
      <c r="BL184" s="42">
        <v>0</v>
      </c>
      <c r="BM184" s="42">
        <v>0</v>
      </c>
      <c r="BN184" s="42">
        <v>0</v>
      </c>
      <c r="BO184" s="42">
        <v>0</v>
      </c>
      <c r="BP184" s="42">
        <v>0</v>
      </c>
      <c r="BQ184" s="42">
        <v>0</v>
      </c>
      <c r="BR184" s="42">
        <v>0</v>
      </c>
      <c r="BS184" s="42">
        <f>IFERROR(VLOOKUP(A184,'Trans 21-23'!$A$2:$J$229,7,0),0)</f>
        <v>0</v>
      </c>
      <c r="BT184" s="63"/>
      <c r="BU184" s="32">
        <f t="shared" si="0"/>
        <v>0</v>
      </c>
      <c r="BV184" s="32">
        <f t="shared" si="1"/>
        <v>0</v>
      </c>
      <c r="BW184" s="32">
        <f t="shared" si="2"/>
        <v>0</v>
      </c>
      <c r="BX184" s="32">
        <f t="shared" si="3"/>
        <v>0</v>
      </c>
      <c r="BY184" s="32">
        <f t="shared" si="4"/>
        <v>0</v>
      </c>
      <c r="BZ184" s="32">
        <f t="shared" si="5"/>
        <v>0</v>
      </c>
      <c r="CA184" s="32">
        <f t="shared" si="6"/>
        <v>1885048</v>
      </c>
      <c r="CB184" s="32">
        <f t="shared" si="7"/>
        <v>0</v>
      </c>
      <c r="CC184" s="32">
        <f t="shared" si="8"/>
        <v>0</v>
      </c>
      <c r="CD184" s="41">
        <f t="shared" si="75"/>
        <v>0</v>
      </c>
      <c r="CE184" s="44">
        <f t="shared" si="10"/>
        <v>64</v>
      </c>
      <c r="CF184" s="27"/>
      <c r="CG184" s="28" t="str">
        <f t="shared" si="11"/>
        <v/>
      </c>
      <c r="CH184" s="28" t="str">
        <f t="shared" si="12"/>
        <v/>
      </c>
      <c r="CI184" s="28" t="str">
        <f t="shared" si="13"/>
        <v/>
      </c>
      <c r="CJ184" s="28" t="str">
        <f t="shared" si="14"/>
        <v/>
      </c>
      <c r="CK184" s="23" t="str">
        <f t="shared" si="15"/>
        <v/>
      </c>
      <c r="CL184" s="29" t="str">
        <f t="shared" si="16"/>
        <v/>
      </c>
      <c r="CM184" s="29" t="str">
        <f t="shared" si="17"/>
        <v/>
      </c>
      <c r="CN184" s="29" t="str">
        <f t="shared" si="18"/>
        <v/>
      </c>
      <c r="CO184" s="29" t="str">
        <f t="shared" si="19"/>
        <v/>
      </c>
      <c r="CP184" s="29" t="str">
        <f t="shared" si="20"/>
        <v/>
      </c>
      <c r="CQ184" s="29" t="str">
        <f t="shared" si="21"/>
        <v/>
      </c>
      <c r="CR184" s="30"/>
      <c r="CS184" s="7" t="str">
        <f>VLOOKUP(A184,'Empresas 21-23'!$A$2:$M$228,13,0)</f>
        <v/>
      </c>
      <c r="CT184" s="30"/>
      <c r="CU184" s="6">
        <f t="shared" si="22"/>
        <v>0</v>
      </c>
      <c r="CV184" s="6">
        <f t="shared" si="23"/>
        <v>0</v>
      </c>
      <c r="CW184" s="6">
        <f t="shared" si="24"/>
        <v>798912</v>
      </c>
      <c r="CX184" s="23">
        <f t="shared" si="91"/>
        <v>0</v>
      </c>
      <c r="CY184" s="23">
        <f t="shared" si="92"/>
        <v>0</v>
      </c>
      <c r="CZ184" s="6">
        <f t="shared" si="27"/>
        <v>0</v>
      </c>
      <c r="DA184" s="6">
        <f t="shared" si="28"/>
        <v>0</v>
      </c>
      <c r="DB184" s="6">
        <f t="shared" si="29"/>
        <v>0</v>
      </c>
      <c r="DC184" s="6">
        <f t="shared" si="30"/>
        <v>0</v>
      </c>
      <c r="DD184" s="6">
        <f t="shared" si="31"/>
        <v>0</v>
      </c>
      <c r="DE184" s="6">
        <f t="shared" si="32"/>
        <v>1885048</v>
      </c>
      <c r="DF184" s="6">
        <f t="shared" si="90"/>
        <v>0</v>
      </c>
      <c r="DG184" s="30"/>
      <c r="DH184" s="32" t="str">
        <f>VLOOKUP(A184,'T_med_comp-USA'!$A$7:$Q$233,17,0)</f>
        <v>-</v>
      </c>
      <c r="DI184" s="6" t="str">
        <f t="shared" si="34"/>
        <v/>
      </c>
      <c r="DJ184" s="32" t="str">
        <f>IF(DI184="","",VLOOKUP(DI184,'CPI USA'!$T:$U,2,FALSE))</f>
        <v/>
      </c>
      <c r="DK184" s="32" t="str">
        <f>IF(DI184="","",VLOOKUP(DI184,'PPI USA'!$S:$T,2,FALSE))</f>
        <v/>
      </c>
      <c r="DL184" s="32" t="str">
        <f>IF(DI184="","",VLOOKUP(DI184,'CPI USA'!$T:$V,3,FALSE))</f>
        <v/>
      </c>
      <c r="DM184" s="32" t="str">
        <f>IF(DI184="","",VLOOKUP(DI184,'CPI USA'!$T:$X,5,FALSE))</f>
        <v/>
      </c>
      <c r="DN184" s="32" t="str">
        <f t="shared" si="35"/>
        <v/>
      </c>
      <c r="DO184" s="32" t="str">
        <f t="shared" si="36"/>
        <v/>
      </c>
      <c r="DP184" s="32" t="str">
        <f t="shared" si="37"/>
        <v/>
      </c>
      <c r="DQ184" s="32" t="str">
        <f>IF(DP184="","",DP184*$DO$1/'CPI USA'!$U$520+(1-DP184)*AVERAGE($DO$1,$DQ$1)/AVERAGE('CPI USA'!$U$520,'PPI USA'!$T$526))</f>
        <v/>
      </c>
      <c r="DR184" s="6">
        <f t="shared" si="38"/>
        <v>0</v>
      </c>
      <c r="DS184" s="32" t="str">
        <f t="shared" si="39"/>
        <v/>
      </c>
      <c r="DT184" s="28" t="str">
        <f>IF(DS184="","",DS184*$DO$1/'CPI USA'!$U$520+(1-DS184)*AVERAGE($DO$1,$DQ$1)/AVERAGE('CPI USA'!$U$520,'PPI USA'!$T$526))</f>
        <v/>
      </c>
      <c r="DU184" s="6" t="str">
        <f t="shared" si="40"/>
        <v/>
      </c>
      <c r="DV184" s="6" t="str">
        <f t="shared" si="84"/>
        <v/>
      </c>
      <c r="DW184" s="6">
        <f t="shared" si="41"/>
        <v>0</v>
      </c>
      <c r="DX184" s="16" t="str">
        <f t="shared" si="42"/>
        <v/>
      </c>
      <c r="DY184" s="28" t="str">
        <f>IF(DX184="","",DX184*$DO$1/'CPI USA'!$U$520+(1-DX184)*AVERAGE($DO$1,$DQ$1)/AVERAGE('CPI USA'!$U$520,'PPI USA'!$T$526))</f>
        <v/>
      </c>
      <c r="DZ184" s="30"/>
      <c r="EA184" s="29" t="str">
        <f t="shared" si="43"/>
        <v>C005059</v>
      </c>
      <c r="EB184" s="29" t="str">
        <f t="shared" si="44"/>
        <v/>
      </c>
      <c r="EC184" s="29" t="str">
        <f t="shared" si="45"/>
        <v/>
      </c>
      <c r="ED184" s="29" t="str">
        <f t="shared" si="46"/>
        <v/>
      </c>
      <c r="EE184" s="29" t="str">
        <f t="shared" si="47"/>
        <v/>
      </c>
      <c r="EF184" s="29" t="str">
        <f t="shared" si="48"/>
        <v/>
      </c>
      <c r="EG184" s="29" t="str">
        <f t="shared" si="49"/>
        <v/>
      </c>
      <c r="EH184" s="29" t="str">
        <f t="shared" si="50"/>
        <v/>
      </c>
      <c r="EI184" s="29" t="str">
        <f t="shared" si="51"/>
        <v/>
      </c>
      <c r="EJ184" s="29" t="str">
        <f t="shared" si="52"/>
        <v/>
      </c>
      <c r="EK184" s="29" t="str">
        <f t="shared" si="53"/>
        <v/>
      </c>
      <c r="EL184" s="29" t="str">
        <f>IF(CD184=1,VLOOKUP(EA184,'EIA 2022'!$A$2:$J$213,4,0)*EH184,"")</f>
        <v/>
      </c>
      <c r="EM184" s="29" t="str">
        <f>IF(CD184=1,VLOOKUP(EA184,'EIA 2022'!$A$2:$J$213,7,0)*EH184,"")</f>
        <v/>
      </c>
      <c r="EN184" s="29" t="str">
        <f>IF(CD184=1,VLOOKUP(EA184,'EIA 2022'!$A$2:$J$213,10,0),"")</f>
        <v/>
      </c>
      <c r="EO184" s="28" t="str">
        <f>IF(CD184=1,VLOOKUP(EA184,'EIA 2022'!$A$2:$Z$213,26,0),"")</f>
        <v/>
      </c>
      <c r="EP184" s="23" t="str">
        <f t="shared" si="54"/>
        <v/>
      </c>
      <c r="EQ184" s="32" t="str">
        <f t="shared" si="55"/>
        <v/>
      </c>
      <c r="ER184" s="32" t="str">
        <f t="shared" si="56"/>
        <v/>
      </c>
      <c r="ES184" s="32"/>
      <c r="ET184" s="32"/>
    </row>
    <row r="185" spans="1:150" ht="15.75" customHeight="1">
      <c r="A185" s="7" t="s">
        <v>757</v>
      </c>
      <c r="B185" s="7" t="s">
        <v>758</v>
      </c>
      <c r="C185" s="32" t="s">
        <v>1056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988658</v>
      </c>
      <c r="J185" s="42">
        <v>37054</v>
      </c>
      <c r="K185" s="42">
        <v>0</v>
      </c>
      <c r="L185" s="42">
        <v>55573</v>
      </c>
      <c r="M185" s="42">
        <v>0</v>
      </c>
      <c r="N185" s="42">
        <v>0</v>
      </c>
      <c r="O185" s="42">
        <v>0</v>
      </c>
      <c r="P185" s="42">
        <v>0</v>
      </c>
      <c r="Q185" s="42">
        <v>0</v>
      </c>
      <c r="R185" s="42">
        <v>0</v>
      </c>
      <c r="S185" s="42">
        <v>0</v>
      </c>
      <c r="T185" s="42">
        <v>110238</v>
      </c>
      <c r="U185" s="42">
        <v>0</v>
      </c>
      <c r="V185" s="42">
        <v>0</v>
      </c>
      <c r="W185" s="42">
        <v>0</v>
      </c>
      <c r="X185" s="42">
        <f>IFERROR(VLOOKUP(A185,'Trans 21-23'!$A$2:$J$229,8,0),0)</f>
        <v>0</v>
      </c>
      <c r="Y185" s="42">
        <v>0</v>
      </c>
      <c r="Z185" s="42">
        <v>0</v>
      </c>
      <c r="AA185" s="42">
        <v>0</v>
      </c>
      <c r="AB185" s="42">
        <v>0</v>
      </c>
      <c r="AC185" s="42">
        <v>0</v>
      </c>
      <c r="AD185" s="42">
        <v>5039085</v>
      </c>
      <c r="AE185" s="42">
        <v>0</v>
      </c>
      <c r="AF185" s="42">
        <v>6421200</v>
      </c>
      <c r="AG185" s="42">
        <v>0</v>
      </c>
      <c r="AH185" s="42">
        <v>0</v>
      </c>
      <c r="AI185" s="42">
        <v>0</v>
      </c>
      <c r="AJ185" s="42">
        <v>0</v>
      </c>
      <c r="AK185" s="42">
        <v>0</v>
      </c>
      <c r="AL185" s="42">
        <v>0</v>
      </c>
      <c r="AM185" s="42">
        <v>0</v>
      </c>
      <c r="AN185" s="42">
        <v>0</v>
      </c>
      <c r="AO185" s="42">
        <v>0</v>
      </c>
      <c r="AP185" s="42">
        <v>0</v>
      </c>
      <c r="AQ185" s="42">
        <v>0</v>
      </c>
      <c r="AR185" s="42">
        <v>0</v>
      </c>
      <c r="AS185" s="42">
        <v>0</v>
      </c>
      <c r="AT185" s="42">
        <v>0</v>
      </c>
      <c r="AU185" s="42">
        <v>0</v>
      </c>
      <c r="AV185" s="42">
        <v>0</v>
      </c>
      <c r="AW185" s="42">
        <v>19798574</v>
      </c>
      <c r="AX185" s="42">
        <v>0</v>
      </c>
      <c r="AY185" s="42">
        <v>0</v>
      </c>
      <c r="AZ185" s="42">
        <v>0</v>
      </c>
      <c r="BA185" s="42">
        <v>0</v>
      </c>
      <c r="BB185" s="42">
        <v>93025049</v>
      </c>
      <c r="BC185" s="42">
        <v>101998672</v>
      </c>
      <c r="BD185" s="42">
        <v>84546</v>
      </c>
      <c r="BE185" s="42">
        <v>18932086</v>
      </c>
      <c r="BF185" s="42">
        <v>2183799</v>
      </c>
      <c r="BG185" s="42">
        <v>0</v>
      </c>
      <c r="BH185" s="42">
        <v>0</v>
      </c>
      <c r="BI185" s="42">
        <v>0</v>
      </c>
      <c r="BJ185" s="42">
        <v>0</v>
      </c>
      <c r="BK185" s="42">
        <v>0</v>
      </c>
      <c r="BL185" s="42">
        <v>0</v>
      </c>
      <c r="BM185" s="42">
        <v>0</v>
      </c>
      <c r="BN185" s="42">
        <v>0</v>
      </c>
      <c r="BO185" s="42">
        <v>0</v>
      </c>
      <c r="BP185" s="42">
        <v>0</v>
      </c>
      <c r="BQ185" s="42">
        <v>0</v>
      </c>
      <c r="BR185" s="42">
        <v>0</v>
      </c>
      <c r="BS185" s="42">
        <f>IFERROR(VLOOKUP(A185,'Trans 21-23'!$A$2:$J$229,7,0),0)</f>
        <v>0</v>
      </c>
      <c r="BT185" s="63"/>
      <c r="BU185" s="32">
        <f t="shared" si="0"/>
        <v>93025049</v>
      </c>
      <c r="BV185" s="32">
        <f t="shared" si="1"/>
        <v>0</v>
      </c>
      <c r="BW185" s="32">
        <f t="shared" si="2"/>
        <v>0</v>
      </c>
      <c r="BX185" s="32">
        <f t="shared" si="3"/>
        <v>1191523</v>
      </c>
      <c r="BY185" s="32">
        <f t="shared" si="4"/>
        <v>0</v>
      </c>
      <c r="BZ185" s="32">
        <f t="shared" si="5"/>
        <v>0</v>
      </c>
      <c r="CA185" s="32">
        <f t="shared" si="6"/>
        <v>5039085</v>
      </c>
      <c r="CB185" s="32">
        <f t="shared" si="7"/>
        <v>0</v>
      </c>
      <c r="CC185" s="32">
        <f t="shared" si="8"/>
        <v>0</v>
      </c>
      <c r="CD185" s="41">
        <f t="shared" si="75"/>
        <v>0</v>
      </c>
      <c r="CE185" s="44">
        <f t="shared" si="10"/>
        <v>56</v>
      </c>
      <c r="CF185" s="27"/>
      <c r="CG185" s="28" t="str">
        <f t="shared" si="11"/>
        <v/>
      </c>
      <c r="CH185" s="28" t="str">
        <f t="shared" si="12"/>
        <v/>
      </c>
      <c r="CI185" s="28" t="str">
        <f t="shared" si="13"/>
        <v/>
      </c>
      <c r="CJ185" s="28" t="str">
        <f t="shared" si="14"/>
        <v/>
      </c>
      <c r="CK185" s="23" t="str">
        <f t="shared" si="15"/>
        <v/>
      </c>
      <c r="CL185" s="29" t="str">
        <f t="shared" si="16"/>
        <v/>
      </c>
      <c r="CM185" s="29" t="str">
        <f t="shared" si="17"/>
        <v/>
      </c>
      <c r="CN185" s="29" t="str">
        <f t="shared" si="18"/>
        <v/>
      </c>
      <c r="CO185" s="29" t="str">
        <f t="shared" si="19"/>
        <v/>
      </c>
      <c r="CP185" s="29" t="str">
        <f t="shared" si="20"/>
        <v/>
      </c>
      <c r="CQ185" s="29" t="str">
        <f t="shared" si="21"/>
        <v/>
      </c>
      <c r="CR185" s="30"/>
      <c r="CS185" s="7" t="str">
        <f>VLOOKUP(A185,'Empresas 21-23'!$A$2:$M$228,13,0)</f>
        <v/>
      </c>
      <c r="CT185" s="30"/>
      <c r="CU185" s="6">
        <f t="shared" si="22"/>
        <v>93025049</v>
      </c>
      <c r="CV185" s="6">
        <f t="shared" si="23"/>
        <v>0</v>
      </c>
      <c r="CW185" s="6">
        <f t="shared" si="24"/>
        <v>84546</v>
      </c>
      <c r="CX185" s="23">
        <f t="shared" si="91"/>
        <v>0.91277875453693236</v>
      </c>
      <c r="CY185" s="23">
        <f t="shared" si="92"/>
        <v>0</v>
      </c>
      <c r="CZ185" s="6">
        <f t="shared" si="27"/>
        <v>93102220.792581081</v>
      </c>
      <c r="DA185" s="6">
        <f t="shared" si="28"/>
        <v>0</v>
      </c>
      <c r="DB185" s="6">
        <f t="shared" si="29"/>
        <v>1191523</v>
      </c>
      <c r="DC185" s="6">
        <f t="shared" si="30"/>
        <v>1191523</v>
      </c>
      <c r="DD185" s="6">
        <f t="shared" si="31"/>
        <v>0</v>
      </c>
      <c r="DE185" s="6">
        <f t="shared" si="32"/>
        <v>5039085</v>
      </c>
      <c r="DF185" s="6">
        <f t="shared" si="90"/>
        <v>4344201.225263455</v>
      </c>
      <c r="DG185" s="30"/>
      <c r="DH185" s="32">
        <f>VLOOKUP(A185,'T_med_comp-USA'!$A$7:$Q$233,17,0)</f>
        <v>9.1716659616021392</v>
      </c>
      <c r="DI185" s="6" t="str">
        <f t="shared" si="34"/>
        <v>10_2013</v>
      </c>
      <c r="DJ185" s="32">
        <f>IF(DI185="","",VLOOKUP(DI185,'CPI USA'!$T:$U,2,FALSE))</f>
        <v>233.54599999999999</v>
      </c>
      <c r="DK185" s="32">
        <f>IF(DI185="","",VLOOKUP(DI185,'PPI USA'!$S:$T,2,FALSE))</f>
        <v>167.8</v>
      </c>
      <c r="DL185" s="32">
        <f>IF(DI185="","",VLOOKUP(DI185,'CPI USA'!$T:$V,3,FALSE))</f>
        <v>0.67305131835944076</v>
      </c>
      <c r="DM185" s="32">
        <f>IF(DI185="","",VLOOKUP(DI185,'CPI USA'!$T:$X,5,FALSE))</f>
        <v>0.50163050295255052</v>
      </c>
      <c r="DN185" s="32">
        <f t="shared" si="35"/>
        <v>1.3777427925278192</v>
      </c>
      <c r="DO185" s="32">
        <f t="shared" si="36"/>
        <v>1.3947851130840843</v>
      </c>
      <c r="DP185" s="32">
        <f t="shared" si="37"/>
        <v>0.2</v>
      </c>
      <c r="DQ185" s="32">
        <f>IF(DP185="","",DP185*$DO$1/'CPI USA'!$U$520+(1-DP185)*AVERAGE($DO$1,$DQ$1)/AVERAGE('CPI USA'!$U$520,'PPI USA'!$T$526))</f>
        <v>1.0854630593748538</v>
      </c>
      <c r="DR185" s="6">
        <f t="shared" si="38"/>
        <v>0</v>
      </c>
      <c r="DS185" s="32" t="str">
        <f t="shared" si="39"/>
        <v/>
      </c>
      <c r="DT185" s="28" t="str">
        <f>IF(DS185="","",DS185*$DO$1/'CPI USA'!$U$520+(1-DS185)*AVERAGE($DO$1,$DQ$1)/AVERAGE('CPI USA'!$U$520,'PPI USA'!$T$526))</f>
        <v/>
      </c>
      <c r="DU185" s="6">
        <f t="shared" si="40"/>
        <v>0</v>
      </c>
      <c r="DV185" s="6" t="str">
        <f t="shared" si="84"/>
        <v/>
      </c>
      <c r="DW185" s="6">
        <f t="shared" si="41"/>
        <v>0</v>
      </c>
      <c r="DX185" s="16" t="str">
        <f t="shared" si="42"/>
        <v/>
      </c>
      <c r="DY185" s="28" t="str">
        <f>IF(DX185="","",DX185*$DO$1/'CPI USA'!$U$520+(1-DX185)*AVERAGE($DO$1,$DQ$1)/AVERAGE('CPI USA'!$U$520,'PPI USA'!$T$526))</f>
        <v/>
      </c>
      <c r="DZ185" s="30"/>
      <c r="EA185" s="29" t="str">
        <f t="shared" si="43"/>
        <v>C005067</v>
      </c>
      <c r="EB185" s="29" t="str">
        <f t="shared" si="44"/>
        <v/>
      </c>
      <c r="EC185" s="29" t="str">
        <f t="shared" si="45"/>
        <v/>
      </c>
      <c r="ED185" s="29" t="str">
        <f t="shared" si="46"/>
        <v/>
      </c>
      <c r="EE185" s="29" t="str">
        <f t="shared" si="47"/>
        <v/>
      </c>
      <c r="EF185" s="29" t="str">
        <f t="shared" si="48"/>
        <v/>
      </c>
      <c r="EG185" s="29" t="str">
        <f t="shared" si="49"/>
        <v/>
      </c>
      <c r="EH185" s="29" t="str">
        <f t="shared" si="50"/>
        <v/>
      </c>
      <c r="EI185" s="29" t="str">
        <f t="shared" si="51"/>
        <v/>
      </c>
      <c r="EJ185" s="29" t="str">
        <f t="shared" si="52"/>
        <v/>
      </c>
      <c r="EK185" s="29" t="str">
        <f t="shared" si="53"/>
        <v/>
      </c>
      <c r="EL185" s="29" t="str">
        <f>IF(CD185=1,VLOOKUP(EA185,'EIA 2022'!$A$2:$J$213,4,0)*EH185,"")</f>
        <v/>
      </c>
      <c r="EM185" s="29" t="str">
        <f>IF(CD185=1,VLOOKUP(EA185,'EIA 2022'!$A$2:$J$213,7,0)*EH185,"")</f>
        <v/>
      </c>
      <c r="EN185" s="29" t="str">
        <f>IF(CD185=1,VLOOKUP(EA185,'EIA 2022'!$A$2:$J$213,10,0),"")</f>
        <v/>
      </c>
      <c r="EO185" s="28" t="str">
        <f>IF(CD185=1,VLOOKUP(EA185,'EIA 2022'!$A$2:$Z$213,26,0),"")</f>
        <v/>
      </c>
      <c r="EP185" s="23" t="str">
        <f t="shared" si="54"/>
        <v/>
      </c>
      <c r="EQ185" s="32" t="str">
        <f t="shared" si="55"/>
        <v/>
      </c>
      <c r="ER185" s="32" t="str">
        <f t="shared" si="56"/>
        <v/>
      </c>
      <c r="ES185" s="32"/>
      <c r="ET185" s="32"/>
    </row>
    <row r="186" spans="1:150" ht="15.75" customHeight="1">
      <c r="A186" s="7" t="s">
        <v>760</v>
      </c>
      <c r="B186" s="7" t="s">
        <v>761</v>
      </c>
      <c r="C186" s="32" t="s">
        <v>1057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42">
        <v>0</v>
      </c>
      <c r="R186" s="42">
        <v>0</v>
      </c>
      <c r="S186" s="42">
        <v>0</v>
      </c>
      <c r="T186" s="42">
        <v>0</v>
      </c>
      <c r="U186" s="42">
        <v>0</v>
      </c>
      <c r="V186" s="42">
        <v>0</v>
      </c>
      <c r="W186" s="42">
        <v>0</v>
      </c>
      <c r="X186" s="42">
        <f>IFERROR(VLOOKUP(A186,'Trans 21-23'!$A$2:$J$229,8,0),0)</f>
        <v>0</v>
      </c>
      <c r="Y186" s="42">
        <v>0</v>
      </c>
      <c r="Z186" s="42">
        <v>0</v>
      </c>
      <c r="AA186" s="42">
        <v>0</v>
      </c>
      <c r="AB186" s="42">
        <v>0</v>
      </c>
      <c r="AC186" s="42">
        <v>0</v>
      </c>
      <c r="AD186" s="42">
        <v>2054881</v>
      </c>
      <c r="AE186" s="42">
        <v>0</v>
      </c>
      <c r="AF186" s="42">
        <v>14661883</v>
      </c>
      <c r="AG186" s="42">
        <v>0</v>
      </c>
      <c r="AH186" s="42">
        <v>0</v>
      </c>
      <c r="AI186" s="42">
        <v>0</v>
      </c>
      <c r="AJ186" s="42">
        <v>0</v>
      </c>
      <c r="AK186" s="42">
        <v>0</v>
      </c>
      <c r="AL186" s="42">
        <v>0</v>
      </c>
      <c r="AM186" s="42">
        <v>0</v>
      </c>
      <c r="AN186" s="42">
        <v>0</v>
      </c>
      <c r="AO186" s="42">
        <v>0</v>
      </c>
      <c r="AP186" s="42">
        <v>0</v>
      </c>
      <c r="AQ186" s="42">
        <v>0</v>
      </c>
      <c r="AR186" s="42">
        <v>0</v>
      </c>
      <c r="AS186" s="42">
        <v>0</v>
      </c>
      <c r="AT186" s="42">
        <v>0</v>
      </c>
      <c r="AU186" s="42">
        <v>0</v>
      </c>
      <c r="AV186" s="42">
        <v>0</v>
      </c>
      <c r="AW186" s="42">
        <v>0</v>
      </c>
      <c r="AX186" s="42">
        <v>0</v>
      </c>
      <c r="AY186" s="42">
        <v>0</v>
      </c>
      <c r="AZ186" s="42">
        <v>0</v>
      </c>
      <c r="BA186" s="42">
        <v>0</v>
      </c>
      <c r="BB186" s="42">
        <v>0</v>
      </c>
      <c r="BC186" s="42">
        <v>262104096</v>
      </c>
      <c r="BD186" s="42">
        <v>4248588</v>
      </c>
      <c r="BE186" s="42">
        <v>0</v>
      </c>
      <c r="BF186" s="42">
        <v>0</v>
      </c>
      <c r="BG186" s="42">
        <v>0</v>
      </c>
      <c r="BH186" s="42">
        <v>0</v>
      </c>
      <c r="BI186" s="42">
        <v>0</v>
      </c>
      <c r="BJ186" s="42">
        <v>0</v>
      </c>
      <c r="BK186" s="42">
        <v>0</v>
      </c>
      <c r="BL186" s="42">
        <v>0</v>
      </c>
      <c r="BM186" s="42">
        <v>0</v>
      </c>
      <c r="BN186" s="42">
        <v>0</v>
      </c>
      <c r="BO186" s="42">
        <v>0</v>
      </c>
      <c r="BP186" s="42">
        <v>0</v>
      </c>
      <c r="BQ186" s="42">
        <v>0</v>
      </c>
      <c r="BR186" s="42">
        <v>0</v>
      </c>
      <c r="BS186" s="42">
        <f>IFERROR(VLOOKUP(A186,'Trans 21-23'!$A$2:$J$229,7,0),0)</f>
        <v>0</v>
      </c>
      <c r="BT186" s="63"/>
      <c r="BU186" s="32">
        <f t="shared" si="0"/>
        <v>0</v>
      </c>
      <c r="BV186" s="32">
        <f t="shared" si="1"/>
        <v>0</v>
      </c>
      <c r="BW186" s="32">
        <f t="shared" si="2"/>
        <v>0</v>
      </c>
      <c r="BX186" s="32">
        <f t="shared" si="3"/>
        <v>0</v>
      </c>
      <c r="BY186" s="32">
        <f t="shared" si="4"/>
        <v>0</v>
      </c>
      <c r="BZ186" s="32">
        <f t="shared" si="5"/>
        <v>0</v>
      </c>
      <c r="CA186" s="32">
        <f t="shared" si="6"/>
        <v>2054881</v>
      </c>
      <c r="CB186" s="32">
        <f t="shared" si="7"/>
        <v>0</v>
      </c>
      <c r="CC186" s="32">
        <f t="shared" si="8"/>
        <v>0</v>
      </c>
      <c r="CD186" s="41">
        <f t="shared" si="75"/>
        <v>0</v>
      </c>
      <c r="CE186" s="44">
        <f t="shared" si="10"/>
        <v>64</v>
      </c>
      <c r="CF186" s="27"/>
      <c r="CG186" s="28" t="str">
        <f t="shared" si="11"/>
        <v/>
      </c>
      <c r="CH186" s="28" t="str">
        <f t="shared" si="12"/>
        <v/>
      </c>
      <c r="CI186" s="28" t="str">
        <f t="shared" si="13"/>
        <v/>
      </c>
      <c r="CJ186" s="28" t="str">
        <f t="shared" si="14"/>
        <v/>
      </c>
      <c r="CK186" s="23" t="str">
        <f t="shared" si="15"/>
        <v/>
      </c>
      <c r="CL186" s="29" t="str">
        <f t="shared" si="16"/>
        <v/>
      </c>
      <c r="CM186" s="29" t="str">
        <f t="shared" si="17"/>
        <v/>
      </c>
      <c r="CN186" s="29" t="str">
        <f t="shared" si="18"/>
        <v/>
      </c>
      <c r="CO186" s="29" t="str">
        <f t="shared" si="19"/>
        <v/>
      </c>
      <c r="CP186" s="29" t="str">
        <f t="shared" si="20"/>
        <v/>
      </c>
      <c r="CQ186" s="29" t="str">
        <f t="shared" si="21"/>
        <v/>
      </c>
      <c r="CR186" s="30"/>
      <c r="CS186" s="7" t="str">
        <f>VLOOKUP(A186,'Empresas 21-23'!$A$2:$M$228,13,0)</f>
        <v/>
      </c>
      <c r="CT186" s="30"/>
      <c r="CU186" s="6">
        <f t="shared" si="22"/>
        <v>0</v>
      </c>
      <c r="CV186" s="6">
        <f t="shared" si="23"/>
        <v>0</v>
      </c>
      <c r="CW186" s="6">
        <f t="shared" si="24"/>
        <v>4248588</v>
      </c>
      <c r="CX186" s="23">
        <f t="shared" si="91"/>
        <v>0</v>
      </c>
      <c r="CY186" s="23">
        <f t="shared" si="92"/>
        <v>0</v>
      </c>
      <c r="CZ186" s="6">
        <f t="shared" si="27"/>
        <v>0</v>
      </c>
      <c r="DA186" s="6">
        <f t="shared" si="28"/>
        <v>0</v>
      </c>
      <c r="DB186" s="6">
        <f t="shared" si="29"/>
        <v>0</v>
      </c>
      <c r="DC186" s="6">
        <f t="shared" si="30"/>
        <v>0</v>
      </c>
      <c r="DD186" s="6">
        <f t="shared" si="31"/>
        <v>0</v>
      </c>
      <c r="DE186" s="6">
        <f t="shared" si="32"/>
        <v>2054881</v>
      </c>
      <c r="DF186" s="6">
        <f t="shared" si="90"/>
        <v>0</v>
      </c>
      <c r="DG186" s="30"/>
      <c r="DH186" s="32" t="str">
        <f>VLOOKUP(A186,'T_med_comp-USA'!$A$7:$Q$233,17,0)</f>
        <v>-</v>
      </c>
      <c r="DI186" s="6" t="str">
        <f t="shared" si="34"/>
        <v/>
      </c>
      <c r="DJ186" s="32" t="str">
        <f>IF(DI186="","",VLOOKUP(DI186,'CPI USA'!$T:$U,2,FALSE))</f>
        <v/>
      </c>
      <c r="DK186" s="32" t="str">
        <f>IF(DI186="","",VLOOKUP(DI186,'PPI USA'!$S:$T,2,FALSE))</f>
        <v/>
      </c>
      <c r="DL186" s="32" t="str">
        <f>IF(DI186="","",VLOOKUP(DI186,'CPI USA'!$T:$V,3,FALSE))</f>
        <v/>
      </c>
      <c r="DM186" s="32" t="str">
        <f>IF(DI186="","",VLOOKUP(DI186,'CPI USA'!$T:$X,5,FALSE))</f>
        <v/>
      </c>
      <c r="DN186" s="32" t="str">
        <f t="shared" si="35"/>
        <v/>
      </c>
      <c r="DO186" s="32" t="str">
        <f t="shared" si="36"/>
        <v/>
      </c>
      <c r="DP186" s="32" t="str">
        <f t="shared" si="37"/>
        <v/>
      </c>
      <c r="DQ186" s="32" t="str">
        <f>IF(DP186="","",DP186*$DO$1/'CPI USA'!$U$520+(1-DP186)*AVERAGE($DO$1,$DQ$1)/AVERAGE('CPI USA'!$U$520,'PPI USA'!$T$526))</f>
        <v/>
      </c>
      <c r="DR186" s="6">
        <f t="shared" si="38"/>
        <v>0</v>
      </c>
      <c r="DS186" s="32" t="str">
        <f t="shared" si="39"/>
        <v/>
      </c>
      <c r="DT186" s="28" t="str">
        <f>IF(DS186="","",DS186*$DO$1/'CPI USA'!$U$520+(1-DS186)*AVERAGE($DO$1,$DQ$1)/AVERAGE('CPI USA'!$U$520,'PPI USA'!$T$526))</f>
        <v/>
      </c>
      <c r="DU186" s="6" t="str">
        <f t="shared" si="40"/>
        <v/>
      </c>
      <c r="DV186" s="6" t="str">
        <f t="shared" si="84"/>
        <v/>
      </c>
      <c r="DW186" s="6">
        <f t="shared" si="41"/>
        <v>0</v>
      </c>
      <c r="DX186" s="16" t="str">
        <f t="shared" si="42"/>
        <v/>
      </c>
      <c r="DY186" s="28" t="str">
        <f>IF(DX186="","",DX186*$DO$1/'CPI USA'!$U$520+(1-DX186)*AVERAGE($DO$1,$DQ$1)/AVERAGE('CPI USA'!$U$520,'PPI USA'!$T$526))</f>
        <v/>
      </c>
      <c r="DZ186" s="30"/>
      <c r="EA186" s="29" t="str">
        <f t="shared" si="43"/>
        <v>C005423</v>
      </c>
      <c r="EB186" s="29" t="str">
        <f t="shared" si="44"/>
        <v/>
      </c>
      <c r="EC186" s="29" t="str">
        <f t="shared" si="45"/>
        <v/>
      </c>
      <c r="ED186" s="29" t="str">
        <f t="shared" si="46"/>
        <v/>
      </c>
      <c r="EE186" s="29" t="str">
        <f t="shared" si="47"/>
        <v/>
      </c>
      <c r="EF186" s="29" t="str">
        <f t="shared" si="48"/>
        <v/>
      </c>
      <c r="EG186" s="29" t="str">
        <f t="shared" si="49"/>
        <v/>
      </c>
      <c r="EH186" s="29" t="str">
        <f t="shared" si="50"/>
        <v/>
      </c>
      <c r="EI186" s="29" t="str">
        <f t="shared" si="51"/>
        <v/>
      </c>
      <c r="EJ186" s="29" t="str">
        <f t="shared" si="52"/>
        <v/>
      </c>
      <c r="EK186" s="29" t="str">
        <f t="shared" si="53"/>
        <v/>
      </c>
      <c r="EL186" s="29" t="str">
        <f>IF(CD186=1,VLOOKUP(EA186,'EIA 2022'!$A$2:$J$213,4,0)*EH186,"")</f>
        <v/>
      </c>
      <c r="EM186" s="29" t="str">
        <f>IF(CD186=1,VLOOKUP(EA186,'EIA 2022'!$A$2:$J$213,7,0)*EH186,"")</f>
        <v/>
      </c>
      <c r="EN186" s="29" t="str">
        <f>IF(CD186=1,VLOOKUP(EA186,'EIA 2022'!$A$2:$J$213,10,0),"")</f>
        <v/>
      </c>
      <c r="EO186" s="28" t="str">
        <f>IF(CD186=1,VLOOKUP(EA186,'EIA 2022'!$A$2:$Z$213,26,0),"")</f>
        <v/>
      </c>
      <c r="EP186" s="23" t="str">
        <f t="shared" si="54"/>
        <v/>
      </c>
      <c r="EQ186" s="32" t="str">
        <f t="shared" si="55"/>
        <v/>
      </c>
      <c r="ER186" s="32" t="str">
        <f t="shared" si="56"/>
        <v/>
      </c>
      <c r="ES186" s="32"/>
      <c r="ET186" s="32"/>
    </row>
    <row r="187" spans="1:150" ht="15.75" customHeight="1">
      <c r="A187" s="7" t="s">
        <v>763</v>
      </c>
      <c r="B187" s="7" t="s">
        <v>764</v>
      </c>
      <c r="C187" s="32" t="s">
        <v>1058</v>
      </c>
      <c r="D187" s="42">
        <v>0</v>
      </c>
      <c r="E187" s="42">
        <v>0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  <c r="M187" s="42">
        <v>0</v>
      </c>
      <c r="N187" s="42">
        <v>0</v>
      </c>
      <c r="O187" s="42">
        <v>0</v>
      </c>
      <c r="P187" s="42">
        <v>0</v>
      </c>
      <c r="Q187" s="42">
        <v>0</v>
      </c>
      <c r="R187" s="42">
        <v>0</v>
      </c>
      <c r="S187" s="42">
        <v>0</v>
      </c>
      <c r="T187" s="42">
        <v>0</v>
      </c>
      <c r="U187" s="42">
        <v>0</v>
      </c>
      <c r="V187" s="42">
        <v>0</v>
      </c>
      <c r="W187" s="42">
        <v>0</v>
      </c>
      <c r="X187" s="42">
        <f>IFERROR(VLOOKUP(A187,'Trans 21-23'!$A$2:$J$229,8,0),0)</f>
        <v>0</v>
      </c>
      <c r="Y187" s="42">
        <v>0</v>
      </c>
      <c r="Z187" s="42">
        <v>0</v>
      </c>
      <c r="AA187" s="42">
        <v>0</v>
      </c>
      <c r="AB187" s="42">
        <v>0</v>
      </c>
      <c r="AC187" s="42">
        <v>0</v>
      </c>
      <c r="AD187" s="42">
        <v>340478</v>
      </c>
      <c r="AE187" s="42">
        <v>0</v>
      </c>
      <c r="AF187" s="42">
        <v>355891</v>
      </c>
      <c r="AG187" s="42">
        <v>0</v>
      </c>
      <c r="AH187" s="42">
        <v>0</v>
      </c>
      <c r="AI187" s="42">
        <v>0</v>
      </c>
      <c r="AJ187" s="42">
        <v>0</v>
      </c>
      <c r="AK187" s="42">
        <v>0</v>
      </c>
      <c r="AL187" s="42">
        <v>0</v>
      </c>
      <c r="AM187" s="42">
        <v>0</v>
      </c>
      <c r="AN187" s="42">
        <v>0</v>
      </c>
      <c r="AO187" s="42">
        <v>0</v>
      </c>
      <c r="AP187" s="42">
        <v>0</v>
      </c>
      <c r="AQ187" s="42">
        <v>0</v>
      </c>
      <c r="AR187" s="42">
        <v>0</v>
      </c>
      <c r="AS187" s="42">
        <v>0</v>
      </c>
      <c r="AT187" s="42">
        <v>0</v>
      </c>
      <c r="AU187" s="42">
        <v>0</v>
      </c>
      <c r="AV187" s="42">
        <v>0</v>
      </c>
      <c r="AW187" s="42">
        <v>0</v>
      </c>
      <c r="AX187" s="42">
        <v>0</v>
      </c>
      <c r="AY187" s="42">
        <v>0</v>
      </c>
      <c r="AZ187" s="42">
        <v>0</v>
      </c>
      <c r="BA187" s="42">
        <v>0</v>
      </c>
      <c r="BB187" s="42">
        <v>0</v>
      </c>
      <c r="BC187" s="42">
        <v>2486750</v>
      </c>
      <c r="BD187" s="42">
        <v>0</v>
      </c>
      <c r="BE187" s="42">
        <v>0</v>
      </c>
      <c r="BF187" s="42">
        <v>0</v>
      </c>
      <c r="BG187" s="42">
        <v>0</v>
      </c>
      <c r="BH187" s="42">
        <v>0</v>
      </c>
      <c r="BI187" s="42">
        <v>0</v>
      </c>
      <c r="BJ187" s="42">
        <v>0</v>
      </c>
      <c r="BK187" s="42">
        <v>0</v>
      </c>
      <c r="BL187" s="42">
        <v>0</v>
      </c>
      <c r="BM187" s="42">
        <v>0</v>
      </c>
      <c r="BN187" s="42">
        <v>0</v>
      </c>
      <c r="BO187" s="42">
        <v>0</v>
      </c>
      <c r="BP187" s="42">
        <v>0</v>
      </c>
      <c r="BQ187" s="42">
        <v>0</v>
      </c>
      <c r="BR187" s="42">
        <v>0</v>
      </c>
      <c r="BS187" s="42">
        <f>IFERROR(VLOOKUP(A187,'Trans 21-23'!$A$2:$J$229,7,0),0)</f>
        <v>0</v>
      </c>
      <c r="BT187" s="63"/>
      <c r="BU187" s="32">
        <f t="shared" si="0"/>
        <v>0</v>
      </c>
      <c r="BV187" s="32">
        <f t="shared" si="1"/>
        <v>0</v>
      </c>
      <c r="BW187" s="32">
        <f t="shared" si="2"/>
        <v>0</v>
      </c>
      <c r="BX187" s="32">
        <f t="shared" si="3"/>
        <v>0</v>
      </c>
      <c r="BY187" s="32">
        <f t="shared" si="4"/>
        <v>0</v>
      </c>
      <c r="BZ187" s="32">
        <f t="shared" si="5"/>
        <v>0</v>
      </c>
      <c r="CA187" s="32">
        <f t="shared" si="6"/>
        <v>340478</v>
      </c>
      <c r="CB187" s="32">
        <f t="shared" si="7"/>
        <v>0</v>
      </c>
      <c r="CC187" s="32">
        <f t="shared" si="8"/>
        <v>0</v>
      </c>
      <c r="CD187" s="41">
        <f t="shared" si="75"/>
        <v>0</v>
      </c>
      <c r="CE187" s="44">
        <f t="shared" si="10"/>
        <v>65</v>
      </c>
      <c r="CF187" s="27"/>
      <c r="CG187" s="28" t="str">
        <f t="shared" si="11"/>
        <v/>
      </c>
      <c r="CH187" s="28" t="str">
        <f t="shared" si="12"/>
        <v/>
      </c>
      <c r="CI187" s="28" t="str">
        <f t="shared" si="13"/>
        <v/>
      </c>
      <c r="CJ187" s="28" t="str">
        <f t="shared" si="14"/>
        <v/>
      </c>
      <c r="CK187" s="23" t="str">
        <f t="shared" si="15"/>
        <v/>
      </c>
      <c r="CL187" s="29" t="str">
        <f t="shared" si="16"/>
        <v/>
      </c>
      <c r="CM187" s="29" t="str">
        <f t="shared" si="17"/>
        <v/>
      </c>
      <c r="CN187" s="29" t="str">
        <f t="shared" si="18"/>
        <v/>
      </c>
      <c r="CO187" s="29" t="str">
        <f t="shared" si="19"/>
        <v/>
      </c>
      <c r="CP187" s="29" t="str">
        <f t="shared" si="20"/>
        <v/>
      </c>
      <c r="CQ187" s="29" t="str">
        <f t="shared" si="21"/>
        <v/>
      </c>
      <c r="CR187" s="30"/>
      <c r="CS187" s="7" t="str">
        <f>VLOOKUP(A187,'Empresas 21-23'!$A$2:$M$228,13,0)</f>
        <v/>
      </c>
      <c r="CT187" s="30"/>
      <c r="CU187" s="6">
        <f t="shared" si="22"/>
        <v>0</v>
      </c>
      <c r="CV187" s="6">
        <f t="shared" si="23"/>
        <v>0</v>
      </c>
      <c r="CW187" s="6">
        <f t="shared" si="24"/>
        <v>0</v>
      </c>
      <c r="CX187" s="23">
        <f t="shared" si="91"/>
        <v>0</v>
      </c>
      <c r="CY187" s="23">
        <f t="shared" si="92"/>
        <v>0</v>
      </c>
      <c r="CZ187" s="6">
        <f t="shared" si="27"/>
        <v>0</v>
      </c>
      <c r="DA187" s="6">
        <f t="shared" si="28"/>
        <v>0</v>
      </c>
      <c r="DB187" s="6">
        <f t="shared" si="29"/>
        <v>0</v>
      </c>
      <c r="DC187" s="6">
        <f t="shared" si="30"/>
        <v>0</v>
      </c>
      <c r="DD187" s="6">
        <f t="shared" si="31"/>
        <v>0</v>
      </c>
      <c r="DE187" s="6">
        <f t="shared" si="32"/>
        <v>340478</v>
      </c>
      <c r="DF187" s="6">
        <f t="shared" si="90"/>
        <v>0</v>
      </c>
      <c r="DG187" s="30"/>
      <c r="DH187" s="32" t="str">
        <f>VLOOKUP(A187,'T_med_comp-USA'!$A$7:$Q$233,17,0)</f>
        <v>-</v>
      </c>
      <c r="DI187" s="6" t="str">
        <f t="shared" si="34"/>
        <v/>
      </c>
      <c r="DJ187" s="32" t="str">
        <f>IF(DI187="","",VLOOKUP(DI187,'CPI USA'!$T:$U,2,FALSE))</f>
        <v/>
      </c>
      <c r="DK187" s="32" t="str">
        <f>IF(DI187="","",VLOOKUP(DI187,'PPI USA'!$S:$T,2,FALSE))</f>
        <v/>
      </c>
      <c r="DL187" s="32" t="str">
        <f>IF(DI187="","",VLOOKUP(DI187,'CPI USA'!$T:$V,3,FALSE))</f>
        <v/>
      </c>
      <c r="DM187" s="32" t="str">
        <f>IF(DI187="","",VLOOKUP(DI187,'CPI USA'!$T:$X,5,FALSE))</f>
        <v/>
      </c>
      <c r="DN187" s="32" t="str">
        <f t="shared" si="35"/>
        <v/>
      </c>
      <c r="DO187" s="32" t="str">
        <f t="shared" si="36"/>
        <v/>
      </c>
      <c r="DP187" s="32" t="str">
        <f t="shared" si="37"/>
        <v/>
      </c>
      <c r="DQ187" s="32" t="str">
        <f>IF(DP187="","",DP187*$DO$1/'CPI USA'!$U$520+(1-DP187)*AVERAGE($DO$1,$DQ$1)/AVERAGE('CPI USA'!$U$520,'PPI USA'!$T$526))</f>
        <v/>
      </c>
      <c r="DR187" s="6">
        <f t="shared" si="38"/>
        <v>0</v>
      </c>
      <c r="DS187" s="32" t="str">
        <f t="shared" si="39"/>
        <v/>
      </c>
      <c r="DT187" s="28" t="str">
        <f>IF(DS187="","",DS187*$DO$1/'CPI USA'!$U$520+(1-DS187)*AVERAGE($DO$1,$DQ$1)/AVERAGE('CPI USA'!$U$520,'PPI USA'!$T$526))</f>
        <v/>
      </c>
      <c r="DU187" s="6" t="str">
        <f t="shared" si="40"/>
        <v/>
      </c>
      <c r="DV187" s="6" t="str">
        <f t="shared" si="84"/>
        <v/>
      </c>
      <c r="DW187" s="6">
        <f t="shared" si="41"/>
        <v>0</v>
      </c>
      <c r="DX187" s="16" t="str">
        <f t="shared" si="42"/>
        <v/>
      </c>
      <c r="DY187" s="28" t="str">
        <f>IF(DX187="","",DX187*$DO$1/'CPI USA'!$U$520+(1-DX187)*AVERAGE($DO$1,$DQ$1)/AVERAGE('CPI USA'!$U$520,'PPI USA'!$T$526))</f>
        <v/>
      </c>
      <c r="DZ187" s="30"/>
      <c r="EA187" s="29" t="str">
        <f t="shared" si="43"/>
        <v>C005424</v>
      </c>
      <c r="EB187" s="29" t="str">
        <f t="shared" si="44"/>
        <v/>
      </c>
      <c r="EC187" s="29" t="str">
        <f t="shared" si="45"/>
        <v/>
      </c>
      <c r="ED187" s="29" t="str">
        <f t="shared" si="46"/>
        <v/>
      </c>
      <c r="EE187" s="29" t="str">
        <f t="shared" si="47"/>
        <v/>
      </c>
      <c r="EF187" s="29" t="str">
        <f t="shared" si="48"/>
        <v/>
      </c>
      <c r="EG187" s="29" t="str">
        <f t="shared" si="49"/>
        <v/>
      </c>
      <c r="EH187" s="29" t="str">
        <f t="shared" si="50"/>
        <v/>
      </c>
      <c r="EI187" s="29" t="str">
        <f t="shared" si="51"/>
        <v/>
      </c>
      <c r="EJ187" s="29" t="str">
        <f t="shared" si="52"/>
        <v/>
      </c>
      <c r="EK187" s="29" t="str">
        <f t="shared" si="53"/>
        <v/>
      </c>
      <c r="EL187" s="29" t="str">
        <f>IF(CD187=1,VLOOKUP(EA187,'EIA 2022'!$A$2:$J$213,4,0)*EH187,"")</f>
        <v/>
      </c>
      <c r="EM187" s="29" t="str">
        <f>IF(CD187=1,VLOOKUP(EA187,'EIA 2022'!$A$2:$J$213,7,0)*EH187,"")</f>
        <v/>
      </c>
      <c r="EN187" s="29" t="str">
        <f>IF(CD187=1,VLOOKUP(EA187,'EIA 2022'!$A$2:$J$213,10,0),"")</f>
        <v/>
      </c>
      <c r="EO187" s="28" t="str">
        <f>IF(CD187=1,VLOOKUP(EA187,'EIA 2022'!$A$2:$Z$213,26,0),"")</f>
        <v/>
      </c>
      <c r="EP187" s="23" t="str">
        <f t="shared" si="54"/>
        <v/>
      </c>
      <c r="EQ187" s="32" t="str">
        <f t="shared" si="55"/>
        <v/>
      </c>
      <c r="ER187" s="32" t="str">
        <f t="shared" si="56"/>
        <v/>
      </c>
      <c r="ES187" s="32"/>
      <c r="ET187" s="32"/>
    </row>
    <row r="188" spans="1:150" ht="15.75" customHeight="1">
      <c r="A188" s="7" t="s">
        <v>766</v>
      </c>
      <c r="B188" s="7" t="s">
        <v>767</v>
      </c>
      <c r="C188" s="32" t="s">
        <v>1059</v>
      </c>
      <c r="D188" s="42">
        <v>0</v>
      </c>
      <c r="E188" s="42">
        <v>0</v>
      </c>
      <c r="F188" s="42">
        <v>47400709</v>
      </c>
      <c r="G188" s="42">
        <v>60593809</v>
      </c>
      <c r="H188" s="42">
        <v>61471819</v>
      </c>
      <c r="I188" s="42">
        <v>10120</v>
      </c>
      <c r="J188" s="42">
        <v>55953</v>
      </c>
      <c r="K188" s="42">
        <v>103164</v>
      </c>
      <c r="L188" s="42">
        <v>737380</v>
      </c>
      <c r="M188" s="42">
        <v>68451</v>
      </c>
      <c r="N188" s="42">
        <v>0</v>
      </c>
      <c r="O188" s="42">
        <v>547421</v>
      </c>
      <c r="P188" s="42">
        <v>0</v>
      </c>
      <c r="Q188" s="42">
        <v>799</v>
      </c>
      <c r="R188" s="42">
        <v>5256</v>
      </c>
      <c r="S188" s="42">
        <v>234369</v>
      </c>
      <c r="T188" s="42">
        <v>3193183</v>
      </c>
      <c r="U188" s="42">
        <v>98287</v>
      </c>
      <c r="V188" s="42">
        <v>3750</v>
      </c>
      <c r="W188" s="42">
        <v>0</v>
      </c>
      <c r="X188" s="42">
        <f>IFERROR(VLOOKUP(A188,'Trans 21-23'!$A$2:$J$229,8,0),0)</f>
        <v>0</v>
      </c>
      <c r="Y188" s="42">
        <v>97938</v>
      </c>
      <c r="Z188" s="42">
        <v>0</v>
      </c>
      <c r="AA188" s="42">
        <v>1565240</v>
      </c>
      <c r="AB188" s="42">
        <v>3079660</v>
      </c>
      <c r="AC188" s="42">
        <v>0</v>
      </c>
      <c r="AD188" s="42">
        <v>3649593</v>
      </c>
      <c r="AE188" s="42">
        <v>0</v>
      </c>
      <c r="AF188" s="42">
        <v>151799402</v>
      </c>
      <c r="AG188" s="42">
        <v>37064</v>
      </c>
      <c r="AH188" s="42">
        <v>82091</v>
      </c>
      <c r="AI188" s="42">
        <v>1919823</v>
      </c>
      <c r="AJ188" s="42">
        <v>827</v>
      </c>
      <c r="AK188" s="42">
        <v>0</v>
      </c>
      <c r="AL188" s="42">
        <v>238994</v>
      </c>
      <c r="AM188" s="42">
        <v>126491</v>
      </c>
      <c r="AN188" s="42">
        <v>1337704</v>
      </c>
      <c r="AO188" s="42">
        <v>2490</v>
      </c>
      <c r="AP188" s="42">
        <v>0</v>
      </c>
      <c r="AQ188" s="42">
        <v>1705740</v>
      </c>
      <c r="AR188" s="42">
        <v>131165</v>
      </c>
      <c r="AS188" s="42">
        <v>1836905</v>
      </c>
      <c r="AT188" s="42">
        <v>0</v>
      </c>
      <c r="AU188" s="42">
        <v>284</v>
      </c>
      <c r="AV188" s="42">
        <v>0</v>
      </c>
      <c r="AW188" s="42">
        <v>42412360</v>
      </c>
      <c r="AX188" s="42">
        <v>337189</v>
      </c>
      <c r="AY188" s="42">
        <v>50512625</v>
      </c>
      <c r="AZ188" s="42">
        <v>7982749</v>
      </c>
      <c r="BA188" s="42">
        <v>1113652</v>
      </c>
      <c r="BB188" s="42">
        <v>225622138</v>
      </c>
      <c r="BC188" s="42">
        <v>493803377</v>
      </c>
      <c r="BD188" s="42">
        <v>4187465</v>
      </c>
      <c r="BE188" s="42">
        <v>82418457</v>
      </c>
      <c r="BF188" s="42">
        <v>5488469</v>
      </c>
      <c r="BG188" s="42">
        <v>0</v>
      </c>
      <c r="BH188" s="42">
        <v>1442811</v>
      </c>
      <c r="BI188" s="42">
        <v>216806</v>
      </c>
      <c r="BJ188" s="42">
        <v>255606</v>
      </c>
      <c r="BK188" s="42">
        <v>0</v>
      </c>
      <c r="BL188" s="42">
        <v>0</v>
      </c>
      <c r="BM188" s="42">
        <v>951428</v>
      </c>
      <c r="BN188" s="42">
        <v>4152537</v>
      </c>
      <c r="BO188" s="42">
        <v>50672</v>
      </c>
      <c r="BP188" s="42">
        <v>7194380</v>
      </c>
      <c r="BQ188" s="42">
        <v>0</v>
      </c>
      <c r="BR188" s="42">
        <v>61</v>
      </c>
      <c r="BS188" s="42">
        <f>IFERROR(VLOOKUP(A188,'Trans 21-23'!$A$2:$J$229,7,0),0)</f>
        <v>0</v>
      </c>
      <c r="BT188" s="63"/>
      <c r="BU188" s="32">
        <f t="shared" si="0"/>
        <v>225622138</v>
      </c>
      <c r="BV188" s="32">
        <f t="shared" si="1"/>
        <v>284</v>
      </c>
      <c r="BW188" s="32">
        <f t="shared" si="2"/>
        <v>37064</v>
      </c>
      <c r="BX188" s="32">
        <f t="shared" si="3"/>
        <v>5058133</v>
      </c>
      <c r="BY188" s="32">
        <f t="shared" si="4"/>
        <v>4742838</v>
      </c>
      <c r="BZ188" s="32">
        <f t="shared" si="5"/>
        <v>7982749</v>
      </c>
      <c r="CA188" s="32">
        <f t="shared" si="6"/>
        <v>3649593</v>
      </c>
      <c r="CB188" s="32">
        <f t="shared" si="7"/>
        <v>82091</v>
      </c>
      <c r="CC188" s="32">
        <f t="shared" si="8"/>
        <v>1705740</v>
      </c>
      <c r="CD188" s="41">
        <f t="shared" si="75"/>
        <v>1</v>
      </c>
      <c r="CE188" s="44">
        <f t="shared" si="10"/>
        <v>18</v>
      </c>
      <c r="CF188" s="27"/>
      <c r="CG188" s="28">
        <f t="shared" si="11"/>
        <v>794.44414788732399</v>
      </c>
      <c r="CH188" s="28">
        <f t="shared" si="12"/>
        <v>7.6624217569609323</v>
      </c>
      <c r="CI188" s="28">
        <f t="shared" si="13"/>
        <v>136.47024066479602</v>
      </c>
      <c r="CJ188" s="28">
        <f t="shared" si="14"/>
        <v>215.37742823224693</v>
      </c>
      <c r="CK188" s="23">
        <f t="shared" si="15"/>
        <v>4.8126326403789554E-2</v>
      </c>
      <c r="CL188" s="29" t="str">
        <f t="shared" si="16"/>
        <v/>
      </c>
      <c r="CM188" s="29" t="str">
        <f t="shared" si="17"/>
        <v/>
      </c>
      <c r="CN188" s="29" t="str">
        <f t="shared" si="18"/>
        <v/>
      </c>
      <c r="CO188" s="29" t="str">
        <f t="shared" si="19"/>
        <v/>
      </c>
      <c r="CP188" s="29" t="str">
        <f t="shared" si="20"/>
        <v/>
      </c>
      <c r="CQ188" s="29">
        <f t="shared" si="21"/>
        <v>0</v>
      </c>
      <c r="CR188" s="30"/>
      <c r="CS188" s="7">
        <f>VLOOKUP(A188,'Empresas 21-23'!$A$2:$M$228,13,0)</f>
        <v>1</v>
      </c>
      <c r="CT188" s="30"/>
      <c r="CU188" s="6">
        <f t="shared" si="22"/>
        <v>186015848.59999999</v>
      </c>
      <c r="CV188" s="6">
        <f t="shared" si="23"/>
        <v>7982749</v>
      </c>
      <c r="CW188" s="6">
        <f t="shared" si="24"/>
        <v>4187465</v>
      </c>
      <c r="CX188" s="23">
        <f t="shared" si="91"/>
        <v>0.37992198382637532</v>
      </c>
      <c r="CY188" s="23">
        <f t="shared" si="92"/>
        <v>1.6304104512028194E-2</v>
      </c>
      <c r="CZ188" s="6">
        <f t="shared" si="27"/>
        <v>187606758.6100035</v>
      </c>
      <c r="DA188" s="6">
        <f t="shared" si="28"/>
        <v>8051021.8670004597</v>
      </c>
      <c r="DB188" s="6">
        <f t="shared" si="29"/>
        <v>5058133</v>
      </c>
      <c r="DC188" s="6">
        <f t="shared" si="30"/>
        <v>5058133</v>
      </c>
      <c r="DD188" s="6">
        <f t="shared" si="31"/>
        <v>4742838</v>
      </c>
      <c r="DE188" s="6">
        <f t="shared" si="32"/>
        <v>3649593</v>
      </c>
      <c r="DF188" s="6">
        <f t="shared" si="90"/>
        <v>910693.26195983368</v>
      </c>
      <c r="DG188" s="30"/>
      <c r="DH188" s="32">
        <f>VLOOKUP(A188,'T_med_comp-USA'!$A$7:$Q$233,17,0)</f>
        <v>15.019622077527901</v>
      </c>
      <c r="DI188" s="6" t="str">
        <f t="shared" si="34"/>
        <v>12_2007</v>
      </c>
      <c r="DJ188" s="32">
        <f>IF(DI188="","",VLOOKUP(DI188,'CPI USA'!$T:$U,2,FALSE))</f>
        <v>207.34200000000001</v>
      </c>
      <c r="DK188" s="32">
        <f>IF(DI188="","",VLOOKUP(DI188,'PPI USA'!$S:$T,2,FALSE))</f>
        <v>151.69999999999999</v>
      </c>
      <c r="DL188" s="32">
        <f>IF(DI188="","",VLOOKUP(DI188,'CPI USA'!$T:$V,3,FALSE))</f>
        <v>0.67123734379962852</v>
      </c>
      <c r="DM188" s="32">
        <f>IF(DI188="","",VLOOKUP(DI188,'CPI USA'!$T:$X,5,FALSE))</f>
        <v>0.49957259686190569</v>
      </c>
      <c r="DN188" s="32">
        <f t="shared" si="35"/>
        <v>1.5480022216582647</v>
      </c>
      <c r="DO188" s="32">
        <f t="shared" si="36"/>
        <v>1.5651038394149617</v>
      </c>
      <c r="DP188" s="32">
        <f t="shared" si="37"/>
        <v>0.28872651886932388</v>
      </c>
      <c r="DQ188" s="32">
        <f>IF(DP188="","",DP188*$DO$1/'CPI USA'!$U$520+(1-DP188)*AVERAGE($DO$1,$DQ$1)/AVERAGE('CPI USA'!$U$520,'PPI USA'!$T$526))</f>
        <v>1.0824783819503652</v>
      </c>
      <c r="DR188" s="6">
        <f t="shared" si="38"/>
        <v>472412</v>
      </c>
      <c r="DS188" s="32">
        <f t="shared" si="39"/>
        <v>0.2</v>
      </c>
      <c r="DT188" s="28">
        <f>IF(DS188="","",DS188*$DO$1/'CPI USA'!$U$520+(1-DS188)*AVERAGE($DO$1,$DQ$1)/AVERAGE('CPI USA'!$U$520,'PPI USA'!$T$526))</f>
        <v>1.0854630593748538</v>
      </c>
      <c r="DU188" s="6">
        <f t="shared" si="40"/>
        <v>963037.95305183309</v>
      </c>
      <c r="DV188" s="6" t="str">
        <f t="shared" si="84"/>
        <v/>
      </c>
      <c r="DW188" s="6">
        <f t="shared" si="41"/>
        <v>0</v>
      </c>
      <c r="DX188" s="16">
        <f t="shared" si="42"/>
        <v>0.2</v>
      </c>
      <c r="DY188" s="28">
        <f>IF(DX188="","",DX188*$DO$1/'CPI USA'!$U$520+(1-DX188)*AVERAGE($DO$1,$DQ$1)/AVERAGE('CPI USA'!$U$520,'PPI USA'!$T$526))</f>
        <v>1.0854630593748538</v>
      </c>
      <c r="DZ188" s="30"/>
      <c r="EA188" s="29" t="str">
        <f t="shared" si="43"/>
        <v>C005443</v>
      </c>
      <c r="EB188" s="29">
        <f t="shared" si="44"/>
        <v>290415679.12639123</v>
      </c>
      <c r="EC188" s="29">
        <f t="shared" si="45"/>
        <v>12600685.235256232</v>
      </c>
      <c r="ED188" s="29">
        <f t="shared" si="46"/>
        <v>5475319.6255297465</v>
      </c>
      <c r="EE188" s="29">
        <f t="shared" si="47"/>
        <v>5148175.4455993129</v>
      </c>
      <c r="EF188" s="29">
        <f t="shared" si="48"/>
        <v>988523.89427898615</v>
      </c>
      <c r="EG188" s="29">
        <f t="shared" si="49"/>
        <v>284</v>
      </c>
      <c r="EH188" s="29">
        <f t="shared" si="50"/>
        <v>37064</v>
      </c>
      <c r="EI188" s="29">
        <f t="shared" si="51"/>
        <v>82091</v>
      </c>
      <c r="EJ188" s="29">
        <f t="shared" si="52"/>
        <v>1705740</v>
      </c>
      <c r="EK188" s="29">
        <f t="shared" si="53"/>
        <v>1785833.5634517767</v>
      </c>
      <c r="EL188" s="29">
        <f>IF(CD188=1,VLOOKUP(EA188,'EIA 2022'!$A$2:$J$213,4,0)*EH188,"")</f>
        <v>10600304</v>
      </c>
      <c r="EM188" s="29">
        <f>IF(CD188=1,VLOOKUP(EA188,'EIA 2022'!$A$2:$J$213,7,0)*EH188,"")</f>
        <v>86729.76</v>
      </c>
      <c r="EN188" s="29">
        <f>IF(CD188=1,VLOOKUP(EA188,'EIA 2022'!$A$2:$J$213,10,0),"")</f>
        <v>37811</v>
      </c>
      <c r="EO188" s="28">
        <f>IF(CD188=1,VLOOKUP(EA188,'EIA 2022'!$A$2:$Z$213,26,0),"")</f>
        <v>0</v>
      </c>
      <c r="EP188" s="23">
        <f t="shared" si="54"/>
        <v>4.4849399793431222E-2</v>
      </c>
      <c r="EQ188" s="32">
        <f t="shared" si="55"/>
        <v>1997.4365482233407</v>
      </c>
      <c r="ER188" s="32">
        <f t="shared" si="56"/>
        <v>80093.563451776659</v>
      </c>
      <c r="ES188" s="32"/>
      <c r="ET188" s="32"/>
    </row>
    <row r="189" spans="1:150" ht="15.75" customHeight="1">
      <c r="A189" s="7" t="s">
        <v>769</v>
      </c>
      <c r="B189" s="7" t="s">
        <v>770</v>
      </c>
      <c r="C189" s="32" t="s">
        <v>1060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  <c r="M189" s="42">
        <v>0</v>
      </c>
      <c r="N189" s="42">
        <v>0</v>
      </c>
      <c r="O189" s="42">
        <v>0</v>
      </c>
      <c r="P189" s="42">
        <v>0</v>
      </c>
      <c r="Q189" s="42">
        <v>0</v>
      </c>
      <c r="R189" s="42">
        <v>0</v>
      </c>
      <c r="S189" s="42">
        <v>0</v>
      </c>
      <c r="T189" s="42">
        <v>0</v>
      </c>
      <c r="U189" s="42">
        <v>0</v>
      </c>
      <c r="V189" s="42">
        <v>0</v>
      </c>
      <c r="W189" s="42">
        <v>0</v>
      </c>
      <c r="X189" s="42">
        <f>IFERROR(VLOOKUP(A189,'Trans 21-23'!$A$2:$J$229,8,0),0)</f>
        <v>0</v>
      </c>
      <c r="Y189" s="42">
        <v>0</v>
      </c>
      <c r="Z189" s="42">
        <v>0</v>
      </c>
      <c r="AA189" s="42">
        <v>0</v>
      </c>
      <c r="AB189" s="42">
        <v>0</v>
      </c>
      <c r="AC189" s="42">
        <v>0</v>
      </c>
      <c r="AD189" s="42">
        <v>1209503</v>
      </c>
      <c r="AE189" s="42">
        <v>0</v>
      </c>
      <c r="AF189" s="42">
        <v>3230275</v>
      </c>
      <c r="AG189" s="42">
        <v>0</v>
      </c>
      <c r="AH189" s="42">
        <v>0</v>
      </c>
      <c r="AI189" s="42">
        <v>0</v>
      </c>
      <c r="AJ189" s="42">
        <v>0</v>
      </c>
      <c r="AK189" s="42">
        <v>0</v>
      </c>
      <c r="AL189" s="42">
        <v>0</v>
      </c>
      <c r="AM189" s="42">
        <v>0</v>
      </c>
      <c r="AN189" s="42">
        <v>0</v>
      </c>
      <c r="AO189" s="42">
        <v>0</v>
      </c>
      <c r="AP189" s="42">
        <v>0</v>
      </c>
      <c r="AQ189" s="42">
        <v>0</v>
      </c>
      <c r="AR189" s="42">
        <v>0</v>
      </c>
      <c r="AS189" s="42">
        <v>0</v>
      </c>
      <c r="AT189" s="42">
        <v>0</v>
      </c>
      <c r="AU189" s="42">
        <v>0</v>
      </c>
      <c r="AV189" s="42">
        <v>0</v>
      </c>
      <c r="AW189" s="42">
        <v>0</v>
      </c>
      <c r="AX189" s="42">
        <v>0</v>
      </c>
      <c r="AY189" s="42">
        <v>0</v>
      </c>
      <c r="AZ189" s="42">
        <v>0</v>
      </c>
      <c r="BA189" s="42">
        <v>0</v>
      </c>
      <c r="BB189" s="42">
        <v>0</v>
      </c>
      <c r="BC189" s="42">
        <v>203812655</v>
      </c>
      <c r="BD189" s="42">
        <v>38815</v>
      </c>
      <c r="BE189" s="42">
        <v>0</v>
      </c>
      <c r="BF189" s="42">
        <v>0</v>
      </c>
      <c r="BG189" s="42">
        <v>0</v>
      </c>
      <c r="BH189" s="42">
        <v>0</v>
      </c>
      <c r="BI189" s="42">
        <v>0</v>
      </c>
      <c r="BJ189" s="42">
        <v>0</v>
      </c>
      <c r="BK189" s="42">
        <v>0</v>
      </c>
      <c r="BL189" s="42">
        <v>0</v>
      </c>
      <c r="BM189" s="42">
        <v>0</v>
      </c>
      <c r="BN189" s="42">
        <v>0</v>
      </c>
      <c r="BO189" s="42">
        <v>0</v>
      </c>
      <c r="BP189" s="42">
        <v>0</v>
      </c>
      <c r="BQ189" s="42">
        <v>0</v>
      </c>
      <c r="BR189" s="42">
        <v>0</v>
      </c>
      <c r="BS189" s="42">
        <f>IFERROR(VLOOKUP(A189,'Trans 21-23'!$A$2:$J$229,7,0),0)</f>
        <v>0</v>
      </c>
      <c r="BT189" s="63"/>
      <c r="BU189" s="32">
        <f t="shared" si="0"/>
        <v>0</v>
      </c>
      <c r="BV189" s="32">
        <f t="shared" si="1"/>
        <v>0</v>
      </c>
      <c r="BW189" s="32">
        <f t="shared" si="2"/>
        <v>0</v>
      </c>
      <c r="BX189" s="32">
        <f t="shared" si="3"/>
        <v>0</v>
      </c>
      <c r="BY189" s="32">
        <f t="shared" si="4"/>
        <v>0</v>
      </c>
      <c r="BZ189" s="32">
        <f t="shared" si="5"/>
        <v>0</v>
      </c>
      <c r="CA189" s="32">
        <f t="shared" si="6"/>
        <v>1209503</v>
      </c>
      <c r="CB189" s="32">
        <f t="shared" si="7"/>
        <v>0</v>
      </c>
      <c r="CC189" s="32">
        <f t="shared" si="8"/>
        <v>0</v>
      </c>
      <c r="CD189" s="41">
        <f t="shared" si="75"/>
        <v>0</v>
      </c>
      <c r="CE189" s="44">
        <f t="shared" si="10"/>
        <v>64</v>
      </c>
      <c r="CF189" s="27"/>
      <c r="CG189" s="28" t="str">
        <f t="shared" si="11"/>
        <v/>
      </c>
      <c r="CH189" s="28" t="str">
        <f t="shared" si="12"/>
        <v/>
      </c>
      <c r="CI189" s="28" t="str">
        <f t="shared" si="13"/>
        <v/>
      </c>
      <c r="CJ189" s="28" t="str">
        <f t="shared" si="14"/>
        <v/>
      </c>
      <c r="CK189" s="23" t="str">
        <f t="shared" si="15"/>
        <v/>
      </c>
      <c r="CL189" s="29" t="str">
        <f t="shared" si="16"/>
        <v/>
      </c>
      <c r="CM189" s="29" t="str">
        <f t="shared" si="17"/>
        <v/>
      </c>
      <c r="CN189" s="29" t="str">
        <f t="shared" si="18"/>
        <v/>
      </c>
      <c r="CO189" s="29" t="str">
        <f t="shared" si="19"/>
        <v/>
      </c>
      <c r="CP189" s="29" t="str">
        <f t="shared" si="20"/>
        <v/>
      </c>
      <c r="CQ189" s="29" t="str">
        <f t="shared" si="21"/>
        <v/>
      </c>
      <c r="CR189" s="30"/>
      <c r="CS189" s="7" t="str">
        <f>VLOOKUP(A189,'Empresas 21-23'!$A$2:$M$228,13,0)</f>
        <v/>
      </c>
      <c r="CT189" s="30"/>
      <c r="CU189" s="6">
        <f t="shared" si="22"/>
        <v>0</v>
      </c>
      <c r="CV189" s="6">
        <f t="shared" si="23"/>
        <v>0</v>
      </c>
      <c r="CW189" s="6">
        <f t="shared" si="24"/>
        <v>38815</v>
      </c>
      <c r="CX189" s="23">
        <f t="shared" si="91"/>
        <v>0</v>
      </c>
      <c r="CY189" s="23">
        <f t="shared" si="92"/>
        <v>0</v>
      </c>
      <c r="CZ189" s="6">
        <f t="shared" si="27"/>
        <v>0</v>
      </c>
      <c r="DA189" s="6">
        <f t="shared" si="28"/>
        <v>0</v>
      </c>
      <c r="DB189" s="6">
        <f t="shared" si="29"/>
        <v>0</v>
      </c>
      <c r="DC189" s="6">
        <f t="shared" si="30"/>
        <v>0</v>
      </c>
      <c r="DD189" s="6">
        <f t="shared" si="31"/>
        <v>0</v>
      </c>
      <c r="DE189" s="6">
        <f t="shared" si="32"/>
        <v>1209503</v>
      </c>
      <c r="DF189" s="6">
        <f t="shared" si="90"/>
        <v>0</v>
      </c>
      <c r="DG189" s="30"/>
      <c r="DH189" s="32" t="str">
        <f>VLOOKUP(A189,'T_med_comp-USA'!$A$7:$Q$233,17,0)</f>
        <v>-</v>
      </c>
      <c r="DI189" s="6" t="str">
        <f t="shared" si="34"/>
        <v/>
      </c>
      <c r="DJ189" s="32" t="str">
        <f>IF(DI189="","",VLOOKUP(DI189,'CPI USA'!$T:$U,2,FALSE))</f>
        <v/>
      </c>
      <c r="DK189" s="32" t="str">
        <f>IF(DI189="","",VLOOKUP(DI189,'PPI USA'!$S:$T,2,FALSE))</f>
        <v/>
      </c>
      <c r="DL189" s="32" t="str">
        <f>IF(DI189="","",VLOOKUP(DI189,'CPI USA'!$T:$V,3,FALSE))</f>
        <v/>
      </c>
      <c r="DM189" s="32" t="str">
        <f>IF(DI189="","",VLOOKUP(DI189,'CPI USA'!$T:$X,5,FALSE))</f>
        <v/>
      </c>
      <c r="DN189" s="32" t="str">
        <f t="shared" si="35"/>
        <v/>
      </c>
      <c r="DO189" s="32" t="str">
        <f t="shared" si="36"/>
        <v/>
      </c>
      <c r="DP189" s="32" t="str">
        <f t="shared" si="37"/>
        <v/>
      </c>
      <c r="DQ189" s="32" t="str">
        <f>IF(DP189="","",DP189*$DO$1/'CPI USA'!$U$520+(1-DP189)*AVERAGE($DO$1,$DQ$1)/AVERAGE('CPI USA'!$U$520,'PPI USA'!$T$526))</f>
        <v/>
      </c>
      <c r="DR189" s="6">
        <f t="shared" si="38"/>
        <v>0</v>
      </c>
      <c r="DS189" s="32" t="str">
        <f t="shared" si="39"/>
        <v/>
      </c>
      <c r="DT189" s="28" t="str">
        <f>IF(DS189="","",DS189*$DO$1/'CPI USA'!$U$520+(1-DS189)*AVERAGE($DO$1,$DQ$1)/AVERAGE('CPI USA'!$U$520,'PPI USA'!$T$526))</f>
        <v/>
      </c>
      <c r="DU189" s="6" t="str">
        <f t="shared" si="40"/>
        <v/>
      </c>
      <c r="DV189" s="6" t="str">
        <f t="shared" si="84"/>
        <v/>
      </c>
      <c r="DW189" s="6">
        <f t="shared" si="41"/>
        <v>0</v>
      </c>
      <c r="DX189" s="16" t="str">
        <f t="shared" si="42"/>
        <v/>
      </c>
      <c r="DY189" s="28" t="str">
        <f>IF(DX189="","",DX189*$DO$1/'CPI USA'!$U$520+(1-DX189)*AVERAGE($DO$1,$DQ$1)/AVERAGE('CPI USA'!$U$520,'PPI USA'!$T$526))</f>
        <v/>
      </c>
      <c r="DZ189" s="30"/>
      <c r="EA189" s="29" t="str">
        <f t="shared" si="43"/>
        <v>C005444</v>
      </c>
      <c r="EB189" s="29" t="str">
        <f t="shared" si="44"/>
        <v/>
      </c>
      <c r="EC189" s="29" t="str">
        <f t="shared" si="45"/>
        <v/>
      </c>
      <c r="ED189" s="29" t="str">
        <f t="shared" si="46"/>
        <v/>
      </c>
      <c r="EE189" s="29" t="str">
        <f t="shared" si="47"/>
        <v/>
      </c>
      <c r="EF189" s="29" t="str">
        <f t="shared" si="48"/>
        <v/>
      </c>
      <c r="EG189" s="29" t="str">
        <f t="shared" si="49"/>
        <v/>
      </c>
      <c r="EH189" s="29" t="str">
        <f t="shared" si="50"/>
        <v/>
      </c>
      <c r="EI189" s="29" t="str">
        <f t="shared" si="51"/>
        <v/>
      </c>
      <c r="EJ189" s="29" t="str">
        <f t="shared" si="52"/>
        <v/>
      </c>
      <c r="EK189" s="29" t="str">
        <f t="shared" si="53"/>
        <v/>
      </c>
      <c r="EL189" s="29" t="str">
        <f>IF(CD189=1,VLOOKUP(EA189,'EIA 2022'!$A$2:$J$213,4,0)*EH189,"")</f>
        <v/>
      </c>
      <c r="EM189" s="29" t="str">
        <f>IF(CD189=1,VLOOKUP(EA189,'EIA 2022'!$A$2:$J$213,7,0)*EH189,"")</f>
        <v/>
      </c>
      <c r="EN189" s="29" t="str">
        <f>IF(CD189=1,VLOOKUP(EA189,'EIA 2022'!$A$2:$J$213,10,0),"")</f>
        <v/>
      </c>
      <c r="EO189" s="28" t="str">
        <f>IF(CD189=1,VLOOKUP(EA189,'EIA 2022'!$A$2:$Z$213,26,0),"")</f>
        <v/>
      </c>
      <c r="EP189" s="23" t="str">
        <f t="shared" si="54"/>
        <v/>
      </c>
      <c r="EQ189" s="32" t="str">
        <f t="shared" si="55"/>
        <v/>
      </c>
      <c r="ER189" s="32" t="str">
        <f t="shared" si="56"/>
        <v/>
      </c>
      <c r="ES189" s="32"/>
      <c r="ET189" s="32"/>
    </row>
    <row r="190" spans="1:150" ht="15.75" customHeight="1">
      <c r="A190" s="7" t="s">
        <v>772</v>
      </c>
      <c r="B190" s="7" t="s">
        <v>773</v>
      </c>
      <c r="C190" s="32" t="s">
        <v>1061</v>
      </c>
      <c r="D190" s="42">
        <v>0</v>
      </c>
      <c r="E190" s="42">
        <v>0</v>
      </c>
      <c r="F190" s="42">
        <v>0</v>
      </c>
      <c r="G190" s="42">
        <v>0</v>
      </c>
      <c r="H190" s="42">
        <v>0</v>
      </c>
      <c r="I190" s="42">
        <v>0</v>
      </c>
      <c r="J190" s="42">
        <v>0</v>
      </c>
      <c r="K190" s="42">
        <v>0</v>
      </c>
      <c r="L190" s="42">
        <v>0</v>
      </c>
      <c r="M190" s="42">
        <v>0</v>
      </c>
      <c r="N190" s="42">
        <v>0</v>
      </c>
      <c r="O190" s="42">
        <v>0</v>
      </c>
      <c r="P190" s="42">
        <v>0</v>
      </c>
      <c r="Q190" s="42">
        <v>0</v>
      </c>
      <c r="R190" s="42">
        <v>0</v>
      </c>
      <c r="S190" s="42">
        <v>0</v>
      </c>
      <c r="T190" s="42">
        <v>0</v>
      </c>
      <c r="U190" s="42">
        <v>0</v>
      </c>
      <c r="V190" s="42">
        <v>0</v>
      </c>
      <c r="W190" s="42">
        <v>0</v>
      </c>
      <c r="X190" s="42">
        <f>IFERROR(VLOOKUP(A190,'Trans 21-23'!$A$2:$J$229,8,0),0)</f>
        <v>8746449</v>
      </c>
      <c r="Y190" s="42">
        <v>0</v>
      </c>
      <c r="Z190" s="42">
        <v>0</v>
      </c>
      <c r="AA190" s="42">
        <v>2816</v>
      </c>
      <c r="AB190" s="42">
        <v>0</v>
      </c>
      <c r="AC190" s="42">
        <v>0</v>
      </c>
      <c r="AD190" s="42">
        <v>38257380</v>
      </c>
      <c r="AE190" s="42">
        <v>0</v>
      </c>
      <c r="AF190" s="42">
        <v>112625582</v>
      </c>
      <c r="AG190" s="42">
        <v>0</v>
      </c>
      <c r="AH190" s="42">
        <v>0</v>
      </c>
      <c r="AI190" s="42">
        <v>0</v>
      </c>
      <c r="AJ190" s="42">
        <v>0</v>
      </c>
      <c r="AK190" s="42">
        <v>0</v>
      </c>
      <c r="AL190" s="42">
        <v>0</v>
      </c>
      <c r="AM190" s="42">
        <v>0</v>
      </c>
      <c r="AN190" s="42">
        <v>0</v>
      </c>
      <c r="AO190" s="42">
        <v>0</v>
      </c>
      <c r="AP190" s="42">
        <v>0</v>
      </c>
      <c r="AQ190" s="42">
        <v>0</v>
      </c>
      <c r="AR190" s="42">
        <v>0</v>
      </c>
      <c r="AS190" s="42">
        <v>0</v>
      </c>
      <c r="AT190" s="42">
        <v>0</v>
      </c>
      <c r="AU190" s="42">
        <v>0</v>
      </c>
      <c r="AV190" s="42">
        <v>0</v>
      </c>
      <c r="AW190" s="42">
        <v>0</v>
      </c>
      <c r="AX190" s="42">
        <v>0</v>
      </c>
      <c r="AY190" s="42">
        <v>0</v>
      </c>
      <c r="AZ190" s="42">
        <v>0</v>
      </c>
      <c r="BA190" s="42">
        <v>0</v>
      </c>
      <c r="BB190" s="42">
        <v>0</v>
      </c>
      <c r="BC190" s="42">
        <v>2773792609</v>
      </c>
      <c r="BD190" s="42">
        <v>133485407</v>
      </c>
      <c r="BE190" s="42">
        <v>0</v>
      </c>
      <c r="BF190" s="42">
        <v>0</v>
      </c>
      <c r="BG190" s="42">
        <v>0</v>
      </c>
      <c r="BH190" s="42">
        <v>0</v>
      </c>
      <c r="BI190" s="42">
        <v>0</v>
      </c>
      <c r="BJ190" s="42">
        <v>0</v>
      </c>
      <c r="BK190" s="42">
        <v>0</v>
      </c>
      <c r="BL190" s="42">
        <v>0</v>
      </c>
      <c r="BM190" s="42">
        <v>0</v>
      </c>
      <c r="BN190" s="42">
        <v>0</v>
      </c>
      <c r="BO190" s="42">
        <v>0</v>
      </c>
      <c r="BP190" s="42">
        <v>0</v>
      </c>
      <c r="BQ190" s="42">
        <v>0</v>
      </c>
      <c r="BR190" s="42">
        <v>0</v>
      </c>
      <c r="BS190" s="42">
        <f>IFERROR(VLOOKUP(A190,'Trans 21-23'!$A$2:$J$229,7,0),0)</f>
        <v>792110004</v>
      </c>
      <c r="BT190" s="63"/>
      <c r="BU190" s="32">
        <f t="shared" si="0"/>
        <v>0</v>
      </c>
      <c r="BV190" s="32">
        <f t="shared" si="1"/>
        <v>0</v>
      </c>
      <c r="BW190" s="32">
        <f t="shared" si="2"/>
        <v>0</v>
      </c>
      <c r="BX190" s="32">
        <f t="shared" si="3"/>
        <v>0</v>
      </c>
      <c r="BY190" s="32">
        <f t="shared" si="4"/>
        <v>2816</v>
      </c>
      <c r="BZ190" s="32">
        <f t="shared" si="5"/>
        <v>0</v>
      </c>
      <c r="CA190" s="32">
        <f t="shared" si="6"/>
        <v>38257380</v>
      </c>
      <c r="CB190" s="32">
        <f t="shared" si="7"/>
        <v>0</v>
      </c>
      <c r="CC190" s="32">
        <f t="shared" si="8"/>
        <v>0</v>
      </c>
      <c r="CD190" s="41">
        <f t="shared" si="75"/>
        <v>0</v>
      </c>
      <c r="CE190" s="44">
        <f t="shared" si="10"/>
        <v>61</v>
      </c>
      <c r="CF190" s="27"/>
      <c r="CG190" s="28" t="str">
        <f t="shared" si="11"/>
        <v/>
      </c>
      <c r="CH190" s="28" t="str">
        <f t="shared" si="12"/>
        <v/>
      </c>
      <c r="CI190" s="28" t="str">
        <f t="shared" si="13"/>
        <v/>
      </c>
      <c r="CJ190" s="28" t="str">
        <f t="shared" si="14"/>
        <v/>
      </c>
      <c r="CK190" s="23" t="str">
        <f t="shared" si="15"/>
        <v/>
      </c>
      <c r="CL190" s="29" t="str">
        <f t="shared" si="16"/>
        <v/>
      </c>
      <c r="CM190" s="29" t="str">
        <f t="shared" si="17"/>
        <v/>
      </c>
      <c r="CN190" s="29" t="str">
        <f t="shared" si="18"/>
        <v/>
      </c>
      <c r="CO190" s="29" t="str">
        <f t="shared" si="19"/>
        <v/>
      </c>
      <c r="CP190" s="29" t="str">
        <f t="shared" si="20"/>
        <v/>
      </c>
      <c r="CQ190" s="29" t="str">
        <f t="shared" si="21"/>
        <v/>
      </c>
      <c r="CR190" s="30"/>
      <c r="CS190" s="7" t="str">
        <f>VLOOKUP(A190,'Empresas 21-23'!$A$2:$M$228,13,0)</f>
        <v/>
      </c>
      <c r="CT190" s="30"/>
      <c r="CU190" s="6">
        <f t="shared" si="22"/>
        <v>792110004</v>
      </c>
      <c r="CV190" s="6">
        <f t="shared" si="23"/>
        <v>0</v>
      </c>
      <c r="CW190" s="6">
        <f t="shared" si="24"/>
        <v>133485407</v>
      </c>
      <c r="CX190" s="23">
        <f t="shared" si="91"/>
        <v>0.30000675807723681</v>
      </c>
      <c r="CY190" s="23">
        <f t="shared" si="92"/>
        <v>0</v>
      </c>
      <c r="CZ190" s="6">
        <f t="shared" si="27"/>
        <v>832156528.20469046</v>
      </c>
      <c r="DA190" s="6">
        <f t="shared" si="28"/>
        <v>0</v>
      </c>
      <c r="DB190" s="6">
        <f t="shared" si="29"/>
        <v>0</v>
      </c>
      <c r="DC190" s="6">
        <f t="shared" si="30"/>
        <v>8746449</v>
      </c>
      <c r="DD190" s="6">
        <f t="shared" si="31"/>
        <v>2816</v>
      </c>
      <c r="DE190" s="6">
        <f t="shared" si="32"/>
        <v>38257380</v>
      </c>
      <c r="DF190" s="6">
        <f t="shared" si="90"/>
        <v>4500901.5523287766</v>
      </c>
      <c r="DG190" s="30"/>
      <c r="DH190" s="32" t="str">
        <f>VLOOKUP(A190,'T_med_comp-USA'!$A$7:$Q$233,17,0)</f>
        <v>-</v>
      </c>
      <c r="DI190" s="6" t="str">
        <f t="shared" si="34"/>
        <v/>
      </c>
      <c r="DJ190" s="32" t="str">
        <f>IF(DI190="","",VLOOKUP(DI190,'CPI USA'!$T:$U,2,FALSE))</f>
        <v/>
      </c>
      <c r="DK190" s="32" t="str">
        <f>IF(DI190="","",VLOOKUP(DI190,'PPI USA'!$S:$T,2,FALSE))</f>
        <v/>
      </c>
      <c r="DL190" s="32" t="str">
        <f>IF(DI190="","",VLOOKUP(DI190,'CPI USA'!$T:$V,3,FALSE))</f>
        <v/>
      </c>
      <c r="DM190" s="32" t="str">
        <f>IF(DI190="","",VLOOKUP(DI190,'CPI USA'!$T:$X,5,FALSE))</f>
        <v/>
      </c>
      <c r="DN190" s="32" t="str">
        <f t="shared" si="35"/>
        <v/>
      </c>
      <c r="DO190" s="32" t="str">
        <f t="shared" si="36"/>
        <v/>
      </c>
      <c r="DP190" s="32" t="str">
        <f t="shared" si="37"/>
        <v/>
      </c>
      <c r="DQ190" s="32" t="str">
        <f>IF(DP190="","",DP190*$DO$1/'CPI USA'!$U$520+(1-DP190)*AVERAGE($DO$1,$DQ$1)/AVERAGE('CPI USA'!$U$520,'PPI USA'!$T$526))</f>
        <v/>
      </c>
      <c r="DR190" s="6">
        <f t="shared" si="38"/>
        <v>0</v>
      </c>
      <c r="DS190" s="32">
        <f t="shared" si="39"/>
        <v>0.2</v>
      </c>
      <c r="DT190" s="28">
        <f>IF(DS190="","",DS190*$DO$1/'CPI USA'!$U$520+(1-DS190)*AVERAGE($DO$1,$DQ$1)/AVERAGE('CPI USA'!$U$520,'PPI USA'!$T$526))</f>
        <v>1.0854630593748538</v>
      </c>
      <c r="DU190" s="6" t="str">
        <f t="shared" si="40"/>
        <v/>
      </c>
      <c r="DV190" s="6" t="str">
        <f t="shared" si="84"/>
        <v/>
      </c>
      <c r="DW190" s="6">
        <f t="shared" si="41"/>
        <v>0</v>
      </c>
      <c r="DX190" s="16" t="str">
        <f t="shared" si="42"/>
        <v/>
      </c>
      <c r="DY190" s="28" t="str">
        <f>IF(DX190="","",DX190*$DO$1/'CPI USA'!$U$520+(1-DX190)*AVERAGE($DO$1,$DQ$1)/AVERAGE('CPI USA'!$U$520,'PPI USA'!$T$526))</f>
        <v/>
      </c>
      <c r="DZ190" s="30"/>
      <c r="EA190" s="29" t="str">
        <f t="shared" si="43"/>
        <v>C005475</v>
      </c>
      <c r="EB190" s="29" t="str">
        <f t="shared" si="44"/>
        <v/>
      </c>
      <c r="EC190" s="29" t="str">
        <f t="shared" si="45"/>
        <v/>
      </c>
      <c r="ED190" s="29" t="str">
        <f t="shared" si="46"/>
        <v/>
      </c>
      <c r="EE190" s="29" t="str">
        <f t="shared" si="47"/>
        <v/>
      </c>
      <c r="EF190" s="29" t="str">
        <f t="shared" si="48"/>
        <v/>
      </c>
      <c r="EG190" s="29" t="str">
        <f t="shared" si="49"/>
        <v/>
      </c>
      <c r="EH190" s="29" t="str">
        <f t="shared" si="50"/>
        <v/>
      </c>
      <c r="EI190" s="29" t="str">
        <f t="shared" si="51"/>
        <v/>
      </c>
      <c r="EJ190" s="29" t="str">
        <f t="shared" si="52"/>
        <v/>
      </c>
      <c r="EK190" s="29" t="str">
        <f t="shared" si="53"/>
        <v/>
      </c>
      <c r="EL190" s="29" t="str">
        <f>IF(CD190=1,VLOOKUP(EA190,'EIA 2022'!$A$2:$J$213,4,0)*EH190,"")</f>
        <v/>
      </c>
      <c r="EM190" s="29" t="str">
        <f>IF(CD190=1,VLOOKUP(EA190,'EIA 2022'!$A$2:$J$213,7,0)*EH190,"")</f>
        <v/>
      </c>
      <c r="EN190" s="29" t="str">
        <f>IF(CD190=1,VLOOKUP(EA190,'EIA 2022'!$A$2:$J$213,10,0),"")</f>
        <v/>
      </c>
      <c r="EO190" s="28" t="str">
        <f>IF(CD190=1,VLOOKUP(EA190,'EIA 2022'!$A$2:$Z$213,26,0),"")</f>
        <v/>
      </c>
      <c r="EP190" s="23" t="str">
        <f t="shared" si="54"/>
        <v/>
      </c>
      <c r="EQ190" s="32" t="str">
        <f t="shared" si="55"/>
        <v/>
      </c>
      <c r="ER190" s="32" t="str">
        <f t="shared" si="56"/>
        <v/>
      </c>
      <c r="ES190" s="32"/>
      <c r="ET190" s="32"/>
    </row>
    <row r="191" spans="1:150" ht="15.75" customHeight="1">
      <c r="A191" s="7" t="s">
        <v>775</v>
      </c>
      <c r="B191" s="7" t="s">
        <v>776</v>
      </c>
      <c r="C191" s="32" t="s">
        <v>1062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42">
        <v>0</v>
      </c>
      <c r="S191" s="42">
        <v>0</v>
      </c>
      <c r="T191" s="42">
        <v>0</v>
      </c>
      <c r="U191" s="42">
        <v>0</v>
      </c>
      <c r="V191" s="42">
        <v>0</v>
      </c>
      <c r="W191" s="42">
        <v>0</v>
      </c>
      <c r="X191" s="42">
        <f>IFERROR(VLOOKUP(A191,'Trans 21-23'!$A$2:$J$229,8,0),0)</f>
        <v>0</v>
      </c>
      <c r="Y191" s="42">
        <v>0</v>
      </c>
      <c r="Z191" s="42">
        <v>0</v>
      </c>
      <c r="AA191" s="42">
        <v>0</v>
      </c>
      <c r="AB191" s="42">
        <v>0</v>
      </c>
      <c r="AC191" s="42">
        <v>0</v>
      </c>
      <c r="AD191" s="42">
        <v>10642729</v>
      </c>
      <c r="AE191" s="42">
        <v>0</v>
      </c>
      <c r="AF191" s="42">
        <v>22037886</v>
      </c>
      <c r="AG191" s="42">
        <v>0</v>
      </c>
      <c r="AH191" s="42">
        <v>0</v>
      </c>
      <c r="AI191" s="42">
        <v>0</v>
      </c>
      <c r="AJ191" s="42">
        <v>0</v>
      </c>
      <c r="AK191" s="42">
        <v>0</v>
      </c>
      <c r="AL191" s="42">
        <v>0</v>
      </c>
      <c r="AM191" s="42">
        <v>0</v>
      </c>
      <c r="AN191" s="42">
        <v>0</v>
      </c>
      <c r="AO191" s="42">
        <v>0</v>
      </c>
      <c r="AP191" s="42">
        <v>0</v>
      </c>
      <c r="AQ191" s="42">
        <v>0</v>
      </c>
      <c r="AR191" s="42">
        <v>0</v>
      </c>
      <c r="AS191" s="42">
        <v>0</v>
      </c>
      <c r="AT191" s="42">
        <v>0</v>
      </c>
      <c r="AU191" s="42">
        <v>0</v>
      </c>
      <c r="AV191" s="42">
        <v>0</v>
      </c>
      <c r="AW191" s="42">
        <v>0</v>
      </c>
      <c r="AX191" s="42">
        <v>0</v>
      </c>
      <c r="AY191" s="42">
        <v>0</v>
      </c>
      <c r="AZ191" s="42">
        <v>0</v>
      </c>
      <c r="BA191" s="42">
        <v>0</v>
      </c>
      <c r="BB191" s="42">
        <v>0</v>
      </c>
      <c r="BC191" s="42">
        <v>201257048</v>
      </c>
      <c r="BD191" s="42">
        <v>2243762</v>
      </c>
      <c r="BE191" s="42">
        <v>0</v>
      </c>
      <c r="BF191" s="42">
        <v>0</v>
      </c>
      <c r="BG191" s="42">
        <v>0</v>
      </c>
      <c r="BH191" s="42">
        <v>0</v>
      </c>
      <c r="BI191" s="42">
        <v>0</v>
      </c>
      <c r="BJ191" s="42">
        <v>0</v>
      </c>
      <c r="BK191" s="42">
        <v>0</v>
      </c>
      <c r="BL191" s="42">
        <v>0</v>
      </c>
      <c r="BM191" s="42">
        <v>0</v>
      </c>
      <c r="BN191" s="42">
        <v>0</v>
      </c>
      <c r="BO191" s="42">
        <v>0</v>
      </c>
      <c r="BP191" s="42">
        <v>0</v>
      </c>
      <c r="BQ191" s="42">
        <v>0</v>
      </c>
      <c r="BR191" s="42">
        <v>0</v>
      </c>
      <c r="BS191" s="42">
        <f>IFERROR(VLOOKUP(A191,'Trans 21-23'!$A$2:$J$229,7,0),0)</f>
        <v>0</v>
      </c>
      <c r="BT191" s="63"/>
      <c r="BU191" s="32">
        <f t="shared" si="0"/>
        <v>0</v>
      </c>
      <c r="BV191" s="32">
        <f t="shared" si="1"/>
        <v>0</v>
      </c>
      <c r="BW191" s="32">
        <f t="shared" si="2"/>
        <v>0</v>
      </c>
      <c r="BX191" s="32">
        <f t="shared" si="3"/>
        <v>0</v>
      </c>
      <c r="BY191" s="32">
        <f t="shared" si="4"/>
        <v>0</v>
      </c>
      <c r="BZ191" s="32">
        <f t="shared" si="5"/>
        <v>0</v>
      </c>
      <c r="CA191" s="32">
        <f t="shared" si="6"/>
        <v>10642729</v>
      </c>
      <c r="CB191" s="32">
        <f t="shared" si="7"/>
        <v>0</v>
      </c>
      <c r="CC191" s="32">
        <f t="shared" si="8"/>
        <v>0</v>
      </c>
      <c r="CD191" s="41">
        <f t="shared" si="75"/>
        <v>0</v>
      </c>
      <c r="CE191" s="44">
        <f t="shared" si="10"/>
        <v>64</v>
      </c>
      <c r="CF191" s="27"/>
      <c r="CG191" s="28" t="str">
        <f t="shared" si="11"/>
        <v/>
      </c>
      <c r="CH191" s="28" t="str">
        <f t="shared" si="12"/>
        <v/>
      </c>
      <c r="CI191" s="28" t="str">
        <f t="shared" si="13"/>
        <v/>
      </c>
      <c r="CJ191" s="28" t="str">
        <f t="shared" si="14"/>
        <v/>
      </c>
      <c r="CK191" s="23" t="str">
        <f t="shared" si="15"/>
        <v/>
      </c>
      <c r="CL191" s="29" t="str">
        <f t="shared" si="16"/>
        <v/>
      </c>
      <c r="CM191" s="29" t="str">
        <f t="shared" si="17"/>
        <v/>
      </c>
      <c r="CN191" s="29" t="str">
        <f t="shared" si="18"/>
        <v/>
      </c>
      <c r="CO191" s="29" t="str">
        <f t="shared" si="19"/>
        <v/>
      </c>
      <c r="CP191" s="29" t="str">
        <f t="shared" si="20"/>
        <v/>
      </c>
      <c r="CQ191" s="29" t="str">
        <f t="shared" si="21"/>
        <v/>
      </c>
      <c r="CR191" s="30"/>
      <c r="CS191" s="7" t="str">
        <f>VLOOKUP(A191,'Empresas 21-23'!$A$2:$M$228,13,0)</f>
        <v/>
      </c>
      <c r="CT191" s="30"/>
      <c r="CU191" s="6">
        <f t="shared" si="22"/>
        <v>0</v>
      </c>
      <c r="CV191" s="6">
        <f t="shared" si="23"/>
        <v>0</v>
      </c>
      <c r="CW191" s="6">
        <f t="shared" si="24"/>
        <v>2243762</v>
      </c>
      <c r="CX191" s="23">
        <f t="shared" si="91"/>
        <v>0</v>
      </c>
      <c r="CY191" s="23">
        <f t="shared" si="92"/>
        <v>0</v>
      </c>
      <c r="CZ191" s="6">
        <f t="shared" si="27"/>
        <v>0</v>
      </c>
      <c r="DA191" s="6">
        <f t="shared" si="28"/>
        <v>0</v>
      </c>
      <c r="DB191" s="6">
        <f t="shared" si="29"/>
        <v>0</v>
      </c>
      <c r="DC191" s="6">
        <f t="shared" si="30"/>
        <v>0</v>
      </c>
      <c r="DD191" s="6">
        <f t="shared" si="31"/>
        <v>0</v>
      </c>
      <c r="DE191" s="6">
        <f t="shared" si="32"/>
        <v>10642729</v>
      </c>
      <c r="DF191" s="6">
        <f t="shared" si="90"/>
        <v>0</v>
      </c>
      <c r="DG191" s="30"/>
      <c r="DH191" s="32" t="str">
        <f>VLOOKUP(A191,'T_med_comp-USA'!$A$7:$Q$233,17,0)</f>
        <v>-</v>
      </c>
      <c r="DI191" s="6" t="str">
        <f t="shared" si="34"/>
        <v/>
      </c>
      <c r="DJ191" s="32" t="str">
        <f>IF(DI191="","",VLOOKUP(DI191,'CPI USA'!$T:$U,2,FALSE))</f>
        <v/>
      </c>
      <c r="DK191" s="32" t="str">
        <f>IF(DI191="","",VLOOKUP(DI191,'PPI USA'!$S:$T,2,FALSE))</f>
        <v/>
      </c>
      <c r="DL191" s="32" t="str">
        <f>IF(DI191="","",VLOOKUP(DI191,'CPI USA'!$T:$V,3,FALSE))</f>
        <v/>
      </c>
      <c r="DM191" s="32" t="str">
        <f>IF(DI191="","",VLOOKUP(DI191,'CPI USA'!$T:$X,5,FALSE))</f>
        <v/>
      </c>
      <c r="DN191" s="32" t="str">
        <f t="shared" si="35"/>
        <v/>
      </c>
      <c r="DO191" s="32" t="str">
        <f t="shared" si="36"/>
        <v/>
      </c>
      <c r="DP191" s="32" t="str">
        <f t="shared" si="37"/>
        <v/>
      </c>
      <c r="DQ191" s="32" t="str">
        <f>IF(DP191="","",DP191*$DO$1/'CPI USA'!$U$520+(1-DP191)*AVERAGE($DO$1,$DQ$1)/AVERAGE('CPI USA'!$U$520,'PPI USA'!$T$526))</f>
        <v/>
      </c>
      <c r="DR191" s="6">
        <f t="shared" si="38"/>
        <v>0</v>
      </c>
      <c r="DS191" s="32" t="str">
        <f t="shared" si="39"/>
        <v/>
      </c>
      <c r="DT191" s="28" t="str">
        <f>IF(DS191="","",DS191*$DO$1/'CPI USA'!$U$520+(1-DS191)*AVERAGE($DO$1,$DQ$1)/AVERAGE('CPI USA'!$U$520,'PPI USA'!$T$526))</f>
        <v/>
      </c>
      <c r="DU191" s="6" t="str">
        <f t="shared" si="40"/>
        <v/>
      </c>
      <c r="DV191" s="6" t="str">
        <f t="shared" si="84"/>
        <v/>
      </c>
      <c r="DW191" s="6">
        <f t="shared" si="41"/>
        <v>0</v>
      </c>
      <c r="DX191" s="16" t="str">
        <f t="shared" si="42"/>
        <v/>
      </c>
      <c r="DY191" s="28" t="str">
        <f>IF(DX191="","",DX191*$DO$1/'CPI USA'!$U$520+(1-DX191)*AVERAGE($DO$1,$DQ$1)/AVERAGE('CPI USA'!$U$520,'PPI USA'!$T$526))</f>
        <v/>
      </c>
      <c r="DZ191" s="30"/>
      <c r="EA191" s="29" t="str">
        <f t="shared" si="43"/>
        <v>C005519</v>
      </c>
      <c r="EB191" s="29" t="str">
        <f t="shared" si="44"/>
        <v/>
      </c>
      <c r="EC191" s="29" t="str">
        <f t="shared" si="45"/>
        <v/>
      </c>
      <c r="ED191" s="29" t="str">
        <f t="shared" si="46"/>
        <v/>
      </c>
      <c r="EE191" s="29" t="str">
        <f t="shared" si="47"/>
        <v/>
      </c>
      <c r="EF191" s="29" t="str">
        <f t="shared" si="48"/>
        <v/>
      </c>
      <c r="EG191" s="29" t="str">
        <f t="shared" si="49"/>
        <v/>
      </c>
      <c r="EH191" s="29" t="str">
        <f t="shared" si="50"/>
        <v/>
      </c>
      <c r="EI191" s="29" t="str">
        <f t="shared" si="51"/>
        <v/>
      </c>
      <c r="EJ191" s="29" t="str">
        <f t="shared" si="52"/>
        <v/>
      </c>
      <c r="EK191" s="29" t="str">
        <f t="shared" si="53"/>
        <v/>
      </c>
      <c r="EL191" s="29" t="str">
        <f>IF(CD191=1,VLOOKUP(EA191,'EIA 2022'!$A$2:$J$213,4,0)*EH191,"")</f>
        <v/>
      </c>
      <c r="EM191" s="29" t="str">
        <f>IF(CD191=1,VLOOKUP(EA191,'EIA 2022'!$A$2:$J$213,7,0)*EH191,"")</f>
        <v/>
      </c>
      <c r="EN191" s="29" t="str">
        <f>IF(CD191=1,VLOOKUP(EA191,'EIA 2022'!$A$2:$J$213,10,0),"")</f>
        <v/>
      </c>
      <c r="EO191" s="28" t="str">
        <f>IF(CD191=1,VLOOKUP(EA191,'EIA 2022'!$A$2:$Z$213,26,0),"")</f>
        <v/>
      </c>
      <c r="EP191" s="23" t="str">
        <f t="shared" si="54"/>
        <v/>
      </c>
      <c r="EQ191" s="32" t="str">
        <f t="shared" si="55"/>
        <v/>
      </c>
      <c r="ER191" s="32" t="str">
        <f t="shared" si="56"/>
        <v/>
      </c>
      <c r="ES191" s="32"/>
      <c r="ET191" s="32"/>
    </row>
    <row r="192" spans="1:150" ht="15.75" customHeight="1">
      <c r="A192" s="7" t="s">
        <v>778</v>
      </c>
      <c r="B192" s="7" t="s">
        <v>779</v>
      </c>
      <c r="C192" s="32" t="s">
        <v>1063</v>
      </c>
      <c r="D192" s="42">
        <v>0</v>
      </c>
      <c r="E192" s="42">
        <v>0</v>
      </c>
      <c r="F192" s="42">
        <v>0</v>
      </c>
      <c r="G192" s="42">
        <v>1000</v>
      </c>
      <c r="H192" s="42">
        <v>1254</v>
      </c>
      <c r="I192" s="42">
        <v>6899923</v>
      </c>
      <c r="J192" s="42">
        <v>2137650</v>
      </c>
      <c r="K192" s="42">
        <v>3429262</v>
      </c>
      <c r="L192" s="42">
        <v>7204124</v>
      </c>
      <c r="M192" s="42">
        <v>2972951</v>
      </c>
      <c r="N192" s="42">
        <v>866225</v>
      </c>
      <c r="O192" s="42">
        <v>27722045</v>
      </c>
      <c r="P192" s="42">
        <v>495320</v>
      </c>
      <c r="Q192" s="42">
        <v>115808</v>
      </c>
      <c r="R192" s="42">
        <v>25845</v>
      </c>
      <c r="S192" s="42">
        <v>3310697</v>
      </c>
      <c r="T192" s="42">
        <v>47036558</v>
      </c>
      <c r="U192" s="42">
        <v>800316</v>
      </c>
      <c r="V192" s="42">
        <v>954840</v>
      </c>
      <c r="W192" s="42">
        <v>139678</v>
      </c>
      <c r="X192" s="42">
        <f>IFERROR(VLOOKUP(A192,'Trans 21-23'!$A$2:$J$229,8,0),0)</f>
        <v>0</v>
      </c>
      <c r="Y192" s="42">
        <v>9470649</v>
      </c>
      <c r="Z192" s="42">
        <v>294660</v>
      </c>
      <c r="AA192" s="42">
        <v>12847318</v>
      </c>
      <c r="AB192" s="42">
        <v>20267452</v>
      </c>
      <c r="AC192" s="42">
        <v>250725</v>
      </c>
      <c r="AD192" s="42">
        <v>66077438</v>
      </c>
      <c r="AE192" s="42">
        <v>0</v>
      </c>
      <c r="AF192" s="42">
        <v>649476151</v>
      </c>
      <c r="AG192" s="42">
        <v>0</v>
      </c>
      <c r="AH192" s="42">
        <v>0</v>
      </c>
      <c r="AI192" s="42">
        <v>0</v>
      </c>
      <c r="AJ192" s="42">
        <v>0</v>
      </c>
      <c r="AK192" s="42">
        <v>0</v>
      </c>
      <c r="AL192" s="42">
        <v>0</v>
      </c>
      <c r="AM192" s="42">
        <v>0</v>
      </c>
      <c r="AN192" s="42">
        <v>0</v>
      </c>
      <c r="AO192" s="42">
        <v>0</v>
      </c>
      <c r="AP192" s="42">
        <v>0</v>
      </c>
      <c r="AQ192" s="42">
        <v>0</v>
      </c>
      <c r="AR192" s="42">
        <v>0</v>
      </c>
      <c r="AS192" s="42">
        <v>0</v>
      </c>
      <c r="AT192" s="42">
        <v>0</v>
      </c>
      <c r="AU192" s="42">
        <v>0</v>
      </c>
      <c r="AV192" s="42">
        <v>0</v>
      </c>
      <c r="AW192" s="42">
        <v>999248493</v>
      </c>
      <c r="AX192" s="42">
        <v>114873649</v>
      </c>
      <c r="AY192" s="42">
        <v>467913292</v>
      </c>
      <c r="AZ192" s="42">
        <v>204784037</v>
      </c>
      <c r="BA192" s="42">
        <v>130541635</v>
      </c>
      <c r="BB192" s="42">
        <v>5364697138</v>
      </c>
      <c r="BC192" s="42">
        <v>12660479678</v>
      </c>
      <c r="BD192" s="42">
        <v>740629707</v>
      </c>
      <c r="BE192" s="42">
        <v>1426959160</v>
      </c>
      <c r="BF192" s="42">
        <v>166104017</v>
      </c>
      <c r="BG192" s="42">
        <v>0</v>
      </c>
      <c r="BH192" s="42">
        <v>43289876</v>
      </c>
      <c r="BI192" s="42">
        <v>5255935</v>
      </c>
      <c r="BJ192" s="42">
        <v>2083659</v>
      </c>
      <c r="BK192" s="42">
        <v>0</v>
      </c>
      <c r="BL192" s="42">
        <v>0</v>
      </c>
      <c r="BM192" s="42">
        <v>4026277</v>
      </c>
      <c r="BN192" s="42">
        <v>63083925</v>
      </c>
      <c r="BO192" s="42">
        <v>4259865</v>
      </c>
      <c r="BP192" s="42">
        <v>12628697</v>
      </c>
      <c r="BQ192" s="42">
        <v>179822536</v>
      </c>
      <c r="BR192" s="42">
        <v>0</v>
      </c>
      <c r="BS192" s="42">
        <f>IFERROR(VLOOKUP(A192,'Trans 21-23'!$A$2:$J$229,7,0),0)</f>
        <v>0</v>
      </c>
      <c r="BT192" s="63"/>
      <c r="BU192" s="32">
        <f t="shared" si="0"/>
        <v>5364697138</v>
      </c>
      <c r="BV192" s="32">
        <f t="shared" si="1"/>
        <v>0</v>
      </c>
      <c r="BW192" s="32">
        <f t="shared" si="2"/>
        <v>0</v>
      </c>
      <c r="BX192" s="32">
        <f t="shared" si="3"/>
        <v>104111242</v>
      </c>
      <c r="BY192" s="32">
        <f t="shared" si="4"/>
        <v>43130804</v>
      </c>
      <c r="BZ192" s="32">
        <f t="shared" si="5"/>
        <v>204784037</v>
      </c>
      <c r="CA192" s="32">
        <f t="shared" si="6"/>
        <v>66077438</v>
      </c>
      <c r="CB192" s="32">
        <f t="shared" si="7"/>
        <v>0</v>
      </c>
      <c r="CC192" s="32">
        <f t="shared" si="8"/>
        <v>0</v>
      </c>
      <c r="CD192" s="41">
        <f t="shared" si="75"/>
        <v>0</v>
      </c>
      <c r="CE192" s="44">
        <f t="shared" si="10"/>
        <v>26</v>
      </c>
      <c r="CF192" s="27"/>
      <c r="CG192" s="28" t="str">
        <f t="shared" si="11"/>
        <v/>
      </c>
      <c r="CH192" s="28" t="str">
        <f t="shared" si="12"/>
        <v/>
      </c>
      <c r="CI192" s="28" t="str">
        <f t="shared" si="13"/>
        <v/>
      </c>
      <c r="CJ192" s="28" t="str">
        <f t="shared" si="14"/>
        <v/>
      </c>
      <c r="CK192" s="23" t="str">
        <f t="shared" si="15"/>
        <v/>
      </c>
      <c r="CL192" s="29" t="str">
        <f t="shared" si="16"/>
        <v/>
      </c>
      <c r="CM192" s="29" t="str">
        <f t="shared" si="17"/>
        <v/>
      </c>
      <c r="CN192" s="29" t="str">
        <f t="shared" si="18"/>
        <v/>
      </c>
      <c r="CO192" s="29" t="str">
        <f t="shared" si="19"/>
        <v/>
      </c>
      <c r="CP192" s="29" t="str">
        <f t="shared" si="20"/>
        <v/>
      </c>
      <c r="CQ192" s="29" t="str">
        <f t="shared" si="21"/>
        <v/>
      </c>
      <c r="CR192" s="30"/>
      <c r="CS192" s="7" t="str">
        <f>VLOOKUP(A192,'Empresas 21-23'!$A$2:$M$228,13,0)</f>
        <v/>
      </c>
      <c r="CT192" s="30"/>
      <c r="CU192" s="6">
        <f t="shared" si="22"/>
        <v>4679699301.3999996</v>
      </c>
      <c r="CV192" s="6">
        <f t="shared" si="23"/>
        <v>204784037</v>
      </c>
      <c r="CW192" s="6">
        <f t="shared" si="24"/>
        <v>740629707</v>
      </c>
      <c r="CX192" s="23">
        <f t="shared" si="91"/>
        <v>0.39259716462751776</v>
      </c>
      <c r="CY192" s="23">
        <f t="shared" si="92"/>
        <v>1.7180085109982295E-2</v>
      </c>
      <c r="CZ192" s="6">
        <f t="shared" si="27"/>
        <v>4970468424.4071093</v>
      </c>
      <c r="DA192" s="6">
        <f t="shared" si="28"/>
        <v>217508118.40124124</v>
      </c>
      <c r="DB192" s="6">
        <f t="shared" si="29"/>
        <v>104111242</v>
      </c>
      <c r="DC192" s="6">
        <f t="shared" si="30"/>
        <v>104111242</v>
      </c>
      <c r="DD192" s="6">
        <f t="shared" si="31"/>
        <v>43130804</v>
      </c>
      <c r="DE192" s="6">
        <f t="shared" si="32"/>
        <v>66077438</v>
      </c>
      <c r="DF192" s="6">
        <f t="shared" si="90"/>
        <v>16677098.975088522</v>
      </c>
      <c r="DG192" s="30"/>
      <c r="DH192" s="32">
        <f>VLOOKUP(A192,'T_med_comp-USA'!$A$7:$Q$233,17,0)</f>
        <v>8.9173649575421035</v>
      </c>
      <c r="DI192" s="6" t="str">
        <f t="shared" si="34"/>
        <v>2_2014</v>
      </c>
      <c r="DJ192" s="32">
        <f>IF(DI192="","",VLOOKUP(DI192,'CPI USA'!$T:$U,2,FALSE))</f>
        <v>234.78100000000001</v>
      </c>
      <c r="DK192" s="32">
        <f>IF(DI192="","",VLOOKUP(DI192,'PPI USA'!$S:$T,2,FALSE))</f>
        <v>178.9</v>
      </c>
      <c r="DL192" s="32">
        <f>IF(DI192="","",VLOOKUP(DI192,'CPI USA'!$T:$V,3,FALSE))</f>
        <v>0.66756601812039096</v>
      </c>
      <c r="DM192" s="32">
        <f>IF(DI192="","",VLOOKUP(DI192,'CPI USA'!$T:$X,5,FALSE))</f>
        <v>0.49542529667095003</v>
      </c>
      <c r="DN192" s="32">
        <f t="shared" si="35"/>
        <v>1.3592442498168091</v>
      </c>
      <c r="DO192" s="32">
        <f t="shared" si="36"/>
        <v>1.370161072621193</v>
      </c>
      <c r="DP192" s="32">
        <f t="shared" si="37"/>
        <v>0.4438820282092284</v>
      </c>
      <c r="DQ192" s="32">
        <f>IF(DP192="","",DP192*$DO$1/'CPI USA'!$U$520+(1-DP192)*AVERAGE($DO$1,$DQ$1)/AVERAGE('CPI USA'!$U$520,'PPI USA'!$T$526))</f>
        <v>1.0772590951811649</v>
      </c>
      <c r="DR192" s="6">
        <f t="shared" si="38"/>
        <v>7339594</v>
      </c>
      <c r="DS192" s="32">
        <f t="shared" si="39"/>
        <v>0.2</v>
      </c>
      <c r="DT192" s="28">
        <f>IF(DS192="","",DS192*$DO$1/'CPI USA'!$U$520+(1-DS192)*AVERAGE($DO$1,$DQ$1)/AVERAGE('CPI USA'!$U$520,'PPI USA'!$T$526))</f>
        <v>1.0854630593748538</v>
      </c>
      <c r="DU192" s="6">
        <f t="shared" si="40"/>
        <v>4298159.2025199765</v>
      </c>
      <c r="DV192" s="6">
        <f t="shared" si="84"/>
        <v>304117.85849997139</v>
      </c>
      <c r="DW192" s="6">
        <f t="shared" si="41"/>
        <v>3693664.4064648421</v>
      </c>
      <c r="DX192" s="16">
        <f t="shared" si="42"/>
        <v>0.22148123075735576</v>
      </c>
      <c r="DY192" s="28">
        <f>IF(DX192="","",DX192*$DO$1/'CPI USA'!$U$520+(1-DX192)*AVERAGE($DO$1,$DQ$1)/AVERAGE('CPI USA'!$U$520,'PPI USA'!$T$526))</f>
        <v>1.0847404507871536</v>
      </c>
      <c r="DZ192" s="30"/>
      <c r="EA192" s="29" t="str">
        <f t="shared" si="43"/>
        <v>C007565</v>
      </c>
      <c r="EB192" s="29" t="str">
        <f t="shared" si="44"/>
        <v/>
      </c>
      <c r="EC192" s="29" t="str">
        <f t="shared" si="45"/>
        <v/>
      </c>
      <c r="ED192" s="29" t="str">
        <f t="shared" si="46"/>
        <v/>
      </c>
      <c r="EE192" s="29" t="str">
        <f t="shared" si="47"/>
        <v/>
      </c>
      <c r="EF192" s="29" t="str">
        <f t="shared" si="48"/>
        <v/>
      </c>
      <c r="EG192" s="29" t="str">
        <f t="shared" si="49"/>
        <v/>
      </c>
      <c r="EH192" s="29" t="str">
        <f t="shared" si="50"/>
        <v/>
      </c>
      <c r="EI192" s="29" t="str">
        <f t="shared" si="51"/>
        <v/>
      </c>
      <c r="EJ192" s="29" t="str">
        <f t="shared" si="52"/>
        <v/>
      </c>
      <c r="EK192" s="29" t="str">
        <f t="shared" si="53"/>
        <v/>
      </c>
      <c r="EL192" s="29" t="str">
        <f>IF(CD192=1,VLOOKUP(EA192,'EIA 2022'!$A$2:$J$213,4,0)*EH192,"")</f>
        <v/>
      </c>
      <c r="EM192" s="29" t="str">
        <f>IF(CD192=1,VLOOKUP(EA192,'EIA 2022'!$A$2:$J$213,7,0)*EH192,"")</f>
        <v/>
      </c>
      <c r="EN192" s="29" t="str">
        <f>IF(CD192=1,VLOOKUP(EA192,'EIA 2022'!$A$2:$J$213,10,0),"")</f>
        <v/>
      </c>
      <c r="EO192" s="28" t="str">
        <f>IF(CD192=1,VLOOKUP(EA192,'EIA 2022'!$A$2:$Z$213,26,0),"")</f>
        <v/>
      </c>
      <c r="EP192" s="23" t="str">
        <f t="shared" si="54"/>
        <v/>
      </c>
      <c r="EQ192" s="32" t="str">
        <f t="shared" si="55"/>
        <v/>
      </c>
      <c r="ER192" s="32" t="str">
        <f t="shared" si="56"/>
        <v/>
      </c>
      <c r="ES192" s="32"/>
      <c r="ET192" s="32"/>
    </row>
    <row r="193" spans="1:150" ht="15.75" customHeight="1">
      <c r="A193" s="7" t="s">
        <v>781</v>
      </c>
      <c r="B193" s="7" t="s">
        <v>782</v>
      </c>
      <c r="C193" s="32" t="s">
        <v>1064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f>IFERROR(VLOOKUP(A193,'Trans 21-23'!$A$2:$J$229,8,0),0)</f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284689</v>
      </c>
      <c r="AE193" s="42">
        <v>0</v>
      </c>
      <c r="AF193" s="42">
        <v>591767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2">
        <v>0</v>
      </c>
      <c r="AR193" s="42">
        <v>0</v>
      </c>
      <c r="AS193" s="42">
        <v>0</v>
      </c>
      <c r="AT193" s="42">
        <v>0</v>
      </c>
      <c r="AU193" s="42">
        <v>0</v>
      </c>
      <c r="AV193" s="42">
        <v>0</v>
      </c>
      <c r="AW193" s="42">
        <v>0</v>
      </c>
      <c r="AX193" s="42">
        <v>0</v>
      </c>
      <c r="AY193" s="42">
        <v>0</v>
      </c>
      <c r="AZ193" s="42">
        <v>0</v>
      </c>
      <c r="BA193" s="42">
        <v>0</v>
      </c>
      <c r="BB193" s="42">
        <v>0</v>
      </c>
      <c r="BC193" s="42">
        <v>639570</v>
      </c>
      <c r="BD193" s="42">
        <v>0</v>
      </c>
      <c r="BE193" s="42">
        <v>0</v>
      </c>
      <c r="BF193" s="42">
        <v>0</v>
      </c>
      <c r="BG193" s="42">
        <v>0</v>
      </c>
      <c r="BH193" s="42">
        <v>0</v>
      </c>
      <c r="BI193" s="42">
        <v>0</v>
      </c>
      <c r="BJ193" s="42">
        <v>0</v>
      </c>
      <c r="BK193" s="42">
        <v>0</v>
      </c>
      <c r="BL193" s="42">
        <v>0</v>
      </c>
      <c r="BM193" s="42">
        <v>0</v>
      </c>
      <c r="BN193" s="42">
        <v>0</v>
      </c>
      <c r="BO193" s="42">
        <v>0</v>
      </c>
      <c r="BP193" s="42">
        <v>0</v>
      </c>
      <c r="BQ193" s="42">
        <v>0</v>
      </c>
      <c r="BR193" s="42">
        <v>0</v>
      </c>
      <c r="BS193" s="42">
        <f>IFERROR(VLOOKUP(A193,'Trans 21-23'!$A$2:$J$229,7,0),0)</f>
        <v>0</v>
      </c>
      <c r="BT193" s="63"/>
      <c r="BU193" s="32">
        <f t="shared" si="0"/>
        <v>0</v>
      </c>
      <c r="BV193" s="32">
        <f t="shared" si="1"/>
        <v>0</v>
      </c>
      <c r="BW193" s="32">
        <f t="shared" si="2"/>
        <v>0</v>
      </c>
      <c r="BX193" s="32">
        <f t="shared" si="3"/>
        <v>0</v>
      </c>
      <c r="BY193" s="32">
        <f t="shared" si="4"/>
        <v>0</v>
      </c>
      <c r="BZ193" s="32">
        <f t="shared" si="5"/>
        <v>0</v>
      </c>
      <c r="CA193" s="32">
        <f t="shared" si="6"/>
        <v>284689</v>
      </c>
      <c r="CB193" s="32">
        <f t="shared" si="7"/>
        <v>0</v>
      </c>
      <c r="CC193" s="32">
        <f t="shared" si="8"/>
        <v>0</v>
      </c>
      <c r="CD193" s="41">
        <f t="shared" si="75"/>
        <v>0</v>
      </c>
      <c r="CE193" s="44">
        <f t="shared" si="10"/>
        <v>65</v>
      </c>
      <c r="CF193" s="27"/>
      <c r="CG193" s="28" t="str">
        <f t="shared" si="11"/>
        <v/>
      </c>
      <c r="CH193" s="28" t="str">
        <f t="shared" si="12"/>
        <v/>
      </c>
      <c r="CI193" s="28" t="str">
        <f t="shared" si="13"/>
        <v/>
      </c>
      <c r="CJ193" s="28" t="str">
        <f t="shared" si="14"/>
        <v/>
      </c>
      <c r="CK193" s="23" t="str">
        <f t="shared" si="15"/>
        <v/>
      </c>
      <c r="CL193" s="29" t="str">
        <f t="shared" si="16"/>
        <v/>
      </c>
      <c r="CM193" s="29" t="str">
        <f t="shared" si="17"/>
        <v/>
      </c>
      <c r="CN193" s="29" t="str">
        <f t="shared" si="18"/>
        <v/>
      </c>
      <c r="CO193" s="29" t="str">
        <f t="shared" si="19"/>
        <v/>
      </c>
      <c r="CP193" s="29" t="str">
        <f t="shared" si="20"/>
        <v/>
      </c>
      <c r="CQ193" s="29" t="str">
        <f t="shared" si="21"/>
        <v/>
      </c>
      <c r="CR193" s="30"/>
      <c r="CS193" s="7" t="str">
        <f>VLOOKUP(A193,'Empresas 21-23'!$A$2:$M$228,13,0)</f>
        <v/>
      </c>
      <c r="CT193" s="30"/>
      <c r="CU193" s="6">
        <f t="shared" si="22"/>
        <v>0</v>
      </c>
      <c r="CV193" s="6">
        <f t="shared" si="23"/>
        <v>0</v>
      </c>
      <c r="CW193" s="6">
        <f t="shared" si="24"/>
        <v>0</v>
      </c>
      <c r="CX193" s="23">
        <f t="shared" si="91"/>
        <v>0</v>
      </c>
      <c r="CY193" s="23">
        <f t="shared" si="92"/>
        <v>0</v>
      </c>
      <c r="CZ193" s="6">
        <f t="shared" si="27"/>
        <v>0</v>
      </c>
      <c r="DA193" s="6">
        <f t="shared" si="28"/>
        <v>0</v>
      </c>
      <c r="DB193" s="6">
        <f t="shared" si="29"/>
        <v>0</v>
      </c>
      <c r="DC193" s="6">
        <f t="shared" si="30"/>
        <v>0</v>
      </c>
      <c r="DD193" s="6">
        <f t="shared" si="31"/>
        <v>0</v>
      </c>
      <c r="DE193" s="6">
        <f t="shared" si="32"/>
        <v>284689</v>
      </c>
      <c r="DF193" s="6">
        <f t="shared" si="90"/>
        <v>0</v>
      </c>
      <c r="DG193" s="30"/>
      <c r="DH193" s="32" t="str">
        <f>VLOOKUP(A193,'T_med_comp-USA'!$A$7:$Q$233,17,0)</f>
        <v>-</v>
      </c>
      <c r="DI193" s="6" t="str">
        <f t="shared" si="34"/>
        <v/>
      </c>
      <c r="DJ193" s="32" t="str">
        <f>IF(DI193="","",VLOOKUP(DI193,'CPI USA'!$T:$U,2,FALSE))</f>
        <v/>
      </c>
      <c r="DK193" s="32" t="str">
        <f>IF(DI193="","",VLOOKUP(DI193,'PPI USA'!$S:$T,2,FALSE))</f>
        <v/>
      </c>
      <c r="DL193" s="32" t="str">
        <f>IF(DI193="","",VLOOKUP(DI193,'CPI USA'!$T:$V,3,FALSE))</f>
        <v/>
      </c>
      <c r="DM193" s="32" t="str">
        <f>IF(DI193="","",VLOOKUP(DI193,'CPI USA'!$T:$X,5,FALSE))</f>
        <v/>
      </c>
      <c r="DN193" s="32" t="str">
        <f t="shared" si="35"/>
        <v/>
      </c>
      <c r="DO193" s="32" t="str">
        <f t="shared" si="36"/>
        <v/>
      </c>
      <c r="DP193" s="32" t="str">
        <f t="shared" si="37"/>
        <v/>
      </c>
      <c r="DQ193" s="32" t="str">
        <f>IF(DP193="","",DP193*$DO$1/'CPI USA'!$U$520+(1-DP193)*AVERAGE($DO$1,$DQ$1)/AVERAGE('CPI USA'!$U$520,'PPI USA'!$T$526))</f>
        <v/>
      </c>
      <c r="DR193" s="6">
        <f t="shared" si="38"/>
        <v>0</v>
      </c>
      <c r="DS193" s="32" t="str">
        <f t="shared" si="39"/>
        <v/>
      </c>
      <c r="DT193" s="28" t="str">
        <f>IF(DS193="","",DS193*$DO$1/'CPI USA'!$U$520+(1-DS193)*AVERAGE($DO$1,$DQ$1)/AVERAGE('CPI USA'!$U$520,'PPI USA'!$T$526))</f>
        <v/>
      </c>
      <c r="DU193" s="6" t="str">
        <f t="shared" si="40"/>
        <v/>
      </c>
      <c r="DV193" s="6" t="str">
        <f t="shared" si="84"/>
        <v/>
      </c>
      <c r="DW193" s="6">
        <f t="shared" si="41"/>
        <v>0</v>
      </c>
      <c r="DX193" s="16" t="str">
        <f t="shared" si="42"/>
        <v/>
      </c>
      <c r="DY193" s="28" t="str">
        <f>IF(DX193="","",DX193*$DO$1/'CPI USA'!$U$520+(1-DX193)*AVERAGE($DO$1,$DQ$1)/AVERAGE('CPI USA'!$U$520,'PPI USA'!$T$526))</f>
        <v/>
      </c>
      <c r="DZ193" s="30"/>
      <c r="EA193" s="29" t="str">
        <f t="shared" si="43"/>
        <v>C007581</v>
      </c>
      <c r="EB193" s="29" t="str">
        <f t="shared" si="44"/>
        <v/>
      </c>
      <c r="EC193" s="29" t="str">
        <f t="shared" si="45"/>
        <v/>
      </c>
      <c r="ED193" s="29" t="str">
        <f t="shared" si="46"/>
        <v/>
      </c>
      <c r="EE193" s="29" t="str">
        <f t="shared" si="47"/>
        <v/>
      </c>
      <c r="EF193" s="29" t="str">
        <f t="shared" si="48"/>
        <v/>
      </c>
      <c r="EG193" s="29" t="str">
        <f t="shared" si="49"/>
        <v/>
      </c>
      <c r="EH193" s="29" t="str">
        <f t="shared" si="50"/>
        <v/>
      </c>
      <c r="EI193" s="29" t="str">
        <f t="shared" si="51"/>
        <v/>
      </c>
      <c r="EJ193" s="29" t="str">
        <f t="shared" si="52"/>
        <v/>
      </c>
      <c r="EK193" s="29" t="str">
        <f t="shared" si="53"/>
        <v/>
      </c>
      <c r="EL193" s="29" t="str">
        <f>IF(CD193=1,VLOOKUP(EA193,'EIA 2022'!$A$2:$J$213,4,0)*EH193,"")</f>
        <v/>
      </c>
      <c r="EM193" s="29" t="str">
        <f>IF(CD193=1,VLOOKUP(EA193,'EIA 2022'!$A$2:$J$213,7,0)*EH193,"")</f>
        <v/>
      </c>
      <c r="EN193" s="29" t="str">
        <f>IF(CD193=1,VLOOKUP(EA193,'EIA 2022'!$A$2:$J$213,10,0),"")</f>
        <v/>
      </c>
      <c r="EO193" s="28" t="str">
        <f>IF(CD193=1,VLOOKUP(EA193,'EIA 2022'!$A$2:$Z$213,26,0),"")</f>
        <v/>
      </c>
      <c r="EP193" s="23" t="str">
        <f t="shared" si="54"/>
        <v/>
      </c>
      <c r="EQ193" s="32" t="str">
        <f t="shared" si="55"/>
        <v/>
      </c>
      <c r="ER193" s="32" t="str">
        <f t="shared" si="56"/>
        <v/>
      </c>
      <c r="ES193" s="32"/>
      <c r="ET193" s="32"/>
    </row>
    <row r="194" spans="1:150" ht="15.75" customHeight="1">
      <c r="A194" s="7" t="s">
        <v>784</v>
      </c>
      <c r="B194" s="7" t="s">
        <v>785</v>
      </c>
      <c r="C194" s="32" t="s">
        <v>1065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0</v>
      </c>
      <c r="T194" s="42">
        <v>0</v>
      </c>
      <c r="U194" s="42">
        <v>0</v>
      </c>
      <c r="V194" s="42">
        <v>0</v>
      </c>
      <c r="W194" s="42">
        <v>0</v>
      </c>
      <c r="X194" s="42">
        <f>IFERROR(VLOOKUP(A194,'Trans 21-23'!$A$2:$J$229,8,0),0)</f>
        <v>0</v>
      </c>
      <c r="Y194" s="42">
        <v>0</v>
      </c>
      <c r="Z194" s="42">
        <v>0</v>
      </c>
      <c r="AA194" s="42">
        <v>0</v>
      </c>
      <c r="AB194" s="42">
        <v>0</v>
      </c>
      <c r="AC194" s="42">
        <v>0</v>
      </c>
      <c r="AD194" s="42">
        <v>110717</v>
      </c>
      <c r="AE194" s="42">
        <v>0</v>
      </c>
      <c r="AF194" s="42">
        <v>353633</v>
      </c>
      <c r="AG194" s="42">
        <v>0</v>
      </c>
      <c r="AH194" s="42">
        <v>0</v>
      </c>
      <c r="AI194" s="42">
        <v>0</v>
      </c>
      <c r="AJ194" s="42">
        <v>0</v>
      </c>
      <c r="AK194" s="42">
        <v>0</v>
      </c>
      <c r="AL194" s="42">
        <v>0</v>
      </c>
      <c r="AM194" s="42">
        <v>0</v>
      </c>
      <c r="AN194" s="42">
        <v>0</v>
      </c>
      <c r="AO194" s="42">
        <v>0</v>
      </c>
      <c r="AP194" s="42">
        <v>0</v>
      </c>
      <c r="AQ194" s="42">
        <v>0</v>
      </c>
      <c r="AR194" s="42">
        <v>0</v>
      </c>
      <c r="AS194" s="42">
        <v>0</v>
      </c>
      <c r="AT194" s="42">
        <v>0</v>
      </c>
      <c r="AU194" s="42">
        <v>0</v>
      </c>
      <c r="AV194" s="42">
        <v>0</v>
      </c>
      <c r="AW194" s="42">
        <v>0</v>
      </c>
      <c r="AX194" s="42">
        <v>0</v>
      </c>
      <c r="AY194" s="42">
        <v>0</v>
      </c>
      <c r="AZ194" s="42">
        <v>0</v>
      </c>
      <c r="BA194" s="42">
        <v>0</v>
      </c>
      <c r="BB194" s="42">
        <v>0</v>
      </c>
      <c r="BC194" s="42">
        <v>262436</v>
      </c>
      <c r="BD194" s="42">
        <v>0</v>
      </c>
      <c r="BE194" s="42">
        <v>0</v>
      </c>
      <c r="BF194" s="42">
        <v>0</v>
      </c>
      <c r="BG194" s="42">
        <v>0</v>
      </c>
      <c r="BH194" s="42">
        <v>0</v>
      </c>
      <c r="BI194" s="42">
        <v>0</v>
      </c>
      <c r="BJ194" s="42">
        <v>0</v>
      </c>
      <c r="BK194" s="42">
        <v>0</v>
      </c>
      <c r="BL194" s="42">
        <v>0</v>
      </c>
      <c r="BM194" s="42">
        <v>0</v>
      </c>
      <c r="BN194" s="42">
        <v>0</v>
      </c>
      <c r="BO194" s="42">
        <v>0</v>
      </c>
      <c r="BP194" s="42">
        <v>0</v>
      </c>
      <c r="BQ194" s="42">
        <v>0</v>
      </c>
      <c r="BR194" s="42">
        <v>0</v>
      </c>
      <c r="BS194" s="42">
        <f>IFERROR(VLOOKUP(A194,'Trans 21-23'!$A$2:$J$229,7,0),0)</f>
        <v>0</v>
      </c>
      <c r="BT194" s="63"/>
      <c r="BU194" s="32">
        <f t="shared" si="0"/>
        <v>0</v>
      </c>
      <c r="BV194" s="32">
        <f t="shared" si="1"/>
        <v>0</v>
      </c>
      <c r="BW194" s="32">
        <f t="shared" si="2"/>
        <v>0</v>
      </c>
      <c r="BX194" s="32">
        <f t="shared" si="3"/>
        <v>0</v>
      </c>
      <c r="BY194" s="32">
        <f t="shared" si="4"/>
        <v>0</v>
      </c>
      <c r="BZ194" s="32">
        <f t="shared" si="5"/>
        <v>0</v>
      </c>
      <c r="CA194" s="32">
        <f t="shared" si="6"/>
        <v>110717</v>
      </c>
      <c r="CB194" s="32">
        <f t="shared" si="7"/>
        <v>0</v>
      </c>
      <c r="CC194" s="32">
        <f t="shared" si="8"/>
        <v>0</v>
      </c>
      <c r="CD194" s="41">
        <f t="shared" si="75"/>
        <v>0</v>
      </c>
      <c r="CE194" s="44">
        <f t="shared" si="10"/>
        <v>65</v>
      </c>
      <c r="CF194" s="27"/>
      <c r="CG194" s="28" t="str">
        <f t="shared" si="11"/>
        <v/>
      </c>
      <c r="CH194" s="28" t="str">
        <f t="shared" si="12"/>
        <v/>
      </c>
      <c r="CI194" s="28" t="str">
        <f t="shared" si="13"/>
        <v/>
      </c>
      <c r="CJ194" s="28" t="str">
        <f t="shared" si="14"/>
        <v/>
      </c>
      <c r="CK194" s="23" t="str">
        <f t="shared" si="15"/>
        <v/>
      </c>
      <c r="CL194" s="29" t="str">
        <f t="shared" si="16"/>
        <v/>
      </c>
      <c r="CM194" s="29" t="str">
        <f t="shared" si="17"/>
        <v/>
      </c>
      <c r="CN194" s="29" t="str">
        <f t="shared" si="18"/>
        <v/>
      </c>
      <c r="CO194" s="29" t="str">
        <f t="shared" si="19"/>
        <v/>
      </c>
      <c r="CP194" s="29" t="str">
        <f t="shared" si="20"/>
        <v/>
      </c>
      <c r="CQ194" s="29" t="str">
        <f t="shared" si="21"/>
        <v/>
      </c>
      <c r="CR194" s="30"/>
      <c r="CS194" s="7" t="str">
        <f>VLOOKUP(A194,'Empresas 21-23'!$A$2:$M$228,13,0)</f>
        <v/>
      </c>
      <c r="CT194" s="30"/>
      <c r="CU194" s="6">
        <f t="shared" si="22"/>
        <v>0</v>
      </c>
      <c r="CV194" s="6">
        <f t="shared" si="23"/>
        <v>0</v>
      </c>
      <c r="CW194" s="6">
        <f t="shared" si="24"/>
        <v>0</v>
      </c>
      <c r="CX194" s="23">
        <f t="shared" si="91"/>
        <v>0</v>
      </c>
      <c r="CY194" s="23">
        <f t="shared" si="92"/>
        <v>0</v>
      </c>
      <c r="CZ194" s="6">
        <f t="shared" si="27"/>
        <v>0</v>
      </c>
      <c r="DA194" s="6">
        <f t="shared" si="28"/>
        <v>0</v>
      </c>
      <c r="DB194" s="6">
        <f t="shared" si="29"/>
        <v>0</v>
      </c>
      <c r="DC194" s="6">
        <f t="shared" si="30"/>
        <v>0</v>
      </c>
      <c r="DD194" s="6">
        <f t="shared" si="31"/>
        <v>0</v>
      </c>
      <c r="DE194" s="6">
        <f t="shared" si="32"/>
        <v>110717</v>
      </c>
      <c r="DF194" s="6">
        <f t="shared" si="90"/>
        <v>0</v>
      </c>
      <c r="DG194" s="30"/>
      <c r="DH194" s="32" t="str">
        <f>VLOOKUP(A194,'T_med_comp-USA'!$A$7:$Q$233,17,0)</f>
        <v>-</v>
      </c>
      <c r="DI194" s="6" t="str">
        <f t="shared" si="34"/>
        <v/>
      </c>
      <c r="DJ194" s="32" t="str">
        <f>IF(DI194="","",VLOOKUP(DI194,'CPI USA'!$T:$U,2,FALSE))</f>
        <v/>
      </c>
      <c r="DK194" s="32" t="str">
        <f>IF(DI194="","",VLOOKUP(DI194,'PPI USA'!$S:$T,2,FALSE))</f>
        <v/>
      </c>
      <c r="DL194" s="32" t="str">
        <f>IF(DI194="","",VLOOKUP(DI194,'CPI USA'!$T:$V,3,FALSE))</f>
        <v/>
      </c>
      <c r="DM194" s="32" t="str">
        <f>IF(DI194="","",VLOOKUP(DI194,'CPI USA'!$T:$X,5,FALSE))</f>
        <v/>
      </c>
      <c r="DN194" s="32" t="str">
        <f t="shared" si="35"/>
        <v/>
      </c>
      <c r="DO194" s="32" t="str">
        <f t="shared" si="36"/>
        <v/>
      </c>
      <c r="DP194" s="32" t="str">
        <f t="shared" si="37"/>
        <v/>
      </c>
      <c r="DQ194" s="32" t="str">
        <f>IF(DP194="","",DP194*$DO$1/'CPI USA'!$U$520+(1-DP194)*AVERAGE($DO$1,$DQ$1)/AVERAGE('CPI USA'!$U$520,'PPI USA'!$T$526))</f>
        <v/>
      </c>
      <c r="DR194" s="6">
        <f t="shared" si="38"/>
        <v>0</v>
      </c>
      <c r="DS194" s="32" t="str">
        <f t="shared" si="39"/>
        <v/>
      </c>
      <c r="DT194" s="28" t="str">
        <f>IF(DS194="","",DS194*$DO$1/'CPI USA'!$U$520+(1-DS194)*AVERAGE($DO$1,$DQ$1)/AVERAGE('CPI USA'!$U$520,'PPI USA'!$T$526))</f>
        <v/>
      </c>
      <c r="DU194" s="6" t="str">
        <f t="shared" si="40"/>
        <v/>
      </c>
      <c r="DV194" s="6" t="str">
        <f t="shared" si="84"/>
        <v/>
      </c>
      <c r="DW194" s="6">
        <f t="shared" si="41"/>
        <v>0</v>
      </c>
      <c r="DX194" s="16" t="str">
        <f t="shared" si="42"/>
        <v/>
      </c>
      <c r="DY194" s="28" t="str">
        <f>IF(DX194="","",DX194*$DO$1/'CPI USA'!$U$520+(1-DX194)*AVERAGE($DO$1,$DQ$1)/AVERAGE('CPI USA'!$U$520,'PPI USA'!$T$526))</f>
        <v/>
      </c>
      <c r="DZ194" s="30"/>
      <c r="EA194" s="29" t="str">
        <f t="shared" si="43"/>
        <v>C007582</v>
      </c>
      <c r="EB194" s="29" t="str">
        <f t="shared" si="44"/>
        <v/>
      </c>
      <c r="EC194" s="29" t="str">
        <f t="shared" si="45"/>
        <v/>
      </c>
      <c r="ED194" s="29" t="str">
        <f t="shared" si="46"/>
        <v/>
      </c>
      <c r="EE194" s="29" t="str">
        <f t="shared" si="47"/>
        <v/>
      </c>
      <c r="EF194" s="29" t="str">
        <f t="shared" si="48"/>
        <v/>
      </c>
      <c r="EG194" s="29" t="str">
        <f t="shared" si="49"/>
        <v/>
      </c>
      <c r="EH194" s="29" t="str">
        <f t="shared" si="50"/>
        <v/>
      </c>
      <c r="EI194" s="29" t="str">
        <f t="shared" si="51"/>
        <v/>
      </c>
      <c r="EJ194" s="29" t="str">
        <f t="shared" si="52"/>
        <v/>
      </c>
      <c r="EK194" s="29" t="str">
        <f t="shared" si="53"/>
        <v/>
      </c>
      <c r="EL194" s="29" t="str">
        <f>IF(CD194=1,VLOOKUP(EA194,'EIA 2022'!$A$2:$J$213,4,0)*EH194,"")</f>
        <v/>
      </c>
      <c r="EM194" s="29" t="str">
        <f>IF(CD194=1,VLOOKUP(EA194,'EIA 2022'!$A$2:$J$213,7,0)*EH194,"")</f>
        <v/>
      </c>
      <c r="EN194" s="29" t="str">
        <f>IF(CD194=1,VLOOKUP(EA194,'EIA 2022'!$A$2:$J$213,10,0),"")</f>
        <v/>
      </c>
      <c r="EO194" s="28" t="str">
        <f>IF(CD194=1,VLOOKUP(EA194,'EIA 2022'!$A$2:$Z$213,26,0),"")</f>
        <v/>
      </c>
      <c r="EP194" s="23" t="str">
        <f t="shared" si="54"/>
        <v/>
      </c>
      <c r="EQ194" s="32" t="str">
        <f t="shared" si="55"/>
        <v/>
      </c>
      <c r="ER194" s="32" t="str">
        <f t="shared" si="56"/>
        <v/>
      </c>
      <c r="ES194" s="32"/>
      <c r="ET194" s="32"/>
    </row>
    <row r="195" spans="1:150" ht="15.75" customHeight="1">
      <c r="A195" s="7" t="s">
        <v>787</v>
      </c>
      <c r="B195" s="7" t="s">
        <v>788</v>
      </c>
      <c r="C195" s="32" t="s">
        <v>1066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2">
        <v>0</v>
      </c>
      <c r="P195" s="42">
        <v>0</v>
      </c>
      <c r="Q195" s="42">
        <v>0</v>
      </c>
      <c r="R195" s="42">
        <v>0</v>
      </c>
      <c r="S195" s="42">
        <v>0</v>
      </c>
      <c r="T195" s="42">
        <v>0</v>
      </c>
      <c r="U195" s="42">
        <v>0</v>
      </c>
      <c r="V195" s="42">
        <v>0</v>
      </c>
      <c r="W195" s="42">
        <v>0</v>
      </c>
      <c r="X195" s="42">
        <f>IFERROR(VLOOKUP(A195,'Trans 21-23'!$A$2:$J$229,8,0),0)</f>
        <v>0</v>
      </c>
      <c r="Y195" s="42">
        <v>0</v>
      </c>
      <c r="Z195" s="42">
        <v>0</v>
      </c>
      <c r="AA195" s="42">
        <v>0</v>
      </c>
      <c r="AB195" s="42">
        <v>0</v>
      </c>
      <c r="AC195" s="42">
        <v>0</v>
      </c>
      <c r="AD195" s="42">
        <v>238899</v>
      </c>
      <c r="AE195" s="42">
        <v>0</v>
      </c>
      <c r="AF195" s="42">
        <v>2159228</v>
      </c>
      <c r="AG195" s="42">
        <v>0</v>
      </c>
      <c r="AH195" s="42">
        <v>0</v>
      </c>
      <c r="AI195" s="42">
        <v>838563</v>
      </c>
      <c r="AJ195" s="42">
        <v>0</v>
      </c>
      <c r="AK195" s="42">
        <v>0</v>
      </c>
      <c r="AL195" s="42">
        <v>0</v>
      </c>
      <c r="AM195" s="42">
        <v>0</v>
      </c>
      <c r="AN195" s="42">
        <v>0</v>
      </c>
      <c r="AO195" s="42">
        <v>0</v>
      </c>
      <c r="AP195" s="42">
        <v>0</v>
      </c>
      <c r="AQ195" s="42">
        <v>838563</v>
      </c>
      <c r="AR195" s="42">
        <v>0</v>
      </c>
      <c r="AS195" s="42">
        <v>0</v>
      </c>
      <c r="AT195" s="42">
        <v>0</v>
      </c>
      <c r="AU195" s="42">
        <v>0</v>
      </c>
      <c r="AV195" s="42">
        <v>0</v>
      </c>
      <c r="AW195" s="42">
        <v>0</v>
      </c>
      <c r="AX195" s="42">
        <v>0</v>
      </c>
      <c r="AY195" s="42">
        <v>0</v>
      </c>
      <c r="AZ195" s="42">
        <v>0</v>
      </c>
      <c r="BA195" s="42">
        <v>0</v>
      </c>
      <c r="BB195" s="42">
        <v>0</v>
      </c>
      <c r="BC195" s="42">
        <v>6884902</v>
      </c>
      <c r="BD195" s="42">
        <v>832990</v>
      </c>
      <c r="BE195" s="42">
        <v>0</v>
      </c>
      <c r="BF195" s="42">
        <v>0</v>
      </c>
      <c r="BG195" s="42">
        <v>0</v>
      </c>
      <c r="BH195" s="42">
        <v>0</v>
      </c>
      <c r="BI195" s="42">
        <v>0</v>
      </c>
      <c r="BJ195" s="42">
        <v>0</v>
      </c>
      <c r="BK195" s="42">
        <v>0</v>
      </c>
      <c r="BL195" s="42">
        <v>0</v>
      </c>
      <c r="BM195" s="42">
        <v>0</v>
      </c>
      <c r="BN195" s="42">
        <v>0</v>
      </c>
      <c r="BO195" s="42">
        <v>0</v>
      </c>
      <c r="BP195" s="42">
        <v>0</v>
      </c>
      <c r="BQ195" s="42">
        <v>0</v>
      </c>
      <c r="BR195" s="42">
        <v>0</v>
      </c>
      <c r="BS195" s="42">
        <f>IFERROR(VLOOKUP(A195,'Trans 21-23'!$A$2:$J$229,7,0),0)</f>
        <v>0</v>
      </c>
      <c r="BT195" s="63"/>
      <c r="BU195" s="32">
        <f t="shared" si="0"/>
        <v>0</v>
      </c>
      <c r="BV195" s="32">
        <f t="shared" si="1"/>
        <v>0</v>
      </c>
      <c r="BW195" s="32">
        <f t="shared" si="2"/>
        <v>0</v>
      </c>
      <c r="BX195" s="32">
        <f t="shared" si="3"/>
        <v>0</v>
      </c>
      <c r="BY195" s="32">
        <f t="shared" si="4"/>
        <v>0</v>
      </c>
      <c r="BZ195" s="32">
        <f t="shared" si="5"/>
        <v>0</v>
      </c>
      <c r="CA195" s="32">
        <f t="shared" si="6"/>
        <v>238899</v>
      </c>
      <c r="CB195" s="32">
        <f t="shared" si="7"/>
        <v>0</v>
      </c>
      <c r="CC195" s="32">
        <f t="shared" si="8"/>
        <v>838563</v>
      </c>
      <c r="CD195" s="41">
        <f t="shared" si="75"/>
        <v>0</v>
      </c>
      <c r="CE195" s="44">
        <f t="shared" si="10"/>
        <v>62</v>
      </c>
      <c r="CF195" s="27"/>
      <c r="CG195" s="28" t="str">
        <f t="shared" si="11"/>
        <v/>
      </c>
      <c r="CH195" s="28" t="str">
        <f t="shared" si="12"/>
        <v/>
      </c>
      <c r="CI195" s="28" t="str">
        <f t="shared" si="13"/>
        <v/>
      </c>
      <c r="CJ195" s="28" t="str">
        <f t="shared" si="14"/>
        <v/>
      </c>
      <c r="CK195" s="23" t="str">
        <f t="shared" si="15"/>
        <v/>
      </c>
      <c r="CL195" s="29" t="str">
        <f t="shared" si="16"/>
        <v/>
      </c>
      <c r="CM195" s="29" t="str">
        <f t="shared" si="17"/>
        <v/>
      </c>
      <c r="CN195" s="29" t="str">
        <f t="shared" si="18"/>
        <v/>
      </c>
      <c r="CO195" s="29" t="str">
        <f t="shared" si="19"/>
        <v/>
      </c>
      <c r="CP195" s="29" t="str">
        <f t="shared" si="20"/>
        <v/>
      </c>
      <c r="CQ195" s="29" t="str">
        <f t="shared" si="21"/>
        <v/>
      </c>
      <c r="CR195" s="30"/>
      <c r="CS195" s="7" t="str">
        <f>VLOOKUP(A195,'Empresas 21-23'!$A$2:$M$228,13,0)</f>
        <v/>
      </c>
      <c r="CT195" s="30"/>
      <c r="CU195" s="6">
        <f t="shared" si="22"/>
        <v>0</v>
      </c>
      <c r="CV195" s="6">
        <f t="shared" si="23"/>
        <v>0</v>
      </c>
      <c r="CW195" s="6">
        <f t="shared" si="24"/>
        <v>832990</v>
      </c>
      <c r="CX195" s="23">
        <f t="shared" si="91"/>
        <v>0</v>
      </c>
      <c r="CY195" s="23">
        <f t="shared" si="92"/>
        <v>0</v>
      </c>
      <c r="CZ195" s="6">
        <f t="shared" si="27"/>
        <v>0</v>
      </c>
      <c r="DA195" s="6">
        <f t="shared" si="28"/>
        <v>0</v>
      </c>
      <c r="DB195" s="6">
        <f t="shared" si="29"/>
        <v>0</v>
      </c>
      <c r="DC195" s="6">
        <f t="shared" si="30"/>
        <v>0</v>
      </c>
      <c r="DD195" s="6">
        <f t="shared" si="31"/>
        <v>0</v>
      </c>
      <c r="DE195" s="6">
        <f t="shared" si="32"/>
        <v>238899</v>
      </c>
      <c r="DF195" s="6">
        <f t="shared" si="90"/>
        <v>0</v>
      </c>
      <c r="DG195" s="30"/>
      <c r="DH195" s="32" t="str">
        <f>VLOOKUP(A195,'T_med_comp-USA'!$A$7:$Q$233,17,0)</f>
        <v>-</v>
      </c>
      <c r="DI195" s="6" t="str">
        <f t="shared" si="34"/>
        <v/>
      </c>
      <c r="DJ195" s="32" t="str">
        <f>IF(DI195="","",VLOOKUP(DI195,'CPI USA'!$T:$U,2,FALSE))</f>
        <v/>
      </c>
      <c r="DK195" s="32" t="str">
        <f>IF(DI195="","",VLOOKUP(DI195,'PPI USA'!$S:$T,2,FALSE))</f>
        <v/>
      </c>
      <c r="DL195" s="32" t="str">
        <f>IF(DI195="","",VLOOKUP(DI195,'CPI USA'!$T:$V,3,FALSE))</f>
        <v/>
      </c>
      <c r="DM195" s="32" t="str">
        <f>IF(DI195="","",VLOOKUP(DI195,'CPI USA'!$T:$X,5,FALSE))</f>
        <v/>
      </c>
      <c r="DN195" s="32" t="str">
        <f t="shared" si="35"/>
        <v/>
      </c>
      <c r="DO195" s="32" t="str">
        <f t="shared" si="36"/>
        <v/>
      </c>
      <c r="DP195" s="32" t="str">
        <f t="shared" si="37"/>
        <v/>
      </c>
      <c r="DQ195" s="32" t="str">
        <f>IF(DP195="","",DP195*$DO$1/'CPI USA'!$U$520+(1-DP195)*AVERAGE($DO$1,$DQ$1)/AVERAGE('CPI USA'!$U$520,'PPI USA'!$T$526))</f>
        <v/>
      </c>
      <c r="DR195" s="6">
        <f t="shared" si="38"/>
        <v>0</v>
      </c>
      <c r="DS195" s="32" t="str">
        <f t="shared" si="39"/>
        <v/>
      </c>
      <c r="DT195" s="28" t="str">
        <f>IF(DS195="","",DS195*$DO$1/'CPI USA'!$U$520+(1-DS195)*AVERAGE($DO$1,$DQ$1)/AVERAGE('CPI USA'!$U$520,'PPI USA'!$T$526))</f>
        <v/>
      </c>
      <c r="DU195" s="6" t="str">
        <f t="shared" si="40"/>
        <v/>
      </c>
      <c r="DV195" s="6" t="str">
        <f t="shared" si="84"/>
        <v/>
      </c>
      <c r="DW195" s="6">
        <f t="shared" si="41"/>
        <v>0</v>
      </c>
      <c r="DX195" s="16" t="str">
        <f t="shared" si="42"/>
        <v/>
      </c>
      <c r="DY195" s="28" t="str">
        <f>IF(DX195="","",DX195*$DO$1/'CPI USA'!$U$520+(1-DX195)*AVERAGE($DO$1,$DQ$1)/AVERAGE('CPI USA'!$U$520,'PPI USA'!$T$526))</f>
        <v/>
      </c>
      <c r="DZ195" s="30"/>
      <c r="EA195" s="29" t="str">
        <f t="shared" si="43"/>
        <v>C007584</v>
      </c>
      <c r="EB195" s="29" t="str">
        <f t="shared" si="44"/>
        <v/>
      </c>
      <c r="EC195" s="29" t="str">
        <f t="shared" si="45"/>
        <v/>
      </c>
      <c r="ED195" s="29" t="str">
        <f t="shared" si="46"/>
        <v/>
      </c>
      <c r="EE195" s="29" t="str">
        <f t="shared" si="47"/>
        <v/>
      </c>
      <c r="EF195" s="29" t="str">
        <f t="shared" si="48"/>
        <v/>
      </c>
      <c r="EG195" s="29" t="str">
        <f t="shared" si="49"/>
        <v/>
      </c>
      <c r="EH195" s="29" t="str">
        <f t="shared" si="50"/>
        <v/>
      </c>
      <c r="EI195" s="29" t="str">
        <f t="shared" si="51"/>
        <v/>
      </c>
      <c r="EJ195" s="29" t="str">
        <f t="shared" si="52"/>
        <v/>
      </c>
      <c r="EK195" s="29" t="str">
        <f t="shared" si="53"/>
        <v/>
      </c>
      <c r="EL195" s="29" t="str">
        <f>IF(CD195=1,VLOOKUP(EA195,'EIA 2022'!$A$2:$J$213,4,0)*EH195,"")</f>
        <v/>
      </c>
      <c r="EM195" s="29" t="str">
        <f>IF(CD195=1,VLOOKUP(EA195,'EIA 2022'!$A$2:$J$213,7,0)*EH195,"")</f>
        <v/>
      </c>
      <c r="EN195" s="29" t="str">
        <f>IF(CD195=1,VLOOKUP(EA195,'EIA 2022'!$A$2:$J$213,10,0),"")</f>
        <v/>
      </c>
      <c r="EO195" s="28" t="str">
        <f>IF(CD195=1,VLOOKUP(EA195,'EIA 2022'!$A$2:$Z$213,26,0),"")</f>
        <v/>
      </c>
      <c r="EP195" s="23" t="str">
        <f t="shared" si="54"/>
        <v/>
      </c>
      <c r="EQ195" s="32" t="str">
        <f t="shared" si="55"/>
        <v/>
      </c>
      <c r="ER195" s="32" t="str">
        <f t="shared" si="56"/>
        <v/>
      </c>
      <c r="ES195" s="32"/>
      <c r="ET195" s="32"/>
    </row>
    <row r="196" spans="1:150" ht="15.75" customHeight="1">
      <c r="A196" s="7" t="s">
        <v>790</v>
      </c>
      <c r="B196" s="7" t="s">
        <v>791</v>
      </c>
      <c r="C196" s="32" t="s">
        <v>1067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f>IFERROR(VLOOKUP(A196,'Trans 21-23'!$A$2:$J$229,8,0),0)</f>
        <v>505353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6550885</v>
      </c>
      <c r="AE196" s="42">
        <v>0</v>
      </c>
      <c r="AF196" s="42">
        <v>8140967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2">
        <v>0</v>
      </c>
      <c r="AR196" s="42">
        <v>0</v>
      </c>
      <c r="AS196" s="42">
        <v>0</v>
      </c>
      <c r="AT196" s="42">
        <v>0</v>
      </c>
      <c r="AU196" s="42">
        <v>0</v>
      </c>
      <c r="AV196" s="42">
        <v>0</v>
      </c>
      <c r="AW196" s="42">
        <v>0</v>
      </c>
      <c r="AX196" s="42">
        <v>0</v>
      </c>
      <c r="AY196" s="42">
        <v>0</v>
      </c>
      <c r="AZ196" s="42">
        <v>0</v>
      </c>
      <c r="BA196" s="42">
        <v>0</v>
      </c>
      <c r="BB196" s="42">
        <v>0</v>
      </c>
      <c r="BC196" s="42">
        <v>451775733</v>
      </c>
      <c r="BD196" s="42">
        <v>469062</v>
      </c>
      <c r="BE196" s="42">
        <v>0</v>
      </c>
      <c r="BF196" s="42">
        <v>0</v>
      </c>
      <c r="BG196" s="42">
        <v>0</v>
      </c>
      <c r="BH196" s="42">
        <v>0</v>
      </c>
      <c r="BI196" s="42">
        <v>0</v>
      </c>
      <c r="BJ196" s="42">
        <v>0</v>
      </c>
      <c r="BK196" s="42">
        <v>0</v>
      </c>
      <c r="BL196" s="42">
        <v>0</v>
      </c>
      <c r="BM196" s="42">
        <v>1901639</v>
      </c>
      <c r="BN196" s="42">
        <v>2400574</v>
      </c>
      <c r="BO196" s="42">
        <v>0</v>
      </c>
      <c r="BP196" s="42">
        <v>0</v>
      </c>
      <c r="BQ196" s="42">
        <v>2400574</v>
      </c>
      <c r="BR196" s="42">
        <v>0</v>
      </c>
      <c r="BS196" s="42">
        <f>IFERROR(VLOOKUP(A196,'Trans 21-23'!$A$2:$J$229,7,0),0)</f>
        <v>201810619</v>
      </c>
      <c r="BT196" s="63"/>
      <c r="BU196" s="32">
        <f t="shared" si="0"/>
        <v>0</v>
      </c>
      <c r="BV196" s="32">
        <f t="shared" si="1"/>
        <v>0</v>
      </c>
      <c r="BW196" s="32">
        <f t="shared" si="2"/>
        <v>0</v>
      </c>
      <c r="BX196" s="32">
        <f t="shared" si="3"/>
        <v>0</v>
      </c>
      <c r="BY196" s="32">
        <f t="shared" si="4"/>
        <v>0</v>
      </c>
      <c r="BZ196" s="32">
        <f t="shared" si="5"/>
        <v>0</v>
      </c>
      <c r="CA196" s="32">
        <f t="shared" si="6"/>
        <v>6550885</v>
      </c>
      <c r="CB196" s="32">
        <f t="shared" si="7"/>
        <v>0</v>
      </c>
      <c r="CC196" s="32">
        <f t="shared" si="8"/>
        <v>0</v>
      </c>
      <c r="CD196" s="41">
        <f t="shared" si="75"/>
        <v>0</v>
      </c>
      <c r="CE196" s="44">
        <f t="shared" si="10"/>
        <v>59</v>
      </c>
      <c r="CF196" s="27"/>
      <c r="CG196" s="28" t="str">
        <f t="shared" si="11"/>
        <v/>
      </c>
      <c r="CH196" s="28" t="str">
        <f t="shared" si="12"/>
        <v/>
      </c>
      <c r="CI196" s="28" t="str">
        <f t="shared" si="13"/>
        <v/>
      </c>
      <c r="CJ196" s="28" t="str">
        <f t="shared" si="14"/>
        <v/>
      </c>
      <c r="CK196" s="23" t="str">
        <f t="shared" si="15"/>
        <v/>
      </c>
      <c r="CL196" s="29" t="str">
        <f t="shared" si="16"/>
        <v/>
      </c>
      <c r="CM196" s="29" t="str">
        <f t="shared" si="17"/>
        <v/>
      </c>
      <c r="CN196" s="29" t="str">
        <f t="shared" si="18"/>
        <v/>
      </c>
      <c r="CO196" s="29" t="str">
        <f t="shared" si="19"/>
        <v/>
      </c>
      <c r="CP196" s="29" t="str">
        <f t="shared" si="20"/>
        <v/>
      </c>
      <c r="CQ196" s="29" t="str">
        <f t="shared" si="21"/>
        <v/>
      </c>
      <c r="CR196" s="30"/>
      <c r="CS196" s="7" t="str">
        <f>VLOOKUP(A196,'Empresas 21-23'!$A$2:$M$228,13,0)</f>
        <v/>
      </c>
      <c r="CT196" s="30"/>
      <c r="CU196" s="6">
        <f t="shared" si="22"/>
        <v>201810619</v>
      </c>
      <c r="CV196" s="6">
        <f t="shared" si="23"/>
        <v>0</v>
      </c>
      <c r="CW196" s="6">
        <f t="shared" si="24"/>
        <v>469062</v>
      </c>
      <c r="CX196" s="23">
        <f t="shared" si="91"/>
        <v>0.44716958992170536</v>
      </c>
      <c r="CY196" s="23">
        <f t="shared" si="92"/>
        <v>0</v>
      </c>
      <c r="CZ196" s="6">
        <f t="shared" si="27"/>
        <v>202020369.26218787</v>
      </c>
      <c r="DA196" s="6">
        <f t="shared" si="28"/>
        <v>0</v>
      </c>
      <c r="DB196" s="6">
        <f t="shared" si="29"/>
        <v>0</v>
      </c>
      <c r="DC196" s="6">
        <f t="shared" si="30"/>
        <v>505353</v>
      </c>
      <c r="DD196" s="6">
        <f t="shared" si="31"/>
        <v>0</v>
      </c>
      <c r="DE196" s="6">
        <f t="shared" si="32"/>
        <v>6550885</v>
      </c>
      <c r="DF196" s="6">
        <f t="shared" si="90"/>
        <v>2081974.0034822104</v>
      </c>
      <c r="DG196" s="30"/>
      <c r="DH196" s="32" t="str">
        <f>VLOOKUP(A196,'T_med_comp-USA'!$A$7:$Q$233,17,0)</f>
        <v>-</v>
      </c>
      <c r="DI196" s="6" t="str">
        <f t="shared" si="34"/>
        <v/>
      </c>
      <c r="DJ196" s="32" t="str">
        <f>IF(DI196="","",VLOOKUP(DI196,'CPI USA'!$T:$U,2,FALSE))</f>
        <v/>
      </c>
      <c r="DK196" s="32" t="str">
        <f>IF(DI196="","",VLOOKUP(DI196,'PPI USA'!$S:$T,2,FALSE))</f>
        <v/>
      </c>
      <c r="DL196" s="32" t="str">
        <f>IF(DI196="","",VLOOKUP(DI196,'CPI USA'!$T:$V,3,FALSE))</f>
        <v/>
      </c>
      <c r="DM196" s="32" t="str">
        <f>IF(DI196="","",VLOOKUP(DI196,'CPI USA'!$T:$X,5,FALSE))</f>
        <v/>
      </c>
      <c r="DN196" s="32" t="str">
        <f t="shared" si="35"/>
        <v/>
      </c>
      <c r="DO196" s="32" t="str">
        <f t="shared" si="36"/>
        <v/>
      </c>
      <c r="DP196" s="32" t="str">
        <f t="shared" si="37"/>
        <v/>
      </c>
      <c r="DQ196" s="32" t="str">
        <f>IF(DP196="","",DP196*$DO$1/'CPI USA'!$U$520+(1-DP196)*AVERAGE($DO$1,$DQ$1)/AVERAGE('CPI USA'!$U$520,'PPI USA'!$T$526))</f>
        <v/>
      </c>
      <c r="DR196" s="6">
        <f t="shared" si="38"/>
        <v>0</v>
      </c>
      <c r="DS196" s="32" t="str">
        <f t="shared" si="39"/>
        <v/>
      </c>
      <c r="DT196" s="28" t="str">
        <f>IF(DS196="","",DS196*$DO$1/'CPI USA'!$U$520+(1-DS196)*AVERAGE($DO$1,$DQ$1)/AVERAGE('CPI USA'!$U$520,'PPI USA'!$T$526))</f>
        <v/>
      </c>
      <c r="DU196" s="6" t="str">
        <f t="shared" si="40"/>
        <v/>
      </c>
      <c r="DV196" s="6">
        <f t="shared" si="84"/>
        <v>0</v>
      </c>
      <c r="DW196" s="6">
        <f t="shared" si="41"/>
        <v>0</v>
      </c>
      <c r="DX196" s="16" t="str">
        <f t="shared" si="42"/>
        <v/>
      </c>
      <c r="DY196" s="28" t="str">
        <f>IF(DX196="","",DX196*$DO$1/'CPI USA'!$U$520+(1-DX196)*AVERAGE($DO$1,$DQ$1)/AVERAGE('CPI USA'!$U$520,'PPI USA'!$T$526))</f>
        <v/>
      </c>
      <c r="DZ196" s="30"/>
      <c r="EA196" s="29" t="str">
        <f t="shared" si="43"/>
        <v>C007624</v>
      </c>
      <c r="EB196" s="29" t="str">
        <f t="shared" si="44"/>
        <v/>
      </c>
      <c r="EC196" s="29" t="str">
        <f t="shared" si="45"/>
        <v/>
      </c>
      <c r="ED196" s="29" t="str">
        <f t="shared" si="46"/>
        <v/>
      </c>
      <c r="EE196" s="29" t="str">
        <f t="shared" si="47"/>
        <v/>
      </c>
      <c r="EF196" s="29" t="str">
        <f t="shared" si="48"/>
        <v/>
      </c>
      <c r="EG196" s="29" t="str">
        <f t="shared" si="49"/>
        <v/>
      </c>
      <c r="EH196" s="29" t="str">
        <f t="shared" si="50"/>
        <v/>
      </c>
      <c r="EI196" s="29" t="str">
        <f t="shared" si="51"/>
        <v/>
      </c>
      <c r="EJ196" s="29" t="str">
        <f t="shared" si="52"/>
        <v/>
      </c>
      <c r="EK196" s="29" t="str">
        <f t="shared" si="53"/>
        <v/>
      </c>
      <c r="EL196" s="29" t="str">
        <f>IF(CD196=1,VLOOKUP(EA196,'EIA 2022'!$A$2:$J$213,4,0)*EH196,"")</f>
        <v/>
      </c>
      <c r="EM196" s="29" t="str">
        <f>IF(CD196=1,VLOOKUP(EA196,'EIA 2022'!$A$2:$J$213,7,0)*EH196,"")</f>
        <v/>
      </c>
      <c r="EN196" s="29" t="str">
        <f>IF(CD196=1,VLOOKUP(EA196,'EIA 2022'!$A$2:$J$213,10,0),"")</f>
        <v/>
      </c>
      <c r="EO196" s="28" t="str">
        <f>IF(CD196=1,VLOOKUP(EA196,'EIA 2022'!$A$2:$Z$213,26,0),"")</f>
        <v/>
      </c>
      <c r="EP196" s="23" t="str">
        <f t="shared" si="54"/>
        <v/>
      </c>
      <c r="EQ196" s="32" t="str">
        <f t="shared" si="55"/>
        <v/>
      </c>
      <c r="ER196" s="32" t="str">
        <f t="shared" si="56"/>
        <v/>
      </c>
      <c r="ES196" s="32"/>
      <c r="ET196" s="32"/>
    </row>
    <row r="197" spans="1:150" ht="15.75" customHeight="1">
      <c r="A197" s="7" t="s">
        <v>793</v>
      </c>
      <c r="B197" s="7" t="s">
        <v>794</v>
      </c>
      <c r="C197" s="32" t="s">
        <v>1068</v>
      </c>
      <c r="D197" s="42">
        <v>177082260</v>
      </c>
      <c r="E197" s="42">
        <v>0</v>
      </c>
      <c r="F197" s="42">
        <v>0</v>
      </c>
      <c r="G197" s="42">
        <v>314258399</v>
      </c>
      <c r="H197" s="42">
        <v>305879519</v>
      </c>
      <c r="I197" s="42">
        <v>5344880</v>
      </c>
      <c r="J197" s="42">
        <v>70807</v>
      </c>
      <c r="K197" s="42">
        <v>577470</v>
      </c>
      <c r="L197" s="42">
        <v>878176</v>
      </c>
      <c r="M197" s="42">
        <v>375157</v>
      </c>
      <c r="N197" s="42">
        <v>268178</v>
      </c>
      <c r="O197" s="42">
        <v>2122699</v>
      </c>
      <c r="P197" s="42">
        <v>2097531</v>
      </c>
      <c r="Q197" s="42">
        <v>705873</v>
      </c>
      <c r="R197" s="42">
        <v>159190</v>
      </c>
      <c r="S197" s="42">
        <v>520592</v>
      </c>
      <c r="T197" s="42">
        <v>10975542</v>
      </c>
      <c r="U197" s="42">
        <v>1336043</v>
      </c>
      <c r="V197" s="42">
        <v>14977</v>
      </c>
      <c r="W197" s="42">
        <v>121293</v>
      </c>
      <c r="X197" s="42">
        <f>IFERROR(VLOOKUP(A197,'Trans 21-23'!$A$2:$J$229,8,0),0)</f>
        <v>503474</v>
      </c>
      <c r="Y197" s="42">
        <v>650604</v>
      </c>
      <c r="Z197" s="42">
        <v>21507</v>
      </c>
      <c r="AA197" s="42">
        <v>12613635</v>
      </c>
      <c r="AB197" s="42">
        <v>24615559</v>
      </c>
      <c r="AC197" s="42">
        <v>612660</v>
      </c>
      <c r="AD197" s="42">
        <v>45830735</v>
      </c>
      <c r="AE197" s="42">
        <v>0</v>
      </c>
      <c r="AF197" s="42">
        <v>614766799</v>
      </c>
      <c r="AG197" s="42">
        <v>208865</v>
      </c>
      <c r="AH197" s="42">
        <v>204160</v>
      </c>
      <c r="AI197" s="42">
        <v>8144146</v>
      </c>
      <c r="AJ197" s="42">
        <v>1503</v>
      </c>
      <c r="AK197" s="42">
        <v>0</v>
      </c>
      <c r="AL197" s="42">
        <v>2364348</v>
      </c>
      <c r="AM197" s="42">
        <v>2079423</v>
      </c>
      <c r="AN197" s="42">
        <v>408527</v>
      </c>
      <c r="AO197" s="42">
        <v>30180</v>
      </c>
      <c r="AP197" s="42">
        <v>755465</v>
      </c>
      <c r="AQ197" s="42">
        <v>5640495</v>
      </c>
      <c r="AR197" s="42">
        <v>2297988</v>
      </c>
      <c r="AS197" s="42">
        <v>7938483</v>
      </c>
      <c r="AT197" s="42">
        <v>0</v>
      </c>
      <c r="AU197" s="42">
        <v>1182</v>
      </c>
      <c r="AV197" s="42">
        <v>0</v>
      </c>
      <c r="AW197" s="42">
        <v>136921923</v>
      </c>
      <c r="AX197" s="42">
        <v>93766931</v>
      </c>
      <c r="AY197" s="42">
        <v>115120266</v>
      </c>
      <c r="AZ197" s="42">
        <v>60222460</v>
      </c>
      <c r="BA197" s="42">
        <v>7562474</v>
      </c>
      <c r="BB197" s="42">
        <v>901839101</v>
      </c>
      <c r="BC197" s="42">
        <v>1906317768</v>
      </c>
      <c r="BD197" s="42">
        <v>60243184</v>
      </c>
      <c r="BE197" s="42">
        <v>237309129</v>
      </c>
      <c r="BF197" s="42">
        <v>28343568</v>
      </c>
      <c r="BG197" s="42">
        <v>0</v>
      </c>
      <c r="BH197" s="42">
        <v>3960317</v>
      </c>
      <c r="BI197" s="42">
        <v>1170535</v>
      </c>
      <c r="BJ197" s="42">
        <v>1233718</v>
      </c>
      <c r="BK197" s="42">
        <v>101884</v>
      </c>
      <c r="BL197" s="42">
        <v>0</v>
      </c>
      <c r="BM197" s="42">
        <v>2196954</v>
      </c>
      <c r="BN197" s="42">
        <v>10857493</v>
      </c>
      <c r="BO197" s="42">
        <v>0</v>
      </c>
      <c r="BP197" s="42">
        <v>1982330</v>
      </c>
      <c r="BQ197" s="42">
        <v>34232925</v>
      </c>
      <c r="BR197" s="42">
        <v>2552</v>
      </c>
      <c r="BS197" s="42">
        <f>IFERROR(VLOOKUP(A197,'Trans 21-23'!$A$2:$J$229,7,0),0)</f>
        <v>45596395</v>
      </c>
      <c r="BT197" s="63"/>
      <c r="BU197" s="32">
        <f t="shared" si="0"/>
        <v>901839101</v>
      </c>
      <c r="BV197" s="32">
        <f t="shared" si="1"/>
        <v>1182</v>
      </c>
      <c r="BW197" s="32">
        <f t="shared" si="2"/>
        <v>208865</v>
      </c>
      <c r="BX197" s="32">
        <f t="shared" si="3"/>
        <v>25568408</v>
      </c>
      <c r="BY197" s="32">
        <f t="shared" si="4"/>
        <v>38513965</v>
      </c>
      <c r="BZ197" s="32">
        <f t="shared" si="5"/>
        <v>60222460</v>
      </c>
      <c r="CA197" s="32">
        <f t="shared" si="6"/>
        <v>45830735</v>
      </c>
      <c r="CB197" s="32">
        <f t="shared" si="7"/>
        <v>204160</v>
      </c>
      <c r="CC197" s="32">
        <f t="shared" si="8"/>
        <v>5640495</v>
      </c>
      <c r="CD197" s="41">
        <f t="shared" si="75"/>
        <v>1</v>
      </c>
      <c r="CE197" s="44">
        <f t="shared" si="10"/>
        <v>9</v>
      </c>
      <c r="CF197" s="27"/>
      <c r="CG197" s="28">
        <f t="shared" si="11"/>
        <v>762.97724280879868</v>
      </c>
      <c r="CH197" s="28">
        <f t="shared" si="12"/>
        <v>5.659157829219831</v>
      </c>
      <c r="CI197" s="28">
        <f t="shared" si="13"/>
        <v>122.41595288822924</v>
      </c>
      <c r="CJ197" s="28">
        <f t="shared" si="14"/>
        <v>288.33198477485456</v>
      </c>
      <c r="CK197" s="23">
        <f t="shared" si="15"/>
        <v>3.6195404835923088E-2</v>
      </c>
      <c r="CL197" s="29" t="str">
        <f t="shared" si="16"/>
        <v/>
      </c>
      <c r="CM197" s="29" t="str">
        <f t="shared" si="17"/>
        <v/>
      </c>
      <c r="CN197" s="29" t="str">
        <f t="shared" si="18"/>
        <v/>
      </c>
      <c r="CO197" s="29" t="str">
        <f t="shared" si="19"/>
        <v/>
      </c>
      <c r="CP197" s="29" t="str">
        <f t="shared" si="20"/>
        <v/>
      </c>
      <c r="CQ197" s="29">
        <f t="shared" si="21"/>
        <v>0</v>
      </c>
      <c r="CR197" s="30"/>
      <c r="CS197" s="7">
        <f>VLOOKUP(A197,'Empresas 21-23'!$A$2:$M$228,13,0)</f>
        <v>1</v>
      </c>
      <c r="CT197" s="30"/>
      <c r="CU197" s="6">
        <f t="shared" si="22"/>
        <v>754318243.79999995</v>
      </c>
      <c r="CV197" s="6">
        <f t="shared" si="23"/>
        <v>60222460</v>
      </c>
      <c r="CW197" s="6">
        <f t="shared" si="24"/>
        <v>60243184</v>
      </c>
      <c r="CX197" s="23">
        <f t="shared" si="91"/>
        <v>0.40860659170420599</v>
      </c>
      <c r="CY197" s="23">
        <f t="shared" si="92"/>
        <v>3.2621899744436328E-2</v>
      </c>
      <c r="CZ197" s="6">
        <f t="shared" si="27"/>
        <v>778934005.8876493</v>
      </c>
      <c r="DA197" s="6">
        <f t="shared" si="28"/>
        <v>62187707.108733632</v>
      </c>
      <c r="DB197" s="6">
        <f t="shared" si="29"/>
        <v>25568408</v>
      </c>
      <c r="DC197" s="6">
        <f t="shared" si="30"/>
        <v>26071882</v>
      </c>
      <c r="DD197" s="6">
        <f t="shared" si="31"/>
        <v>38513965</v>
      </c>
      <c r="DE197" s="6">
        <f t="shared" si="32"/>
        <v>45830735</v>
      </c>
      <c r="DF197" s="6">
        <f t="shared" si="90"/>
        <v>34429095.148712724</v>
      </c>
      <c r="DG197" s="30"/>
      <c r="DH197" s="32">
        <f>VLOOKUP(A197,'T_med_comp-USA'!$A$7:$Q$233,17,0)</f>
        <v>7.9040326098460412</v>
      </c>
      <c r="DI197" s="6" t="str">
        <f t="shared" si="34"/>
        <v>2_2015</v>
      </c>
      <c r="DJ197" s="32">
        <f>IF(DI197="","",VLOOKUP(DI197,'CPI USA'!$T:$U,2,FALSE))</f>
        <v>234.72200000000001</v>
      </c>
      <c r="DK197" s="32">
        <f>IF(DI197="","",VLOOKUP(DI197,'PPI USA'!$S:$T,2,FALSE))</f>
        <v>184.7</v>
      </c>
      <c r="DL197" s="32">
        <f>IF(DI197="","",VLOOKUP(DI197,'CPI USA'!$T:$V,3,FALSE))</f>
        <v>0.6679408278919865</v>
      </c>
      <c r="DM197" s="32">
        <f>IF(DI197="","",VLOOKUP(DI197,'CPI USA'!$T:$X,5,FALSE))</f>
        <v>0.49584761624008583</v>
      </c>
      <c r="DN197" s="32">
        <f t="shared" si="35"/>
        <v>1.3530747060466299</v>
      </c>
      <c r="DO197" s="32">
        <f t="shared" si="36"/>
        <v>1.36062907964979</v>
      </c>
      <c r="DP197" s="32">
        <f t="shared" si="37"/>
        <v>0.2</v>
      </c>
      <c r="DQ197" s="32">
        <f>IF(DP197="","",DP197*$DO$1/'CPI USA'!$U$520+(1-DP197)*AVERAGE($DO$1,$DQ$1)/AVERAGE('CPI USA'!$U$520,'PPI USA'!$T$526))</f>
        <v>1.0854630593748538</v>
      </c>
      <c r="DR197" s="6">
        <f t="shared" si="38"/>
        <v>2506137</v>
      </c>
      <c r="DS197" s="32">
        <f t="shared" si="39"/>
        <v>0.2</v>
      </c>
      <c r="DT197" s="28">
        <f>IF(DS197="","",DS197*$DO$1/'CPI USA'!$U$520+(1-DS197)*AVERAGE($DO$1,$DQ$1)/AVERAGE('CPI USA'!$U$520,'PPI USA'!$T$526))</f>
        <v>1.0854630593748538</v>
      </c>
      <c r="DU197" s="6">
        <f t="shared" si="40"/>
        <v>2196954</v>
      </c>
      <c r="DV197" s="6">
        <f t="shared" si="84"/>
        <v>135038.99146108777</v>
      </c>
      <c r="DW197" s="6">
        <f t="shared" si="41"/>
        <v>1388877.2857238331</v>
      </c>
      <c r="DX197" s="16">
        <f t="shared" si="42"/>
        <v>0.2</v>
      </c>
      <c r="DY197" s="28">
        <f>IF(DX197="","",DX197*$DO$1/'CPI USA'!$U$520+(1-DX197)*AVERAGE($DO$1,$DQ$1)/AVERAGE('CPI USA'!$U$520,'PPI USA'!$T$526))</f>
        <v>1.0854630593748538</v>
      </c>
      <c r="DZ197" s="30"/>
      <c r="EA197" s="29" t="str">
        <f t="shared" si="43"/>
        <v>C007667</v>
      </c>
      <c r="EB197" s="29">
        <f t="shared" si="44"/>
        <v>1053955901.046155</v>
      </c>
      <c r="EC197" s="29">
        <f t="shared" si="45"/>
        <v>84614402.68888694</v>
      </c>
      <c r="ED197" s="29">
        <f t="shared" si="46"/>
        <v>28300064.799380179</v>
      </c>
      <c r="EE197" s="29">
        <f t="shared" si="47"/>
        <v>41805486.277556039</v>
      </c>
      <c r="EF197" s="29">
        <f t="shared" si="48"/>
        <v>37371510.951629646</v>
      </c>
      <c r="EG197" s="29">
        <f t="shared" si="49"/>
        <v>1182</v>
      </c>
      <c r="EH197" s="29">
        <f t="shared" si="50"/>
        <v>208865</v>
      </c>
      <c r="EI197" s="29">
        <f t="shared" si="51"/>
        <v>204160</v>
      </c>
      <c r="EJ197" s="29">
        <f t="shared" si="52"/>
        <v>5640495</v>
      </c>
      <c r="EK197" s="29">
        <f t="shared" si="53"/>
        <v>5809660.258883249</v>
      </c>
      <c r="EL197" s="29">
        <f>IF(CD197=1,VLOOKUP(EA197,'EIA 2022'!$A$2:$J$213,4,0)*EH197,"")</f>
        <v>36175418</v>
      </c>
      <c r="EM197" s="29">
        <f>IF(CD197=1,VLOOKUP(EA197,'EIA 2022'!$A$2:$J$213,7,0)*EH197,"")</f>
        <v>306822.685</v>
      </c>
      <c r="EN197" s="29">
        <f>IF(CD197=1,VLOOKUP(EA197,'EIA 2022'!$A$2:$J$213,10,0),"")</f>
        <v>315259</v>
      </c>
      <c r="EO197" s="28">
        <f>IF(CD197=1,VLOOKUP(EA197,'EIA 2022'!$A$2:$Z$213,26,0),"")</f>
        <v>0</v>
      </c>
      <c r="EP197" s="23">
        <f t="shared" si="54"/>
        <v>2.9117926237525984E-2</v>
      </c>
      <c r="EQ197" s="32">
        <f t="shared" si="55"/>
        <v>34994.741116751451</v>
      </c>
      <c r="ER197" s="32">
        <f t="shared" si="56"/>
        <v>169165.25888324855</v>
      </c>
      <c r="ES197" s="32"/>
      <c r="ET197" s="32"/>
    </row>
    <row r="198" spans="1:150" ht="15.75" customHeight="1">
      <c r="A198" s="7" t="s">
        <v>796</v>
      </c>
      <c r="B198" s="7" t="s">
        <v>797</v>
      </c>
      <c r="C198" s="32" t="s">
        <v>1069</v>
      </c>
      <c r="D198" s="42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f>IFERROR(VLOOKUP(A198,'Trans 21-23'!$A$2:$J$229,8,0),0)</f>
        <v>0</v>
      </c>
      <c r="Y198" s="42">
        <v>0</v>
      </c>
      <c r="Z198" s="42">
        <v>0</v>
      </c>
      <c r="AA198" s="42">
        <v>0</v>
      </c>
      <c r="AB198" s="42">
        <v>0</v>
      </c>
      <c r="AC198" s="42">
        <v>0</v>
      </c>
      <c r="AD198" s="42">
        <v>35691878</v>
      </c>
      <c r="AE198" s="42">
        <v>0</v>
      </c>
      <c r="AF198" s="42">
        <v>46213765</v>
      </c>
      <c r="AG198" s="42">
        <v>0</v>
      </c>
      <c r="AH198" s="42">
        <v>0</v>
      </c>
      <c r="AI198" s="42">
        <v>0</v>
      </c>
      <c r="AJ198" s="42">
        <v>0</v>
      </c>
      <c r="AK198" s="42">
        <v>0</v>
      </c>
      <c r="AL198" s="42">
        <v>0</v>
      </c>
      <c r="AM198" s="42">
        <v>0</v>
      </c>
      <c r="AN198" s="42">
        <v>0</v>
      </c>
      <c r="AO198" s="42">
        <v>0</v>
      </c>
      <c r="AP198" s="42">
        <v>0</v>
      </c>
      <c r="AQ198" s="42">
        <v>0</v>
      </c>
      <c r="AR198" s="42">
        <v>0</v>
      </c>
      <c r="AS198" s="42">
        <v>0</v>
      </c>
      <c r="AT198" s="42">
        <v>0</v>
      </c>
      <c r="AU198" s="42">
        <v>0</v>
      </c>
      <c r="AV198" s="42">
        <v>0</v>
      </c>
      <c r="AW198" s="42">
        <v>0</v>
      </c>
      <c r="AX198" s="42">
        <v>0</v>
      </c>
      <c r="AY198" s="42">
        <v>0</v>
      </c>
      <c r="AZ198" s="42">
        <v>0</v>
      </c>
      <c r="BA198" s="42">
        <v>0</v>
      </c>
      <c r="BB198" s="42">
        <v>0</v>
      </c>
      <c r="BC198" s="42">
        <v>2357842613</v>
      </c>
      <c r="BD198" s="42">
        <v>81516438</v>
      </c>
      <c r="BE198" s="42">
        <v>0</v>
      </c>
      <c r="BF198" s="42">
        <v>0</v>
      </c>
      <c r="BG198" s="42">
        <v>0</v>
      </c>
      <c r="BH198" s="42">
        <v>0</v>
      </c>
      <c r="BI198" s="42">
        <v>0</v>
      </c>
      <c r="BJ198" s="42">
        <v>0</v>
      </c>
      <c r="BK198" s="42">
        <v>0</v>
      </c>
      <c r="BL198" s="42">
        <v>0</v>
      </c>
      <c r="BM198" s="42">
        <v>0</v>
      </c>
      <c r="BN198" s="42">
        <v>0</v>
      </c>
      <c r="BO198" s="42">
        <v>0</v>
      </c>
      <c r="BP198" s="42">
        <v>0</v>
      </c>
      <c r="BQ198" s="42">
        <v>0</v>
      </c>
      <c r="BR198" s="42">
        <v>0</v>
      </c>
      <c r="BS198" s="42">
        <f>IFERROR(VLOOKUP(A198,'Trans 21-23'!$A$2:$J$229,7,0),0)</f>
        <v>0</v>
      </c>
      <c r="BT198" s="63"/>
      <c r="BU198" s="32">
        <f t="shared" si="0"/>
        <v>0</v>
      </c>
      <c r="BV198" s="32">
        <f t="shared" si="1"/>
        <v>0</v>
      </c>
      <c r="BW198" s="32">
        <f t="shared" si="2"/>
        <v>0</v>
      </c>
      <c r="BX198" s="32">
        <f t="shared" si="3"/>
        <v>0</v>
      </c>
      <c r="BY198" s="32">
        <f t="shared" si="4"/>
        <v>0</v>
      </c>
      <c r="BZ198" s="32">
        <f t="shared" si="5"/>
        <v>0</v>
      </c>
      <c r="CA198" s="32">
        <f t="shared" si="6"/>
        <v>35691878</v>
      </c>
      <c r="CB198" s="32">
        <f t="shared" si="7"/>
        <v>0</v>
      </c>
      <c r="CC198" s="32">
        <f t="shared" si="8"/>
        <v>0</v>
      </c>
      <c r="CD198" s="41">
        <f t="shared" si="75"/>
        <v>0</v>
      </c>
      <c r="CE198" s="44">
        <f t="shared" si="10"/>
        <v>64</v>
      </c>
      <c r="CF198" s="27"/>
      <c r="CG198" s="28" t="str">
        <f t="shared" si="11"/>
        <v/>
      </c>
      <c r="CH198" s="28" t="str">
        <f t="shared" si="12"/>
        <v/>
      </c>
      <c r="CI198" s="28" t="str">
        <f t="shared" si="13"/>
        <v/>
      </c>
      <c r="CJ198" s="28" t="str">
        <f t="shared" si="14"/>
        <v/>
      </c>
      <c r="CK198" s="23" t="str">
        <f t="shared" si="15"/>
        <v/>
      </c>
      <c r="CL198" s="29" t="str">
        <f t="shared" si="16"/>
        <v/>
      </c>
      <c r="CM198" s="29" t="str">
        <f t="shared" si="17"/>
        <v/>
      </c>
      <c r="CN198" s="29" t="str">
        <f t="shared" si="18"/>
        <v/>
      </c>
      <c r="CO198" s="29" t="str">
        <f t="shared" si="19"/>
        <v/>
      </c>
      <c r="CP198" s="29" t="str">
        <f t="shared" si="20"/>
        <v/>
      </c>
      <c r="CQ198" s="29" t="str">
        <f t="shared" si="21"/>
        <v/>
      </c>
      <c r="CR198" s="30"/>
      <c r="CS198" s="7" t="str">
        <f>VLOOKUP(A198,'Empresas 21-23'!$A$2:$M$228,13,0)</f>
        <v/>
      </c>
      <c r="CT198" s="30"/>
      <c r="CU198" s="6">
        <f t="shared" si="22"/>
        <v>0</v>
      </c>
      <c r="CV198" s="6">
        <f t="shared" si="23"/>
        <v>0</v>
      </c>
      <c r="CW198" s="6">
        <f t="shared" si="24"/>
        <v>81516438</v>
      </c>
      <c r="CX198" s="23">
        <f t="shared" si="91"/>
        <v>0</v>
      </c>
      <c r="CY198" s="23">
        <f t="shared" si="92"/>
        <v>0</v>
      </c>
      <c r="CZ198" s="6">
        <f t="shared" si="27"/>
        <v>0</v>
      </c>
      <c r="DA198" s="6">
        <f t="shared" si="28"/>
        <v>0</v>
      </c>
      <c r="DB198" s="6">
        <f t="shared" si="29"/>
        <v>0</v>
      </c>
      <c r="DC198" s="6">
        <f t="shared" si="30"/>
        <v>0</v>
      </c>
      <c r="DD198" s="6">
        <f t="shared" si="31"/>
        <v>0</v>
      </c>
      <c r="DE198" s="6">
        <f t="shared" si="32"/>
        <v>35691878</v>
      </c>
      <c r="DF198" s="6">
        <f t="shared" si="90"/>
        <v>0</v>
      </c>
      <c r="DG198" s="30"/>
      <c r="DH198" s="32" t="str">
        <f>VLOOKUP(A198,'T_med_comp-USA'!$A$7:$Q$233,17,0)</f>
        <v>-</v>
      </c>
      <c r="DI198" s="6" t="str">
        <f t="shared" si="34"/>
        <v/>
      </c>
      <c r="DJ198" s="32" t="str">
        <f>IF(DI198="","",VLOOKUP(DI198,'CPI USA'!$T:$U,2,FALSE))</f>
        <v/>
      </c>
      <c r="DK198" s="32" t="str">
        <f>IF(DI198="","",VLOOKUP(DI198,'PPI USA'!$S:$T,2,FALSE))</f>
        <v/>
      </c>
      <c r="DL198" s="32" t="str">
        <f>IF(DI198="","",VLOOKUP(DI198,'CPI USA'!$T:$V,3,FALSE))</f>
        <v/>
      </c>
      <c r="DM198" s="32" t="str">
        <f>IF(DI198="","",VLOOKUP(DI198,'CPI USA'!$T:$X,5,FALSE))</f>
        <v/>
      </c>
      <c r="DN198" s="32" t="str">
        <f t="shared" si="35"/>
        <v/>
      </c>
      <c r="DO198" s="32" t="str">
        <f t="shared" si="36"/>
        <v/>
      </c>
      <c r="DP198" s="32" t="str">
        <f t="shared" si="37"/>
        <v/>
      </c>
      <c r="DQ198" s="32" t="str">
        <f>IF(DP198="","",DP198*$DO$1/'CPI USA'!$U$520+(1-DP198)*AVERAGE($DO$1,$DQ$1)/AVERAGE('CPI USA'!$U$520,'PPI USA'!$T$526))</f>
        <v/>
      </c>
      <c r="DR198" s="6">
        <f t="shared" si="38"/>
        <v>0</v>
      </c>
      <c r="DS198" s="32" t="str">
        <f t="shared" si="39"/>
        <v/>
      </c>
      <c r="DT198" s="28" t="str">
        <f>IF(DS198="","",DS198*$DO$1/'CPI USA'!$U$520+(1-DS198)*AVERAGE($DO$1,$DQ$1)/AVERAGE('CPI USA'!$U$520,'PPI USA'!$T$526))</f>
        <v/>
      </c>
      <c r="DU198" s="6" t="str">
        <f t="shared" si="40"/>
        <v/>
      </c>
      <c r="DV198" s="6" t="str">
        <f t="shared" si="84"/>
        <v/>
      </c>
      <c r="DW198" s="6">
        <f t="shared" si="41"/>
        <v>0</v>
      </c>
      <c r="DX198" s="16" t="str">
        <f t="shared" si="42"/>
        <v/>
      </c>
      <c r="DY198" s="28" t="str">
        <f>IF(DX198="","",DX198*$DO$1/'CPI USA'!$U$520+(1-DX198)*AVERAGE($DO$1,$DQ$1)/AVERAGE('CPI USA'!$U$520,'PPI USA'!$T$526))</f>
        <v/>
      </c>
      <c r="DZ198" s="30"/>
      <c r="EA198" s="29" t="str">
        <f t="shared" si="43"/>
        <v>C007679</v>
      </c>
      <c r="EB198" s="29" t="str">
        <f t="shared" si="44"/>
        <v/>
      </c>
      <c r="EC198" s="29" t="str">
        <f t="shared" si="45"/>
        <v/>
      </c>
      <c r="ED198" s="29" t="str">
        <f t="shared" si="46"/>
        <v/>
      </c>
      <c r="EE198" s="29" t="str">
        <f t="shared" si="47"/>
        <v/>
      </c>
      <c r="EF198" s="29" t="str">
        <f t="shared" si="48"/>
        <v/>
      </c>
      <c r="EG198" s="29" t="str">
        <f t="shared" si="49"/>
        <v/>
      </c>
      <c r="EH198" s="29" t="str">
        <f t="shared" si="50"/>
        <v/>
      </c>
      <c r="EI198" s="29" t="str">
        <f t="shared" si="51"/>
        <v/>
      </c>
      <c r="EJ198" s="29" t="str">
        <f t="shared" si="52"/>
        <v/>
      </c>
      <c r="EK198" s="29" t="str">
        <f t="shared" si="53"/>
        <v/>
      </c>
      <c r="EL198" s="29" t="str">
        <f>IF(CD198=1,VLOOKUP(EA198,'EIA 2022'!$A$2:$J$213,4,0)*EH198,"")</f>
        <v/>
      </c>
      <c r="EM198" s="29" t="str">
        <f>IF(CD198=1,VLOOKUP(EA198,'EIA 2022'!$A$2:$J$213,7,0)*EH198,"")</f>
        <v/>
      </c>
      <c r="EN198" s="29" t="str">
        <f>IF(CD198=1,VLOOKUP(EA198,'EIA 2022'!$A$2:$J$213,10,0),"")</f>
        <v/>
      </c>
      <c r="EO198" s="28" t="str">
        <f>IF(CD198=1,VLOOKUP(EA198,'EIA 2022'!$A$2:$Z$213,26,0),"")</f>
        <v/>
      </c>
      <c r="EP198" s="23" t="str">
        <f t="shared" si="54"/>
        <v/>
      </c>
      <c r="EQ198" s="32" t="str">
        <f t="shared" si="55"/>
        <v/>
      </c>
      <c r="ER198" s="32" t="str">
        <f t="shared" si="56"/>
        <v/>
      </c>
      <c r="ES198" s="32"/>
      <c r="ET198" s="32"/>
    </row>
    <row r="199" spans="1:150" ht="15.75" customHeight="1">
      <c r="A199" s="7" t="s">
        <v>799</v>
      </c>
      <c r="B199" s="7" t="s">
        <v>800</v>
      </c>
      <c r="C199" s="32" t="s">
        <v>1070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f>IFERROR(VLOOKUP(A199,'Trans 21-23'!$A$2:$J$229,8,0),0)</f>
        <v>0</v>
      </c>
      <c r="Y199" s="42">
        <v>0</v>
      </c>
      <c r="Z199" s="42">
        <v>0</v>
      </c>
      <c r="AA199" s="42">
        <v>0</v>
      </c>
      <c r="AB199" s="42">
        <v>650816</v>
      </c>
      <c r="AC199" s="42">
        <v>0</v>
      </c>
      <c r="AD199" s="42">
        <v>518296</v>
      </c>
      <c r="AE199" s="42">
        <v>0</v>
      </c>
      <c r="AF199" s="42">
        <v>2712000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0</v>
      </c>
      <c r="AO199" s="42">
        <v>0</v>
      </c>
      <c r="AP199" s="42">
        <v>0</v>
      </c>
      <c r="AQ199" s="42">
        <v>0</v>
      </c>
      <c r="AR199" s="42">
        <v>0</v>
      </c>
      <c r="AS199" s="42">
        <v>0</v>
      </c>
      <c r="AT199" s="42">
        <v>0</v>
      </c>
      <c r="AU199" s="42">
        <v>0</v>
      </c>
      <c r="AV199" s="42">
        <v>0</v>
      </c>
      <c r="AW199" s="42">
        <v>0</v>
      </c>
      <c r="AX199" s="42">
        <v>0</v>
      </c>
      <c r="AY199" s="42">
        <v>0</v>
      </c>
      <c r="AZ199" s="42">
        <v>0</v>
      </c>
      <c r="BA199" s="42">
        <v>0</v>
      </c>
      <c r="BB199" s="42">
        <v>0</v>
      </c>
      <c r="BC199" s="42">
        <v>2364790</v>
      </c>
      <c r="BD199" s="42">
        <v>0</v>
      </c>
      <c r="BE199" s="42">
        <v>0</v>
      </c>
      <c r="BF199" s="42">
        <v>0</v>
      </c>
      <c r="BG199" s="42">
        <v>0</v>
      </c>
      <c r="BH199" s="42">
        <v>0</v>
      </c>
      <c r="BI199" s="42">
        <v>0</v>
      </c>
      <c r="BJ199" s="42">
        <v>0</v>
      </c>
      <c r="BK199" s="42">
        <v>0</v>
      </c>
      <c r="BL199" s="42">
        <v>0</v>
      </c>
      <c r="BM199" s="42">
        <v>0</v>
      </c>
      <c r="BN199" s="42">
        <v>0</v>
      </c>
      <c r="BO199" s="42">
        <v>0</v>
      </c>
      <c r="BP199" s="42">
        <v>0</v>
      </c>
      <c r="BQ199" s="42">
        <v>0</v>
      </c>
      <c r="BR199" s="42">
        <v>0</v>
      </c>
      <c r="BS199" s="42">
        <f>IFERROR(VLOOKUP(A199,'Trans 21-23'!$A$2:$J$229,7,0),0)</f>
        <v>0</v>
      </c>
      <c r="BT199" s="63"/>
      <c r="BU199" s="32">
        <f t="shared" si="0"/>
        <v>0</v>
      </c>
      <c r="BV199" s="32">
        <f t="shared" si="1"/>
        <v>0</v>
      </c>
      <c r="BW199" s="32">
        <f t="shared" si="2"/>
        <v>0</v>
      </c>
      <c r="BX199" s="32">
        <f t="shared" si="3"/>
        <v>0</v>
      </c>
      <c r="BY199" s="32">
        <f t="shared" si="4"/>
        <v>650816</v>
      </c>
      <c r="BZ199" s="32">
        <f t="shared" si="5"/>
        <v>0</v>
      </c>
      <c r="CA199" s="32">
        <f t="shared" si="6"/>
        <v>518296</v>
      </c>
      <c r="CB199" s="32">
        <f t="shared" si="7"/>
        <v>0</v>
      </c>
      <c r="CC199" s="32">
        <f t="shared" si="8"/>
        <v>0</v>
      </c>
      <c r="CD199" s="41">
        <f t="shared" si="75"/>
        <v>0</v>
      </c>
      <c r="CE199" s="44">
        <f t="shared" si="10"/>
        <v>64</v>
      </c>
      <c r="CF199" s="27"/>
      <c r="CG199" s="28" t="str">
        <f t="shared" si="11"/>
        <v/>
      </c>
      <c r="CH199" s="28" t="str">
        <f t="shared" si="12"/>
        <v/>
      </c>
      <c r="CI199" s="28" t="str">
        <f t="shared" si="13"/>
        <v/>
      </c>
      <c r="CJ199" s="28" t="str">
        <f t="shared" si="14"/>
        <v/>
      </c>
      <c r="CK199" s="23" t="str">
        <f t="shared" si="15"/>
        <v/>
      </c>
      <c r="CL199" s="29" t="str">
        <f t="shared" si="16"/>
        <v/>
      </c>
      <c r="CM199" s="29" t="str">
        <f t="shared" si="17"/>
        <v/>
      </c>
      <c r="CN199" s="29" t="str">
        <f t="shared" si="18"/>
        <v/>
      </c>
      <c r="CO199" s="29" t="str">
        <f t="shared" si="19"/>
        <v/>
      </c>
      <c r="CP199" s="29" t="str">
        <f t="shared" si="20"/>
        <v/>
      </c>
      <c r="CQ199" s="29" t="str">
        <f t="shared" si="21"/>
        <v/>
      </c>
      <c r="CR199" s="30"/>
      <c r="CS199" s="7" t="str">
        <f>VLOOKUP(A199,'Empresas 21-23'!$A$2:$M$228,13,0)</f>
        <v/>
      </c>
      <c r="CT199" s="30"/>
      <c r="CU199" s="6">
        <f t="shared" si="22"/>
        <v>0</v>
      </c>
      <c r="CV199" s="6">
        <f t="shared" si="23"/>
        <v>0</v>
      </c>
      <c r="CW199" s="6">
        <f t="shared" si="24"/>
        <v>0</v>
      </c>
      <c r="CX199" s="23">
        <f t="shared" si="91"/>
        <v>0</v>
      </c>
      <c r="CY199" s="23">
        <f t="shared" si="92"/>
        <v>0</v>
      </c>
      <c r="CZ199" s="6">
        <f t="shared" si="27"/>
        <v>0</v>
      </c>
      <c r="DA199" s="6">
        <f t="shared" si="28"/>
        <v>0</v>
      </c>
      <c r="DB199" s="6">
        <f t="shared" si="29"/>
        <v>0</v>
      </c>
      <c r="DC199" s="6">
        <f t="shared" si="30"/>
        <v>0</v>
      </c>
      <c r="DD199" s="6">
        <f t="shared" si="31"/>
        <v>650816</v>
      </c>
      <c r="DE199" s="6">
        <f t="shared" si="32"/>
        <v>518296</v>
      </c>
      <c r="DF199" s="6">
        <f t="shared" si="90"/>
        <v>153765.19782796587</v>
      </c>
      <c r="DG199" s="30"/>
      <c r="DH199" s="32" t="str">
        <f>VLOOKUP(A199,'T_med_comp-USA'!$A$7:$Q$233,17,0)</f>
        <v>-</v>
      </c>
      <c r="DI199" s="6" t="str">
        <f t="shared" si="34"/>
        <v/>
      </c>
      <c r="DJ199" s="32" t="str">
        <f>IF(DI199="","",VLOOKUP(DI199,'CPI USA'!$T:$U,2,FALSE))</f>
        <v/>
      </c>
      <c r="DK199" s="32" t="str">
        <f>IF(DI199="","",VLOOKUP(DI199,'PPI USA'!$S:$T,2,FALSE))</f>
        <v/>
      </c>
      <c r="DL199" s="32" t="str">
        <f>IF(DI199="","",VLOOKUP(DI199,'CPI USA'!$T:$V,3,FALSE))</f>
        <v/>
      </c>
      <c r="DM199" s="32" t="str">
        <f>IF(DI199="","",VLOOKUP(DI199,'CPI USA'!$T:$X,5,FALSE))</f>
        <v/>
      </c>
      <c r="DN199" s="32" t="str">
        <f t="shared" si="35"/>
        <v/>
      </c>
      <c r="DO199" s="32" t="str">
        <f t="shared" si="36"/>
        <v/>
      </c>
      <c r="DP199" s="32" t="str">
        <f t="shared" si="37"/>
        <v/>
      </c>
      <c r="DQ199" s="32" t="str">
        <f>IF(DP199="","",DP199*$DO$1/'CPI USA'!$U$520+(1-DP199)*AVERAGE($DO$1,$DQ$1)/AVERAGE('CPI USA'!$U$520,'PPI USA'!$T$526))</f>
        <v/>
      </c>
      <c r="DR199" s="6">
        <f t="shared" si="38"/>
        <v>0</v>
      </c>
      <c r="DS199" s="32">
        <f t="shared" si="39"/>
        <v>0.2</v>
      </c>
      <c r="DT199" s="28">
        <f>IF(DS199="","",DS199*$DO$1/'CPI USA'!$U$520+(1-DS199)*AVERAGE($DO$1,$DQ$1)/AVERAGE('CPI USA'!$U$520,'PPI USA'!$T$526))</f>
        <v>1.0854630593748538</v>
      </c>
      <c r="DU199" s="6" t="str">
        <f t="shared" si="40"/>
        <v/>
      </c>
      <c r="DV199" s="6" t="str">
        <f t="shared" si="84"/>
        <v/>
      </c>
      <c r="DW199" s="6">
        <f t="shared" si="41"/>
        <v>0</v>
      </c>
      <c r="DX199" s="16" t="str">
        <f t="shared" si="42"/>
        <v/>
      </c>
      <c r="DY199" s="28" t="str">
        <f>IF(DX199="","",DX199*$DO$1/'CPI USA'!$U$520+(1-DX199)*AVERAGE($DO$1,$DQ$1)/AVERAGE('CPI USA'!$U$520,'PPI USA'!$T$526))</f>
        <v/>
      </c>
      <c r="DZ199" s="30"/>
      <c r="EA199" s="29" t="str">
        <f t="shared" si="43"/>
        <v>C008947</v>
      </c>
      <c r="EB199" s="29" t="str">
        <f t="shared" si="44"/>
        <v/>
      </c>
      <c r="EC199" s="29" t="str">
        <f t="shared" si="45"/>
        <v/>
      </c>
      <c r="ED199" s="29" t="str">
        <f t="shared" si="46"/>
        <v/>
      </c>
      <c r="EE199" s="29" t="str">
        <f t="shared" si="47"/>
        <v/>
      </c>
      <c r="EF199" s="29" t="str">
        <f t="shared" si="48"/>
        <v/>
      </c>
      <c r="EG199" s="29" t="str">
        <f t="shared" si="49"/>
        <v/>
      </c>
      <c r="EH199" s="29" t="str">
        <f t="shared" si="50"/>
        <v/>
      </c>
      <c r="EI199" s="29" t="str">
        <f t="shared" si="51"/>
        <v/>
      </c>
      <c r="EJ199" s="29" t="str">
        <f t="shared" si="52"/>
        <v/>
      </c>
      <c r="EK199" s="29" t="str">
        <f t="shared" si="53"/>
        <v/>
      </c>
      <c r="EL199" s="29" t="str">
        <f>IF(CD199=1,VLOOKUP(EA199,'EIA 2022'!$A$2:$J$213,4,0)*EH199,"")</f>
        <v/>
      </c>
      <c r="EM199" s="29" t="str">
        <f>IF(CD199=1,VLOOKUP(EA199,'EIA 2022'!$A$2:$J$213,7,0)*EH199,"")</f>
        <v/>
      </c>
      <c r="EN199" s="29" t="str">
        <f>IF(CD199=1,VLOOKUP(EA199,'EIA 2022'!$A$2:$J$213,10,0),"")</f>
        <v/>
      </c>
      <c r="EO199" s="28" t="str">
        <f>IF(CD199=1,VLOOKUP(EA199,'EIA 2022'!$A$2:$Z$213,26,0),"")</f>
        <v/>
      </c>
      <c r="EP199" s="23" t="str">
        <f t="shared" si="54"/>
        <v/>
      </c>
      <c r="EQ199" s="32" t="str">
        <f t="shared" si="55"/>
        <v/>
      </c>
      <c r="ER199" s="32" t="str">
        <f t="shared" si="56"/>
        <v/>
      </c>
      <c r="ES199" s="32"/>
      <c r="ET199" s="32"/>
    </row>
    <row r="200" spans="1:150" ht="15.75" customHeight="1">
      <c r="A200" s="7" t="s">
        <v>802</v>
      </c>
      <c r="B200" s="7" t="s">
        <v>803</v>
      </c>
      <c r="C200" s="32" t="s">
        <v>1071</v>
      </c>
      <c r="D200" s="42">
        <v>594353289</v>
      </c>
      <c r="E200" s="42">
        <v>74393639</v>
      </c>
      <c r="F200" s="42">
        <v>0</v>
      </c>
      <c r="G200" s="42">
        <v>193198662</v>
      </c>
      <c r="H200" s="42">
        <v>166044865</v>
      </c>
      <c r="I200" s="42">
        <v>19753019</v>
      </c>
      <c r="J200" s="42">
        <v>610495</v>
      </c>
      <c r="K200" s="42">
        <v>1410666</v>
      </c>
      <c r="L200" s="42">
        <v>957289</v>
      </c>
      <c r="M200" s="42">
        <v>2661359</v>
      </c>
      <c r="N200" s="42">
        <v>1415711</v>
      </c>
      <c r="O200" s="42">
        <v>7075777</v>
      </c>
      <c r="P200" s="42">
        <v>536696</v>
      </c>
      <c r="Q200" s="42">
        <v>4177800</v>
      </c>
      <c r="R200" s="42">
        <v>1515153</v>
      </c>
      <c r="S200" s="42">
        <v>2877537</v>
      </c>
      <c r="T200" s="42">
        <v>56783096</v>
      </c>
      <c r="U200" s="42">
        <v>2877959</v>
      </c>
      <c r="V200" s="42">
        <v>858856</v>
      </c>
      <c r="W200" s="42">
        <v>2749849</v>
      </c>
      <c r="X200" s="42">
        <f>IFERROR(VLOOKUP(A200,'Trans 21-23'!$A$2:$J$229,8,0),0)</f>
        <v>5535384</v>
      </c>
      <c r="Y200" s="42">
        <v>1888884</v>
      </c>
      <c r="Z200" s="42">
        <v>189090</v>
      </c>
      <c r="AA200" s="42">
        <v>38470358</v>
      </c>
      <c r="AB200" s="42">
        <v>69410252</v>
      </c>
      <c r="AC200" s="42">
        <v>1805617</v>
      </c>
      <c r="AD200" s="42">
        <v>210824021</v>
      </c>
      <c r="AE200" s="42">
        <v>0</v>
      </c>
      <c r="AF200" s="42">
        <v>1647602590</v>
      </c>
      <c r="AG200" s="42">
        <v>725188</v>
      </c>
      <c r="AH200" s="42">
        <v>1472868</v>
      </c>
      <c r="AI200" s="42">
        <v>32264417</v>
      </c>
      <c r="AJ200" s="42">
        <v>39111</v>
      </c>
      <c r="AK200" s="42">
        <v>0</v>
      </c>
      <c r="AL200" s="42">
        <v>8024709</v>
      </c>
      <c r="AM200" s="42">
        <v>5599205</v>
      </c>
      <c r="AN200" s="42">
        <v>8485604</v>
      </c>
      <c r="AO200" s="42">
        <v>79254</v>
      </c>
      <c r="AP200" s="42">
        <v>137334</v>
      </c>
      <c r="AQ200" s="42">
        <v>22326106</v>
      </c>
      <c r="AR200" s="42">
        <v>8426332</v>
      </c>
      <c r="AS200" s="42">
        <v>30752438</v>
      </c>
      <c r="AT200" s="42">
        <v>0</v>
      </c>
      <c r="AU200" s="42">
        <v>4759</v>
      </c>
      <c r="AV200" s="42">
        <v>0</v>
      </c>
      <c r="AW200" s="42">
        <v>791623583</v>
      </c>
      <c r="AX200" s="42">
        <v>136480141</v>
      </c>
      <c r="AY200" s="42">
        <v>205986327</v>
      </c>
      <c r="AZ200" s="42">
        <v>216019123</v>
      </c>
      <c r="BA200" s="42">
        <v>112938668</v>
      </c>
      <c r="BB200" s="42">
        <v>4355572406</v>
      </c>
      <c r="BC200" s="42">
        <v>13928582077</v>
      </c>
      <c r="BD200" s="42">
        <v>325105126</v>
      </c>
      <c r="BE200" s="42">
        <v>1264897271</v>
      </c>
      <c r="BF200" s="42">
        <v>113935219</v>
      </c>
      <c r="BG200" s="42">
        <v>0</v>
      </c>
      <c r="BH200" s="42">
        <v>23205830</v>
      </c>
      <c r="BI200" s="42">
        <v>1646803</v>
      </c>
      <c r="BJ200" s="42">
        <v>4074529</v>
      </c>
      <c r="BK200" s="42">
        <v>0</v>
      </c>
      <c r="BL200" s="42">
        <v>0</v>
      </c>
      <c r="BM200" s="42">
        <v>5482352</v>
      </c>
      <c r="BN200" s="42">
        <v>54156232</v>
      </c>
      <c r="BO200" s="42">
        <v>0</v>
      </c>
      <c r="BP200" s="42">
        <v>23325722</v>
      </c>
      <c r="BQ200" s="42">
        <v>132134850</v>
      </c>
      <c r="BR200" s="42">
        <v>0</v>
      </c>
      <c r="BS200" s="42">
        <f>IFERROR(VLOOKUP(A200,'Trans 21-23'!$A$2:$J$229,7,0),0)</f>
        <v>501304364</v>
      </c>
      <c r="BT200" s="63"/>
      <c r="BU200" s="32">
        <f t="shared" si="0"/>
        <v>4355572406</v>
      </c>
      <c r="BV200" s="32">
        <f t="shared" si="1"/>
        <v>4759</v>
      </c>
      <c r="BW200" s="32">
        <f t="shared" si="2"/>
        <v>725188</v>
      </c>
      <c r="BX200" s="32">
        <f t="shared" si="3"/>
        <v>106261262</v>
      </c>
      <c r="BY200" s="32">
        <f t="shared" si="4"/>
        <v>111764201</v>
      </c>
      <c r="BZ200" s="32">
        <f t="shared" si="5"/>
        <v>216019123</v>
      </c>
      <c r="CA200" s="32">
        <f t="shared" si="6"/>
        <v>210824021</v>
      </c>
      <c r="CB200" s="32">
        <f t="shared" si="7"/>
        <v>1472868</v>
      </c>
      <c r="CC200" s="32">
        <f t="shared" si="8"/>
        <v>22326106</v>
      </c>
      <c r="CD200" s="41">
        <f t="shared" si="75"/>
        <v>1</v>
      </c>
      <c r="CE200" s="44">
        <f t="shared" si="10"/>
        <v>10</v>
      </c>
      <c r="CF200" s="27"/>
      <c r="CG200" s="28">
        <f t="shared" si="11"/>
        <v>915.22849464173146</v>
      </c>
      <c r="CH200" s="28">
        <f t="shared" si="12"/>
        <v>6.5624362234344753</v>
      </c>
      <c r="CI200" s="28">
        <f t="shared" si="13"/>
        <v>146.52926137773929</v>
      </c>
      <c r="CJ200" s="28">
        <f t="shared" si="14"/>
        <v>297.88016762549847</v>
      </c>
      <c r="CK200" s="23">
        <f t="shared" si="15"/>
        <v>6.5970662326874194E-2</v>
      </c>
      <c r="CL200" s="29" t="str">
        <f t="shared" si="16"/>
        <v/>
      </c>
      <c r="CM200" s="29" t="str">
        <f t="shared" si="17"/>
        <v/>
      </c>
      <c r="CN200" s="29" t="str">
        <f t="shared" si="18"/>
        <v/>
      </c>
      <c r="CO200" s="29" t="str">
        <f t="shared" si="19"/>
        <v/>
      </c>
      <c r="CP200" s="29" t="str">
        <f t="shared" si="20"/>
        <v/>
      </c>
      <c r="CQ200" s="29">
        <f t="shared" si="21"/>
        <v>0</v>
      </c>
      <c r="CR200" s="30"/>
      <c r="CS200" s="7">
        <f>VLOOKUP(A200,'Empresas 21-23'!$A$2:$M$228,13,0)</f>
        <v>1</v>
      </c>
      <c r="CT200" s="30"/>
      <c r="CU200" s="6">
        <f t="shared" si="22"/>
        <v>4322439098.1999998</v>
      </c>
      <c r="CV200" s="6">
        <f t="shared" si="23"/>
        <v>216019123</v>
      </c>
      <c r="CW200" s="6">
        <f t="shared" si="24"/>
        <v>325105126</v>
      </c>
      <c r="CX200" s="23">
        <f t="shared" si="91"/>
        <v>0.31774517013330583</v>
      </c>
      <c r="CY200" s="23">
        <f t="shared" si="92"/>
        <v>1.5879699269393057E-2</v>
      </c>
      <c r="CZ200" s="6">
        <f t="shared" si="27"/>
        <v>4425739681.7720795</v>
      </c>
      <c r="DA200" s="6">
        <f t="shared" si="28"/>
        <v>221181694.63181815</v>
      </c>
      <c r="DB200" s="6">
        <f t="shared" si="29"/>
        <v>106261262</v>
      </c>
      <c r="DC200" s="6">
        <f t="shared" si="30"/>
        <v>111796646</v>
      </c>
      <c r="DD200" s="6">
        <f t="shared" si="31"/>
        <v>111764201</v>
      </c>
      <c r="DE200" s="6">
        <f t="shared" si="32"/>
        <v>210824021</v>
      </c>
      <c r="DF200" s="6">
        <f t="shared" si="90"/>
        <v>78294073.195232093</v>
      </c>
      <c r="DG200" s="30"/>
      <c r="DH200" s="32">
        <f>VLOOKUP(A200,'T_med_comp-USA'!$A$7:$Q$233,17,0)</f>
        <v>10.9618343296903</v>
      </c>
      <c r="DI200" s="6" t="str">
        <f t="shared" si="34"/>
        <v>1_2012</v>
      </c>
      <c r="DJ200" s="32">
        <f>IF(DI200="","",VLOOKUP(DI200,'CPI USA'!$T:$U,2,FALSE))</f>
        <v>229.59399999999999</v>
      </c>
      <c r="DK200" s="32">
        <f>IF(DI200="","",VLOOKUP(DI200,'PPI USA'!$S:$T,2,FALSE))</f>
        <v>175.1</v>
      </c>
      <c r="DL200" s="32">
        <f>IF(DI200="","",VLOOKUP(DI200,'CPI USA'!$T:$V,3,FALSE))</f>
        <v>0.66730871354337351</v>
      </c>
      <c r="DM200" s="32">
        <f>IF(DI200="","",VLOOKUP(DI200,'CPI USA'!$T:$X,5,FALSE))</f>
        <v>0.49513551903851311</v>
      </c>
      <c r="DN200" s="32">
        <f t="shared" si="35"/>
        <v>1.3897894616766442</v>
      </c>
      <c r="DO200" s="32">
        <f t="shared" si="36"/>
        <v>1.4008620811189902</v>
      </c>
      <c r="DP200" s="32">
        <f t="shared" si="37"/>
        <v>0.21838466401801251</v>
      </c>
      <c r="DQ200" s="32">
        <f>IF(DP200="","",DP200*$DO$1/'CPI USA'!$U$520+(1-DP200)*AVERAGE($DO$1,$DQ$1)/AVERAGE('CPI USA'!$U$520,'PPI USA'!$T$526))</f>
        <v>1.084844616407062</v>
      </c>
      <c r="DR200" s="6">
        <f t="shared" si="38"/>
        <v>5721332</v>
      </c>
      <c r="DS200" s="32">
        <f t="shared" si="39"/>
        <v>0.2</v>
      </c>
      <c r="DT200" s="28">
        <f>IF(DS200="","",DS200*$DO$1/'CPI USA'!$U$520+(1-DS200)*AVERAGE($DO$1,$DQ$1)/AVERAGE('CPI USA'!$U$520,'PPI USA'!$T$526))</f>
        <v>1.0854630593748538</v>
      </c>
      <c r="DU200" s="6">
        <f t="shared" si="40"/>
        <v>5482352</v>
      </c>
      <c r="DV200" s="6">
        <f t="shared" si="84"/>
        <v>1175267.3788374078</v>
      </c>
      <c r="DW200" s="6">
        <f t="shared" si="41"/>
        <v>3556119.5303611425</v>
      </c>
      <c r="DX200" s="16">
        <f t="shared" si="42"/>
        <v>0.2</v>
      </c>
      <c r="DY200" s="28">
        <f>IF(DX200="","",DX200*$DO$1/'CPI USA'!$U$520+(1-DX200)*AVERAGE($DO$1,$DQ$1)/AVERAGE('CPI USA'!$U$520,'PPI USA'!$T$526))</f>
        <v>1.0854630593748538</v>
      </c>
      <c r="DZ200" s="30"/>
      <c r="EA200" s="29" t="str">
        <f t="shared" si="43"/>
        <v>C008998</v>
      </c>
      <c r="EB200" s="29">
        <f t="shared" si="44"/>
        <v>6150846369.8509808</v>
      </c>
      <c r="EC200" s="29">
        <f t="shared" si="45"/>
        <v>309845049.04735374</v>
      </c>
      <c r="ED200" s="29">
        <f t="shared" si="46"/>
        <v>121281989.5454661</v>
      </c>
      <c r="EE200" s="29">
        <f t="shared" si="47"/>
        <v>121315911.54604609</v>
      </c>
      <c r="EF200" s="29">
        <f t="shared" si="48"/>
        <v>84985324.221415356</v>
      </c>
      <c r="EG200" s="29">
        <f t="shared" si="49"/>
        <v>4759</v>
      </c>
      <c r="EH200" s="29">
        <f t="shared" si="50"/>
        <v>725188</v>
      </c>
      <c r="EI200" s="29">
        <f t="shared" si="51"/>
        <v>1472868</v>
      </c>
      <c r="EJ200" s="29">
        <f t="shared" si="52"/>
        <v>22326106</v>
      </c>
      <c r="EK200" s="29">
        <f t="shared" si="53"/>
        <v>23670654.223350253</v>
      </c>
      <c r="EL200" s="29">
        <f>IF(CD200=1,VLOOKUP(EA200,'EIA 2022'!$A$2:$J$213,4,0)*EH200,"")</f>
        <v>285433996.80000001</v>
      </c>
      <c r="EM200" s="29">
        <f>IF(CD200=1,VLOOKUP(EA200,'EIA 2022'!$A$2:$J$213,7,0)*EH200,"")</f>
        <v>1669382.7760000001</v>
      </c>
      <c r="EN200" s="29">
        <f>IF(CD200=1,VLOOKUP(EA200,'EIA 2022'!$A$2:$J$213,10,0),"")</f>
        <v>724291</v>
      </c>
      <c r="EO200" s="28">
        <f>IF(CD200=1,VLOOKUP(EA200,'EIA 2022'!$A$2:$Z$213,26,0),"")</f>
        <v>0</v>
      </c>
      <c r="EP200" s="23">
        <f t="shared" si="54"/>
        <v>5.6802326233294571E-2</v>
      </c>
      <c r="EQ200" s="32">
        <f t="shared" si="55"/>
        <v>128319.77664974704</v>
      </c>
      <c r="ER200" s="32">
        <f t="shared" si="56"/>
        <v>1344548.223350253</v>
      </c>
      <c r="ES200" s="32"/>
      <c r="ET200" s="32"/>
    </row>
    <row r="201" spans="1:150" ht="15.75" customHeight="1">
      <c r="A201" s="7" t="s">
        <v>805</v>
      </c>
      <c r="B201" s="7" t="s">
        <v>806</v>
      </c>
      <c r="C201" s="32" t="s">
        <v>1072</v>
      </c>
      <c r="D201" s="42">
        <v>509262621</v>
      </c>
      <c r="E201" s="42">
        <v>0</v>
      </c>
      <c r="F201" s="42">
        <v>0</v>
      </c>
      <c r="G201" s="42">
        <v>322642544</v>
      </c>
      <c r="H201" s="42">
        <v>67063013</v>
      </c>
      <c r="I201" s="42">
        <v>13676083</v>
      </c>
      <c r="J201" s="42">
        <v>237764</v>
      </c>
      <c r="K201" s="42">
        <v>170777</v>
      </c>
      <c r="L201" s="42">
        <v>1049452</v>
      </c>
      <c r="M201" s="42">
        <v>2096055</v>
      </c>
      <c r="N201" s="42">
        <v>982290</v>
      </c>
      <c r="O201" s="42">
        <v>4425430</v>
      </c>
      <c r="P201" s="42">
        <v>2517249</v>
      </c>
      <c r="Q201" s="42">
        <v>1684887</v>
      </c>
      <c r="R201" s="42">
        <v>708532</v>
      </c>
      <c r="S201" s="42">
        <v>1436426</v>
      </c>
      <c r="T201" s="42">
        <v>34790739</v>
      </c>
      <c r="U201" s="42">
        <v>1704652</v>
      </c>
      <c r="V201" s="42">
        <v>334752</v>
      </c>
      <c r="W201" s="42">
        <v>1598919</v>
      </c>
      <c r="X201" s="42">
        <f>IFERROR(VLOOKUP(A201,'Trans 21-23'!$A$2:$J$229,8,0),0)</f>
        <v>7355120</v>
      </c>
      <c r="Y201" s="42">
        <v>2188029</v>
      </c>
      <c r="Z201" s="42">
        <v>97563</v>
      </c>
      <c r="AA201" s="42">
        <v>29305628</v>
      </c>
      <c r="AB201" s="42">
        <v>9971738</v>
      </c>
      <c r="AC201" s="42">
        <v>1957054</v>
      </c>
      <c r="AD201" s="42">
        <v>109104950</v>
      </c>
      <c r="AE201" s="42">
        <v>0</v>
      </c>
      <c r="AF201" s="42">
        <v>894836209</v>
      </c>
      <c r="AG201" s="42">
        <v>459673</v>
      </c>
      <c r="AH201" s="42">
        <v>817635</v>
      </c>
      <c r="AI201" s="42">
        <v>16688203</v>
      </c>
      <c r="AJ201" s="42">
        <v>8174</v>
      </c>
      <c r="AK201" s="42">
        <v>0</v>
      </c>
      <c r="AL201" s="42">
        <v>5608027</v>
      </c>
      <c r="AM201" s="42">
        <v>4575185</v>
      </c>
      <c r="AN201" s="42">
        <v>2352058</v>
      </c>
      <c r="AO201" s="42">
        <v>74556</v>
      </c>
      <c r="AP201" s="42">
        <v>338580</v>
      </c>
      <c r="AQ201" s="42">
        <v>12948406</v>
      </c>
      <c r="AR201" s="42">
        <v>2913988</v>
      </c>
      <c r="AS201" s="42">
        <v>15862394</v>
      </c>
      <c r="AT201" s="42">
        <v>0</v>
      </c>
      <c r="AU201" s="42">
        <v>2938</v>
      </c>
      <c r="AV201" s="42">
        <v>0</v>
      </c>
      <c r="AW201" s="42">
        <v>543660900</v>
      </c>
      <c r="AX201" s="42">
        <v>55429001</v>
      </c>
      <c r="AY201" s="42">
        <v>113157445</v>
      </c>
      <c r="AZ201" s="42">
        <v>146097619</v>
      </c>
      <c r="BA201" s="42">
        <v>94920381</v>
      </c>
      <c r="BB201" s="42">
        <v>2779966336</v>
      </c>
      <c r="BC201" s="42">
        <v>6832014148</v>
      </c>
      <c r="BD201" s="42">
        <v>234872907</v>
      </c>
      <c r="BE201" s="42">
        <v>562096891</v>
      </c>
      <c r="BF201" s="42">
        <v>92602281</v>
      </c>
      <c r="BG201" s="42">
        <v>0</v>
      </c>
      <c r="BH201" s="42">
        <v>14311683</v>
      </c>
      <c r="BI201" s="42">
        <v>2760176</v>
      </c>
      <c r="BJ201" s="42">
        <v>1812893</v>
      </c>
      <c r="BK201" s="42">
        <v>0</v>
      </c>
      <c r="BL201" s="42">
        <v>0</v>
      </c>
      <c r="BM201" s="42">
        <v>5729103</v>
      </c>
      <c r="BN201" s="42">
        <v>46600444</v>
      </c>
      <c r="BO201" s="42">
        <v>0</v>
      </c>
      <c r="BP201" s="42">
        <v>10505273</v>
      </c>
      <c r="BQ201" s="42">
        <v>97811764</v>
      </c>
      <c r="BR201" s="42">
        <v>0</v>
      </c>
      <c r="BS201" s="42">
        <f>IFERROR(VLOOKUP(A201,'Trans 21-23'!$A$2:$J$229,7,0),0)</f>
        <v>666106244</v>
      </c>
      <c r="BT201" s="63"/>
      <c r="BU201" s="32">
        <f t="shared" si="0"/>
        <v>2779966336</v>
      </c>
      <c r="BV201" s="32">
        <f t="shared" si="1"/>
        <v>2938</v>
      </c>
      <c r="BW201" s="32">
        <f t="shared" si="2"/>
        <v>459673</v>
      </c>
      <c r="BX201" s="32">
        <f t="shared" si="3"/>
        <v>67414007</v>
      </c>
      <c r="BY201" s="32">
        <f t="shared" si="4"/>
        <v>43520012</v>
      </c>
      <c r="BZ201" s="32">
        <f t="shared" si="5"/>
        <v>146097619</v>
      </c>
      <c r="CA201" s="32">
        <f t="shared" si="6"/>
        <v>109104950</v>
      </c>
      <c r="CB201" s="32">
        <f t="shared" si="7"/>
        <v>817635</v>
      </c>
      <c r="CC201" s="32">
        <f t="shared" si="8"/>
        <v>12948406</v>
      </c>
      <c r="CD201" s="41">
        <f t="shared" si="75"/>
        <v>1</v>
      </c>
      <c r="CE201" s="44">
        <f t="shared" si="10"/>
        <v>11</v>
      </c>
      <c r="CF201" s="27"/>
      <c r="CG201" s="28">
        <f t="shared" si="11"/>
        <v>946.21046153846146</v>
      </c>
      <c r="CH201" s="28">
        <f t="shared" si="12"/>
        <v>6.3915000445969197</v>
      </c>
      <c r="CI201" s="28">
        <f t="shared" si="13"/>
        <v>146.65644273211609</v>
      </c>
      <c r="CJ201" s="28">
        <f t="shared" si="14"/>
        <v>317.82945485160104</v>
      </c>
      <c r="CK201" s="23">
        <f t="shared" si="15"/>
        <v>6.3145610355436796E-2</v>
      </c>
      <c r="CL201" s="29" t="str">
        <f t="shared" si="16"/>
        <v/>
      </c>
      <c r="CM201" s="29" t="str">
        <f t="shared" si="17"/>
        <v/>
      </c>
      <c r="CN201" s="29" t="str">
        <f t="shared" si="18"/>
        <v/>
      </c>
      <c r="CO201" s="29" t="str">
        <f t="shared" si="19"/>
        <v/>
      </c>
      <c r="CP201" s="29" t="str">
        <f t="shared" si="20"/>
        <v/>
      </c>
      <c r="CQ201" s="29">
        <f t="shared" si="21"/>
        <v>0</v>
      </c>
      <c r="CR201" s="30"/>
      <c r="CS201" s="7">
        <f>VLOOKUP(A201,'Empresas 21-23'!$A$2:$M$228,13,0)</f>
        <v>1</v>
      </c>
      <c r="CT201" s="30"/>
      <c r="CU201" s="6">
        <f t="shared" si="22"/>
        <v>3103902712.4000001</v>
      </c>
      <c r="CV201" s="6">
        <f t="shared" si="23"/>
        <v>146097619</v>
      </c>
      <c r="CW201" s="6">
        <f t="shared" si="24"/>
        <v>234872907</v>
      </c>
      <c r="CX201" s="23">
        <f t="shared" si="91"/>
        <v>0.47049208119265734</v>
      </c>
      <c r="CY201" s="23">
        <f t="shared" si="92"/>
        <v>2.214559513930528E-2</v>
      </c>
      <c r="CZ201" s="6">
        <f t="shared" si="27"/>
        <v>3214408555.2301993</v>
      </c>
      <c r="DA201" s="6">
        <f t="shared" si="28"/>
        <v>151299019.3076137</v>
      </c>
      <c r="DB201" s="6">
        <f t="shared" si="29"/>
        <v>67414007</v>
      </c>
      <c r="DC201" s="6">
        <f t="shared" si="30"/>
        <v>74769127</v>
      </c>
      <c r="DD201" s="6">
        <f t="shared" si="31"/>
        <v>43520012</v>
      </c>
      <c r="DE201" s="6">
        <f t="shared" si="32"/>
        <v>109104950</v>
      </c>
      <c r="DF201" s="6">
        <f t="shared" si="90"/>
        <v>61631250.813525423</v>
      </c>
      <c r="DG201" s="30"/>
      <c r="DH201" s="32">
        <f>VLOOKUP(A201,'T_med_comp-USA'!$A$7:$Q$233,17,0)</f>
        <v>6.1142899847478338</v>
      </c>
      <c r="DI201" s="6" t="str">
        <f t="shared" si="34"/>
        <v>11_2016</v>
      </c>
      <c r="DJ201" s="32">
        <f>IF(DI201="","",VLOOKUP(DI201,'CPI USA'!$T:$U,2,FALSE))</f>
        <v>241.35300000000001</v>
      </c>
      <c r="DK201" s="32">
        <f>IF(DI201="","",VLOOKUP(DI201,'PPI USA'!$S:$T,2,FALSE))</f>
        <v>176.2</v>
      </c>
      <c r="DL201" s="32">
        <f>IF(DI201="","",VLOOKUP(DI201,'CPI USA'!$T:$V,3,FALSE))</f>
        <v>0.67131212484522451</v>
      </c>
      <c r="DM201" s="32">
        <f>IF(DI201="","",VLOOKUP(DI201,'CPI USA'!$T:$X,5,FALSE))</f>
        <v>0.49965731919331663</v>
      </c>
      <c r="DN201" s="32">
        <f t="shared" si="35"/>
        <v>1.3302735228561504</v>
      </c>
      <c r="DO201" s="32">
        <f t="shared" si="36"/>
        <v>1.3451832834065991</v>
      </c>
      <c r="DP201" s="32">
        <f t="shared" si="37"/>
        <v>0.21229539137170708</v>
      </c>
      <c r="DQ201" s="32">
        <f>IF(DP201="","",DP201*$DO$1/'CPI USA'!$U$520+(1-DP201)*AVERAGE($DO$1,$DQ$1)/AVERAGE('CPI USA'!$U$520,'PPI USA'!$T$526))</f>
        <v>1.0850494538652491</v>
      </c>
      <c r="DR201" s="6">
        <f t="shared" si="38"/>
        <v>4573069</v>
      </c>
      <c r="DS201" s="32">
        <f t="shared" si="39"/>
        <v>0.2</v>
      </c>
      <c r="DT201" s="28">
        <f>IF(DS201="","",DS201*$DO$1/'CPI USA'!$U$520+(1-DS201)*AVERAGE($DO$1,$DQ$1)/AVERAGE('CPI USA'!$U$520,'PPI USA'!$T$526))</f>
        <v>1.0854630593748538</v>
      </c>
      <c r="DU201" s="6">
        <f t="shared" si="40"/>
        <v>5729103</v>
      </c>
      <c r="DV201" s="6">
        <f t="shared" si="84"/>
        <v>689362.15819415997</v>
      </c>
      <c r="DW201" s="6">
        <f t="shared" si="41"/>
        <v>2601072.271610491</v>
      </c>
      <c r="DX201" s="16">
        <f t="shared" si="42"/>
        <v>0.2</v>
      </c>
      <c r="DY201" s="28">
        <f>IF(DX201="","",DX201*$DO$1/'CPI USA'!$U$520+(1-DX201)*AVERAGE($DO$1,$DQ$1)/AVERAGE('CPI USA'!$U$520,'PPI USA'!$T$526))</f>
        <v>1.0854630593748538</v>
      </c>
      <c r="DZ201" s="30"/>
      <c r="EA201" s="29" t="str">
        <f t="shared" si="43"/>
        <v>C008999</v>
      </c>
      <c r="EB201" s="29">
        <f t="shared" si="44"/>
        <v>4276042592.6650262</v>
      </c>
      <c r="EC201" s="29">
        <f t="shared" si="45"/>
        <v>203524911.56841424</v>
      </c>
      <c r="ED201" s="29">
        <f t="shared" si="46"/>
        <v>81128200.417331457</v>
      </c>
      <c r="EE201" s="29">
        <f t="shared" si="47"/>
        <v>47239365.369550347</v>
      </c>
      <c r="EF201" s="29">
        <f t="shared" si="48"/>
        <v>66898446.061148249</v>
      </c>
      <c r="EG201" s="29">
        <f t="shared" si="49"/>
        <v>2938</v>
      </c>
      <c r="EH201" s="29">
        <f t="shared" si="50"/>
        <v>459673</v>
      </c>
      <c r="EI201" s="29">
        <f t="shared" si="51"/>
        <v>817635</v>
      </c>
      <c r="EJ201" s="29">
        <f t="shared" si="52"/>
        <v>12948406</v>
      </c>
      <c r="EK201" s="29">
        <f t="shared" si="53"/>
        <v>13721665.54822335</v>
      </c>
      <c r="EL201" s="29">
        <f>IF(CD201=1,VLOOKUP(EA201,'EIA 2022'!$A$2:$J$213,4,0)*EH201,"")</f>
        <v>152243697.59999999</v>
      </c>
      <c r="EM201" s="29">
        <f>IF(CD201=1,VLOOKUP(EA201,'EIA 2022'!$A$2:$J$213,7,0)*EH201,"")</f>
        <v>1094021.74</v>
      </c>
      <c r="EN201" s="29">
        <f>IF(CD201=1,VLOOKUP(EA201,'EIA 2022'!$A$2:$J$213,10,0),"")</f>
        <v>460268</v>
      </c>
      <c r="EO201" s="28">
        <f>IF(CD201=1,VLOOKUP(EA201,'EIA 2022'!$A$2:$Z$213,26,0),"")</f>
        <v>0</v>
      </c>
      <c r="EP201" s="23">
        <f t="shared" si="54"/>
        <v>5.6353184349655722E-2</v>
      </c>
      <c r="EQ201" s="32">
        <f t="shared" si="55"/>
        <v>44375.451776649803</v>
      </c>
      <c r="ER201" s="32">
        <f t="shared" si="56"/>
        <v>773259.5482233502</v>
      </c>
      <c r="ES201" s="32"/>
      <c r="ET201" s="32"/>
    </row>
    <row r="202" spans="1:150" ht="15.75" customHeight="1">
      <c r="A202" s="7" t="s">
        <v>808</v>
      </c>
      <c r="B202" s="7" t="s">
        <v>809</v>
      </c>
      <c r="C202" s="32" t="s">
        <v>1073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  <c r="M202" s="42">
        <v>0</v>
      </c>
      <c r="N202" s="42">
        <v>0</v>
      </c>
      <c r="O202" s="42">
        <v>0</v>
      </c>
      <c r="P202" s="42">
        <v>0</v>
      </c>
      <c r="Q202" s="42">
        <v>0</v>
      </c>
      <c r="R202" s="42">
        <v>0</v>
      </c>
      <c r="S202" s="42">
        <v>0</v>
      </c>
      <c r="T202" s="42">
        <v>0</v>
      </c>
      <c r="U202" s="42">
        <v>0</v>
      </c>
      <c r="V202" s="42">
        <v>0</v>
      </c>
      <c r="W202" s="42">
        <v>0</v>
      </c>
      <c r="X202" s="42">
        <f>IFERROR(VLOOKUP(A202,'Trans 21-23'!$A$2:$J$229,8,0),0)</f>
        <v>0</v>
      </c>
      <c r="Y202" s="42">
        <v>0</v>
      </c>
      <c r="Z202" s="42">
        <v>0</v>
      </c>
      <c r="AA202" s="42">
        <v>0</v>
      </c>
      <c r="AB202" s="42">
        <v>0</v>
      </c>
      <c r="AC202" s="42">
        <v>0</v>
      </c>
      <c r="AD202" s="42">
        <v>4838298</v>
      </c>
      <c r="AE202" s="42">
        <v>0</v>
      </c>
      <c r="AF202" s="42">
        <v>9646986</v>
      </c>
      <c r="AG202" s="42">
        <v>0</v>
      </c>
      <c r="AH202" s="42">
        <v>0</v>
      </c>
      <c r="AI202" s="42">
        <v>0</v>
      </c>
      <c r="AJ202" s="42">
        <v>0</v>
      </c>
      <c r="AK202" s="42">
        <v>0</v>
      </c>
      <c r="AL202" s="42">
        <v>0</v>
      </c>
      <c r="AM202" s="42">
        <v>0</v>
      </c>
      <c r="AN202" s="42">
        <v>0</v>
      </c>
      <c r="AO202" s="42">
        <v>0</v>
      </c>
      <c r="AP202" s="42">
        <v>0</v>
      </c>
      <c r="AQ202" s="42">
        <v>0</v>
      </c>
      <c r="AR202" s="42">
        <v>0</v>
      </c>
      <c r="AS202" s="42">
        <v>0</v>
      </c>
      <c r="AT202" s="42">
        <v>0</v>
      </c>
      <c r="AU202" s="42">
        <v>0</v>
      </c>
      <c r="AV202" s="42">
        <v>0</v>
      </c>
      <c r="AW202" s="42">
        <v>0</v>
      </c>
      <c r="AX202" s="42">
        <v>0</v>
      </c>
      <c r="AY202" s="42">
        <v>0</v>
      </c>
      <c r="AZ202" s="42">
        <v>0</v>
      </c>
      <c r="BA202" s="42">
        <v>0</v>
      </c>
      <c r="BB202" s="42">
        <v>0</v>
      </c>
      <c r="BC202" s="42">
        <v>36978534</v>
      </c>
      <c r="BD202" s="42">
        <v>159747</v>
      </c>
      <c r="BE202" s="42">
        <v>0</v>
      </c>
      <c r="BF202" s="42">
        <v>0</v>
      </c>
      <c r="BG202" s="42">
        <v>0</v>
      </c>
      <c r="BH202" s="42">
        <v>0</v>
      </c>
      <c r="BI202" s="42">
        <v>0</v>
      </c>
      <c r="BJ202" s="42">
        <v>0</v>
      </c>
      <c r="BK202" s="42">
        <v>0</v>
      </c>
      <c r="BL202" s="42">
        <v>0</v>
      </c>
      <c r="BM202" s="42">
        <v>0</v>
      </c>
      <c r="BN202" s="42">
        <v>0</v>
      </c>
      <c r="BO202" s="42">
        <v>0</v>
      </c>
      <c r="BP202" s="42">
        <v>0</v>
      </c>
      <c r="BQ202" s="42">
        <v>0</v>
      </c>
      <c r="BR202" s="42">
        <v>0</v>
      </c>
      <c r="BS202" s="42">
        <f>IFERROR(VLOOKUP(A202,'Trans 21-23'!$A$2:$J$229,7,0),0)</f>
        <v>0</v>
      </c>
      <c r="BT202" s="63"/>
      <c r="BU202" s="32">
        <f t="shared" si="0"/>
        <v>0</v>
      </c>
      <c r="BV202" s="32">
        <f t="shared" si="1"/>
        <v>0</v>
      </c>
      <c r="BW202" s="32">
        <f t="shared" si="2"/>
        <v>0</v>
      </c>
      <c r="BX202" s="32">
        <f t="shared" si="3"/>
        <v>0</v>
      </c>
      <c r="BY202" s="32">
        <f t="shared" si="4"/>
        <v>0</v>
      </c>
      <c r="BZ202" s="32">
        <f t="shared" si="5"/>
        <v>0</v>
      </c>
      <c r="CA202" s="32">
        <f t="shared" si="6"/>
        <v>4838298</v>
      </c>
      <c r="CB202" s="32">
        <f t="shared" si="7"/>
        <v>0</v>
      </c>
      <c r="CC202" s="32">
        <f t="shared" si="8"/>
        <v>0</v>
      </c>
      <c r="CD202" s="41">
        <f t="shared" si="75"/>
        <v>0</v>
      </c>
      <c r="CE202" s="44">
        <f t="shared" si="10"/>
        <v>64</v>
      </c>
      <c r="CF202" s="27"/>
      <c r="CG202" s="28" t="str">
        <f t="shared" si="11"/>
        <v/>
      </c>
      <c r="CH202" s="28" t="str">
        <f t="shared" si="12"/>
        <v/>
      </c>
      <c r="CI202" s="28" t="str">
        <f t="shared" si="13"/>
        <v/>
      </c>
      <c r="CJ202" s="28" t="str">
        <f t="shared" si="14"/>
        <v/>
      </c>
      <c r="CK202" s="23" t="str">
        <f t="shared" si="15"/>
        <v/>
      </c>
      <c r="CL202" s="29" t="str">
        <f t="shared" si="16"/>
        <v/>
      </c>
      <c r="CM202" s="29" t="str">
        <f t="shared" si="17"/>
        <v/>
      </c>
      <c r="CN202" s="29" t="str">
        <f t="shared" si="18"/>
        <v/>
      </c>
      <c r="CO202" s="29" t="str">
        <f t="shared" si="19"/>
        <v/>
      </c>
      <c r="CP202" s="29" t="str">
        <f t="shared" si="20"/>
        <v/>
      </c>
      <c r="CQ202" s="29" t="str">
        <f t="shared" si="21"/>
        <v/>
      </c>
      <c r="CR202" s="30"/>
      <c r="CS202" s="7" t="str">
        <f>VLOOKUP(A202,'Empresas 21-23'!$A$2:$M$228,13,0)</f>
        <v/>
      </c>
      <c r="CT202" s="30"/>
      <c r="CU202" s="6">
        <f t="shared" si="22"/>
        <v>0</v>
      </c>
      <c r="CV202" s="6">
        <f t="shared" si="23"/>
        <v>0</v>
      </c>
      <c r="CW202" s="6">
        <f t="shared" si="24"/>
        <v>159747</v>
      </c>
      <c r="CX202" s="23">
        <f t="shared" si="91"/>
        <v>0</v>
      </c>
      <c r="CY202" s="23">
        <f t="shared" si="92"/>
        <v>0</v>
      </c>
      <c r="CZ202" s="6">
        <f t="shared" si="27"/>
        <v>0</v>
      </c>
      <c r="DA202" s="6">
        <f t="shared" si="28"/>
        <v>0</v>
      </c>
      <c r="DB202" s="6">
        <f t="shared" si="29"/>
        <v>0</v>
      </c>
      <c r="DC202" s="6">
        <f t="shared" si="30"/>
        <v>0</v>
      </c>
      <c r="DD202" s="6">
        <f t="shared" si="31"/>
        <v>0</v>
      </c>
      <c r="DE202" s="6">
        <f t="shared" si="32"/>
        <v>4838298</v>
      </c>
      <c r="DF202" s="6">
        <f t="shared" si="90"/>
        <v>0</v>
      </c>
      <c r="DG202" s="30"/>
      <c r="DH202" s="32" t="str">
        <f>VLOOKUP(A202,'T_med_comp-USA'!$A$7:$Q$233,17,0)</f>
        <v>-</v>
      </c>
      <c r="DI202" s="6" t="str">
        <f t="shared" si="34"/>
        <v/>
      </c>
      <c r="DJ202" s="32" t="str">
        <f>IF(DI202="","",VLOOKUP(DI202,'CPI USA'!$T:$U,2,FALSE))</f>
        <v/>
      </c>
      <c r="DK202" s="32" t="str">
        <f>IF(DI202="","",VLOOKUP(DI202,'PPI USA'!$S:$T,2,FALSE))</f>
        <v/>
      </c>
      <c r="DL202" s="32" t="str">
        <f>IF(DI202="","",VLOOKUP(DI202,'CPI USA'!$T:$V,3,FALSE))</f>
        <v/>
      </c>
      <c r="DM202" s="32" t="str">
        <f>IF(DI202="","",VLOOKUP(DI202,'CPI USA'!$T:$X,5,FALSE))</f>
        <v/>
      </c>
      <c r="DN202" s="32" t="str">
        <f t="shared" si="35"/>
        <v/>
      </c>
      <c r="DO202" s="32" t="str">
        <f t="shared" si="36"/>
        <v/>
      </c>
      <c r="DP202" s="32" t="str">
        <f t="shared" si="37"/>
        <v/>
      </c>
      <c r="DQ202" s="32" t="str">
        <f>IF(DP202="","",DP202*$DO$1/'CPI USA'!$U$520+(1-DP202)*AVERAGE($DO$1,$DQ$1)/AVERAGE('CPI USA'!$U$520,'PPI USA'!$T$526))</f>
        <v/>
      </c>
      <c r="DR202" s="6">
        <f t="shared" si="38"/>
        <v>0</v>
      </c>
      <c r="DS202" s="32" t="str">
        <f t="shared" si="39"/>
        <v/>
      </c>
      <c r="DT202" s="28" t="str">
        <f>IF(DS202="","",DS202*$DO$1/'CPI USA'!$U$520+(1-DS202)*AVERAGE($DO$1,$DQ$1)/AVERAGE('CPI USA'!$U$520,'PPI USA'!$T$526))</f>
        <v/>
      </c>
      <c r="DU202" s="6" t="str">
        <f t="shared" si="40"/>
        <v/>
      </c>
      <c r="DV202" s="6" t="str">
        <f t="shared" si="84"/>
        <v/>
      </c>
      <c r="DW202" s="6">
        <f t="shared" si="41"/>
        <v>0</v>
      </c>
      <c r="DX202" s="16" t="str">
        <f t="shared" si="42"/>
        <v/>
      </c>
      <c r="DY202" s="28" t="str">
        <f>IF(DX202="","",DX202*$DO$1/'CPI USA'!$U$520+(1-DX202)*AVERAGE($DO$1,$DQ$1)/AVERAGE('CPI USA'!$U$520,'PPI USA'!$T$526))</f>
        <v/>
      </c>
      <c r="DZ202" s="30"/>
      <c r="EA202" s="29" t="str">
        <f t="shared" si="43"/>
        <v>C009068</v>
      </c>
      <c r="EB202" s="29" t="str">
        <f t="shared" si="44"/>
        <v/>
      </c>
      <c r="EC202" s="29" t="str">
        <f t="shared" si="45"/>
        <v/>
      </c>
      <c r="ED202" s="29" t="str">
        <f t="shared" si="46"/>
        <v/>
      </c>
      <c r="EE202" s="29" t="str">
        <f t="shared" si="47"/>
        <v/>
      </c>
      <c r="EF202" s="29" t="str">
        <f t="shared" si="48"/>
        <v/>
      </c>
      <c r="EG202" s="29" t="str">
        <f t="shared" si="49"/>
        <v/>
      </c>
      <c r="EH202" s="29" t="str">
        <f t="shared" si="50"/>
        <v/>
      </c>
      <c r="EI202" s="29" t="str">
        <f t="shared" si="51"/>
        <v/>
      </c>
      <c r="EJ202" s="29" t="str">
        <f t="shared" si="52"/>
        <v/>
      </c>
      <c r="EK202" s="29" t="str">
        <f t="shared" si="53"/>
        <v/>
      </c>
      <c r="EL202" s="29" t="str">
        <f>IF(CD202=1,VLOOKUP(EA202,'EIA 2022'!$A$2:$J$213,4,0)*EH202,"")</f>
        <v/>
      </c>
      <c r="EM202" s="29" t="str">
        <f>IF(CD202=1,VLOOKUP(EA202,'EIA 2022'!$A$2:$J$213,7,0)*EH202,"")</f>
        <v/>
      </c>
      <c r="EN202" s="29" t="str">
        <f>IF(CD202=1,VLOOKUP(EA202,'EIA 2022'!$A$2:$J$213,10,0),"")</f>
        <v/>
      </c>
      <c r="EO202" s="28" t="str">
        <f>IF(CD202=1,VLOOKUP(EA202,'EIA 2022'!$A$2:$Z$213,26,0),"")</f>
        <v/>
      </c>
      <c r="EP202" s="23" t="str">
        <f t="shared" si="54"/>
        <v/>
      </c>
      <c r="EQ202" s="32" t="str">
        <f t="shared" si="55"/>
        <v/>
      </c>
      <c r="ER202" s="32" t="str">
        <f t="shared" si="56"/>
        <v/>
      </c>
      <c r="ES202" s="32"/>
      <c r="ET202" s="32"/>
    </row>
    <row r="203" spans="1:150" ht="15.75" customHeight="1">
      <c r="A203" s="7" t="s">
        <v>811</v>
      </c>
      <c r="B203" s="7" t="s">
        <v>812</v>
      </c>
      <c r="C203" s="32" t="s">
        <v>1074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  <c r="M203" s="42">
        <v>0</v>
      </c>
      <c r="N203" s="42">
        <v>0</v>
      </c>
      <c r="O203" s="42">
        <v>0</v>
      </c>
      <c r="P203" s="42">
        <v>0</v>
      </c>
      <c r="Q203" s="42">
        <v>0</v>
      </c>
      <c r="R203" s="42">
        <v>0</v>
      </c>
      <c r="S203" s="42">
        <v>0</v>
      </c>
      <c r="T203" s="42">
        <v>0</v>
      </c>
      <c r="U203" s="42">
        <v>0</v>
      </c>
      <c r="V203" s="42">
        <v>0</v>
      </c>
      <c r="W203" s="42">
        <v>0</v>
      </c>
      <c r="X203" s="42">
        <f>IFERROR(VLOOKUP(A203,'Trans 21-23'!$A$2:$J$229,8,0),0)</f>
        <v>0</v>
      </c>
      <c r="Y203" s="42">
        <v>0</v>
      </c>
      <c r="Z203" s="42">
        <v>0</v>
      </c>
      <c r="AA203" s="42">
        <v>0</v>
      </c>
      <c r="AB203" s="42">
        <v>0</v>
      </c>
      <c r="AC203" s="42">
        <v>0</v>
      </c>
      <c r="AD203" s="42">
        <v>843255</v>
      </c>
      <c r="AE203" s="42">
        <v>0</v>
      </c>
      <c r="AF203" s="42">
        <v>1160851</v>
      </c>
      <c r="AG203" s="42">
        <v>0</v>
      </c>
      <c r="AH203" s="42">
        <v>0</v>
      </c>
      <c r="AI203" s="42">
        <v>0</v>
      </c>
      <c r="AJ203" s="42">
        <v>0</v>
      </c>
      <c r="AK203" s="42">
        <v>0</v>
      </c>
      <c r="AL203" s="42">
        <v>0</v>
      </c>
      <c r="AM203" s="42">
        <v>0</v>
      </c>
      <c r="AN203" s="42">
        <v>0</v>
      </c>
      <c r="AO203" s="42">
        <v>0</v>
      </c>
      <c r="AP203" s="42">
        <v>0</v>
      </c>
      <c r="AQ203" s="42">
        <v>0</v>
      </c>
      <c r="AR203" s="42">
        <v>0</v>
      </c>
      <c r="AS203" s="42">
        <v>0</v>
      </c>
      <c r="AT203" s="42">
        <v>0</v>
      </c>
      <c r="AU203" s="42">
        <v>0</v>
      </c>
      <c r="AV203" s="42">
        <v>0</v>
      </c>
      <c r="AW203" s="42">
        <v>0</v>
      </c>
      <c r="AX203" s="42">
        <v>0</v>
      </c>
      <c r="AY203" s="42">
        <v>0</v>
      </c>
      <c r="AZ203" s="42">
        <v>0</v>
      </c>
      <c r="BA203" s="42">
        <v>0</v>
      </c>
      <c r="BB203" s="42">
        <v>0</v>
      </c>
      <c r="BC203" s="42">
        <v>50696103</v>
      </c>
      <c r="BD203" s="42">
        <v>0</v>
      </c>
      <c r="BE203" s="42">
        <v>0</v>
      </c>
      <c r="BF203" s="42">
        <v>0</v>
      </c>
      <c r="BG203" s="42">
        <v>0</v>
      </c>
      <c r="BH203" s="42">
        <v>0</v>
      </c>
      <c r="BI203" s="42">
        <v>0</v>
      </c>
      <c r="BJ203" s="42">
        <v>0</v>
      </c>
      <c r="BK203" s="42">
        <v>0</v>
      </c>
      <c r="BL203" s="42">
        <v>0</v>
      </c>
      <c r="BM203" s="42">
        <v>0</v>
      </c>
      <c r="BN203" s="42">
        <v>0</v>
      </c>
      <c r="BO203" s="42">
        <v>0</v>
      </c>
      <c r="BP203" s="42">
        <v>0</v>
      </c>
      <c r="BQ203" s="42">
        <v>0</v>
      </c>
      <c r="BR203" s="42">
        <v>0</v>
      </c>
      <c r="BS203" s="42">
        <f>IFERROR(VLOOKUP(A203,'Trans 21-23'!$A$2:$J$229,7,0),0)</f>
        <v>0</v>
      </c>
      <c r="BT203" s="63"/>
      <c r="BU203" s="32">
        <f t="shared" si="0"/>
        <v>0</v>
      </c>
      <c r="BV203" s="32">
        <f t="shared" si="1"/>
        <v>0</v>
      </c>
      <c r="BW203" s="32">
        <f t="shared" si="2"/>
        <v>0</v>
      </c>
      <c r="BX203" s="32">
        <f t="shared" si="3"/>
        <v>0</v>
      </c>
      <c r="BY203" s="32">
        <f t="shared" si="4"/>
        <v>0</v>
      </c>
      <c r="BZ203" s="32">
        <f t="shared" si="5"/>
        <v>0</v>
      </c>
      <c r="CA203" s="32">
        <f t="shared" si="6"/>
        <v>843255</v>
      </c>
      <c r="CB203" s="32">
        <f t="shared" si="7"/>
        <v>0</v>
      </c>
      <c r="CC203" s="32">
        <f t="shared" si="8"/>
        <v>0</v>
      </c>
      <c r="CD203" s="41">
        <f t="shared" si="75"/>
        <v>0</v>
      </c>
      <c r="CE203" s="44">
        <f t="shared" si="10"/>
        <v>65</v>
      </c>
      <c r="CF203" s="27"/>
      <c r="CG203" s="28" t="str">
        <f t="shared" si="11"/>
        <v/>
      </c>
      <c r="CH203" s="28" t="str">
        <f t="shared" si="12"/>
        <v/>
      </c>
      <c r="CI203" s="28" t="str">
        <f t="shared" si="13"/>
        <v/>
      </c>
      <c r="CJ203" s="28" t="str">
        <f t="shared" si="14"/>
        <v/>
      </c>
      <c r="CK203" s="23" t="str">
        <f t="shared" si="15"/>
        <v/>
      </c>
      <c r="CL203" s="29" t="str">
        <f t="shared" si="16"/>
        <v/>
      </c>
      <c r="CM203" s="29" t="str">
        <f t="shared" si="17"/>
        <v/>
      </c>
      <c r="CN203" s="29" t="str">
        <f t="shared" si="18"/>
        <v/>
      </c>
      <c r="CO203" s="29" t="str">
        <f t="shared" si="19"/>
        <v/>
      </c>
      <c r="CP203" s="29" t="str">
        <f t="shared" si="20"/>
        <v/>
      </c>
      <c r="CQ203" s="29" t="str">
        <f t="shared" si="21"/>
        <v/>
      </c>
      <c r="CR203" s="30"/>
      <c r="CS203" s="7" t="str">
        <f>VLOOKUP(A203,'Empresas 21-23'!$A$2:$M$228,13,0)</f>
        <v/>
      </c>
      <c r="CT203" s="30"/>
      <c r="CU203" s="6">
        <f t="shared" si="22"/>
        <v>0</v>
      </c>
      <c r="CV203" s="6">
        <f t="shared" si="23"/>
        <v>0</v>
      </c>
      <c r="CW203" s="6">
        <f t="shared" si="24"/>
        <v>0</v>
      </c>
      <c r="CX203" s="23">
        <f t="shared" si="91"/>
        <v>0</v>
      </c>
      <c r="CY203" s="23">
        <f t="shared" si="92"/>
        <v>0</v>
      </c>
      <c r="CZ203" s="6">
        <f t="shared" si="27"/>
        <v>0</v>
      </c>
      <c r="DA203" s="6">
        <f t="shared" si="28"/>
        <v>0</v>
      </c>
      <c r="DB203" s="6">
        <f t="shared" si="29"/>
        <v>0</v>
      </c>
      <c r="DC203" s="6">
        <f t="shared" si="30"/>
        <v>0</v>
      </c>
      <c r="DD203" s="6">
        <f t="shared" si="31"/>
        <v>0</v>
      </c>
      <c r="DE203" s="6">
        <f t="shared" si="32"/>
        <v>843255</v>
      </c>
      <c r="DF203" s="6">
        <f t="shared" si="90"/>
        <v>0</v>
      </c>
      <c r="DG203" s="30"/>
      <c r="DH203" s="32" t="str">
        <f>VLOOKUP(A203,'T_med_comp-USA'!$A$7:$Q$233,17,0)</f>
        <v>-</v>
      </c>
      <c r="DI203" s="6" t="str">
        <f t="shared" si="34"/>
        <v/>
      </c>
      <c r="DJ203" s="32" t="str">
        <f>IF(DI203="","",VLOOKUP(DI203,'CPI USA'!$T:$U,2,FALSE))</f>
        <v/>
      </c>
      <c r="DK203" s="32" t="str">
        <f>IF(DI203="","",VLOOKUP(DI203,'PPI USA'!$S:$T,2,FALSE))</f>
        <v/>
      </c>
      <c r="DL203" s="32" t="str">
        <f>IF(DI203="","",VLOOKUP(DI203,'CPI USA'!$T:$V,3,FALSE))</f>
        <v/>
      </c>
      <c r="DM203" s="32" t="str">
        <f>IF(DI203="","",VLOOKUP(DI203,'CPI USA'!$T:$X,5,FALSE))</f>
        <v/>
      </c>
      <c r="DN203" s="32" t="str">
        <f t="shared" si="35"/>
        <v/>
      </c>
      <c r="DO203" s="32" t="str">
        <f t="shared" si="36"/>
        <v/>
      </c>
      <c r="DP203" s="32" t="str">
        <f t="shared" si="37"/>
        <v/>
      </c>
      <c r="DQ203" s="32" t="str">
        <f>IF(DP203="","",DP203*$DO$1/'CPI USA'!$U$520+(1-DP203)*AVERAGE($DO$1,$DQ$1)/AVERAGE('CPI USA'!$U$520,'PPI USA'!$T$526))</f>
        <v/>
      </c>
      <c r="DR203" s="6">
        <f t="shared" si="38"/>
        <v>0</v>
      </c>
      <c r="DS203" s="32" t="str">
        <f t="shared" si="39"/>
        <v/>
      </c>
      <c r="DT203" s="28" t="str">
        <f>IF(DS203="","",DS203*$DO$1/'CPI USA'!$U$520+(1-DS203)*AVERAGE($DO$1,$DQ$1)/AVERAGE('CPI USA'!$U$520,'PPI USA'!$T$526))</f>
        <v/>
      </c>
      <c r="DU203" s="6" t="str">
        <f t="shared" si="40"/>
        <v/>
      </c>
      <c r="DV203" s="6" t="str">
        <f t="shared" si="84"/>
        <v/>
      </c>
      <c r="DW203" s="6">
        <f t="shared" si="41"/>
        <v>0</v>
      </c>
      <c r="DX203" s="16" t="str">
        <f t="shared" si="42"/>
        <v/>
      </c>
      <c r="DY203" s="28" t="str">
        <f>IF(DX203="","",DX203*$DO$1/'CPI USA'!$U$520+(1-DX203)*AVERAGE($DO$1,$DQ$1)/AVERAGE('CPI USA'!$U$520,'PPI USA'!$T$526))</f>
        <v/>
      </c>
      <c r="DZ203" s="30"/>
      <c r="EA203" s="29" t="str">
        <f t="shared" si="43"/>
        <v>C010151</v>
      </c>
      <c r="EB203" s="29" t="str">
        <f t="shared" si="44"/>
        <v/>
      </c>
      <c r="EC203" s="29" t="str">
        <f t="shared" si="45"/>
        <v/>
      </c>
      <c r="ED203" s="29" t="str">
        <f t="shared" si="46"/>
        <v/>
      </c>
      <c r="EE203" s="29" t="str">
        <f t="shared" si="47"/>
        <v/>
      </c>
      <c r="EF203" s="29" t="str">
        <f t="shared" si="48"/>
        <v/>
      </c>
      <c r="EG203" s="29" t="str">
        <f t="shared" si="49"/>
        <v/>
      </c>
      <c r="EH203" s="29" t="str">
        <f t="shared" si="50"/>
        <v/>
      </c>
      <c r="EI203" s="29" t="str">
        <f t="shared" si="51"/>
        <v/>
      </c>
      <c r="EJ203" s="29" t="str">
        <f t="shared" si="52"/>
        <v/>
      </c>
      <c r="EK203" s="29" t="str">
        <f t="shared" si="53"/>
        <v/>
      </c>
      <c r="EL203" s="29" t="str">
        <f>IF(CD203=1,VLOOKUP(EA203,'EIA 2022'!$A$2:$J$213,4,0)*EH203,"")</f>
        <v/>
      </c>
      <c r="EM203" s="29" t="str">
        <f>IF(CD203=1,VLOOKUP(EA203,'EIA 2022'!$A$2:$J$213,7,0)*EH203,"")</f>
        <v/>
      </c>
      <c r="EN203" s="29" t="str">
        <f>IF(CD203=1,VLOOKUP(EA203,'EIA 2022'!$A$2:$J$213,10,0),"")</f>
        <v/>
      </c>
      <c r="EO203" s="28" t="str">
        <f>IF(CD203=1,VLOOKUP(EA203,'EIA 2022'!$A$2:$Z$213,26,0),"")</f>
        <v/>
      </c>
      <c r="EP203" s="23" t="str">
        <f t="shared" si="54"/>
        <v/>
      </c>
      <c r="EQ203" s="32" t="str">
        <f t="shared" si="55"/>
        <v/>
      </c>
      <c r="ER203" s="32" t="str">
        <f t="shared" si="56"/>
        <v/>
      </c>
      <c r="ES203" s="32"/>
      <c r="ET203" s="32"/>
    </row>
    <row r="204" spans="1:150" ht="15.75" customHeight="1">
      <c r="A204" s="7" t="s">
        <v>841</v>
      </c>
      <c r="B204" s="7" t="s">
        <v>842</v>
      </c>
      <c r="C204" s="32" t="s">
        <v>1075</v>
      </c>
      <c r="D204" s="42">
        <v>0</v>
      </c>
      <c r="E204" s="42">
        <v>0</v>
      </c>
      <c r="F204" s="42">
        <v>242511</v>
      </c>
      <c r="G204" s="42">
        <v>10223060</v>
      </c>
      <c r="H204" s="42">
        <v>10223060</v>
      </c>
      <c r="I204" s="42">
        <v>660927</v>
      </c>
      <c r="J204" s="42">
        <v>20650</v>
      </c>
      <c r="K204" s="42">
        <v>0</v>
      </c>
      <c r="L204" s="42">
        <v>0</v>
      </c>
      <c r="M204" s="42">
        <v>0</v>
      </c>
      <c r="N204" s="42">
        <v>0</v>
      </c>
      <c r="O204" s="42">
        <v>406115</v>
      </c>
      <c r="P204" s="42">
        <v>0</v>
      </c>
      <c r="Q204" s="42">
        <v>0</v>
      </c>
      <c r="R204" s="42">
        <v>98926</v>
      </c>
      <c r="S204" s="42">
        <v>93262</v>
      </c>
      <c r="T204" s="42">
        <v>1108213</v>
      </c>
      <c r="U204" s="42">
        <v>466859</v>
      </c>
      <c r="V204" s="42">
        <v>53717</v>
      </c>
      <c r="W204" s="42">
        <v>51255</v>
      </c>
      <c r="X204" s="42">
        <f>IFERROR(VLOOKUP(A204,'Trans 21-23'!$A$2:$J$229,8,0),0)</f>
        <v>361281</v>
      </c>
      <c r="Y204" s="42">
        <v>446224</v>
      </c>
      <c r="Z204" s="42">
        <v>67524</v>
      </c>
      <c r="AA204" s="42">
        <v>1358492</v>
      </c>
      <c r="AB204" s="42">
        <v>272</v>
      </c>
      <c r="AC204" s="42">
        <v>0</v>
      </c>
      <c r="AD204" s="42">
        <v>5742668</v>
      </c>
      <c r="AE204" s="42">
        <v>0</v>
      </c>
      <c r="AF204" s="42">
        <v>25221428</v>
      </c>
      <c r="AG204" s="42">
        <v>17701</v>
      </c>
      <c r="AH204" s="42">
        <v>19545</v>
      </c>
      <c r="AI204" s="42">
        <v>429294</v>
      </c>
      <c r="AJ204" s="42">
        <v>4677</v>
      </c>
      <c r="AK204" s="42">
        <v>0</v>
      </c>
      <c r="AL204" s="42">
        <v>162982</v>
      </c>
      <c r="AM204" s="42">
        <v>51037</v>
      </c>
      <c r="AN204" s="42">
        <v>116995</v>
      </c>
      <c r="AO204" s="42">
        <v>1097</v>
      </c>
      <c r="AP204" s="42">
        <v>72961</v>
      </c>
      <c r="AQ204" s="42">
        <v>405072</v>
      </c>
      <c r="AR204" s="42">
        <v>0</v>
      </c>
      <c r="AS204" s="42">
        <v>405072</v>
      </c>
      <c r="AT204" s="42">
        <v>0</v>
      </c>
      <c r="AU204" s="42">
        <v>88</v>
      </c>
      <c r="AV204" s="42">
        <v>0</v>
      </c>
      <c r="AW204" s="42">
        <v>10149040</v>
      </c>
      <c r="AX204" s="42">
        <v>2747128</v>
      </c>
      <c r="AY204" s="42">
        <v>7852728</v>
      </c>
      <c r="AZ204" s="42">
        <v>9356171</v>
      </c>
      <c r="BA204" s="42">
        <v>416398</v>
      </c>
      <c r="BB204" s="42">
        <v>59248574</v>
      </c>
      <c r="BC204" s="42">
        <v>263634588</v>
      </c>
      <c r="BD204" s="42">
        <v>19173847</v>
      </c>
      <c r="BE204" s="42">
        <v>39375142</v>
      </c>
      <c r="BF204" s="42">
        <v>1592249</v>
      </c>
      <c r="BG204" s="42">
        <v>0</v>
      </c>
      <c r="BH204" s="42">
        <v>893380</v>
      </c>
      <c r="BI204" s="42">
        <v>683442</v>
      </c>
      <c r="BJ204" s="42">
        <v>0</v>
      </c>
      <c r="BK204" s="42">
        <v>0</v>
      </c>
      <c r="BL204" s="42">
        <v>0</v>
      </c>
      <c r="BM204" s="42">
        <v>2002486</v>
      </c>
      <c r="BN204" s="42">
        <v>6371242</v>
      </c>
      <c r="BO204" s="42">
        <v>4426301</v>
      </c>
      <c r="BP204" s="42">
        <v>1158691</v>
      </c>
      <c r="BQ204" s="42">
        <v>7979171</v>
      </c>
      <c r="BR204" s="42">
        <v>0</v>
      </c>
      <c r="BS204" s="42">
        <f>IFERROR(VLOOKUP(A204,'Trans 21-23'!$A$2:$J$229,7,0),0)</f>
        <v>32718956</v>
      </c>
      <c r="BT204" s="63"/>
      <c r="BU204" s="32">
        <f t="shared" si="0"/>
        <v>59248574</v>
      </c>
      <c r="BV204" s="32">
        <f t="shared" si="1"/>
        <v>88</v>
      </c>
      <c r="BW204" s="32">
        <f t="shared" si="2"/>
        <v>17701</v>
      </c>
      <c r="BX204" s="32">
        <f t="shared" si="3"/>
        <v>2959924</v>
      </c>
      <c r="BY204" s="32">
        <f t="shared" si="4"/>
        <v>1872512</v>
      </c>
      <c r="BZ204" s="32">
        <f t="shared" si="5"/>
        <v>9356171</v>
      </c>
      <c r="CA204" s="32">
        <f t="shared" si="6"/>
        <v>5742668</v>
      </c>
      <c r="CB204" s="32">
        <f t="shared" si="7"/>
        <v>19545</v>
      </c>
      <c r="CC204" s="32">
        <f t="shared" si="8"/>
        <v>405072</v>
      </c>
      <c r="CD204" s="41">
        <f t="shared" si="75"/>
        <v>1</v>
      </c>
      <c r="CE204" s="44">
        <f t="shared" si="10"/>
        <v>19</v>
      </c>
      <c r="CF204" s="27"/>
      <c r="CG204" s="28">
        <f t="shared" si="11"/>
        <v>673.27925000000005</v>
      </c>
      <c r="CH204" s="28">
        <f t="shared" si="12"/>
        <v>4.9714705383876616</v>
      </c>
      <c r="CI204" s="28">
        <f t="shared" si="13"/>
        <v>167.21789729393819</v>
      </c>
      <c r="CJ204" s="28">
        <f t="shared" si="14"/>
        <v>528.56736907519348</v>
      </c>
      <c r="CK204" s="23">
        <f t="shared" si="15"/>
        <v>4.8250681360350753E-2</v>
      </c>
      <c r="CL204" s="29" t="str">
        <f t="shared" si="16"/>
        <v/>
      </c>
      <c r="CM204" s="29" t="str">
        <f t="shared" si="17"/>
        <v/>
      </c>
      <c r="CN204" s="29" t="str">
        <f t="shared" si="18"/>
        <v/>
      </c>
      <c r="CO204" s="29" t="str">
        <f t="shared" si="19"/>
        <v/>
      </c>
      <c r="CP204" s="29" t="str">
        <f t="shared" si="20"/>
        <v/>
      </c>
      <c r="CQ204" s="29">
        <f t="shared" si="21"/>
        <v>0</v>
      </c>
      <c r="CR204" s="30"/>
      <c r="CS204" s="7">
        <f>VLOOKUP(A204,'Empresas 21-23'!$A$2:$M$228,13,0)</f>
        <v>1</v>
      </c>
      <c r="CT204" s="30"/>
      <c r="CU204" s="6">
        <f t="shared" si="22"/>
        <v>75835047.400000006</v>
      </c>
      <c r="CV204" s="6">
        <f t="shared" si="23"/>
        <v>9356171</v>
      </c>
      <c r="CW204" s="6">
        <f t="shared" si="24"/>
        <v>19173847</v>
      </c>
      <c r="CX204" s="23">
        <f t="shared" si="91"/>
        <v>0.31021360358226191</v>
      </c>
      <c r="CY204" s="23">
        <f t="shared" si="92"/>
        <v>3.8272693446511317E-2</v>
      </c>
      <c r="CZ204" s="6">
        <f t="shared" si="27"/>
        <v>81783035.572404951</v>
      </c>
      <c r="DA204" s="6">
        <f t="shared" si="28"/>
        <v>10090005.768421311</v>
      </c>
      <c r="DB204" s="6">
        <f t="shared" si="29"/>
        <v>2959924</v>
      </c>
      <c r="DC204" s="6">
        <f t="shared" si="30"/>
        <v>3321205</v>
      </c>
      <c r="DD204" s="6">
        <f t="shared" si="31"/>
        <v>1872512</v>
      </c>
      <c r="DE204" s="6">
        <f t="shared" si="32"/>
        <v>5742668</v>
      </c>
      <c r="DF204" s="6">
        <f t="shared" si="90"/>
        <v>3309127.5925708427</v>
      </c>
      <c r="DG204" s="30"/>
      <c r="DH204" s="32">
        <f>VLOOKUP(A204,'T_med_comp-USA'!$A$7:$Q$233,17,0)</f>
        <v>24.540016693502423</v>
      </c>
      <c r="DI204" s="6" t="str">
        <f t="shared" si="34"/>
        <v>6_1998</v>
      </c>
      <c r="DJ204" s="32">
        <f>IF(DI204="","",VLOOKUP(DI204,'CPI USA'!$T:$U,2,FALSE))</f>
        <v>163</v>
      </c>
      <c r="DK204" s="32">
        <f>IF(DI204="","",VLOOKUP(DI204,'PPI USA'!$S:$T,2,FALSE))</f>
        <v>109.3</v>
      </c>
      <c r="DL204" s="32">
        <f>IF(DI204="","",VLOOKUP(DI204,'CPI USA'!$T:$V,3,FALSE))</f>
        <v>0.67911382420215016</v>
      </c>
      <c r="DM204" s="32">
        <f>IF(DI204="","",VLOOKUP(DI204,'CPI USA'!$T:$X,5,FALSE))</f>
        <v>0.50855065569507585</v>
      </c>
      <c r="DN204" s="32">
        <f t="shared" si="35"/>
        <v>1.9922219446913065</v>
      </c>
      <c r="DO204" s="32">
        <f t="shared" si="36"/>
        <v>2.0266485694269241</v>
      </c>
      <c r="DP204" s="32">
        <f t="shared" si="37"/>
        <v>0.51151280084326156</v>
      </c>
      <c r="DQ204" s="32">
        <f>IF(DP204="","",DP204*$DO$1/'CPI USA'!$U$520+(1-DP204)*AVERAGE($DO$1,$DQ$1)/AVERAGE('CPI USA'!$U$520,'PPI USA'!$T$526))</f>
        <v>1.0749840590042266</v>
      </c>
      <c r="DR204" s="6">
        <f t="shared" si="38"/>
        <v>683442</v>
      </c>
      <c r="DS204" s="32">
        <f t="shared" si="39"/>
        <v>0.61855439307315285</v>
      </c>
      <c r="DT204" s="28">
        <f>IF(DS204="","",DS204*$DO$1/'CPI USA'!$U$520+(1-DS204)*AVERAGE($DO$1,$DQ$1)/AVERAGE('CPI USA'!$U$520,'PPI USA'!$T$526))</f>
        <v>1.0713832795768221</v>
      </c>
      <c r="DU204" s="6">
        <f t="shared" si="40"/>
        <v>3393675.6274362206</v>
      </c>
      <c r="DV204" s="6">
        <f t="shared" si="84"/>
        <v>340190.50064306328</v>
      </c>
      <c r="DW204" s="6">
        <f t="shared" si="41"/>
        <v>924096.47221220483</v>
      </c>
      <c r="DX204" s="16">
        <f t="shared" si="42"/>
        <v>0.27925682717307354</v>
      </c>
      <c r="DY204" s="28">
        <f>IF(DX204="","",DX204*$DO$1/'CPI USA'!$U$520+(1-DX204)*AVERAGE($DO$1,$DQ$1)/AVERAGE('CPI USA'!$U$520,'PPI USA'!$T$526))</f>
        <v>1.0827969335557119</v>
      </c>
      <c r="DZ204" s="30"/>
      <c r="EA204" s="29" t="str">
        <f t="shared" si="43"/>
        <v>C011150</v>
      </c>
      <c r="EB204" s="29">
        <f t="shared" si="44"/>
        <v>162929958.1708149</v>
      </c>
      <c r="EC204" s="29">
        <f t="shared" si="45"/>
        <v>20448895.75608046</v>
      </c>
      <c r="ED204" s="29">
        <f t="shared" si="46"/>
        <v>3570242.4316851324</v>
      </c>
      <c r="EE204" s="29">
        <f t="shared" si="47"/>
        <v>2006178.0476069544</v>
      </c>
      <c r="EF204" s="29">
        <f t="shared" si="48"/>
        <v>3583113.2099803039</v>
      </c>
      <c r="EG204" s="29">
        <f t="shared" si="49"/>
        <v>88</v>
      </c>
      <c r="EH204" s="29">
        <f t="shared" si="50"/>
        <v>17701</v>
      </c>
      <c r="EI204" s="29">
        <f t="shared" si="51"/>
        <v>19545</v>
      </c>
      <c r="EJ204" s="29">
        <f t="shared" si="52"/>
        <v>405072</v>
      </c>
      <c r="EK204" s="29">
        <f t="shared" si="53"/>
        <v>424617</v>
      </c>
      <c r="EL204" s="29">
        <f>IF(CD204=1,VLOOKUP(EA204,'EIA 2022'!$A$2:$J$213,4,0)*EH204,"")</f>
        <v>2483804.3199999998</v>
      </c>
      <c r="EM204" s="29">
        <f>IF(CD204=1,VLOOKUP(EA204,'EIA 2022'!$A$2:$J$213,7,0)*EH204,"")</f>
        <v>72220.08</v>
      </c>
      <c r="EN204" s="29">
        <f>IF(CD204=1,VLOOKUP(EA204,'EIA 2022'!$A$2:$J$213,10,0),"")</f>
        <v>17583</v>
      </c>
      <c r="EO204" s="28">
        <f>IF(CD204=1,VLOOKUP(EA204,'EIA 2022'!$A$2:$Z$213,26,0),"")</f>
        <v>0</v>
      </c>
      <c r="EP204" s="23">
        <f t="shared" si="54"/>
        <v>4.6029716191297101E-2</v>
      </c>
      <c r="EQ204" s="32">
        <f t="shared" si="55"/>
        <v>0</v>
      </c>
      <c r="ER204" s="32">
        <f t="shared" si="56"/>
        <v>19545</v>
      </c>
      <c r="ES204" s="32"/>
      <c r="ET204" s="32"/>
    </row>
    <row r="205" spans="1:150" ht="15.75" customHeight="1">
      <c r="A205" s="7" t="s">
        <v>844</v>
      </c>
      <c r="B205" s="7" t="s">
        <v>845</v>
      </c>
      <c r="C205" s="32" t="s">
        <v>1076</v>
      </c>
      <c r="D205" s="42">
        <v>0</v>
      </c>
      <c r="E205" s="42">
        <v>0</v>
      </c>
      <c r="F205" s="42">
        <v>0</v>
      </c>
      <c r="G205" s="42">
        <v>69420494</v>
      </c>
      <c r="H205" s="42">
        <v>69424605</v>
      </c>
      <c r="I205" s="42">
        <v>49971</v>
      </c>
      <c r="J205" s="42">
        <v>14096</v>
      </c>
      <c r="K205" s="42">
        <v>40569</v>
      </c>
      <c r="L205" s="42">
        <v>29590</v>
      </c>
      <c r="M205" s="42">
        <v>35962</v>
      </c>
      <c r="N205" s="42">
        <v>2925</v>
      </c>
      <c r="O205" s="42">
        <v>358886</v>
      </c>
      <c r="P205" s="42">
        <v>5235</v>
      </c>
      <c r="Q205" s="42">
        <v>98811</v>
      </c>
      <c r="R205" s="42">
        <v>0</v>
      </c>
      <c r="S205" s="42">
        <v>3200</v>
      </c>
      <c r="T205" s="42">
        <v>556701</v>
      </c>
      <c r="U205" s="42">
        <v>47233</v>
      </c>
      <c r="V205" s="42">
        <v>0</v>
      </c>
      <c r="W205" s="42">
        <v>0</v>
      </c>
      <c r="X205" s="42">
        <f>IFERROR(VLOOKUP(A205,'Trans 21-23'!$A$2:$J$229,8,0),0)</f>
        <v>45515</v>
      </c>
      <c r="Y205" s="42">
        <v>247147</v>
      </c>
      <c r="Z205" s="42">
        <v>5069</v>
      </c>
      <c r="AA205" s="42">
        <v>761607</v>
      </c>
      <c r="AB205" s="42">
        <v>1122354</v>
      </c>
      <c r="AC205" s="42">
        <v>0</v>
      </c>
      <c r="AD205" s="42">
        <v>3947347</v>
      </c>
      <c r="AE205" s="42">
        <v>0</v>
      </c>
      <c r="AF205" s="42">
        <v>76920762</v>
      </c>
      <c r="AG205" s="42">
        <v>15242</v>
      </c>
      <c r="AH205" s="42">
        <v>4729</v>
      </c>
      <c r="AI205" s="42">
        <v>925054</v>
      </c>
      <c r="AJ205" s="42">
        <v>0</v>
      </c>
      <c r="AK205" s="42">
        <v>0</v>
      </c>
      <c r="AL205" s="42">
        <v>94322</v>
      </c>
      <c r="AM205" s="42">
        <v>121790</v>
      </c>
      <c r="AN205" s="42">
        <v>700329</v>
      </c>
      <c r="AO205" s="42">
        <v>1890</v>
      </c>
      <c r="AP205" s="42">
        <v>0</v>
      </c>
      <c r="AQ205" s="42">
        <v>920325</v>
      </c>
      <c r="AR205" s="42">
        <v>0</v>
      </c>
      <c r="AS205" s="42">
        <v>920325</v>
      </c>
      <c r="AT205" s="42">
        <v>0</v>
      </c>
      <c r="AU205" s="42">
        <v>139</v>
      </c>
      <c r="AV205" s="42">
        <v>0</v>
      </c>
      <c r="AW205" s="42">
        <v>7155363</v>
      </c>
      <c r="AX205" s="42">
        <v>34822</v>
      </c>
      <c r="AY205" s="42">
        <v>6322428</v>
      </c>
      <c r="AZ205" s="42">
        <v>3876007</v>
      </c>
      <c r="BA205" s="42">
        <v>490894</v>
      </c>
      <c r="BB205" s="42">
        <v>45847446</v>
      </c>
      <c r="BC205" s="42">
        <v>81636906</v>
      </c>
      <c r="BD205" s="42">
        <v>3526260</v>
      </c>
      <c r="BE205" s="42">
        <v>26453529</v>
      </c>
      <c r="BF205" s="42">
        <v>1713626</v>
      </c>
      <c r="BG205" s="42">
        <v>0</v>
      </c>
      <c r="BH205" s="42">
        <v>857006</v>
      </c>
      <c r="BI205" s="42">
        <v>296097</v>
      </c>
      <c r="BJ205" s="42">
        <v>122649</v>
      </c>
      <c r="BK205" s="42">
        <v>0</v>
      </c>
      <c r="BL205" s="42">
        <v>0</v>
      </c>
      <c r="BM205" s="42">
        <v>902823</v>
      </c>
      <c r="BN205" s="42">
        <v>2201867</v>
      </c>
      <c r="BO205" s="42">
        <v>70823</v>
      </c>
      <c r="BP205" s="42">
        <v>547044</v>
      </c>
      <c r="BQ205" s="42">
        <v>7842420</v>
      </c>
      <c r="BR205" s="42">
        <v>1994</v>
      </c>
      <c r="BS205" s="42">
        <f>IFERROR(VLOOKUP(A205,'Trans 21-23'!$A$2:$J$229,7,0),0)</f>
        <v>4121988</v>
      </c>
      <c r="BT205" s="63"/>
      <c r="BU205" s="32">
        <f t="shared" si="0"/>
        <v>45847446</v>
      </c>
      <c r="BV205" s="32">
        <f t="shared" si="1"/>
        <v>139</v>
      </c>
      <c r="BW205" s="32">
        <f t="shared" si="2"/>
        <v>15242</v>
      </c>
      <c r="BX205" s="32">
        <f t="shared" si="3"/>
        <v>1243179</v>
      </c>
      <c r="BY205" s="32">
        <f t="shared" si="4"/>
        <v>2136177</v>
      </c>
      <c r="BZ205" s="32">
        <f t="shared" si="5"/>
        <v>3876007</v>
      </c>
      <c r="CA205" s="32">
        <f t="shared" si="6"/>
        <v>3947347</v>
      </c>
      <c r="CB205" s="32">
        <f t="shared" si="7"/>
        <v>4729</v>
      </c>
      <c r="CC205" s="32">
        <f t="shared" si="8"/>
        <v>920325</v>
      </c>
      <c r="CD205" s="41">
        <f t="shared" si="75"/>
        <v>1</v>
      </c>
      <c r="CE205" s="44">
        <f t="shared" si="10"/>
        <v>17</v>
      </c>
      <c r="CF205" s="27"/>
      <c r="CG205" s="28">
        <f t="shared" si="11"/>
        <v>329.83774100719427</v>
      </c>
      <c r="CH205" s="28">
        <f t="shared" si="12"/>
        <v>9.1195381183571715</v>
      </c>
      <c r="CI205" s="28">
        <f t="shared" si="13"/>
        <v>81.562721427634173</v>
      </c>
      <c r="CJ205" s="28">
        <f t="shared" si="14"/>
        <v>254.29779556488648</v>
      </c>
      <c r="CK205" s="23">
        <f t="shared" si="15"/>
        <v>5.1384021948768102E-3</v>
      </c>
      <c r="CL205" s="29" t="str">
        <f t="shared" si="16"/>
        <v/>
      </c>
      <c r="CM205" s="29" t="str">
        <f t="shared" si="17"/>
        <v/>
      </c>
      <c r="CN205" s="29" t="str">
        <f t="shared" si="18"/>
        <v/>
      </c>
      <c r="CO205" s="29" t="str">
        <f t="shared" si="19"/>
        <v/>
      </c>
      <c r="CP205" s="29" t="str">
        <f t="shared" si="20"/>
        <v/>
      </c>
      <c r="CQ205" s="29">
        <f t="shared" si="21"/>
        <v>0</v>
      </c>
      <c r="CR205" s="30"/>
      <c r="CS205" s="7">
        <f>VLOOKUP(A205,'Empresas 21-23'!$A$2:$M$228,13,0)</f>
        <v>1</v>
      </c>
      <c r="CT205" s="30"/>
      <c r="CU205" s="6">
        <f t="shared" si="22"/>
        <v>41788183</v>
      </c>
      <c r="CV205" s="6">
        <f t="shared" si="23"/>
        <v>3876007</v>
      </c>
      <c r="CW205" s="6">
        <f t="shared" si="24"/>
        <v>3526260</v>
      </c>
      <c r="CX205" s="23">
        <f t="shared" si="91"/>
        <v>0.53498703621014732</v>
      </c>
      <c r="CY205" s="23">
        <f t="shared" si="92"/>
        <v>4.9622006710839391E-2</v>
      </c>
      <c r="CZ205" s="6">
        <f t="shared" si="27"/>
        <v>43674686.386306398</v>
      </c>
      <c r="DA205" s="6">
        <f t="shared" si="28"/>
        <v>4050987.0973841646</v>
      </c>
      <c r="DB205" s="6">
        <f t="shared" si="29"/>
        <v>1243179</v>
      </c>
      <c r="DC205" s="6">
        <f t="shared" si="30"/>
        <v>1288694</v>
      </c>
      <c r="DD205" s="6">
        <f t="shared" si="31"/>
        <v>2136177</v>
      </c>
      <c r="DE205" s="6">
        <f t="shared" si="32"/>
        <v>3947347</v>
      </c>
      <c r="DF205" s="6">
        <f t="shared" si="90"/>
        <v>3809489.4534328408</v>
      </c>
      <c r="DG205" s="30"/>
      <c r="DH205" s="32">
        <f>VLOOKUP(A205,'T_med_comp-USA'!$A$7:$Q$233,17,0)</f>
        <v>15.229845418198073</v>
      </c>
      <c r="DI205" s="6" t="str">
        <f t="shared" si="34"/>
        <v>10_2007</v>
      </c>
      <c r="DJ205" s="32">
        <f>IF(DI205="","",VLOOKUP(DI205,'CPI USA'!$T:$U,2,FALSE))</f>
        <v>207.34200000000001</v>
      </c>
      <c r="DK205" s="32">
        <f>IF(DI205="","",VLOOKUP(DI205,'PPI USA'!$S:$T,2,FALSE))</f>
        <v>151.69999999999999</v>
      </c>
      <c r="DL205" s="32">
        <f>IF(DI205="","",VLOOKUP(DI205,'CPI USA'!$T:$V,3,FALSE))</f>
        <v>0.67123734379962852</v>
      </c>
      <c r="DM205" s="32">
        <f>IF(DI205="","",VLOOKUP(DI205,'CPI USA'!$T:$X,5,FALSE))</f>
        <v>0.49957259686190569</v>
      </c>
      <c r="DN205" s="32">
        <f t="shared" si="35"/>
        <v>1.5480022216582647</v>
      </c>
      <c r="DO205" s="32">
        <f t="shared" si="36"/>
        <v>1.5651038394149617</v>
      </c>
      <c r="DP205" s="32">
        <f t="shared" si="37"/>
        <v>0.71153999362059961</v>
      </c>
      <c r="DQ205" s="32">
        <f>IF(DP205="","",DP205*$DO$1/'CPI USA'!$U$520+(1-DP205)*AVERAGE($DO$1,$DQ$1)/AVERAGE('CPI USA'!$U$520,'PPI USA'!$T$526))</f>
        <v>1.0682553306130491</v>
      </c>
      <c r="DR205" s="6">
        <f t="shared" si="38"/>
        <v>418746</v>
      </c>
      <c r="DS205" s="32">
        <f t="shared" si="39"/>
        <v>0.20233105926629671</v>
      </c>
      <c r="DT205" s="28">
        <f>IF(DS205="","",DS205*$DO$1/'CPI USA'!$U$520+(1-DS205)*AVERAGE($DO$1,$DQ$1)/AVERAGE('CPI USA'!$U$520,'PPI USA'!$T$526))</f>
        <v>1.0853846447130826</v>
      </c>
      <c r="DU205" s="6">
        <f t="shared" si="40"/>
        <v>931862.28045108996</v>
      </c>
      <c r="DV205" s="6">
        <f t="shared" si="84"/>
        <v>67698.211197339246</v>
      </c>
      <c r="DW205" s="6">
        <f t="shared" si="41"/>
        <v>579140.92737729708</v>
      </c>
      <c r="DX205" s="16">
        <f t="shared" si="42"/>
        <v>0.2</v>
      </c>
      <c r="DY205" s="28">
        <f>IF(DX205="","",DX205*$DO$1/'CPI USA'!$U$520+(1-DX205)*AVERAGE($DO$1,$DQ$1)/AVERAGE('CPI USA'!$U$520,'PPI USA'!$T$526))</f>
        <v>1.0854630593748538</v>
      </c>
      <c r="DZ205" s="30"/>
      <c r="EA205" s="29" t="str">
        <f t="shared" si="43"/>
        <v>C011163</v>
      </c>
      <c r="EB205" s="29">
        <f t="shared" si="44"/>
        <v>67608511.556230277</v>
      </c>
      <c r="EC205" s="29">
        <f t="shared" si="45"/>
        <v>6340215.4595364276</v>
      </c>
      <c r="ED205" s="29">
        <f t="shared" si="46"/>
        <v>1376654.2350290527</v>
      </c>
      <c r="EE205" s="29">
        <f t="shared" si="47"/>
        <v>2318573.7141892589</v>
      </c>
      <c r="EF205" s="29">
        <f t="shared" si="48"/>
        <v>4135060.0767794508</v>
      </c>
      <c r="EG205" s="29">
        <f t="shared" si="49"/>
        <v>139</v>
      </c>
      <c r="EH205" s="29">
        <f t="shared" si="50"/>
        <v>15242</v>
      </c>
      <c r="EI205" s="29">
        <f t="shared" si="51"/>
        <v>4729</v>
      </c>
      <c r="EJ205" s="29">
        <f t="shared" si="52"/>
        <v>920325</v>
      </c>
      <c r="EK205" s="29">
        <f t="shared" si="53"/>
        <v>925054</v>
      </c>
      <c r="EL205" s="29">
        <f>IF(CD205=1,VLOOKUP(EA205,'EIA 2022'!$A$2:$J$213,4,0)*EH205,"")</f>
        <v>544596.65999999992</v>
      </c>
      <c r="EM205" s="29">
        <f>IF(CD205=1,VLOOKUP(EA205,'EIA 2022'!$A$2:$J$213,7,0)*EH205,"")</f>
        <v>9754.880000000001</v>
      </c>
      <c r="EN205" s="29">
        <f>IF(CD205=1,VLOOKUP(EA205,'EIA 2022'!$A$2:$J$213,10,0),"")</f>
        <v>14896</v>
      </c>
      <c r="EO205" s="28">
        <f>IF(CD205=1,VLOOKUP(EA205,'EIA 2022'!$A$2:$Z$213,26,0),"")</f>
        <v>0</v>
      </c>
      <c r="EP205" s="23">
        <f t="shared" si="54"/>
        <v>5.1121339943397898E-3</v>
      </c>
      <c r="EQ205" s="32">
        <f t="shared" si="55"/>
        <v>0</v>
      </c>
      <c r="ER205" s="32">
        <f t="shared" si="56"/>
        <v>4729</v>
      </c>
      <c r="ES205" s="32"/>
      <c r="ET205" s="32"/>
    </row>
    <row r="206" spans="1:150" ht="15.75" customHeight="1">
      <c r="A206" s="7" t="s">
        <v>850</v>
      </c>
      <c r="B206" s="7" t="s">
        <v>851</v>
      </c>
      <c r="C206" s="32" t="s">
        <v>1077</v>
      </c>
      <c r="D206" s="42">
        <v>0</v>
      </c>
      <c r="E206" s="42">
        <v>0</v>
      </c>
      <c r="F206" s="42">
        <v>0</v>
      </c>
      <c r="G206" s="42">
        <v>5408868</v>
      </c>
      <c r="H206" s="42">
        <v>5408868</v>
      </c>
      <c r="I206" s="42">
        <v>1685</v>
      </c>
      <c r="J206" s="42">
        <v>136234</v>
      </c>
      <c r="K206" s="42">
        <v>9842</v>
      </c>
      <c r="L206" s="42">
        <v>86686</v>
      </c>
      <c r="M206" s="42">
        <v>37692</v>
      </c>
      <c r="N206" s="42">
        <v>16182</v>
      </c>
      <c r="O206" s="42">
        <v>195088</v>
      </c>
      <c r="P206" s="42">
        <v>0</v>
      </c>
      <c r="Q206" s="42">
        <v>0</v>
      </c>
      <c r="R206" s="42">
        <v>0</v>
      </c>
      <c r="S206" s="42">
        <v>31240</v>
      </c>
      <c r="T206" s="42">
        <v>1288417</v>
      </c>
      <c r="U206" s="42">
        <v>440</v>
      </c>
      <c r="V206" s="42">
        <v>0</v>
      </c>
      <c r="W206" s="42">
        <v>2683</v>
      </c>
      <c r="X206" s="42">
        <f>IFERROR(VLOOKUP(A206,'Trans 21-23'!$A$2:$J$229,8,0),0)</f>
        <v>0</v>
      </c>
      <c r="Y206" s="42">
        <v>116267</v>
      </c>
      <c r="Z206" s="42">
        <v>104333</v>
      </c>
      <c r="AA206" s="42">
        <v>696389</v>
      </c>
      <c r="AB206" s="42">
        <v>7960</v>
      </c>
      <c r="AC206" s="42">
        <v>1772</v>
      </c>
      <c r="AD206" s="42">
        <v>2016648</v>
      </c>
      <c r="AE206" s="42">
        <v>0</v>
      </c>
      <c r="AF206" s="42">
        <v>11495957</v>
      </c>
      <c r="AG206" s="42">
        <v>5253</v>
      </c>
      <c r="AH206" s="42">
        <v>7232</v>
      </c>
      <c r="AI206" s="42">
        <v>97696</v>
      </c>
      <c r="AJ206" s="42">
        <v>323</v>
      </c>
      <c r="AK206" s="42">
        <v>311</v>
      </c>
      <c r="AL206" s="42">
        <v>47349</v>
      </c>
      <c r="AM206" s="42">
        <v>14628</v>
      </c>
      <c r="AN206" s="42">
        <v>23891</v>
      </c>
      <c r="AO206" s="42">
        <v>0</v>
      </c>
      <c r="AP206" s="42">
        <v>541</v>
      </c>
      <c r="AQ206" s="42">
        <v>86409</v>
      </c>
      <c r="AR206" s="42">
        <v>3421</v>
      </c>
      <c r="AS206" s="42">
        <v>89830</v>
      </c>
      <c r="AT206" s="42">
        <v>0</v>
      </c>
      <c r="AU206" s="42">
        <v>23</v>
      </c>
      <c r="AV206" s="42">
        <v>0</v>
      </c>
      <c r="AW206" s="42">
        <v>8379684</v>
      </c>
      <c r="AX206" s="42">
        <v>153762</v>
      </c>
      <c r="AY206" s="42">
        <v>912197</v>
      </c>
      <c r="AZ206" s="42">
        <v>1471559</v>
      </c>
      <c r="BA206" s="42">
        <v>218763</v>
      </c>
      <c r="BB206" s="42">
        <v>27547488</v>
      </c>
      <c r="BC206" s="42">
        <v>42697957</v>
      </c>
      <c r="BD206" s="42">
        <v>6539153</v>
      </c>
      <c r="BE206" s="42">
        <v>12767232</v>
      </c>
      <c r="BF206" s="42">
        <v>758913</v>
      </c>
      <c r="BG206" s="42">
        <v>0</v>
      </c>
      <c r="BH206" s="42">
        <v>681205</v>
      </c>
      <c r="BI206" s="42">
        <v>207736</v>
      </c>
      <c r="BJ206" s="42">
        <v>0</v>
      </c>
      <c r="BK206" s="42">
        <v>0</v>
      </c>
      <c r="BL206" s="42">
        <v>0</v>
      </c>
      <c r="BM206" s="42">
        <v>971537</v>
      </c>
      <c r="BN206" s="42">
        <v>1873819</v>
      </c>
      <c r="BO206" s="42">
        <v>30929</v>
      </c>
      <c r="BP206" s="42">
        <v>0</v>
      </c>
      <c r="BQ206" s="42">
        <v>3149534</v>
      </c>
      <c r="BR206" s="42">
        <v>0</v>
      </c>
      <c r="BS206" s="42">
        <f>IFERROR(VLOOKUP(A206,'Trans 21-23'!$A$2:$J$229,7,0),0)</f>
        <v>0</v>
      </c>
      <c r="BT206" s="63"/>
      <c r="BU206" s="32">
        <f t="shared" si="0"/>
        <v>27547488</v>
      </c>
      <c r="BV206" s="32">
        <f t="shared" si="1"/>
        <v>23</v>
      </c>
      <c r="BW206" s="32">
        <f t="shared" si="2"/>
        <v>5253</v>
      </c>
      <c r="BX206" s="32">
        <f t="shared" si="3"/>
        <v>1806189</v>
      </c>
      <c r="BY206" s="32">
        <f t="shared" si="4"/>
        <v>926721</v>
      </c>
      <c r="BZ206" s="32">
        <f t="shared" si="5"/>
        <v>1471559</v>
      </c>
      <c r="CA206" s="32">
        <f t="shared" si="6"/>
        <v>2016648</v>
      </c>
      <c r="CB206" s="32">
        <f t="shared" si="7"/>
        <v>7232</v>
      </c>
      <c r="CC206" s="32">
        <f t="shared" si="8"/>
        <v>86409</v>
      </c>
      <c r="CD206" s="41">
        <f t="shared" si="75"/>
        <v>1</v>
      </c>
      <c r="CE206" s="44">
        <f t="shared" si="10"/>
        <v>19</v>
      </c>
      <c r="CF206" s="27"/>
      <c r="CG206" s="28">
        <f t="shared" si="11"/>
        <v>1197.7168695652174</v>
      </c>
      <c r="CH206" s="28">
        <f t="shared" si="12"/>
        <v>4.3784504092899299</v>
      </c>
      <c r="CI206" s="28">
        <f t="shared" si="13"/>
        <v>343.83952027412909</v>
      </c>
      <c r="CJ206" s="28">
        <f t="shared" si="14"/>
        <v>280.13687416714259</v>
      </c>
      <c r="CK206" s="23">
        <f t="shared" si="15"/>
        <v>8.3694985476049949E-2</v>
      </c>
      <c r="CL206" s="29" t="str">
        <f t="shared" si="16"/>
        <v/>
      </c>
      <c r="CM206" s="29" t="str">
        <f t="shared" si="17"/>
        <v/>
      </c>
      <c r="CN206" s="29" t="str">
        <f t="shared" si="18"/>
        <v/>
      </c>
      <c r="CO206" s="29" t="str">
        <f t="shared" si="19"/>
        <v/>
      </c>
      <c r="CP206" s="29" t="str">
        <f t="shared" si="20"/>
        <v/>
      </c>
      <c r="CQ206" s="29">
        <f t="shared" si="21"/>
        <v>0</v>
      </c>
      <c r="CR206" s="30"/>
      <c r="CS206" s="7" t="str">
        <f>VLOOKUP(A206,'Empresas 21-23'!$A$2:$M$228,13,0)</f>
        <v/>
      </c>
      <c r="CT206" s="30"/>
      <c r="CU206" s="6">
        <f t="shared" si="22"/>
        <v>25217590.600000001</v>
      </c>
      <c r="CV206" s="6">
        <f t="shared" si="23"/>
        <v>1471559</v>
      </c>
      <c r="CW206" s="6">
        <f t="shared" si="24"/>
        <v>6539153</v>
      </c>
      <c r="CX206" s="23">
        <f t="shared" si="91"/>
        <v>0.69741218763762214</v>
      </c>
      <c r="CY206" s="23">
        <f t="shared" si="92"/>
        <v>4.0697114871387892E-2</v>
      </c>
      <c r="CZ206" s="6">
        <f t="shared" si="27"/>
        <v>29778075.59902712</v>
      </c>
      <c r="DA206" s="6">
        <f t="shared" si="28"/>
        <v>1737683.6608025809</v>
      </c>
      <c r="DB206" s="6">
        <f t="shared" si="29"/>
        <v>1806189</v>
      </c>
      <c r="DC206" s="6">
        <f t="shared" si="30"/>
        <v>1806189</v>
      </c>
      <c r="DD206" s="6">
        <f t="shared" si="31"/>
        <v>926721</v>
      </c>
      <c r="DE206" s="6">
        <f t="shared" si="32"/>
        <v>2016648</v>
      </c>
      <c r="DF206" s="6">
        <f t="shared" si="90"/>
        <v>1353985.3508944118</v>
      </c>
      <c r="DG206" s="30"/>
      <c r="DH206" s="32">
        <f>VLOOKUP(A206,'T_med_comp-USA'!$A$7:$Q$233,17,0)</f>
        <v>15.923258841579615</v>
      </c>
      <c r="DI206" s="6" t="str">
        <f t="shared" si="34"/>
        <v>2_2007</v>
      </c>
      <c r="DJ206" s="32">
        <f>IF(DI206="","",VLOOKUP(DI206,'CPI USA'!$T:$U,2,FALSE))</f>
        <v>207.34200000000001</v>
      </c>
      <c r="DK206" s="32">
        <f>IF(DI206="","",VLOOKUP(DI206,'PPI USA'!$S:$T,2,FALSE))</f>
        <v>151.69999999999999</v>
      </c>
      <c r="DL206" s="32">
        <f>IF(DI206="","",VLOOKUP(DI206,'CPI USA'!$T:$V,3,FALSE))</f>
        <v>0.67123734379962852</v>
      </c>
      <c r="DM206" s="32">
        <f>IF(DI206="","",VLOOKUP(DI206,'CPI USA'!$T:$X,5,FALSE))</f>
        <v>0.49957259686190569</v>
      </c>
      <c r="DN206" s="32">
        <f t="shared" si="35"/>
        <v>1.5480022216582647</v>
      </c>
      <c r="DO206" s="32">
        <f t="shared" si="36"/>
        <v>1.5651038394149617</v>
      </c>
      <c r="DP206" s="32">
        <f t="shared" si="37"/>
        <v>0.38337564701904769</v>
      </c>
      <c r="DQ206" s="32">
        <f>IF(DP206="","",DP206*$DO$1/'CPI USA'!$U$520+(1-DP206)*AVERAGE($DO$1,$DQ$1)/AVERAGE('CPI USA'!$U$520,'PPI USA'!$T$526))</f>
        <v>1.079294473468031</v>
      </c>
      <c r="DR206" s="6">
        <f t="shared" si="38"/>
        <v>207736</v>
      </c>
      <c r="DS206" s="32">
        <f t="shared" si="39"/>
        <v>0.22786239007137893</v>
      </c>
      <c r="DT206" s="28">
        <f>IF(DS206="","",DS206*$DO$1/'CPI USA'!$U$520+(1-DS206)*AVERAGE($DO$1,$DQ$1)/AVERAGE('CPI USA'!$U$520,'PPI USA'!$T$526))</f>
        <v>1.0845257945334277</v>
      </c>
      <c r="DU206" s="6">
        <f t="shared" si="40"/>
        <v>987573.05677656166</v>
      </c>
      <c r="DV206" s="6">
        <f t="shared" si="84"/>
        <v>0</v>
      </c>
      <c r="DW206" s="6">
        <f t="shared" si="41"/>
        <v>468505.32557520957</v>
      </c>
      <c r="DX206" s="16">
        <f t="shared" si="42"/>
        <v>0.34601949368634283</v>
      </c>
      <c r="DY206" s="28">
        <f>IF(DX206="","",DX206*$DO$1/'CPI USA'!$U$520+(1-DX206)*AVERAGE($DO$1,$DQ$1)/AVERAGE('CPI USA'!$U$520,'PPI USA'!$T$526))</f>
        <v>1.0805510996598247</v>
      </c>
      <c r="DZ206" s="30"/>
      <c r="EA206" s="29" t="str">
        <f t="shared" si="43"/>
        <v>C011301</v>
      </c>
      <c r="EB206" s="29">
        <f t="shared" si="44"/>
        <v>46096527.184001744</v>
      </c>
      <c r="EC206" s="29">
        <f t="shared" si="45"/>
        <v>2719655.3692107652</v>
      </c>
      <c r="ED206" s="29">
        <f t="shared" si="46"/>
        <v>1949409.8057387494</v>
      </c>
      <c r="EE206" s="29">
        <f t="shared" si="47"/>
        <v>1005052.8288358126</v>
      </c>
      <c r="EF206" s="29">
        <f t="shared" si="48"/>
        <v>1463050.3598322503</v>
      </c>
      <c r="EG206" s="29">
        <f t="shared" si="49"/>
        <v>23</v>
      </c>
      <c r="EH206" s="29">
        <f t="shared" si="50"/>
        <v>5253</v>
      </c>
      <c r="EI206" s="29">
        <f t="shared" si="51"/>
        <v>7232</v>
      </c>
      <c r="EJ206" s="29">
        <f t="shared" si="52"/>
        <v>86409</v>
      </c>
      <c r="EK206" s="29">
        <f t="shared" si="53"/>
        <v>93588.903553299489</v>
      </c>
      <c r="EL206" s="29">
        <f>IF(CD206=1,VLOOKUP(EA206,'EIA 2022'!$A$2:$J$213,4,0)*EH206,"")</f>
        <v>562785.40799999994</v>
      </c>
      <c r="EM206" s="29">
        <f>IF(CD206=1,VLOOKUP(EA206,'EIA 2022'!$A$2:$J$213,7,0)*EH206,"")</f>
        <v>18017.79</v>
      </c>
      <c r="EN206" s="29">
        <f>IF(CD206=1,VLOOKUP(EA206,'EIA 2022'!$A$2:$J$213,10,0),"")</f>
        <v>0</v>
      </c>
      <c r="EO206" s="28">
        <f>IF(CD206=1,VLOOKUP(EA206,'EIA 2022'!$A$2:$Z$213,26,0),"")</f>
        <v>0</v>
      </c>
      <c r="EP206" s="23">
        <f t="shared" si="54"/>
        <v>7.6717466288196132E-2</v>
      </c>
      <c r="EQ206" s="32">
        <f t="shared" si="55"/>
        <v>52.09644670050784</v>
      </c>
      <c r="ER206" s="32">
        <f t="shared" si="56"/>
        <v>7179.9035532994922</v>
      </c>
      <c r="ES206" s="32"/>
      <c r="ET206" s="32"/>
    </row>
    <row r="207" spans="1:150" ht="15.75" customHeight="1">
      <c r="A207" s="7" t="s">
        <v>853</v>
      </c>
      <c r="B207" s="7" t="s">
        <v>854</v>
      </c>
      <c r="C207" s="32" t="s">
        <v>1078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f>IFERROR(VLOOKUP(A207,'Trans 21-23'!$A$2:$J$229,8,0),0)</f>
        <v>0</v>
      </c>
      <c r="Y207" s="42">
        <v>0</v>
      </c>
      <c r="Z207" s="42">
        <v>0</v>
      </c>
      <c r="AA207" s="42">
        <v>0</v>
      </c>
      <c r="AB207" s="42">
        <v>0</v>
      </c>
      <c r="AC207" s="42">
        <v>0</v>
      </c>
      <c r="AD207" s="42">
        <v>122904</v>
      </c>
      <c r="AE207" s="42">
        <v>0</v>
      </c>
      <c r="AF207" s="42">
        <v>123797</v>
      </c>
      <c r="AG207" s="42">
        <v>0</v>
      </c>
      <c r="AH207" s="42">
        <v>0</v>
      </c>
      <c r="AI207" s="42">
        <v>0</v>
      </c>
      <c r="AJ207" s="42">
        <v>0</v>
      </c>
      <c r="AK207" s="42">
        <v>0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2">
        <v>0</v>
      </c>
      <c r="AR207" s="42">
        <v>0</v>
      </c>
      <c r="AS207" s="42">
        <v>0</v>
      </c>
      <c r="AT207" s="42">
        <v>0</v>
      </c>
      <c r="AU207" s="42">
        <v>0</v>
      </c>
      <c r="AV207" s="42">
        <v>0</v>
      </c>
      <c r="AW207" s="42">
        <v>0</v>
      </c>
      <c r="AX207" s="42">
        <v>0</v>
      </c>
      <c r="AY207" s="42">
        <v>0</v>
      </c>
      <c r="AZ207" s="42">
        <v>0</v>
      </c>
      <c r="BA207" s="42">
        <v>0</v>
      </c>
      <c r="BB207" s="42">
        <v>0</v>
      </c>
      <c r="BC207" s="42">
        <v>0</v>
      </c>
      <c r="BD207" s="42">
        <v>0</v>
      </c>
      <c r="BE207" s="42">
        <v>0</v>
      </c>
      <c r="BF207" s="42">
        <v>0</v>
      </c>
      <c r="BG207" s="42">
        <v>0</v>
      </c>
      <c r="BH207" s="42">
        <v>0</v>
      </c>
      <c r="BI207" s="42">
        <v>0</v>
      </c>
      <c r="BJ207" s="42">
        <v>0</v>
      </c>
      <c r="BK207" s="42">
        <v>0</v>
      </c>
      <c r="BL207" s="42">
        <v>0</v>
      </c>
      <c r="BM207" s="42">
        <v>0</v>
      </c>
      <c r="BN207" s="42">
        <v>0</v>
      </c>
      <c r="BO207" s="42">
        <v>0</v>
      </c>
      <c r="BP207" s="42">
        <v>0</v>
      </c>
      <c r="BQ207" s="42">
        <v>0</v>
      </c>
      <c r="BR207" s="42">
        <v>0</v>
      </c>
      <c r="BS207" s="42">
        <f>IFERROR(VLOOKUP(A207,'Trans 21-23'!$A$2:$J$229,7,0),0)</f>
        <v>0</v>
      </c>
      <c r="BT207" s="63"/>
      <c r="BU207" s="32">
        <f t="shared" si="0"/>
        <v>0</v>
      </c>
      <c r="BV207" s="32">
        <f t="shared" si="1"/>
        <v>0</v>
      </c>
      <c r="BW207" s="32">
        <f t="shared" si="2"/>
        <v>0</v>
      </c>
      <c r="BX207" s="32">
        <f t="shared" si="3"/>
        <v>0</v>
      </c>
      <c r="BY207" s="32">
        <f t="shared" si="4"/>
        <v>0</v>
      </c>
      <c r="BZ207" s="32">
        <f t="shared" si="5"/>
        <v>0</v>
      </c>
      <c r="CA207" s="32">
        <f t="shared" si="6"/>
        <v>122904</v>
      </c>
      <c r="CB207" s="32">
        <f t="shared" si="7"/>
        <v>0</v>
      </c>
      <c r="CC207" s="32">
        <f t="shared" si="8"/>
        <v>0</v>
      </c>
      <c r="CD207" s="41">
        <f t="shared" si="75"/>
        <v>0</v>
      </c>
      <c r="CE207" s="44">
        <f t="shared" si="10"/>
        <v>66</v>
      </c>
      <c r="CF207" s="27"/>
      <c r="CG207" s="28" t="str">
        <f t="shared" si="11"/>
        <v/>
      </c>
      <c r="CH207" s="28" t="str">
        <f t="shared" si="12"/>
        <v/>
      </c>
      <c r="CI207" s="28" t="str">
        <f t="shared" si="13"/>
        <v/>
      </c>
      <c r="CJ207" s="28" t="str">
        <f t="shared" si="14"/>
        <v/>
      </c>
      <c r="CK207" s="23" t="str">
        <f t="shared" si="15"/>
        <v/>
      </c>
      <c r="CL207" s="29" t="str">
        <f t="shared" si="16"/>
        <v/>
      </c>
      <c r="CM207" s="29" t="str">
        <f t="shared" si="17"/>
        <v/>
      </c>
      <c r="CN207" s="29" t="str">
        <f t="shared" si="18"/>
        <v/>
      </c>
      <c r="CO207" s="29" t="str">
        <f t="shared" si="19"/>
        <v/>
      </c>
      <c r="CP207" s="29" t="str">
        <f t="shared" si="20"/>
        <v/>
      </c>
      <c r="CQ207" s="29" t="str">
        <f t="shared" si="21"/>
        <v/>
      </c>
      <c r="CR207" s="30"/>
      <c r="CS207" s="7" t="str">
        <f>VLOOKUP(A207,'Empresas 21-23'!$A$2:$M$228,13,0)</f>
        <v/>
      </c>
      <c r="CT207" s="30"/>
      <c r="CU207" s="6">
        <f t="shared" si="22"/>
        <v>0</v>
      </c>
      <c r="CV207" s="6">
        <f t="shared" si="23"/>
        <v>0</v>
      </c>
      <c r="CW207" s="6">
        <f t="shared" si="24"/>
        <v>0</v>
      </c>
      <c r="CX207" s="23" t="str">
        <f>IFERROR(CU207/(BC207-BD207),"")</f>
        <v/>
      </c>
      <c r="CY207" s="23" t="str">
        <f>IFERROR(CV207/(BC207-BD207),"")</f>
        <v/>
      </c>
      <c r="CZ207" s="6" t="e">
        <f t="shared" si="27"/>
        <v>#VALUE!</v>
      </c>
      <c r="DA207" s="6" t="e">
        <f t="shared" si="28"/>
        <v>#VALUE!</v>
      </c>
      <c r="DB207" s="6">
        <f t="shared" si="29"/>
        <v>0</v>
      </c>
      <c r="DC207" s="6">
        <f t="shared" si="30"/>
        <v>0</v>
      </c>
      <c r="DD207" s="6">
        <f t="shared" si="31"/>
        <v>0</v>
      </c>
      <c r="DE207" s="6">
        <f t="shared" si="32"/>
        <v>122904</v>
      </c>
      <c r="DF207" s="6">
        <f t="shared" si="90"/>
        <v>0</v>
      </c>
      <c r="DG207" s="30"/>
      <c r="DH207" s="32" t="str">
        <f>VLOOKUP(A207,'T_med_comp-USA'!$A$7:$Q$233,17,0)</f>
        <v>-</v>
      </c>
      <c r="DI207" s="6" t="str">
        <f t="shared" si="34"/>
        <v/>
      </c>
      <c r="DJ207" s="32" t="str">
        <f>IF(DI207="","",VLOOKUP(DI207,'CPI USA'!$T:$U,2,FALSE))</f>
        <v/>
      </c>
      <c r="DK207" s="32" t="str">
        <f>IF(DI207="","",VLOOKUP(DI207,'PPI USA'!$S:$T,2,FALSE))</f>
        <v/>
      </c>
      <c r="DL207" s="32" t="str">
        <f>IF(DI207="","",VLOOKUP(DI207,'CPI USA'!$T:$V,3,FALSE))</f>
        <v/>
      </c>
      <c r="DM207" s="32" t="str">
        <f>IF(DI207="","",VLOOKUP(DI207,'CPI USA'!$T:$X,5,FALSE))</f>
        <v/>
      </c>
      <c r="DN207" s="32" t="str">
        <f t="shared" si="35"/>
        <v/>
      </c>
      <c r="DO207" s="32" t="str">
        <f t="shared" si="36"/>
        <v/>
      </c>
      <c r="DP207" s="32" t="str">
        <f t="shared" si="37"/>
        <v/>
      </c>
      <c r="DQ207" s="32" t="str">
        <f>IF(DP207="","",DP207*$DO$1/'CPI USA'!$U$520+(1-DP207)*AVERAGE($DO$1,$DQ$1)/AVERAGE('CPI USA'!$U$520,'PPI USA'!$T$526))</f>
        <v/>
      </c>
      <c r="DR207" s="6">
        <f t="shared" si="38"/>
        <v>0</v>
      </c>
      <c r="DS207" s="32" t="str">
        <f t="shared" si="39"/>
        <v/>
      </c>
      <c r="DT207" s="28" t="str">
        <f>IF(DS207="","",DS207*$DO$1/'CPI USA'!$U$520+(1-DS207)*AVERAGE($DO$1,$DQ$1)/AVERAGE('CPI USA'!$U$520,'PPI USA'!$T$526))</f>
        <v/>
      </c>
      <c r="DU207" s="6" t="str">
        <f t="shared" si="40"/>
        <v/>
      </c>
      <c r="DV207" s="6" t="str">
        <f t="shared" si="84"/>
        <v/>
      </c>
      <c r="DW207" s="6">
        <f t="shared" si="41"/>
        <v>0</v>
      </c>
      <c r="DX207" s="16" t="e">
        <f t="shared" si="42"/>
        <v>#VALUE!</v>
      </c>
      <c r="DY207" s="28" t="e">
        <f>IF(DX207="","",DX207*$DO$1/'CPI USA'!$U$520+(1-DX207)*AVERAGE($DO$1,$DQ$1)/AVERAGE('CPI USA'!$U$520,'PPI USA'!$T$526))</f>
        <v>#VALUE!</v>
      </c>
      <c r="DZ207" s="30"/>
      <c r="EA207" s="29" t="str">
        <f t="shared" si="43"/>
        <v>C011302</v>
      </c>
      <c r="EB207" s="29" t="str">
        <f t="shared" si="44"/>
        <v/>
      </c>
      <c r="EC207" s="29" t="str">
        <f t="shared" si="45"/>
        <v/>
      </c>
      <c r="ED207" s="29" t="str">
        <f t="shared" si="46"/>
        <v/>
      </c>
      <c r="EE207" s="29" t="str">
        <f t="shared" si="47"/>
        <v/>
      </c>
      <c r="EF207" s="29" t="str">
        <f t="shared" si="48"/>
        <v/>
      </c>
      <c r="EG207" s="29" t="str">
        <f t="shared" si="49"/>
        <v/>
      </c>
      <c r="EH207" s="29" t="str">
        <f t="shared" si="50"/>
        <v/>
      </c>
      <c r="EI207" s="29" t="str">
        <f t="shared" si="51"/>
        <v/>
      </c>
      <c r="EJ207" s="29" t="str">
        <f t="shared" si="52"/>
        <v/>
      </c>
      <c r="EK207" s="29" t="str">
        <f t="shared" si="53"/>
        <v/>
      </c>
      <c r="EL207" s="29" t="str">
        <f>IF(CD207=1,VLOOKUP(EA207,'EIA 2022'!$A$2:$J$213,4,0)*EH207,"")</f>
        <v/>
      </c>
      <c r="EM207" s="29" t="str">
        <f>IF(CD207=1,VLOOKUP(EA207,'EIA 2022'!$A$2:$J$213,7,0)*EH207,"")</f>
        <v/>
      </c>
      <c r="EN207" s="29" t="str">
        <f>IF(CD207=1,VLOOKUP(EA207,'EIA 2022'!$A$2:$J$213,10,0),"")</f>
        <v/>
      </c>
      <c r="EO207" s="28" t="str">
        <f>IF(CD207=1,VLOOKUP(EA207,'EIA 2022'!$A$2:$Z$213,26,0),"")</f>
        <v/>
      </c>
      <c r="EP207" s="23" t="str">
        <f t="shared" si="54"/>
        <v/>
      </c>
      <c r="EQ207" s="32" t="str">
        <f t="shared" si="55"/>
        <v/>
      </c>
      <c r="ER207" s="32" t="str">
        <f t="shared" si="56"/>
        <v/>
      </c>
      <c r="ES207" s="32"/>
      <c r="ET207" s="32"/>
    </row>
    <row r="208" spans="1:150" ht="15.75" customHeight="1">
      <c r="A208" s="7" t="s">
        <v>856</v>
      </c>
      <c r="B208" s="7" t="s">
        <v>857</v>
      </c>
      <c r="C208" s="32" t="s">
        <v>1079</v>
      </c>
      <c r="D208" s="42">
        <v>167595584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f>IFERROR(VLOOKUP(A208,'Trans 21-23'!$A$2:$J$229,8,0),0)</f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9754501</v>
      </c>
      <c r="AE208" s="42">
        <v>0</v>
      </c>
      <c r="AF208" s="42">
        <v>252644687</v>
      </c>
      <c r="AG208" s="42">
        <v>1</v>
      </c>
      <c r="AH208" s="42">
        <v>0</v>
      </c>
      <c r="AI208" s="42">
        <v>5796475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2">
        <v>0</v>
      </c>
      <c r="AR208" s="42">
        <v>5796475</v>
      </c>
      <c r="AS208" s="42">
        <v>5796475</v>
      </c>
      <c r="AT208" s="42">
        <v>0</v>
      </c>
      <c r="AU208" s="42">
        <v>1741</v>
      </c>
      <c r="AV208" s="42">
        <v>0</v>
      </c>
      <c r="AW208" s="42">
        <v>0</v>
      </c>
      <c r="AX208" s="42">
        <v>0</v>
      </c>
      <c r="AY208" s="42">
        <v>0</v>
      </c>
      <c r="AZ208" s="42">
        <v>0</v>
      </c>
      <c r="BA208" s="42">
        <v>0</v>
      </c>
      <c r="BB208" s="42">
        <v>0</v>
      </c>
      <c r="BC208" s="42">
        <v>1476261167</v>
      </c>
      <c r="BD208" s="42">
        <v>1011382</v>
      </c>
      <c r="BE208" s="42">
        <v>0</v>
      </c>
      <c r="BF208" s="42">
        <v>0</v>
      </c>
      <c r="BG208" s="42">
        <v>0</v>
      </c>
      <c r="BH208" s="42">
        <v>0</v>
      </c>
      <c r="BI208" s="42">
        <v>0</v>
      </c>
      <c r="BJ208" s="42">
        <v>0</v>
      </c>
      <c r="BK208" s="42">
        <v>0</v>
      </c>
      <c r="BL208" s="42">
        <v>0</v>
      </c>
      <c r="BM208" s="42">
        <v>405420</v>
      </c>
      <c r="BN208" s="42">
        <v>26035023</v>
      </c>
      <c r="BO208" s="42">
        <v>0</v>
      </c>
      <c r="BP208" s="42">
        <v>0</v>
      </c>
      <c r="BQ208" s="42">
        <v>26072509</v>
      </c>
      <c r="BR208" s="42">
        <v>0</v>
      </c>
      <c r="BS208" s="42">
        <f>IFERROR(VLOOKUP(A208,'Trans 21-23'!$A$2:$J$229,7,0),0)</f>
        <v>0</v>
      </c>
      <c r="BT208" s="63"/>
      <c r="BU208" s="32">
        <f t="shared" si="0"/>
        <v>0</v>
      </c>
      <c r="BV208" s="32">
        <f t="shared" si="1"/>
        <v>1741</v>
      </c>
      <c r="BW208" s="32">
        <f t="shared" si="2"/>
        <v>1</v>
      </c>
      <c r="BX208" s="32">
        <f t="shared" si="3"/>
        <v>0</v>
      </c>
      <c r="BY208" s="32">
        <f t="shared" si="4"/>
        <v>0</v>
      </c>
      <c r="BZ208" s="32">
        <f t="shared" si="5"/>
        <v>0</v>
      </c>
      <c r="CA208" s="32">
        <f t="shared" si="6"/>
        <v>9754501</v>
      </c>
      <c r="CB208" s="32">
        <f t="shared" si="7"/>
        <v>0</v>
      </c>
      <c r="CC208" s="32">
        <f t="shared" si="8"/>
        <v>0</v>
      </c>
      <c r="CD208" s="41">
        <f t="shared" si="75"/>
        <v>0</v>
      </c>
      <c r="CE208" s="44">
        <f t="shared" si="10"/>
        <v>55</v>
      </c>
      <c r="CF208" s="27"/>
      <c r="CG208" s="28" t="str">
        <f t="shared" si="11"/>
        <v/>
      </c>
      <c r="CH208" s="28" t="str">
        <f t="shared" si="12"/>
        <v/>
      </c>
      <c r="CI208" s="28" t="str">
        <f t="shared" si="13"/>
        <v/>
      </c>
      <c r="CJ208" s="28" t="str">
        <f t="shared" si="14"/>
        <v/>
      </c>
      <c r="CK208" s="23" t="str">
        <f t="shared" si="15"/>
        <v/>
      </c>
      <c r="CL208" s="29" t="str">
        <f t="shared" si="16"/>
        <v/>
      </c>
      <c r="CM208" s="29" t="str">
        <f t="shared" si="17"/>
        <v/>
      </c>
      <c r="CN208" s="29" t="str">
        <f t="shared" si="18"/>
        <v/>
      </c>
      <c r="CO208" s="29" t="str">
        <f t="shared" si="19"/>
        <v/>
      </c>
      <c r="CP208" s="29" t="str">
        <f t="shared" si="20"/>
        <v/>
      </c>
      <c r="CQ208" s="29" t="str">
        <f t="shared" si="21"/>
        <v/>
      </c>
      <c r="CR208" s="30"/>
      <c r="CS208" s="7" t="str">
        <f>VLOOKUP(A208,'Empresas 21-23'!$A$2:$M$228,13,0)</f>
        <v/>
      </c>
      <c r="CT208" s="30"/>
      <c r="CU208" s="6">
        <f t="shared" si="22"/>
        <v>0</v>
      </c>
      <c r="CV208" s="6">
        <f t="shared" si="23"/>
        <v>0</v>
      </c>
      <c r="CW208" s="6">
        <f t="shared" si="24"/>
        <v>1011382</v>
      </c>
      <c r="CX208" s="23">
        <f t="shared" ref="CX208:CX212" si="93">CU208/(BC208-BD208)</f>
        <v>0</v>
      </c>
      <c r="CY208" s="23">
        <f t="shared" ref="CY208:CY212" si="94">CV208/(BC208-BD208)</f>
        <v>0</v>
      </c>
      <c r="CZ208" s="6">
        <f t="shared" si="27"/>
        <v>0</v>
      </c>
      <c r="DA208" s="6">
        <f t="shared" si="28"/>
        <v>0</v>
      </c>
      <c r="DB208" s="6">
        <f t="shared" si="29"/>
        <v>0</v>
      </c>
      <c r="DC208" s="6">
        <f t="shared" si="30"/>
        <v>0</v>
      </c>
      <c r="DD208" s="6">
        <f t="shared" si="31"/>
        <v>0</v>
      </c>
      <c r="DE208" s="6">
        <f t="shared" si="32"/>
        <v>9754501</v>
      </c>
      <c r="DF208" s="6">
        <f t="shared" si="90"/>
        <v>0</v>
      </c>
      <c r="DG208" s="30"/>
      <c r="DH208" s="32" t="str">
        <f>VLOOKUP(A208,'T_med_comp-USA'!$A$7:$Q$233,17,0)</f>
        <v>-</v>
      </c>
      <c r="DI208" s="6" t="str">
        <f t="shared" si="34"/>
        <v/>
      </c>
      <c r="DJ208" s="32" t="str">
        <f>IF(DI208="","",VLOOKUP(DI208,'CPI USA'!$T:$U,2,FALSE))</f>
        <v/>
      </c>
      <c r="DK208" s="32" t="str">
        <f>IF(DI208="","",VLOOKUP(DI208,'PPI USA'!$S:$T,2,FALSE))</f>
        <v/>
      </c>
      <c r="DL208" s="32" t="str">
        <f>IF(DI208="","",VLOOKUP(DI208,'CPI USA'!$T:$V,3,FALSE))</f>
        <v/>
      </c>
      <c r="DM208" s="32" t="str">
        <f>IF(DI208="","",VLOOKUP(DI208,'CPI USA'!$T:$X,5,FALSE))</f>
        <v/>
      </c>
      <c r="DN208" s="32" t="str">
        <f t="shared" si="35"/>
        <v/>
      </c>
      <c r="DO208" s="32" t="str">
        <f t="shared" si="36"/>
        <v/>
      </c>
      <c r="DP208" s="32" t="str">
        <f t="shared" si="37"/>
        <v/>
      </c>
      <c r="DQ208" s="32" t="str">
        <f>IF(DP208="","",DP208*$DO$1/'CPI USA'!$U$520+(1-DP208)*AVERAGE($DO$1,$DQ$1)/AVERAGE('CPI USA'!$U$520,'PPI USA'!$T$526))</f>
        <v/>
      </c>
      <c r="DR208" s="6">
        <f t="shared" si="38"/>
        <v>0</v>
      </c>
      <c r="DS208" s="32" t="str">
        <f t="shared" si="39"/>
        <v/>
      </c>
      <c r="DT208" s="28" t="str">
        <f>IF(DS208="","",DS208*$DO$1/'CPI USA'!$U$520+(1-DS208)*AVERAGE($DO$1,$DQ$1)/AVERAGE('CPI USA'!$U$520,'PPI USA'!$T$526))</f>
        <v/>
      </c>
      <c r="DU208" s="6" t="str">
        <f t="shared" si="40"/>
        <v/>
      </c>
      <c r="DV208" s="6">
        <f t="shared" si="84"/>
        <v>0</v>
      </c>
      <c r="DW208" s="6">
        <f t="shared" si="41"/>
        <v>0</v>
      </c>
      <c r="DX208" s="16" t="str">
        <f t="shared" si="42"/>
        <v/>
      </c>
      <c r="DY208" s="28" t="str">
        <f>IF(DX208="","",DX208*$DO$1/'CPI USA'!$U$520+(1-DX208)*AVERAGE($DO$1,$DQ$1)/AVERAGE('CPI USA'!$U$520,'PPI USA'!$T$526))</f>
        <v/>
      </c>
      <c r="DZ208" s="30"/>
      <c r="EA208" s="29" t="str">
        <f t="shared" si="43"/>
        <v>C011304</v>
      </c>
      <c r="EB208" s="29" t="str">
        <f t="shared" si="44"/>
        <v/>
      </c>
      <c r="EC208" s="29" t="str">
        <f t="shared" si="45"/>
        <v/>
      </c>
      <c r="ED208" s="29" t="str">
        <f t="shared" si="46"/>
        <v/>
      </c>
      <c r="EE208" s="29" t="str">
        <f t="shared" si="47"/>
        <v/>
      </c>
      <c r="EF208" s="29" t="str">
        <f t="shared" si="48"/>
        <v/>
      </c>
      <c r="EG208" s="29" t="str">
        <f t="shared" si="49"/>
        <v/>
      </c>
      <c r="EH208" s="29" t="str">
        <f t="shared" si="50"/>
        <v/>
      </c>
      <c r="EI208" s="29" t="str">
        <f t="shared" si="51"/>
        <v/>
      </c>
      <c r="EJ208" s="29" t="str">
        <f t="shared" si="52"/>
        <v/>
      </c>
      <c r="EK208" s="29" t="str">
        <f t="shared" si="53"/>
        <v/>
      </c>
      <c r="EL208" s="29" t="str">
        <f>IF(CD208=1,VLOOKUP(EA208,'EIA 2022'!$A$2:$J$213,4,0)*EH208,"")</f>
        <v/>
      </c>
      <c r="EM208" s="29" t="str">
        <f>IF(CD208=1,VLOOKUP(EA208,'EIA 2022'!$A$2:$J$213,7,0)*EH208,"")</f>
        <v/>
      </c>
      <c r="EN208" s="29" t="str">
        <f>IF(CD208=1,VLOOKUP(EA208,'EIA 2022'!$A$2:$J$213,10,0),"")</f>
        <v/>
      </c>
      <c r="EO208" s="28" t="str">
        <f>IF(CD208=1,VLOOKUP(EA208,'EIA 2022'!$A$2:$Z$213,26,0),"")</f>
        <v/>
      </c>
      <c r="EP208" s="23" t="str">
        <f t="shared" si="54"/>
        <v/>
      </c>
      <c r="EQ208" s="32" t="str">
        <f t="shared" si="55"/>
        <v/>
      </c>
      <c r="ER208" s="32" t="str">
        <f t="shared" si="56"/>
        <v/>
      </c>
      <c r="ES208" s="32"/>
      <c r="ET208" s="32"/>
    </row>
    <row r="209" spans="1:150" ht="15.75" customHeight="1">
      <c r="A209" s="7" t="s">
        <v>859</v>
      </c>
      <c r="B209" s="7" t="s">
        <v>860</v>
      </c>
      <c r="C209" s="32" t="s">
        <v>1080</v>
      </c>
      <c r="D209" s="42">
        <v>0</v>
      </c>
      <c r="E209" s="42">
        <v>0</v>
      </c>
      <c r="F209" s="42">
        <v>8198</v>
      </c>
      <c r="G209" s="42">
        <v>12819935</v>
      </c>
      <c r="H209" s="42">
        <v>12852518</v>
      </c>
      <c r="I209" s="42">
        <v>33005</v>
      </c>
      <c r="J209" s="42">
        <v>7212</v>
      </c>
      <c r="K209" s="42">
        <v>0</v>
      </c>
      <c r="L209" s="42">
        <v>440152</v>
      </c>
      <c r="M209" s="42">
        <v>94500</v>
      </c>
      <c r="N209" s="42">
        <v>7632</v>
      </c>
      <c r="O209" s="42">
        <v>390935</v>
      </c>
      <c r="P209" s="42">
        <v>0</v>
      </c>
      <c r="Q209" s="42">
        <v>9498</v>
      </c>
      <c r="R209" s="42">
        <v>4086</v>
      </c>
      <c r="S209" s="42">
        <v>12942</v>
      </c>
      <c r="T209" s="42">
        <v>848608</v>
      </c>
      <c r="U209" s="42">
        <v>99886</v>
      </c>
      <c r="V209" s="42">
        <v>8235</v>
      </c>
      <c r="W209" s="42">
        <v>0</v>
      </c>
      <c r="X209" s="42">
        <f>IFERROR(VLOOKUP(A209,'Trans 21-23'!$A$2:$J$229,8,0),0)</f>
        <v>50432</v>
      </c>
      <c r="Y209" s="42">
        <v>63181</v>
      </c>
      <c r="Z209" s="42">
        <v>749</v>
      </c>
      <c r="AA209" s="42">
        <v>477999</v>
      </c>
      <c r="AB209" s="42">
        <v>236098</v>
      </c>
      <c r="AC209" s="42">
        <v>1314</v>
      </c>
      <c r="AD209" s="42">
        <v>1892061</v>
      </c>
      <c r="AE209" s="42">
        <v>0</v>
      </c>
      <c r="AF209" s="42">
        <v>17719022</v>
      </c>
      <c r="AG209" s="42">
        <v>14908</v>
      </c>
      <c r="AH209" s="42">
        <v>16725.304</v>
      </c>
      <c r="AI209" s="42">
        <v>198707.77499999999</v>
      </c>
      <c r="AJ209" s="42">
        <v>1040.9780000000001</v>
      </c>
      <c r="AK209" s="42">
        <v>0</v>
      </c>
      <c r="AL209" s="42">
        <v>89132.857999999993</v>
      </c>
      <c r="AM209" s="42">
        <v>53023.586000000003</v>
      </c>
      <c r="AN209" s="42">
        <v>37710.506999999998</v>
      </c>
      <c r="AO209" s="42">
        <v>1074.5419999999999</v>
      </c>
      <c r="AP209" s="42">
        <v>0</v>
      </c>
      <c r="AQ209" s="42">
        <v>180941.49299999999</v>
      </c>
      <c r="AR209" s="42">
        <v>0</v>
      </c>
      <c r="AS209" s="42">
        <v>180941.49299999999</v>
      </c>
      <c r="AT209" s="42">
        <v>0</v>
      </c>
      <c r="AU209" s="42">
        <v>40.180999999999997</v>
      </c>
      <c r="AV209" s="42">
        <v>0</v>
      </c>
      <c r="AW209" s="42">
        <v>9919508</v>
      </c>
      <c r="AX209" s="42">
        <v>0</v>
      </c>
      <c r="AY209" s="42">
        <v>11976260</v>
      </c>
      <c r="AZ209" s="42">
        <v>2105292</v>
      </c>
      <c r="BA209" s="42">
        <v>1275616</v>
      </c>
      <c r="BB209" s="42">
        <v>50735371</v>
      </c>
      <c r="BC209" s="42">
        <v>83477173</v>
      </c>
      <c r="BD209" s="42">
        <v>6718204</v>
      </c>
      <c r="BE209" s="42">
        <v>23787029</v>
      </c>
      <c r="BF209" s="42">
        <v>1853535</v>
      </c>
      <c r="BG209" s="42">
        <v>0</v>
      </c>
      <c r="BH209" s="42">
        <v>1030225</v>
      </c>
      <c r="BI209" s="42">
        <v>262388</v>
      </c>
      <c r="BJ209" s="42">
        <v>14606</v>
      </c>
      <c r="BK209" s="42">
        <v>0</v>
      </c>
      <c r="BL209" s="42">
        <v>0</v>
      </c>
      <c r="BM209" s="42">
        <v>604673</v>
      </c>
      <c r="BN209" s="42">
        <v>2048594</v>
      </c>
      <c r="BO209" s="42">
        <v>93225</v>
      </c>
      <c r="BP209" s="42">
        <v>140324</v>
      </c>
      <c r="BQ209" s="42">
        <v>3152612</v>
      </c>
      <c r="BR209" s="42">
        <v>0</v>
      </c>
      <c r="BS209" s="42">
        <f>IFERROR(VLOOKUP(A209,'Trans 21-23'!$A$2:$J$229,7,0),0)</f>
        <v>12505269</v>
      </c>
      <c r="BT209" s="63"/>
      <c r="BU209" s="32">
        <f t="shared" si="0"/>
        <v>50735371</v>
      </c>
      <c r="BV209" s="32">
        <f t="shared" si="1"/>
        <v>40.180999999999997</v>
      </c>
      <c r="BW209" s="32">
        <f t="shared" si="2"/>
        <v>14908</v>
      </c>
      <c r="BX209" s="32">
        <f t="shared" si="3"/>
        <v>1956691</v>
      </c>
      <c r="BY209" s="32">
        <f t="shared" si="4"/>
        <v>779341</v>
      </c>
      <c r="BZ209" s="32">
        <f t="shared" si="5"/>
        <v>2105292</v>
      </c>
      <c r="CA209" s="32">
        <f t="shared" si="6"/>
        <v>1892061</v>
      </c>
      <c r="CB209" s="32">
        <f t="shared" si="7"/>
        <v>16725.304</v>
      </c>
      <c r="CC209" s="32">
        <f t="shared" si="8"/>
        <v>180941.49299999999</v>
      </c>
      <c r="CD209" s="41">
        <f t="shared" si="75"/>
        <v>1</v>
      </c>
      <c r="CE209" s="44">
        <f t="shared" si="10"/>
        <v>16</v>
      </c>
      <c r="CF209" s="27"/>
      <c r="CG209" s="28">
        <f t="shared" si="11"/>
        <v>1262.6706901271746</v>
      </c>
      <c r="CH209" s="28">
        <f t="shared" si="12"/>
        <v>2.6952642876308022</v>
      </c>
      <c r="CI209" s="28">
        <f t="shared" si="13"/>
        <v>131.25107324926213</v>
      </c>
      <c r="CJ209" s="28">
        <f t="shared" si="14"/>
        <v>141.2189428494768</v>
      </c>
      <c r="CK209" s="23">
        <f t="shared" si="15"/>
        <v>9.2434873409605392E-2</v>
      </c>
      <c r="CL209" s="29" t="str">
        <f t="shared" si="16"/>
        <v/>
      </c>
      <c r="CM209" s="29" t="str">
        <f t="shared" si="17"/>
        <v/>
      </c>
      <c r="CN209" s="29" t="str">
        <f t="shared" si="18"/>
        <v/>
      </c>
      <c r="CO209" s="29" t="str">
        <f t="shared" si="19"/>
        <v/>
      </c>
      <c r="CP209" s="29" t="str">
        <f t="shared" si="20"/>
        <v/>
      </c>
      <c r="CQ209" s="29">
        <f t="shared" si="21"/>
        <v>0</v>
      </c>
      <c r="CR209" s="30"/>
      <c r="CS209" s="7" t="str">
        <f>VLOOKUP(A209,'Empresas 21-23'!$A$2:$M$228,13,0)</f>
        <v/>
      </c>
      <c r="CT209" s="30"/>
      <c r="CU209" s="6">
        <f t="shared" si="22"/>
        <v>52673976</v>
      </c>
      <c r="CV209" s="6">
        <f t="shared" si="23"/>
        <v>2105292</v>
      </c>
      <c r="CW209" s="6">
        <f t="shared" si="24"/>
        <v>6718204</v>
      </c>
      <c r="CX209" s="23">
        <f t="shared" si="93"/>
        <v>0.68622568393277927</v>
      </c>
      <c r="CY209" s="23">
        <f t="shared" si="94"/>
        <v>2.7427309504378571E-2</v>
      </c>
      <c r="CZ209" s="6">
        <f t="shared" si="27"/>
        <v>57284180.134699933</v>
      </c>
      <c r="DA209" s="6">
        <f t="shared" si="28"/>
        <v>2289554.2604215541</v>
      </c>
      <c r="DB209" s="6">
        <f t="shared" si="29"/>
        <v>1956691</v>
      </c>
      <c r="DC209" s="6">
        <f t="shared" si="30"/>
        <v>2007123</v>
      </c>
      <c r="DD209" s="6">
        <f t="shared" si="31"/>
        <v>779341</v>
      </c>
      <c r="DE209" s="6">
        <f t="shared" si="32"/>
        <v>1892061</v>
      </c>
      <c r="DF209" s="6">
        <f t="shared" si="90"/>
        <v>1777385.1661963188</v>
      </c>
      <c r="DG209" s="30"/>
      <c r="DH209" s="32">
        <f>VLOOKUP(A209,'T_med_comp-USA'!$A$7:$Q$233,17,0)</f>
        <v>12.81397272746903</v>
      </c>
      <c r="DI209" s="6" t="str">
        <f t="shared" si="34"/>
        <v>3_2010</v>
      </c>
      <c r="DJ209" s="32">
        <f>IF(DI209="","",VLOOKUP(DI209,'CPI USA'!$T:$U,2,FALSE))</f>
        <v>218.05600000000001</v>
      </c>
      <c r="DK209" s="32">
        <f>IF(DI209="","",VLOOKUP(DI209,'PPI USA'!$S:$T,2,FALSE))</f>
        <v>160.80000000000001</v>
      </c>
      <c r="DL209" s="32">
        <f>IF(DI209="","",VLOOKUP(DI209,'CPI USA'!$T:$V,3,FALSE))</f>
        <v>0.67050107279443949</v>
      </c>
      <c r="DM209" s="32">
        <f>IF(DI209="","",VLOOKUP(DI209,'CPI USA'!$T:$X,5,FALSE))</f>
        <v>0.4987389730136107</v>
      </c>
      <c r="DN209" s="32">
        <f t="shared" si="35"/>
        <v>1.4703278680244813</v>
      </c>
      <c r="DO209" s="32">
        <f t="shared" si="36"/>
        <v>1.4857204383544427</v>
      </c>
      <c r="DP209" s="32">
        <f t="shared" si="37"/>
        <v>0.55047386860447456</v>
      </c>
      <c r="DQ209" s="32">
        <f>IF(DP209="","",DP209*$DO$1/'CPI USA'!$U$520+(1-DP209)*AVERAGE($DO$1,$DQ$1)/AVERAGE('CPI USA'!$U$520,'PPI USA'!$T$526))</f>
        <v>1.0736734449864249</v>
      </c>
      <c r="DR209" s="6">
        <f t="shared" si="38"/>
        <v>276994</v>
      </c>
      <c r="DS209" s="32">
        <f t="shared" si="39"/>
        <v>0.3715948683745891</v>
      </c>
      <c r="DT209" s="28">
        <f>IF(DS209="","",DS209*$DO$1/'CPI USA'!$U$520+(1-DS209)*AVERAGE($DO$1,$DQ$1)/AVERAGE('CPI USA'!$U$520,'PPI USA'!$T$526))</f>
        <v>1.0796907678849776</v>
      </c>
      <c r="DU209" s="6">
        <f t="shared" si="40"/>
        <v>632189.74583885341</v>
      </c>
      <c r="DV209" s="6">
        <f t="shared" si="84"/>
        <v>28168.001881626191</v>
      </c>
      <c r="DW209" s="6">
        <f t="shared" si="41"/>
        <v>421377.87898305745</v>
      </c>
      <c r="DX209" s="16">
        <f t="shared" si="42"/>
        <v>0.23707741405585395</v>
      </c>
      <c r="DY209" s="28">
        <f>IF(DX209="","",DX209*$DO$1/'CPI USA'!$U$520+(1-DX209)*AVERAGE($DO$1,$DQ$1)/AVERAGE('CPI USA'!$U$520,'PPI USA'!$T$526))</f>
        <v>1.08421580971262</v>
      </c>
      <c r="DZ209" s="30"/>
      <c r="EA209" s="29" t="str">
        <f t="shared" si="43"/>
        <v>C011318</v>
      </c>
      <c r="EB209" s="29">
        <f t="shared" si="44"/>
        <v>84226526.448983699</v>
      </c>
      <c r="EC209" s="29">
        <f t="shared" si="45"/>
        <v>3401637.5594297932</v>
      </c>
      <c r="ED209" s="29">
        <f t="shared" si="46"/>
        <v>2154994.6659214883</v>
      </c>
      <c r="EE209" s="29">
        <f t="shared" si="47"/>
        <v>841447.28273424634</v>
      </c>
      <c r="EF209" s="29">
        <f t="shared" si="48"/>
        <v>1927069.0971387415</v>
      </c>
      <c r="EG209" s="29">
        <f t="shared" si="49"/>
        <v>40.180999999999997</v>
      </c>
      <c r="EH209" s="29">
        <f t="shared" si="50"/>
        <v>14908</v>
      </c>
      <c r="EI209" s="29">
        <f t="shared" si="51"/>
        <v>16725.304</v>
      </c>
      <c r="EJ209" s="29">
        <f t="shared" si="52"/>
        <v>180941.49299999999</v>
      </c>
      <c r="EK209" s="29">
        <f t="shared" si="53"/>
        <v>197666.79699999999</v>
      </c>
      <c r="EL209" s="29" t="e">
        <f>IF(CD209=1,VLOOKUP(EA209,'EIA 2022'!$A$2:$J$213,4,0)*EH209,"")</f>
        <v>#VALUE!</v>
      </c>
      <c r="EM209" s="29" t="e">
        <f>IF(CD209=1,VLOOKUP(EA209,'EIA 2022'!$A$2:$J$213,7,0)*EH209,"")</f>
        <v>#VALUE!</v>
      </c>
      <c r="EN209" s="29">
        <f>IF(CD209=1,VLOOKUP(EA209,'EIA 2022'!$A$2:$J$213,10,0),"")</f>
        <v>96</v>
      </c>
      <c r="EO209" s="28">
        <f>IF(CD209=1,VLOOKUP(EA209,'EIA 2022'!$A$2:$Z$213,26,0),"")</f>
        <v>0</v>
      </c>
      <c r="EP209" s="23">
        <f t="shared" si="54"/>
        <v>8.4613623804507751E-2</v>
      </c>
      <c r="EQ209" s="32">
        <f t="shared" si="55"/>
        <v>0</v>
      </c>
      <c r="ER209" s="32">
        <f t="shared" si="56"/>
        <v>16725.304</v>
      </c>
      <c r="ES209" s="32"/>
      <c r="ET209" s="32"/>
    </row>
    <row r="210" spans="1:150" ht="15.75" customHeight="1">
      <c r="A210" s="7" t="s">
        <v>862</v>
      </c>
      <c r="B210" s="7" t="s">
        <v>863</v>
      </c>
      <c r="C210" s="32" t="s">
        <v>1081</v>
      </c>
      <c r="D210" s="42">
        <v>0</v>
      </c>
      <c r="E210" s="42">
        <v>0</v>
      </c>
      <c r="F210" s="42">
        <v>6446674</v>
      </c>
      <c r="G210" s="42">
        <v>91800340</v>
      </c>
      <c r="H210" s="42">
        <v>86714813</v>
      </c>
      <c r="I210" s="42">
        <v>423159</v>
      </c>
      <c r="J210" s="42">
        <v>117145</v>
      </c>
      <c r="K210" s="42">
        <v>194634</v>
      </c>
      <c r="L210" s="42">
        <v>192172</v>
      </c>
      <c r="M210" s="42">
        <v>348968</v>
      </c>
      <c r="N210" s="42">
        <v>82892</v>
      </c>
      <c r="O210" s="42">
        <v>1766555</v>
      </c>
      <c r="P210" s="42">
        <v>15473</v>
      </c>
      <c r="Q210" s="42">
        <v>216507</v>
      </c>
      <c r="R210" s="42">
        <v>0</v>
      </c>
      <c r="S210" s="42">
        <v>538984</v>
      </c>
      <c r="T210" s="42">
        <v>4099251</v>
      </c>
      <c r="U210" s="42">
        <v>108705</v>
      </c>
      <c r="V210" s="42">
        <v>1165</v>
      </c>
      <c r="W210" s="42">
        <v>1008</v>
      </c>
      <c r="X210" s="42">
        <f>IFERROR(VLOOKUP(A210,'Trans 21-23'!$A$2:$J$229,8,0),0)</f>
        <v>0</v>
      </c>
      <c r="Y210" s="42">
        <v>379420</v>
      </c>
      <c r="Z210" s="42">
        <v>425393</v>
      </c>
      <c r="AA210" s="42">
        <v>1667287</v>
      </c>
      <c r="AB210" s="42">
        <v>399067</v>
      </c>
      <c r="AC210" s="42">
        <v>126316</v>
      </c>
      <c r="AD210" s="42">
        <v>9351465</v>
      </c>
      <c r="AE210" s="42">
        <v>0</v>
      </c>
      <c r="AF210" s="42">
        <v>120276530</v>
      </c>
      <c r="AG210" s="42">
        <v>50085</v>
      </c>
      <c r="AH210" s="42">
        <v>208654</v>
      </c>
      <c r="AI210" s="42">
        <v>1842854</v>
      </c>
      <c r="AJ210" s="42">
        <v>4197</v>
      </c>
      <c r="AK210" s="42">
        <v>0</v>
      </c>
      <c r="AL210" s="42">
        <v>328352</v>
      </c>
      <c r="AM210" s="42">
        <v>778903</v>
      </c>
      <c r="AN210" s="42">
        <v>368913</v>
      </c>
      <c r="AO210" s="42">
        <v>9982</v>
      </c>
      <c r="AP210" s="42">
        <v>0</v>
      </c>
      <c r="AQ210" s="42">
        <v>1486255</v>
      </c>
      <c r="AR210" s="42">
        <v>143748</v>
      </c>
      <c r="AS210" s="42">
        <v>1630003</v>
      </c>
      <c r="AT210" s="42">
        <v>0</v>
      </c>
      <c r="AU210" s="42">
        <v>388</v>
      </c>
      <c r="AV210" s="42">
        <v>0</v>
      </c>
      <c r="AW210" s="42">
        <v>70396482</v>
      </c>
      <c r="AX210" s="42">
        <v>3809383</v>
      </c>
      <c r="AY210" s="42">
        <v>23672695</v>
      </c>
      <c r="AZ210" s="42">
        <v>20019137</v>
      </c>
      <c r="BA210" s="42">
        <v>3782081</v>
      </c>
      <c r="BB210" s="42">
        <v>348557605</v>
      </c>
      <c r="BC210" s="42">
        <v>669000174</v>
      </c>
      <c r="BD210" s="42">
        <v>28188542</v>
      </c>
      <c r="BE210" s="42">
        <v>145051807</v>
      </c>
      <c r="BF210" s="42">
        <v>9063698</v>
      </c>
      <c r="BG210" s="42">
        <v>0</v>
      </c>
      <c r="BH210" s="42">
        <v>3125430</v>
      </c>
      <c r="BI210" s="42">
        <v>616111</v>
      </c>
      <c r="BJ210" s="42">
        <v>174643</v>
      </c>
      <c r="BK210" s="42">
        <v>7285</v>
      </c>
      <c r="BL210" s="42">
        <v>0</v>
      </c>
      <c r="BM210" s="42">
        <v>2986388</v>
      </c>
      <c r="BN210" s="42">
        <v>8482363</v>
      </c>
      <c r="BO210" s="42">
        <v>2257283</v>
      </c>
      <c r="BP210" s="42">
        <v>109758</v>
      </c>
      <c r="BQ210" s="42">
        <v>19854136</v>
      </c>
      <c r="BR210" s="42">
        <v>105</v>
      </c>
      <c r="BS210" s="42">
        <f>IFERROR(VLOOKUP(A210,'Trans 21-23'!$A$2:$J$229,7,0),0)</f>
        <v>0</v>
      </c>
      <c r="BT210" s="63"/>
      <c r="BU210" s="32">
        <f t="shared" si="0"/>
        <v>348557605</v>
      </c>
      <c r="BV210" s="32">
        <f t="shared" si="1"/>
        <v>388</v>
      </c>
      <c r="BW210" s="32">
        <f t="shared" si="2"/>
        <v>50085</v>
      </c>
      <c r="BX210" s="32">
        <f t="shared" si="3"/>
        <v>8106618</v>
      </c>
      <c r="BY210" s="32">
        <f t="shared" si="4"/>
        <v>2997483</v>
      </c>
      <c r="BZ210" s="32">
        <f t="shared" si="5"/>
        <v>20019137</v>
      </c>
      <c r="CA210" s="32">
        <f t="shared" si="6"/>
        <v>9351465</v>
      </c>
      <c r="CB210" s="32">
        <f t="shared" si="7"/>
        <v>208654</v>
      </c>
      <c r="CC210" s="32">
        <f t="shared" si="8"/>
        <v>1486255</v>
      </c>
      <c r="CD210" s="41">
        <f t="shared" si="75"/>
        <v>1</v>
      </c>
      <c r="CE210" s="44">
        <f t="shared" si="10"/>
        <v>12</v>
      </c>
      <c r="CF210" s="27"/>
      <c r="CG210" s="28">
        <f t="shared" si="11"/>
        <v>898.34434278350511</v>
      </c>
      <c r="CH210" s="28">
        <f t="shared" si="12"/>
        <v>7.7468303883398226</v>
      </c>
      <c r="CI210" s="28">
        <f t="shared" si="13"/>
        <v>161.85720275531597</v>
      </c>
      <c r="CJ210" s="28">
        <f t="shared" si="14"/>
        <v>399.70324448437657</v>
      </c>
      <c r="CK210" s="23">
        <f t="shared" si="15"/>
        <v>0.14038909877510924</v>
      </c>
      <c r="CL210" s="29" t="str">
        <f t="shared" si="16"/>
        <v/>
      </c>
      <c r="CM210" s="29" t="str">
        <f t="shared" si="17"/>
        <v/>
      </c>
      <c r="CN210" s="29" t="str">
        <f t="shared" si="18"/>
        <v/>
      </c>
      <c r="CO210" s="29" t="str">
        <f t="shared" si="19"/>
        <v/>
      </c>
      <c r="CP210" s="29" t="str">
        <f t="shared" si="20"/>
        <v/>
      </c>
      <c r="CQ210" s="29">
        <f t="shared" si="21"/>
        <v>0</v>
      </c>
      <c r="CR210" s="30"/>
      <c r="CS210" s="7">
        <f>VLOOKUP(A210,'Empresas 21-23'!$A$2:$M$228,13,0)</f>
        <v>1</v>
      </c>
      <c r="CT210" s="30"/>
      <c r="CU210" s="6">
        <f t="shared" si="22"/>
        <v>308267140.19999999</v>
      </c>
      <c r="CV210" s="6">
        <f t="shared" si="23"/>
        <v>20019137</v>
      </c>
      <c r="CW210" s="6">
        <f t="shared" si="24"/>
        <v>28188542</v>
      </c>
      <c r="CX210" s="23">
        <f t="shared" si="93"/>
        <v>0.48105734166822989</v>
      </c>
      <c r="CY210" s="23">
        <f t="shared" si="94"/>
        <v>3.1240283416078814E-2</v>
      </c>
      <c r="CZ210" s="6">
        <f t="shared" si="27"/>
        <v>321827445.28002322</v>
      </c>
      <c r="DA210" s="6">
        <f t="shared" si="28"/>
        <v>20899755.041166041</v>
      </c>
      <c r="DB210" s="6">
        <f t="shared" si="29"/>
        <v>8106618</v>
      </c>
      <c r="DC210" s="6">
        <f t="shared" si="30"/>
        <v>8106618</v>
      </c>
      <c r="DD210" s="6">
        <f t="shared" si="31"/>
        <v>2997483</v>
      </c>
      <c r="DE210" s="6">
        <f t="shared" si="32"/>
        <v>9351465</v>
      </c>
      <c r="DF210" s="6">
        <f t="shared" si="90"/>
        <v>5845647.304724589</v>
      </c>
      <c r="DG210" s="30"/>
      <c r="DH210" s="32">
        <f>VLOOKUP(A210,'T_med_comp-USA'!$A$7:$Q$233,17,0)</f>
        <v>15.922062365091072</v>
      </c>
      <c r="DI210" s="6" t="str">
        <f t="shared" si="34"/>
        <v>2_2007</v>
      </c>
      <c r="DJ210" s="32">
        <f>IF(DI210="","",VLOOKUP(DI210,'CPI USA'!$T:$U,2,FALSE))</f>
        <v>207.34200000000001</v>
      </c>
      <c r="DK210" s="32">
        <f>IF(DI210="","",VLOOKUP(DI210,'PPI USA'!$S:$T,2,FALSE))</f>
        <v>151.69999999999999</v>
      </c>
      <c r="DL210" s="32">
        <f>IF(DI210="","",VLOOKUP(DI210,'CPI USA'!$T:$V,3,FALSE))</f>
        <v>0.67123734379962852</v>
      </c>
      <c r="DM210" s="32">
        <f>IF(DI210="","",VLOOKUP(DI210,'CPI USA'!$T:$X,5,FALSE))</f>
        <v>0.49957259686190569</v>
      </c>
      <c r="DN210" s="32">
        <f t="shared" si="35"/>
        <v>1.5480022216582647</v>
      </c>
      <c r="DO210" s="32">
        <f t="shared" si="36"/>
        <v>1.5651038394149617</v>
      </c>
      <c r="DP210" s="32">
        <f t="shared" si="37"/>
        <v>0.48813863253799644</v>
      </c>
      <c r="DQ210" s="32">
        <f>IF(DP210="","",DP210*$DO$1/'CPI USA'!$U$520+(1-DP210)*AVERAGE($DO$1,$DQ$1)/AVERAGE('CPI USA'!$U$520,'PPI USA'!$T$526))</f>
        <v>1.0757703442473079</v>
      </c>
      <c r="DR210" s="6">
        <f t="shared" si="38"/>
        <v>798039</v>
      </c>
      <c r="DS210" s="32">
        <f t="shared" si="39"/>
        <v>0.33708583221468486</v>
      </c>
      <c r="DT210" s="28">
        <f>IF(DS210="","",DS210*$DO$1/'CPI USA'!$U$520+(1-DS210)*AVERAGE($DO$1,$DQ$1)/AVERAGE('CPI USA'!$U$520,'PPI USA'!$T$526))</f>
        <v>1.0808516197078584</v>
      </c>
      <c r="DU210" s="6">
        <f t="shared" si="40"/>
        <v>3781110.2800773792</v>
      </c>
      <c r="DV210" s="6">
        <f t="shared" si="84"/>
        <v>16601.180047505168</v>
      </c>
      <c r="DW210" s="6">
        <f t="shared" si="41"/>
        <v>1756609.9428596394</v>
      </c>
      <c r="DX210" s="16">
        <f t="shared" si="42"/>
        <v>0.30049879017502579</v>
      </c>
      <c r="DY210" s="28">
        <f>IF(DX210="","",DX210*$DO$1/'CPI USA'!$U$520+(1-DX210)*AVERAGE($DO$1,$DQ$1)/AVERAGE('CPI USA'!$U$520,'PPI USA'!$T$526))</f>
        <v>1.0820823737123677</v>
      </c>
      <c r="DZ210" s="30"/>
      <c r="EA210" s="29" t="str">
        <f t="shared" si="43"/>
        <v>C011423</v>
      </c>
      <c r="EB210" s="29">
        <f t="shared" si="44"/>
        <v>498189600.28407955</v>
      </c>
      <c r="EC210" s="29">
        <f t="shared" si="45"/>
        <v>32710286.857761171</v>
      </c>
      <c r="ED210" s="29">
        <f t="shared" si="46"/>
        <v>8720859.2365414221</v>
      </c>
      <c r="EE210" s="29">
        <f t="shared" si="47"/>
        <v>3239834.3555967705</v>
      </c>
      <c r="EF210" s="29">
        <f t="shared" si="48"/>
        <v>6325471.911381688</v>
      </c>
      <c r="EG210" s="29">
        <f t="shared" si="49"/>
        <v>388</v>
      </c>
      <c r="EH210" s="29">
        <f t="shared" si="50"/>
        <v>50085</v>
      </c>
      <c r="EI210" s="29">
        <f t="shared" si="51"/>
        <v>208654</v>
      </c>
      <c r="EJ210" s="29">
        <f t="shared" si="52"/>
        <v>1486255</v>
      </c>
      <c r="EK210" s="29">
        <f t="shared" si="53"/>
        <v>1692719.9441624365</v>
      </c>
      <c r="EL210" s="29">
        <f>IF(CD210=1,VLOOKUP(EA210,'EIA 2022'!$A$2:$J$213,4,0)*EH210,"")</f>
        <v>8985249</v>
      </c>
      <c r="EM210" s="29">
        <f>IF(CD210=1,VLOOKUP(EA210,'EIA 2022'!$A$2:$J$213,7,0)*EH210,"")</f>
        <v>107181.90000000001</v>
      </c>
      <c r="EN210" s="29">
        <f>IF(CD210=1,VLOOKUP(EA210,'EIA 2022'!$A$2:$J$213,10,0),"")</f>
        <v>50306</v>
      </c>
      <c r="EO210" s="28">
        <f>IF(CD210=1,VLOOKUP(EA210,'EIA 2022'!$A$2:$Z$213,26,0),"")</f>
        <v>0</v>
      </c>
      <c r="EP210" s="23">
        <f t="shared" si="54"/>
        <v>0.12197229959655027</v>
      </c>
      <c r="EQ210" s="32">
        <f t="shared" si="55"/>
        <v>2189.0558375634428</v>
      </c>
      <c r="ER210" s="32">
        <f t="shared" si="56"/>
        <v>206464.94416243656</v>
      </c>
      <c r="ES210" s="32"/>
      <c r="ET210" s="32"/>
    </row>
    <row r="211" spans="1:150" ht="15.75" customHeight="1">
      <c r="A211" s="7" t="s">
        <v>865</v>
      </c>
      <c r="B211" s="7" t="s">
        <v>866</v>
      </c>
      <c r="C211" s="32" t="s">
        <v>1082</v>
      </c>
      <c r="D211" s="42">
        <v>0</v>
      </c>
      <c r="E211" s="42">
        <v>0</v>
      </c>
      <c r="F211" s="42">
        <v>0</v>
      </c>
      <c r="G211" s="42">
        <v>3022528</v>
      </c>
      <c r="H211" s="42">
        <v>3022528</v>
      </c>
      <c r="I211" s="42">
        <v>57900</v>
      </c>
      <c r="J211" s="42">
        <v>246986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10798</v>
      </c>
      <c r="T211" s="42">
        <v>173976</v>
      </c>
      <c r="U211" s="42">
        <v>0</v>
      </c>
      <c r="V211" s="42">
        <v>0</v>
      </c>
      <c r="W211" s="42">
        <v>0</v>
      </c>
      <c r="X211" s="42">
        <f>IFERROR(VLOOKUP(A211,'Trans 21-23'!$A$2:$J$229,8,0),0)</f>
        <v>0</v>
      </c>
      <c r="Y211" s="42">
        <v>627</v>
      </c>
      <c r="Z211" s="42">
        <v>0</v>
      </c>
      <c r="AA211" s="42">
        <v>85702</v>
      </c>
      <c r="AB211" s="42">
        <v>30032</v>
      </c>
      <c r="AC211" s="42">
        <v>0</v>
      </c>
      <c r="AD211" s="42">
        <v>697774</v>
      </c>
      <c r="AE211" s="42">
        <v>0</v>
      </c>
      <c r="AF211" s="42">
        <v>4329052</v>
      </c>
      <c r="AG211" s="42">
        <v>2451</v>
      </c>
      <c r="AH211" s="42">
        <v>1659</v>
      </c>
      <c r="AI211" s="42">
        <v>32855</v>
      </c>
      <c r="AJ211" s="42">
        <v>0</v>
      </c>
      <c r="AK211" s="42">
        <v>0</v>
      </c>
      <c r="AL211" s="42">
        <v>12345</v>
      </c>
      <c r="AM211" s="42">
        <v>2810</v>
      </c>
      <c r="AN211" s="42">
        <v>2984</v>
      </c>
      <c r="AO211" s="42">
        <v>189</v>
      </c>
      <c r="AP211" s="42">
        <v>0</v>
      </c>
      <c r="AQ211" s="42">
        <v>18328</v>
      </c>
      <c r="AR211" s="42">
        <v>12868</v>
      </c>
      <c r="AS211" s="42">
        <v>31196</v>
      </c>
      <c r="AT211" s="42">
        <v>0</v>
      </c>
      <c r="AU211" s="42">
        <v>7.452</v>
      </c>
      <c r="AV211" s="42">
        <v>0</v>
      </c>
      <c r="AW211" s="42">
        <v>216087</v>
      </c>
      <c r="AX211" s="42">
        <v>17205</v>
      </c>
      <c r="AY211" s="42">
        <v>1917350</v>
      </c>
      <c r="AZ211" s="42">
        <v>315251</v>
      </c>
      <c r="BA211" s="42">
        <v>30963</v>
      </c>
      <c r="BB211" s="42">
        <v>6643297</v>
      </c>
      <c r="BC211" s="42">
        <v>7898824</v>
      </c>
      <c r="BD211" s="42">
        <v>1255460</v>
      </c>
      <c r="BE211" s="42">
        <v>6086325</v>
      </c>
      <c r="BF211" s="42">
        <v>207610</v>
      </c>
      <c r="BG211" s="42">
        <v>0</v>
      </c>
      <c r="BH211" s="42">
        <v>252576</v>
      </c>
      <c r="BI211" s="42">
        <v>24161</v>
      </c>
      <c r="BJ211" s="42">
        <v>9897</v>
      </c>
      <c r="BK211" s="42">
        <v>0</v>
      </c>
      <c r="BL211" s="42">
        <v>0</v>
      </c>
      <c r="BM211" s="42">
        <v>27820</v>
      </c>
      <c r="BN211" s="42">
        <v>314454</v>
      </c>
      <c r="BO211" s="42">
        <v>0</v>
      </c>
      <c r="BP211" s="42">
        <v>0</v>
      </c>
      <c r="BQ211" s="42">
        <v>314454</v>
      </c>
      <c r="BR211" s="42">
        <v>0</v>
      </c>
      <c r="BS211" s="42">
        <f>IFERROR(VLOOKUP(A211,'Trans 21-23'!$A$2:$J$229,7,0),0)</f>
        <v>0</v>
      </c>
      <c r="BT211" s="63"/>
      <c r="BU211" s="32">
        <f t="shared" si="0"/>
        <v>6643297</v>
      </c>
      <c r="BV211" s="32">
        <f t="shared" si="1"/>
        <v>7.452</v>
      </c>
      <c r="BW211" s="32">
        <f t="shared" si="2"/>
        <v>2451</v>
      </c>
      <c r="BX211" s="32">
        <f t="shared" si="3"/>
        <v>489660</v>
      </c>
      <c r="BY211" s="32">
        <f t="shared" si="4"/>
        <v>116361</v>
      </c>
      <c r="BZ211" s="32">
        <f t="shared" si="5"/>
        <v>315251</v>
      </c>
      <c r="CA211" s="32">
        <f t="shared" si="6"/>
        <v>697774</v>
      </c>
      <c r="CB211" s="32">
        <f t="shared" si="7"/>
        <v>1659</v>
      </c>
      <c r="CC211" s="32">
        <f t="shared" si="8"/>
        <v>18328</v>
      </c>
      <c r="CD211" s="41">
        <f t="shared" si="75"/>
        <v>1</v>
      </c>
      <c r="CE211" s="44">
        <f t="shared" si="10"/>
        <v>30</v>
      </c>
      <c r="CF211" s="27"/>
      <c r="CG211" s="28">
        <f t="shared" si="11"/>
        <v>891.47839506172841</v>
      </c>
      <c r="CH211" s="28">
        <f t="shared" si="12"/>
        <v>3.0403916768665851</v>
      </c>
      <c r="CI211" s="28">
        <f t="shared" si="13"/>
        <v>199.77968176254589</v>
      </c>
      <c r="CJ211" s="28">
        <f t="shared" si="14"/>
        <v>128.62137902896777</v>
      </c>
      <c r="CK211" s="23">
        <f t="shared" si="15"/>
        <v>9.0517241379310345E-2</v>
      </c>
      <c r="CL211" s="29" t="str">
        <f t="shared" si="16"/>
        <v/>
      </c>
      <c r="CM211" s="29" t="str">
        <f t="shared" si="17"/>
        <v/>
      </c>
      <c r="CN211" s="29" t="str">
        <f t="shared" si="18"/>
        <v/>
      </c>
      <c r="CO211" s="29" t="str">
        <f t="shared" si="19"/>
        <v/>
      </c>
      <c r="CP211" s="29" t="str">
        <f t="shared" si="20"/>
        <v/>
      </c>
      <c r="CQ211" s="29">
        <f t="shared" si="21"/>
        <v>0</v>
      </c>
      <c r="CR211" s="30"/>
      <c r="CS211" s="7" t="str">
        <f>VLOOKUP(A211,'Empresas 21-23'!$A$2:$M$228,13,0)</f>
        <v/>
      </c>
      <c r="CT211" s="30"/>
      <c r="CU211" s="6">
        <f t="shared" si="22"/>
        <v>5136350</v>
      </c>
      <c r="CV211" s="6">
        <f t="shared" si="23"/>
        <v>315251</v>
      </c>
      <c r="CW211" s="6">
        <f t="shared" si="24"/>
        <v>1255460</v>
      </c>
      <c r="CX211" s="23">
        <f t="shared" si="93"/>
        <v>0.77315498593784715</v>
      </c>
      <c r="CY211" s="23">
        <f t="shared" si="94"/>
        <v>4.7453519030418924E-2</v>
      </c>
      <c r="CZ211" s="6">
        <f t="shared" si="27"/>
        <v>6107015.1586455293</v>
      </c>
      <c r="DA211" s="6">
        <f t="shared" si="28"/>
        <v>374826.99500192975</v>
      </c>
      <c r="DB211" s="6">
        <f t="shared" si="29"/>
        <v>489660</v>
      </c>
      <c r="DC211" s="6">
        <f t="shared" si="30"/>
        <v>489660</v>
      </c>
      <c r="DD211" s="6">
        <f t="shared" si="31"/>
        <v>116361</v>
      </c>
      <c r="DE211" s="6">
        <f t="shared" si="32"/>
        <v>697774</v>
      </c>
      <c r="DF211" s="6">
        <f t="shared" si="90"/>
        <v>694645.90924681723</v>
      </c>
      <c r="DG211" s="30"/>
      <c r="DH211" s="32">
        <f>VLOOKUP(A211,'T_med_comp-USA'!$A$7:$Q$233,17,0)</f>
        <v>29.557805268552546</v>
      </c>
      <c r="DI211" s="6" t="str">
        <f t="shared" si="34"/>
        <v>6_1993</v>
      </c>
      <c r="DJ211" s="32">
        <f>IF(DI211="","",VLOOKUP(DI211,'CPI USA'!$T:$U,2,FALSE))</f>
        <v>144.5</v>
      </c>
      <c r="DK211" s="32">
        <f>IF(DI211="","",VLOOKUP(DI211,'PPI USA'!$S:$T,2,FALSE))</f>
        <v>109.8</v>
      </c>
      <c r="DL211" s="32">
        <f>IF(DI211="","",VLOOKUP(DI211,'CPI USA'!$T:$V,3,FALSE))</f>
        <v>0.66766017622336205</v>
      </c>
      <c r="DM211" s="32">
        <f>IF(DI211="","",VLOOKUP(DI211,'CPI USA'!$T:$X,5,FALSE))</f>
        <v>0.49553136688361454</v>
      </c>
      <c r="DN211" s="32">
        <f t="shared" si="35"/>
        <v>2.2093797975039076</v>
      </c>
      <c r="DO211" s="32">
        <f t="shared" si="36"/>
        <v>2.2275893634223354</v>
      </c>
      <c r="DP211" s="32">
        <f t="shared" si="37"/>
        <v>0.51581913981129768</v>
      </c>
      <c r="DQ211" s="32">
        <f>IF(DP211="","",DP211*$DO$1/'CPI USA'!$U$520+(1-DP211)*AVERAGE($DO$1,$DQ$1)/AVERAGE('CPI USA'!$U$520,'PPI USA'!$T$526))</f>
        <v>1.0748391977737413</v>
      </c>
      <c r="DR211" s="6">
        <f t="shared" si="38"/>
        <v>34058</v>
      </c>
      <c r="DS211" s="32">
        <f t="shared" si="39"/>
        <v>0.29269256881601224</v>
      </c>
      <c r="DT211" s="28">
        <f>IF(DS211="","",DS211*$DO$1/'CPI USA'!$U$520+(1-DS211)*AVERAGE($DO$1,$DQ$1)/AVERAGE('CPI USA'!$U$520,'PPI USA'!$T$526))</f>
        <v>1.0823449677254962</v>
      </c>
      <c r="DU211" s="6">
        <f t="shared" si="40"/>
        <v>27820</v>
      </c>
      <c r="DV211" s="6">
        <f t="shared" si="84"/>
        <v>0</v>
      </c>
      <c r="DW211" s="6">
        <f t="shared" si="41"/>
        <v>25358.742073562429</v>
      </c>
      <c r="DX211" s="16">
        <f t="shared" si="42"/>
        <v>0.2</v>
      </c>
      <c r="DY211" s="28">
        <f>IF(DX211="","",DX211*$DO$1/'CPI USA'!$U$520+(1-DX211)*AVERAGE($DO$1,$DQ$1)/AVERAGE('CPI USA'!$U$520,'PPI USA'!$T$526))</f>
        <v>1.0854630593748538</v>
      </c>
      <c r="DZ211" s="30"/>
      <c r="EA211" s="29" t="str">
        <f t="shared" si="43"/>
        <v>C011644</v>
      </c>
      <c r="EB211" s="29">
        <f t="shared" si="44"/>
        <v>13492715.914561553</v>
      </c>
      <c r="EC211" s="29">
        <f t="shared" si="45"/>
        <v>834960.62718985556</v>
      </c>
      <c r="ED211" s="29">
        <f t="shared" si="46"/>
        <v>526305.76158189017</v>
      </c>
      <c r="EE211" s="29">
        <f t="shared" si="47"/>
        <v>125942.74278950646</v>
      </c>
      <c r="EF211" s="29">
        <f t="shared" si="48"/>
        <v>754012.47383327724</v>
      </c>
      <c r="EG211" s="29">
        <f t="shared" si="49"/>
        <v>7.452</v>
      </c>
      <c r="EH211" s="29">
        <f t="shared" si="50"/>
        <v>2451</v>
      </c>
      <c r="EI211" s="29">
        <f t="shared" si="51"/>
        <v>1659</v>
      </c>
      <c r="EJ211" s="29">
        <f t="shared" si="52"/>
        <v>18328</v>
      </c>
      <c r="EK211" s="29">
        <f t="shared" si="53"/>
        <v>19791.040609137053</v>
      </c>
      <c r="EL211" s="29" t="e">
        <f>IF(CD211=1,VLOOKUP(EA211,'EIA 2022'!$A$2:$J$213,4,0)*EH211,"")</f>
        <v>#VALUE!</v>
      </c>
      <c r="EM211" s="29" t="e">
        <f>IF(CD211=1,VLOOKUP(EA211,'EIA 2022'!$A$2:$J$213,7,0)*EH211,"")</f>
        <v>#VALUE!</v>
      </c>
      <c r="EN211" s="29">
        <f>IF(CD211=1,VLOOKUP(EA211,'EIA 2022'!$A$2:$J$213,10,0),"")</f>
        <v>2264</v>
      </c>
      <c r="EO211" s="28">
        <f>IF(CD211=1,VLOOKUP(EA211,'EIA 2022'!$A$2:$Z$213,26,0),"")</f>
        <v>0</v>
      </c>
      <c r="EP211" s="23">
        <f t="shared" si="54"/>
        <v>7.3924390234518744E-2</v>
      </c>
      <c r="EQ211" s="32">
        <f t="shared" si="55"/>
        <v>195.95939086294493</v>
      </c>
      <c r="ER211" s="32">
        <f t="shared" si="56"/>
        <v>1463.0406091370551</v>
      </c>
      <c r="ES211" s="32"/>
      <c r="ET211" s="32"/>
    </row>
    <row r="212" spans="1:150" ht="15.75" customHeight="1">
      <c r="A212" s="7" t="s">
        <v>1083</v>
      </c>
      <c r="B212" s="7" t="s">
        <v>1084</v>
      </c>
      <c r="C212" s="32" t="s">
        <v>1085</v>
      </c>
      <c r="D212" s="42">
        <v>0</v>
      </c>
      <c r="E212" s="42">
        <v>0</v>
      </c>
      <c r="F212" s="42">
        <v>0</v>
      </c>
      <c r="G212" s="42">
        <v>233119713</v>
      </c>
      <c r="H212" s="42">
        <v>232904378</v>
      </c>
      <c r="I212" s="42">
        <v>1506052</v>
      </c>
      <c r="J212" s="42">
        <v>1134567</v>
      </c>
      <c r="K212" s="42">
        <v>1369591</v>
      </c>
      <c r="L212" s="42">
        <v>2367625</v>
      </c>
      <c r="M212" s="42">
        <v>882334</v>
      </c>
      <c r="N212" s="42">
        <v>431588</v>
      </c>
      <c r="O212" s="42">
        <v>1915332</v>
      </c>
      <c r="P212" s="42">
        <v>0</v>
      </c>
      <c r="Q212" s="42">
        <v>0</v>
      </c>
      <c r="R212" s="42">
        <v>0</v>
      </c>
      <c r="S212" s="42">
        <v>42854</v>
      </c>
      <c r="T212" s="42">
        <v>3944633</v>
      </c>
      <c r="U212" s="42">
        <v>427766</v>
      </c>
      <c r="V212" s="42">
        <v>20083</v>
      </c>
      <c r="W212" s="42">
        <v>0</v>
      </c>
      <c r="X212" s="42">
        <f>IFERROR(VLOOKUP(A212,'Trans 21-23'!$A$2:$J$229,8,0),0)</f>
        <v>2809043</v>
      </c>
      <c r="Y212" s="42">
        <v>588398</v>
      </c>
      <c r="Z212" s="42">
        <v>33192</v>
      </c>
      <c r="AA212" s="42">
        <v>2172244</v>
      </c>
      <c r="AB212" s="42">
        <v>320038</v>
      </c>
      <c r="AC212" s="42">
        <v>5740</v>
      </c>
      <c r="AD212" s="42">
        <v>5729454</v>
      </c>
      <c r="AE212" s="42">
        <v>0</v>
      </c>
      <c r="AF212" s="42">
        <v>258628346</v>
      </c>
      <c r="AG212" s="42">
        <v>21003</v>
      </c>
      <c r="AH212" s="42">
        <v>91959</v>
      </c>
      <c r="AI212" s="42">
        <v>4189725</v>
      </c>
      <c r="AJ212" s="42">
        <v>6361</v>
      </c>
      <c r="AK212" s="42">
        <v>0</v>
      </c>
      <c r="AL212" s="42">
        <v>205507</v>
      </c>
      <c r="AM212" s="42">
        <v>987050</v>
      </c>
      <c r="AN212" s="42">
        <v>2891537</v>
      </c>
      <c r="AO212" s="42">
        <v>119</v>
      </c>
      <c r="AP212" s="42">
        <v>7192</v>
      </c>
      <c r="AQ212" s="42">
        <v>4091405</v>
      </c>
      <c r="AR212" s="42">
        <v>0</v>
      </c>
      <c r="AS212" s="42">
        <v>4091405</v>
      </c>
      <c r="AT212" s="42">
        <v>0</v>
      </c>
      <c r="AU212" s="42">
        <v>648</v>
      </c>
      <c r="AV212" s="42">
        <v>0</v>
      </c>
      <c r="AW212" s="42">
        <v>45343275</v>
      </c>
      <c r="AX212" s="42">
        <v>0</v>
      </c>
      <c r="AY212" s="42">
        <v>61530649</v>
      </c>
      <c r="AZ212" s="42">
        <v>15039901</v>
      </c>
      <c r="BA212" s="42">
        <v>1815883</v>
      </c>
      <c r="BB212" s="42">
        <v>360720909</v>
      </c>
      <c r="BC212" s="42">
        <v>668038822</v>
      </c>
      <c r="BD212" s="42">
        <v>93390861</v>
      </c>
      <c r="BE212" s="42">
        <v>47152961</v>
      </c>
      <c r="BF212" s="42">
        <v>11670240</v>
      </c>
      <c r="BG212" s="42">
        <v>0</v>
      </c>
      <c r="BH212" s="42">
        <v>13408254</v>
      </c>
      <c r="BI212" s="42">
        <v>1438895</v>
      </c>
      <c r="BJ212" s="42">
        <v>226214</v>
      </c>
      <c r="BK212" s="42">
        <v>0</v>
      </c>
      <c r="BL212" s="42">
        <v>0</v>
      </c>
      <c r="BM212" s="42">
        <v>3134092</v>
      </c>
      <c r="BN212" s="42">
        <v>19401158</v>
      </c>
      <c r="BO212" s="42">
        <v>0</v>
      </c>
      <c r="BP212" s="42">
        <v>85856</v>
      </c>
      <c r="BQ212" s="42">
        <v>23795081</v>
      </c>
      <c r="BR212" s="42">
        <v>0</v>
      </c>
      <c r="BS212" s="42">
        <f>IFERROR(VLOOKUP(A212,'Trans 21-23'!$A$2:$J$229,7,0),0)</f>
        <v>146970331</v>
      </c>
      <c r="BT212" s="63"/>
      <c r="BU212" s="32">
        <f t="shared" si="0"/>
        <v>360720909</v>
      </c>
      <c r="BV212" s="32">
        <f t="shared" si="1"/>
        <v>648</v>
      </c>
      <c r="BW212" s="32">
        <f t="shared" si="2"/>
        <v>21003</v>
      </c>
      <c r="BX212" s="32">
        <f t="shared" si="3"/>
        <v>14042425</v>
      </c>
      <c r="BY212" s="32">
        <f t="shared" si="4"/>
        <v>3119612</v>
      </c>
      <c r="BZ212" s="32">
        <f t="shared" si="5"/>
        <v>15039901</v>
      </c>
      <c r="CA212" s="32">
        <f t="shared" si="6"/>
        <v>5729454</v>
      </c>
      <c r="CB212" s="32">
        <f t="shared" si="7"/>
        <v>91959</v>
      </c>
      <c r="CC212" s="32">
        <f t="shared" si="8"/>
        <v>4091405</v>
      </c>
      <c r="CD212" s="41">
        <f t="shared" si="75"/>
        <v>1</v>
      </c>
      <c r="CE212" s="44">
        <f t="shared" si="10"/>
        <v>18</v>
      </c>
      <c r="CF212" s="27"/>
      <c r="CG212" s="28">
        <f t="shared" si="11"/>
        <v>556.66806944444454</v>
      </c>
      <c r="CH212" s="28">
        <f t="shared" si="12"/>
        <v>30.852735323525209</v>
      </c>
      <c r="CI212" s="28">
        <f t="shared" si="13"/>
        <v>668.59139170594676</v>
      </c>
      <c r="CJ212" s="28">
        <f t="shared" si="14"/>
        <v>716.0834642670095</v>
      </c>
      <c r="CK212" s="23">
        <f t="shared" si="15"/>
        <v>2.2476142058779319E-2</v>
      </c>
      <c r="CL212" s="29" t="str">
        <f t="shared" si="16"/>
        <v/>
      </c>
      <c r="CM212" s="29">
        <f t="shared" si="17"/>
        <v>1</v>
      </c>
      <c r="CN212" s="29">
        <f t="shared" si="18"/>
        <v>1</v>
      </c>
      <c r="CO212" s="29">
        <f t="shared" si="19"/>
        <v>1</v>
      </c>
      <c r="CP212" s="29" t="str">
        <f t="shared" si="20"/>
        <v/>
      </c>
      <c r="CQ212" s="29">
        <f t="shared" si="21"/>
        <v>3</v>
      </c>
      <c r="CR212" s="30"/>
      <c r="CS212" s="7" t="str">
        <f>VLOOKUP(A212,'Empresas 21-23'!$A$2:$M$228,13,0)</f>
        <v/>
      </c>
      <c r="CT212" s="30"/>
      <c r="CU212" s="6">
        <f t="shared" si="22"/>
        <v>453917066.60000002</v>
      </c>
      <c r="CV212" s="6">
        <f t="shared" si="23"/>
        <v>15039901</v>
      </c>
      <c r="CW212" s="6">
        <f t="shared" si="24"/>
        <v>93390861</v>
      </c>
      <c r="CX212" s="23">
        <f t="shared" si="93"/>
        <v>0.78990459795610413</v>
      </c>
      <c r="CY212" s="23">
        <f t="shared" si="94"/>
        <v>2.617237338461556E-2</v>
      </c>
      <c r="CZ212" s="6">
        <f t="shared" si="27"/>
        <v>527686937.11097944</v>
      </c>
      <c r="DA212" s="6">
        <f t="shared" si="28"/>
        <v>17484161.48480273</v>
      </c>
      <c r="DB212" s="6">
        <f t="shared" si="29"/>
        <v>14042425</v>
      </c>
      <c r="DC212" s="6">
        <f t="shared" si="30"/>
        <v>16851468</v>
      </c>
      <c r="DD212" s="6">
        <f t="shared" si="31"/>
        <v>3119612</v>
      </c>
      <c r="DE212" s="6">
        <f t="shared" si="32"/>
        <v>5729454</v>
      </c>
      <c r="DF212" s="6">
        <f t="shared" si="90"/>
        <v>5722738.9568118537</v>
      </c>
      <c r="DG212" s="30"/>
      <c r="DH212" s="32">
        <f>VLOOKUP(A212,'T_med_comp-USA'!$A$7:$Q$233,17,0)</f>
        <v>6.1790239512252469</v>
      </c>
      <c r="DI212" s="6" t="str">
        <f t="shared" si="34"/>
        <v>10_2016</v>
      </c>
      <c r="DJ212" s="32">
        <f>IF(DI212="","",VLOOKUP(DI212,'CPI USA'!$T:$U,2,FALSE))</f>
        <v>241.72900000000001</v>
      </c>
      <c r="DK212" s="32">
        <f>IF(DI212="","",VLOOKUP(DI212,'PPI USA'!$S:$T,2,FALSE))</f>
        <v>179.2</v>
      </c>
      <c r="DL212" s="32">
        <f>IF(DI212="","",VLOOKUP(DI212,'CPI USA'!$T:$V,3,FALSE))</f>
        <v>0.67131212484522451</v>
      </c>
      <c r="DM212" s="32">
        <f>IF(DI212="","",VLOOKUP(DI212,'CPI USA'!$T:$X,5,FALSE))</f>
        <v>0.49965731919331663</v>
      </c>
      <c r="DN212" s="32">
        <f t="shared" si="35"/>
        <v>1.3252536895563343</v>
      </c>
      <c r="DO212" s="32">
        <f t="shared" si="36"/>
        <v>1.338599306141151</v>
      </c>
      <c r="DP212" s="32">
        <f t="shared" si="37"/>
        <v>0.8</v>
      </c>
      <c r="DQ212" s="32">
        <f>IF(DP212="","",DP212*$DO$1/'CPI USA'!$U$520+(1-DP212)*AVERAGE($DO$1,$DQ$1)/AVERAGE('CPI USA'!$U$520,'PPI USA'!$T$526))</f>
        <v>1.0652796184204005</v>
      </c>
      <c r="DR212" s="6">
        <f t="shared" si="38"/>
        <v>1665109</v>
      </c>
      <c r="DS212" s="32">
        <f t="shared" si="39"/>
        <v>0.53375515929545081</v>
      </c>
      <c r="DT212" s="28">
        <f>IF(DS212="","",DS212*$DO$1/'CPI USA'!$U$520+(1-DS212)*AVERAGE($DO$1,$DQ$1)/AVERAGE('CPI USA'!$U$520,'PPI USA'!$T$526))</f>
        <v>1.0742358467900472</v>
      </c>
      <c r="DU212" s="6">
        <f t="shared" si="40"/>
        <v>3134092</v>
      </c>
      <c r="DV212" s="6">
        <f t="shared" si="84"/>
        <v>11349.194364303346</v>
      </c>
      <c r="DW212" s="6">
        <f t="shared" si="41"/>
        <v>2443791.0828728215</v>
      </c>
      <c r="DX212" s="16">
        <f t="shared" si="42"/>
        <v>0.42703172402507439</v>
      </c>
      <c r="DY212" s="28">
        <f>IF(DX212="","",DX212*$DO$1/'CPI USA'!$U$520+(1-DX212)*AVERAGE($DO$1,$DQ$1)/AVERAGE('CPI USA'!$U$520,'PPI USA'!$T$526))</f>
        <v>1.0778259237137739</v>
      </c>
      <c r="DZ212" s="30"/>
      <c r="EA212" s="29" t="str">
        <f t="shared" si="43"/>
        <v>C011785</v>
      </c>
      <c r="EB212" s="29">
        <f t="shared" si="44"/>
        <v>699319060.33700681</v>
      </c>
      <c r="EC212" s="29">
        <f t="shared" si="45"/>
        <v>23404286.432016771</v>
      </c>
      <c r="ED212" s="29">
        <f t="shared" si="46"/>
        <v>17951525.400863592</v>
      </c>
      <c r="EE212" s="29">
        <f t="shared" si="47"/>
        <v>3351199.0384763931</v>
      </c>
      <c r="EF212" s="29">
        <f t="shared" si="48"/>
        <v>6168116.4022985352</v>
      </c>
      <c r="EG212" s="29">
        <f t="shared" si="49"/>
        <v>648</v>
      </c>
      <c r="EH212" s="29">
        <f t="shared" si="50"/>
        <v>21003</v>
      </c>
      <c r="EI212" s="29">
        <f t="shared" si="51"/>
        <v>91959</v>
      </c>
      <c r="EJ212" s="29">
        <f t="shared" si="52"/>
        <v>4091405</v>
      </c>
      <c r="EK212" s="29">
        <f t="shared" si="53"/>
        <v>4183364</v>
      </c>
      <c r="EL212" s="29" t="e">
        <f>IF(CD212=1,VLOOKUP(EA212,'EIA 2022'!$A$2:$J$213,4,0)*EH212,"")</f>
        <v>#VALUE!</v>
      </c>
      <c r="EM212" s="29" t="e">
        <f>IF(CD212=1,VLOOKUP(EA212,'EIA 2022'!$A$2:$J$213,7,0)*EH212,"")</f>
        <v>#VALUE!</v>
      </c>
      <c r="EN212" s="29">
        <f>IF(CD212=1,VLOOKUP(EA212,'EIA 2022'!$A$2:$J$213,10,0),"")</f>
        <v>0</v>
      </c>
      <c r="EO212" s="28">
        <f>IF(CD212=1,VLOOKUP(EA212,'EIA 2022'!$A$2:$Z$213,26,0),"")</f>
        <v>0</v>
      </c>
      <c r="EP212" s="23">
        <f t="shared" si="54"/>
        <v>2.1982069932236354E-2</v>
      </c>
      <c r="EQ212" s="32">
        <f t="shared" si="55"/>
        <v>0</v>
      </c>
      <c r="ER212" s="32">
        <f t="shared" si="56"/>
        <v>91959</v>
      </c>
      <c r="ES212" s="32"/>
      <c r="ET212" s="32"/>
    </row>
    <row r="213" spans="1:150" ht="15.75" customHeight="1">
      <c r="A213" s="7"/>
      <c r="B213" s="7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63"/>
      <c r="BW213" s="7"/>
      <c r="CE213" s="7" t="str">
        <f>+'Empresas 21-23'!M213</f>
        <v/>
      </c>
      <c r="CF213" s="27"/>
      <c r="CG213" s="28"/>
      <c r="CH213" s="28"/>
      <c r="CI213" s="28"/>
      <c r="CJ213" s="28"/>
      <c r="CL213" s="29" t="str">
        <f t="shared" si="16"/>
        <v/>
      </c>
      <c r="CM213" s="29" t="str">
        <f t="shared" si="17"/>
        <v/>
      </c>
      <c r="CN213" s="29" t="str">
        <f t="shared" si="18"/>
        <v/>
      </c>
      <c r="CO213" s="29" t="str">
        <f t="shared" si="19"/>
        <v/>
      </c>
      <c r="CP213" s="29" t="str">
        <f t="shared" si="20"/>
        <v/>
      </c>
      <c r="CQ213" s="29" t="str">
        <f t="shared" si="21"/>
        <v/>
      </c>
      <c r="CR213" s="30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8"/>
      <c r="EP213" s="23"/>
      <c r="EQ213" s="32"/>
      <c r="ER213" s="32"/>
      <c r="ES213" s="32"/>
      <c r="ET213" s="32"/>
    </row>
    <row r="214" spans="1:150" ht="15.75" customHeight="1">
      <c r="A214" s="7"/>
      <c r="B214" s="7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63"/>
      <c r="BW214" s="7"/>
      <c r="CE214" s="7"/>
      <c r="CF214" s="27"/>
      <c r="CG214" s="28"/>
      <c r="CH214" s="28"/>
      <c r="CI214" s="28"/>
      <c r="CJ214" s="28"/>
      <c r="CL214" s="29" t="str">
        <f t="shared" si="16"/>
        <v/>
      </c>
      <c r="CM214" s="29" t="str">
        <f t="shared" si="17"/>
        <v/>
      </c>
      <c r="CN214" s="29" t="str">
        <f t="shared" si="18"/>
        <v/>
      </c>
      <c r="CO214" s="29" t="str">
        <f t="shared" si="19"/>
        <v/>
      </c>
      <c r="CP214" s="29" t="str">
        <f t="shared" si="20"/>
        <v/>
      </c>
      <c r="CQ214" s="29" t="str">
        <f t="shared" si="21"/>
        <v/>
      </c>
      <c r="CR214" s="30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8"/>
      <c r="EP214" s="23"/>
      <c r="EQ214" s="23"/>
      <c r="ER214" s="23"/>
      <c r="ES214" s="23"/>
      <c r="ET214" s="23"/>
    </row>
    <row r="215" spans="1:150" ht="15.75" customHeight="1">
      <c r="A215" s="7"/>
      <c r="B215" s="7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63"/>
      <c r="BW215" s="7"/>
      <c r="CE215" s="7"/>
      <c r="CF215" s="27"/>
      <c r="CG215" s="28"/>
      <c r="CH215" s="28"/>
      <c r="CI215" s="28"/>
      <c r="CJ215" s="28"/>
      <c r="CL215" s="29" t="str">
        <f t="shared" si="16"/>
        <v/>
      </c>
      <c r="CM215" s="29" t="str">
        <f t="shared" si="17"/>
        <v/>
      </c>
      <c r="CN215" s="29" t="str">
        <f t="shared" si="18"/>
        <v/>
      </c>
      <c r="CO215" s="29" t="str">
        <f t="shared" si="19"/>
        <v/>
      </c>
      <c r="CP215" s="29" t="str">
        <f t="shared" si="20"/>
        <v/>
      </c>
      <c r="CQ215" s="29" t="str">
        <f t="shared" si="21"/>
        <v/>
      </c>
      <c r="CR215" s="30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8"/>
      <c r="EP215" s="23"/>
      <c r="EQ215" s="23"/>
      <c r="ER215" s="23"/>
      <c r="ES215" s="23"/>
      <c r="ET215" s="23"/>
    </row>
    <row r="216" spans="1:150" ht="15.75" customHeight="1">
      <c r="A216" s="7"/>
      <c r="B216" s="7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63"/>
      <c r="BW216" s="7"/>
      <c r="CE216" s="7"/>
      <c r="CF216" s="27"/>
      <c r="CG216" s="28"/>
      <c r="CH216" s="28"/>
      <c r="CI216" s="28"/>
      <c r="CJ216" s="28"/>
      <c r="CL216" s="29" t="str">
        <f t="shared" si="16"/>
        <v/>
      </c>
      <c r="CM216" s="29" t="str">
        <f t="shared" si="17"/>
        <v/>
      </c>
      <c r="CN216" s="29" t="str">
        <f t="shared" si="18"/>
        <v/>
      </c>
      <c r="CO216" s="29" t="str">
        <f t="shared" si="19"/>
        <v/>
      </c>
      <c r="CP216" s="29" t="str">
        <f t="shared" si="20"/>
        <v/>
      </c>
      <c r="CQ216" s="29" t="str">
        <f t="shared" si="21"/>
        <v/>
      </c>
      <c r="CR216" s="30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8"/>
      <c r="EP216" s="23"/>
      <c r="EQ216" s="23"/>
      <c r="ER216" s="23"/>
      <c r="ES216" s="23"/>
      <c r="ET216" s="23"/>
    </row>
    <row r="217" spans="1:150" ht="15.75" customHeight="1">
      <c r="A217" s="7"/>
      <c r="B217" s="7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63"/>
      <c r="BW217" s="7"/>
      <c r="CE217" s="7"/>
      <c r="CF217" s="27"/>
      <c r="CG217" s="28"/>
      <c r="CH217" s="28"/>
      <c r="CI217" s="28"/>
      <c r="CJ217" s="28"/>
      <c r="CL217" s="29" t="str">
        <f t="shared" si="16"/>
        <v/>
      </c>
      <c r="CM217" s="29" t="str">
        <f t="shared" si="17"/>
        <v/>
      </c>
      <c r="CN217" s="29" t="str">
        <f t="shared" si="18"/>
        <v/>
      </c>
      <c r="CO217" s="29" t="str">
        <f t="shared" si="19"/>
        <v/>
      </c>
      <c r="CP217" s="29" t="str">
        <f t="shared" si="20"/>
        <v/>
      </c>
      <c r="CQ217" s="29" t="str">
        <f t="shared" si="21"/>
        <v/>
      </c>
      <c r="CR217" s="30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8"/>
      <c r="EP217" s="23"/>
      <c r="EQ217" s="23"/>
      <c r="ER217" s="23"/>
      <c r="ES217" s="23"/>
      <c r="ET217" s="23"/>
    </row>
    <row r="218" spans="1:150" ht="15.75" customHeight="1">
      <c r="A218" s="7"/>
      <c r="B218" s="7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63"/>
      <c r="BW218" s="7"/>
      <c r="CE218" s="7" t="str">
        <f>+'Empresas 21-23'!M218</f>
        <v/>
      </c>
      <c r="CF218" s="27"/>
      <c r="CG218" s="28"/>
      <c r="CH218" s="28"/>
      <c r="CI218" s="28"/>
      <c r="CJ218" s="28"/>
      <c r="CL218" s="29" t="str">
        <f t="shared" si="16"/>
        <v/>
      </c>
      <c r="CM218" s="29" t="str">
        <f t="shared" si="17"/>
        <v/>
      </c>
      <c r="CN218" s="29" t="str">
        <f t="shared" si="18"/>
        <v/>
      </c>
      <c r="CO218" s="29" t="str">
        <f t="shared" si="19"/>
        <v/>
      </c>
      <c r="CP218" s="29" t="str">
        <f t="shared" si="20"/>
        <v/>
      </c>
      <c r="CQ218" s="29" t="str">
        <f t="shared" si="21"/>
        <v/>
      </c>
      <c r="CR218" s="30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8"/>
      <c r="EP218" s="23"/>
      <c r="EQ218" s="23"/>
      <c r="ER218" s="23"/>
      <c r="ES218" s="23"/>
      <c r="ET218" s="23"/>
    </row>
    <row r="219" spans="1:150" ht="15.75" customHeight="1">
      <c r="A219" s="7"/>
      <c r="B219" s="7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63"/>
      <c r="BW219" s="7"/>
      <c r="CE219" s="7" t="str">
        <f>+'Empresas 21-23'!M219</f>
        <v/>
      </c>
      <c r="CF219" s="27"/>
      <c r="CG219" s="28"/>
      <c r="CH219" s="28"/>
      <c r="CI219" s="28"/>
      <c r="CJ219" s="28"/>
      <c r="CL219" s="29" t="str">
        <f t="shared" si="16"/>
        <v/>
      </c>
      <c r="CM219" s="29" t="str">
        <f t="shared" si="17"/>
        <v/>
      </c>
      <c r="CN219" s="29" t="str">
        <f t="shared" si="18"/>
        <v/>
      </c>
      <c r="CO219" s="29" t="str">
        <f t="shared" si="19"/>
        <v/>
      </c>
      <c r="CP219" s="29" t="str">
        <f t="shared" si="20"/>
        <v/>
      </c>
      <c r="CQ219" s="29" t="str">
        <f t="shared" si="21"/>
        <v/>
      </c>
      <c r="CR219" s="30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8"/>
      <c r="EP219" s="23"/>
      <c r="EQ219" s="23"/>
      <c r="ER219" s="23"/>
      <c r="ES219" s="23"/>
      <c r="ET219" s="23"/>
    </row>
    <row r="220" spans="1:150" ht="15.75" customHeight="1">
      <c r="A220" s="7"/>
      <c r="B220" s="7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63"/>
      <c r="BW220" s="7"/>
      <c r="CE220" s="7" t="str">
        <f>+'Empresas 21-23'!M220</f>
        <v/>
      </c>
      <c r="CF220" s="27"/>
      <c r="CG220" s="28"/>
      <c r="CH220" s="28"/>
      <c r="CI220" s="28"/>
      <c r="CJ220" s="28"/>
      <c r="CL220" s="29" t="str">
        <f t="shared" si="16"/>
        <v/>
      </c>
      <c r="CM220" s="29" t="str">
        <f t="shared" si="17"/>
        <v/>
      </c>
      <c r="CN220" s="29" t="str">
        <f t="shared" si="18"/>
        <v/>
      </c>
      <c r="CO220" s="29" t="str">
        <f t="shared" si="19"/>
        <v/>
      </c>
      <c r="CP220" s="29" t="str">
        <f t="shared" si="20"/>
        <v/>
      </c>
      <c r="CQ220" s="29" t="str">
        <f t="shared" si="21"/>
        <v/>
      </c>
      <c r="CR220" s="30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8"/>
      <c r="EP220" s="23"/>
      <c r="EQ220" s="23"/>
      <c r="ER220" s="23"/>
      <c r="ES220" s="23"/>
      <c r="ET220" s="23"/>
    </row>
    <row r="221" spans="1:150" ht="15.75" customHeight="1">
      <c r="A221" s="7"/>
      <c r="B221" s="7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63"/>
      <c r="BW221" s="7"/>
      <c r="CF221" s="27"/>
      <c r="CG221" s="28"/>
      <c r="CH221" s="28"/>
      <c r="CI221" s="28"/>
      <c r="CJ221" s="28"/>
      <c r="CL221" s="29"/>
      <c r="CM221" s="29"/>
      <c r="CN221" s="29"/>
      <c r="CO221" s="29"/>
      <c r="CP221" s="29"/>
      <c r="CQ221" s="29"/>
      <c r="CR221" s="30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8"/>
      <c r="EP221" s="56"/>
      <c r="EQ221" s="56"/>
      <c r="ER221" s="56"/>
      <c r="ES221" s="56"/>
      <c r="ET221" s="56"/>
    </row>
    <row r="222" spans="1:150" ht="15.75" customHeight="1">
      <c r="A222" s="7"/>
      <c r="B222" s="7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63"/>
      <c r="BW222" s="7"/>
      <c r="CF222" s="27"/>
      <c r="CG222" s="28"/>
      <c r="CH222" s="28"/>
      <c r="CI222" s="28"/>
      <c r="CJ222" s="28"/>
      <c r="CL222" s="29"/>
      <c r="CM222" s="29"/>
      <c r="CN222" s="29"/>
      <c r="CO222" s="29"/>
      <c r="CP222" s="29"/>
      <c r="CQ222" s="29"/>
      <c r="CR222" s="30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8"/>
      <c r="EP222" s="17"/>
      <c r="EQ222" s="17"/>
      <c r="ER222" s="17"/>
      <c r="ES222" s="17"/>
      <c r="ET222" s="17"/>
    </row>
    <row r="223" spans="1:150" ht="15.75" customHeight="1">
      <c r="A223" s="7"/>
      <c r="B223" s="7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63"/>
      <c r="BW223" s="7"/>
      <c r="CF223" s="27"/>
      <c r="CG223" s="28"/>
      <c r="CH223" s="28"/>
      <c r="CI223" s="28"/>
      <c r="CJ223" s="28"/>
      <c r="CL223" s="29"/>
      <c r="CM223" s="29"/>
      <c r="CN223" s="29"/>
      <c r="CO223" s="29"/>
      <c r="CP223" s="29"/>
      <c r="CQ223" s="29"/>
      <c r="CR223" s="30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8"/>
      <c r="EP223" s="17"/>
      <c r="EQ223" s="17"/>
      <c r="ER223" s="17"/>
      <c r="ES223" s="17"/>
      <c r="ET223" s="17"/>
    </row>
    <row r="224" spans="1:150" ht="15.75" customHeight="1">
      <c r="A224" s="7"/>
      <c r="B224" s="7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63"/>
      <c r="BW224" s="7"/>
      <c r="CF224" s="27"/>
      <c r="CG224" s="28"/>
      <c r="CH224" s="28"/>
      <c r="CI224" s="28"/>
      <c r="CJ224" s="28"/>
      <c r="CL224" s="29"/>
      <c r="CM224" s="29"/>
      <c r="CN224" s="29"/>
      <c r="CO224" s="29"/>
      <c r="CP224" s="29"/>
      <c r="CQ224" s="29"/>
      <c r="CR224" s="30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8"/>
      <c r="EP224" s="17"/>
      <c r="EQ224" s="17"/>
      <c r="ER224" s="17"/>
      <c r="ES224" s="17"/>
      <c r="ET224" s="17"/>
    </row>
    <row r="225" spans="1:150" ht="15.75" customHeight="1">
      <c r="A225" s="7"/>
      <c r="B225" s="7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63"/>
      <c r="BW225" s="7"/>
      <c r="CF225" s="27"/>
      <c r="CG225" s="28"/>
      <c r="CH225" s="28"/>
      <c r="CI225" s="28"/>
      <c r="CJ225" s="28"/>
      <c r="CL225" s="29"/>
      <c r="CM225" s="29"/>
      <c r="CN225" s="29"/>
      <c r="CO225" s="29"/>
      <c r="CP225" s="29"/>
      <c r="CQ225" s="29"/>
      <c r="CR225" s="30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8"/>
      <c r="EP225" s="17"/>
      <c r="EQ225" s="17"/>
      <c r="ER225" s="17"/>
      <c r="ES225" s="17"/>
      <c r="ET225" s="17"/>
    </row>
    <row r="226" spans="1:150" ht="15.75" customHeight="1">
      <c r="A226" s="7"/>
      <c r="B226" s="7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63"/>
      <c r="BW226" s="7"/>
      <c r="CF226" s="27"/>
      <c r="CG226" s="28"/>
      <c r="CH226" s="28"/>
      <c r="CI226" s="28"/>
      <c r="CJ226" s="28"/>
      <c r="CL226" s="29"/>
      <c r="CM226" s="29"/>
      <c r="CN226" s="29"/>
      <c r="CO226" s="29"/>
      <c r="CP226" s="29"/>
      <c r="CQ226" s="29"/>
      <c r="CR226" s="30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8"/>
      <c r="EP226" s="17"/>
      <c r="EQ226" s="17"/>
      <c r="ER226" s="17"/>
      <c r="ES226" s="17"/>
      <c r="ET226" s="17"/>
    </row>
    <row r="227" spans="1:150" ht="15.75" customHeight="1">
      <c r="A227" s="7"/>
      <c r="B227" s="7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63"/>
      <c r="BW227" s="7"/>
      <c r="CF227" s="27"/>
      <c r="CG227" s="28"/>
      <c r="CH227" s="28"/>
      <c r="CI227" s="28"/>
      <c r="CJ227" s="28"/>
      <c r="CL227" s="29"/>
      <c r="CM227" s="29"/>
      <c r="CN227" s="29"/>
      <c r="CO227" s="29"/>
      <c r="CP227" s="29"/>
      <c r="CQ227" s="29"/>
      <c r="CR227" s="30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8"/>
      <c r="EP227" s="17"/>
      <c r="EQ227" s="17"/>
      <c r="ER227" s="17"/>
      <c r="ES227" s="17"/>
      <c r="ET227" s="17"/>
    </row>
    <row r="228" spans="1:150" ht="15.75" customHeight="1">
      <c r="A228" s="7"/>
      <c r="B228" s="7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63"/>
      <c r="BW228" s="7"/>
      <c r="CF228" s="27"/>
      <c r="CG228" s="28"/>
      <c r="CH228" s="28"/>
      <c r="CI228" s="28"/>
      <c r="CJ228" s="28"/>
      <c r="CL228" s="29"/>
      <c r="CM228" s="29"/>
      <c r="CN228" s="29"/>
      <c r="CO228" s="29"/>
      <c r="CP228" s="29"/>
      <c r="CQ228" s="29"/>
      <c r="CR228" s="30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8"/>
      <c r="EP228" s="17"/>
      <c r="EQ228" s="17"/>
      <c r="ER228" s="17"/>
      <c r="ES228" s="17"/>
      <c r="ET228" s="17"/>
    </row>
    <row r="229" spans="1:150" ht="15.75" customHeight="1">
      <c r="A229" s="7"/>
      <c r="B229" s="7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63"/>
      <c r="BW229" s="7"/>
      <c r="CF229" s="27"/>
      <c r="CG229" s="28"/>
      <c r="CH229" s="28"/>
      <c r="CI229" s="28"/>
      <c r="CJ229" s="28"/>
      <c r="CL229" s="29"/>
      <c r="CM229" s="29"/>
      <c r="CN229" s="29"/>
      <c r="CO229" s="29"/>
      <c r="CP229" s="29"/>
      <c r="CQ229" s="29"/>
      <c r="CR229" s="30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8"/>
      <c r="EP229" s="17"/>
      <c r="EQ229" s="17"/>
      <c r="ER229" s="17"/>
      <c r="ES229" s="17"/>
      <c r="ET229" s="17"/>
    </row>
    <row r="230" spans="1:150" ht="15.75" customHeight="1">
      <c r="A230" s="7"/>
      <c r="B230" s="7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63"/>
      <c r="BW230" s="7"/>
      <c r="CF230" s="27"/>
      <c r="CG230" s="28"/>
      <c r="CH230" s="28"/>
      <c r="CI230" s="28"/>
      <c r="CJ230" s="28"/>
      <c r="CL230" s="29"/>
      <c r="CM230" s="29"/>
      <c r="CN230" s="29"/>
      <c r="CO230" s="29"/>
      <c r="CP230" s="29"/>
      <c r="CQ230" s="29"/>
      <c r="CR230" s="30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8"/>
      <c r="EP230" s="17"/>
      <c r="EQ230" s="17"/>
      <c r="ER230" s="17"/>
      <c r="ES230" s="17"/>
      <c r="ET230" s="17"/>
    </row>
    <row r="231" spans="1:150" ht="15.75" customHeight="1">
      <c r="A231" s="7"/>
      <c r="B231" s="7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63"/>
      <c r="BW231" s="7"/>
      <c r="CF231" s="27"/>
      <c r="CG231" s="28"/>
      <c r="CH231" s="28"/>
      <c r="CI231" s="28"/>
      <c r="CJ231" s="28"/>
      <c r="CL231" s="29"/>
      <c r="CM231" s="29"/>
      <c r="CN231" s="29"/>
      <c r="CO231" s="29"/>
      <c r="CP231" s="29"/>
      <c r="CQ231" s="29"/>
      <c r="CR231" s="30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8"/>
      <c r="EP231" s="17"/>
      <c r="EQ231" s="17"/>
      <c r="ER231" s="17"/>
      <c r="ES231" s="17"/>
      <c r="ET231" s="17"/>
    </row>
    <row r="232" spans="1:150" ht="15.75" customHeight="1">
      <c r="A232" s="7"/>
      <c r="B232" s="7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63"/>
      <c r="BW232" s="7"/>
      <c r="CF232" s="27"/>
      <c r="CG232" s="28"/>
      <c r="CH232" s="28"/>
      <c r="CI232" s="28"/>
      <c r="CJ232" s="28"/>
      <c r="CL232" s="29"/>
      <c r="CM232" s="29"/>
      <c r="CN232" s="29"/>
      <c r="CO232" s="29"/>
      <c r="CP232" s="29"/>
      <c r="CQ232" s="29"/>
      <c r="CR232" s="30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8"/>
      <c r="EP232" s="17"/>
      <c r="EQ232" s="17"/>
      <c r="ER232" s="17"/>
      <c r="ES232" s="17"/>
      <c r="ET232" s="17"/>
    </row>
    <row r="233" spans="1:150" ht="15.75" customHeight="1">
      <c r="A233" s="7"/>
      <c r="B233" s="7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63"/>
      <c r="BW233" s="7"/>
      <c r="CF233" s="27"/>
      <c r="CG233" s="28"/>
      <c r="CH233" s="28"/>
      <c r="CI233" s="28"/>
      <c r="CJ233" s="28"/>
      <c r="CL233" s="29"/>
      <c r="CM233" s="29"/>
      <c r="CN233" s="29"/>
      <c r="CO233" s="29"/>
      <c r="CP233" s="29"/>
      <c r="CQ233" s="29"/>
      <c r="CR233" s="30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8"/>
      <c r="EP233" s="17"/>
      <c r="EQ233" s="17"/>
      <c r="ER233" s="17"/>
      <c r="ES233" s="17"/>
      <c r="ET233" s="17"/>
    </row>
    <row r="234" spans="1:150" ht="15.75" customHeight="1">
      <c r="A234" s="7"/>
      <c r="B234" s="7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63"/>
      <c r="BW234" s="7"/>
      <c r="CF234" s="27"/>
      <c r="CG234" s="28"/>
      <c r="CH234" s="28"/>
      <c r="CI234" s="28"/>
      <c r="CJ234" s="28"/>
      <c r="CL234" s="29"/>
      <c r="CM234" s="29"/>
      <c r="CN234" s="29"/>
      <c r="CO234" s="29"/>
      <c r="CP234" s="29"/>
      <c r="CQ234" s="29"/>
      <c r="CR234" s="30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8"/>
      <c r="EP234" s="17"/>
      <c r="EQ234" s="17"/>
      <c r="ER234" s="17"/>
      <c r="ES234" s="17"/>
      <c r="ET234" s="17"/>
    </row>
    <row r="235" spans="1:150" ht="15.75" customHeight="1">
      <c r="A235" s="7"/>
      <c r="B235" s="7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63"/>
      <c r="BW235" s="7"/>
      <c r="CF235" s="27"/>
      <c r="CG235" s="28"/>
      <c r="CH235" s="28"/>
      <c r="CI235" s="28"/>
      <c r="CJ235" s="28"/>
      <c r="CL235" s="29"/>
      <c r="CM235" s="29"/>
      <c r="CN235" s="29"/>
      <c r="CO235" s="29"/>
      <c r="CP235" s="29"/>
      <c r="CQ235" s="29"/>
      <c r="CR235" s="30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8"/>
      <c r="EP235" s="17"/>
      <c r="EQ235" s="17"/>
      <c r="ER235" s="17"/>
      <c r="ES235" s="17"/>
      <c r="ET235" s="17"/>
    </row>
    <row r="236" spans="1:150" ht="15.75" customHeight="1">
      <c r="A236" s="7"/>
      <c r="B236" s="7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63"/>
      <c r="BW236" s="7"/>
      <c r="CF236" s="27"/>
      <c r="CG236" s="28"/>
      <c r="CH236" s="28"/>
      <c r="CI236" s="28"/>
      <c r="CJ236" s="28"/>
      <c r="CL236" s="29"/>
      <c r="CM236" s="29"/>
      <c r="CN236" s="29"/>
      <c r="CO236" s="29"/>
      <c r="CP236" s="29"/>
      <c r="CQ236" s="29"/>
      <c r="CR236" s="30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8"/>
      <c r="EP236" s="17"/>
      <c r="EQ236" s="17"/>
      <c r="ER236" s="17"/>
      <c r="ES236" s="17"/>
      <c r="ET236" s="17"/>
    </row>
    <row r="237" spans="1:150" ht="15.75" customHeight="1">
      <c r="A237" s="7"/>
      <c r="B237" s="7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63"/>
      <c r="BW237" s="7"/>
      <c r="CF237" s="27"/>
      <c r="CG237" s="28"/>
      <c r="CH237" s="28"/>
      <c r="CI237" s="28"/>
      <c r="CJ237" s="28"/>
      <c r="CL237" s="29"/>
      <c r="CM237" s="29"/>
      <c r="CN237" s="29"/>
      <c r="CO237" s="29"/>
      <c r="CP237" s="29"/>
      <c r="CQ237" s="29"/>
      <c r="CR237" s="30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8"/>
      <c r="EP237" s="17"/>
      <c r="EQ237" s="17"/>
      <c r="ER237" s="17"/>
      <c r="ES237" s="17"/>
      <c r="ET237" s="17"/>
    </row>
    <row r="238" spans="1:150" ht="15.75" customHeight="1">
      <c r="A238" s="7"/>
      <c r="B238" s="7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63"/>
      <c r="BW238" s="7"/>
      <c r="CF238" s="27"/>
      <c r="CG238" s="28"/>
      <c r="CH238" s="28"/>
      <c r="CI238" s="28"/>
      <c r="CJ238" s="28"/>
      <c r="CL238" s="29"/>
      <c r="CM238" s="29"/>
      <c r="CN238" s="29"/>
      <c r="CO238" s="29"/>
      <c r="CP238" s="29"/>
      <c r="CQ238" s="29"/>
      <c r="CR238" s="30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8"/>
      <c r="EP238" s="17"/>
      <c r="EQ238" s="17"/>
      <c r="ER238" s="17"/>
      <c r="ES238" s="17"/>
      <c r="ET238" s="17"/>
    </row>
    <row r="239" spans="1:150" ht="15.75" customHeight="1">
      <c r="BT239" s="63"/>
      <c r="BW239" s="7"/>
      <c r="CF239" s="27"/>
      <c r="CG239" s="28"/>
      <c r="CH239" s="28"/>
      <c r="CI239" s="28"/>
      <c r="CJ239" s="28"/>
      <c r="CL239" s="29"/>
      <c r="CM239" s="29"/>
      <c r="CN239" s="29"/>
      <c r="CO239" s="29"/>
      <c r="CP239" s="29"/>
      <c r="CQ239" s="29"/>
      <c r="CR239" s="30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8"/>
      <c r="EP239" s="17"/>
      <c r="EQ239" s="17"/>
      <c r="ER239" s="17"/>
      <c r="ES239" s="17"/>
      <c r="ET239" s="17"/>
    </row>
    <row r="240" spans="1:150" ht="15.75" customHeight="1">
      <c r="BT240" s="63"/>
      <c r="BW240" s="7"/>
      <c r="CF240" s="27"/>
      <c r="CG240" s="28"/>
      <c r="CH240" s="28"/>
      <c r="CI240" s="28"/>
      <c r="CJ240" s="28"/>
      <c r="CL240" s="29"/>
      <c r="CM240" s="29"/>
      <c r="CN240" s="29"/>
      <c r="CO240" s="29"/>
      <c r="CP240" s="29"/>
      <c r="CQ240" s="29"/>
      <c r="CR240" s="30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8"/>
      <c r="EP240" s="17"/>
      <c r="EQ240" s="17"/>
      <c r="ER240" s="17"/>
      <c r="ES240" s="17"/>
      <c r="ET240" s="17"/>
    </row>
    <row r="241" spans="72:150" ht="15.75" customHeight="1">
      <c r="BT241" s="63"/>
      <c r="BW241" s="7"/>
      <c r="CF241" s="27"/>
      <c r="CG241" s="28"/>
      <c r="CH241" s="28"/>
      <c r="CI241" s="28"/>
      <c r="CJ241" s="28"/>
      <c r="CL241" s="29"/>
      <c r="CM241" s="29"/>
      <c r="CN241" s="29"/>
      <c r="CO241" s="29"/>
      <c r="CP241" s="29"/>
      <c r="CQ241" s="29"/>
      <c r="CR241" s="30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8"/>
      <c r="EP241" s="17"/>
      <c r="EQ241" s="17"/>
      <c r="ER241" s="17"/>
      <c r="ES241" s="17"/>
      <c r="ET241" s="17"/>
    </row>
    <row r="242" spans="72:150" ht="15.75" customHeight="1">
      <c r="BT242" s="63"/>
      <c r="BW242" s="7"/>
      <c r="CF242" s="27"/>
      <c r="CG242" s="28"/>
      <c r="CH242" s="28"/>
      <c r="CI242" s="28"/>
      <c r="CJ242" s="28"/>
      <c r="CL242" s="29"/>
      <c r="CM242" s="29"/>
      <c r="CN242" s="29"/>
      <c r="CO242" s="29"/>
      <c r="CP242" s="29"/>
      <c r="CQ242" s="29"/>
      <c r="CR242" s="30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8"/>
      <c r="EP242" s="17"/>
      <c r="EQ242" s="17"/>
      <c r="ER242" s="17"/>
      <c r="ES242" s="17"/>
      <c r="ET242" s="17"/>
    </row>
    <row r="243" spans="72:150" ht="15.75" customHeight="1">
      <c r="BT243" s="63"/>
      <c r="BW243" s="7"/>
      <c r="CF243" s="27"/>
      <c r="CG243" s="28"/>
      <c r="CH243" s="28"/>
      <c r="CI243" s="28"/>
      <c r="CJ243" s="28"/>
      <c r="CL243" s="29"/>
      <c r="CM243" s="29"/>
      <c r="CN243" s="29"/>
      <c r="CO243" s="29"/>
      <c r="CP243" s="29"/>
      <c r="CQ243" s="29"/>
      <c r="CR243" s="30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8"/>
      <c r="EP243" s="17"/>
      <c r="EQ243" s="17"/>
      <c r="ER243" s="17"/>
      <c r="ES243" s="17"/>
      <c r="ET243" s="17"/>
    </row>
    <row r="244" spans="72:150" ht="15.75" customHeight="1">
      <c r="BT244" s="63"/>
      <c r="BW244" s="7"/>
      <c r="CF244" s="27"/>
      <c r="CG244" s="28"/>
      <c r="CH244" s="28"/>
      <c r="CI244" s="28"/>
      <c r="CJ244" s="28"/>
      <c r="CL244" s="29"/>
      <c r="CM244" s="29"/>
      <c r="CN244" s="29"/>
      <c r="CO244" s="29"/>
      <c r="CP244" s="29"/>
      <c r="CQ244" s="29"/>
      <c r="CR244" s="30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8"/>
      <c r="EP244" s="17"/>
      <c r="EQ244" s="17"/>
      <c r="ER244" s="17"/>
      <c r="ES244" s="17"/>
      <c r="ET244" s="17"/>
    </row>
    <row r="245" spans="72:150" ht="15.75" customHeight="1">
      <c r="BT245" s="63"/>
      <c r="BW245" s="7"/>
      <c r="CF245" s="27"/>
      <c r="CG245" s="28"/>
      <c r="CH245" s="28"/>
      <c r="CI245" s="28"/>
      <c r="CJ245" s="28"/>
      <c r="CL245" s="29"/>
      <c r="CM245" s="29"/>
      <c r="CN245" s="29"/>
      <c r="CO245" s="29"/>
      <c r="CP245" s="29"/>
      <c r="CQ245" s="29"/>
      <c r="CR245" s="30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8"/>
      <c r="EP245" s="17"/>
      <c r="EQ245" s="17"/>
      <c r="ER245" s="17"/>
      <c r="ES245" s="17"/>
      <c r="ET245" s="17"/>
    </row>
    <row r="246" spans="72:150" ht="15.75" customHeight="1">
      <c r="BT246" s="63"/>
      <c r="BW246" s="7"/>
      <c r="CF246" s="27"/>
      <c r="CG246" s="28"/>
      <c r="CH246" s="28"/>
      <c r="CI246" s="28"/>
      <c r="CJ246" s="28"/>
      <c r="CL246" s="29"/>
      <c r="CM246" s="29"/>
      <c r="CN246" s="29"/>
      <c r="CO246" s="29"/>
      <c r="CP246" s="29"/>
      <c r="CQ246" s="29"/>
      <c r="CR246" s="30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8"/>
      <c r="EP246" s="17"/>
      <c r="EQ246" s="17"/>
      <c r="ER246" s="17"/>
      <c r="ES246" s="17"/>
      <c r="ET246" s="17"/>
    </row>
    <row r="247" spans="72:150" ht="15.75" customHeight="1">
      <c r="BT247" s="63"/>
      <c r="BW247" s="7"/>
      <c r="CF247" s="27"/>
      <c r="CG247" s="28"/>
      <c r="CH247" s="28"/>
      <c r="CI247" s="28"/>
      <c r="CJ247" s="28"/>
      <c r="CL247" s="29"/>
      <c r="CM247" s="29"/>
      <c r="CN247" s="29"/>
      <c r="CO247" s="29"/>
      <c r="CP247" s="29"/>
      <c r="CQ247" s="29"/>
      <c r="CR247" s="30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8"/>
      <c r="EP247" s="17"/>
      <c r="EQ247" s="17"/>
      <c r="ER247" s="17"/>
      <c r="ES247" s="17"/>
      <c r="ET247" s="17"/>
    </row>
    <row r="248" spans="72:150" ht="15.75" customHeight="1">
      <c r="BT248" s="63"/>
      <c r="BW248" s="7"/>
      <c r="CF248" s="27"/>
      <c r="CG248" s="28"/>
      <c r="CH248" s="28"/>
      <c r="CI248" s="28"/>
      <c r="CJ248" s="28"/>
      <c r="CL248" s="29"/>
      <c r="CM248" s="29"/>
      <c r="CN248" s="29"/>
      <c r="CO248" s="29"/>
      <c r="CP248" s="29"/>
      <c r="CQ248" s="29"/>
      <c r="CR248" s="30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8"/>
      <c r="EP248" s="17"/>
      <c r="EQ248" s="17"/>
      <c r="ER248" s="17"/>
      <c r="ES248" s="17"/>
      <c r="ET248" s="17"/>
    </row>
    <row r="249" spans="72:150" ht="15.75" customHeight="1">
      <c r="BT249" s="63"/>
      <c r="BW249" s="7"/>
      <c r="CF249" s="27"/>
      <c r="CG249" s="28"/>
      <c r="CH249" s="28"/>
      <c r="CI249" s="28"/>
      <c r="CJ249" s="28"/>
      <c r="CL249" s="29"/>
      <c r="CM249" s="29"/>
      <c r="CN249" s="29"/>
      <c r="CO249" s="29"/>
      <c r="CP249" s="29"/>
      <c r="CQ249" s="29"/>
      <c r="CR249" s="30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8"/>
      <c r="EP249" s="17"/>
      <c r="EQ249" s="17"/>
      <c r="ER249" s="17"/>
      <c r="ES249" s="17"/>
      <c r="ET249" s="17"/>
    </row>
    <row r="250" spans="72:150" ht="15.75" customHeight="1">
      <c r="BT250" s="63"/>
      <c r="BW250" s="7"/>
      <c r="CF250" s="27"/>
      <c r="CG250" s="28"/>
      <c r="CH250" s="28"/>
      <c r="CI250" s="28"/>
      <c r="CJ250" s="28"/>
      <c r="CL250" s="29"/>
      <c r="CM250" s="29"/>
      <c r="CN250" s="29"/>
      <c r="CO250" s="29"/>
      <c r="CP250" s="29"/>
      <c r="CQ250" s="29"/>
      <c r="CR250" s="30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8"/>
      <c r="EP250" s="17"/>
      <c r="EQ250" s="17"/>
      <c r="ER250" s="17"/>
      <c r="ES250" s="17"/>
      <c r="ET250" s="17"/>
    </row>
    <row r="251" spans="72:150" ht="15.75" customHeight="1">
      <c r="BT251" s="63"/>
      <c r="BW251" s="7"/>
      <c r="CF251" s="27"/>
      <c r="CG251" s="28"/>
      <c r="CH251" s="28"/>
      <c r="CI251" s="28"/>
      <c r="CJ251" s="28"/>
      <c r="CL251" s="29"/>
      <c r="CM251" s="29"/>
      <c r="CN251" s="29"/>
      <c r="CO251" s="29"/>
      <c r="CP251" s="29"/>
      <c r="CQ251" s="29"/>
      <c r="CR251" s="30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8"/>
      <c r="EP251" s="17"/>
      <c r="EQ251" s="17"/>
      <c r="ER251" s="17"/>
      <c r="ES251" s="17"/>
      <c r="ET251" s="17"/>
    </row>
    <row r="252" spans="72:150" ht="15.75" customHeight="1">
      <c r="BT252" s="63"/>
      <c r="BW252" s="7"/>
      <c r="CF252" s="27"/>
      <c r="CG252" s="28"/>
      <c r="CH252" s="28"/>
      <c r="CI252" s="28"/>
      <c r="CJ252" s="28"/>
      <c r="CL252" s="29"/>
      <c r="CM252" s="29"/>
      <c r="CN252" s="29"/>
      <c r="CO252" s="29"/>
      <c r="CP252" s="29"/>
      <c r="CQ252" s="29"/>
      <c r="CR252" s="30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8"/>
      <c r="EP252" s="17"/>
      <c r="EQ252" s="17"/>
      <c r="ER252" s="17"/>
      <c r="ES252" s="17"/>
      <c r="ET252" s="17"/>
    </row>
    <row r="253" spans="72:150" ht="15.75" customHeight="1">
      <c r="BT253" s="63"/>
      <c r="BW253" s="7"/>
      <c r="CF253" s="27"/>
      <c r="CG253" s="28"/>
      <c r="CH253" s="28"/>
      <c r="CI253" s="28"/>
      <c r="CJ253" s="28"/>
      <c r="CL253" s="29"/>
      <c r="CM253" s="29"/>
      <c r="CN253" s="29"/>
      <c r="CO253" s="29"/>
      <c r="CP253" s="29"/>
      <c r="CQ253" s="29"/>
      <c r="CR253" s="30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8"/>
      <c r="EP253" s="17"/>
      <c r="EQ253" s="17"/>
      <c r="ER253" s="17"/>
      <c r="ES253" s="17"/>
      <c r="ET253" s="17"/>
    </row>
    <row r="254" spans="72:150" ht="15.75" customHeight="1">
      <c r="BT254" s="63"/>
      <c r="BW254" s="7"/>
      <c r="CF254" s="27"/>
      <c r="CG254" s="28"/>
      <c r="CH254" s="28"/>
      <c r="CI254" s="28"/>
      <c r="CJ254" s="28"/>
      <c r="CL254" s="29"/>
      <c r="CM254" s="29"/>
      <c r="CN254" s="29"/>
      <c r="CO254" s="29"/>
      <c r="CP254" s="29"/>
      <c r="CQ254" s="29"/>
      <c r="CR254" s="30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8"/>
      <c r="EP254" s="17"/>
      <c r="EQ254" s="17"/>
      <c r="ER254" s="17"/>
      <c r="ES254" s="17"/>
      <c r="ET254" s="17"/>
    </row>
    <row r="255" spans="72:150" ht="15.75" customHeight="1">
      <c r="BT255" s="63"/>
      <c r="BW255" s="7"/>
      <c r="CF255" s="27"/>
      <c r="CG255" s="28"/>
      <c r="CH255" s="28"/>
      <c r="CI255" s="28"/>
      <c r="CJ255" s="28"/>
      <c r="CL255" s="29"/>
      <c r="CM255" s="29"/>
      <c r="CN255" s="29"/>
      <c r="CO255" s="29"/>
      <c r="CP255" s="29"/>
      <c r="CQ255" s="29"/>
      <c r="CR255" s="30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8"/>
      <c r="EP255" s="17"/>
      <c r="EQ255" s="17"/>
      <c r="ER255" s="17"/>
      <c r="ES255" s="17"/>
      <c r="ET255" s="17"/>
    </row>
    <row r="256" spans="72:150" ht="15.75" customHeight="1">
      <c r="BT256" s="63"/>
      <c r="BW256" s="7"/>
      <c r="CF256" s="27"/>
      <c r="CG256" s="28"/>
      <c r="CH256" s="28"/>
      <c r="CI256" s="28"/>
      <c r="CJ256" s="28"/>
      <c r="CL256" s="29"/>
      <c r="CM256" s="29"/>
      <c r="CN256" s="29"/>
      <c r="CO256" s="29"/>
      <c r="CP256" s="29"/>
      <c r="CQ256" s="29"/>
      <c r="CR256" s="30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8"/>
      <c r="EP256" s="17"/>
      <c r="EQ256" s="17"/>
      <c r="ER256" s="17"/>
      <c r="ES256" s="17"/>
      <c r="ET256" s="17"/>
    </row>
    <row r="257" spans="72:150" ht="15.75" customHeight="1">
      <c r="BT257" s="63"/>
      <c r="BW257" s="7"/>
      <c r="CF257" s="27"/>
      <c r="CG257" s="28"/>
      <c r="CH257" s="28"/>
      <c r="CI257" s="28"/>
      <c r="CJ257" s="28"/>
      <c r="CL257" s="29"/>
      <c r="CM257" s="29"/>
      <c r="CN257" s="29"/>
      <c r="CO257" s="29"/>
      <c r="CP257" s="29"/>
      <c r="CQ257" s="29"/>
      <c r="CR257" s="30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8"/>
      <c r="EP257" s="17"/>
      <c r="EQ257" s="17"/>
      <c r="ER257" s="17"/>
      <c r="ES257" s="17"/>
      <c r="ET257" s="17"/>
    </row>
    <row r="258" spans="72:150" ht="15.75" customHeight="1">
      <c r="BT258" s="63"/>
      <c r="BW258" s="7"/>
      <c r="CF258" s="27"/>
      <c r="CG258" s="28"/>
      <c r="CH258" s="28"/>
      <c r="CI258" s="28"/>
      <c r="CJ258" s="28"/>
      <c r="CL258" s="29"/>
      <c r="CM258" s="29"/>
      <c r="CN258" s="29"/>
      <c r="CO258" s="29"/>
      <c r="CP258" s="29"/>
      <c r="CQ258" s="29"/>
      <c r="CR258" s="30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8"/>
      <c r="EP258" s="17"/>
      <c r="EQ258" s="17"/>
      <c r="ER258" s="17"/>
      <c r="ES258" s="17"/>
      <c r="ET258" s="17"/>
    </row>
    <row r="259" spans="72:150" ht="15.75" customHeight="1">
      <c r="BT259" s="63"/>
      <c r="BW259" s="7"/>
      <c r="CF259" s="27"/>
      <c r="CG259" s="28"/>
      <c r="CH259" s="28"/>
      <c r="CI259" s="28"/>
      <c r="CJ259" s="28"/>
      <c r="CL259" s="29"/>
      <c r="CM259" s="29"/>
      <c r="CN259" s="29"/>
      <c r="CO259" s="29"/>
      <c r="CP259" s="29"/>
      <c r="CQ259" s="29"/>
      <c r="CR259" s="30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8"/>
      <c r="EP259" s="17"/>
      <c r="EQ259" s="17"/>
      <c r="ER259" s="17"/>
      <c r="ES259" s="17"/>
      <c r="ET259" s="17"/>
    </row>
    <row r="260" spans="72:150" ht="15.75" customHeight="1">
      <c r="BT260" s="63"/>
      <c r="BW260" s="7"/>
      <c r="CF260" s="27"/>
      <c r="CG260" s="28"/>
      <c r="CH260" s="28"/>
      <c r="CI260" s="28"/>
      <c r="CJ260" s="28"/>
      <c r="CL260" s="29"/>
      <c r="CM260" s="29"/>
      <c r="CN260" s="29"/>
      <c r="CO260" s="29"/>
      <c r="CP260" s="29"/>
      <c r="CQ260" s="29"/>
      <c r="CR260" s="30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8"/>
      <c r="EP260" s="17"/>
      <c r="EQ260" s="17"/>
      <c r="ER260" s="17"/>
      <c r="ES260" s="17"/>
      <c r="ET260" s="17"/>
    </row>
    <row r="261" spans="72:150" ht="15.75" customHeight="1">
      <c r="BT261" s="63"/>
      <c r="BW261" s="7"/>
      <c r="CF261" s="27"/>
      <c r="CG261" s="28"/>
      <c r="CH261" s="28"/>
      <c r="CI261" s="28"/>
      <c r="CJ261" s="28"/>
      <c r="CL261" s="29"/>
      <c r="CM261" s="29"/>
      <c r="CN261" s="29"/>
      <c r="CO261" s="29"/>
      <c r="CP261" s="29"/>
      <c r="CQ261" s="29"/>
      <c r="CR261" s="30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8"/>
      <c r="EP261" s="17"/>
      <c r="EQ261" s="17"/>
      <c r="ER261" s="17"/>
      <c r="ES261" s="17"/>
      <c r="ET261" s="17"/>
    </row>
    <row r="262" spans="72:150" ht="15.75" customHeight="1">
      <c r="BT262" s="63"/>
      <c r="BW262" s="7"/>
      <c r="CF262" s="27"/>
      <c r="CG262" s="28"/>
      <c r="CH262" s="28"/>
      <c r="CI262" s="28"/>
      <c r="CJ262" s="28"/>
      <c r="CL262" s="29"/>
      <c r="CM262" s="29"/>
      <c r="CN262" s="29"/>
      <c r="CO262" s="29"/>
      <c r="CP262" s="29"/>
      <c r="CQ262" s="29"/>
      <c r="CR262" s="30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8"/>
      <c r="EP262" s="17"/>
      <c r="EQ262" s="17"/>
      <c r="ER262" s="17"/>
      <c r="ES262" s="17"/>
      <c r="ET262" s="17"/>
    </row>
    <row r="263" spans="72:150" ht="15.75" customHeight="1">
      <c r="BT263" s="63"/>
      <c r="BW263" s="7"/>
      <c r="CF263" s="27"/>
      <c r="CG263" s="28"/>
      <c r="CH263" s="28"/>
      <c r="CI263" s="28"/>
      <c r="CJ263" s="28"/>
      <c r="CL263" s="29"/>
      <c r="CM263" s="29"/>
      <c r="CN263" s="29"/>
      <c r="CO263" s="29"/>
      <c r="CP263" s="29"/>
      <c r="CQ263" s="29"/>
      <c r="CR263" s="30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8"/>
      <c r="EP263" s="17"/>
      <c r="EQ263" s="17"/>
      <c r="ER263" s="17"/>
      <c r="ES263" s="17"/>
      <c r="ET263" s="17"/>
    </row>
    <row r="264" spans="72:150" ht="15.75" customHeight="1">
      <c r="BT264" s="63"/>
      <c r="BW264" s="7"/>
      <c r="CF264" s="27"/>
      <c r="CG264" s="28"/>
      <c r="CH264" s="28"/>
      <c r="CI264" s="28"/>
      <c r="CJ264" s="28"/>
      <c r="CL264" s="29"/>
      <c r="CM264" s="29"/>
      <c r="CN264" s="29"/>
      <c r="CO264" s="29"/>
      <c r="CP264" s="29"/>
      <c r="CQ264" s="29"/>
      <c r="CR264" s="30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8"/>
      <c r="EP264" s="17"/>
      <c r="EQ264" s="17"/>
      <c r="ER264" s="17"/>
      <c r="ES264" s="17"/>
      <c r="ET264" s="17"/>
    </row>
    <row r="265" spans="72:150" ht="15.75" customHeight="1">
      <c r="BT265" s="63"/>
      <c r="BW265" s="7"/>
      <c r="CF265" s="27"/>
      <c r="CG265" s="28"/>
      <c r="CH265" s="28"/>
      <c r="CI265" s="28"/>
      <c r="CJ265" s="28"/>
      <c r="CL265" s="29"/>
      <c r="CM265" s="29"/>
      <c r="CN265" s="29"/>
      <c r="CO265" s="29"/>
      <c r="CP265" s="29"/>
      <c r="CQ265" s="29"/>
      <c r="CR265" s="30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8"/>
      <c r="EP265" s="17"/>
      <c r="EQ265" s="17"/>
      <c r="ER265" s="17"/>
      <c r="ES265" s="17"/>
      <c r="ET265" s="17"/>
    </row>
    <row r="266" spans="72:150" ht="15.75" customHeight="1">
      <c r="BT266" s="63"/>
      <c r="BW266" s="7"/>
      <c r="CF266" s="27"/>
      <c r="CG266" s="28"/>
      <c r="CH266" s="28"/>
      <c r="CI266" s="28"/>
      <c r="CJ266" s="28"/>
      <c r="CL266" s="29"/>
      <c r="CM266" s="29"/>
      <c r="CN266" s="29"/>
      <c r="CO266" s="29"/>
      <c r="CP266" s="29"/>
      <c r="CQ266" s="29"/>
      <c r="CR266" s="30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8"/>
      <c r="EP266" s="17"/>
      <c r="EQ266" s="17"/>
      <c r="ER266" s="17"/>
      <c r="ES266" s="17"/>
      <c r="ET266" s="17"/>
    </row>
    <row r="267" spans="72:150" ht="15.75" customHeight="1">
      <c r="BT267" s="63"/>
      <c r="BW267" s="7"/>
      <c r="CF267" s="27"/>
      <c r="CG267" s="28"/>
      <c r="CH267" s="28"/>
      <c r="CI267" s="28"/>
      <c r="CJ267" s="28"/>
      <c r="CL267" s="29"/>
      <c r="CM267" s="29"/>
      <c r="CN267" s="29"/>
      <c r="CO267" s="29"/>
      <c r="CP267" s="29"/>
      <c r="CQ267" s="29"/>
      <c r="CR267" s="30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8"/>
      <c r="EP267" s="17"/>
      <c r="EQ267" s="17"/>
      <c r="ER267" s="17"/>
      <c r="ES267" s="17"/>
      <c r="ET267" s="17"/>
    </row>
    <row r="268" spans="72:150" ht="15.75" customHeight="1">
      <c r="BT268" s="63"/>
      <c r="BW268" s="7"/>
      <c r="CF268" s="27"/>
      <c r="CG268" s="28"/>
      <c r="CH268" s="28"/>
      <c r="CI268" s="28"/>
      <c r="CJ268" s="28"/>
      <c r="CL268" s="29"/>
      <c r="CM268" s="29"/>
      <c r="CN268" s="29"/>
      <c r="CO268" s="29"/>
      <c r="CP268" s="29"/>
      <c r="CQ268" s="29"/>
      <c r="CR268" s="30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8"/>
      <c r="EP268" s="17"/>
      <c r="EQ268" s="17"/>
      <c r="ER268" s="17"/>
      <c r="ES268" s="17"/>
      <c r="ET268" s="17"/>
    </row>
    <row r="269" spans="72:150" ht="15.75" customHeight="1">
      <c r="BT269" s="63"/>
      <c r="BW269" s="7"/>
      <c r="CF269" s="27"/>
      <c r="CG269" s="28"/>
      <c r="CH269" s="28"/>
      <c r="CI269" s="28"/>
      <c r="CJ269" s="28"/>
      <c r="CL269" s="29"/>
      <c r="CM269" s="29"/>
      <c r="CN269" s="29"/>
      <c r="CO269" s="29"/>
      <c r="CP269" s="29"/>
      <c r="CQ269" s="29"/>
      <c r="CR269" s="30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8"/>
      <c r="EP269" s="17"/>
      <c r="EQ269" s="17"/>
      <c r="ER269" s="17"/>
      <c r="ES269" s="17"/>
      <c r="ET269" s="17"/>
    </row>
    <row r="270" spans="72:150" ht="15.75" customHeight="1">
      <c r="BT270" s="63"/>
      <c r="BW270" s="7"/>
      <c r="CF270" s="27"/>
      <c r="CG270" s="28"/>
      <c r="CH270" s="28"/>
      <c r="CI270" s="28"/>
      <c r="CJ270" s="28"/>
      <c r="CL270" s="29"/>
      <c r="CM270" s="29"/>
      <c r="CN270" s="29"/>
      <c r="CO270" s="29"/>
      <c r="CP270" s="29"/>
      <c r="CQ270" s="29"/>
      <c r="CR270" s="30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8"/>
      <c r="EP270" s="17"/>
      <c r="EQ270" s="17"/>
      <c r="ER270" s="17"/>
      <c r="ES270" s="17"/>
      <c r="ET270" s="17"/>
    </row>
    <row r="271" spans="72:150" ht="15.75" customHeight="1">
      <c r="BT271" s="63"/>
      <c r="BW271" s="7"/>
      <c r="CF271" s="27"/>
      <c r="CG271" s="28"/>
      <c r="CH271" s="28"/>
      <c r="CI271" s="28"/>
      <c r="CJ271" s="28"/>
      <c r="CL271" s="29"/>
      <c r="CM271" s="29"/>
      <c r="CN271" s="29"/>
      <c r="CO271" s="29"/>
      <c r="CP271" s="29"/>
      <c r="CQ271" s="29"/>
      <c r="CR271" s="30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8"/>
      <c r="EP271" s="17"/>
      <c r="EQ271" s="17"/>
      <c r="ER271" s="17"/>
      <c r="ES271" s="17"/>
      <c r="ET271" s="17"/>
    </row>
    <row r="272" spans="72:150" ht="15.75" customHeight="1">
      <c r="BT272" s="63"/>
      <c r="BW272" s="7"/>
      <c r="CF272" s="27"/>
      <c r="CG272" s="28"/>
      <c r="CH272" s="28"/>
      <c r="CI272" s="28"/>
      <c r="CJ272" s="28"/>
      <c r="CL272" s="29"/>
      <c r="CM272" s="29"/>
      <c r="CN272" s="29"/>
      <c r="CO272" s="29"/>
      <c r="CP272" s="29"/>
      <c r="CQ272" s="29"/>
      <c r="CR272" s="30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8"/>
      <c r="EP272" s="17"/>
      <c r="EQ272" s="17"/>
      <c r="ER272" s="17"/>
      <c r="ES272" s="17"/>
      <c r="ET272" s="17"/>
    </row>
    <row r="273" spans="72:150" ht="15.75" customHeight="1">
      <c r="BT273" s="63"/>
      <c r="BW273" s="7"/>
      <c r="CF273" s="27"/>
      <c r="CG273" s="28"/>
      <c r="CH273" s="28"/>
      <c r="CI273" s="28"/>
      <c r="CJ273" s="28"/>
      <c r="CL273" s="29"/>
      <c r="CM273" s="29"/>
      <c r="CN273" s="29"/>
      <c r="CO273" s="29"/>
      <c r="CP273" s="29"/>
      <c r="CQ273" s="29"/>
      <c r="CR273" s="30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8"/>
      <c r="EP273" s="17"/>
      <c r="EQ273" s="17"/>
      <c r="ER273" s="17"/>
      <c r="ES273" s="17"/>
      <c r="ET273" s="17"/>
    </row>
    <row r="274" spans="72:150" ht="15.75" customHeight="1">
      <c r="BT274" s="63"/>
      <c r="BW274" s="7"/>
      <c r="CF274" s="27"/>
      <c r="CG274" s="28"/>
      <c r="CH274" s="28"/>
      <c r="CI274" s="28"/>
      <c r="CJ274" s="28"/>
      <c r="CL274" s="29"/>
      <c r="CM274" s="29"/>
      <c r="CN274" s="29"/>
      <c r="CO274" s="29"/>
      <c r="CP274" s="29"/>
      <c r="CQ274" s="29"/>
      <c r="CR274" s="30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8"/>
      <c r="EP274" s="17"/>
      <c r="EQ274" s="17"/>
      <c r="ER274" s="17"/>
      <c r="ES274" s="17"/>
      <c r="ET274" s="17"/>
    </row>
    <row r="275" spans="72:150" ht="15.75" customHeight="1">
      <c r="BT275" s="63"/>
      <c r="BW275" s="7"/>
      <c r="CF275" s="27"/>
      <c r="CG275" s="28"/>
      <c r="CH275" s="28"/>
      <c r="CI275" s="28"/>
      <c r="CJ275" s="28"/>
      <c r="CL275" s="29"/>
      <c r="CM275" s="29"/>
      <c r="CN275" s="29"/>
      <c r="CO275" s="29"/>
      <c r="CP275" s="29"/>
      <c r="CQ275" s="29"/>
      <c r="CR275" s="30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8"/>
      <c r="EP275" s="17"/>
      <c r="EQ275" s="17"/>
      <c r="ER275" s="17"/>
      <c r="ES275" s="17"/>
      <c r="ET275" s="17"/>
    </row>
    <row r="276" spans="72:150" ht="15.75" customHeight="1">
      <c r="BT276" s="63"/>
      <c r="BW276" s="7"/>
      <c r="CF276" s="27"/>
      <c r="CG276" s="28"/>
      <c r="CH276" s="28"/>
      <c r="CI276" s="28"/>
      <c r="CJ276" s="28"/>
      <c r="CL276" s="29"/>
      <c r="CM276" s="29"/>
      <c r="CN276" s="29"/>
      <c r="CO276" s="29"/>
      <c r="CP276" s="29"/>
      <c r="CQ276" s="29"/>
      <c r="CR276" s="30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8"/>
      <c r="EP276" s="17"/>
      <c r="EQ276" s="17"/>
      <c r="ER276" s="17"/>
      <c r="ES276" s="17"/>
      <c r="ET276" s="17"/>
    </row>
    <row r="277" spans="72:150" ht="15.75" customHeight="1">
      <c r="BT277" s="63"/>
      <c r="BW277" s="7"/>
      <c r="CF277" s="27"/>
      <c r="CG277" s="28"/>
      <c r="CH277" s="28"/>
      <c r="CI277" s="28"/>
      <c r="CJ277" s="28"/>
      <c r="CL277" s="29"/>
      <c r="CM277" s="29"/>
      <c r="CN277" s="29"/>
      <c r="CO277" s="29"/>
      <c r="CP277" s="29"/>
      <c r="CQ277" s="29"/>
      <c r="CR277" s="30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8"/>
      <c r="EP277" s="17"/>
      <c r="EQ277" s="17"/>
      <c r="ER277" s="17"/>
      <c r="ES277" s="17"/>
      <c r="ET277" s="17"/>
    </row>
    <row r="278" spans="72:150" ht="15.75" customHeight="1">
      <c r="BT278" s="63"/>
      <c r="BW278" s="7"/>
      <c r="CF278" s="27"/>
      <c r="CG278" s="28"/>
      <c r="CH278" s="28"/>
      <c r="CI278" s="28"/>
      <c r="CJ278" s="28"/>
      <c r="CL278" s="29"/>
      <c r="CM278" s="29"/>
      <c r="CN278" s="29"/>
      <c r="CO278" s="29"/>
      <c r="CP278" s="29"/>
      <c r="CQ278" s="29"/>
      <c r="CR278" s="30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8"/>
      <c r="EP278" s="17"/>
      <c r="EQ278" s="17"/>
      <c r="ER278" s="17"/>
      <c r="ES278" s="17"/>
      <c r="ET278" s="17"/>
    </row>
    <row r="279" spans="72:150" ht="15.75" customHeight="1">
      <c r="BT279" s="63"/>
      <c r="BW279" s="7"/>
      <c r="CF279" s="27"/>
      <c r="CG279" s="28"/>
      <c r="CH279" s="28"/>
      <c r="CI279" s="28"/>
      <c r="CJ279" s="28"/>
      <c r="CL279" s="29"/>
      <c r="CM279" s="29"/>
      <c r="CN279" s="29"/>
      <c r="CO279" s="29"/>
      <c r="CP279" s="29"/>
      <c r="CQ279" s="29"/>
      <c r="CR279" s="30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8"/>
      <c r="EP279" s="17"/>
      <c r="EQ279" s="17"/>
      <c r="ER279" s="17"/>
      <c r="ES279" s="17"/>
      <c r="ET279" s="17"/>
    </row>
    <row r="280" spans="72:150" ht="15.75" customHeight="1">
      <c r="BT280" s="63"/>
      <c r="BW280" s="7"/>
      <c r="CF280" s="27"/>
      <c r="CG280" s="28"/>
      <c r="CH280" s="28"/>
      <c r="CI280" s="28"/>
      <c r="CJ280" s="28"/>
      <c r="CL280" s="29"/>
      <c r="CM280" s="29"/>
      <c r="CN280" s="29"/>
      <c r="CO280" s="29"/>
      <c r="CP280" s="29"/>
      <c r="CQ280" s="29"/>
      <c r="CR280" s="30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8"/>
      <c r="EP280" s="17"/>
      <c r="EQ280" s="17"/>
      <c r="ER280" s="17"/>
      <c r="ES280" s="17"/>
      <c r="ET280" s="17"/>
    </row>
    <row r="281" spans="72:150" ht="15.75" customHeight="1">
      <c r="BT281" s="63"/>
      <c r="BW281" s="7"/>
      <c r="CF281" s="27"/>
      <c r="CG281" s="28"/>
      <c r="CH281" s="28"/>
      <c r="CI281" s="28"/>
      <c r="CJ281" s="28"/>
      <c r="CL281" s="29"/>
      <c r="CM281" s="29"/>
      <c r="CN281" s="29"/>
      <c r="CO281" s="29"/>
      <c r="CP281" s="29"/>
      <c r="CQ281" s="29"/>
      <c r="CR281" s="30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8"/>
      <c r="EP281" s="17"/>
      <c r="EQ281" s="17"/>
      <c r="ER281" s="17"/>
      <c r="ES281" s="17"/>
      <c r="ET281" s="17"/>
    </row>
    <row r="282" spans="72:150" ht="15.75" customHeight="1">
      <c r="BT282" s="63"/>
      <c r="BW282" s="7"/>
      <c r="CF282" s="27"/>
      <c r="CG282" s="28"/>
      <c r="CH282" s="28"/>
      <c r="CI282" s="28"/>
      <c r="CJ282" s="28"/>
      <c r="CL282" s="29"/>
      <c r="CM282" s="29"/>
      <c r="CN282" s="29"/>
      <c r="CO282" s="29"/>
      <c r="CP282" s="29"/>
      <c r="CQ282" s="29"/>
      <c r="CR282" s="30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8"/>
      <c r="EP282" s="17"/>
      <c r="EQ282" s="17"/>
      <c r="ER282" s="17"/>
      <c r="ES282" s="17"/>
      <c r="ET282" s="17"/>
    </row>
    <row r="283" spans="72:150" ht="15.75" customHeight="1">
      <c r="BT283" s="63"/>
      <c r="BW283" s="7"/>
      <c r="CF283" s="27"/>
      <c r="CG283" s="28"/>
      <c r="CH283" s="28"/>
      <c r="CI283" s="28"/>
      <c r="CJ283" s="28"/>
      <c r="CL283" s="29"/>
      <c r="CM283" s="29"/>
      <c r="CN283" s="29"/>
      <c r="CO283" s="29"/>
      <c r="CP283" s="29"/>
      <c r="CQ283" s="29"/>
      <c r="CR283" s="30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8"/>
      <c r="EP283" s="17"/>
      <c r="EQ283" s="17"/>
      <c r="ER283" s="17"/>
      <c r="ES283" s="17"/>
      <c r="ET283" s="17"/>
    </row>
    <row r="284" spans="72:150" ht="15.75" customHeight="1">
      <c r="BT284" s="63"/>
      <c r="BW284" s="7"/>
      <c r="CF284" s="27"/>
      <c r="CG284" s="28"/>
      <c r="CH284" s="28"/>
      <c r="CI284" s="28"/>
      <c r="CJ284" s="28"/>
      <c r="CL284" s="29"/>
      <c r="CM284" s="29"/>
      <c r="CN284" s="29"/>
      <c r="CO284" s="29"/>
      <c r="CP284" s="29"/>
      <c r="CQ284" s="29"/>
      <c r="CR284" s="30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8"/>
      <c r="EP284" s="17"/>
      <c r="EQ284" s="17"/>
      <c r="ER284" s="17"/>
      <c r="ES284" s="17"/>
      <c r="ET284" s="17"/>
    </row>
    <row r="285" spans="72:150" ht="15.75" customHeight="1">
      <c r="BT285" s="63"/>
      <c r="BW285" s="7"/>
      <c r="CF285" s="27"/>
      <c r="CG285" s="28"/>
      <c r="CH285" s="28"/>
      <c r="CI285" s="28"/>
      <c r="CJ285" s="28"/>
      <c r="CL285" s="29"/>
      <c r="CM285" s="29"/>
      <c r="CN285" s="29"/>
      <c r="CO285" s="29"/>
      <c r="CP285" s="29"/>
      <c r="CQ285" s="29"/>
      <c r="CR285" s="30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8"/>
      <c r="EP285" s="17"/>
      <c r="EQ285" s="17"/>
      <c r="ER285" s="17"/>
      <c r="ES285" s="17"/>
      <c r="ET285" s="17"/>
    </row>
    <row r="286" spans="72:150" ht="15.75" customHeight="1">
      <c r="BT286" s="63"/>
      <c r="BW286" s="7"/>
      <c r="CF286" s="27"/>
      <c r="CG286" s="28"/>
      <c r="CH286" s="28"/>
      <c r="CI286" s="28"/>
      <c r="CJ286" s="28"/>
      <c r="CL286" s="29"/>
      <c r="CM286" s="29"/>
      <c r="CN286" s="29"/>
      <c r="CO286" s="29"/>
      <c r="CP286" s="29"/>
      <c r="CQ286" s="29"/>
      <c r="CR286" s="30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8"/>
      <c r="EP286" s="17"/>
      <c r="EQ286" s="17"/>
      <c r="ER286" s="17"/>
      <c r="ES286" s="17"/>
      <c r="ET286" s="17"/>
    </row>
    <row r="287" spans="72:150" ht="15.75" customHeight="1">
      <c r="BT287" s="63"/>
      <c r="BW287" s="7"/>
      <c r="CF287" s="27"/>
      <c r="CG287" s="28"/>
      <c r="CH287" s="28"/>
      <c r="CI287" s="28"/>
      <c r="CJ287" s="28"/>
      <c r="CL287" s="29"/>
      <c r="CM287" s="29"/>
      <c r="CN287" s="29"/>
      <c r="CO287" s="29"/>
      <c r="CP287" s="29"/>
      <c r="CQ287" s="29"/>
      <c r="CR287" s="30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8"/>
      <c r="EP287" s="17"/>
      <c r="EQ287" s="17"/>
      <c r="ER287" s="17"/>
      <c r="ES287" s="17"/>
      <c r="ET287" s="17"/>
    </row>
    <row r="288" spans="72:150" ht="15.75" customHeight="1">
      <c r="BT288" s="63"/>
      <c r="BW288" s="7"/>
      <c r="CF288" s="27"/>
      <c r="CG288" s="28"/>
      <c r="CH288" s="28"/>
      <c r="CI288" s="28"/>
      <c r="CJ288" s="28"/>
      <c r="CL288" s="29"/>
      <c r="CM288" s="29"/>
      <c r="CN288" s="29"/>
      <c r="CO288" s="29"/>
      <c r="CP288" s="29"/>
      <c r="CQ288" s="29"/>
      <c r="CR288" s="30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8"/>
      <c r="EP288" s="17"/>
      <c r="EQ288" s="17"/>
      <c r="ER288" s="17"/>
      <c r="ES288" s="17"/>
      <c r="ET288" s="17"/>
    </row>
    <row r="289" spans="72:150" ht="15.75" customHeight="1">
      <c r="BT289" s="63"/>
      <c r="BW289" s="7"/>
      <c r="CF289" s="27"/>
      <c r="CG289" s="28"/>
      <c r="CH289" s="28"/>
      <c r="CI289" s="28"/>
      <c r="CJ289" s="28"/>
      <c r="CL289" s="29"/>
      <c r="CM289" s="29"/>
      <c r="CN289" s="29"/>
      <c r="CO289" s="29"/>
      <c r="CP289" s="29"/>
      <c r="CQ289" s="29"/>
      <c r="CR289" s="30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8"/>
      <c r="EP289" s="17"/>
      <c r="EQ289" s="17"/>
      <c r="ER289" s="17"/>
      <c r="ES289" s="17"/>
      <c r="ET289" s="17"/>
    </row>
    <row r="290" spans="72:150" ht="15.75" customHeight="1">
      <c r="BT290" s="63"/>
      <c r="BW290" s="7"/>
      <c r="CF290" s="27"/>
      <c r="CG290" s="28"/>
      <c r="CH290" s="28"/>
      <c r="CI290" s="28"/>
      <c r="CJ290" s="28"/>
      <c r="CL290" s="29"/>
      <c r="CM290" s="29"/>
      <c r="CN290" s="29"/>
      <c r="CO290" s="29"/>
      <c r="CP290" s="29"/>
      <c r="CQ290" s="29"/>
      <c r="CR290" s="30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8"/>
      <c r="EP290" s="17"/>
      <c r="EQ290" s="17"/>
      <c r="ER290" s="17"/>
      <c r="ES290" s="17"/>
      <c r="ET290" s="17"/>
    </row>
    <row r="291" spans="72:150" ht="15.75" customHeight="1">
      <c r="BT291" s="63"/>
      <c r="BW291" s="7"/>
      <c r="CF291" s="27"/>
      <c r="CG291" s="28"/>
      <c r="CH291" s="28"/>
      <c r="CI291" s="28"/>
      <c r="CJ291" s="28"/>
      <c r="CL291" s="29"/>
      <c r="CM291" s="29"/>
      <c r="CN291" s="29"/>
      <c r="CO291" s="29"/>
      <c r="CP291" s="29"/>
      <c r="CQ291" s="29"/>
      <c r="CR291" s="30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8"/>
      <c r="EP291" s="17"/>
      <c r="EQ291" s="17"/>
      <c r="ER291" s="17"/>
      <c r="ES291" s="17"/>
      <c r="ET291" s="17"/>
    </row>
    <row r="292" spans="72:150" ht="15.75" customHeight="1">
      <c r="BT292" s="63"/>
      <c r="BW292" s="7"/>
      <c r="CF292" s="27"/>
      <c r="CG292" s="28"/>
      <c r="CH292" s="28"/>
      <c r="CI292" s="28"/>
      <c r="CJ292" s="28"/>
      <c r="CL292" s="29"/>
      <c r="CM292" s="29"/>
      <c r="CN292" s="29"/>
      <c r="CO292" s="29"/>
      <c r="CP292" s="29"/>
      <c r="CQ292" s="29"/>
      <c r="CR292" s="30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8"/>
      <c r="EP292" s="17"/>
      <c r="EQ292" s="17"/>
      <c r="ER292" s="17"/>
      <c r="ES292" s="17"/>
      <c r="ET292" s="17"/>
    </row>
    <row r="293" spans="72:150" ht="15.75" customHeight="1">
      <c r="BT293" s="63"/>
      <c r="BW293" s="7"/>
      <c r="CF293" s="27"/>
      <c r="CG293" s="28"/>
      <c r="CH293" s="28"/>
      <c r="CI293" s="28"/>
      <c r="CJ293" s="28"/>
      <c r="CL293" s="29"/>
      <c r="CM293" s="29"/>
      <c r="CN293" s="29"/>
      <c r="CO293" s="29"/>
      <c r="CP293" s="29"/>
      <c r="CQ293" s="29"/>
      <c r="CR293" s="30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8"/>
      <c r="EP293" s="17"/>
      <c r="EQ293" s="17"/>
      <c r="ER293" s="17"/>
      <c r="ES293" s="17"/>
      <c r="ET293" s="17"/>
    </row>
    <row r="294" spans="72:150" ht="15.75" customHeight="1">
      <c r="BT294" s="63"/>
      <c r="BW294" s="7"/>
      <c r="CF294" s="27"/>
      <c r="CG294" s="28"/>
      <c r="CH294" s="28"/>
      <c r="CI294" s="28"/>
      <c r="CJ294" s="28"/>
      <c r="CL294" s="29"/>
      <c r="CM294" s="29"/>
      <c r="CN294" s="29"/>
      <c r="CO294" s="29"/>
      <c r="CP294" s="29"/>
      <c r="CQ294" s="29"/>
      <c r="CR294" s="30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8"/>
      <c r="EP294" s="17"/>
      <c r="EQ294" s="17"/>
      <c r="ER294" s="17"/>
      <c r="ES294" s="17"/>
      <c r="ET294" s="17"/>
    </row>
    <row r="295" spans="72:150" ht="15.75" customHeight="1">
      <c r="BT295" s="63"/>
      <c r="BW295" s="7"/>
      <c r="CF295" s="27"/>
      <c r="CG295" s="28"/>
      <c r="CH295" s="28"/>
      <c r="CI295" s="28"/>
      <c r="CJ295" s="28"/>
      <c r="CL295" s="29"/>
      <c r="CM295" s="29"/>
      <c r="CN295" s="29"/>
      <c r="CO295" s="29"/>
      <c r="CP295" s="29"/>
      <c r="CQ295" s="29"/>
      <c r="CR295" s="30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8"/>
      <c r="EP295" s="17"/>
      <c r="EQ295" s="17"/>
      <c r="ER295" s="17"/>
      <c r="ES295" s="17"/>
      <c r="ET295" s="17"/>
    </row>
    <row r="296" spans="72:150" ht="15.75" customHeight="1">
      <c r="BT296" s="63"/>
      <c r="BW296" s="7"/>
      <c r="CF296" s="27"/>
      <c r="CG296" s="28"/>
      <c r="CH296" s="28"/>
      <c r="CI296" s="28"/>
      <c r="CJ296" s="28"/>
      <c r="CL296" s="29"/>
      <c r="CM296" s="29"/>
      <c r="CN296" s="29"/>
      <c r="CO296" s="29"/>
      <c r="CP296" s="29"/>
      <c r="CQ296" s="29"/>
      <c r="CR296" s="30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8"/>
      <c r="EP296" s="17"/>
      <c r="EQ296" s="17"/>
      <c r="ER296" s="17"/>
      <c r="ES296" s="17"/>
      <c r="ET296" s="17"/>
    </row>
    <row r="297" spans="72:150" ht="15.75" customHeight="1">
      <c r="BT297" s="63"/>
      <c r="BW297" s="7"/>
      <c r="CF297" s="27"/>
      <c r="CG297" s="28"/>
      <c r="CH297" s="28"/>
      <c r="CI297" s="28"/>
      <c r="CJ297" s="28"/>
      <c r="CL297" s="29"/>
      <c r="CM297" s="29"/>
      <c r="CN297" s="29"/>
      <c r="CO297" s="29"/>
      <c r="CP297" s="29"/>
      <c r="CQ297" s="29"/>
      <c r="CR297" s="30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8"/>
      <c r="EP297" s="17"/>
      <c r="EQ297" s="17"/>
      <c r="ER297" s="17"/>
      <c r="ES297" s="17"/>
      <c r="ET297" s="17"/>
    </row>
    <row r="298" spans="72:150" ht="15.75" customHeight="1">
      <c r="BT298" s="63"/>
      <c r="BW298" s="7"/>
      <c r="CF298" s="27"/>
      <c r="CG298" s="28"/>
      <c r="CH298" s="28"/>
      <c r="CI298" s="28"/>
      <c r="CJ298" s="28"/>
      <c r="CL298" s="29"/>
      <c r="CM298" s="29"/>
      <c r="CN298" s="29"/>
      <c r="CO298" s="29"/>
      <c r="CP298" s="29"/>
      <c r="CQ298" s="29"/>
      <c r="CR298" s="30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8"/>
      <c r="EP298" s="17"/>
      <c r="EQ298" s="17"/>
      <c r="ER298" s="17"/>
      <c r="ES298" s="17"/>
      <c r="ET298" s="17"/>
    </row>
    <row r="299" spans="72:150" ht="15.75" customHeight="1">
      <c r="BT299" s="63"/>
      <c r="BW299" s="7"/>
      <c r="CF299" s="27"/>
      <c r="CG299" s="28"/>
      <c r="CH299" s="28"/>
      <c r="CI299" s="28"/>
      <c r="CJ299" s="28"/>
      <c r="CL299" s="29"/>
      <c r="CM299" s="29"/>
      <c r="CN299" s="29"/>
      <c r="CO299" s="29"/>
      <c r="CP299" s="29"/>
      <c r="CQ299" s="29"/>
      <c r="CR299" s="30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8"/>
      <c r="EP299" s="17"/>
      <c r="EQ299" s="17"/>
      <c r="ER299" s="17"/>
      <c r="ES299" s="17"/>
      <c r="ET299" s="17"/>
    </row>
    <row r="300" spans="72:150" ht="15.75" customHeight="1">
      <c r="BT300" s="63"/>
      <c r="BW300" s="7"/>
      <c r="CF300" s="27"/>
      <c r="CG300" s="28"/>
      <c r="CH300" s="28"/>
      <c r="CI300" s="28"/>
      <c r="CJ300" s="28"/>
      <c r="CL300" s="29"/>
      <c r="CM300" s="29"/>
      <c r="CN300" s="29"/>
      <c r="CO300" s="29"/>
      <c r="CP300" s="29"/>
      <c r="CQ300" s="29"/>
      <c r="CR300" s="30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8"/>
      <c r="EP300" s="17"/>
      <c r="EQ300" s="17"/>
      <c r="ER300" s="17"/>
      <c r="ES300" s="17"/>
      <c r="ET300" s="17"/>
    </row>
    <row r="301" spans="72:150" ht="15.75" customHeight="1">
      <c r="BT301" s="63"/>
      <c r="BW301" s="7"/>
      <c r="CF301" s="27"/>
      <c r="CG301" s="28"/>
      <c r="CH301" s="28"/>
      <c r="CI301" s="28"/>
      <c r="CJ301" s="28"/>
      <c r="CL301" s="29"/>
      <c r="CM301" s="29"/>
      <c r="CN301" s="29"/>
      <c r="CO301" s="29"/>
      <c r="CP301" s="29"/>
      <c r="CQ301" s="29"/>
      <c r="CR301" s="30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8"/>
      <c r="EP301" s="17"/>
      <c r="EQ301" s="17"/>
      <c r="ER301" s="17"/>
      <c r="ES301" s="17"/>
      <c r="ET301" s="17"/>
    </row>
    <row r="302" spans="72:150" ht="15.75" customHeight="1">
      <c r="BT302" s="63"/>
      <c r="BW302" s="7"/>
      <c r="CF302" s="27"/>
      <c r="CG302" s="28"/>
      <c r="CH302" s="28"/>
      <c r="CI302" s="28"/>
      <c r="CJ302" s="28"/>
      <c r="CL302" s="29"/>
      <c r="CM302" s="29"/>
      <c r="CN302" s="29"/>
      <c r="CO302" s="29"/>
      <c r="CP302" s="29"/>
      <c r="CQ302" s="29"/>
      <c r="CR302" s="30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8"/>
      <c r="EP302" s="17"/>
      <c r="EQ302" s="17"/>
      <c r="ER302" s="17"/>
      <c r="ES302" s="17"/>
      <c r="ET302" s="17"/>
    </row>
    <row r="303" spans="72:150" ht="15.75" customHeight="1">
      <c r="BT303" s="63"/>
      <c r="BW303" s="7"/>
      <c r="CF303" s="27"/>
      <c r="CG303" s="28"/>
      <c r="CH303" s="28"/>
      <c r="CI303" s="28"/>
      <c r="CJ303" s="28"/>
      <c r="CL303" s="29"/>
      <c r="CM303" s="29"/>
      <c r="CN303" s="29"/>
      <c r="CO303" s="29"/>
      <c r="CP303" s="29"/>
      <c r="CQ303" s="29"/>
      <c r="CR303" s="30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8"/>
      <c r="EP303" s="17"/>
      <c r="EQ303" s="17"/>
      <c r="ER303" s="17"/>
      <c r="ES303" s="17"/>
      <c r="ET303" s="17"/>
    </row>
    <row r="304" spans="72:150" ht="15.75" customHeight="1">
      <c r="BT304" s="63"/>
      <c r="BW304" s="7"/>
      <c r="CF304" s="27"/>
      <c r="CG304" s="28"/>
      <c r="CH304" s="28"/>
      <c r="CI304" s="28"/>
      <c r="CJ304" s="28"/>
      <c r="CL304" s="29"/>
      <c r="CM304" s="29"/>
      <c r="CN304" s="29"/>
      <c r="CO304" s="29"/>
      <c r="CP304" s="29"/>
      <c r="CQ304" s="29"/>
      <c r="CR304" s="30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8"/>
      <c r="EP304" s="17"/>
      <c r="EQ304" s="17"/>
      <c r="ER304" s="17"/>
      <c r="ES304" s="17"/>
      <c r="ET304" s="17"/>
    </row>
    <row r="305" spans="72:150" ht="15.75" customHeight="1">
      <c r="BT305" s="63"/>
      <c r="BW305" s="7"/>
      <c r="CF305" s="27"/>
      <c r="CG305" s="28"/>
      <c r="CH305" s="28"/>
      <c r="CI305" s="28"/>
      <c r="CJ305" s="28"/>
      <c r="CL305" s="29"/>
      <c r="CM305" s="29"/>
      <c r="CN305" s="29"/>
      <c r="CO305" s="29"/>
      <c r="CP305" s="29"/>
      <c r="CQ305" s="29"/>
      <c r="CR305" s="30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8"/>
      <c r="EP305" s="17"/>
      <c r="EQ305" s="17"/>
      <c r="ER305" s="17"/>
      <c r="ES305" s="17"/>
      <c r="ET305" s="17"/>
    </row>
    <row r="306" spans="72:150" ht="15.75" customHeight="1">
      <c r="BT306" s="63"/>
      <c r="BW306" s="7"/>
      <c r="CF306" s="27"/>
      <c r="CG306" s="28"/>
      <c r="CH306" s="28"/>
      <c r="CI306" s="28"/>
      <c r="CJ306" s="28"/>
      <c r="CL306" s="29"/>
      <c r="CM306" s="29"/>
      <c r="CN306" s="29"/>
      <c r="CO306" s="29"/>
      <c r="CP306" s="29"/>
      <c r="CQ306" s="29"/>
      <c r="CR306" s="30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8"/>
      <c r="EP306" s="17"/>
      <c r="EQ306" s="17"/>
      <c r="ER306" s="17"/>
      <c r="ES306" s="17"/>
      <c r="ET306" s="17"/>
    </row>
    <row r="307" spans="72:150" ht="15.75" customHeight="1">
      <c r="BT307" s="63"/>
      <c r="BW307" s="7"/>
      <c r="CF307" s="27"/>
      <c r="CG307" s="28"/>
      <c r="CH307" s="28"/>
      <c r="CI307" s="28"/>
      <c r="CJ307" s="28"/>
      <c r="CL307" s="29"/>
      <c r="CM307" s="29"/>
      <c r="CN307" s="29"/>
      <c r="CO307" s="29"/>
      <c r="CP307" s="29"/>
      <c r="CQ307" s="29"/>
      <c r="CR307" s="30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8"/>
      <c r="EP307" s="17"/>
      <c r="EQ307" s="17"/>
      <c r="ER307" s="17"/>
      <c r="ES307" s="17"/>
      <c r="ET307" s="17"/>
    </row>
    <row r="308" spans="72:150" ht="15.75" customHeight="1">
      <c r="BT308" s="63"/>
      <c r="BW308" s="7"/>
      <c r="CF308" s="27"/>
      <c r="CG308" s="28"/>
      <c r="CH308" s="28"/>
      <c r="CI308" s="28"/>
      <c r="CJ308" s="28"/>
      <c r="CL308" s="29"/>
      <c r="CM308" s="29"/>
      <c r="CN308" s="29"/>
      <c r="CO308" s="29"/>
      <c r="CP308" s="29"/>
      <c r="CQ308" s="29"/>
      <c r="CR308" s="30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8"/>
      <c r="EP308" s="17"/>
      <c r="EQ308" s="17"/>
      <c r="ER308" s="17"/>
      <c r="ES308" s="17"/>
      <c r="ET308" s="17"/>
    </row>
    <row r="309" spans="72:150" ht="15.75" customHeight="1">
      <c r="BT309" s="63"/>
      <c r="BW309" s="7"/>
      <c r="CF309" s="27"/>
      <c r="CG309" s="28"/>
      <c r="CH309" s="28"/>
      <c r="CI309" s="28"/>
      <c r="CJ309" s="28"/>
      <c r="CL309" s="29"/>
      <c r="CM309" s="29"/>
      <c r="CN309" s="29"/>
      <c r="CO309" s="29"/>
      <c r="CP309" s="29"/>
      <c r="CQ309" s="29"/>
      <c r="CR309" s="30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8"/>
      <c r="EP309" s="17"/>
      <c r="EQ309" s="17"/>
      <c r="ER309" s="17"/>
      <c r="ES309" s="17"/>
      <c r="ET309" s="17"/>
    </row>
    <row r="310" spans="72:150" ht="15.75" customHeight="1">
      <c r="BT310" s="63"/>
      <c r="BW310" s="7"/>
      <c r="CF310" s="27"/>
      <c r="CG310" s="28"/>
      <c r="CH310" s="28"/>
      <c r="CI310" s="28"/>
      <c r="CJ310" s="28"/>
      <c r="CL310" s="29"/>
      <c r="CM310" s="29"/>
      <c r="CN310" s="29"/>
      <c r="CO310" s="29"/>
      <c r="CP310" s="29"/>
      <c r="CQ310" s="29"/>
      <c r="CR310" s="30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8"/>
      <c r="EP310" s="17"/>
      <c r="EQ310" s="17"/>
      <c r="ER310" s="17"/>
      <c r="ES310" s="17"/>
      <c r="ET310" s="17"/>
    </row>
    <row r="311" spans="72:150" ht="15.75" customHeight="1">
      <c r="BT311" s="63"/>
      <c r="BW311" s="7"/>
      <c r="CF311" s="27"/>
      <c r="CG311" s="28"/>
      <c r="CH311" s="28"/>
      <c r="CI311" s="28"/>
      <c r="CJ311" s="28"/>
      <c r="CL311" s="29"/>
      <c r="CM311" s="29"/>
      <c r="CN311" s="29"/>
      <c r="CO311" s="29"/>
      <c r="CP311" s="29"/>
      <c r="CQ311" s="29"/>
      <c r="CR311" s="30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8"/>
      <c r="EP311" s="17"/>
      <c r="EQ311" s="17"/>
      <c r="ER311" s="17"/>
      <c r="ES311" s="17"/>
      <c r="ET311" s="17"/>
    </row>
    <row r="312" spans="72:150" ht="15.75" customHeight="1">
      <c r="BT312" s="63"/>
      <c r="BW312" s="7"/>
      <c r="CF312" s="27"/>
      <c r="CG312" s="28"/>
      <c r="CH312" s="28"/>
      <c r="CI312" s="28"/>
      <c r="CJ312" s="28"/>
      <c r="CL312" s="29"/>
      <c r="CM312" s="29"/>
      <c r="CN312" s="29"/>
      <c r="CO312" s="29"/>
      <c r="CP312" s="29"/>
      <c r="CQ312" s="29"/>
      <c r="CR312" s="30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8"/>
      <c r="EP312" s="17"/>
      <c r="EQ312" s="17"/>
      <c r="ER312" s="17"/>
      <c r="ES312" s="17"/>
      <c r="ET312" s="17"/>
    </row>
    <row r="313" spans="72:150" ht="15.75" customHeight="1">
      <c r="BT313" s="63"/>
      <c r="BW313" s="7"/>
      <c r="CF313" s="27"/>
      <c r="CG313" s="28"/>
      <c r="CH313" s="28"/>
      <c r="CI313" s="28"/>
      <c r="CJ313" s="28"/>
      <c r="CL313" s="29"/>
      <c r="CM313" s="29"/>
      <c r="CN313" s="29"/>
      <c r="CO313" s="29"/>
      <c r="CP313" s="29"/>
      <c r="CQ313" s="29"/>
      <c r="CR313" s="30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8"/>
      <c r="EP313" s="17"/>
      <c r="EQ313" s="17"/>
      <c r="ER313" s="17"/>
      <c r="ES313" s="17"/>
      <c r="ET313" s="17"/>
    </row>
    <row r="314" spans="72:150" ht="15.75" customHeight="1">
      <c r="BT314" s="63"/>
      <c r="BW314" s="7"/>
      <c r="CF314" s="27"/>
      <c r="CG314" s="28"/>
      <c r="CH314" s="28"/>
      <c r="CI314" s="28"/>
      <c r="CJ314" s="28"/>
      <c r="CL314" s="29"/>
      <c r="CM314" s="29"/>
      <c r="CN314" s="29"/>
      <c r="CO314" s="29"/>
      <c r="CP314" s="29"/>
      <c r="CQ314" s="29"/>
      <c r="CR314" s="30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8"/>
      <c r="EP314" s="17"/>
      <c r="EQ314" s="17"/>
      <c r="ER314" s="17"/>
      <c r="ES314" s="17"/>
      <c r="ET314" s="17"/>
    </row>
    <row r="315" spans="72:150" ht="15.75" customHeight="1">
      <c r="BT315" s="63"/>
      <c r="BW315" s="7"/>
      <c r="CF315" s="27"/>
      <c r="CG315" s="28"/>
      <c r="CH315" s="28"/>
      <c r="CI315" s="28"/>
      <c r="CJ315" s="28"/>
      <c r="CL315" s="29"/>
      <c r="CM315" s="29"/>
      <c r="CN315" s="29"/>
      <c r="CO315" s="29"/>
      <c r="CP315" s="29"/>
      <c r="CQ315" s="29"/>
      <c r="CR315" s="30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8"/>
      <c r="EP315" s="17"/>
      <c r="EQ315" s="17"/>
      <c r="ER315" s="17"/>
      <c r="ES315" s="17"/>
      <c r="ET315" s="17"/>
    </row>
    <row r="316" spans="72:150" ht="15.75" customHeight="1">
      <c r="BT316" s="63"/>
      <c r="BW316" s="7"/>
      <c r="CF316" s="27"/>
      <c r="CG316" s="28"/>
      <c r="CH316" s="28"/>
      <c r="CI316" s="28"/>
      <c r="CJ316" s="28"/>
      <c r="CL316" s="29"/>
      <c r="CM316" s="29"/>
      <c r="CN316" s="29"/>
      <c r="CO316" s="29"/>
      <c r="CP316" s="29"/>
      <c r="CQ316" s="29"/>
      <c r="CR316" s="30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8"/>
      <c r="EP316" s="17"/>
      <c r="EQ316" s="17"/>
      <c r="ER316" s="17"/>
      <c r="ES316" s="17"/>
      <c r="ET316" s="17"/>
    </row>
    <row r="317" spans="72:150" ht="15.75" customHeight="1">
      <c r="BT317" s="63"/>
      <c r="BW317" s="7"/>
      <c r="CF317" s="27"/>
      <c r="CG317" s="28"/>
      <c r="CH317" s="28"/>
      <c r="CI317" s="28"/>
      <c r="CJ317" s="28"/>
      <c r="CL317" s="29"/>
      <c r="CM317" s="29"/>
      <c r="CN317" s="29"/>
      <c r="CO317" s="29"/>
      <c r="CP317" s="29"/>
      <c r="CQ317" s="29"/>
      <c r="CR317" s="30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8"/>
      <c r="EP317" s="17"/>
      <c r="EQ317" s="17"/>
      <c r="ER317" s="17"/>
      <c r="ES317" s="17"/>
      <c r="ET317" s="17"/>
    </row>
    <row r="318" spans="72:150" ht="15.75" customHeight="1">
      <c r="BT318" s="63"/>
      <c r="BW318" s="7"/>
      <c r="CF318" s="27"/>
      <c r="CG318" s="28"/>
      <c r="CH318" s="28"/>
      <c r="CI318" s="28"/>
      <c r="CJ318" s="28"/>
      <c r="CL318" s="29"/>
      <c r="CM318" s="29"/>
      <c r="CN318" s="29"/>
      <c r="CO318" s="29"/>
      <c r="CP318" s="29"/>
      <c r="CQ318" s="29"/>
      <c r="CR318" s="30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8"/>
      <c r="EP318" s="17"/>
      <c r="EQ318" s="17"/>
      <c r="ER318" s="17"/>
      <c r="ES318" s="17"/>
      <c r="ET318" s="17"/>
    </row>
    <row r="319" spans="72:150" ht="15.75" customHeight="1">
      <c r="BT319" s="63"/>
      <c r="BW319" s="7"/>
      <c r="CF319" s="27"/>
      <c r="CG319" s="28"/>
      <c r="CH319" s="28"/>
      <c r="CI319" s="28"/>
      <c r="CJ319" s="28"/>
      <c r="CL319" s="29"/>
      <c r="CM319" s="29"/>
      <c r="CN319" s="29"/>
      <c r="CO319" s="29"/>
      <c r="CP319" s="29"/>
      <c r="CQ319" s="29"/>
      <c r="CR319" s="30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8"/>
      <c r="EP319" s="17"/>
      <c r="EQ319" s="17"/>
      <c r="ER319" s="17"/>
      <c r="ES319" s="17"/>
      <c r="ET319" s="17"/>
    </row>
    <row r="320" spans="72:150" ht="15.75" customHeight="1">
      <c r="BT320" s="63"/>
      <c r="BW320" s="7"/>
      <c r="CF320" s="27"/>
      <c r="CG320" s="28"/>
      <c r="CH320" s="28"/>
      <c r="CI320" s="28"/>
      <c r="CJ320" s="28"/>
      <c r="CL320" s="29"/>
      <c r="CM320" s="29"/>
      <c r="CN320" s="29"/>
      <c r="CO320" s="29"/>
      <c r="CP320" s="29"/>
      <c r="CQ320" s="29"/>
      <c r="CR320" s="30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8"/>
      <c r="EP320" s="17"/>
      <c r="EQ320" s="17"/>
      <c r="ER320" s="17"/>
      <c r="ES320" s="17"/>
      <c r="ET320" s="17"/>
    </row>
    <row r="321" spans="72:150" ht="15.75" customHeight="1">
      <c r="BT321" s="63"/>
      <c r="BW321" s="7"/>
      <c r="CF321" s="27"/>
      <c r="CG321" s="28"/>
      <c r="CH321" s="28"/>
      <c r="CI321" s="28"/>
      <c r="CJ321" s="28"/>
      <c r="CL321" s="29"/>
      <c r="CM321" s="29"/>
      <c r="CN321" s="29"/>
      <c r="CO321" s="29"/>
      <c r="CP321" s="29"/>
      <c r="CQ321" s="29"/>
      <c r="CR321" s="30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8"/>
      <c r="EP321" s="17"/>
      <c r="EQ321" s="17"/>
      <c r="ER321" s="17"/>
      <c r="ES321" s="17"/>
      <c r="ET321" s="17"/>
    </row>
    <row r="322" spans="72:150" ht="15.75" customHeight="1">
      <c r="BT322" s="63"/>
      <c r="BW322" s="7"/>
      <c r="CF322" s="27"/>
      <c r="CG322" s="28"/>
      <c r="CH322" s="28"/>
      <c r="CI322" s="28"/>
      <c r="CJ322" s="28"/>
      <c r="CL322" s="29"/>
      <c r="CM322" s="29"/>
      <c r="CN322" s="29"/>
      <c r="CO322" s="29"/>
      <c r="CP322" s="29"/>
      <c r="CQ322" s="29"/>
      <c r="CR322" s="30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8"/>
      <c r="EP322" s="17"/>
      <c r="EQ322" s="17"/>
      <c r="ER322" s="17"/>
      <c r="ES322" s="17"/>
      <c r="ET322" s="17"/>
    </row>
    <row r="323" spans="72:150" ht="15.75" customHeight="1">
      <c r="BT323" s="63"/>
      <c r="BW323" s="7"/>
      <c r="CF323" s="27"/>
      <c r="CG323" s="28"/>
      <c r="CH323" s="28"/>
      <c r="CI323" s="28"/>
      <c r="CJ323" s="28"/>
      <c r="CL323" s="29"/>
      <c r="CM323" s="29"/>
      <c r="CN323" s="29"/>
      <c r="CO323" s="29"/>
      <c r="CP323" s="29"/>
      <c r="CQ323" s="29"/>
      <c r="CR323" s="30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8"/>
      <c r="EP323" s="17"/>
      <c r="EQ323" s="17"/>
      <c r="ER323" s="17"/>
      <c r="ES323" s="17"/>
      <c r="ET323" s="17"/>
    </row>
    <row r="324" spans="72:150" ht="15.75" customHeight="1">
      <c r="BT324" s="63"/>
      <c r="BW324" s="7"/>
      <c r="CF324" s="27"/>
      <c r="CG324" s="28"/>
      <c r="CH324" s="28"/>
      <c r="CI324" s="28"/>
      <c r="CJ324" s="28"/>
      <c r="CL324" s="29"/>
      <c r="CM324" s="29"/>
      <c r="CN324" s="29"/>
      <c r="CO324" s="29"/>
      <c r="CP324" s="29"/>
      <c r="CQ324" s="29"/>
      <c r="CR324" s="30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8"/>
      <c r="EP324" s="17"/>
      <c r="EQ324" s="17"/>
      <c r="ER324" s="17"/>
      <c r="ES324" s="17"/>
      <c r="ET324" s="17"/>
    </row>
    <row r="325" spans="72:150" ht="15.75" customHeight="1">
      <c r="BT325" s="63"/>
      <c r="BW325" s="7"/>
      <c r="CF325" s="27"/>
      <c r="CG325" s="28"/>
      <c r="CH325" s="28"/>
      <c r="CI325" s="28"/>
      <c r="CJ325" s="28"/>
      <c r="CL325" s="29"/>
      <c r="CM325" s="29"/>
      <c r="CN325" s="29"/>
      <c r="CO325" s="29"/>
      <c r="CP325" s="29"/>
      <c r="CQ325" s="29"/>
      <c r="CR325" s="30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8"/>
      <c r="EP325" s="17"/>
      <c r="EQ325" s="17"/>
      <c r="ER325" s="17"/>
      <c r="ES325" s="17"/>
      <c r="ET325" s="17"/>
    </row>
    <row r="326" spans="72:150" ht="15.75" customHeight="1">
      <c r="BT326" s="63"/>
      <c r="BW326" s="7"/>
      <c r="CF326" s="27"/>
      <c r="CG326" s="28"/>
      <c r="CH326" s="28"/>
      <c r="CI326" s="28"/>
      <c r="CJ326" s="28"/>
      <c r="CL326" s="29"/>
      <c r="CM326" s="29"/>
      <c r="CN326" s="29"/>
      <c r="CO326" s="29"/>
      <c r="CP326" s="29"/>
      <c r="CQ326" s="29"/>
      <c r="CR326" s="30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8"/>
      <c r="EP326" s="17"/>
      <c r="EQ326" s="17"/>
      <c r="ER326" s="17"/>
      <c r="ES326" s="17"/>
      <c r="ET326" s="17"/>
    </row>
    <row r="327" spans="72:150" ht="15.75" customHeight="1">
      <c r="BT327" s="63"/>
      <c r="BW327" s="7"/>
      <c r="CF327" s="27"/>
      <c r="CG327" s="28"/>
      <c r="CH327" s="28"/>
      <c r="CI327" s="28"/>
      <c r="CJ327" s="28"/>
      <c r="CL327" s="29"/>
      <c r="CM327" s="29"/>
      <c r="CN327" s="29"/>
      <c r="CO327" s="29"/>
      <c r="CP327" s="29"/>
      <c r="CQ327" s="29"/>
      <c r="CR327" s="30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8"/>
      <c r="EP327" s="17"/>
      <c r="EQ327" s="17"/>
      <c r="ER327" s="17"/>
      <c r="ES327" s="17"/>
      <c r="ET327" s="17"/>
    </row>
    <row r="328" spans="72:150" ht="15.75" customHeight="1">
      <c r="BT328" s="63"/>
      <c r="BW328" s="7"/>
      <c r="CF328" s="27"/>
      <c r="CG328" s="28"/>
      <c r="CH328" s="28"/>
      <c r="CI328" s="28"/>
      <c r="CJ328" s="28"/>
      <c r="CL328" s="29"/>
      <c r="CM328" s="29"/>
      <c r="CN328" s="29"/>
      <c r="CO328" s="29"/>
      <c r="CP328" s="29"/>
      <c r="CQ328" s="29"/>
      <c r="CR328" s="30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8"/>
      <c r="EP328" s="17"/>
      <c r="EQ328" s="17"/>
      <c r="ER328" s="17"/>
      <c r="ES328" s="17"/>
      <c r="ET328" s="17"/>
    </row>
    <row r="329" spans="72:150" ht="15.75" customHeight="1">
      <c r="BT329" s="63"/>
      <c r="BW329" s="7"/>
      <c r="CF329" s="27"/>
      <c r="CG329" s="28"/>
      <c r="CH329" s="28"/>
      <c r="CI329" s="28"/>
      <c r="CJ329" s="28"/>
      <c r="CL329" s="29"/>
      <c r="CM329" s="29"/>
      <c r="CN329" s="29"/>
      <c r="CO329" s="29"/>
      <c r="CP329" s="29"/>
      <c r="CQ329" s="29"/>
      <c r="CR329" s="30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8"/>
      <c r="EP329" s="17"/>
      <c r="EQ329" s="17"/>
      <c r="ER329" s="17"/>
      <c r="ES329" s="17"/>
      <c r="ET329" s="17"/>
    </row>
    <row r="330" spans="72:150" ht="15.75" customHeight="1">
      <c r="BT330" s="63"/>
      <c r="BW330" s="7"/>
      <c r="CF330" s="27"/>
      <c r="CG330" s="28"/>
      <c r="CH330" s="28"/>
      <c r="CI330" s="28"/>
      <c r="CJ330" s="28"/>
      <c r="CL330" s="29"/>
      <c r="CM330" s="29"/>
      <c r="CN330" s="29"/>
      <c r="CO330" s="29"/>
      <c r="CP330" s="29"/>
      <c r="CQ330" s="29"/>
      <c r="CR330" s="30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8"/>
      <c r="EP330" s="17"/>
      <c r="EQ330" s="17"/>
      <c r="ER330" s="17"/>
      <c r="ES330" s="17"/>
      <c r="ET330" s="17"/>
    </row>
    <row r="331" spans="72:150" ht="15.75" customHeight="1">
      <c r="BT331" s="63"/>
      <c r="BW331" s="7"/>
      <c r="CF331" s="27"/>
      <c r="CG331" s="28"/>
      <c r="CH331" s="28"/>
      <c r="CI331" s="28"/>
      <c r="CJ331" s="28"/>
      <c r="CL331" s="29"/>
      <c r="CM331" s="29"/>
      <c r="CN331" s="29"/>
      <c r="CO331" s="29"/>
      <c r="CP331" s="29"/>
      <c r="CQ331" s="29"/>
      <c r="CR331" s="30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8"/>
      <c r="EP331" s="17"/>
      <c r="EQ331" s="17"/>
      <c r="ER331" s="17"/>
      <c r="ES331" s="17"/>
      <c r="ET331" s="17"/>
    </row>
    <row r="332" spans="72:150" ht="15.75" customHeight="1">
      <c r="BT332" s="63"/>
      <c r="BW332" s="7"/>
      <c r="CF332" s="27"/>
      <c r="CG332" s="28"/>
      <c r="CH332" s="28"/>
      <c r="CI332" s="28"/>
      <c r="CJ332" s="28"/>
      <c r="CL332" s="29"/>
      <c r="CM332" s="29"/>
      <c r="CN332" s="29"/>
      <c r="CO332" s="29"/>
      <c r="CP332" s="29"/>
      <c r="CQ332" s="29"/>
      <c r="CR332" s="30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8"/>
      <c r="EP332" s="17"/>
      <c r="EQ332" s="17"/>
      <c r="ER332" s="17"/>
      <c r="ES332" s="17"/>
      <c r="ET332" s="17"/>
    </row>
    <row r="333" spans="72:150" ht="15.75" customHeight="1">
      <c r="BT333" s="63"/>
      <c r="BW333" s="7"/>
      <c r="CF333" s="27"/>
      <c r="CG333" s="28"/>
      <c r="CH333" s="28"/>
      <c r="CI333" s="28"/>
      <c r="CJ333" s="28"/>
      <c r="CL333" s="29"/>
      <c r="CM333" s="29"/>
      <c r="CN333" s="29"/>
      <c r="CO333" s="29"/>
      <c r="CP333" s="29"/>
      <c r="CQ333" s="29"/>
      <c r="CR333" s="30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8"/>
      <c r="EP333" s="17"/>
      <c r="EQ333" s="17"/>
      <c r="ER333" s="17"/>
      <c r="ES333" s="17"/>
      <c r="ET333" s="17"/>
    </row>
    <row r="334" spans="72:150" ht="15.75" customHeight="1">
      <c r="BT334" s="63"/>
      <c r="BW334" s="7"/>
      <c r="CF334" s="27"/>
      <c r="CG334" s="28"/>
      <c r="CH334" s="28"/>
      <c r="CI334" s="28"/>
      <c r="CJ334" s="28"/>
      <c r="CL334" s="29"/>
      <c r="CM334" s="29"/>
      <c r="CN334" s="29"/>
      <c r="CO334" s="29"/>
      <c r="CP334" s="29"/>
      <c r="CQ334" s="29"/>
      <c r="CR334" s="30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8"/>
      <c r="EP334" s="17"/>
      <c r="EQ334" s="17"/>
      <c r="ER334" s="17"/>
      <c r="ES334" s="17"/>
      <c r="ET334" s="17"/>
    </row>
    <row r="335" spans="72:150" ht="15.75" customHeight="1">
      <c r="BT335" s="63"/>
      <c r="BW335" s="7"/>
      <c r="CF335" s="27"/>
      <c r="CG335" s="28"/>
      <c r="CH335" s="28"/>
      <c r="CI335" s="28"/>
      <c r="CJ335" s="28"/>
      <c r="CL335" s="29"/>
      <c r="CM335" s="29"/>
      <c r="CN335" s="29"/>
      <c r="CO335" s="29"/>
      <c r="CP335" s="29"/>
      <c r="CQ335" s="29"/>
      <c r="CR335" s="30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8"/>
      <c r="EP335" s="17"/>
      <c r="EQ335" s="17"/>
      <c r="ER335" s="17"/>
      <c r="ES335" s="17"/>
      <c r="ET335" s="17"/>
    </row>
    <row r="336" spans="72:150" ht="15.75" customHeight="1">
      <c r="BT336" s="63"/>
      <c r="BW336" s="7"/>
      <c r="CF336" s="27"/>
      <c r="CG336" s="28"/>
      <c r="CH336" s="28"/>
      <c r="CI336" s="28"/>
      <c r="CJ336" s="28"/>
      <c r="CL336" s="29"/>
      <c r="CM336" s="29"/>
      <c r="CN336" s="29"/>
      <c r="CO336" s="29"/>
      <c r="CP336" s="29"/>
      <c r="CQ336" s="29"/>
      <c r="CR336" s="30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8"/>
      <c r="EP336" s="17"/>
      <c r="EQ336" s="17"/>
      <c r="ER336" s="17"/>
      <c r="ES336" s="17"/>
      <c r="ET336" s="17"/>
    </row>
    <row r="337" spans="72:150" ht="15.75" customHeight="1">
      <c r="BT337" s="63"/>
      <c r="BW337" s="7"/>
      <c r="CF337" s="27"/>
      <c r="CG337" s="28"/>
      <c r="CH337" s="28"/>
      <c r="CI337" s="28"/>
      <c r="CJ337" s="28"/>
      <c r="CL337" s="29"/>
      <c r="CM337" s="29"/>
      <c r="CN337" s="29"/>
      <c r="CO337" s="29"/>
      <c r="CP337" s="29"/>
      <c r="CQ337" s="29"/>
      <c r="CR337" s="30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8"/>
      <c r="EP337" s="17"/>
      <c r="EQ337" s="17"/>
      <c r="ER337" s="17"/>
      <c r="ES337" s="17"/>
      <c r="ET337" s="17"/>
    </row>
    <row r="338" spans="72:150" ht="15.75" customHeight="1">
      <c r="BT338" s="63"/>
      <c r="BW338" s="7"/>
      <c r="CF338" s="27"/>
      <c r="CG338" s="28"/>
      <c r="CH338" s="28"/>
      <c r="CI338" s="28"/>
      <c r="CJ338" s="28"/>
      <c r="CL338" s="29"/>
      <c r="CM338" s="29"/>
      <c r="CN338" s="29"/>
      <c r="CO338" s="29"/>
      <c r="CP338" s="29"/>
      <c r="CQ338" s="29"/>
      <c r="CR338" s="30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8"/>
      <c r="EP338" s="17"/>
      <c r="EQ338" s="17"/>
      <c r="ER338" s="17"/>
      <c r="ES338" s="17"/>
      <c r="ET338" s="17"/>
    </row>
    <row r="339" spans="72:150" ht="15.75" customHeight="1">
      <c r="BT339" s="63"/>
      <c r="BW339" s="7"/>
      <c r="CF339" s="27"/>
      <c r="CG339" s="28"/>
      <c r="CH339" s="28"/>
      <c r="CI339" s="28"/>
      <c r="CJ339" s="28"/>
      <c r="CL339" s="29"/>
      <c r="CM339" s="29"/>
      <c r="CN339" s="29"/>
      <c r="CO339" s="29"/>
      <c r="CP339" s="29"/>
      <c r="CQ339" s="29"/>
      <c r="CR339" s="30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8"/>
      <c r="EP339" s="17"/>
      <c r="EQ339" s="17"/>
      <c r="ER339" s="17"/>
      <c r="ES339" s="17"/>
      <c r="ET339" s="17"/>
    </row>
    <row r="340" spans="72:150" ht="15.75" customHeight="1">
      <c r="BT340" s="63"/>
      <c r="BW340" s="7"/>
      <c r="CF340" s="27"/>
      <c r="CG340" s="28"/>
      <c r="CH340" s="28"/>
      <c r="CI340" s="28"/>
      <c r="CJ340" s="28"/>
      <c r="CL340" s="29"/>
      <c r="CM340" s="29"/>
      <c r="CN340" s="29"/>
      <c r="CO340" s="29"/>
      <c r="CP340" s="29"/>
      <c r="CQ340" s="29"/>
      <c r="CR340" s="30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8"/>
      <c r="EP340" s="17"/>
      <c r="EQ340" s="17"/>
      <c r="ER340" s="17"/>
      <c r="ES340" s="17"/>
      <c r="ET340" s="17"/>
    </row>
    <row r="341" spans="72:150" ht="15.75" customHeight="1">
      <c r="BT341" s="63"/>
      <c r="BW341" s="7"/>
      <c r="CF341" s="27"/>
      <c r="CG341" s="28"/>
      <c r="CH341" s="28"/>
      <c r="CI341" s="28"/>
      <c r="CJ341" s="28"/>
      <c r="CL341" s="29"/>
      <c r="CM341" s="29"/>
      <c r="CN341" s="29"/>
      <c r="CO341" s="29"/>
      <c r="CP341" s="29"/>
      <c r="CQ341" s="29"/>
      <c r="CR341" s="30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8"/>
      <c r="EP341" s="17"/>
      <c r="EQ341" s="17"/>
      <c r="ER341" s="17"/>
      <c r="ES341" s="17"/>
      <c r="ET341" s="17"/>
    </row>
    <row r="342" spans="72:150" ht="15.75" customHeight="1">
      <c r="BT342" s="63"/>
      <c r="BW342" s="7"/>
      <c r="CF342" s="27"/>
      <c r="CG342" s="28"/>
      <c r="CH342" s="28"/>
      <c r="CI342" s="28"/>
      <c r="CJ342" s="28"/>
      <c r="CL342" s="29"/>
      <c r="CM342" s="29"/>
      <c r="CN342" s="29"/>
      <c r="CO342" s="29"/>
      <c r="CP342" s="29"/>
      <c r="CQ342" s="29"/>
      <c r="CR342" s="30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8"/>
      <c r="EP342" s="17"/>
      <c r="EQ342" s="17"/>
      <c r="ER342" s="17"/>
      <c r="ES342" s="17"/>
      <c r="ET342" s="17"/>
    </row>
    <row r="343" spans="72:150" ht="15.75" customHeight="1">
      <c r="BT343" s="63"/>
      <c r="BW343" s="7"/>
      <c r="CF343" s="27"/>
      <c r="CG343" s="28"/>
      <c r="CH343" s="28"/>
      <c r="CI343" s="28"/>
      <c r="CJ343" s="28"/>
      <c r="CL343" s="29"/>
      <c r="CM343" s="29"/>
      <c r="CN343" s="29"/>
      <c r="CO343" s="29"/>
      <c r="CP343" s="29"/>
      <c r="CQ343" s="29"/>
      <c r="CR343" s="30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8"/>
      <c r="EP343" s="17"/>
      <c r="EQ343" s="17"/>
      <c r="ER343" s="17"/>
      <c r="ES343" s="17"/>
      <c r="ET343" s="17"/>
    </row>
    <row r="344" spans="72:150" ht="15.75" customHeight="1">
      <c r="BT344" s="63"/>
      <c r="BW344" s="7"/>
      <c r="CF344" s="27"/>
      <c r="CG344" s="28"/>
      <c r="CH344" s="28"/>
      <c r="CI344" s="28"/>
      <c r="CJ344" s="28"/>
      <c r="CL344" s="29"/>
      <c r="CM344" s="29"/>
      <c r="CN344" s="29"/>
      <c r="CO344" s="29"/>
      <c r="CP344" s="29"/>
      <c r="CQ344" s="29"/>
      <c r="CR344" s="30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8"/>
      <c r="EP344" s="17"/>
      <c r="EQ344" s="17"/>
      <c r="ER344" s="17"/>
      <c r="ES344" s="17"/>
      <c r="ET344" s="17"/>
    </row>
    <row r="345" spans="72:150" ht="15.75" customHeight="1">
      <c r="BT345" s="63"/>
      <c r="BW345" s="7"/>
      <c r="CF345" s="27"/>
      <c r="CG345" s="28"/>
      <c r="CH345" s="28"/>
      <c r="CI345" s="28"/>
      <c r="CJ345" s="28"/>
      <c r="CL345" s="29"/>
      <c r="CM345" s="29"/>
      <c r="CN345" s="29"/>
      <c r="CO345" s="29"/>
      <c r="CP345" s="29"/>
      <c r="CQ345" s="29"/>
      <c r="CR345" s="30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8"/>
      <c r="EP345" s="17"/>
      <c r="EQ345" s="17"/>
      <c r="ER345" s="17"/>
      <c r="ES345" s="17"/>
      <c r="ET345" s="17"/>
    </row>
    <row r="346" spans="72:150" ht="15.75" customHeight="1">
      <c r="BT346" s="63"/>
      <c r="BW346" s="7"/>
      <c r="CF346" s="27"/>
      <c r="CG346" s="28"/>
      <c r="CH346" s="28"/>
      <c r="CI346" s="28"/>
      <c r="CJ346" s="28"/>
      <c r="CL346" s="29"/>
      <c r="CM346" s="29"/>
      <c r="CN346" s="29"/>
      <c r="CO346" s="29"/>
      <c r="CP346" s="29"/>
      <c r="CQ346" s="29"/>
      <c r="CR346" s="30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8"/>
      <c r="EP346" s="17"/>
      <c r="EQ346" s="17"/>
      <c r="ER346" s="17"/>
      <c r="ES346" s="17"/>
      <c r="ET346" s="17"/>
    </row>
    <row r="347" spans="72:150" ht="15.75" customHeight="1">
      <c r="BT347" s="63"/>
      <c r="BW347" s="7"/>
      <c r="CF347" s="27"/>
      <c r="CG347" s="28"/>
      <c r="CH347" s="28"/>
      <c r="CI347" s="28"/>
      <c r="CJ347" s="28"/>
      <c r="CL347" s="29"/>
      <c r="CM347" s="29"/>
      <c r="CN347" s="29"/>
      <c r="CO347" s="29"/>
      <c r="CP347" s="29"/>
      <c r="CQ347" s="29"/>
      <c r="CR347" s="30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8"/>
      <c r="EP347" s="17"/>
      <c r="EQ347" s="17"/>
      <c r="ER347" s="17"/>
      <c r="ES347" s="17"/>
      <c r="ET347" s="17"/>
    </row>
    <row r="348" spans="72:150" ht="15.75" customHeight="1">
      <c r="BT348" s="63"/>
      <c r="BW348" s="7"/>
      <c r="CF348" s="27"/>
      <c r="CG348" s="28"/>
      <c r="CH348" s="28"/>
      <c r="CI348" s="28"/>
      <c r="CJ348" s="28"/>
      <c r="CL348" s="29"/>
      <c r="CM348" s="29"/>
      <c r="CN348" s="29"/>
      <c r="CO348" s="29"/>
      <c r="CP348" s="29"/>
      <c r="CQ348" s="29"/>
      <c r="CR348" s="30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8"/>
      <c r="EP348" s="17"/>
      <c r="EQ348" s="17"/>
      <c r="ER348" s="17"/>
      <c r="ES348" s="17"/>
      <c r="ET348" s="17"/>
    </row>
    <row r="349" spans="72:150" ht="15.75" customHeight="1">
      <c r="BT349" s="63"/>
      <c r="BW349" s="7"/>
      <c r="CF349" s="27"/>
      <c r="CG349" s="28"/>
      <c r="CH349" s="28"/>
      <c r="CI349" s="28"/>
      <c r="CJ349" s="28"/>
      <c r="CL349" s="29"/>
      <c r="CM349" s="29"/>
      <c r="CN349" s="29"/>
      <c r="CO349" s="29"/>
      <c r="CP349" s="29"/>
      <c r="CQ349" s="29"/>
      <c r="CR349" s="30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8"/>
      <c r="EP349" s="17"/>
      <c r="EQ349" s="17"/>
      <c r="ER349" s="17"/>
      <c r="ES349" s="17"/>
      <c r="ET349" s="17"/>
    </row>
    <row r="350" spans="72:150" ht="15.75" customHeight="1">
      <c r="BT350" s="63"/>
      <c r="BW350" s="7"/>
      <c r="CF350" s="27"/>
      <c r="CG350" s="28"/>
      <c r="CH350" s="28"/>
      <c r="CI350" s="28"/>
      <c r="CJ350" s="28"/>
      <c r="CL350" s="29"/>
      <c r="CM350" s="29"/>
      <c r="CN350" s="29"/>
      <c r="CO350" s="29"/>
      <c r="CP350" s="29"/>
      <c r="CQ350" s="29"/>
      <c r="CR350" s="30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8"/>
      <c r="EP350" s="17"/>
      <c r="EQ350" s="17"/>
      <c r="ER350" s="17"/>
      <c r="ES350" s="17"/>
      <c r="ET350" s="17"/>
    </row>
    <row r="351" spans="72:150" ht="15.75" customHeight="1">
      <c r="BT351" s="63"/>
      <c r="BW351" s="7"/>
      <c r="CF351" s="27"/>
      <c r="CG351" s="28"/>
      <c r="CH351" s="28"/>
      <c r="CI351" s="28"/>
      <c r="CJ351" s="28"/>
      <c r="CL351" s="29"/>
      <c r="CM351" s="29"/>
      <c r="CN351" s="29"/>
      <c r="CO351" s="29"/>
      <c r="CP351" s="29"/>
      <c r="CQ351" s="29"/>
      <c r="CR351" s="30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8"/>
      <c r="EP351" s="17"/>
      <c r="EQ351" s="17"/>
      <c r="ER351" s="17"/>
      <c r="ES351" s="17"/>
      <c r="ET351" s="17"/>
    </row>
    <row r="352" spans="72:150" ht="15.75" customHeight="1">
      <c r="BT352" s="63"/>
      <c r="BW352" s="7"/>
      <c r="CF352" s="27"/>
      <c r="CG352" s="28"/>
      <c r="CH352" s="28"/>
      <c r="CI352" s="28"/>
      <c r="CJ352" s="28"/>
      <c r="CL352" s="29"/>
      <c r="CM352" s="29"/>
      <c r="CN352" s="29"/>
      <c r="CO352" s="29"/>
      <c r="CP352" s="29"/>
      <c r="CQ352" s="29"/>
      <c r="CR352" s="30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8"/>
      <c r="EP352" s="17"/>
      <c r="EQ352" s="17"/>
      <c r="ER352" s="17"/>
      <c r="ES352" s="17"/>
      <c r="ET352" s="17"/>
    </row>
    <row r="353" spans="72:150" ht="15.75" customHeight="1">
      <c r="BT353" s="63"/>
      <c r="BW353" s="7"/>
      <c r="CF353" s="27"/>
      <c r="CG353" s="28"/>
      <c r="CH353" s="28"/>
      <c r="CI353" s="28"/>
      <c r="CJ353" s="28"/>
      <c r="CL353" s="29"/>
      <c r="CM353" s="29"/>
      <c r="CN353" s="29"/>
      <c r="CO353" s="29"/>
      <c r="CP353" s="29"/>
      <c r="CQ353" s="29"/>
      <c r="CR353" s="30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8"/>
      <c r="EP353" s="17"/>
      <c r="EQ353" s="17"/>
      <c r="ER353" s="17"/>
      <c r="ES353" s="17"/>
      <c r="ET353" s="17"/>
    </row>
    <row r="354" spans="72:150" ht="15.75" customHeight="1">
      <c r="BT354" s="63"/>
      <c r="BW354" s="7"/>
      <c r="CF354" s="27"/>
      <c r="CG354" s="28"/>
      <c r="CH354" s="28"/>
      <c r="CI354" s="28"/>
      <c r="CJ354" s="28"/>
      <c r="CL354" s="29"/>
      <c r="CM354" s="29"/>
      <c r="CN354" s="29"/>
      <c r="CO354" s="29"/>
      <c r="CP354" s="29"/>
      <c r="CQ354" s="29"/>
      <c r="CR354" s="30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8"/>
      <c r="EP354" s="17"/>
      <c r="EQ354" s="17"/>
      <c r="ER354" s="17"/>
      <c r="ES354" s="17"/>
      <c r="ET354" s="17"/>
    </row>
    <row r="355" spans="72:150" ht="15.75" customHeight="1">
      <c r="BT355" s="63"/>
      <c r="BW355" s="7"/>
      <c r="CF355" s="27"/>
      <c r="CG355" s="28"/>
      <c r="CH355" s="28"/>
      <c r="CI355" s="28"/>
      <c r="CJ355" s="28"/>
      <c r="CL355" s="29"/>
      <c r="CM355" s="29"/>
      <c r="CN355" s="29"/>
      <c r="CO355" s="29"/>
      <c r="CP355" s="29"/>
      <c r="CQ355" s="29"/>
      <c r="CR355" s="30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8"/>
      <c r="EP355" s="17"/>
      <c r="EQ355" s="17"/>
      <c r="ER355" s="17"/>
      <c r="ES355" s="17"/>
      <c r="ET355" s="17"/>
    </row>
    <row r="356" spans="72:150" ht="15.75" customHeight="1">
      <c r="BT356" s="63"/>
      <c r="BW356" s="7"/>
      <c r="CF356" s="27"/>
      <c r="CG356" s="28"/>
      <c r="CH356" s="28"/>
      <c r="CI356" s="28"/>
      <c r="CJ356" s="28"/>
      <c r="CL356" s="29"/>
      <c r="CM356" s="29"/>
      <c r="CN356" s="29"/>
      <c r="CO356" s="29"/>
      <c r="CP356" s="29"/>
      <c r="CQ356" s="29"/>
      <c r="CR356" s="30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8"/>
      <c r="EP356" s="17"/>
      <c r="EQ356" s="17"/>
      <c r="ER356" s="17"/>
      <c r="ES356" s="17"/>
      <c r="ET356" s="17"/>
    </row>
    <row r="357" spans="72:150" ht="15.75" customHeight="1">
      <c r="BT357" s="63"/>
      <c r="BW357" s="7"/>
      <c r="CF357" s="27"/>
      <c r="CG357" s="28"/>
      <c r="CH357" s="28"/>
      <c r="CI357" s="28"/>
      <c r="CJ357" s="28"/>
      <c r="CL357" s="29"/>
      <c r="CM357" s="29"/>
      <c r="CN357" s="29"/>
      <c r="CO357" s="29"/>
      <c r="CP357" s="29"/>
      <c r="CQ357" s="29"/>
      <c r="CR357" s="30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8"/>
      <c r="EP357" s="17"/>
      <c r="EQ357" s="17"/>
      <c r="ER357" s="17"/>
      <c r="ES357" s="17"/>
      <c r="ET357" s="17"/>
    </row>
    <row r="358" spans="72:150" ht="15.75" customHeight="1">
      <c r="BT358" s="63"/>
      <c r="BW358" s="7"/>
      <c r="CF358" s="27"/>
      <c r="CG358" s="28"/>
      <c r="CH358" s="28"/>
      <c r="CI358" s="28"/>
      <c r="CJ358" s="28"/>
      <c r="CL358" s="29"/>
      <c r="CM358" s="29"/>
      <c r="CN358" s="29"/>
      <c r="CO358" s="29"/>
      <c r="CP358" s="29"/>
      <c r="CQ358" s="29"/>
      <c r="CR358" s="30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8"/>
      <c r="EP358" s="17"/>
      <c r="EQ358" s="17"/>
      <c r="ER358" s="17"/>
      <c r="ES358" s="17"/>
      <c r="ET358" s="17"/>
    </row>
    <row r="359" spans="72:150" ht="15.75" customHeight="1">
      <c r="BT359" s="63"/>
      <c r="BW359" s="7"/>
      <c r="CF359" s="27"/>
      <c r="CG359" s="28"/>
      <c r="CH359" s="28"/>
      <c r="CI359" s="28"/>
      <c r="CJ359" s="28"/>
      <c r="CL359" s="29"/>
      <c r="CM359" s="29"/>
      <c r="CN359" s="29"/>
      <c r="CO359" s="29"/>
      <c r="CP359" s="29"/>
      <c r="CQ359" s="29"/>
      <c r="CR359" s="30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8"/>
      <c r="EP359" s="17"/>
      <c r="EQ359" s="17"/>
      <c r="ER359" s="17"/>
      <c r="ES359" s="17"/>
      <c r="ET359" s="17"/>
    </row>
    <row r="360" spans="72:150" ht="15.75" customHeight="1">
      <c r="BT360" s="63"/>
      <c r="BW360" s="7"/>
      <c r="CF360" s="27"/>
      <c r="CG360" s="28"/>
      <c r="CH360" s="28"/>
      <c r="CI360" s="28"/>
      <c r="CJ360" s="28"/>
      <c r="CL360" s="29"/>
      <c r="CM360" s="29"/>
      <c r="CN360" s="29"/>
      <c r="CO360" s="29"/>
      <c r="CP360" s="29"/>
      <c r="CQ360" s="29"/>
      <c r="CR360" s="30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8"/>
      <c r="EP360" s="17"/>
      <c r="EQ360" s="17"/>
      <c r="ER360" s="17"/>
      <c r="ES360" s="17"/>
      <c r="ET360" s="17"/>
    </row>
    <row r="361" spans="72:150" ht="15.75" customHeight="1">
      <c r="BT361" s="63"/>
      <c r="BW361" s="7"/>
      <c r="CF361" s="27"/>
      <c r="CG361" s="28"/>
      <c r="CH361" s="28"/>
      <c r="CI361" s="28"/>
      <c r="CJ361" s="28"/>
      <c r="CL361" s="29"/>
      <c r="CM361" s="29"/>
      <c r="CN361" s="29"/>
      <c r="CO361" s="29"/>
      <c r="CP361" s="29"/>
      <c r="CQ361" s="29"/>
      <c r="CR361" s="30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8"/>
      <c r="EP361" s="17"/>
      <c r="EQ361" s="17"/>
      <c r="ER361" s="17"/>
      <c r="ES361" s="17"/>
      <c r="ET361" s="17"/>
    </row>
    <row r="362" spans="72:150" ht="15.75" customHeight="1">
      <c r="BT362" s="63"/>
      <c r="BW362" s="7"/>
      <c r="CF362" s="27"/>
      <c r="CG362" s="28"/>
      <c r="CH362" s="28"/>
      <c r="CI362" s="28"/>
      <c r="CJ362" s="28"/>
      <c r="CL362" s="29"/>
      <c r="CM362" s="29"/>
      <c r="CN362" s="29"/>
      <c r="CO362" s="29"/>
      <c r="CP362" s="29"/>
      <c r="CQ362" s="29"/>
      <c r="CR362" s="30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8"/>
      <c r="EP362" s="17"/>
      <c r="EQ362" s="17"/>
      <c r="ER362" s="17"/>
      <c r="ES362" s="17"/>
      <c r="ET362" s="17"/>
    </row>
    <row r="363" spans="72:150" ht="15.75" customHeight="1">
      <c r="BT363" s="63"/>
      <c r="BW363" s="7"/>
      <c r="CF363" s="27"/>
      <c r="CG363" s="28"/>
      <c r="CH363" s="28"/>
      <c r="CI363" s="28"/>
      <c r="CJ363" s="28"/>
      <c r="CL363" s="29"/>
      <c r="CM363" s="29"/>
      <c r="CN363" s="29"/>
      <c r="CO363" s="29"/>
      <c r="CP363" s="29"/>
      <c r="CQ363" s="29"/>
      <c r="CR363" s="30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8"/>
      <c r="EP363" s="17"/>
      <c r="EQ363" s="17"/>
      <c r="ER363" s="17"/>
      <c r="ES363" s="17"/>
      <c r="ET363" s="17"/>
    </row>
    <row r="364" spans="72:150" ht="15.75" customHeight="1">
      <c r="BT364" s="63"/>
      <c r="BW364" s="7"/>
      <c r="CF364" s="27"/>
      <c r="CG364" s="28"/>
      <c r="CH364" s="28"/>
      <c r="CI364" s="28"/>
      <c r="CJ364" s="28"/>
      <c r="CL364" s="29"/>
      <c r="CM364" s="29"/>
      <c r="CN364" s="29"/>
      <c r="CO364" s="29"/>
      <c r="CP364" s="29"/>
      <c r="CQ364" s="29"/>
      <c r="CR364" s="30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8"/>
      <c r="EP364" s="17"/>
      <c r="EQ364" s="17"/>
      <c r="ER364" s="17"/>
      <c r="ES364" s="17"/>
      <c r="ET364" s="17"/>
    </row>
    <row r="365" spans="72:150" ht="15.75" customHeight="1">
      <c r="BT365" s="63"/>
      <c r="BW365" s="7"/>
      <c r="CF365" s="27"/>
      <c r="CG365" s="28"/>
      <c r="CH365" s="28"/>
      <c r="CI365" s="28"/>
      <c r="CJ365" s="28"/>
      <c r="CL365" s="29"/>
      <c r="CM365" s="29"/>
      <c r="CN365" s="29"/>
      <c r="CO365" s="29"/>
      <c r="CP365" s="29"/>
      <c r="CQ365" s="29"/>
      <c r="CR365" s="30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8"/>
      <c r="EP365" s="17"/>
      <c r="EQ365" s="17"/>
      <c r="ER365" s="17"/>
      <c r="ES365" s="17"/>
      <c r="ET365" s="17"/>
    </row>
    <row r="366" spans="72:150" ht="15.75" customHeight="1">
      <c r="BT366" s="63"/>
      <c r="BW366" s="7"/>
      <c r="CF366" s="27"/>
      <c r="CG366" s="28"/>
      <c r="CH366" s="28"/>
      <c r="CI366" s="28"/>
      <c r="CJ366" s="28"/>
      <c r="CL366" s="29"/>
      <c r="CM366" s="29"/>
      <c r="CN366" s="29"/>
      <c r="CO366" s="29"/>
      <c r="CP366" s="29"/>
      <c r="CQ366" s="29"/>
      <c r="CR366" s="30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8"/>
      <c r="EP366" s="17"/>
      <c r="EQ366" s="17"/>
      <c r="ER366" s="17"/>
      <c r="ES366" s="17"/>
      <c r="ET366" s="17"/>
    </row>
    <row r="367" spans="72:150" ht="15.75" customHeight="1">
      <c r="BT367" s="63"/>
      <c r="BW367" s="7"/>
      <c r="CF367" s="27"/>
      <c r="CG367" s="28"/>
      <c r="CH367" s="28"/>
      <c r="CI367" s="28"/>
      <c r="CJ367" s="28"/>
      <c r="CL367" s="29"/>
      <c r="CM367" s="29"/>
      <c r="CN367" s="29"/>
      <c r="CO367" s="29"/>
      <c r="CP367" s="29"/>
      <c r="CQ367" s="29"/>
      <c r="CR367" s="30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8"/>
      <c r="EP367" s="17"/>
      <c r="EQ367" s="17"/>
      <c r="ER367" s="17"/>
      <c r="ES367" s="17"/>
      <c r="ET367" s="17"/>
    </row>
    <row r="368" spans="72:150" ht="15.75" customHeight="1">
      <c r="BT368" s="63"/>
      <c r="BW368" s="7"/>
      <c r="CF368" s="27"/>
      <c r="CG368" s="28"/>
      <c r="CH368" s="28"/>
      <c r="CI368" s="28"/>
      <c r="CJ368" s="28"/>
      <c r="CL368" s="29"/>
      <c r="CM368" s="29"/>
      <c r="CN368" s="29"/>
      <c r="CO368" s="29"/>
      <c r="CP368" s="29"/>
      <c r="CQ368" s="29"/>
      <c r="CR368" s="30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8"/>
      <c r="EP368" s="17"/>
      <c r="EQ368" s="17"/>
      <c r="ER368" s="17"/>
      <c r="ES368" s="17"/>
      <c r="ET368" s="17"/>
    </row>
    <row r="369" spans="72:150" ht="15.75" customHeight="1">
      <c r="BT369" s="63"/>
      <c r="BW369" s="7"/>
      <c r="CF369" s="27"/>
      <c r="CG369" s="28"/>
      <c r="CH369" s="28"/>
      <c r="CI369" s="28"/>
      <c r="CJ369" s="28"/>
      <c r="CL369" s="29"/>
      <c r="CM369" s="29"/>
      <c r="CN369" s="29"/>
      <c r="CO369" s="29"/>
      <c r="CP369" s="29"/>
      <c r="CQ369" s="29"/>
      <c r="CR369" s="30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8"/>
      <c r="EP369" s="17"/>
      <c r="EQ369" s="17"/>
      <c r="ER369" s="17"/>
      <c r="ES369" s="17"/>
      <c r="ET369" s="17"/>
    </row>
    <row r="370" spans="72:150" ht="15.75" customHeight="1">
      <c r="BT370" s="63"/>
      <c r="BW370" s="7"/>
      <c r="CF370" s="27"/>
      <c r="CG370" s="28"/>
      <c r="CH370" s="28"/>
      <c r="CI370" s="28"/>
      <c r="CJ370" s="28"/>
      <c r="CL370" s="29"/>
      <c r="CM370" s="29"/>
      <c r="CN370" s="29"/>
      <c r="CO370" s="29"/>
      <c r="CP370" s="29"/>
      <c r="CQ370" s="29"/>
      <c r="CR370" s="30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8"/>
      <c r="EP370" s="17"/>
      <c r="EQ370" s="17"/>
      <c r="ER370" s="17"/>
      <c r="ES370" s="17"/>
      <c r="ET370" s="17"/>
    </row>
    <row r="371" spans="72:150" ht="15.75" customHeight="1">
      <c r="BT371" s="63"/>
      <c r="BW371" s="7"/>
      <c r="CF371" s="27"/>
      <c r="CG371" s="28"/>
      <c r="CH371" s="28"/>
      <c r="CI371" s="28"/>
      <c r="CJ371" s="28"/>
      <c r="CL371" s="29"/>
      <c r="CM371" s="29"/>
      <c r="CN371" s="29"/>
      <c r="CO371" s="29"/>
      <c r="CP371" s="29"/>
      <c r="CQ371" s="29"/>
      <c r="CR371" s="30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8"/>
      <c r="EP371" s="17"/>
      <c r="EQ371" s="17"/>
      <c r="ER371" s="17"/>
      <c r="ES371" s="17"/>
      <c r="ET371" s="17"/>
    </row>
    <row r="372" spans="72:150" ht="15.75" customHeight="1">
      <c r="BT372" s="63"/>
      <c r="BW372" s="7"/>
      <c r="CF372" s="27"/>
      <c r="CG372" s="28"/>
      <c r="CH372" s="28"/>
      <c r="CI372" s="28"/>
      <c r="CJ372" s="28"/>
      <c r="CL372" s="29"/>
      <c r="CM372" s="29"/>
      <c r="CN372" s="29"/>
      <c r="CO372" s="29"/>
      <c r="CP372" s="29"/>
      <c r="CQ372" s="29"/>
      <c r="CR372" s="30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8"/>
      <c r="EP372" s="17"/>
      <c r="EQ372" s="17"/>
      <c r="ER372" s="17"/>
      <c r="ES372" s="17"/>
      <c r="ET372" s="17"/>
    </row>
    <row r="373" spans="72:150" ht="15.75" customHeight="1">
      <c r="BT373" s="63"/>
      <c r="BW373" s="7"/>
      <c r="CF373" s="27"/>
      <c r="CG373" s="28"/>
      <c r="CH373" s="28"/>
      <c r="CI373" s="28"/>
      <c r="CJ373" s="28"/>
      <c r="CL373" s="29"/>
      <c r="CM373" s="29"/>
      <c r="CN373" s="29"/>
      <c r="CO373" s="29"/>
      <c r="CP373" s="29"/>
      <c r="CQ373" s="29"/>
      <c r="CR373" s="30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8"/>
      <c r="EP373" s="17"/>
      <c r="EQ373" s="17"/>
      <c r="ER373" s="17"/>
      <c r="ES373" s="17"/>
      <c r="ET373" s="17"/>
    </row>
    <row r="374" spans="72:150" ht="15.75" customHeight="1">
      <c r="BT374" s="63"/>
      <c r="BW374" s="7"/>
      <c r="CF374" s="27"/>
      <c r="CG374" s="28"/>
      <c r="CH374" s="28"/>
      <c r="CI374" s="28"/>
      <c r="CJ374" s="28"/>
      <c r="CL374" s="29"/>
      <c r="CM374" s="29"/>
      <c r="CN374" s="29"/>
      <c r="CO374" s="29"/>
      <c r="CP374" s="29"/>
      <c r="CQ374" s="29"/>
      <c r="CR374" s="30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8"/>
      <c r="EP374" s="17"/>
      <c r="EQ374" s="17"/>
      <c r="ER374" s="17"/>
      <c r="ES374" s="17"/>
      <c r="ET374" s="17"/>
    </row>
    <row r="375" spans="72:150" ht="15.75" customHeight="1">
      <c r="BT375" s="63"/>
      <c r="BW375" s="7"/>
      <c r="CF375" s="27"/>
      <c r="CG375" s="28"/>
      <c r="CH375" s="28"/>
      <c r="CI375" s="28"/>
      <c r="CJ375" s="28"/>
      <c r="CL375" s="29"/>
      <c r="CM375" s="29"/>
      <c r="CN375" s="29"/>
      <c r="CO375" s="29"/>
      <c r="CP375" s="29"/>
      <c r="CQ375" s="29"/>
      <c r="CR375" s="30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8"/>
      <c r="EP375" s="17"/>
      <c r="EQ375" s="17"/>
      <c r="ER375" s="17"/>
      <c r="ES375" s="17"/>
      <c r="ET375" s="17"/>
    </row>
    <row r="376" spans="72:150" ht="15.75" customHeight="1">
      <c r="BT376" s="63"/>
      <c r="BW376" s="7"/>
      <c r="CF376" s="27"/>
      <c r="CG376" s="28"/>
      <c r="CH376" s="28"/>
      <c r="CI376" s="28"/>
      <c r="CJ376" s="28"/>
      <c r="CL376" s="29"/>
      <c r="CM376" s="29"/>
      <c r="CN376" s="29"/>
      <c r="CO376" s="29"/>
      <c r="CP376" s="29"/>
      <c r="CQ376" s="29"/>
      <c r="CR376" s="30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8"/>
      <c r="EP376" s="17"/>
      <c r="EQ376" s="17"/>
      <c r="ER376" s="17"/>
      <c r="ES376" s="17"/>
      <c r="ET376" s="17"/>
    </row>
    <row r="377" spans="72:150" ht="15.75" customHeight="1">
      <c r="BT377" s="63"/>
      <c r="BW377" s="7"/>
      <c r="CF377" s="27"/>
      <c r="CG377" s="28"/>
      <c r="CH377" s="28"/>
      <c r="CI377" s="28"/>
      <c r="CJ377" s="28"/>
      <c r="CL377" s="29"/>
      <c r="CM377" s="29"/>
      <c r="CN377" s="29"/>
      <c r="CO377" s="29"/>
      <c r="CP377" s="29"/>
      <c r="CQ377" s="29"/>
      <c r="CR377" s="30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8"/>
      <c r="EP377" s="17"/>
      <c r="EQ377" s="17"/>
      <c r="ER377" s="17"/>
      <c r="ES377" s="17"/>
      <c r="ET377" s="17"/>
    </row>
    <row r="378" spans="72:150" ht="15.75" customHeight="1">
      <c r="BT378" s="63"/>
      <c r="BW378" s="7"/>
      <c r="CF378" s="27"/>
      <c r="CG378" s="28"/>
      <c r="CH378" s="28"/>
      <c r="CI378" s="28"/>
      <c r="CJ378" s="28"/>
      <c r="CL378" s="29"/>
      <c r="CM378" s="29"/>
      <c r="CN378" s="29"/>
      <c r="CO378" s="29"/>
      <c r="CP378" s="29"/>
      <c r="CQ378" s="29"/>
      <c r="CR378" s="30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8"/>
      <c r="EP378" s="17"/>
      <c r="EQ378" s="17"/>
      <c r="ER378" s="17"/>
      <c r="ES378" s="17"/>
      <c r="ET378" s="17"/>
    </row>
    <row r="379" spans="72:150" ht="15.75" customHeight="1">
      <c r="BT379" s="63"/>
      <c r="BW379" s="7"/>
      <c r="CF379" s="27"/>
      <c r="CG379" s="28"/>
      <c r="CH379" s="28"/>
      <c r="CI379" s="28"/>
      <c r="CJ379" s="28"/>
      <c r="CL379" s="29"/>
      <c r="CM379" s="29"/>
      <c r="CN379" s="29"/>
      <c r="CO379" s="29"/>
      <c r="CP379" s="29"/>
      <c r="CQ379" s="29"/>
      <c r="CR379" s="30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8"/>
      <c r="EP379" s="17"/>
      <c r="EQ379" s="17"/>
      <c r="ER379" s="17"/>
      <c r="ES379" s="17"/>
      <c r="ET379" s="17"/>
    </row>
    <row r="380" spans="72:150" ht="15.75" customHeight="1">
      <c r="BT380" s="63"/>
      <c r="BW380" s="7"/>
      <c r="CF380" s="27"/>
      <c r="CG380" s="28"/>
      <c r="CH380" s="28"/>
      <c r="CI380" s="28"/>
      <c r="CJ380" s="28"/>
      <c r="CL380" s="29"/>
      <c r="CM380" s="29"/>
      <c r="CN380" s="29"/>
      <c r="CO380" s="29"/>
      <c r="CP380" s="29"/>
      <c r="CQ380" s="29"/>
      <c r="CR380" s="30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8"/>
      <c r="EP380" s="17"/>
      <c r="EQ380" s="17"/>
      <c r="ER380" s="17"/>
      <c r="ES380" s="17"/>
      <c r="ET380" s="17"/>
    </row>
    <row r="381" spans="72:150" ht="15.75" customHeight="1">
      <c r="BT381" s="63"/>
      <c r="BW381" s="7"/>
      <c r="CF381" s="27"/>
      <c r="CG381" s="28"/>
      <c r="CH381" s="28"/>
      <c r="CI381" s="28"/>
      <c r="CJ381" s="28"/>
      <c r="CL381" s="29"/>
      <c r="CM381" s="29"/>
      <c r="CN381" s="29"/>
      <c r="CO381" s="29"/>
      <c r="CP381" s="29"/>
      <c r="CQ381" s="29"/>
      <c r="CR381" s="30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8"/>
      <c r="EP381" s="17"/>
      <c r="EQ381" s="17"/>
      <c r="ER381" s="17"/>
      <c r="ES381" s="17"/>
      <c r="ET381" s="17"/>
    </row>
    <row r="382" spans="72:150" ht="15.75" customHeight="1">
      <c r="BT382" s="63"/>
      <c r="BW382" s="7"/>
      <c r="CF382" s="27"/>
      <c r="CG382" s="28"/>
      <c r="CH382" s="28"/>
      <c r="CI382" s="28"/>
      <c r="CJ382" s="28"/>
      <c r="CL382" s="29"/>
      <c r="CM382" s="29"/>
      <c r="CN382" s="29"/>
      <c r="CO382" s="29"/>
      <c r="CP382" s="29"/>
      <c r="CQ382" s="29"/>
      <c r="CR382" s="30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8"/>
      <c r="EP382" s="17"/>
      <c r="EQ382" s="17"/>
      <c r="ER382" s="17"/>
      <c r="ES382" s="17"/>
      <c r="ET382" s="17"/>
    </row>
    <row r="383" spans="72:150" ht="15.75" customHeight="1">
      <c r="BT383" s="63"/>
      <c r="BW383" s="7"/>
      <c r="CF383" s="27"/>
      <c r="CG383" s="28"/>
      <c r="CH383" s="28"/>
      <c r="CI383" s="28"/>
      <c r="CJ383" s="28"/>
      <c r="CL383" s="29"/>
      <c r="CM383" s="29"/>
      <c r="CN383" s="29"/>
      <c r="CO383" s="29"/>
      <c r="CP383" s="29"/>
      <c r="CQ383" s="29"/>
      <c r="CR383" s="30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8"/>
      <c r="EP383" s="17"/>
      <c r="EQ383" s="17"/>
      <c r="ER383" s="17"/>
      <c r="ES383" s="17"/>
      <c r="ET383" s="17"/>
    </row>
    <row r="384" spans="72:150" ht="15.75" customHeight="1">
      <c r="BT384" s="63"/>
      <c r="BW384" s="7"/>
      <c r="CF384" s="27"/>
      <c r="CG384" s="28"/>
      <c r="CH384" s="28"/>
      <c r="CI384" s="28"/>
      <c r="CJ384" s="28"/>
      <c r="CL384" s="29"/>
      <c r="CM384" s="29"/>
      <c r="CN384" s="29"/>
      <c r="CO384" s="29"/>
      <c r="CP384" s="29"/>
      <c r="CQ384" s="29"/>
      <c r="CR384" s="30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8"/>
      <c r="EP384" s="17"/>
      <c r="EQ384" s="17"/>
      <c r="ER384" s="17"/>
      <c r="ES384" s="17"/>
      <c r="ET384" s="17"/>
    </row>
    <row r="385" spans="72:150" ht="15.75" customHeight="1">
      <c r="BT385" s="63"/>
      <c r="BW385" s="7"/>
      <c r="CF385" s="27"/>
      <c r="CG385" s="28"/>
      <c r="CH385" s="28"/>
      <c r="CI385" s="28"/>
      <c r="CJ385" s="28"/>
      <c r="CL385" s="29"/>
      <c r="CM385" s="29"/>
      <c r="CN385" s="29"/>
      <c r="CO385" s="29"/>
      <c r="CP385" s="29"/>
      <c r="CQ385" s="29"/>
      <c r="CR385" s="30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8"/>
      <c r="EP385" s="17"/>
      <c r="EQ385" s="17"/>
      <c r="ER385" s="17"/>
      <c r="ES385" s="17"/>
      <c r="ET385" s="17"/>
    </row>
    <row r="386" spans="72:150" ht="15.75" customHeight="1">
      <c r="BT386" s="63"/>
      <c r="BW386" s="7"/>
      <c r="CF386" s="27"/>
      <c r="CG386" s="28"/>
      <c r="CH386" s="28"/>
      <c r="CI386" s="28"/>
      <c r="CJ386" s="28"/>
      <c r="CL386" s="29"/>
      <c r="CM386" s="29"/>
      <c r="CN386" s="29"/>
      <c r="CO386" s="29"/>
      <c r="CP386" s="29"/>
      <c r="CQ386" s="29"/>
      <c r="CR386" s="30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8"/>
      <c r="EP386" s="17"/>
      <c r="EQ386" s="17"/>
      <c r="ER386" s="17"/>
      <c r="ES386" s="17"/>
      <c r="ET386" s="17"/>
    </row>
    <row r="387" spans="72:150" ht="15.75" customHeight="1">
      <c r="BT387" s="63"/>
      <c r="BW387" s="7"/>
      <c r="CF387" s="27"/>
      <c r="CG387" s="28"/>
      <c r="CH387" s="28"/>
      <c r="CI387" s="28"/>
      <c r="CJ387" s="28"/>
      <c r="CL387" s="29"/>
      <c r="CM387" s="29"/>
      <c r="CN387" s="29"/>
      <c r="CO387" s="29"/>
      <c r="CP387" s="29"/>
      <c r="CQ387" s="29"/>
      <c r="CR387" s="30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8"/>
      <c r="EP387" s="17"/>
      <c r="EQ387" s="17"/>
      <c r="ER387" s="17"/>
      <c r="ES387" s="17"/>
      <c r="ET387" s="17"/>
    </row>
    <row r="388" spans="72:150" ht="15.75" customHeight="1">
      <c r="BT388" s="63"/>
      <c r="BW388" s="7"/>
      <c r="CF388" s="27"/>
      <c r="CG388" s="28"/>
      <c r="CH388" s="28"/>
      <c r="CI388" s="28"/>
      <c r="CJ388" s="28"/>
      <c r="CL388" s="29"/>
      <c r="CM388" s="29"/>
      <c r="CN388" s="29"/>
      <c r="CO388" s="29"/>
      <c r="CP388" s="29"/>
      <c r="CQ388" s="29"/>
      <c r="CR388" s="30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8"/>
      <c r="EP388" s="17"/>
      <c r="EQ388" s="17"/>
      <c r="ER388" s="17"/>
      <c r="ES388" s="17"/>
      <c r="ET388" s="17"/>
    </row>
    <row r="389" spans="72:150" ht="15.75" customHeight="1">
      <c r="BT389" s="63"/>
      <c r="BW389" s="7"/>
      <c r="CF389" s="27"/>
      <c r="CG389" s="28"/>
      <c r="CH389" s="28"/>
      <c r="CI389" s="28"/>
      <c r="CJ389" s="28"/>
      <c r="CL389" s="29"/>
      <c r="CM389" s="29"/>
      <c r="CN389" s="29"/>
      <c r="CO389" s="29"/>
      <c r="CP389" s="29"/>
      <c r="CQ389" s="29"/>
      <c r="CR389" s="30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8"/>
      <c r="EP389" s="17"/>
      <c r="EQ389" s="17"/>
      <c r="ER389" s="17"/>
      <c r="ES389" s="17"/>
      <c r="ET389" s="17"/>
    </row>
    <row r="390" spans="72:150" ht="15.75" customHeight="1">
      <c r="BT390" s="63"/>
      <c r="BW390" s="7"/>
      <c r="CF390" s="27"/>
      <c r="CG390" s="28"/>
      <c r="CH390" s="28"/>
      <c r="CI390" s="28"/>
      <c r="CJ390" s="28"/>
      <c r="CL390" s="29"/>
      <c r="CM390" s="29"/>
      <c r="CN390" s="29"/>
      <c r="CO390" s="29"/>
      <c r="CP390" s="29"/>
      <c r="CQ390" s="29"/>
      <c r="CR390" s="30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8"/>
      <c r="EP390" s="17"/>
      <c r="EQ390" s="17"/>
      <c r="ER390" s="17"/>
      <c r="ES390" s="17"/>
      <c r="ET390" s="17"/>
    </row>
    <row r="391" spans="72:150" ht="15.75" customHeight="1">
      <c r="BT391" s="63"/>
      <c r="BW391" s="7"/>
      <c r="CF391" s="27"/>
      <c r="CG391" s="28"/>
      <c r="CH391" s="28"/>
      <c r="CI391" s="28"/>
      <c r="CJ391" s="28"/>
      <c r="CL391" s="29"/>
      <c r="CM391" s="29"/>
      <c r="CN391" s="29"/>
      <c r="CO391" s="29"/>
      <c r="CP391" s="29"/>
      <c r="CQ391" s="29"/>
      <c r="CR391" s="30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8"/>
      <c r="EP391" s="17"/>
      <c r="EQ391" s="17"/>
      <c r="ER391" s="17"/>
      <c r="ES391" s="17"/>
      <c r="ET391" s="17"/>
    </row>
    <row r="392" spans="72:150" ht="15.75" customHeight="1">
      <c r="BT392" s="63"/>
      <c r="BW392" s="7"/>
      <c r="CF392" s="27"/>
      <c r="CG392" s="28"/>
      <c r="CH392" s="28"/>
      <c r="CI392" s="28"/>
      <c r="CJ392" s="28"/>
      <c r="CL392" s="29"/>
      <c r="CM392" s="29"/>
      <c r="CN392" s="29"/>
      <c r="CO392" s="29"/>
      <c r="CP392" s="29"/>
      <c r="CQ392" s="29"/>
      <c r="CR392" s="30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8"/>
      <c r="EP392" s="17"/>
      <c r="EQ392" s="17"/>
      <c r="ER392" s="17"/>
      <c r="ES392" s="17"/>
      <c r="ET392" s="17"/>
    </row>
    <row r="393" spans="72:150" ht="15.75" customHeight="1">
      <c r="BT393" s="63"/>
      <c r="BW393" s="7"/>
      <c r="CF393" s="27"/>
      <c r="CG393" s="28"/>
      <c r="CH393" s="28"/>
      <c r="CI393" s="28"/>
      <c r="CJ393" s="28"/>
      <c r="CL393" s="29"/>
      <c r="CM393" s="29"/>
      <c r="CN393" s="29"/>
      <c r="CO393" s="29"/>
      <c r="CP393" s="29"/>
      <c r="CQ393" s="29"/>
      <c r="CR393" s="30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8"/>
      <c r="EP393" s="17"/>
      <c r="EQ393" s="17"/>
      <c r="ER393" s="17"/>
      <c r="ES393" s="17"/>
      <c r="ET393" s="17"/>
    </row>
    <row r="394" spans="72:150" ht="15.75" customHeight="1">
      <c r="BT394" s="63"/>
      <c r="BW394" s="7"/>
      <c r="CF394" s="27"/>
      <c r="CG394" s="28"/>
      <c r="CH394" s="28"/>
      <c r="CI394" s="28"/>
      <c r="CJ394" s="28"/>
      <c r="CL394" s="29"/>
      <c r="CM394" s="29"/>
      <c r="CN394" s="29"/>
      <c r="CO394" s="29"/>
      <c r="CP394" s="29"/>
      <c r="CQ394" s="29"/>
      <c r="CR394" s="30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8"/>
      <c r="EP394" s="17"/>
      <c r="EQ394" s="17"/>
      <c r="ER394" s="17"/>
      <c r="ES394" s="17"/>
      <c r="ET394" s="17"/>
    </row>
    <row r="395" spans="72:150" ht="15.75" customHeight="1">
      <c r="BT395" s="63"/>
      <c r="BW395" s="7"/>
      <c r="CF395" s="27"/>
      <c r="CG395" s="28"/>
      <c r="CH395" s="28"/>
      <c r="CI395" s="28"/>
      <c r="CJ395" s="28"/>
      <c r="CL395" s="29"/>
      <c r="CM395" s="29"/>
      <c r="CN395" s="29"/>
      <c r="CO395" s="29"/>
      <c r="CP395" s="29"/>
      <c r="CQ395" s="29"/>
      <c r="CR395" s="30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8"/>
      <c r="EP395" s="17"/>
      <c r="EQ395" s="17"/>
      <c r="ER395" s="17"/>
      <c r="ES395" s="17"/>
      <c r="ET395" s="17"/>
    </row>
    <row r="396" spans="72:150" ht="15.75" customHeight="1">
      <c r="BT396" s="63"/>
      <c r="BW396" s="7"/>
      <c r="CF396" s="27"/>
      <c r="CG396" s="28"/>
      <c r="CH396" s="28"/>
      <c r="CI396" s="28"/>
      <c r="CJ396" s="28"/>
      <c r="CL396" s="29"/>
      <c r="CM396" s="29"/>
      <c r="CN396" s="29"/>
      <c r="CO396" s="29"/>
      <c r="CP396" s="29"/>
      <c r="CQ396" s="29"/>
      <c r="CR396" s="30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8"/>
      <c r="EP396" s="17"/>
      <c r="EQ396" s="17"/>
      <c r="ER396" s="17"/>
      <c r="ES396" s="17"/>
      <c r="ET396" s="17"/>
    </row>
    <row r="397" spans="72:150" ht="15.75" customHeight="1">
      <c r="BT397" s="63"/>
      <c r="BW397" s="7"/>
      <c r="CF397" s="27"/>
      <c r="CG397" s="28"/>
      <c r="CH397" s="28"/>
      <c r="CI397" s="28"/>
      <c r="CJ397" s="28"/>
      <c r="CL397" s="29"/>
      <c r="CM397" s="29"/>
      <c r="CN397" s="29"/>
      <c r="CO397" s="29"/>
      <c r="CP397" s="29"/>
      <c r="CQ397" s="29"/>
      <c r="CR397" s="30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8"/>
      <c r="EP397" s="17"/>
      <c r="EQ397" s="17"/>
      <c r="ER397" s="17"/>
      <c r="ES397" s="17"/>
      <c r="ET397" s="17"/>
    </row>
    <row r="398" spans="72:150" ht="15.75" customHeight="1">
      <c r="BT398" s="63"/>
      <c r="BW398" s="7"/>
      <c r="CF398" s="27"/>
      <c r="CG398" s="28"/>
      <c r="CH398" s="28"/>
      <c r="CI398" s="28"/>
      <c r="CJ398" s="28"/>
      <c r="CL398" s="29"/>
      <c r="CM398" s="29"/>
      <c r="CN398" s="29"/>
      <c r="CO398" s="29"/>
      <c r="CP398" s="29"/>
      <c r="CQ398" s="29"/>
      <c r="CR398" s="30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8"/>
      <c r="EP398" s="17"/>
      <c r="EQ398" s="17"/>
      <c r="ER398" s="17"/>
      <c r="ES398" s="17"/>
      <c r="ET398" s="17"/>
    </row>
    <row r="399" spans="72:150" ht="15.75" customHeight="1">
      <c r="BT399" s="63"/>
      <c r="BW399" s="7"/>
      <c r="CF399" s="27"/>
      <c r="CG399" s="28"/>
      <c r="CH399" s="28"/>
      <c r="CI399" s="28"/>
      <c r="CJ399" s="28"/>
      <c r="CL399" s="29"/>
      <c r="CM399" s="29"/>
      <c r="CN399" s="29"/>
      <c r="CO399" s="29"/>
      <c r="CP399" s="29"/>
      <c r="CQ399" s="29"/>
      <c r="CR399" s="30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8"/>
      <c r="EP399" s="17"/>
      <c r="EQ399" s="17"/>
      <c r="ER399" s="17"/>
      <c r="ES399" s="17"/>
      <c r="ET399" s="17"/>
    </row>
    <row r="400" spans="72:150" ht="15.75" customHeight="1">
      <c r="BT400" s="63"/>
      <c r="BW400" s="7"/>
      <c r="CF400" s="27"/>
      <c r="CG400" s="28"/>
      <c r="CH400" s="28"/>
      <c r="CI400" s="28"/>
      <c r="CJ400" s="28"/>
      <c r="CL400" s="29"/>
      <c r="CM400" s="29"/>
      <c r="CN400" s="29"/>
      <c r="CO400" s="29"/>
      <c r="CP400" s="29"/>
      <c r="CQ400" s="29"/>
      <c r="CR400" s="30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8"/>
      <c r="EP400" s="17"/>
      <c r="EQ400" s="17"/>
      <c r="ER400" s="17"/>
      <c r="ES400" s="17"/>
      <c r="ET400" s="17"/>
    </row>
    <row r="401" spans="72:150" ht="15.75" customHeight="1">
      <c r="BT401" s="63"/>
      <c r="BW401" s="7"/>
      <c r="CF401" s="27"/>
      <c r="CG401" s="28"/>
      <c r="CH401" s="28"/>
      <c r="CI401" s="28"/>
      <c r="CJ401" s="28"/>
      <c r="CL401" s="29"/>
      <c r="CM401" s="29"/>
      <c r="CN401" s="29"/>
      <c r="CO401" s="29"/>
      <c r="CP401" s="29"/>
      <c r="CQ401" s="29"/>
      <c r="CR401" s="30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8"/>
      <c r="EP401" s="17"/>
      <c r="EQ401" s="17"/>
      <c r="ER401" s="17"/>
      <c r="ES401" s="17"/>
      <c r="ET401" s="17"/>
    </row>
    <row r="402" spans="72:150" ht="15.75" customHeight="1">
      <c r="BT402" s="63"/>
      <c r="BW402" s="7"/>
      <c r="CF402" s="27"/>
      <c r="CG402" s="28"/>
      <c r="CH402" s="28"/>
      <c r="CI402" s="28"/>
      <c r="CJ402" s="28"/>
      <c r="CL402" s="29"/>
      <c r="CM402" s="29"/>
      <c r="CN402" s="29"/>
      <c r="CO402" s="29"/>
      <c r="CP402" s="29"/>
      <c r="CQ402" s="29"/>
      <c r="CR402" s="30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8"/>
      <c r="EP402" s="17"/>
      <c r="EQ402" s="17"/>
      <c r="ER402" s="17"/>
      <c r="ES402" s="17"/>
      <c r="ET402" s="17"/>
    </row>
    <row r="403" spans="72:150" ht="15.75" customHeight="1">
      <c r="BT403" s="63"/>
      <c r="BW403" s="7"/>
      <c r="CF403" s="27"/>
      <c r="CG403" s="28"/>
      <c r="CH403" s="28"/>
      <c r="CI403" s="28"/>
      <c r="CJ403" s="28"/>
      <c r="CL403" s="29"/>
      <c r="CM403" s="29"/>
      <c r="CN403" s="29"/>
      <c r="CO403" s="29"/>
      <c r="CP403" s="29"/>
      <c r="CQ403" s="29"/>
      <c r="CR403" s="30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8"/>
      <c r="EP403" s="17"/>
      <c r="EQ403" s="17"/>
      <c r="ER403" s="17"/>
      <c r="ES403" s="17"/>
      <c r="ET403" s="17"/>
    </row>
    <row r="404" spans="72:150" ht="15.75" customHeight="1">
      <c r="BT404" s="63"/>
      <c r="BW404" s="7"/>
      <c r="CF404" s="27"/>
      <c r="CG404" s="28"/>
      <c r="CH404" s="28"/>
      <c r="CI404" s="28"/>
      <c r="CJ404" s="28"/>
      <c r="CL404" s="29"/>
      <c r="CM404" s="29"/>
      <c r="CN404" s="29"/>
      <c r="CO404" s="29"/>
      <c r="CP404" s="29"/>
      <c r="CQ404" s="29"/>
      <c r="CR404" s="30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8"/>
      <c r="EP404" s="17"/>
      <c r="EQ404" s="17"/>
      <c r="ER404" s="17"/>
      <c r="ES404" s="17"/>
      <c r="ET404" s="17"/>
    </row>
    <row r="405" spans="72:150" ht="15.75" customHeight="1">
      <c r="BT405" s="63"/>
      <c r="BW405" s="7"/>
      <c r="CF405" s="27"/>
      <c r="CG405" s="28"/>
      <c r="CH405" s="28"/>
      <c r="CI405" s="28"/>
      <c r="CJ405" s="28"/>
      <c r="CL405" s="29"/>
      <c r="CM405" s="29"/>
      <c r="CN405" s="29"/>
      <c r="CO405" s="29"/>
      <c r="CP405" s="29"/>
      <c r="CQ405" s="29"/>
      <c r="CR405" s="30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8"/>
      <c r="EP405" s="17"/>
      <c r="EQ405" s="17"/>
      <c r="ER405" s="17"/>
      <c r="ES405" s="17"/>
      <c r="ET405" s="17"/>
    </row>
    <row r="406" spans="72:150" ht="15.75" customHeight="1">
      <c r="BT406" s="63"/>
      <c r="BW406" s="7"/>
      <c r="CF406" s="27"/>
      <c r="CG406" s="28"/>
      <c r="CH406" s="28"/>
      <c r="CI406" s="28"/>
      <c r="CJ406" s="28"/>
      <c r="CL406" s="29"/>
      <c r="CM406" s="29"/>
      <c r="CN406" s="29"/>
      <c r="CO406" s="29"/>
      <c r="CP406" s="29"/>
      <c r="CQ406" s="29"/>
      <c r="CR406" s="30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8"/>
      <c r="EP406" s="17"/>
      <c r="EQ406" s="17"/>
      <c r="ER406" s="17"/>
      <c r="ES406" s="17"/>
      <c r="ET406" s="17"/>
    </row>
    <row r="407" spans="72:150" ht="15.75" customHeight="1">
      <c r="BT407" s="63"/>
      <c r="BW407" s="7"/>
      <c r="CF407" s="27"/>
      <c r="CG407" s="28"/>
      <c r="CH407" s="28"/>
      <c r="CI407" s="28"/>
      <c r="CJ407" s="28"/>
      <c r="CL407" s="29"/>
      <c r="CM407" s="29"/>
      <c r="CN407" s="29"/>
      <c r="CO407" s="29"/>
      <c r="CP407" s="29"/>
      <c r="CQ407" s="29"/>
      <c r="CR407" s="30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8"/>
      <c r="EP407" s="17"/>
      <c r="EQ407" s="17"/>
      <c r="ER407" s="17"/>
      <c r="ES407" s="17"/>
      <c r="ET407" s="17"/>
    </row>
    <row r="408" spans="72:150" ht="15.75" customHeight="1">
      <c r="BT408" s="63"/>
      <c r="BW408" s="7"/>
      <c r="CF408" s="27"/>
      <c r="CG408" s="28"/>
      <c r="CH408" s="28"/>
      <c r="CI408" s="28"/>
      <c r="CJ408" s="28"/>
      <c r="CL408" s="29"/>
      <c r="CM408" s="29"/>
      <c r="CN408" s="29"/>
      <c r="CO408" s="29"/>
      <c r="CP408" s="29"/>
      <c r="CQ408" s="29"/>
      <c r="CR408" s="30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8"/>
      <c r="EP408" s="17"/>
      <c r="EQ408" s="17"/>
      <c r="ER408" s="17"/>
      <c r="ES408" s="17"/>
      <c r="ET408" s="17"/>
    </row>
    <row r="409" spans="72:150" ht="15.75" customHeight="1">
      <c r="BT409" s="63"/>
      <c r="BW409" s="7"/>
      <c r="CF409" s="27"/>
      <c r="CG409" s="28"/>
      <c r="CH409" s="28"/>
      <c r="CI409" s="28"/>
      <c r="CJ409" s="28"/>
      <c r="CL409" s="29"/>
      <c r="CM409" s="29"/>
      <c r="CN409" s="29"/>
      <c r="CO409" s="29"/>
      <c r="CP409" s="29"/>
      <c r="CQ409" s="29"/>
      <c r="CR409" s="30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8"/>
      <c r="EP409" s="17"/>
      <c r="EQ409" s="17"/>
      <c r="ER409" s="17"/>
      <c r="ES409" s="17"/>
      <c r="ET409" s="17"/>
    </row>
    <row r="410" spans="72:150" ht="15.75" customHeight="1">
      <c r="BT410" s="63"/>
      <c r="BW410" s="7"/>
      <c r="CF410" s="27"/>
      <c r="CG410" s="28"/>
      <c r="CH410" s="28"/>
      <c r="CI410" s="28"/>
      <c r="CJ410" s="28"/>
      <c r="CL410" s="29"/>
      <c r="CM410" s="29"/>
      <c r="CN410" s="29"/>
      <c r="CO410" s="29"/>
      <c r="CP410" s="29"/>
      <c r="CQ410" s="29"/>
      <c r="CR410" s="30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8"/>
      <c r="EP410" s="17"/>
      <c r="EQ410" s="17"/>
      <c r="ER410" s="17"/>
      <c r="ES410" s="17"/>
      <c r="ET410" s="17"/>
    </row>
    <row r="411" spans="72:150" ht="15.75" customHeight="1">
      <c r="BT411" s="63"/>
      <c r="BW411" s="7"/>
      <c r="CF411" s="27"/>
      <c r="CG411" s="28"/>
      <c r="CH411" s="28"/>
      <c r="CI411" s="28"/>
      <c r="CJ411" s="28"/>
      <c r="CL411" s="29"/>
      <c r="CM411" s="29"/>
      <c r="CN411" s="29"/>
      <c r="CO411" s="29"/>
      <c r="CP411" s="29"/>
      <c r="CQ411" s="29"/>
      <c r="CR411" s="30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8"/>
      <c r="EP411" s="17"/>
      <c r="EQ411" s="17"/>
      <c r="ER411" s="17"/>
      <c r="ES411" s="17"/>
      <c r="ET411" s="17"/>
    </row>
    <row r="412" spans="72:150" ht="15.75" customHeight="1">
      <c r="BT412" s="63"/>
      <c r="BW412" s="7"/>
      <c r="CF412" s="27"/>
      <c r="CG412" s="28"/>
      <c r="CH412" s="28"/>
      <c r="CI412" s="28"/>
      <c r="CJ412" s="28"/>
      <c r="CL412" s="29"/>
      <c r="CM412" s="29"/>
      <c r="CN412" s="29"/>
      <c r="CO412" s="29"/>
      <c r="CP412" s="29"/>
      <c r="CQ412" s="29"/>
      <c r="CR412" s="30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8"/>
      <c r="EP412" s="17"/>
      <c r="EQ412" s="17"/>
      <c r="ER412" s="17"/>
      <c r="ES412" s="17"/>
      <c r="ET412" s="17"/>
    </row>
    <row r="413" spans="72:150" ht="15.75" customHeight="1">
      <c r="BT413" s="63"/>
      <c r="BW413" s="7"/>
      <c r="CF413" s="27"/>
      <c r="CG413" s="28"/>
      <c r="CH413" s="28"/>
      <c r="CI413" s="28"/>
      <c r="CJ413" s="28"/>
      <c r="CL413" s="29"/>
      <c r="CM413" s="29"/>
      <c r="CN413" s="29"/>
      <c r="CO413" s="29"/>
      <c r="CP413" s="29"/>
      <c r="CQ413" s="29"/>
      <c r="CR413" s="30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8"/>
      <c r="EP413" s="17"/>
      <c r="EQ413" s="17"/>
      <c r="ER413" s="17"/>
      <c r="ES413" s="17"/>
      <c r="ET413" s="17"/>
    </row>
    <row r="414" spans="72:150" ht="15.75" customHeight="1">
      <c r="BT414" s="63"/>
      <c r="BW414" s="7"/>
      <c r="CF414" s="27"/>
      <c r="CG414" s="28"/>
      <c r="CH414" s="28"/>
      <c r="CI414" s="28"/>
      <c r="CJ414" s="28"/>
      <c r="CL414" s="29"/>
      <c r="CM414" s="29"/>
      <c r="CN414" s="29"/>
      <c r="CO414" s="29"/>
      <c r="CP414" s="29"/>
      <c r="CQ414" s="29"/>
      <c r="CR414" s="30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8"/>
      <c r="EP414" s="17"/>
      <c r="EQ414" s="17"/>
      <c r="ER414" s="17"/>
      <c r="ES414" s="17"/>
      <c r="ET414" s="17"/>
    </row>
    <row r="415" spans="72:150" ht="15.75" customHeight="1">
      <c r="BT415" s="63"/>
      <c r="BW415" s="7"/>
      <c r="CF415" s="27"/>
      <c r="CG415" s="28"/>
      <c r="CH415" s="28"/>
      <c r="CI415" s="28"/>
      <c r="CJ415" s="28"/>
      <c r="CL415" s="29"/>
      <c r="CM415" s="29"/>
      <c r="CN415" s="29"/>
      <c r="CO415" s="29"/>
      <c r="CP415" s="29"/>
      <c r="CQ415" s="29"/>
      <c r="CR415" s="30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8"/>
      <c r="EP415" s="17"/>
      <c r="EQ415" s="17"/>
      <c r="ER415" s="17"/>
      <c r="ES415" s="17"/>
      <c r="ET415" s="17"/>
    </row>
    <row r="416" spans="72:150" ht="15.75" customHeight="1">
      <c r="BT416" s="63"/>
      <c r="BW416" s="7"/>
      <c r="CF416" s="27"/>
      <c r="CG416" s="28"/>
      <c r="CH416" s="28"/>
      <c r="CI416" s="28"/>
      <c r="CJ416" s="28"/>
      <c r="CL416" s="29"/>
      <c r="CM416" s="29"/>
      <c r="CN416" s="29"/>
      <c r="CO416" s="29"/>
      <c r="CP416" s="29"/>
      <c r="CQ416" s="29"/>
      <c r="CR416" s="30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8"/>
      <c r="EP416" s="17"/>
      <c r="EQ416" s="17"/>
      <c r="ER416" s="17"/>
      <c r="ES416" s="17"/>
      <c r="ET416" s="17"/>
    </row>
    <row r="417" spans="72:150" ht="15.75" customHeight="1">
      <c r="BT417" s="63"/>
      <c r="BW417" s="7"/>
      <c r="CF417" s="27"/>
      <c r="CG417" s="28"/>
      <c r="CH417" s="28"/>
      <c r="CI417" s="28"/>
      <c r="CJ417" s="28"/>
      <c r="CL417" s="29"/>
      <c r="CM417" s="29"/>
      <c r="CN417" s="29"/>
      <c r="CO417" s="29"/>
      <c r="CP417" s="29"/>
      <c r="CQ417" s="29"/>
      <c r="CR417" s="30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8"/>
      <c r="EP417" s="17"/>
      <c r="EQ417" s="17"/>
      <c r="ER417" s="17"/>
      <c r="ES417" s="17"/>
      <c r="ET417" s="17"/>
    </row>
    <row r="418" spans="72:150" ht="15.75" customHeight="1">
      <c r="BT418" s="63"/>
      <c r="BW418" s="7"/>
      <c r="CF418" s="27"/>
      <c r="CG418" s="28"/>
      <c r="CH418" s="28"/>
      <c r="CI418" s="28"/>
      <c r="CJ418" s="28"/>
      <c r="CL418" s="29"/>
      <c r="CM418" s="29"/>
      <c r="CN418" s="29"/>
      <c r="CO418" s="29"/>
      <c r="CP418" s="29"/>
      <c r="CQ418" s="29"/>
      <c r="CR418" s="30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8"/>
      <c r="EP418" s="17"/>
      <c r="EQ418" s="17"/>
      <c r="ER418" s="17"/>
      <c r="ES418" s="17"/>
      <c r="ET418" s="17"/>
    </row>
    <row r="419" spans="72:150" ht="15.75" customHeight="1">
      <c r="BT419" s="63"/>
      <c r="BW419" s="7"/>
      <c r="CF419" s="27"/>
      <c r="CG419" s="28"/>
      <c r="CH419" s="28"/>
      <c r="CI419" s="28"/>
      <c r="CJ419" s="28"/>
      <c r="CL419" s="29"/>
      <c r="CM419" s="29"/>
      <c r="CN419" s="29"/>
      <c r="CO419" s="29"/>
      <c r="CP419" s="29"/>
      <c r="CQ419" s="29"/>
      <c r="CR419" s="30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8"/>
      <c r="EP419" s="17"/>
      <c r="EQ419" s="17"/>
      <c r="ER419" s="17"/>
      <c r="ES419" s="17"/>
      <c r="ET419" s="17"/>
    </row>
    <row r="420" spans="72:150" ht="15.75" customHeight="1">
      <c r="BT420" s="63"/>
      <c r="BW420" s="7"/>
      <c r="CF420" s="27"/>
      <c r="CG420" s="28"/>
      <c r="CH420" s="28"/>
      <c r="CI420" s="28"/>
      <c r="CJ420" s="28"/>
      <c r="CL420" s="29"/>
      <c r="CM420" s="29"/>
      <c r="CN420" s="29"/>
      <c r="CO420" s="29"/>
      <c r="CP420" s="29"/>
      <c r="CQ420" s="29"/>
      <c r="CR420" s="30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8"/>
      <c r="EP420" s="17"/>
      <c r="EQ420" s="17"/>
      <c r="ER420" s="17"/>
      <c r="ES420" s="17"/>
      <c r="ET420" s="17"/>
    </row>
  </sheetData>
  <conditionalFormatting sqref="CG3:CG212">
    <cfRule type="cellIs" dxfId="10" priority="1" operator="greaterThan">
      <formula>$CL$1</formula>
    </cfRule>
  </conditionalFormatting>
  <conditionalFormatting sqref="CH3:CH212">
    <cfRule type="cellIs" dxfId="9" priority="2" operator="greaterThan">
      <formula>$CM$1</formula>
    </cfRule>
  </conditionalFormatting>
  <conditionalFormatting sqref="CI3:CI212">
    <cfRule type="cellIs" dxfId="8" priority="3" operator="greaterThan">
      <formula>$CN$1</formula>
    </cfRule>
  </conditionalFormatting>
  <conditionalFormatting sqref="CJ3:CJ212">
    <cfRule type="cellIs" dxfId="7" priority="4" operator="greaterThan">
      <formula>$CO$1</formula>
    </cfRule>
  </conditionalFormatting>
  <conditionalFormatting sqref="CK3:CK212">
    <cfRule type="cellIs" dxfId="6" priority="5" operator="greaterThanOrEqual">
      <formula>$CP$1</formula>
    </cfRule>
  </conditionalFormatting>
  <conditionalFormatting sqref="ET1:ET420">
    <cfRule type="cellIs" dxfId="5" priority="6" operator="greaterThan">
      <formula>$ET$1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filterMode="1">
    <outlinePr summaryBelow="0" summaryRight="0"/>
  </sheetPr>
  <dimension ref="A1:R100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baseColWidth="10" defaultColWidth="14.453125" defaultRowHeight="15" customHeight="1"/>
  <cols>
    <col min="1" max="1" width="12.26953125" customWidth="1"/>
    <col min="2" max="2" width="42.54296875" customWidth="1"/>
    <col min="3" max="3" width="13.26953125" customWidth="1"/>
  </cols>
  <sheetData>
    <row r="1" spans="1:18" ht="14.5">
      <c r="B1" s="64"/>
      <c r="C1" s="64"/>
      <c r="D1" s="64" t="s">
        <v>1598</v>
      </c>
      <c r="E1" s="300">
        <v>2022</v>
      </c>
      <c r="F1" s="91">
        <v>2023</v>
      </c>
      <c r="G1" s="44"/>
      <c r="H1" s="44"/>
      <c r="O1" s="301" t="s">
        <v>1599</v>
      </c>
      <c r="P1" s="302">
        <v>0.9</v>
      </c>
      <c r="Q1" s="95"/>
    </row>
    <row r="2" spans="1:18" ht="14.5">
      <c r="A2" s="64"/>
      <c r="B2" s="64"/>
      <c r="C2" s="44"/>
      <c r="D2" s="91" t="s">
        <v>1600</v>
      </c>
      <c r="E2" s="303" t="s">
        <v>1601</v>
      </c>
      <c r="F2" s="304"/>
      <c r="G2" s="303"/>
      <c r="H2" s="305" t="s">
        <v>1602</v>
      </c>
      <c r="I2" s="306"/>
      <c r="J2" s="306"/>
      <c r="K2" s="306"/>
      <c r="L2" s="306"/>
      <c r="M2" s="306"/>
      <c r="N2" s="306"/>
      <c r="O2" s="307"/>
      <c r="Q2" s="95"/>
    </row>
    <row r="3" spans="1:18" ht="14.5">
      <c r="A3" s="61" t="s">
        <v>0</v>
      </c>
      <c r="B3" s="3" t="s">
        <v>1</v>
      </c>
      <c r="C3" s="308" t="s">
        <v>1603</v>
      </c>
      <c r="D3" s="61" t="s">
        <v>0</v>
      </c>
      <c r="E3" s="44" t="s">
        <v>199</v>
      </c>
      <c r="F3" s="44" t="s">
        <v>201</v>
      </c>
      <c r="G3" s="91" t="s">
        <v>205</v>
      </c>
      <c r="H3" s="44" t="s">
        <v>170</v>
      </c>
      <c r="I3" s="44" t="s">
        <v>171</v>
      </c>
      <c r="J3" s="44" t="s">
        <v>195</v>
      </c>
      <c r="K3" s="44" t="s">
        <v>196</v>
      </c>
      <c r="L3" s="44" t="s">
        <v>197</v>
      </c>
      <c r="M3" s="44" t="s">
        <v>200</v>
      </c>
      <c r="N3" s="44" t="s">
        <v>203</v>
      </c>
      <c r="O3" s="309" t="s">
        <v>1604</v>
      </c>
      <c r="P3" s="310" t="s">
        <v>1605</v>
      </c>
      <c r="Q3" s="95"/>
    </row>
    <row r="4" spans="1:18" ht="14.5" hidden="1">
      <c r="A4" s="7" t="s">
        <v>210</v>
      </c>
      <c r="B4" s="7" t="s">
        <v>211</v>
      </c>
      <c r="C4" s="44"/>
      <c r="D4" s="44" t="str">
        <f t="shared" ref="D4:D233" si="0">A4</f>
        <v>C000029</v>
      </c>
      <c r="E4" s="311" t="str">
        <f>IF(C4=1,('BD Comp'!X4+'BD Comp'!Y4)/2,"")</f>
        <v/>
      </c>
      <c r="F4" s="311" t="str">
        <f>IF(C4=1,('BD Comp'!AD4+'BD Comp'!AE4)/2,"")</f>
        <v/>
      </c>
      <c r="G4" s="311" t="str">
        <f>IF(C4=1,('BD Comp'!AP4+'BD Comp'!AQ4)/2,"")</f>
        <v/>
      </c>
      <c r="H4" s="311" t="str">
        <f>IF(C4=1,('BD Comp'!F4+'BD Comp'!G4)/2,"")</f>
        <v/>
      </c>
      <c r="I4" s="311" t="str">
        <f>IF(C4=1,('BD Comp'!I4+'BD Comp'!J4)/2,"")</f>
        <v/>
      </c>
      <c r="J4" s="311" t="str">
        <f>IF(C4=1,('BD Comp'!L4+'BD Comp'!M4)/2,"")</f>
        <v/>
      </c>
      <c r="K4" s="311" t="str">
        <f>IF(C4=1,('BD Comp'!O4+'BD Comp'!P4)/2,"")</f>
        <v/>
      </c>
      <c r="L4" s="311" t="str">
        <f>IF(C4=1,('BD Comp'!R4+'BD Comp'!S4)/2,"")</f>
        <v/>
      </c>
      <c r="M4" s="311" t="str">
        <f>IF(C4=1,('BD Comp'!AA4+'BD Comp'!AB4)/2,"")</f>
        <v/>
      </c>
      <c r="N4" s="311" t="str">
        <f>IF(C4=1,('BD Comp'!AJ4+'BD Comp'!AK4)/2,"")</f>
        <v/>
      </c>
      <c r="O4" s="312"/>
      <c r="P4" s="311" t="str">
        <f t="shared" ref="P4:P230" si="1">IF(AND(O4&gt;=$P$1,O4&lt;&gt;""),1,"")</f>
        <v/>
      </c>
      <c r="Q4" s="95"/>
    </row>
    <row r="5" spans="1:18" ht="14.5" hidden="1">
      <c r="A5" s="7" t="s">
        <v>213</v>
      </c>
      <c r="B5" s="7" t="s">
        <v>214</v>
      </c>
      <c r="C5" s="44"/>
      <c r="D5" s="44" t="str">
        <f t="shared" si="0"/>
        <v>C000030</v>
      </c>
      <c r="E5" s="311" t="str">
        <f>IF(C5=1,('BD Comp'!X5+'BD Comp'!Y5)/2,"")</f>
        <v/>
      </c>
      <c r="F5" s="311" t="str">
        <f>IF(C5=1,('BD Comp'!AD5+'BD Comp'!AE5)/2,"")</f>
        <v/>
      </c>
      <c r="G5" s="311" t="str">
        <f>IF(C5=1,('BD Comp'!AP5+'BD Comp'!AQ5)/2,"")</f>
        <v/>
      </c>
      <c r="H5" s="311" t="str">
        <f>IF(C5=1,('BD Comp'!F5+'BD Comp'!G5)/2,"")</f>
        <v/>
      </c>
      <c r="I5" s="311" t="str">
        <f>IF(C5=1,('BD Comp'!I5+'BD Comp'!J5)/2,"")</f>
        <v/>
      </c>
      <c r="J5" s="311" t="str">
        <f>IF(C5=1,('BD Comp'!L5+'BD Comp'!M5)/2,"")</f>
        <v/>
      </c>
      <c r="K5" s="311" t="str">
        <f>IF(C5=1,('BD Comp'!O5+'BD Comp'!P5)/2,"")</f>
        <v/>
      </c>
      <c r="L5" s="311" t="str">
        <f>IF(C5=1,('BD Comp'!R5+'BD Comp'!S5)/2,"")</f>
        <v/>
      </c>
      <c r="M5" s="311" t="str">
        <f>IF(C5=1,('BD Comp'!AA5+'BD Comp'!AB5)/2,"")</f>
        <v/>
      </c>
      <c r="N5" s="311" t="str">
        <f>IF(C5=1,('BD Comp'!AJ5+'BD Comp'!AK5)/2,"")</f>
        <v/>
      </c>
      <c r="O5" s="312"/>
      <c r="P5" s="311" t="str">
        <f t="shared" si="1"/>
        <v/>
      </c>
      <c r="Q5" s="95"/>
    </row>
    <row r="6" spans="1:18" ht="14.5" hidden="1">
      <c r="A6" s="7" t="s">
        <v>216</v>
      </c>
      <c r="B6" s="7" t="s">
        <v>217</v>
      </c>
      <c r="C6" s="44"/>
      <c r="D6" s="44" t="str">
        <f t="shared" si="0"/>
        <v>C000038</v>
      </c>
      <c r="E6" s="311" t="str">
        <f>IF(C6=1,('BD Comp'!X6+'BD Comp'!Y6)/2,"")</f>
        <v/>
      </c>
      <c r="F6" s="311" t="str">
        <f>IF(C6=1,('BD Comp'!AD6+'BD Comp'!AE6)/2,"")</f>
        <v/>
      </c>
      <c r="G6" s="311" t="str">
        <f>IF(C6=1,('BD Comp'!AP6+'BD Comp'!AQ6)/2,"")</f>
        <v/>
      </c>
      <c r="H6" s="311" t="str">
        <f>IF(C6=1,('BD Comp'!F6+'BD Comp'!G6)/2,"")</f>
        <v/>
      </c>
      <c r="I6" s="311" t="str">
        <f>IF(C6=1,('BD Comp'!I6+'BD Comp'!J6)/2,"")</f>
        <v/>
      </c>
      <c r="J6" s="311" t="str">
        <f>IF(C6=1,('BD Comp'!L6+'BD Comp'!M6)/2,"")</f>
        <v/>
      </c>
      <c r="K6" s="311" t="str">
        <f>IF(C6=1,('BD Comp'!O6+'BD Comp'!P6)/2,"")</f>
        <v/>
      </c>
      <c r="L6" s="311" t="str">
        <f>IF(C6=1,('BD Comp'!R6+'BD Comp'!S6)/2,"")</f>
        <v/>
      </c>
      <c r="M6" s="311" t="str">
        <f>IF(C6=1,('BD Comp'!AA6+'BD Comp'!AB6)/2,"")</f>
        <v/>
      </c>
      <c r="N6" s="311" t="str">
        <f>IF(C6=1,('BD Comp'!AJ6+'BD Comp'!AK6)/2,"")</f>
        <v/>
      </c>
      <c r="O6" s="312"/>
      <c r="P6" s="311" t="str">
        <f t="shared" si="1"/>
        <v/>
      </c>
      <c r="Q6" s="95"/>
    </row>
    <row r="7" spans="1:18" ht="14.5">
      <c r="A7" s="7" t="s">
        <v>219</v>
      </c>
      <c r="B7" s="7" t="s">
        <v>220</v>
      </c>
      <c r="C7" s="44">
        <v>1</v>
      </c>
      <c r="D7" s="44" t="str">
        <f t="shared" si="0"/>
        <v>C000041</v>
      </c>
      <c r="E7" s="311">
        <f>IF(C7=1,('BD Comp'!X7+'BD Comp'!Y7)/2,"")</f>
        <v>5244988.5</v>
      </c>
      <c r="F7" s="311">
        <f>IF(C7=1,('BD Comp'!AD7+'BD Comp'!AE7)/2,"")</f>
        <v>80095961.5</v>
      </c>
      <c r="G7" s="311">
        <f>IF(C7=1,('BD Comp'!AP7+'BD Comp'!AQ7)/2,"")</f>
        <v>5515319</v>
      </c>
      <c r="H7" s="311">
        <f>IF(C7=1,('BD Comp'!F7+'BD Comp'!G7)/2,"")</f>
        <v>39720007709.594284</v>
      </c>
      <c r="I7" s="311">
        <f>IF(C7=1,('BD Comp'!I7+'BD Comp'!J7)/2,"")</f>
        <v>1598091821.0811372</v>
      </c>
      <c r="J7" s="311">
        <f>IF(C7=1,('BD Comp'!L7+'BD Comp'!M7)/2,"")</f>
        <v>1088515569.5347965</v>
      </c>
      <c r="K7" s="311">
        <f>IF(C7=1,('BD Comp'!O7+'BD Comp'!P7)/2,"")</f>
        <v>807745216.44574332</v>
      </c>
      <c r="L7" s="311">
        <f>IF(C7=1,('BD Comp'!R7+'BD Comp'!S7)/2,"")</f>
        <v>2034311708.8770838</v>
      </c>
      <c r="M7" s="311">
        <f>IF(C7=1,('BD Comp'!AA7+'BD Comp'!AB7)/2,"")</f>
        <v>3837483</v>
      </c>
      <c r="N7" s="311">
        <f>IF(C7=1,('BD Comp'!AJ7+'BD Comp'!AK7)/2,"")</f>
        <v>516274215.801</v>
      </c>
      <c r="O7" s="312">
        <v>1</v>
      </c>
      <c r="P7" s="311">
        <f t="shared" si="1"/>
        <v>1</v>
      </c>
      <c r="Q7" s="95"/>
      <c r="R7" s="17"/>
    </row>
    <row r="8" spans="1:18" ht="14.5" hidden="1">
      <c r="A8" s="7" t="s">
        <v>222</v>
      </c>
      <c r="B8" s="7" t="s">
        <v>223</v>
      </c>
      <c r="C8" s="44"/>
      <c r="D8" s="44" t="str">
        <f t="shared" si="0"/>
        <v>C000045</v>
      </c>
      <c r="E8" s="311" t="str">
        <f>IF(C8=1,('BD Comp'!X8+'BD Comp'!Y8)/2,"")</f>
        <v/>
      </c>
      <c r="F8" s="311" t="str">
        <f>IF(C8=1,('BD Comp'!AD8+'BD Comp'!AE8)/2,"")</f>
        <v/>
      </c>
      <c r="G8" s="311" t="str">
        <f>IF(C8=1,('BD Comp'!AP8+'BD Comp'!AQ8)/2,"")</f>
        <v/>
      </c>
      <c r="H8" s="311" t="str">
        <f>IF(C8=1,('BD Comp'!F8+'BD Comp'!G8)/2,"")</f>
        <v/>
      </c>
      <c r="I8" s="311" t="str">
        <f>IF(C8=1,('BD Comp'!I8+'BD Comp'!J8)/2,"")</f>
        <v/>
      </c>
      <c r="J8" s="311" t="str">
        <f>IF(C8=1,('BD Comp'!L8+'BD Comp'!M8)/2,"")</f>
        <v/>
      </c>
      <c r="K8" s="311" t="str">
        <f>IF(C8=1,('BD Comp'!O8+'BD Comp'!P8)/2,"")</f>
        <v/>
      </c>
      <c r="L8" s="311" t="str">
        <f>IF(C8=1,('BD Comp'!R8+'BD Comp'!S8)/2,"")</f>
        <v/>
      </c>
      <c r="M8" s="311" t="str">
        <f>IF(C8=1,('BD Comp'!AA8+'BD Comp'!AB8)/2,"")</f>
        <v/>
      </c>
      <c r="N8" s="311" t="str">
        <f>IF(C8=1,('BD Comp'!AJ8+'BD Comp'!AK8)/2,"")</f>
        <v/>
      </c>
      <c r="O8" s="312"/>
      <c r="P8" s="311" t="str">
        <f t="shared" si="1"/>
        <v/>
      </c>
      <c r="Q8" s="95"/>
    </row>
    <row r="9" spans="1:18" ht="14.5">
      <c r="A9" s="7" t="s">
        <v>225</v>
      </c>
      <c r="B9" s="7" t="s">
        <v>226</v>
      </c>
      <c r="C9" s="44">
        <v>1</v>
      </c>
      <c r="D9" s="44" t="str">
        <f t="shared" si="0"/>
        <v>C000116</v>
      </c>
      <c r="E9" s="311">
        <f>IF(C9=1,('BD Comp'!X9+'BD Comp'!Y9)/2,"")</f>
        <v>826955</v>
      </c>
      <c r="F9" s="311">
        <f>IF(C9=1,('BD Comp'!AD9+'BD Comp'!AE9)/2,"")</f>
        <v>20628714.5</v>
      </c>
      <c r="G9" s="311">
        <f>IF(C9=1,('BD Comp'!AP9+'BD Comp'!AQ9)/2,"")</f>
        <v>828469.5</v>
      </c>
      <c r="H9" s="311">
        <f>IF(C9=1,('BD Comp'!F9+'BD Comp'!G9)/2,"")</f>
        <v>3534538803.7158971</v>
      </c>
      <c r="I9" s="311">
        <f>IF(C9=1,('BD Comp'!I9+'BD Comp'!J9)/2,"")</f>
        <v>189558373.69931972</v>
      </c>
      <c r="J9" s="311">
        <f>IF(C9=1,('BD Comp'!L9+'BD Comp'!M9)/2,"")</f>
        <v>68173697.842317328</v>
      </c>
      <c r="K9" s="311">
        <f>IF(C9=1,('BD Comp'!O9+'BD Comp'!P9)/2,"")</f>
        <v>97369605.894272864</v>
      </c>
      <c r="L9" s="311">
        <f>IF(C9=1,('BD Comp'!R9+'BD Comp'!S9)/2,"")</f>
        <v>124695804.3231487</v>
      </c>
      <c r="M9" s="311">
        <f>IF(C9=1,('BD Comp'!AA9+'BD Comp'!AB9)/2,"")</f>
        <v>1036518</v>
      </c>
      <c r="N9" s="311">
        <f>IF(C9=1,('BD Comp'!AJ9+'BD Comp'!AK9)/2,"")</f>
        <v>52683942.640000001</v>
      </c>
      <c r="O9" s="312">
        <v>1</v>
      </c>
      <c r="P9" s="311">
        <f t="shared" si="1"/>
        <v>1</v>
      </c>
      <c r="Q9" s="95"/>
      <c r="R9" s="17"/>
    </row>
    <row r="10" spans="1:18" ht="14.5" hidden="1">
      <c r="A10" s="7" t="s">
        <v>228</v>
      </c>
      <c r="B10" s="7" t="s">
        <v>229</v>
      </c>
      <c r="C10" s="44"/>
      <c r="D10" s="44" t="str">
        <f t="shared" si="0"/>
        <v>C000120</v>
      </c>
      <c r="E10" s="311" t="str">
        <f>IF(C10=1,('BD Comp'!X10+'BD Comp'!Y10)/2,"")</f>
        <v/>
      </c>
      <c r="F10" s="311" t="str">
        <f>IF(C10=1,('BD Comp'!AD10+'BD Comp'!AE10)/2,"")</f>
        <v/>
      </c>
      <c r="G10" s="311" t="str">
        <f>IF(C10=1,('BD Comp'!AP10+'BD Comp'!AQ10)/2,"")</f>
        <v/>
      </c>
      <c r="H10" s="311" t="str">
        <f>IF(C10=1,('BD Comp'!F10+'BD Comp'!G10)/2,"")</f>
        <v/>
      </c>
      <c r="I10" s="311" t="str">
        <f>IF(C10=1,('BD Comp'!I10+'BD Comp'!J10)/2,"")</f>
        <v/>
      </c>
      <c r="J10" s="311" t="str">
        <f>IF(C10=1,('BD Comp'!L10+'BD Comp'!M10)/2,"")</f>
        <v/>
      </c>
      <c r="K10" s="311" t="str">
        <f>IF(C10=1,('BD Comp'!O10+'BD Comp'!P10)/2,"")</f>
        <v/>
      </c>
      <c r="L10" s="311" t="str">
        <f>IF(C10=1,('BD Comp'!R10+'BD Comp'!S10)/2,"")</f>
        <v/>
      </c>
      <c r="M10" s="311" t="str">
        <f>IF(C10=1,('BD Comp'!AA10+'BD Comp'!AB10)/2,"")</f>
        <v/>
      </c>
      <c r="N10" s="311" t="str">
        <f>IF(C10=1,('BD Comp'!AJ10+'BD Comp'!AK10)/2,"")</f>
        <v/>
      </c>
      <c r="O10" s="312"/>
      <c r="P10" s="311" t="str">
        <f t="shared" si="1"/>
        <v/>
      </c>
      <c r="Q10" s="95"/>
    </row>
    <row r="11" spans="1:18" ht="14.5" hidden="1">
      <c r="A11" s="7" t="s">
        <v>231</v>
      </c>
      <c r="B11" s="7" t="s">
        <v>232</v>
      </c>
      <c r="C11" s="44"/>
      <c r="D11" s="44" t="str">
        <f t="shared" si="0"/>
        <v>C000134</v>
      </c>
      <c r="E11" s="311" t="str">
        <f>IF(C11=1,('BD Comp'!X11+'BD Comp'!Y11)/2,"")</f>
        <v/>
      </c>
      <c r="F11" s="311" t="str">
        <f>IF(C11=1,('BD Comp'!AD11+'BD Comp'!AE11)/2,"")</f>
        <v/>
      </c>
      <c r="G11" s="311" t="str">
        <f>IF(C11=1,('BD Comp'!AP11+'BD Comp'!AQ11)/2,"")</f>
        <v/>
      </c>
      <c r="H11" s="311" t="str">
        <f>IF(C11=1,('BD Comp'!F11+'BD Comp'!G11)/2,"")</f>
        <v/>
      </c>
      <c r="I11" s="311" t="str">
        <f>IF(C11=1,('BD Comp'!I11+'BD Comp'!J11)/2,"")</f>
        <v/>
      </c>
      <c r="J11" s="311" t="str">
        <f>IF(C11=1,('BD Comp'!L11+'BD Comp'!M11)/2,"")</f>
        <v/>
      </c>
      <c r="K11" s="311" t="str">
        <f>IF(C11=1,('BD Comp'!O11+'BD Comp'!P11)/2,"")</f>
        <v/>
      </c>
      <c r="L11" s="311" t="str">
        <f>IF(C11=1,('BD Comp'!R11+'BD Comp'!S11)/2,"")</f>
        <v/>
      </c>
      <c r="M11" s="311" t="str">
        <f>IF(C11=1,('BD Comp'!AA11+'BD Comp'!AB11)/2,"")</f>
        <v/>
      </c>
      <c r="N11" s="311" t="str">
        <f>IF(C11=1,('BD Comp'!AJ11+'BD Comp'!AK11)/2,"")</f>
        <v/>
      </c>
      <c r="O11" s="312"/>
      <c r="P11" s="311" t="str">
        <f t="shared" si="1"/>
        <v/>
      </c>
      <c r="Q11" s="95"/>
      <c r="R11" s="17"/>
    </row>
    <row r="12" spans="1:18" ht="14.5">
      <c r="A12" s="7" t="s">
        <v>234</v>
      </c>
      <c r="B12" s="7" t="s">
        <v>235</v>
      </c>
      <c r="C12" s="44">
        <v>1</v>
      </c>
      <c r="D12" s="44" t="str">
        <f t="shared" si="0"/>
        <v>C000135</v>
      </c>
      <c r="E12" s="311">
        <f>IF(C12=1,('BD Comp'!X12+'BD Comp'!Y12)/2,"")</f>
        <v>1703367</v>
      </c>
      <c r="F12" s="311">
        <f>IF(C12=1,('BD Comp'!AD12+'BD Comp'!AE12)/2,"")</f>
        <v>43371561</v>
      </c>
      <c r="G12" s="311">
        <f>IF(C12=1,('BD Comp'!AP12+'BD Comp'!AQ12)/2,"")</f>
        <v>1544085.5</v>
      </c>
      <c r="H12" s="311">
        <f>IF(C12=1,('BD Comp'!F12+'BD Comp'!G12)/2,"")</f>
        <v>12330295594.045765</v>
      </c>
      <c r="I12" s="311">
        <f>IF(C12=1,('BD Comp'!I12+'BD Comp'!J12)/2,"")</f>
        <v>499070484.64588791</v>
      </c>
      <c r="J12" s="311">
        <f>IF(C12=1,('BD Comp'!L12+'BD Comp'!M12)/2,"")</f>
        <v>176836859.78356761</v>
      </c>
      <c r="K12" s="311">
        <f>IF(C12=1,('BD Comp'!O12+'BD Comp'!P12)/2,"")</f>
        <v>93684929.606215388</v>
      </c>
      <c r="L12" s="311">
        <f>IF(C12=1,('BD Comp'!R12+'BD Comp'!S12)/2,"")</f>
        <v>99519070.995530337</v>
      </c>
      <c r="M12" s="311">
        <f>IF(C12=1,('BD Comp'!AA12+'BD Comp'!AB12)/2,"")</f>
        <v>1953820</v>
      </c>
      <c r="N12" s="311">
        <f>IF(C12=1,('BD Comp'!AJ12+'BD Comp'!AK12)/2,"")</f>
        <v>245088812.97000003</v>
      </c>
      <c r="O12" s="312">
        <v>1</v>
      </c>
      <c r="P12" s="311">
        <f t="shared" si="1"/>
        <v>1</v>
      </c>
      <c r="Q12" s="95"/>
      <c r="R12" s="17"/>
    </row>
    <row r="13" spans="1:18" ht="14.5">
      <c r="A13" s="7" t="s">
        <v>237</v>
      </c>
      <c r="B13" s="7" t="s">
        <v>238</v>
      </c>
      <c r="C13" s="44">
        <v>1</v>
      </c>
      <c r="D13" s="44" t="str">
        <f t="shared" si="0"/>
        <v>C000136</v>
      </c>
      <c r="E13" s="311">
        <f>IF(C13=1,('BD Comp'!X13+'BD Comp'!Y13)/2,"")</f>
        <v>1950646</v>
      </c>
      <c r="F13" s="311">
        <f>IF(C13=1,('BD Comp'!AD13+'BD Comp'!AE13)/2,"")</f>
        <v>40672079.5</v>
      </c>
      <c r="G13" s="311">
        <f>IF(C13=1,('BD Comp'!AP13+'BD Comp'!AQ13)/2,"")</f>
        <v>1977613</v>
      </c>
      <c r="H13" s="311">
        <f>IF(C13=1,('BD Comp'!F13+'BD Comp'!G13)/2,"")</f>
        <v>11888890291.508034</v>
      </c>
      <c r="I13" s="311">
        <f>IF(C13=1,('BD Comp'!I13+'BD Comp'!J13)/2,"")</f>
        <v>509421290.75847685</v>
      </c>
      <c r="J13" s="311">
        <f>IF(C13=1,('BD Comp'!L13+'BD Comp'!M13)/2,"")</f>
        <v>160036812.72639054</v>
      </c>
      <c r="K13" s="311">
        <f>IF(C13=1,('BD Comp'!O13+'BD Comp'!P13)/2,"")</f>
        <v>248918676.49338883</v>
      </c>
      <c r="L13" s="311">
        <f>IF(C13=1,('BD Comp'!R13+'BD Comp'!S13)/2,"")</f>
        <v>306125021.26171023</v>
      </c>
      <c r="M13" s="311">
        <f>IF(C13=1,('BD Comp'!AA13+'BD Comp'!AB13)/2,"")</f>
        <v>2113329.5</v>
      </c>
      <c r="N13" s="311">
        <f>IF(C13=1,('BD Comp'!AJ13+'BD Comp'!AK13)/2,"")</f>
        <v>173696554.87</v>
      </c>
      <c r="O13" s="312">
        <v>0.93400000000000005</v>
      </c>
      <c r="P13" s="311">
        <f t="shared" si="1"/>
        <v>1</v>
      </c>
      <c r="Q13" s="95"/>
      <c r="R13" s="17"/>
    </row>
    <row r="14" spans="1:18" ht="14.5">
      <c r="A14" s="7" t="s">
        <v>240</v>
      </c>
      <c r="B14" s="7" t="s">
        <v>241</v>
      </c>
      <c r="C14" s="44">
        <v>1</v>
      </c>
      <c r="D14" s="44" t="str">
        <f t="shared" si="0"/>
        <v>C000171</v>
      </c>
      <c r="E14" s="311">
        <f>IF(C14=1,('BD Comp'!X14+'BD Comp'!Y14)/2,"")</f>
        <v>1217368</v>
      </c>
      <c r="F14" s="311">
        <f>IF(C14=1,('BD Comp'!AD14+'BD Comp'!AE14)/2,"")</f>
        <v>21389588.5</v>
      </c>
      <c r="G14" s="311">
        <f>IF(C14=1,('BD Comp'!AP14+'BD Comp'!AQ14)/2,"")</f>
        <v>1248693</v>
      </c>
      <c r="H14" s="311">
        <f>IF(C14=1,('BD Comp'!F14+'BD Comp'!G14)/2,"")</f>
        <v>5977338606.3177223</v>
      </c>
      <c r="I14" s="311">
        <f>IF(C14=1,('BD Comp'!I14+'BD Comp'!J14)/2,"")</f>
        <v>386715899.26182872</v>
      </c>
      <c r="J14" s="311">
        <f>IF(C14=1,('BD Comp'!L14+'BD Comp'!M14)/2,"")</f>
        <v>108983045.48301323</v>
      </c>
      <c r="K14" s="311">
        <f>IF(C14=1,('BD Comp'!O14+'BD Comp'!P14)/2,"")</f>
        <v>217159944.71251756</v>
      </c>
      <c r="L14" s="311">
        <f>IF(C14=1,('BD Comp'!R14+'BD Comp'!S14)/2,"")</f>
        <v>90236800.471191138</v>
      </c>
      <c r="M14" s="311">
        <f>IF(C14=1,('BD Comp'!AA14+'BD Comp'!AB14)/2,"")</f>
        <v>1217321</v>
      </c>
      <c r="N14" s="311">
        <f>IF(C14=1,('BD Comp'!AJ14+'BD Comp'!AK14)/2,"")</f>
        <v>220851285</v>
      </c>
      <c r="O14" s="312">
        <v>0.94599999999999995</v>
      </c>
      <c r="P14" s="311">
        <f t="shared" si="1"/>
        <v>1</v>
      </c>
      <c r="Q14" s="95"/>
      <c r="R14" s="17"/>
    </row>
    <row r="15" spans="1:18" ht="14.5">
      <c r="A15" s="7" t="s">
        <v>243</v>
      </c>
      <c r="B15" s="7" t="s">
        <v>244</v>
      </c>
      <c r="C15" s="44">
        <v>1</v>
      </c>
      <c r="D15" s="44" t="str">
        <f t="shared" si="0"/>
        <v>C000191</v>
      </c>
      <c r="E15" s="311">
        <f>IF(C15=1,('BD Comp'!X15+'BD Comp'!Y15)/2,"")</f>
        <v>1879655.5</v>
      </c>
      <c r="F15" s="311">
        <f>IF(C15=1,('BD Comp'!AD15+'BD Comp'!AE15)/2,"")</f>
        <v>32849076</v>
      </c>
      <c r="G15" s="311">
        <f>IF(C15=1,('BD Comp'!AP15+'BD Comp'!AQ15)/2,"")</f>
        <v>1860384.5</v>
      </c>
      <c r="H15" s="311">
        <f>IF(C15=1,('BD Comp'!F15+'BD Comp'!G15)/2,"")</f>
        <v>13546667879.259937</v>
      </c>
      <c r="I15" s="311">
        <f>IF(C15=1,('BD Comp'!I15+'BD Comp'!J15)/2,"")</f>
        <v>904595459.28161645</v>
      </c>
      <c r="J15" s="311">
        <f>IF(C15=1,('BD Comp'!L15+'BD Comp'!M15)/2,"")</f>
        <v>366878015.27591592</v>
      </c>
      <c r="K15" s="311">
        <f>IF(C15=1,('BD Comp'!O15+'BD Comp'!P15)/2,"")</f>
        <v>354872884.7672087</v>
      </c>
      <c r="L15" s="311">
        <f>IF(C15=1,('BD Comp'!R15+'BD Comp'!S15)/2,"")</f>
        <v>32960659.711337663</v>
      </c>
      <c r="M15" s="311">
        <f>IF(C15=1,('BD Comp'!AA15+'BD Comp'!AB15)/2,"")</f>
        <v>1781494.5</v>
      </c>
      <c r="N15" s="311">
        <f>IF(C15=1,('BD Comp'!AJ15+'BD Comp'!AK15)/2,"")</f>
        <v>336793068.19</v>
      </c>
      <c r="O15" s="312">
        <v>1</v>
      </c>
      <c r="P15" s="311">
        <f t="shared" si="1"/>
        <v>1</v>
      </c>
      <c r="Q15" s="95"/>
      <c r="R15" s="17"/>
    </row>
    <row r="16" spans="1:18" ht="14.5" hidden="1">
      <c r="A16" s="7" t="s">
        <v>246</v>
      </c>
      <c r="B16" s="7" t="s">
        <v>247</v>
      </c>
      <c r="C16" s="44"/>
      <c r="D16" s="44" t="str">
        <f t="shared" si="0"/>
        <v>C000196</v>
      </c>
      <c r="E16" s="311" t="str">
        <f>IF(C16=1,('BD Comp'!X16+'BD Comp'!Y16)/2,"")</f>
        <v/>
      </c>
      <c r="F16" s="311" t="str">
        <f>IF(C16=1,('BD Comp'!AD16+'BD Comp'!AE16)/2,"")</f>
        <v/>
      </c>
      <c r="G16" s="311" t="str">
        <f>IF(C16=1,('BD Comp'!AP16+'BD Comp'!AQ16)/2,"")</f>
        <v/>
      </c>
      <c r="H16" s="311" t="str">
        <f>IF(C16=1,('BD Comp'!F16+'BD Comp'!G16)/2,"")</f>
        <v/>
      </c>
      <c r="I16" s="311" t="str">
        <f>IF(C16=1,('BD Comp'!I16+'BD Comp'!J16)/2,"")</f>
        <v/>
      </c>
      <c r="J16" s="311" t="str">
        <f>IF(C16=1,('BD Comp'!L16+'BD Comp'!M16)/2,"")</f>
        <v/>
      </c>
      <c r="K16" s="311" t="str">
        <f>IF(C16=1,('BD Comp'!O16+'BD Comp'!P16)/2,"")</f>
        <v/>
      </c>
      <c r="L16" s="311" t="str">
        <f>IF(C16=1,('BD Comp'!R16+'BD Comp'!S16)/2,"")</f>
        <v/>
      </c>
      <c r="M16" s="311" t="str">
        <f>IF(C16=1,('BD Comp'!AA16+'BD Comp'!AB16)/2,"")</f>
        <v/>
      </c>
      <c r="N16" s="311" t="str">
        <f>IF(C16=1,('BD Comp'!AJ16+'BD Comp'!AK16)/2,"")</f>
        <v/>
      </c>
      <c r="O16" s="312"/>
      <c r="P16" s="311" t="str">
        <f t="shared" si="1"/>
        <v/>
      </c>
      <c r="Q16" s="95"/>
    </row>
    <row r="17" spans="1:18" ht="14.5">
      <c r="A17" s="7" t="s">
        <v>249</v>
      </c>
      <c r="B17" s="7" t="s">
        <v>250</v>
      </c>
      <c r="C17" s="44">
        <v>1</v>
      </c>
      <c r="D17" s="44" t="str">
        <f t="shared" si="0"/>
        <v>C000199</v>
      </c>
      <c r="E17" s="311">
        <f>IF(C17=1,('BD Comp'!X17+'BD Comp'!Y17)/2,"")</f>
        <v>4120856</v>
      </c>
      <c r="F17" s="311">
        <f>IF(C17=1,('BD Comp'!AD17+'BD Comp'!AE17)/2,"")</f>
        <v>83844749</v>
      </c>
      <c r="G17" s="311">
        <f>IF(C17=1,('BD Comp'!AP17+'BD Comp'!AQ17)/2,"")</f>
        <v>4242880</v>
      </c>
      <c r="H17" s="311">
        <f>IF(C17=1,('BD Comp'!F17+'BD Comp'!G17)/2,"")</f>
        <v>29160877386.893478</v>
      </c>
      <c r="I17" s="311">
        <f>IF(C17=1,('BD Comp'!I17+'BD Comp'!J17)/2,"")</f>
        <v>1311885428.5724394</v>
      </c>
      <c r="J17" s="311">
        <f>IF(C17=1,('BD Comp'!L17+'BD Comp'!M17)/2,"")</f>
        <v>561742545.57805467</v>
      </c>
      <c r="K17" s="311">
        <f>IF(C17=1,('BD Comp'!O17+'BD Comp'!P17)/2,"")</f>
        <v>313302621.42472327</v>
      </c>
      <c r="L17" s="311">
        <f>IF(C17=1,('BD Comp'!R17+'BD Comp'!S17)/2,"")</f>
        <v>275118711.80883086</v>
      </c>
      <c r="M17" s="311">
        <f>IF(C17=1,('BD Comp'!AA17+'BD Comp'!AB17)/2,"")</f>
        <v>6098507.5</v>
      </c>
      <c r="N17" s="311">
        <f>IF(C17=1,('BD Comp'!AJ17+'BD Comp'!AK17)/2,"")</f>
        <v>149739320.44</v>
      </c>
      <c r="O17" s="312">
        <v>1</v>
      </c>
      <c r="P17" s="311">
        <f t="shared" si="1"/>
        <v>1</v>
      </c>
      <c r="Q17" s="95"/>
      <c r="R17" s="17"/>
    </row>
    <row r="18" spans="1:18" ht="14.5" hidden="1">
      <c r="A18" s="7" t="s">
        <v>252</v>
      </c>
      <c r="B18" s="7" t="s">
        <v>253</v>
      </c>
      <c r="C18" s="44"/>
      <c r="D18" s="44" t="str">
        <f t="shared" si="0"/>
        <v>C000200</v>
      </c>
      <c r="E18" s="311" t="str">
        <f>IF(C18=1,('BD Comp'!X18+'BD Comp'!Y18)/2,"")</f>
        <v/>
      </c>
      <c r="F18" s="311" t="str">
        <f>IF(C18=1,('BD Comp'!AD18+'BD Comp'!AE18)/2,"")</f>
        <v/>
      </c>
      <c r="G18" s="311" t="str">
        <f>IF(C18=1,('BD Comp'!AP18+'BD Comp'!AQ18)/2,"")</f>
        <v/>
      </c>
      <c r="H18" s="311" t="str">
        <f>IF(C18=1,('BD Comp'!F18+'BD Comp'!G18)/2,"")</f>
        <v/>
      </c>
      <c r="I18" s="311" t="str">
        <f>IF(C18=1,('BD Comp'!I18+'BD Comp'!J18)/2,"")</f>
        <v/>
      </c>
      <c r="J18" s="311" t="str">
        <f>IF(C18=1,('BD Comp'!L18+'BD Comp'!M18)/2,"")</f>
        <v/>
      </c>
      <c r="K18" s="311" t="str">
        <f>IF(C18=1,('BD Comp'!O18+'BD Comp'!P18)/2,"")</f>
        <v/>
      </c>
      <c r="L18" s="311" t="str">
        <f>IF(C18=1,('BD Comp'!R18+'BD Comp'!S18)/2,"")</f>
        <v/>
      </c>
      <c r="M18" s="311" t="str">
        <f>IF(C18=1,('BD Comp'!AA18+'BD Comp'!AB18)/2,"")</f>
        <v/>
      </c>
      <c r="N18" s="311" t="str">
        <f>IF(C18=1,('BD Comp'!AJ18+'BD Comp'!AK18)/2,"")</f>
        <v/>
      </c>
      <c r="O18" s="312"/>
      <c r="P18" s="311" t="str">
        <f t="shared" si="1"/>
        <v/>
      </c>
      <c r="Q18" s="95"/>
    </row>
    <row r="19" spans="1:18" ht="14.5">
      <c r="A19" s="7" t="s">
        <v>255</v>
      </c>
      <c r="B19" s="7" t="s">
        <v>256</v>
      </c>
      <c r="C19" s="44">
        <v>1</v>
      </c>
      <c r="D19" s="44" t="str">
        <f t="shared" si="0"/>
        <v>C000201</v>
      </c>
      <c r="E19" s="311">
        <f>IF(C19=1,('BD Comp'!X19+'BD Comp'!Y19)/2,"")</f>
        <v>1695425</v>
      </c>
      <c r="F19" s="311">
        <f>IF(C19=1,('BD Comp'!AD19+'BD Comp'!AE19)/2,"")</f>
        <v>35823770.5</v>
      </c>
      <c r="G19" s="311">
        <f>IF(C19=1,('BD Comp'!AP19+'BD Comp'!AQ19)/2,"")</f>
        <v>1758374.5</v>
      </c>
      <c r="H19" s="311">
        <f>IF(C19=1,('BD Comp'!F19+'BD Comp'!G19)/2,"")</f>
        <v>9808251065.2684269</v>
      </c>
      <c r="I19" s="311">
        <f>IF(C19=1,('BD Comp'!I19+'BD Comp'!J19)/2,"")</f>
        <v>501664462.67261124</v>
      </c>
      <c r="J19" s="311">
        <f>IF(C19=1,('BD Comp'!L19+'BD Comp'!M19)/2,"")</f>
        <v>366922375.83072919</v>
      </c>
      <c r="K19" s="311">
        <f>IF(C19=1,('BD Comp'!O19+'BD Comp'!P19)/2,"")</f>
        <v>243813199.3324241</v>
      </c>
      <c r="L19" s="311">
        <f>IF(C19=1,('BD Comp'!R19+'BD Comp'!S19)/2,"")</f>
        <v>131207764.73885891</v>
      </c>
      <c r="M19" s="311">
        <f>IF(C19=1,('BD Comp'!AA19+'BD Comp'!AB19)/2,"")</f>
        <v>1817295</v>
      </c>
      <c r="N19" s="311">
        <f>IF(C19=1,('BD Comp'!AJ19+'BD Comp'!AK19)/2,"")</f>
        <v>136474515.5</v>
      </c>
      <c r="O19" s="312">
        <v>0.89100000000000001</v>
      </c>
      <c r="P19" s="311" t="str">
        <f t="shared" si="1"/>
        <v/>
      </c>
      <c r="Q19" s="95"/>
    </row>
    <row r="20" spans="1:18" ht="14.5">
      <c r="A20" s="7" t="s">
        <v>258</v>
      </c>
      <c r="B20" s="7" t="s">
        <v>259</v>
      </c>
      <c r="C20" s="44">
        <v>1</v>
      </c>
      <c r="D20" s="44" t="str">
        <f t="shared" si="0"/>
        <v>C000241</v>
      </c>
      <c r="E20" s="311">
        <f>IF(C20=1,('BD Comp'!X20+'BD Comp'!Y20)/2,"")</f>
        <v>783615.5</v>
      </c>
      <c r="F20" s="311">
        <f>IF(C20=1,('BD Comp'!AD20+'BD Comp'!AE20)/2,"")</f>
        <v>21423236</v>
      </c>
      <c r="G20" s="311">
        <f>IF(C20=1,('BD Comp'!AP20+'BD Comp'!AQ20)/2,"")</f>
        <v>785148.5</v>
      </c>
      <c r="H20" s="311">
        <f>IF(C20=1,('BD Comp'!F20+'BD Comp'!G20)/2,"")</f>
        <v>5886444393.2872381</v>
      </c>
      <c r="I20" s="311">
        <f>IF(C20=1,('BD Comp'!I20+'BD Comp'!J20)/2,"")</f>
        <v>298798571.39629591</v>
      </c>
      <c r="J20" s="311">
        <f>IF(C20=1,('BD Comp'!L20+'BD Comp'!M20)/2,"")</f>
        <v>76980666.527406931</v>
      </c>
      <c r="K20" s="311">
        <f>IF(C20=1,('BD Comp'!O20+'BD Comp'!P20)/2,"")</f>
        <v>74019320.526408046</v>
      </c>
      <c r="L20" s="311">
        <f>IF(C20=1,('BD Comp'!R20+'BD Comp'!S20)/2,"")</f>
        <v>63493381.856581777</v>
      </c>
      <c r="M20" s="311">
        <f>IF(C20=1,('BD Comp'!AA20+'BD Comp'!AB20)/2,"")</f>
        <v>1063938</v>
      </c>
      <c r="N20" s="311">
        <f>IF(C20=1,('BD Comp'!AJ20+'BD Comp'!AK20)/2,"")</f>
        <v>65979277.700000003</v>
      </c>
      <c r="O20" s="312">
        <v>0.752</v>
      </c>
      <c r="P20" s="311" t="str">
        <f t="shared" si="1"/>
        <v/>
      </c>
      <c r="Q20" s="95"/>
    </row>
    <row r="21" spans="1:18" ht="14.5">
      <c r="A21" s="7" t="s">
        <v>261</v>
      </c>
      <c r="B21" s="7" t="s">
        <v>262</v>
      </c>
      <c r="C21" s="44">
        <v>1</v>
      </c>
      <c r="D21" s="44" t="str">
        <f t="shared" si="0"/>
        <v>C000289</v>
      </c>
      <c r="E21" s="311">
        <f>IF(C21=1,('BD Comp'!X21+'BD Comp'!Y21)/2,"")</f>
        <v>887744</v>
      </c>
      <c r="F21" s="311">
        <f>IF(C21=1,('BD Comp'!AD21+'BD Comp'!AE21)/2,"")</f>
        <v>26454399</v>
      </c>
      <c r="G21" s="311">
        <f>IF(C21=1,('BD Comp'!AP21+'BD Comp'!AQ21)/2,"")</f>
        <v>905897</v>
      </c>
      <c r="H21" s="311">
        <f>IF(C21=1,('BD Comp'!F21+'BD Comp'!G21)/2,"")</f>
        <v>7117725571.6920958</v>
      </c>
      <c r="I21" s="311">
        <f>IF(C21=1,('BD Comp'!I21+'BD Comp'!J21)/2,"")</f>
        <v>343830180.09751463</v>
      </c>
      <c r="J21" s="311">
        <f>IF(C21=1,('BD Comp'!L21+'BD Comp'!M21)/2,"")</f>
        <v>112637213.6441758</v>
      </c>
      <c r="K21" s="311">
        <f>IF(C21=1,('BD Comp'!O21+'BD Comp'!P21)/2,"")</f>
        <v>37270085.86786966</v>
      </c>
      <c r="L21" s="311">
        <f>IF(C21=1,('BD Comp'!R21+'BD Comp'!S21)/2,"")</f>
        <v>40917115.374988645</v>
      </c>
      <c r="M21" s="311">
        <f>IF(C21=1,('BD Comp'!AA21+'BD Comp'!AB21)/2,"")</f>
        <v>2154064</v>
      </c>
      <c r="N21" s="311">
        <f>IF(C21=1,('BD Comp'!AJ21+'BD Comp'!AK21)/2,"")</f>
        <v>114491874.80000001</v>
      </c>
      <c r="O21" s="312">
        <v>0.99099999999999999</v>
      </c>
      <c r="P21" s="311">
        <f t="shared" si="1"/>
        <v>1</v>
      </c>
      <c r="Q21" s="95"/>
      <c r="R21" s="17"/>
    </row>
    <row r="22" spans="1:18" ht="14.5">
      <c r="A22" s="7" t="s">
        <v>264</v>
      </c>
      <c r="B22" s="7" t="s">
        <v>265</v>
      </c>
      <c r="C22" s="44">
        <v>1</v>
      </c>
      <c r="D22" s="44" t="str">
        <f t="shared" si="0"/>
        <v>C000290</v>
      </c>
      <c r="E22" s="311">
        <f>IF(C22=1,('BD Comp'!X22+'BD Comp'!Y22)/2,"")</f>
        <v>2818760</v>
      </c>
      <c r="F22" s="311">
        <f>IF(C22=1,('BD Comp'!AD22+'BD Comp'!AE22)/2,"")</f>
        <v>79562207</v>
      </c>
      <c r="G22" s="311">
        <f>IF(C22=1,('BD Comp'!AP22+'BD Comp'!AQ22)/2,"")</f>
        <v>2198294.5</v>
      </c>
      <c r="H22" s="311">
        <f>IF(C22=1,('BD Comp'!F22+'BD Comp'!G22)/2,"")</f>
        <v>24256286974.181129</v>
      </c>
      <c r="I22" s="311">
        <f>IF(C22=1,('BD Comp'!I22+'BD Comp'!J22)/2,"")</f>
        <v>1068048309.4339815</v>
      </c>
      <c r="J22" s="311">
        <f>IF(C22=1,('BD Comp'!L22+'BD Comp'!M22)/2,"")</f>
        <v>286569997.99199259</v>
      </c>
      <c r="K22" s="311">
        <f>IF(C22=1,('BD Comp'!O22+'BD Comp'!P22)/2,"")</f>
        <v>169594376.54468465</v>
      </c>
      <c r="L22" s="311">
        <f>IF(C22=1,('BD Comp'!R22+'BD Comp'!S22)/2,"")</f>
        <v>173014294.26883024</v>
      </c>
      <c r="M22" s="311">
        <f>IF(C22=1,('BD Comp'!AA22+'BD Comp'!AB22)/2,"")</f>
        <v>4805575</v>
      </c>
      <c r="N22" s="311">
        <f>IF(C22=1,('BD Comp'!AJ22+'BD Comp'!AK22)/2,"")</f>
        <v>534039545.63499999</v>
      </c>
      <c r="O22" s="312">
        <v>0.93600000000000005</v>
      </c>
      <c r="P22" s="311">
        <f t="shared" si="1"/>
        <v>1</v>
      </c>
      <c r="Q22" s="95"/>
      <c r="R22" s="17"/>
    </row>
    <row r="23" spans="1:18" ht="14.5">
      <c r="A23" s="7" t="s">
        <v>267</v>
      </c>
      <c r="B23" s="7" t="s">
        <v>268</v>
      </c>
      <c r="C23" s="44">
        <v>1</v>
      </c>
      <c r="D23" s="44" t="str">
        <f t="shared" si="0"/>
        <v>C000291</v>
      </c>
      <c r="E23" s="311">
        <f>IF(C23=1,('BD Comp'!X23+'BD Comp'!Y23)/2,"")</f>
        <v>150015</v>
      </c>
      <c r="F23" s="311">
        <f>IF(C23=1,('BD Comp'!AD23+'BD Comp'!AE23)/2,"")</f>
        <v>3912727.5</v>
      </c>
      <c r="G23" s="311">
        <f>IF(C23=1,('BD Comp'!AP23+'BD Comp'!AQ23)/2,"")</f>
        <v>154356</v>
      </c>
      <c r="H23" s="311">
        <f>IF(C23=1,('BD Comp'!F23+'BD Comp'!G23)/2,"")</f>
        <v>838512669.42402458</v>
      </c>
      <c r="I23" s="311">
        <f>IF(C23=1,('BD Comp'!I23+'BD Comp'!J23)/2,"")</f>
        <v>45228802.023740754</v>
      </c>
      <c r="J23" s="311">
        <f>IF(C23=1,('BD Comp'!L23+'BD Comp'!M23)/2,"")</f>
        <v>13601942.329544626</v>
      </c>
      <c r="K23" s="311">
        <f>IF(C23=1,('BD Comp'!O23+'BD Comp'!P23)/2,"")</f>
        <v>6771252.4929015674</v>
      </c>
      <c r="L23" s="311">
        <f>IF(C23=1,('BD Comp'!R23+'BD Comp'!S23)/2,"")</f>
        <v>5215281.72485549</v>
      </c>
      <c r="M23" s="311">
        <f>IF(C23=1,('BD Comp'!AA23+'BD Comp'!AB23)/2,"")</f>
        <v>238405.5</v>
      </c>
      <c r="N23" s="311">
        <f>IF(C23=1,('BD Comp'!AJ23+'BD Comp'!AK23)/2,"")</f>
        <v>12200125.59</v>
      </c>
      <c r="O23" s="312">
        <v>1</v>
      </c>
      <c r="P23" s="311">
        <f t="shared" si="1"/>
        <v>1</v>
      </c>
      <c r="Q23" s="95"/>
      <c r="R23" s="17"/>
    </row>
    <row r="24" spans="1:18" ht="14.5">
      <c r="A24" s="7" t="s">
        <v>270</v>
      </c>
      <c r="B24" s="7" t="s">
        <v>271</v>
      </c>
      <c r="C24" s="44">
        <v>1</v>
      </c>
      <c r="D24" s="44" t="str">
        <f t="shared" si="0"/>
        <v>C000292</v>
      </c>
      <c r="E24" s="311">
        <f>IF(C24=1,('BD Comp'!X24+'BD Comp'!Y24)/2,"")</f>
        <v>749951</v>
      </c>
      <c r="F24" s="311">
        <f>IF(C24=1,('BD Comp'!AD24+'BD Comp'!AE24)/2,"")</f>
        <v>19432504.5</v>
      </c>
      <c r="G24" s="311">
        <f>IF(C24=1,('BD Comp'!AP24+'BD Comp'!AQ24)/2,"")</f>
        <v>779923</v>
      </c>
      <c r="H24" s="311">
        <f>IF(C24=1,('BD Comp'!F24+'BD Comp'!G24)/2,"")</f>
        <v>4592787613.6875172</v>
      </c>
      <c r="I24" s="311">
        <f>IF(C24=1,('BD Comp'!I24+'BD Comp'!J24)/2,"")</f>
        <v>237582720.36084133</v>
      </c>
      <c r="J24" s="311">
        <f>IF(C24=1,('BD Comp'!L24+'BD Comp'!M24)/2,"")</f>
        <v>73075726.602500767</v>
      </c>
      <c r="K24" s="311">
        <f>IF(C24=1,('BD Comp'!O24+'BD Comp'!P24)/2,"")</f>
        <v>32760733.045280166</v>
      </c>
      <c r="L24" s="311">
        <f>IF(C24=1,('BD Comp'!R24+'BD Comp'!S24)/2,"")</f>
        <v>41533815.443988383</v>
      </c>
      <c r="M24" s="311">
        <f>IF(C24=1,('BD Comp'!AA24+'BD Comp'!AB24)/2,"")</f>
        <v>1036446.5</v>
      </c>
      <c r="N24" s="311">
        <f>IF(C24=1,('BD Comp'!AJ24+'BD Comp'!AK24)/2,"")</f>
        <v>81291635.734999999</v>
      </c>
      <c r="O24" s="312">
        <v>1</v>
      </c>
      <c r="P24" s="311">
        <f t="shared" si="1"/>
        <v>1</v>
      </c>
      <c r="Q24" s="95"/>
    </row>
    <row r="25" spans="1:18" ht="14.5">
      <c r="A25" s="7" t="s">
        <v>273</v>
      </c>
      <c r="B25" s="7" t="s">
        <v>274</v>
      </c>
      <c r="C25" s="44">
        <v>1</v>
      </c>
      <c r="D25" s="44" t="str">
        <f t="shared" si="0"/>
        <v>C000312</v>
      </c>
      <c r="E25" s="311">
        <f>IF(C25=1,('BD Comp'!X25+'BD Comp'!Y25)/2,"")</f>
        <v>1159278</v>
      </c>
      <c r="F25" s="311">
        <f>IF(C25=1,('BD Comp'!AD25+'BD Comp'!AE25)/2,"")</f>
        <v>19866981</v>
      </c>
      <c r="G25" s="311">
        <f>IF(C25=1,('BD Comp'!AP25+'BD Comp'!AQ25)/2,"")</f>
        <v>202705</v>
      </c>
      <c r="H25" s="311">
        <f>IF(C25=1,('BD Comp'!F25+'BD Comp'!G25)/2,"")</f>
        <v>7487270781.9412346</v>
      </c>
      <c r="I25" s="311">
        <f>IF(C25=1,('BD Comp'!I25+'BD Comp'!J25)/2,"")</f>
        <v>346778939.22848654</v>
      </c>
      <c r="J25" s="311">
        <f>IF(C25=1,('BD Comp'!L25+'BD Comp'!M25)/2,"")</f>
        <v>152137018.27552938</v>
      </c>
      <c r="K25" s="311">
        <f>IF(C25=1,('BD Comp'!O25+'BD Comp'!P25)/2,"")</f>
        <v>214354361.72532243</v>
      </c>
      <c r="L25" s="311">
        <f>IF(C25=1,('BD Comp'!R25+'BD Comp'!S25)/2,"")</f>
        <v>132883534.95210227</v>
      </c>
      <c r="M25" s="311">
        <f>IF(C25=1,('BD Comp'!AA25+'BD Comp'!AB25)/2,"")</f>
        <v>888682.5</v>
      </c>
      <c r="N25" s="311">
        <f>IF(C25=1,('BD Comp'!AJ25+'BD Comp'!AK25)/2,"")</f>
        <v>238302550.49000001</v>
      </c>
      <c r="O25" s="312">
        <v>0.73299999999999998</v>
      </c>
      <c r="P25" s="311" t="str">
        <f t="shared" si="1"/>
        <v/>
      </c>
      <c r="Q25" s="95"/>
    </row>
    <row r="26" spans="1:18" ht="14.5">
      <c r="A26" s="7" t="s">
        <v>276</v>
      </c>
      <c r="B26" s="7" t="s">
        <v>277</v>
      </c>
      <c r="C26" s="44">
        <v>1</v>
      </c>
      <c r="D26" s="44" t="str">
        <f t="shared" si="0"/>
        <v>C000313</v>
      </c>
      <c r="E26" s="311">
        <f>IF(C26=1,('BD Comp'!X26+'BD Comp'!Y26)/2,"")</f>
        <v>1067816</v>
      </c>
      <c r="F26" s="311">
        <f>IF(C26=1,('BD Comp'!AD26+'BD Comp'!AE26)/2,"")</f>
        <v>23566978</v>
      </c>
      <c r="G26" s="311">
        <f>IF(C26=1,('BD Comp'!AP26+'BD Comp'!AQ26)/2,"")</f>
        <v>352904.5</v>
      </c>
      <c r="H26" s="311">
        <f>IF(C26=1,('BD Comp'!F26+'BD Comp'!G26)/2,"")</f>
        <v>4826850561.6091509</v>
      </c>
      <c r="I26" s="311">
        <f>IF(C26=1,('BD Comp'!I26+'BD Comp'!J26)/2,"")</f>
        <v>340307147.47194386</v>
      </c>
      <c r="J26" s="311">
        <f>IF(C26=1,('BD Comp'!L26+'BD Comp'!M26)/2,"")</f>
        <v>120160512.16588324</v>
      </c>
      <c r="K26" s="311">
        <f>IF(C26=1,('BD Comp'!O26+'BD Comp'!P26)/2,"")</f>
        <v>46319191.878029324</v>
      </c>
      <c r="L26" s="311">
        <f>IF(C26=1,('BD Comp'!R26+'BD Comp'!S26)/2,"")</f>
        <v>11648279.823134014</v>
      </c>
      <c r="M26" s="311">
        <f>IF(C26=1,('BD Comp'!AA26+'BD Comp'!AB26)/2,"")</f>
        <v>216435</v>
      </c>
      <c r="N26" s="311">
        <f>IF(C26=1,('BD Comp'!AJ26+'BD Comp'!AK26)/2,"")</f>
        <v>118639601.49200001</v>
      </c>
      <c r="O26" s="312">
        <v>1</v>
      </c>
      <c r="P26" s="311">
        <f t="shared" si="1"/>
        <v>1</v>
      </c>
      <c r="Q26" s="95"/>
      <c r="R26" s="17"/>
    </row>
    <row r="27" spans="1:18" ht="14.5">
      <c r="A27" s="7" t="s">
        <v>279</v>
      </c>
      <c r="B27" s="7" t="s">
        <v>280</v>
      </c>
      <c r="C27" s="44">
        <v>1</v>
      </c>
      <c r="D27" s="44" t="str">
        <f t="shared" si="0"/>
        <v>C000314</v>
      </c>
      <c r="E27" s="311">
        <f>IF(C27=1,('BD Comp'!X27+'BD Comp'!Y27)/2,"")</f>
        <v>756045</v>
      </c>
      <c r="F27" s="311">
        <f>IF(C27=1,('BD Comp'!AD27+'BD Comp'!AE27)/2,"")</f>
        <v>17380627</v>
      </c>
      <c r="G27" s="311">
        <f>IF(C27=1,('BD Comp'!AP27+'BD Comp'!AQ27)/2,"")</f>
        <v>330551.5</v>
      </c>
      <c r="H27" s="311">
        <f>IF(C27=1,('BD Comp'!F27+'BD Comp'!G27)/2,"")</f>
        <v>3882571817.6594162</v>
      </c>
      <c r="I27" s="311">
        <f>IF(C27=1,('BD Comp'!I27+'BD Comp'!J27)/2,"")</f>
        <v>255656632.89758256</v>
      </c>
      <c r="J27" s="311">
        <f>IF(C27=1,('BD Comp'!L27+'BD Comp'!M27)/2,"")</f>
        <v>82207051.627513885</v>
      </c>
      <c r="K27" s="311">
        <f>IF(C27=1,('BD Comp'!O27+'BD Comp'!P27)/2,"")</f>
        <v>44285918.541745454</v>
      </c>
      <c r="L27" s="311">
        <f>IF(C27=1,('BD Comp'!R27+'BD Comp'!S27)/2,"")</f>
        <v>16348292.093354028</v>
      </c>
      <c r="M27" s="311">
        <f>IF(C27=1,('BD Comp'!AA27+'BD Comp'!AB27)/2,"")</f>
        <v>89989</v>
      </c>
      <c r="N27" s="311">
        <f>IF(C27=1,('BD Comp'!AJ27+'BD Comp'!AK27)/2,"")</f>
        <v>105735972.39649999</v>
      </c>
      <c r="O27" s="312">
        <v>1</v>
      </c>
      <c r="P27" s="311">
        <f t="shared" si="1"/>
        <v>1</v>
      </c>
      <c r="Q27" s="95"/>
      <c r="R27" s="17"/>
    </row>
    <row r="28" spans="1:18" ht="14.5">
      <c r="A28" s="7" t="s">
        <v>282</v>
      </c>
      <c r="B28" s="7" t="s">
        <v>283</v>
      </c>
      <c r="C28" s="44">
        <v>1</v>
      </c>
      <c r="D28" s="44" t="str">
        <f t="shared" si="0"/>
        <v>C000315</v>
      </c>
      <c r="E28" s="311">
        <f>IF(C28=1,('BD Comp'!X28+'BD Comp'!Y28)/2,"")</f>
        <v>314357.5</v>
      </c>
      <c r="F28" s="311">
        <f>IF(C28=1,('BD Comp'!AD28+'BD Comp'!AE28)/2,"")</f>
        <v>10819074.5</v>
      </c>
      <c r="G28" s="311">
        <f>IF(C28=1,('BD Comp'!AP28+'BD Comp'!AQ28)/2,"")</f>
        <v>129500</v>
      </c>
      <c r="H28" s="311">
        <f>IF(C28=1,('BD Comp'!F28+'BD Comp'!G28)/2,"")</f>
        <v>1621215022.0125203</v>
      </c>
      <c r="I28" s="311">
        <f>IF(C28=1,('BD Comp'!I28+'BD Comp'!J28)/2,"")</f>
        <v>106560673.23288637</v>
      </c>
      <c r="J28" s="311">
        <f>IF(C28=1,('BD Comp'!L28+'BD Comp'!M28)/2,"")</f>
        <v>26461563.308378115</v>
      </c>
      <c r="K28" s="311">
        <f>IF(C28=1,('BD Comp'!O28+'BD Comp'!P28)/2,"")</f>
        <v>14042879.465914644</v>
      </c>
      <c r="L28" s="311">
        <f>IF(C28=1,('BD Comp'!R28+'BD Comp'!S28)/2,"")</f>
        <v>4261478.2523687845</v>
      </c>
      <c r="M28" s="311">
        <f>IF(C28=1,('BD Comp'!AA28+'BD Comp'!AB28)/2,"")</f>
        <v>154297</v>
      </c>
      <c r="N28" s="311">
        <f>IF(C28=1,('BD Comp'!AJ28+'BD Comp'!AK28)/2,"")</f>
        <v>27554099.002999999</v>
      </c>
      <c r="O28" s="312">
        <v>1</v>
      </c>
      <c r="P28" s="311">
        <f t="shared" si="1"/>
        <v>1</v>
      </c>
      <c r="Q28" s="95"/>
      <c r="R28" s="17"/>
    </row>
    <row r="29" spans="1:18" ht="14.5">
      <c r="A29" s="7" t="s">
        <v>285</v>
      </c>
      <c r="B29" s="7" t="s">
        <v>286</v>
      </c>
      <c r="C29" s="44">
        <v>1</v>
      </c>
      <c r="D29" s="44" t="str">
        <f t="shared" si="0"/>
        <v>C000316</v>
      </c>
      <c r="E29" s="311">
        <f>IF(C29=1,('BD Comp'!X29+'BD Comp'!Y29)/2,"")</f>
        <v>170660</v>
      </c>
      <c r="F29" s="311">
        <f>IF(C29=1,('BD Comp'!AD29+'BD Comp'!AE29)/2,"")</f>
        <v>4510280.5</v>
      </c>
      <c r="G29" s="311">
        <f>IF(C29=1,('BD Comp'!AP29+'BD Comp'!AQ29)/2,"")</f>
        <v>173729.5</v>
      </c>
      <c r="H29" s="311">
        <f>IF(C29=1,('BD Comp'!F29+'BD Comp'!G29)/2,"")</f>
        <v>1014952008.2031962</v>
      </c>
      <c r="I29" s="311">
        <f>IF(C29=1,('BD Comp'!I29+'BD Comp'!J29)/2,"")</f>
        <v>66246470.711365402</v>
      </c>
      <c r="J29" s="311">
        <f>IF(C29=1,('BD Comp'!L29+'BD Comp'!M29)/2,"")</f>
        <v>33998405.606081389</v>
      </c>
      <c r="K29" s="311">
        <f>IF(C29=1,('BD Comp'!O29+'BD Comp'!P29)/2,"")</f>
        <v>23270167.320322055</v>
      </c>
      <c r="L29" s="311">
        <f>IF(C29=1,('BD Comp'!R29+'BD Comp'!S29)/2,"")</f>
        <v>10481813.123169772</v>
      </c>
      <c r="M29" s="311">
        <f>IF(C29=1,('BD Comp'!AA29+'BD Comp'!AB29)/2,"")</f>
        <v>9394</v>
      </c>
      <c r="N29" s="311">
        <f>IF(C29=1,('BD Comp'!AJ29+'BD Comp'!AK29)/2,"")</f>
        <v>21022661.869999997</v>
      </c>
      <c r="O29" s="312">
        <v>1</v>
      </c>
      <c r="P29" s="311">
        <f t="shared" si="1"/>
        <v>1</v>
      </c>
      <c r="Q29" s="95"/>
    </row>
    <row r="30" spans="1:18" ht="14.5">
      <c r="A30" s="7" t="s">
        <v>288</v>
      </c>
      <c r="B30" s="7" t="s">
        <v>289</v>
      </c>
      <c r="C30" s="44">
        <v>1</v>
      </c>
      <c r="D30" s="44" t="str">
        <f t="shared" si="0"/>
        <v>C000317</v>
      </c>
      <c r="E30" s="311">
        <f>IF(C30=1,('BD Comp'!X30+'BD Comp'!Y30)/2,"")</f>
        <v>588200</v>
      </c>
      <c r="F30" s="311">
        <f>IF(C30=1,('BD Comp'!AD30+'BD Comp'!AE30)/2,"")</f>
        <v>13107681.5</v>
      </c>
      <c r="G30" s="311">
        <f>IF(C30=1,('BD Comp'!AP30+'BD Comp'!AQ30)/2,"")</f>
        <v>25</v>
      </c>
      <c r="H30" s="311">
        <f>IF(C30=1,('BD Comp'!F30+'BD Comp'!G30)/2,"")</f>
        <v>4591589104.2309322</v>
      </c>
      <c r="I30" s="311">
        <f>IF(C30=1,('BD Comp'!I30+'BD Comp'!J30)/2,"")</f>
        <v>212558770.06002083</v>
      </c>
      <c r="J30" s="311">
        <f>IF(C30=1,('BD Comp'!L30+'BD Comp'!M30)/2,"")</f>
        <v>97811440.87009868</v>
      </c>
      <c r="K30" s="311">
        <f>IF(C30=1,('BD Comp'!O30+'BD Comp'!P30)/2,"")</f>
        <v>84515182.92809613</v>
      </c>
      <c r="L30" s="311">
        <f>IF(C30=1,('BD Comp'!R30+'BD Comp'!S30)/2,"")</f>
        <v>29445643.541242443</v>
      </c>
      <c r="M30" s="311">
        <f>IF(C30=1,('BD Comp'!AA30+'BD Comp'!AB30)/2,"")</f>
        <v>249684</v>
      </c>
      <c r="N30" s="311">
        <f>IF(C30=1,('BD Comp'!AJ30+'BD Comp'!AK30)/2,"")</f>
        <v>143368867.44400001</v>
      </c>
      <c r="O30" s="312">
        <v>0.72099999999999997</v>
      </c>
      <c r="P30" s="311" t="str">
        <f t="shared" si="1"/>
        <v/>
      </c>
      <c r="Q30" s="95"/>
    </row>
    <row r="31" spans="1:18" ht="14.5">
      <c r="A31" s="7" t="s">
        <v>291</v>
      </c>
      <c r="B31" s="7" t="s">
        <v>292</v>
      </c>
      <c r="C31" s="44">
        <v>1</v>
      </c>
      <c r="D31" s="44" t="str">
        <f t="shared" si="0"/>
        <v>C000318</v>
      </c>
      <c r="E31" s="311">
        <f>IF(C31=1,('BD Comp'!X31+'BD Comp'!Y31)/2,"")</f>
        <v>586676.5</v>
      </c>
      <c r="F31" s="311">
        <f>IF(C31=1,('BD Comp'!AD31+'BD Comp'!AE31)/2,"")</f>
        <v>14042851</v>
      </c>
      <c r="G31" s="311">
        <f>IF(C31=1,('BD Comp'!AP31+'BD Comp'!AQ31)/2,"")</f>
        <v>595602</v>
      </c>
      <c r="H31" s="311">
        <f>IF(C31=1,('BD Comp'!F31+'BD Comp'!G31)/2,"")</f>
        <v>3801894624.3443995</v>
      </c>
      <c r="I31" s="311">
        <f>IF(C31=1,('BD Comp'!I31+'BD Comp'!J31)/2,"")</f>
        <v>203527131.6037361</v>
      </c>
      <c r="J31" s="311">
        <f>IF(C31=1,('BD Comp'!L31+'BD Comp'!M31)/2,"")</f>
        <v>90203260.791242361</v>
      </c>
      <c r="K31" s="311">
        <f>IF(C31=1,('BD Comp'!O31+'BD Comp'!P31)/2,"")</f>
        <v>76597003.618095696</v>
      </c>
      <c r="L31" s="311">
        <f>IF(C31=1,('BD Comp'!R31+'BD Comp'!S31)/2,"")</f>
        <v>51974737.096474387</v>
      </c>
      <c r="M31" s="311">
        <f>IF(C31=1,('BD Comp'!AA31+'BD Comp'!AB31)/2,"")</f>
        <v>271433.5</v>
      </c>
      <c r="N31" s="311">
        <f>IF(C31=1,('BD Comp'!AJ31+'BD Comp'!AK31)/2,"")</f>
        <v>111317841.31099999</v>
      </c>
      <c r="O31" s="312">
        <v>0.82099999999999995</v>
      </c>
      <c r="P31" s="311" t="str">
        <f t="shared" si="1"/>
        <v/>
      </c>
      <c r="Q31" s="95"/>
    </row>
    <row r="32" spans="1:18" ht="14.5" hidden="1">
      <c r="A32" s="7" t="s">
        <v>294</v>
      </c>
      <c r="B32" s="7" t="s">
        <v>295</v>
      </c>
      <c r="C32" s="44"/>
      <c r="D32" s="44" t="str">
        <f t="shared" si="0"/>
        <v>C000319</v>
      </c>
      <c r="E32" s="311" t="str">
        <f>IF(C32=1,('BD Comp'!X32+'BD Comp'!Y32)/2,"")</f>
        <v/>
      </c>
      <c r="F32" s="311" t="str">
        <f>IF(C32=1,('BD Comp'!AD32+'BD Comp'!AE32)/2,"")</f>
        <v/>
      </c>
      <c r="G32" s="311" t="str">
        <f>IF(C32=1,('BD Comp'!AP32+'BD Comp'!AQ32)/2,"")</f>
        <v/>
      </c>
      <c r="H32" s="311" t="str">
        <f>IF(C32=1,('BD Comp'!F32+'BD Comp'!G32)/2,"")</f>
        <v/>
      </c>
      <c r="I32" s="311" t="str">
        <f>IF(C32=1,('BD Comp'!I32+'BD Comp'!J32)/2,"")</f>
        <v/>
      </c>
      <c r="J32" s="311" t="str">
        <f>IF(C32=1,('BD Comp'!L32+'BD Comp'!M32)/2,"")</f>
        <v/>
      </c>
      <c r="K32" s="311" t="str">
        <f>IF(C32=1,('BD Comp'!O32+'BD Comp'!P32)/2,"")</f>
        <v/>
      </c>
      <c r="L32" s="311" t="str">
        <f>IF(C32=1,('BD Comp'!R32+'BD Comp'!S32)/2,"")</f>
        <v/>
      </c>
      <c r="M32" s="311" t="str">
        <f>IF(C32=1,('BD Comp'!AA32+'BD Comp'!AB32)/2,"")</f>
        <v/>
      </c>
      <c r="N32" s="311" t="str">
        <f>IF(C32=1,('BD Comp'!AJ32+'BD Comp'!AK32)/2,"")</f>
        <v/>
      </c>
      <c r="O32" s="312"/>
      <c r="P32" s="311" t="str">
        <f t="shared" si="1"/>
        <v/>
      </c>
      <c r="Q32" s="95"/>
    </row>
    <row r="33" spans="1:18" ht="14.5" hidden="1">
      <c r="A33" s="7" t="s">
        <v>297</v>
      </c>
      <c r="B33" s="7" t="s">
        <v>298</v>
      </c>
      <c r="C33" s="44"/>
      <c r="D33" s="44" t="str">
        <f t="shared" si="0"/>
        <v>C000367</v>
      </c>
      <c r="E33" s="311" t="str">
        <f>IF(C33=1,('BD Comp'!X33+'BD Comp'!Y33)/2,"")</f>
        <v/>
      </c>
      <c r="F33" s="311" t="str">
        <f>IF(C33=1,('BD Comp'!AD33+'BD Comp'!AE33)/2,"")</f>
        <v/>
      </c>
      <c r="G33" s="311" t="str">
        <f>IF(C33=1,('BD Comp'!AP33+'BD Comp'!AQ33)/2,"")</f>
        <v/>
      </c>
      <c r="H33" s="311" t="str">
        <f>IF(C33=1,('BD Comp'!F33+'BD Comp'!G33)/2,"")</f>
        <v/>
      </c>
      <c r="I33" s="311" t="str">
        <f>IF(C33=1,('BD Comp'!I33+'BD Comp'!J33)/2,"")</f>
        <v/>
      </c>
      <c r="J33" s="311" t="str">
        <f>IF(C33=1,('BD Comp'!L33+'BD Comp'!M33)/2,"")</f>
        <v/>
      </c>
      <c r="K33" s="311" t="str">
        <f>IF(C33=1,('BD Comp'!O33+'BD Comp'!P33)/2,"")</f>
        <v/>
      </c>
      <c r="L33" s="311" t="str">
        <f>IF(C33=1,('BD Comp'!R33+'BD Comp'!S33)/2,"")</f>
        <v/>
      </c>
      <c r="M33" s="311" t="str">
        <f>IF(C33=1,('BD Comp'!AA33+'BD Comp'!AB33)/2,"")</f>
        <v/>
      </c>
      <c r="N33" s="311" t="str">
        <f>IF(C33=1,('BD Comp'!AJ33+'BD Comp'!AK33)/2,"")</f>
        <v/>
      </c>
      <c r="O33" s="312"/>
      <c r="P33" s="311" t="str">
        <f t="shared" si="1"/>
        <v/>
      </c>
      <c r="Q33" s="95"/>
    </row>
    <row r="34" spans="1:18" ht="14.5">
      <c r="A34" s="7" t="s">
        <v>300</v>
      </c>
      <c r="B34" s="7" t="s">
        <v>301</v>
      </c>
      <c r="C34" s="44">
        <v>1</v>
      </c>
      <c r="D34" s="44" t="str">
        <f t="shared" si="0"/>
        <v>C000379</v>
      </c>
      <c r="E34" s="311">
        <f>IF(C34=1,('BD Comp'!X34+'BD Comp'!Y34)/2,"")</f>
        <v>411023.5</v>
      </c>
      <c r="F34" s="311">
        <f>IF(C34=1,('BD Comp'!AD34+'BD Comp'!AE34)/2,"")</f>
        <v>9412779.5</v>
      </c>
      <c r="G34" s="311">
        <f>IF(C34=1,('BD Comp'!AP34+'BD Comp'!AQ34)/2,"")</f>
        <v>144626</v>
      </c>
      <c r="H34" s="311">
        <f>IF(C34=1,('BD Comp'!F34+'BD Comp'!G34)/2,"")</f>
        <v>3350072551.0405149</v>
      </c>
      <c r="I34" s="311">
        <f>IF(C34=1,('BD Comp'!I34+'BD Comp'!J34)/2,"")</f>
        <v>131150945.31960537</v>
      </c>
      <c r="J34" s="311">
        <f>IF(C34=1,('BD Comp'!L34+'BD Comp'!M34)/2,"")</f>
        <v>58032475.5063954</v>
      </c>
      <c r="K34" s="311">
        <f>IF(C34=1,('BD Comp'!O34+'BD Comp'!P34)/2,"")</f>
        <v>50853855.347009137</v>
      </c>
      <c r="L34" s="311">
        <f>IF(C34=1,('BD Comp'!R34+'BD Comp'!S34)/2,"")</f>
        <v>67979734.535999686</v>
      </c>
      <c r="M34" s="311">
        <f>IF(C34=1,('BD Comp'!AA34+'BD Comp'!AB34)/2,"")</f>
        <v>452108.5</v>
      </c>
      <c r="N34" s="311">
        <f>IF(C34=1,('BD Comp'!AJ34+'BD Comp'!AK34)/2,"")</f>
        <v>67405046.5</v>
      </c>
      <c r="O34" s="312">
        <v>0.65200000000000002</v>
      </c>
      <c r="P34" s="311" t="str">
        <f t="shared" si="1"/>
        <v/>
      </c>
      <c r="Q34" s="95"/>
    </row>
    <row r="35" spans="1:18" ht="14.5" hidden="1">
      <c r="A35" s="7" t="s">
        <v>303</v>
      </c>
      <c r="B35" s="7" t="s">
        <v>304</v>
      </c>
      <c r="C35" s="44"/>
      <c r="D35" s="44" t="str">
        <f t="shared" si="0"/>
        <v>C000388</v>
      </c>
      <c r="E35" s="311" t="str">
        <f>IF(C35=1,('BD Comp'!X35+'BD Comp'!Y35)/2,"")</f>
        <v/>
      </c>
      <c r="F35" s="311" t="str">
        <f>IF(C35=1,('BD Comp'!AD35+'BD Comp'!AE35)/2,"")</f>
        <v/>
      </c>
      <c r="G35" s="311" t="str">
        <f>IF(C35=1,('BD Comp'!AP35+'BD Comp'!AQ35)/2,"")</f>
        <v/>
      </c>
      <c r="H35" s="311" t="str">
        <f>IF(C35=1,('BD Comp'!F35+'BD Comp'!G35)/2,"")</f>
        <v/>
      </c>
      <c r="I35" s="311" t="str">
        <f>IF(C35=1,('BD Comp'!I35+'BD Comp'!J35)/2,"")</f>
        <v/>
      </c>
      <c r="J35" s="311" t="str">
        <f>IF(C35=1,('BD Comp'!L35+'BD Comp'!M35)/2,"")</f>
        <v/>
      </c>
      <c r="K35" s="311" t="str">
        <f>IF(C35=1,('BD Comp'!O35+'BD Comp'!P35)/2,"")</f>
        <v/>
      </c>
      <c r="L35" s="311" t="str">
        <f>IF(C35=1,('BD Comp'!R35+'BD Comp'!S35)/2,"")</f>
        <v/>
      </c>
      <c r="M35" s="311" t="str">
        <f>IF(C35=1,('BD Comp'!AA35+'BD Comp'!AB35)/2,"")</f>
        <v/>
      </c>
      <c r="N35" s="311" t="str">
        <f>IF(C35=1,('BD Comp'!AJ35+'BD Comp'!AK35)/2,"")</f>
        <v/>
      </c>
      <c r="O35" s="312"/>
      <c r="P35" s="311" t="str">
        <f t="shared" si="1"/>
        <v/>
      </c>
      <c r="Q35" s="95"/>
    </row>
    <row r="36" spans="1:18" ht="14.5">
      <c r="A36" s="7" t="s">
        <v>306</v>
      </c>
      <c r="B36" s="7" t="s">
        <v>307</v>
      </c>
      <c r="C36" s="44">
        <v>1</v>
      </c>
      <c r="D36" s="44" t="str">
        <f t="shared" si="0"/>
        <v>C000415</v>
      </c>
      <c r="E36" s="311">
        <f>IF(C36=1,('BD Comp'!X36+'BD Comp'!Y36)/2,"")</f>
        <v>2261937.5</v>
      </c>
      <c r="F36" s="311">
        <f>IF(C36=1,('BD Comp'!AD36+'BD Comp'!AE36)/2,"")</f>
        <v>40009795</v>
      </c>
      <c r="G36" s="311">
        <f>IF(C36=1,('BD Comp'!AP36+'BD Comp'!AQ36)/2,"")</f>
        <v>2582703</v>
      </c>
      <c r="H36" s="311">
        <f>IF(C36=1,('BD Comp'!F36+'BD Comp'!G36)/2,"")</f>
        <v>14144493216.521553</v>
      </c>
      <c r="I36" s="311">
        <f>IF(C36=1,('BD Comp'!I36+'BD Comp'!J36)/2,"")</f>
        <v>649861684.8985641</v>
      </c>
      <c r="J36" s="311">
        <f>IF(C36=1,('BD Comp'!L36+'BD Comp'!M36)/2,"")</f>
        <v>396790323.26652682</v>
      </c>
      <c r="K36" s="311">
        <f>IF(C36=1,('BD Comp'!O36+'BD Comp'!P36)/2,"")</f>
        <v>384975408.18836558</v>
      </c>
      <c r="L36" s="311">
        <f>IF(C36=1,('BD Comp'!R36+'BD Comp'!S36)/2,"")</f>
        <v>133610512.14260188</v>
      </c>
      <c r="M36" s="311">
        <f>IF(C36=1,('BD Comp'!AA36+'BD Comp'!AB36)/2,"")</f>
        <v>1382341</v>
      </c>
      <c r="N36" s="311">
        <f>IF(C36=1,('BD Comp'!AJ36+'BD Comp'!AK36)/2,"")</f>
        <v>342704308.84499997</v>
      </c>
      <c r="O36" s="312">
        <v>1</v>
      </c>
      <c r="P36" s="311">
        <f t="shared" si="1"/>
        <v>1</v>
      </c>
      <c r="Q36" s="95"/>
      <c r="R36" s="17"/>
    </row>
    <row r="37" spans="1:18" ht="14.5">
      <c r="A37" s="7" t="s">
        <v>309</v>
      </c>
      <c r="B37" s="7" t="s">
        <v>310</v>
      </c>
      <c r="C37" s="44">
        <v>1</v>
      </c>
      <c r="D37" s="44" t="str">
        <f t="shared" si="0"/>
        <v>C000447</v>
      </c>
      <c r="E37" s="311">
        <f>IF(C37=1,('BD Comp'!X37+'BD Comp'!Y37)/2,"")</f>
        <v>293568</v>
      </c>
      <c r="F37" s="311">
        <f>IF(C37=1,('BD Comp'!AD37+'BD Comp'!AE37)/2,"")</f>
        <v>8856285.5</v>
      </c>
      <c r="G37" s="311">
        <f>IF(C37=1,('BD Comp'!AP37+'BD Comp'!AQ37)/2,"")</f>
        <v>293637.5</v>
      </c>
      <c r="H37" s="311">
        <f>IF(C37=1,('BD Comp'!F37+'BD Comp'!G37)/2,"")</f>
        <v>2564953111.1503563</v>
      </c>
      <c r="I37" s="311">
        <f>IF(C37=1,('BD Comp'!I37+'BD Comp'!J37)/2,"")</f>
        <v>145709217.95347452</v>
      </c>
      <c r="J37" s="311">
        <f>IF(C37=1,('BD Comp'!L37+'BD Comp'!M37)/2,"")</f>
        <v>36786864.225384243</v>
      </c>
      <c r="K37" s="311">
        <f>IF(C37=1,('BD Comp'!O37+'BD Comp'!P37)/2,"")</f>
        <v>42333703.174105011</v>
      </c>
      <c r="L37" s="311">
        <f>IF(C37=1,('BD Comp'!R37+'BD Comp'!S37)/2,"")</f>
        <v>30967032.285243362</v>
      </c>
      <c r="M37" s="311">
        <f>IF(C37=1,('BD Comp'!AA37+'BD Comp'!AB37)/2,"")</f>
        <v>595916.5</v>
      </c>
      <c r="N37" s="311">
        <f>IF(C37=1,('BD Comp'!AJ37+'BD Comp'!AK37)/2,"")</f>
        <v>45787526.399999999</v>
      </c>
      <c r="O37" s="312">
        <v>0.60799999999999998</v>
      </c>
      <c r="P37" s="311" t="str">
        <f t="shared" si="1"/>
        <v/>
      </c>
      <c r="Q37" s="95"/>
    </row>
    <row r="38" spans="1:18" ht="14.5">
      <c r="A38" s="7" t="s">
        <v>312</v>
      </c>
      <c r="B38" s="7" t="s">
        <v>313</v>
      </c>
      <c r="C38" s="44">
        <v>1</v>
      </c>
      <c r="D38" s="44" t="str">
        <f t="shared" si="0"/>
        <v>C000465</v>
      </c>
      <c r="E38" s="311">
        <f>IF(C38=1,('BD Comp'!X38+'BD Comp'!Y38)/2,"")</f>
        <v>454232.5</v>
      </c>
      <c r="F38" s="311">
        <f>IF(C38=1,('BD Comp'!AD38+'BD Comp'!AE38)/2,"")</f>
        <v>8504313.5</v>
      </c>
      <c r="G38" s="311">
        <f>IF(C38=1,('BD Comp'!AP38+'BD Comp'!AQ38)/2,"")</f>
        <v>120590</v>
      </c>
      <c r="H38" s="311">
        <f>IF(C38=1,('BD Comp'!F38+'BD Comp'!G38)/2,"")</f>
        <v>2409604895.2319455</v>
      </c>
      <c r="I38" s="311">
        <f>IF(C38=1,('BD Comp'!I38+'BD Comp'!J38)/2,"")</f>
        <v>106040360.55364668</v>
      </c>
      <c r="J38" s="311">
        <f>IF(C38=1,('BD Comp'!L38+'BD Comp'!M38)/2,"")</f>
        <v>29738473.282687902</v>
      </c>
      <c r="K38" s="311">
        <f>IF(C38=1,('BD Comp'!O38+'BD Comp'!P38)/2,"")</f>
        <v>24712308.756179124</v>
      </c>
      <c r="L38" s="311">
        <f>IF(C38=1,('BD Comp'!R38+'BD Comp'!S38)/2,"")</f>
        <v>22459288.67938979</v>
      </c>
      <c r="M38" s="311">
        <f>IF(C38=1,('BD Comp'!AA38+'BD Comp'!AB38)/2,"")</f>
        <v>520208.5</v>
      </c>
      <c r="N38" s="311">
        <f>IF(C38=1,('BD Comp'!AJ38+'BD Comp'!AK38)/2,"")</f>
        <v>43103392.324500002</v>
      </c>
      <c r="O38" s="312">
        <v>1</v>
      </c>
      <c r="P38" s="311">
        <f t="shared" si="1"/>
        <v>1</v>
      </c>
      <c r="Q38" s="95"/>
      <c r="R38" s="17"/>
    </row>
    <row r="39" spans="1:18" ht="14.5">
      <c r="A39" s="7" t="s">
        <v>315</v>
      </c>
      <c r="B39" s="7" t="s">
        <v>316</v>
      </c>
      <c r="C39" s="44">
        <v>1</v>
      </c>
      <c r="D39" s="44" t="str">
        <f t="shared" si="0"/>
        <v>C000500</v>
      </c>
      <c r="E39" s="311">
        <f>IF(C39=1,('BD Comp'!X39+'BD Comp'!Y39)/2,"")</f>
        <v>461047.5</v>
      </c>
      <c r="F39" s="311">
        <f>IF(C39=1,('BD Comp'!AD39+'BD Comp'!AE39)/2,"")</f>
        <v>10940944</v>
      </c>
      <c r="G39" s="311">
        <f>IF(C39=1,('BD Comp'!AP39+'BD Comp'!AQ39)/2,"")</f>
        <v>467880</v>
      </c>
      <c r="H39" s="311">
        <f>IF(C39=1,('BD Comp'!F39+'BD Comp'!G39)/2,"")</f>
        <v>2441381712.27037</v>
      </c>
      <c r="I39" s="311">
        <f>IF(C39=1,('BD Comp'!I39+'BD Comp'!J39)/2,"")</f>
        <v>114937668.20650217</v>
      </c>
      <c r="J39" s="311">
        <f>IF(C39=1,('BD Comp'!L39+'BD Comp'!M39)/2,"")</f>
        <v>37283755.546586052</v>
      </c>
      <c r="K39" s="311">
        <f>IF(C39=1,('BD Comp'!O39+'BD Comp'!P39)/2,"")</f>
        <v>36291510.366545074</v>
      </c>
      <c r="L39" s="311">
        <f>IF(C39=1,('BD Comp'!R39+'BD Comp'!S39)/2,"")</f>
        <v>9445266.7306082677</v>
      </c>
      <c r="M39" s="311">
        <f>IF(C39=1,('BD Comp'!AA39+'BD Comp'!AB39)/2,"")</f>
        <v>377335.5</v>
      </c>
      <c r="N39" s="311">
        <f>IF(C39=1,('BD Comp'!AJ39+'BD Comp'!AK39)/2,"")</f>
        <v>39166042</v>
      </c>
      <c r="O39" s="312">
        <v>1</v>
      </c>
      <c r="P39" s="311">
        <f t="shared" si="1"/>
        <v>1</v>
      </c>
      <c r="Q39" s="95"/>
      <c r="R39" s="17"/>
    </row>
    <row r="40" spans="1:18" ht="14.5">
      <c r="A40" s="7" t="s">
        <v>318</v>
      </c>
      <c r="B40" s="7" t="s">
        <v>319</v>
      </c>
      <c r="C40" s="44">
        <v>1</v>
      </c>
      <c r="D40" s="44" t="str">
        <f t="shared" si="0"/>
        <v>C000501</v>
      </c>
      <c r="E40" s="311">
        <f>IF(C40=1,('BD Comp'!X40+'BD Comp'!Y40)/2,"")</f>
        <v>53376</v>
      </c>
      <c r="F40" s="311">
        <f>IF(C40=1,('BD Comp'!AD40+'BD Comp'!AE40)/2,"")</f>
        <v>686099.5</v>
      </c>
      <c r="G40" s="311">
        <f>IF(C40=1,('BD Comp'!AP40+'BD Comp'!AQ40)/2,"")</f>
        <v>58778</v>
      </c>
      <c r="H40" s="311">
        <f>IF(C40=1,('BD Comp'!F40+'BD Comp'!G40)/2,"")</f>
        <v>294896457.90975207</v>
      </c>
      <c r="I40" s="311">
        <f>IF(C40=1,('BD Comp'!I40+'BD Comp'!J40)/2,"")</f>
        <v>23477291.792334042</v>
      </c>
      <c r="J40" s="311">
        <f>IF(C40=1,('BD Comp'!L40+'BD Comp'!M40)/2,"")</f>
        <v>16989181.283887848</v>
      </c>
      <c r="K40" s="311">
        <f>IF(C40=1,('BD Comp'!O40+'BD Comp'!P40)/2,"")</f>
        <v>8378759.4693388967</v>
      </c>
      <c r="L40" s="311">
        <f>IF(C40=1,('BD Comp'!R40+'BD Comp'!S40)/2,"")</f>
        <v>8160130.7637894386</v>
      </c>
      <c r="M40" s="311">
        <f>IF(C40=1,('BD Comp'!AA40+'BD Comp'!AB40)/2,"")</f>
        <v>56317</v>
      </c>
      <c r="N40" s="311">
        <f>IF(C40=1,('BD Comp'!AJ40+'BD Comp'!AK40)/2,"")</f>
        <v>9209241.5999999996</v>
      </c>
      <c r="O40" s="312">
        <v>0.81599999999999995</v>
      </c>
      <c r="P40" s="311" t="str">
        <f t="shared" si="1"/>
        <v/>
      </c>
      <c r="Q40" s="95"/>
    </row>
    <row r="41" spans="1:18" ht="14.5" hidden="1">
      <c r="A41" s="7" t="s">
        <v>321</v>
      </c>
      <c r="B41" s="7" t="s">
        <v>322</v>
      </c>
      <c r="C41" s="44"/>
      <c r="D41" s="44" t="str">
        <f t="shared" si="0"/>
        <v>C000502</v>
      </c>
      <c r="E41" s="311" t="str">
        <f>IF(C41=1,('BD Comp'!X41+'BD Comp'!Y41)/2,"")</f>
        <v/>
      </c>
      <c r="F41" s="311" t="str">
        <f>IF(C41=1,('BD Comp'!AD41+'BD Comp'!AE41)/2,"")</f>
        <v/>
      </c>
      <c r="G41" s="311" t="str">
        <f>IF(C41=1,('BD Comp'!AP41+'BD Comp'!AQ41)/2,"")</f>
        <v/>
      </c>
      <c r="H41" s="311" t="str">
        <f>IF(C41=1,('BD Comp'!F41+'BD Comp'!G41)/2,"")</f>
        <v/>
      </c>
      <c r="I41" s="311" t="str">
        <f>IF(C41=1,('BD Comp'!I41+'BD Comp'!J41)/2,"")</f>
        <v/>
      </c>
      <c r="J41" s="311" t="str">
        <f>IF(C41=1,('BD Comp'!L41+'BD Comp'!M41)/2,"")</f>
        <v/>
      </c>
      <c r="K41" s="311" t="str">
        <f>IF(C41=1,('BD Comp'!O41+'BD Comp'!P41)/2,"")</f>
        <v/>
      </c>
      <c r="L41" s="311" t="str">
        <f>IF(C41=1,('BD Comp'!R41+'BD Comp'!S41)/2,"")</f>
        <v/>
      </c>
      <c r="M41" s="311" t="str">
        <f>IF(C41=1,('BD Comp'!AA41+'BD Comp'!AB41)/2,"")</f>
        <v/>
      </c>
      <c r="N41" s="311" t="str">
        <f>IF(C41=1,('BD Comp'!AJ41+'BD Comp'!AK41)/2,"")</f>
        <v/>
      </c>
      <c r="O41" s="312"/>
      <c r="P41" s="311" t="str">
        <f t="shared" si="1"/>
        <v/>
      </c>
      <c r="Q41" s="95"/>
    </row>
    <row r="42" spans="1:18" ht="14.5">
      <c r="A42" s="7" t="s">
        <v>324</v>
      </c>
      <c r="B42" s="7" t="s">
        <v>325</v>
      </c>
      <c r="C42" s="44">
        <v>1</v>
      </c>
      <c r="D42" s="44" t="str">
        <f t="shared" si="0"/>
        <v>C000507</v>
      </c>
      <c r="E42" s="311">
        <f>IF(C42=1,('BD Comp'!X42+'BD Comp'!Y42)/2,"")</f>
        <v>241272.5</v>
      </c>
      <c r="F42" s="311">
        <f>IF(C42=1,('BD Comp'!AD42+'BD Comp'!AE42)/2,"")</f>
        <v>3972864.5</v>
      </c>
      <c r="G42" s="311">
        <f>IF(C42=1,('BD Comp'!AP42+'BD Comp'!AQ42)/2,"")</f>
        <v>240689</v>
      </c>
      <c r="H42" s="311">
        <f>IF(C42=1,('BD Comp'!F42+'BD Comp'!G42)/2,"")</f>
        <v>1503488619.9887738</v>
      </c>
      <c r="I42" s="311">
        <f>IF(C42=1,('BD Comp'!I42+'BD Comp'!J42)/2,"")</f>
        <v>64944530.407135792</v>
      </c>
      <c r="J42" s="311">
        <f>IF(C42=1,('BD Comp'!L42+'BD Comp'!M42)/2,"")</f>
        <v>64957384.230689853</v>
      </c>
      <c r="K42" s="311">
        <f>IF(C42=1,('BD Comp'!O42+'BD Comp'!P42)/2,"")</f>
        <v>60017389.946106419</v>
      </c>
      <c r="L42" s="311">
        <f>IF(C42=1,('BD Comp'!R42+'BD Comp'!S42)/2,"")</f>
        <v>50876834.995636031</v>
      </c>
      <c r="M42" s="311">
        <f>IF(C42=1,('BD Comp'!AA42+'BD Comp'!AB42)/2,"")</f>
        <v>58949</v>
      </c>
      <c r="N42" s="311">
        <f>IF(C42=1,('BD Comp'!AJ42+'BD Comp'!AK42)/2,"")</f>
        <v>25139407.468499996</v>
      </c>
      <c r="O42" s="312">
        <v>1</v>
      </c>
      <c r="P42" s="311">
        <f t="shared" si="1"/>
        <v>1</v>
      </c>
      <c r="Q42" s="95"/>
      <c r="R42" s="17"/>
    </row>
    <row r="43" spans="1:18" ht="14.5">
      <c r="A43" s="7" t="s">
        <v>327</v>
      </c>
      <c r="B43" s="7" t="s">
        <v>328</v>
      </c>
      <c r="C43" s="44">
        <v>1</v>
      </c>
      <c r="D43" s="44" t="str">
        <f t="shared" si="0"/>
        <v>C000509</v>
      </c>
      <c r="E43" s="311">
        <f>IF(C43=1,('BD Comp'!X43+'BD Comp'!Y43)/2,"")</f>
        <v>75136.5</v>
      </c>
      <c r="F43" s="311">
        <f>IF(C43=1,('BD Comp'!AD43+'BD Comp'!AE43)/2,"")</f>
        <v>1496329</v>
      </c>
      <c r="G43" s="311">
        <f>IF(C43=1,('BD Comp'!AP43+'BD Comp'!AQ43)/2,"")</f>
        <v>74341.5</v>
      </c>
      <c r="H43" s="311">
        <f>IF(C43=1,('BD Comp'!F43+'BD Comp'!G43)/2,"")</f>
        <v>496324082.54170132</v>
      </c>
      <c r="I43" s="311">
        <f>IF(C43=1,('BD Comp'!I43+'BD Comp'!J43)/2,"")</f>
        <v>18824901.890775021</v>
      </c>
      <c r="J43" s="311">
        <f>IF(C43=1,('BD Comp'!L43+'BD Comp'!M43)/2,"")</f>
        <v>24710571.622098334</v>
      </c>
      <c r="K43" s="311">
        <f>IF(C43=1,('BD Comp'!O43+'BD Comp'!P43)/2,"")</f>
        <v>19564399.647826217</v>
      </c>
      <c r="L43" s="311">
        <f>IF(C43=1,('BD Comp'!R43+'BD Comp'!S43)/2,"")</f>
        <v>13768029.944650404</v>
      </c>
      <c r="M43" s="311">
        <f>IF(C43=1,('BD Comp'!AA43+'BD Comp'!AB43)/2,"")</f>
        <v>11987.5</v>
      </c>
      <c r="N43" s="311">
        <f>IF(C43=1,('BD Comp'!AJ43+'BD Comp'!AK43)/2,"")</f>
        <v>7912774.7890000008</v>
      </c>
      <c r="O43" s="312">
        <v>1</v>
      </c>
      <c r="P43" s="311">
        <f t="shared" si="1"/>
        <v>1</v>
      </c>
      <c r="Q43" s="95"/>
      <c r="R43" s="17"/>
    </row>
    <row r="44" spans="1:18" ht="14.5" hidden="1">
      <c r="A44" s="7" t="s">
        <v>330</v>
      </c>
      <c r="B44" s="7" t="s">
        <v>331</v>
      </c>
      <c r="C44" s="44"/>
      <c r="D44" s="44" t="str">
        <f t="shared" si="0"/>
        <v>C000522</v>
      </c>
      <c r="E44" s="311" t="str">
        <f>IF(C44=1,('BD Comp'!X44+'BD Comp'!Y44)/2,"")</f>
        <v/>
      </c>
      <c r="F44" s="311" t="str">
        <f>IF(C44=1,('BD Comp'!AD44+'BD Comp'!AE44)/2,"")</f>
        <v/>
      </c>
      <c r="G44" s="311" t="str">
        <f>IF(C44=1,('BD Comp'!AP44+'BD Comp'!AQ44)/2,"")</f>
        <v/>
      </c>
      <c r="H44" s="311" t="str">
        <f>IF(C44=1,('BD Comp'!F44+'BD Comp'!G44)/2,"")</f>
        <v/>
      </c>
      <c r="I44" s="311" t="str">
        <f>IF(C44=1,('BD Comp'!I44+'BD Comp'!J44)/2,"")</f>
        <v/>
      </c>
      <c r="J44" s="311" t="str">
        <f>IF(C44=1,('BD Comp'!L44+'BD Comp'!M44)/2,"")</f>
        <v/>
      </c>
      <c r="K44" s="311" t="str">
        <f>IF(C44=1,('BD Comp'!O44+'BD Comp'!P44)/2,"")</f>
        <v/>
      </c>
      <c r="L44" s="311" t="str">
        <f>IF(C44=1,('BD Comp'!R44+'BD Comp'!S44)/2,"")</f>
        <v/>
      </c>
      <c r="M44" s="311" t="str">
        <f>IF(C44=1,('BD Comp'!AA44+'BD Comp'!AB44)/2,"")</f>
        <v/>
      </c>
      <c r="N44" s="311" t="str">
        <f>IF(C44=1,('BD Comp'!AJ44+'BD Comp'!AK44)/2,"")</f>
        <v/>
      </c>
      <c r="O44" s="312"/>
      <c r="P44" s="311" t="str">
        <f t="shared" si="1"/>
        <v/>
      </c>
      <c r="Q44" s="95"/>
    </row>
    <row r="45" spans="1:18" ht="14.5" hidden="1">
      <c r="A45" s="7" t="s">
        <v>333</v>
      </c>
      <c r="B45" s="7" t="s">
        <v>334</v>
      </c>
      <c r="C45" s="44"/>
      <c r="D45" s="44" t="str">
        <f t="shared" si="0"/>
        <v>C000523</v>
      </c>
      <c r="E45" s="311" t="str">
        <f>IF(C45=1,('BD Comp'!X45+'BD Comp'!Y45)/2,"")</f>
        <v/>
      </c>
      <c r="F45" s="311" t="str">
        <f>IF(C45=1,('BD Comp'!AD45+'BD Comp'!AE45)/2,"")</f>
        <v/>
      </c>
      <c r="G45" s="311" t="str">
        <f>IF(C45=1,('BD Comp'!AP45+'BD Comp'!AQ45)/2,"")</f>
        <v/>
      </c>
      <c r="H45" s="311" t="str">
        <f>IF(C45=1,('BD Comp'!F45+'BD Comp'!G45)/2,"")</f>
        <v/>
      </c>
      <c r="I45" s="311" t="str">
        <f>IF(C45=1,('BD Comp'!I45+'BD Comp'!J45)/2,"")</f>
        <v/>
      </c>
      <c r="J45" s="311" t="str">
        <f>IF(C45=1,('BD Comp'!L45+'BD Comp'!M45)/2,"")</f>
        <v/>
      </c>
      <c r="K45" s="311" t="str">
        <f>IF(C45=1,('BD Comp'!O45+'BD Comp'!P45)/2,"")</f>
        <v/>
      </c>
      <c r="L45" s="311" t="str">
        <f>IF(C45=1,('BD Comp'!R45+'BD Comp'!S45)/2,"")</f>
        <v/>
      </c>
      <c r="M45" s="311" t="str">
        <f>IF(C45=1,('BD Comp'!AA45+'BD Comp'!AB45)/2,"")</f>
        <v/>
      </c>
      <c r="N45" s="311" t="str">
        <f>IF(C45=1,('BD Comp'!AJ45+'BD Comp'!AK45)/2,"")</f>
        <v/>
      </c>
      <c r="O45" s="312"/>
      <c r="P45" s="311" t="str">
        <f t="shared" si="1"/>
        <v/>
      </c>
      <c r="Q45" s="95"/>
    </row>
    <row r="46" spans="1:18" ht="14.5" hidden="1">
      <c r="A46" s="7" t="s">
        <v>336</v>
      </c>
      <c r="B46" s="7" t="s">
        <v>337</v>
      </c>
      <c r="C46" s="44"/>
      <c r="D46" s="44" t="str">
        <f t="shared" si="0"/>
        <v>C000524</v>
      </c>
      <c r="E46" s="311" t="str">
        <f>IF(C46=1,('BD Comp'!X46+'BD Comp'!Y46)/2,"")</f>
        <v/>
      </c>
      <c r="F46" s="311" t="str">
        <f>IF(C46=1,('BD Comp'!AD46+'BD Comp'!AE46)/2,"")</f>
        <v/>
      </c>
      <c r="G46" s="311" t="str">
        <f>IF(C46=1,('BD Comp'!AP46+'BD Comp'!AQ46)/2,"")</f>
        <v/>
      </c>
      <c r="H46" s="311" t="str">
        <f>IF(C46=1,('BD Comp'!F46+'BD Comp'!G46)/2,"")</f>
        <v/>
      </c>
      <c r="I46" s="311" t="str">
        <f>IF(C46=1,('BD Comp'!I46+'BD Comp'!J46)/2,"")</f>
        <v/>
      </c>
      <c r="J46" s="311" t="str">
        <f>IF(C46=1,('BD Comp'!L46+'BD Comp'!M46)/2,"")</f>
        <v/>
      </c>
      <c r="K46" s="311" t="str">
        <f>IF(C46=1,('BD Comp'!O46+'BD Comp'!P46)/2,"")</f>
        <v/>
      </c>
      <c r="L46" s="311" t="str">
        <f>IF(C46=1,('BD Comp'!R46+'BD Comp'!S46)/2,"")</f>
        <v/>
      </c>
      <c r="M46" s="311" t="str">
        <f>IF(C46=1,('BD Comp'!AA46+'BD Comp'!AB46)/2,"")</f>
        <v/>
      </c>
      <c r="N46" s="311" t="str">
        <f>IF(C46=1,('BD Comp'!AJ46+'BD Comp'!AK46)/2,"")</f>
        <v/>
      </c>
      <c r="O46" s="312"/>
      <c r="P46" s="311" t="str">
        <f t="shared" si="1"/>
        <v/>
      </c>
      <c r="Q46" s="95"/>
    </row>
    <row r="47" spans="1:18" ht="14.5" hidden="1">
      <c r="A47" s="7" t="s">
        <v>339</v>
      </c>
      <c r="B47" s="7" t="s">
        <v>340</v>
      </c>
      <c r="C47" s="44"/>
      <c r="D47" s="44" t="str">
        <f t="shared" si="0"/>
        <v>C000525</v>
      </c>
      <c r="E47" s="311" t="str">
        <f>IF(C47=1,('BD Comp'!X47+'BD Comp'!Y47)/2,"")</f>
        <v/>
      </c>
      <c r="F47" s="311" t="str">
        <f>IF(C47=1,('BD Comp'!AD47+'BD Comp'!AE47)/2,"")</f>
        <v/>
      </c>
      <c r="G47" s="311" t="str">
        <f>IF(C47=1,('BD Comp'!AP47+'BD Comp'!AQ47)/2,"")</f>
        <v/>
      </c>
      <c r="H47" s="311" t="str">
        <f>IF(C47=1,('BD Comp'!F47+'BD Comp'!G47)/2,"")</f>
        <v/>
      </c>
      <c r="I47" s="311" t="str">
        <f>IF(C47=1,('BD Comp'!I47+'BD Comp'!J47)/2,"")</f>
        <v/>
      </c>
      <c r="J47" s="311" t="str">
        <f>IF(C47=1,('BD Comp'!L47+'BD Comp'!M47)/2,"")</f>
        <v/>
      </c>
      <c r="K47" s="311" t="str">
        <f>IF(C47=1,('BD Comp'!O47+'BD Comp'!P47)/2,"")</f>
        <v/>
      </c>
      <c r="L47" s="311" t="str">
        <f>IF(C47=1,('BD Comp'!R47+'BD Comp'!S47)/2,"")</f>
        <v/>
      </c>
      <c r="M47" s="311" t="str">
        <f>IF(C47=1,('BD Comp'!AA47+'BD Comp'!AB47)/2,"")</f>
        <v/>
      </c>
      <c r="N47" s="311" t="str">
        <f>IF(C47=1,('BD Comp'!AJ47+'BD Comp'!AK47)/2,"")</f>
        <v/>
      </c>
      <c r="O47" s="312"/>
      <c r="P47" s="311" t="str">
        <f t="shared" si="1"/>
        <v/>
      </c>
      <c r="Q47" s="95"/>
    </row>
    <row r="48" spans="1:18" ht="14.5" hidden="1">
      <c r="A48" s="7" t="s">
        <v>342</v>
      </c>
      <c r="B48" s="7" t="s">
        <v>343</v>
      </c>
      <c r="C48" s="44"/>
      <c r="D48" s="44" t="str">
        <f t="shared" si="0"/>
        <v>C000526</v>
      </c>
      <c r="E48" s="311" t="str">
        <f>IF(C48=1,('BD Comp'!X48+'BD Comp'!Y48)/2,"")</f>
        <v/>
      </c>
      <c r="F48" s="311" t="str">
        <f>IF(C48=1,('BD Comp'!AD48+'BD Comp'!AE48)/2,"")</f>
        <v/>
      </c>
      <c r="G48" s="311" t="str">
        <f>IF(C48=1,('BD Comp'!AP48+'BD Comp'!AQ48)/2,"")</f>
        <v/>
      </c>
      <c r="H48" s="311" t="str">
        <f>IF(C48=1,('BD Comp'!F48+'BD Comp'!G48)/2,"")</f>
        <v/>
      </c>
      <c r="I48" s="311" t="str">
        <f>IF(C48=1,('BD Comp'!I48+'BD Comp'!J48)/2,"")</f>
        <v/>
      </c>
      <c r="J48" s="311" t="str">
        <f>IF(C48=1,('BD Comp'!L48+'BD Comp'!M48)/2,"")</f>
        <v/>
      </c>
      <c r="K48" s="311" t="str">
        <f>IF(C48=1,('BD Comp'!O48+'BD Comp'!P48)/2,"")</f>
        <v/>
      </c>
      <c r="L48" s="311" t="str">
        <f>IF(C48=1,('BD Comp'!R48+'BD Comp'!S48)/2,"")</f>
        <v/>
      </c>
      <c r="M48" s="311" t="str">
        <f>IF(C48=1,('BD Comp'!AA48+'BD Comp'!AB48)/2,"")</f>
        <v/>
      </c>
      <c r="N48" s="311" t="str">
        <f>IF(C48=1,('BD Comp'!AJ48+'BD Comp'!AK48)/2,"")</f>
        <v/>
      </c>
      <c r="O48" s="312"/>
      <c r="P48" s="311" t="str">
        <f t="shared" si="1"/>
        <v/>
      </c>
      <c r="Q48" s="95"/>
    </row>
    <row r="49" spans="1:18" ht="14.5" hidden="1">
      <c r="A49" s="7" t="s">
        <v>345</v>
      </c>
      <c r="B49" s="7" t="s">
        <v>346</v>
      </c>
      <c r="C49" s="44"/>
      <c r="D49" s="44" t="str">
        <f t="shared" si="0"/>
        <v>C000527</v>
      </c>
      <c r="E49" s="311" t="str">
        <f>IF(C49=1,('BD Comp'!X49+'BD Comp'!Y49)/2,"")</f>
        <v/>
      </c>
      <c r="F49" s="311" t="str">
        <f>IF(C49=1,('BD Comp'!AD49+'BD Comp'!AE49)/2,"")</f>
        <v/>
      </c>
      <c r="G49" s="311" t="str">
        <f>IF(C49=1,('BD Comp'!AP49+'BD Comp'!AQ49)/2,"")</f>
        <v/>
      </c>
      <c r="H49" s="311" t="str">
        <f>IF(C49=1,('BD Comp'!F49+'BD Comp'!G49)/2,"")</f>
        <v/>
      </c>
      <c r="I49" s="311" t="str">
        <f>IF(C49=1,('BD Comp'!I49+'BD Comp'!J49)/2,"")</f>
        <v/>
      </c>
      <c r="J49" s="311" t="str">
        <f>IF(C49=1,('BD Comp'!L49+'BD Comp'!M49)/2,"")</f>
        <v/>
      </c>
      <c r="K49" s="311" t="str">
        <f>IF(C49=1,('BD Comp'!O49+'BD Comp'!P49)/2,"")</f>
        <v/>
      </c>
      <c r="L49" s="311" t="str">
        <f>IF(C49=1,('BD Comp'!R49+'BD Comp'!S49)/2,"")</f>
        <v/>
      </c>
      <c r="M49" s="311" t="str">
        <f>IF(C49=1,('BD Comp'!AA49+'BD Comp'!AB49)/2,"")</f>
        <v/>
      </c>
      <c r="N49" s="311" t="str">
        <f>IF(C49=1,('BD Comp'!AJ49+'BD Comp'!AK49)/2,"")</f>
        <v/>
      </c>
      <c r="O49" s="312"/>
      <c r="P49" s="311" t="str">
        <f t="shared" si="1"/>
        <v/>
      </c>
      <c r="Q49" s="95"/>
    </row>
    <row r="50" spans="1:18" ht="14.5">
      <c r="A50" s="7" t="s">
        <v>348</v>
      </c>
      <c r="B50" s="7" t="s">
        <v>349</v>
      </c>
      <c r="C50" s="44">
        <v>1</v>
      </c>
      <c r="D50" s="44" t="str">
        <f t="shared" si="0"/>
        <v>C000530</v>
      </c>
      <c r="E50" s="311">
        <f>IF(C50=1,('BD Comp'!X50+'BD Comp'!Y50)/2,"")</f>
        <v>964644.5</v>
      </c>
      <c r="F50" s="311">
        <f>IF(C50=1,('BD Comp'!AD50+'BD Comp'!AE50)/2,"")</f>
        <v>26142195.5</v>
      </c>
      <c r="G50" s="311">
        <f>IF(C50=1,('BD Comp'!AP50+'BD Comp'!AQ50)/2,"")</f>
        <v>568001</v>
      </c>
      <c r="H50" s="311">
        <f>IF(C50=1,('BD Comp'!F50+'BD Comp'!G50)/2,"")</f>
        <v>6886257329.7001991</v>
      </c>
      <c r="I50" s="311">
        <f>IF(C50=1,('BD Comp'!I50+'BD Comp'!J50)/2,"")</f>
        <v>311167076.38148355</v>
      </c>
      <c r="J50" s="311">
        <f>IF(C50=1,('BD Comp'!L50+'BD Comp'!M50)/2,"")</f>
        <v>195452471.75495064</v>
      </c>
      <c r="K50" s="311">
        <f>IF(C50=1,('BD Comp'!O50+'BD Comp'!P50)/2,"")</f>
        <v>66381717.730672091</v>
      </c>
      <c r="L50" s="311">
        <f>IF(C50=1,('BD Comp'!R50+'BD Comp'!S50)/2,"")</f>
        <v>24393967.933915924</v>
      </c>
      <c r="M50" s="311">
        <f>IF(C50=1,('BD Comp'!AA50+'BD Comp'!AB50)/2,"")</f>
        <v>1953487.5</v>
      </c>
      <c r="N50" s="311">
        <f>IF(C50=1,('BD Comp'!AJ50+'BD Comp'!AK50)/2,"")</f>
        <v>398926776.70000005</v>
      </c>
      <c r="O50" s="312">
        <v>0.82399999999999995</v>
      </c>
      <c r="P50" s="311" t="str">
        <f t="shared" si="1"/>
        <v/>
      </c>
      <c r="Q50" s="95"/>
    </row>
    <row r="51" spans="1:18" ht="14.5">
      <c r="A51" s="7" t="s">
        <v>351</v>
      </c>
      <c r="B51" s="7" t="s">
        <v>352</v>
      </c>
      <c r="C51" s="44">
        <v>1</v>
      </c>
      <c r="D51" s="44" t="str">
        <f t="shared" si="0"/>
        <v>C000532</v>
      </c>
      <c r="E51" s="311">
        <f>IF(C51=1,('BD Comp'!X51+'BD Comp'!Y51)/2,"")</f>
        <v>609198.5</v>
      </c>
      <c r="F51" s="311">
        <f>IF(C51=1,('BD Comp'!AD51+'BD Comp'!AE51)/2,"")</f>
        <v>17649521</v>
      </c>
      <c r="G51" s="311">
        <f>IF(C51=1,('BD Comp'!AP51+'BD Comp'!AQ51)/2,"")</f>
        <v>491655.5</v>
      </c>
      <c r="H51" s="311">
        <f>IF(C51=1,('BD Comp'!F51+'BD Comp'!G51)/2,"")</f>
        <v>3567640577.9641953</v>
      </c>
      <c r="I51" s="311">
        <f>IF(C51=1,('BD Comp'!I51+'BD Comp'!J51)/2,"")</f>
        <v>219531122.09951228</v>
      </c>
      <c r="J51" s="311">
        <f>IF(C51=1,('BD Comp'!L51+'BD Comp'!M51)/2,"")</f>
        <v>91615788.547737658</v>
      </c>
      <c r="K51" s="311">
        <f>IF(C51=1,('BD Comp'!O51+'BD Comp'!P51)/2,"")</f>
        <v>46157003.797756538</v>
      </c>
      <c r="L51" s="311">
        <f>IF(C51=1,('BD Comp'!R51+'BD Comp'!S51)/2,"")</f>
        <v>18218384.616240025</v>
      </c>
      <c r="M51" s="311">
        <f>IF(C51=1,('BD Comp'!AA51+'BD Comp'!AB51)/2,"")</f>
        <v>1333720</v>
      </c>
      <c r="N51" s="311">
        <f>IF(C51=1,('BD Comp'!AJ51+'BD Comp'!AK51)/2,"")</f>
        <v>65561224.25</v>
      </c>
      <c r="O51" s="312">
        <v>0.89200000000000002</v>
      </c>
      <c r="P51" s="311" t="str">
        <f t="shared" si="1"/>
        <v/>
      </c>
      <c r="Q51" s="95"/>
    </row>
    <row r="52" spans="1:18" ht="14.5">
      <c r="A52" s="7" t="s">
        <v>354</v>
      </c>
      <c r="B52" s="7" t="s">
        <v>355</v>
      </c>
      <c r="C52" s="44">
        <v>1</v>
      </c>
      <c r="D52" s="44" t="str">
        <f t="shared" si="0"/>
        <v>C000533</v>
      </c>
      <c r="E52" s="311">
        <f>IF(C52=1,('BD Comp'!X52+'BD Comp'!Y52)/2,"")</f>
        <v>163470</v>
      </c>
      <c r="F52" s="311">
        <f>IF(C52=1,('BD Comp'!AD52+'BD Comp'!AE52)/2,"")</f>
        <v>5279821.5</v>
      </c>
      <c r="G52" s="311">
        <f>IF(C52=1,('BD Comp'!AP52+'BD Comp'!AQ52)/2,"")</f>
        <v>169374.5</v>
      </c>
      <c r="H52" s="311">
        <f>IF(C52=1,('BD Comp'!F52+'BD Comp'!G52)/2,"")</f>
        <v>1607820165.9500368</v>
      </c>
      <c r="I52" s="311">
        <f>IF(C52=1,('BD Comp'!I52+'BD Comp'!J52)/2,"")</f>
        <v>36029004.7840143</v>
      </c>
      <c r="J52" s="311">
        <f>IF(C52=1,('BD Comp'!L52+'BD Comp'!M52)/2,"")</f>
        <v>43140533.136047184</v>
      </c>
      <c r="K52" s="311">
        <f>IF(C52=1,('BD Comp'!O52+'BD Comp'!P52)/2,"")</f>
        <v>10959713.66946849</v>
      </c>
      <c r="L52" s="311">
        <f>IF(C52=1,('BD Comp'!R52+'BD Comp'!S52)/2,"")</f>
        <v>6057462.3884278908</v>
      </c>
      <c r="M52" s="311">
        <f>IF(C52=1,('BD Comp'!AA52+'BD Comp'!AB52)/2,"")</f>
        <v>393295.5</v>
      </c>
      <c r="N52" s="311">
        <f>IF(C52=1,('BD Comp'!AJ52+'BD Comp'!AK52)/2,"")</f>
        <v>67276349.600000009</v>
      </c>
      <c r="O52" s="312">
        <v>0.99</v>
      </c>
      <c r="P52" s="311">
        <f t="shared" si="1"/>
        <v>1</v>
      </c>
      <c r="Q52" s="95"/>
      <c r="R52" s="17"/>
    </row>
    <row r="53" spans="1:18" ht="14.5">
      <c r="A53" s="7" t="s">
        <v>357</v>
      </c>
      <c r="B53" s="7" t="s">
        <v>358</v>
      </c>
      <c r="C53" s="44">
        <v>1</v>
      </c>
      <c r="D53" s="44" t="str">
        <f t="shared" si="0"/>
        <v>C000534</v>
      </c>
      <c r="E53" s="311">
        <f>IF(C53=1,('BD Comp'!X53+'BD Comp'!Y53)/2,"")</f>
        <v>48979.5</v>
      </c>
      <c r="F53" s="311">
        <f>IF(C53=1,('BD Comp'!AD53+'BD Comp'!AE53)/2,"")</f>
        <v>1879804.5</v>
      </c>
      <c r="G53" s="311">
        <f>IF(C53=1,('BD Comp'!AP53+'BD Comp'!AQ53)/2,"")</f>
        <v>51169.5</v>
      </c>
      <c r="H53" s="311">
        <f>IF(C53=1,('BD Comp'!F53+'BD Comp'!G53)/2,"")</f>
        <v>310145406.67635381</v>
      </c>
      <c r="I53" s="311">
        <f>IF(C53=1,('BD Comp'!I53+'BD Comp'!J53)/2,"")</f>
        <v>10014782.328229301</v>
      </c>
      <c r="J53" s="311">
        <f>IF(C53=1,('BD Comp'!L53+'BD Comp'!M53)/2,"")</f>
        <v>10843783.125330357</v>
      </c>
      <c r="K53" s="311">
        <f>IF(C53=1,('BD Comp'!O53+'BD Comp'!P53)/2,"")</f>
        <v>1639558.2607103644</v>
      </c>
      <c r="L53" s="311">
        <f>IF(C53=1,('BD Comp'!R53+'BD Comp'!S53)/2,"")</f>
        <v>2334199.098542267</v>
      </c>
      <c r="M53" s="311">
        <f>IF(C53=1,('BD Comp'!AA53+'BD Comp'!AB53)/2,"")</f>
        <v>60750.5</v>
      </c>
      <c r="N53" s="311">
        <f>IF(C53=1,('BD Comp'!AJ53+'BD Comp'!AK53)/2,"")</f>
        <v>11798605.25</v>
      </c>
      <c r="O53" s="312">
        <v>1</v>
      </c>
      <c r="P53" s="311">
        <f t="shared" si="1"/>
        <v>1</v>
      </c>
      <c r="Q53" s="95"/>
      <c r="R53" s="17"/>
    </row>
    <row r="54" spans="1:18" ht="14.5">
      <c r="A54" s="7" t="s">
        <v>360</v>
      </c>
      <c r="B54" s="7" t="s">
        <v>361</v>
      </c>
      <c r="C54" s="44">
        <v>1</v>
      </c>
      <c r="D54" s="44" t="str">
        <f t="shared" si="0"/>
        <v>C000535</v>
      </c>
      <c r="E54" s="311">
        <f>IF(C54=1,('BD Comp'!X54+'BD Comp'!Y54)/2,"")</f>
        <v>1521428.5</v>
      </c>
      <c r="F54" s="311">
        <f>IF(C54=1,('BD Comp'!AD54+'BD Comp'!AE54)/2,"")</f>
        <v>44480113</v>
      </c>
      <c r="G54" s="311">
        <f>IF(C54=1,('BD Comp'!AP54+'BD Comp'!AQ54)/2,"")</f>
        <v>1560909.5</v>
      </c>
      <c r="H54" s="311">
        <f>IF(C54=1,('BD Comp'!F54+'BD Comp'!G54)/2,"")</f>
        <v>8192250898.8707943</v>
      </c>
      <c r="I54" s="311">
        <f>IF(C54=1,('BD Comp'!I54+'BD Comp'!J54)/2,"")</f>
        <v>417453350.11692941</v>
      </c>
      <c r="J54" s="311">
        <f>IF(C54=1,('BD Comp'!L54+'BD Comp'!M54)/2,"")</f>
        <v>237036528.71412474</v>
      </c>
      <c r="K54" s="311">
        <f>IF(C54=1,('BD Comp'!O54+'BD Comp'!P54)/2,"")</f>
        <v>193918974.00036299</v>
      </c>
      <c r="L54" s="311">
        <f>IF(C54=1,('BD Comp'!R54+'BD Comp'!S54)/2,"")</f>
        <v>28811582.326884978</v>
      </c>
      <c r="M54" s="311">
        <f>IF(C54=1,('BD Comp'!AA54+'BD Comp'!AB54)/2,"")</f>
        <v>545006.5</v>
      </c>
      <c r="N54" s="311">
        <f>IF(C54=1,('BD Comp'!AJ54+'BD Comp'!AK54)/2,"")</f>
        <v>248715900.59999999</v>
      </c>
      <c r="O54" s="312">
        <v>1</v>
      </c>
      <c r="P54" s="311">
        <f t="shared" si="1"/>
        <v>1</v>
      </c>
      <c r="Q54" s="95"/>
      <c r="R54" s="17"/>
    </row>
    <row r="55" spans="1:18" ht="14.5">
      <c r="A55" s="7" t="s">
        <v>363</v>
      </c>
      <c r="B55" s="7" t="s">
        <v>364</v>
      </c>
      <c r="C55" s="44">
        <v>1</v>
      </c>
      <c r="D55" s="44" t="str">
        <f t="shared" si="0"/>
        <v>C000536</v>
      </c>
      <c r="E55" s="311">
        <f>IF(C55=1,('BD Comp'!X55+'BD Comp'!Y55)/2,"")</f>
        <v>574290.5</v>
      </c>
      <c r="F55" s="311">
        <f>IF(C55=1,('BD Comp'!AD55+'BD Comp'!AE55)/2,"")</f>
        <v>18827981</v>
      </c>
      <c r="G55" s="311">
        <f>IF(C55=1,('BD Comp'!AP55+'BD Comp'!AQ55)/2,"")</f>
        <v>604062.5</v>
      </c>
      <c r="H55" s="311">
        <f>IF(C55=1,('BD Comp'!F55+'BD Comp'!G55)/2,"")</f>
        <v>3827844415.72577</v>
      </c>
      <c r="I55" s="311">
        <f>IF(C55=1,('BD Comp'!I55+'BD Comp'!J55)/2,"")</f>
        <v>170547982.47096756</v>
      </c>
      <c r="J55" s="311">
        <f>IF(C55=1,('BD Comp'!L55+'BD Comp'!M55)/2,"")</f>
        <v>88872299.687905446</v>
      </c>
      <c r="K55" s="311">
        <f>IF(C55=1,('BD Comp'!O55+'BD Comp'!P55)/2,"")</f>
        <v>60269932.264682092</v>
      </c>
      <c r="L55" s="311">
        <f>IF(C55=1,('BD Comp'!R55+'BD Comp'!S55)/2,"")</f>
        <v>16528303.838584673</v>
      </c>
      <c r="M55" s="311">
        <f>IF(C55=1,('BD Comp'!AA55+'BD Comp'!AB55)/2,"")</f>
        <v>1167087.5</v>
      </c>
      <c r="N55" s="311">
        <f>IF(C55=1,('BD Comp'!AJ55+'BD Comp'!AK55)/2,"")</f>
        <v>62193327.899999999</v>
      </c>
      <c r="O55" s="312">
        <v>0.94099999999999995</v>
      </c>
      <c r="P55" s="311">
        <f t="shared" si="1"/>
        <v>1</v>
      </c>
      <c r="Q55" s="95"/>
    </row>
    <row r="56" spans="1:18" ht="14.5">
      <c r="A56" s="7" t="s">
        <v>366</v>
      </c>
      <c r="B56" s="7" t="s">
        <v>367</v>
      </c>
      <c r="C56" s="44">
        <v>1</v>
      </c>
      <c r="D56" s="44" t="str">
        <f t="shared" si="0"/>
        <v>C000537</v>
      </c>
      <c r="E56" s="311">
        <f>IF(C56=1,('BD Comp'!X56+'BD Comp'!Y56)/2,"")</f>
        <v>550855.5</v>
      </c>
      <c r="F56" s="311">
        <f>IF(C56=1,('BD Comp'!AD56+'BD Comp'!AE56)/2,"")</f>
        <v>17206744</v>
      </c>
      <c r="G56" s="311">
        <f>IF(C56=1,('BD Comp'!AP56+'BD Comp'!AQ56)/2,"")</f>
        <v>122949.5</v>
      </c>
      <c r="H56" s="311">
        <f>IF(C56=1,('BD Comp'!F56+'BD Comp'!G56)/2,"")</f>
        <v>3434821675.1490555</v>
      </c>
      <c r="I56" s="311">
        <f>IF(C56=1,('BD Comp'!I56+'BD Comp'!J56)/2,"")</f>
        <v>162847743.77384797</v>
      </c>
      <c r="J56" s="311">
        <f>IF(C56=1,('BD Comp'!L56+'BD Comp'!M56)/2,"")</f>
        <v>96458637.257891133</v>
      </c>
      <c r="K56" s="311">
        <f>IF(C56=1,('BD Comp'!O56+'BD Comp'!P56)/2,"")</f>
        <v>52904342.801377669</v>
      </c>
      <c r="L56" s="311">
        <f>IF(C56=1,('BD Comp'!R56+'BD Comp'!S56)/2,"")</f>
        <v>24650165.892509326</v>
      </c>
      <c r="M56" s="311">
        <f>IF(C56=1,('BD Comp'!AA56+'BD Comp'!AB56)/2,"")</f>
        <v>941249.5</v>
      </c>
      <c r="N56" s="311">
        <f>IF(C56=1,('BD Comp'!AJ56+'BD Comp'!AK56)/2,"")</f>
        <v>117750381.75</v>
      </c>
      <c r="O56" s="312">
        <v>0.874</v>
      </c>
      <c r="P56" s="311" t="str">
        <f t="shared" si="1"/>
        <v/>
      </c>
      <c r="Q56" s="95"/>
    </row>
    <row r="57" spans="1:18" ht="14.5" hidden="1">
      <c r="A57" s="7" t="s">
        <v>369</v>
      </c>
      <c r="B57" s="7" t="s">
        <v>370</v>
      </c>
      <c r="C57" s="44"/>
      <c r="D57" s="44" t="str">
        <f t="shared" si="0"/>
        <v>C000538</v>
      </c>
      <c r="E57" s="311" t="str">
        <f>IF(C57=1,('BD Comp'!X57+'BD Comp'!Y57)/2,"")</f>
        <v/>
      </c>
      <c r="F57" s="311" t="str">
        <f>IF(C57=1,('BD Comp'!AD57+'BD Comp'!AE57)/2,"")</f>
        <v/>
      </c>
      <c r="G57" s="311" t="str">
        <f>IF(C57=1,('BD Comp'!AP57+'BD Comp'!AQ57)/2,"")</f>
        <v/>
      </c>
      <c r="H57" s="311" t="str">
        <f>IF(C57=1,('BD Comp'!F57+'BD Comp'!G57)/2,"")</f>
        <v/>
      </c>
      <c r="I57" s="311" t="str">
        <f>IF(C57=1,('BD Comp'!I57+'BD Comp'!J57)/2,"")</f>
        <v/>
      </c>
      <c r="J57" s="311" t="str">
        <f>IF(C57=1,('BD Comp'!L57+'BD Comp'!M57)/2,"")</f>
        <v/>
      </c>
      <c r="K57" s="311" t="str">
        <f>IF(C57=1,('BD Comp'!O57+'BD Comp'!P57)/2,"")</f>
        <v/>
      </c>
      <c r="L57" s="311" t="str">
        <f>IF(C57=1,('BD Comp'!R57+'BD Comp'!S57)/2,"")</f>
        <v/>
      </c>
      <c r="M57" s="311" t="str">
        <f>IF(C57=1,('BD Comp'!AA57+'BD Comp'!AB57)/2,"")</f>
        <v/>
      </c>
      <c r="N57" s="311" t="str">
        <f>IF(C57=1,('BD Comp'!AJ57+'BD Comp'!AK57)/2,"")</f>
        <v/>
      </c>
      <c r="O57" s="312"/>
      <c r="P57" s="311" t="str">
        <f t="shared" si="1"/>
        <v/>
      </c>
      <c r="Q57" s="95"/>
      <c r="R57" s="17"/>
    </row>
    <row r="58" spans="1:18" ht="14.5">
      <c r="A58" s="7" t="s">
        <v>372</v>
      </c>
      <c r="B58" s="7" t="s">
        <v>373</v>
      </c>
      <c r="C58" s="44">
        <v>1</v>
      </c>
      <c r="D58" s="44" t="str">
        <f t="shared" si="0"/>
        <v>C000542</v>
      </c>
      <c r="E58" s="311">
        <f>IF(C58=1,('BD Comp'!X58+'BD Comp'!Y58)/2,"")</f>
        <v>485835.5</v>
      </c>
      <c r="F58" s="311">
        <f>IF(C58=1,('BD Comp'!AD58+'BD Comp'!AE58)/2,"")</f>
        <v>14973243.5</v>
      </c>
      <c r="G58" s="311">
        <f>IF(C58=1,('BD Comp'!AP58+'BD Comp'!AQ58)/2,"")</f>
        <v>485886.5</v>
      </c>
      <c r="H58" s="311">
        <f>IF(C58=1,('BD Comp'!F58+'BD Comp'!G58)/2,"")</f>
        <v>4347054431.4134102</v>
      </c>
      <c r="I58" s="311">
        <f>IF(C58=1,('BD Comp'!I58+'BD Comp'!J58)/2,"")</f>
        <v>132435058.192305</v>
      </c>
      <c r="J58" s="311">
        <f>IF(C58=1,('BD Comp'!L58+'BD Comp'!M58)/2,"")</f>
        <v>71432043.742151916</v>
      </c>
      <c r="K58" s="311">
        <f>IF(C58=1,('BD Comp'!O58+'BD Comp'!P58)/2,"")</f>
        <v>22608011.828728553</v>
      </c>
      <c r="L58" s="311">
        <f>IF(C58=1,('BD Comp'!R58+'BD Comp'!S58)/2,"")</f>
        <v>78037068.037070632</v>
      </c>
      <c r="M58" s="311">
        <f>IF(C58=1,('BD Comp'!AA58+'BD Comp'!AB58)/2,"")</f>
        <v>836519.5</v>
      </c>
      <c r="N58" s="311">
        <f>IF(C58=1,('BD Comp'!AJ58+'BD Comp'!AK58)/2,"")</f>
        <v>70935722.5</v>
      </c>
      <c r="O58" s="312">
        <v>1</v>
      </c>
      <c r="P58" s="311">
        <f t="shared" si="1"/>
        <v>1</v>
      </c>
      <c r="Q58" s="95"/>
      <c r="R58" s="17"/>
    </row>
    <row r="59" spans="1:18" ht="14.5">
      <c r="A59" s="7" t="s">
        <v>375</v>
      </c>
      <c r="B59" s="7" t="s">
        <v>376</v>
      </c>
      <c r="C59" s="44">
        <v>1</v>
      </c>
      <c r="D59" s="44" t="str">
        <f t="shared" si="0"/>
        <v>C000553</v>
      </c>
      <c r="E59" s="311">
        <f>IF(C59=1,('BD Comp'!X59+'BD Comp'!Y59)/2,"")</f>
        <v>432271</v>
      </c>
      <c r="F59" s="311">
        <f>IF(C59=1,('BD Comp'!AD59+'BD Comp'!AE59)/2,"")</f>
        <v>11106798.5</v>
      </c>
      <c r="G59" s="311">
        <f>IF(C59=1,('BD Comp'!AP59+'BD Comp'!AQ59)/2,"")</f>
        <v>106690.5</v>
      </c>
      <c r="H59" s="311">
        <f>IF(C59=1,('BD Comp'!F59+'BD Comp'!G59)/2,"")</f>
        <v>2260882710.25067</v>
      </c>
      <c r="I59" s="311">
        <f>IF(C59=1,('BD Comp'!I59+'BD Comp'!J59)/2,"")</f>
        <v>62824169.653946891</v>
      </c>
      <c r="J59" s="311">
        <f>IF(C59=1,('BD Comp'!L59+'BD Comp'!M59)/2,"")</f>
        <v>50428926.654051393</v>
      </c>
      <c r="K59" s="311">
        <f>IF(C59=1,('BD Comp'!O59+'BD Comp'!P59)/2,"")</f>
        <v>33767628.096212052</v>
      </c>
      <c r="L59" s="311">
        <f>IF(C59=1,('BD Comp'!R59+'BD Comp'!S59)/2,"")</f>
        <v>30494556.844318032</v>
      </c>
      <c r="M59" s="311">
        <f>IF(C59=1,('BD Comp'!AA59+'BD Comp'!AB59)/2,"")</f>
        <v>519279</v>
      </c>
      <c r="N59" s="311">
        <f>IF(C59=1,('BD Comp'!AJ59+'BD Comp'!AK59)/2,"")</f>
        <v>31737921.094000001</v>
      </c>
      <c r="O59" s="312">
        <v>1</v>
      </c>
      <c r="P59" s="311">
        <f t="shared" si="1"/>
        <v>1</v>
      </c>
      <c r="Q59" s="95"/>
      <c r="R59" s="17"/>
    </row>
    <row r="60" spans="1:18" ht="14.5">
      <c r="A60" s="7" t="s">
        <v>378</v>
      </c>
      <c r="B60" s="7" t="s">
        <v>379</v>
      </c>
      <c r="C60" s="44">
        <v>1</v>
      </c>
      <c r="D60" s="44" t="str">
        <f t="shared" si="0"/>
        <v>C000555</v>
      </c>
      <c r="E60" s="311">
        <f>IF(C60=1,('BD Comp'!X60+'BD Comp'!Y60)/2,"")</f>
        <v>568189.5</v>
      </c>
      <c r="F60" s="311">
        <f>IF(C60=1,('BD Comp'!AD60+'BD Comp'!AE60)/2,"")</f>
        <v>17938043</v>
      </c>
      <c r="G60" s="311">
        <f>IF(C60=1,('BD Comp'!AP60+'BD Comp'!AQ60)/2,"")</f>
        <v>138027</v>
      </c>
      <c r="H60" s="311">
        <f>IF(C60=1,('BD Comp'!F60+'BD Comp'!G60)/2,"")</f>
        <v>4424413965.9361258</v>
      </c>
      <c r="I60" s="311">
        <f>IF(C60=1,('BD Comp'!I60+'BD Comp'!J60)/2,"")</f>
        <v>120528754.01185188</v>
      </c>
      <c r="J60" s="311">
        <f>IF(C60=1,('BD Comp'!L60+'BD Comp'!M60)/2,"")</f>
        <v>66121817.593382083</v>
      </c>
      <c r="K60" s="311">
        <f>IF(C60=1,('BD Comp'!O60+'BD Comp'!P60)/2,"")</f>
        <v>63292833.034011111</v>
      </c>
      <c r="L60" s="311">
        <f>IF(C60=1,('BD Comp'!R60+'BD Comp'!S60)/2,"")</f>
        <v>41152622.566557691</v>
      </c>
      <c r="M60" s="311">
        <f>IF(C60=1,('BD Comp'!AA60+'BD Comp'!AB60)/2,"")</f>
        <v>1116977</v>
      </c>
      <c r="N60" s="311">
        <f>IF(C60=1,('BD Comp'!AJ60+'BD Comp'!AK60)/2,"")</f>
        <v>43497754.275000006</v>
      </c>
      <c r="O60" s="312">
        <v>0.9</v>
      </c>
      <c r="P60" s="311">
        <f t="shared" si="1"/>
        <v>1</v>
      </c>
      <c r="Q60" s="95"/>
      <c r="R60" s="17"/>
    </row>
    <row r="61" spans="1:18" ht="14.5">
      <c r="A61" s="7" t="s">
        <v>381</v>
      </c>
      <c r="B61" s="7" t="s">
        <v>382</v>
      </c>
      <c r="C61" s="44">
        <v>1</v>
      </c>
      <c r="D61" s="44" t="str">
        <f t="shared" si="0"/>
        <v>C000602</v>
      </c>
      <c r="E61" s="311">
        <f>IF(C61=1,('BD Comp'!X61+'BD Comp'!Y61)/2,"")</f>
        <v>537723</v>
      </c>
      <c r="F61" s="311">
        <f>IF(C61=1,('BD Comp'!AD61+'BD Comp'!AE61)/2,"")</f>
        <v>3386833</v>
      </c>
      <c r="G61" s="311">
        <f>IF(C61=1,('BD Comp'!AP61+'BD Comp'!AQ61)/2,"")</f>
        <v>455194.5</v>
      </c>
      <c r="H61" s="311">
        <f>IF(C61=1,('BD Comp'!F61+'BD Comp'!G61)/2,"")</f>
        <v>3293674217.9843006</v>
      </c>
      <c r="I61" s="311">
        <f>IF(C61=1,('BD Comp'!I61+'BD Comp'!J61)/2,"")</f>
        <v>123309601.25164464</v>
      </c>
      <c r="J61" s="311">
        <f>IF(C61=1,('BD Comp'!L61+'BD Comp'!M61)/2,"")</f>
        <v>62192154.204089344</v>
      </c>
      <c r="K61" s="311">
        <f>IF(C61=1,('BD Comp'!O61+'BD Comp'!P61)/2,"")</f>
        <v>57116680.037050292</v>
      </c>
      <c r="L61" s="311">
        <f>IF(C61=1,('BD Comp'!R61+'BD Comp'!S61)/2,"")</f>
        <v>47003024.249100164</v>
      </c>
      <c r="M61" s="311">
        <f>IF(C61=1,('BD Comp'!AA61+'BD Comp'!AB61)/2,"")</f>
        <v>131152.5</v>
      </c>
      <c r="N61" s="311">
        <f>IF(C61=1,('BD Comp'!AJ61+'BD Comp'!AK61)/2,"")</f>
        <v>55121163.950000003</v>
      </c>
      <c r="O61" s="312">
        <v>1</v>
      </c>
      <c r="P61" s="311">
        <f t="shared" si="1"/>
        <v>1</v>
      </c>
      <c r="Q61" s="95"/>
      <c r="R61" s="17"/>
    </row>
    <row r="62" spans="1:18" ht="14.5" hidden="1">
      <c r="A62" s="7" t="s">
        <v>384</v>
      </c>
      <c r="B62" s="7" t="s">
        <v>385</v>
      </c>
      <c r="C62" s="44"/>
      <c r="D62" s="44" t="str">
        <f t="shared" si="0"/>
        <v>C000615</v>
      </c>
      <c r="E62" s="311" t="str">
        <f>IF(C62=1,('BD Comp'!X62+'BD Comp'!Y62)/2,"")</f>
        <v/>
      </c>
      <c r="F62" s="311" t="str">
        <f>IF(C62=1,('BD Comp'!AD62+'BD Comp'!AE62)/2,"")</f>
        <v/>
      </c>
      <c r="G62" s="311" t="str">
        <f>IF(C62=1,('BD Comp'!AP62+'BD Comp'!AQ62)/2,"")</f>
        <v/>
      </c>
      <c r="H62" s="311" t="str">
        <f>IF(C62=1,('BD Comp'!F62+'BD Comp'!G62)/2,"")</f>
        <v/>
      </c>
      <c r="I62" s="311" t="str">
        <f>IF(C62=1,('BD Comp'!I62+'BD Comp'!J62)/2,"")</f>
        <v/>
      </c>
      <c r="J62" s="311" t="str">
        <f>IF(C62=1,('BD Comp'!L62+'BD Comp'!M62)/2,"")</f>
        <v/>
      </c>
      <c r="K62" s="311" t="str">
        <f>IF(C62=1,('BD Comp'!O62+'BD Comp'!P62)/2,"")</f>
        <v/>
      </c>
      <c r="L62" s="311" t="str">
        <f>IF(C62=1,('BD Comp'!R62+'BD Comp'!S62)/2,"")</f>
        <v/>
      </c>
      <c r="M62" s="311" t="str">
        <f>IF(C62=1,('BD Comp'!AA62+'BD Comp'!AB62)/2,"")</f>
        <v/>
      </c>
      <c r="N62" s="311" t="str">
        <f>IF(C62=1,('BD Comp'!AJ62+'BD Comp'!AK62)/2,"")</f>
        <v/>
      </c>
      <c r="O62" s="312"/>
      <c r="P62" s="311" t="str">
        <f t="shared" si="1"/>
        <v/>
      </c>
      <c r="Q62" s="95"/>
    </row>
    <row r="63" spans="1:18" ht="14.5" hidden="1">
      <c r="A63" s="7" t="s">
        <v>387</v>
      </c>
      <c r="B63" s="7" t="s">
        <v>388</v>
      </c>
      <c r="C63" s="44"/>
      <c r="D63" s="44" t="str">
        <f t="shared" si="0"/>
        <v>C000616</v>
      </c>
      <c r="E63" s="311" t="str">
        <f>IF(C63=1,('BD Comp'!X63+'BD Comp'!Y63)/2,"")</f>
        <v/>
      </c>
      <c r="F63" s="311" t="str">
        <f>IF(C63=1,('BD Comp'!AD63+'BD Comp'!AE63)/2,"")</f>
        <v/>
      </c>
      <c r="G63" s="311" t="str">
        <f>IF(C63=1,('BD Comp'!AP63+'BD Comp'!AQ63)/2,"")</f>
        <v/>
      </c>
      <c r="H63" s="311" t="str">
        <f>IF(C63=1,('BD Comp'!F63+'BD Comp'!G63)/2,"")</f>
        <v/>
      </c>
      <c r="I63" s="311" t="str">
        <f>IF(C63=1,('BD Comp'!I63+'BD Comp'!J63)/2,"")</f>
        <v/>
      </c>
      <c r="J63" s="311" t="str">
        <f>IF(C63=1,('BD Comp'!L63+'BD Comp'!M63)/2,"")</f>
        <v/>
      </c>
      <c r="K63" s="311" t="str">
        <f>IF(C63=1,('BD Comp'!O63+'BD Comp'!P63)/2,"")</f>
        <v/>
      </c>
      <c r="L63" s="311" t="str">
        <f>IF(C63=1,('BD Comp'!R63+'BD Comp'!S63)/2,"")</f>
        <v/>
      </c>
      <c r="M63" s="311" t="str">
        <f>IF(C63=1,('BD Comp'!AA63+'BD Comp'!AB63)/2,"")</f>
        <v/>
      </c>
      <c r="N63" s="311" t="str">
        <f>IF(C63=1,('BD Comp'!AJ63+'BD Comp'!AK63)/2,"")</f>
        <v/>
      </c>
      <c r="O63" s="312"/>
      <c r="P63" s="311" t="str">
        <f t="shared" si="1"/>
        <v/>
      </c>
      <c r="Q63" s="95"/>
    </row>
    <row r="64" spans="1:18" ht="14.5">
      <c r="A64" s="7" t="s">
        <v>390</v>
      </c>
      <c r="B64" s="7" t="s">
        <v>391</v>
      </c>
      <c r="C64" s="44">
        <v>1</v>
      </c>
      <c r="D64" s="44" t="str">
        <f t="shared" si="0"/>
        <v>C000617</v>
      </c>
      <c r="E64" s="311">
        <f>IF(C64=1,('BD Comp'!X64+'BD Comp'!Y64)/2,"")</f>
        <v>391034</v>
      </c>
      <c r="F64" s="311">
        <f>IF(C64=1,('BD Comp'!AD64+'BD Comp'!AE64)/2,"")</f>
        <v>6974942.5</v>
      </c>
      <c r="G64" s="311">
        <f>IF(C64=1,('BD Comp'!AP64+'BD Comp'!AQ64)/2,"")</f>
        <v>73438</v>
      </c>
      <c r="H64" s="311">
        <f>IF(C64=1,('BD Comp'!F64+'BD Comp'!G64)/2,"")</f>
        <v>2582127806.3108692</v>
      </c>
      <c r="I64" s="311">
        <f>IF(C64=1,('BD Comp'!I64+'BD Comp'!J64)/2,"")</f>
        <v>95285893.4156553</v>
      </c>
      <c r="J64" s="311">
        <f>IF(C64=1,('BD Comp'!L64+'BD Comp'!M64)/2,"")</f>
        <v>111881695.94566256</v>
      </c>
      <c r="K64" s="311">
        <f>IF(C64=1,('BD Comp'!O64+'BD Comp'!P64)/2,"")</f>
        <v>133995509.43364157</v>
      </c>
      <c r="L64" s="311">
        <f>IF(C64=1,('BD Comp'!R64+'BD Comp'!S64)/2,"")</f>
        <v>46605557.076556161</v>
      </c>
      <c r="M64" s="311">
        <f>IF(C64=1,('BD Comp'!AA64+'BD Comp'!AB64)/2,"")</f>
        <v>327732.5</v>
      </c>
      <c r="N64" s="311">
        <f>IF(C64=1,('BD Comp'!AJ64+'BD Comp'!AK64)/2,"")</f>
        <v>30111045.940000005</v>
      </c>
      <c r="O64" s="312">
        <v>0.80200000000000005</v>
      </c>
      <c r="P64" s="311" t="str">
        <f t="shared" si="1"/>
        <v/>
      </c>
      <c r="Q64" s="95"/>
    </row>
    <row r="65" spans="1:18" ht="14.5">
      <c r="A65" s="7" t="s">
        <v>393</v>
      </c>
      <c r="B65" s="7" t="s">
        <v>394</v>
      </c>
      <c r="C65" s="44">
        <v>1</v>
      </c>
      <c r="D65" s="44" t="str">
        <f t="shared" si="0"/>
        <v>C000618</v>
      </c>
      <c r="E65" s="311">
        <f>IF(C65=1,('BD Comp'!X65+'BD Comp'!Y65)/2,"")</f>
        <v>917830.5</v>
      </c>
      <c r="F65" s="311">
        <f>IF(C65=1,('BD Comp'!AD65+'BD Comp'!AE65)/2,"")</f>
        <v>15332007.5</v>
      </c>
      <c r="G65" s="311">
        <f>IF(C65=1,('BD Comp'!AP65+'BD Comp'!AQ65)/2,"")</f>
        <v>70240.5</v>
      </c>
      <c r="H65" s="311">
        <f>IF(C65=1,('BD Comp'!F65+'BD Comp'!G65)/2,"")</f>
        <v>5763101905.273632</v>
      </c>
      <c r="I65" s="311">
        <f>IF(C65=1,('BD Comp'!I65+'BD Comp'!J65)/2,"")</f>
        <v>246322696.29831856</v>
      </c>
      <c r="J65" s="311">
        <f>IF(C65=1,('BD Comp'!L65+'BD Comp'!M65)/2,"")</f>
        <v>301930534.84159839</v>
      </c>
      <c r="K65" s="311">
        <f>IF(C65=1,('BD Comp'!O65+'BD Comp'!P65)/2,"")</f>
        <v>252634870.47886014</v>
      </c>
      <c r="L65" s="311">
        <f>IF(C65=1,('BD Comp'!R65+'BD Comp'!S65)/2,"")</f>
        <v>113707133.0994755</v>
      </c>
      <c r="M65" s="311">
        <f>IF(C65=1,('BD Comp'!AA65+'BD Comp'!AB65)/2,"")</f>
        <v>851621</v>
      </c>
      <c r="N65" s="311">
        <f>IF(C65=1,('BD Comp'!AJ65+'BD Comp'!AK65)/2,"")</f>
        <v>144188132.86500001</v>
      </c>
      <c r="O65" s="312">
        <v>0.78</v>
      </c>
      <c r="P65" s="311" t="str">
        <f t="shared" si="1"/>
        <v/>
      </c>
      <c r="Q65" s="95"/>
    </row>
    <row r="66" spans="1:18" ht="14.5">
      <c r="A66" s="7" t="s">
        <v>396</v>
      </c>
      <c r="B66" s="7" t="s">
        <v>397</v>
      </c>
      <c r="C66" s="44">
        <v>1</v>
      </c>
      <c r="D66" s="44" t="str">
        <f t="shared" si="0"/>
        <v>C000620</v>
      </c>
      <c r="E66" s="311">
        <f>IF(C66=1,('BD Comp'!X66+'BD Comp'!Y66)/2,"")</f>
        <v>618518.5</v>
      </c>
      <c r="F66" s="311">
        <f>IF(C66=1,('BD Comp'!AD66+'BD Comp'!AE66)/2,"")</f>
        <v>15668723.5</v>
      </c>
      <c r="G66" s="311">
        <f>IF(C66=1,('BD Comp'!AP66+'BD Comp'!AQ66)/2,"")</f>
        <v>598058</v>
      </c>
      <c r="H66" s="311">
        <f>IF(C66=1,('BD Comp'!F66+'BD Comp'!G66)/2,"")</f>
        <v>3378596043.0683203</v>
      </c>
      <c r="I66" s="311">
        <f>IF(C66=1,('BD Comp'!I66+'BD Comp'!J66)/2,"")</f>
        <v>188583785.33011907</v>
      </c>
      <c r="J66" s="311">
        <f>IF(C66=1,('BD Comp'!L66+'BD Comp'!M66)/2,"")</f>
        <v>59492103.76091373</v>
      </c>
      <c r="K66" s="311">
        <f>IF(C66=1,('BD Comp'!O66+'BD Comp'!P66)/2,"")</f>
        <v>75679467.394612372</v>
      </c>
      <c r="L66" s="311">
        <f>IF(C66=1,('BD Comp'!R66+'BD Comp'!S66)/2,"")</f>
        <v>88131117.222634315</v>
      </c>
      <c r="M66" s="311">
        <f>IF(C66=1,('BD Comp'!AA66+'BD Comp'!AB66)/2,"")</f>
        <v>1223159</v>
      </c>
      <c r="N66" s="311">
        <f>IF(C66=1,('BD Comp'!AJ66+'BD Comp'!AK66)/2,"")</f>
        <v>83819227.680000007</v>
      </c>
      <c r="O66" s="312">
        <v>0.82699999999999996</v>
      </c>
      <c r="P66" s="311" t="str">
        <f t="shared" si="1"/>
        <v/>
      </c>
      <c r="Q66" s="95"/>
    </row>
    <row r="67" spans="1:18" ht="14.5" hidden="1">
      <c r="A67" s="7" t="s">
        <v>399</v>
      </c>
      <c r="B67" s="7" t="s">
        <v>400</v>
      </c>
      <c r="C67" s="44"/>
      <c r="D67" s="44" t="str">
        <f t="shared" si="0"/>
        <v>C000622</v>
      </c>
      <c r="E67" s="311" t="str">
        <f>IF(C67=1,('BD Comp'!X67+'BD Comp'!Y67)/2,"")</f>
        <v/>
      </c>
      <c r="F67" s="311" t="str">
        <f>IF(C67=1,('BD Comp'!AD67+'BD Comp'!AE67)/2,"")</f>
        <v/>
      </c>
      <c r="G67" s="311" t="str">
        <f>IF(C67=1,('BD Comp'!AP67+'BD Comp'!AQ67)/2,"")</f>
        <v/>
      </c>
      <c r="H67" s="311" t="str">
        <f>IF(C67=1,('BD Comp'!F67+'BD Comp'!G67)/2,"")</f>
        <v/>
      </c>
      <c r="I67" s="311" t="str">
        <f>IF(C67=1,('BD Comp'!I67+'BD Comp'!J67)/2,"")</f>
        <v/>
      </c>
      <c r="J67" s="311" t="str">
        <f>IF(C67=1,('BD Comp'!L67+'BD Comp'!M67)/2,"")</f>
        <v/>
      </c>
      <c r="K67" s="311" t="str">
        <f>IF(C67=1,('BD Comp'!O67+'BD Comp'!P67)/2,"")</f>
        <v/>
      </c>
      <c r="L67" s="311" t="str">
        <f>IF(C67=1,('BD Comp'!R67+'BD Comp'!S67)/2,"")</f>
        <v/>
      </c>
      <c r="M67" s="311" t="str">
        <f>IF(C67=1,('BD Comp'!AA67+'BD Comp'!AB67)/2,"")</f>
        <v/>
      </c>
      <c r="N67" s="311" t="str">
        <f>IF(C67=1,('BD Comp'!AJ67+'BD Comp'!AK67)/2,"")</f>
        <v/>
      </c>
      <c r="O67" s="312"/>
      <c r="P67" s="311" t="str">
        <f t="shared" si="1"/>
        <v/>
      </c>
      <c r="Q67" s="95"/>
    </row>
    <row r="68" spans="1:18" ht="14.5">
      <c r="A68" s="7" t="s">
        <v>402</v>
      </c>
      <c r="B68" s="7" t="s">
        <v>403</v>
      </c>
      <c r="C68" s="44">
        <v>1</v>
      </c>
      <c r="D68" s="44" t="str">
        <f t="shared" si="0"/>
        <v>C000685</v>
      </c>
      <c r="E68" s="311">
        <f>IF(C68=1,('BD Comp'!X68+'BD Comp'!Y68)/2,"")</f>
        <v>713526.5</v>
      </c>
      <c r="F68" s="311">
        <f>IF(C68=1,('BD Comp'!AD68+'BD Comp'!AE68)/2,"")</f>
        <v>6209740.5</v>
      </c>
      <c r="G68" s="311">
        <f>IF(C68=1,('BD Comp'!AP68+'BD Comp'!AQ68)/2,"")</f>
        <v>1511631.5</v>
      </c>
      <c r="H68" s="311">
        <f>IF(C68=1,('BD Comp'!F68+'BD Comp'!G68)/2,"")</f>
        <v>10483972252.990303</v>
      </c>
      <c r="I68" s="311">
        <f>IF(C68=1,('BD Comp'!I68+'BD Comp'!J68)/2,"")</f>
        <v>442118554.98778087</v>
      </c>
      <c r="J68" s="311">
        <f>IF(C68=1,('BD Comp'!L68+'BD Comp'!M68)/2,"")</f>
        <v>354912665.67038584</v>
      </c>
      <c r="K68" s="311">
        <f>IF(C68=1,('BD Comp'!O68+'BD Comp'!P68)/2,"")</f>
        <v>346419780.29636973</v>
      </c>
      <c r="L68" s="311">
        <f>IF(C68=1,('BD Comp'!R68+'BD Comp'!S68)/2,"")</f>
        <v>541086971.91071975</v>
      </c>
      <c r="M68" s="311">
        <f>IF(C68=1,('BD Comp'!AA68+'BD Comp'!AB68)/2,"")</f>
        <v>458299.5</v>
      </c>
      <c r="N68" s="311">
        <f>IF(C68=1,('BD Comp'!AJ68+'BD Comp'!AK68)/2,"")</f>
        <v>50276393.534999996</v>
      </c>
      <c r="O68" s="312">
        <v>1</v>
      </c>
      <c r="P68" s="311">
        <f t="shared" si="1"/>
        <v>1</v>
      </c>
      <c r="Q68" s="95"/>
    </row>
    <row r="69" spans="1:18" ht="14.5">
      <c r="A69" s="7" t="s">
        <v>405</v>
      </c>
      <c r="B69" s="7" t="s">
        <v>406</v>
      </c>
      <c r="C69" s="44">
        <v>1</v>
      </c>
      <c r="D69" s="44" t="str">
        <f t="shared" si="0"/>
        <v>C000691</v>
      </c>
      <c r="E69" s="311">
        <f>IF(C69=1,('BD Comp'!X69+'BD Comp'!Y69)/2,"")</f>
        <v>492923.5</v>
      </c>
      <c r="F69" s="311">
        <f>IF(C69=1,('BD Comp'!AD69+'BD Comp'!AE69)/2,"")</f>
        <v>11112843.5</v>
      </c>
      <c r="G69" s="311">
        <f>IF(C69=1,('BD Comp'!AP69+'BD Comp'!AQ69)/2,"")</f>
        <v>495006</v>
      </c>
      <c r="H69" s="311">
        <f>IF(C69=1,('BD Comp'!F69+'BD Comp'!G69)/2,"")</f>
        <v>3758809361.2997561</v>
      </c>
      <c r="I69" s="311">
        <f>IF(C69=1,('BD Comp'!I69+'BD Comp'!J69)/2,"")</f>
        <v>201295418.1010583</v>
      </c>
      <c r="J69" s="311">
        <f>IF(C69=1,('BD Comp'!L69+'BD Comp'!M69)/2,"")</f>
        <v>36855168.302921146</v>
      </c>
      <c r="K69" s="311">
        <f>IF(C69=1,('BD Comp'!O69+'BD Comp'!P69)/2,"")</f>
        <v>40476210.419646278</v>
      </c>
      <c r="L69" s="311">
        <f>IF(C69=1,('BD Comp'!R69+'BD Comp'!S69)/2,"")</f>
        <v>22047524.922483139</v>
      </c>
      <c r="M69" s="311">
        <f>IF(C69=1,('BD Comp'!AA69+'BD Comp'!AB69)/2,"")</f>
        <v>400345.5</v>
      </c>
      <c r="N69" s="311">
        <f>IF(C69=1,('BD Comp'!AJ69+'BD Comp'!AK69)/2,"")</f>
        <v>34352019</v>
      </c>
      <c r="O69" s="312">
        <v>0.89300000000000002</v>
      </c>
      <c r="P69" s="311" t="str">
        <f t="shared" si="1"/>
        <v/>
      </c>
      <c r="Q69" s="95"/>
    </row>
    <row r="70" spans="1:18" ht="14.5">
      <c r="A70" s="7" t="s">
        <v>408</v>
      </c>
      <c r="B70" s="7" t="s">
        <v>409</v>
      </c>
      <c r="C70" s="44">
        <v>1</v>
      </c>
      <c r="D70" s="44" t="str">
        <f t="shared" si="0"/>
        <v>C000692</v>
      </c>
      <c r="E70" s="311">
        <f>IF(C70=1,('BD Comp'!X70+'BD Comp'!Y70)/2,"")</f>
        <v>499044</v>
      </c>
      <c r="F70" s="311">
        <f>IF(C70=1,('BD Comp'!AD70+'BD Comp'!AE70)/2,"")</f>
        <v>14121650</v>
      </c>
      <c r="G70" s="311">
        <f>IF(C70=1,('BD Comp'!AP70+'BD Comp'!AQ70)/2,"")</f>
        <v>489240.5</v>
      </c>
      <c r="H70" s="311">
        <f>IF(C70=1,('BD Comp'!F70+'BD Comp'!G70)/2,"")</f>
        <v>4725732119.6297607</v>
      </c>
      <c r="I70" s="311">
        <f>IF(C70=1,('BD Comp'!I70+'BD Comp'!J70)/2,"")</f>
        <v>190562849.60857826</v>
      </c>
      <c r="J70" s="311">
        <f>IF(C70=1,('BD Comp'!L70+'BD Comp'!M70)/2,"")</f>
        <v>42394039.061483219</v>
      </c>
      <c r="K70" s="311">
        <f>IF(C70=1,('BD Comp'!O70+'BD Comp'!P70)/2,"")</f>
        <v>44753664.190373689</v>
      </c>
      <c r="L70" s="311">
        <f>IF(C70=1,('BD Comp'!R70+'BD Comp'!S70)/2,"")</f>
        <v>16091620.872263048</v>
      </c>
      <c r="M70" s="311">
        <f>IF(C70=1,('BD Comp'!AA70+'BD Comp'!AB70)/2,"")</f>
        <v>227012</v>
      </c>
      <c r="N70" s="311">
        <f>IF(C70=1,('BD Comp'!AJ70+'BD Comp'!AK70)/2,"")</f>
        <v>39134830</v>
      </c>
      <c r="O70" s="312">
        <v>1</v>
      </c>
      <c r="P70" s="311">
        <f t="shared" si="1"/>
        <v>1</v>
      </c>
      <c r="Q70" s="95"/>
      <c r="R70" s="17"/>
    </row>
    <row r="71" spans="1:18" ht="14.5">
      <c r="A71" s="7" t="s">
        <v>411</v>
      </c>
      <c r="B71" s="7" t="s">
        <v>412</v>
      </c>
      <c r="C71" s="44">
        <v>1</v>
      </c>
      <c r="D71" s="44" t="str">
        <f t="shared" si="0"/>
        <v>C000744</v>
      </c>
      <c r="E71" s="311">
        <f>IF(C71=1,('BD Comp'!X71+'BD Comp'!Y71)/2,"")</f>
        <v>1252367</v>
      </c>
      <c r="F71" s="311">
        <f>IF(C71=1,('BD Comp'!AD71+'BD Comp'!AE71)/2,"")</f>
        <v>31084189</v>
      </c>
      <c r="G71" s="311">
        <f>IF(C71=1,('BD Comp'!AP71+'BD Comp'!AQ71)/2,"")</f>
        <v>1247012</v>
      </c>
      <c r="H71" s="311">
        <f>IF(C71=1,('BD Comp'!F71+'BD Comp'!G71)/2,"")</f>
        <v>10928970165.633148</v>
      </c>
      <c r="I71" s="311">
        <f>IF(C71=1,('BD Comp'!I71+'BD Comp'!J71)/2,"")</f>
        <v>443890223.99865305</v>
      </c>
      <c r="J71" s="311">
        <f>IF(C71=1,('BD Comp'!L71+'BD Comp'!M71)/2,"")</f>
        <v>153070111.29085475</v>
      </c>
      <c r="K71" s="311">
        <f>IF(C71=1,('BD Comp'!O71+'BD Comp'!P71)/2,"")</f>
        <v>161830026.52466947</v>
      </c>
      <c r="L71" s="311">
        <f>IF(C71=1,('BD Comp'!R71+'BD Comp'!S71)/2,"")</f>
        <v>88740578.095720977</v>
      </c>
      <c r="M71" s="311">
        <f>IF(C71=1,('BD Comp'!AA71+'BD Comp'!AB71)/2,"")</f>
        <v>1384760.5</v>
      </c>
      <c r="N71" s="311">
        <f>IF(C71=1,('BD Comp'!AJ71+'BD Comp'!AK71)/2,"")</f>
        <v>115844848.5</v>
      </c>
      <c r="O71" s="312">
        <v>0.74099999999999999</v>
      </c>
      <c r="P71" s="311" t="str">
        <f t="shared" si="1"/>
        <v/>
      </c>
      <c r="Q71" s="95"/>
    </row>
    <row r="72" spans="1:18" ht="14.5">
      <c r="A72" s="7" t="s">
        <v>414</v>
      </c>
      <c r="B72" s="7" t="s">
        <v>415</v>
      </c>
      <c r="C72" s="44">
        <v>1</v>
      </c>
      <c r="D72" s="44" t="str">
        <f t="shared" si="0"/>
        <v>C000746</v>
      </c>
      <c r="E72" s="311">
        <f>IF(C72=1,('BD Comp'!X72+'BD Comp'!Y72)/2,"")</f>
        <v>1227703</v>
      </c>
      <c r="F72" s="311">
        <f>IF(C72=1,('BD Comp'!AD72+'BD Comp'!AE72)/2,"")</f>
        <v>9428033.5</v>
      </c>
      <c r="G72" s="311">
        <f>IF(C72=1,('BD Comp'!AP72+'BD Comp'!AQ72)/2,"")</f>
        <v>1221344.5</v>
      </c>
      <c r="H72" s="311">
        <f>IF(C72=1,('BD Comp'!F72+'BD Comp'!G72)/2,"")</f>
        <v>10580360872.876488</v>
      </c>
      <c r="I72" s="311">
        <f>IF(C72=1,('BD Comp'!I72+'BD Comp'!J72)/2,"")</f>
        <v>479098329.05280173</v>
      </c>
      <c r="J72" s="311">
        <f>IF(C72=1,('BD Comp'!L72+'BD Comp'!M72)/2,"")</f>
        <v>274897540.92287111</v>
      </c>
      <c r="K72" s="311">
        <f>IF(C72=1,('BD Comp'!O72+'BD Comp'!P72)/2,"")</f>
        <v>132486626.02969021</v>
      </c>
      <c r="L72" s="311">
        <f>IF(C72=1,('BD Comp'!R72+'BD Comp'!S72)/2,"")</f>
        <v>81000605.183008179</v>
      </c>
      <c r="M72" s="311">
        <f>IF(C72=1,('BD Comp'!AA72+'BD Comp'!AB72)/2,"")</f>
        <v>403431</v>
      </c>
      <c r="N72" s="311">
        <f>IF(C72=1,('BD Comp'!AJ72+'BD Comp'!AK72)/2,"")</f>
        <v>140450061.19999999</v>
      </c>
      <c r="O72" s="312">
        <v>1</v>
      </c>
      <c r="P72" s="311">
        <f t="shared" si="1"/>
        <v>1</v>
      </c>
      <c r="Q72" s="95"/>
    </row>
    <row r="73" spans="1:18" ht="14.5" hidden="1">
      <c r="A73" s="7" t="s">
        <v>417</v>
      </c>
      <c r="B73" s="7" t="s">
        <v>418</v>
      </c>
      <c r="C73" s="44"/>
      <c r="D73" s="44" t="str">
        <f t="shared" si="0"/>
        <v>C000771</v>
      </c>
      <c r="E73" s="311" t="str">
        <f>IF(C73=1,('BD Comp'!X73+'BD Comp'!Y73)/2,"")</f>
        <v/>
      </c>
      <c r="F73" s="311" t="str">
        <f>IF(C73=1,('BD Comp'!AD73+'BD Comp'!AE73)/2,"")</f>
        <v/>
      </c>
      <c r="G73" s="311" t="str">
        <f>IF(C73=1,('BD Comp'!AP73+'BD Comp'!AQ73)/2,"")</f>
        <v/>
      </c>
      <c r="H73" s="311" t="str">
        <f>IF(C73=1,('BD Comp'!F73+'BD Comp'!G73)/2,"")</f>
        <v/>
      </c>
      <c r="I73" s="311" t="str">
        <f>IF(C73=1,('BD Comp'!I73+'BD Comp'!J73)/2,"")</f>
        <v/>
      </c>
      <c r="J73" s="311" t="str">
        <f>IF(C73=1,('BD Comp'!L73+'BD Comp'!M73)/2,"")</f>
        <v/>
      </c>
      <c r="K73" s="311" t="str">
        <f>IF(C73=1,('BD Comp'!O73+'BD Comp'!P73)/2,"")</f>
        <v/>
      </c>
      <c r="L73" s="311" t="str">
        <f>IF(C73=1,('BD Comp'!R73+'BD Comp'!S73)/2,"")</f>
        <v/>
      </c>
      <c r="M73" s="311" t="str">
        <f>IF(C73=1,('BD Comp'!AA73+'BD Comp'!AB73)/2,"")</f>
        <v/>
      </c>
      <c r="N73" s="311" t="str">
        <f>IF(C73=1,('BD Comp'!AJ73+'BD Comp'!AK73)/2,"")</f>
        <v/>
      </c>
      <c r="O73" s="312"/>
      <c r="P73" s="311" t="str">
        <f t="shared" si="1"/>
        <v/>
      </c>
      <c r="Q73" s="95"/>
    </row>
    <row r="74" spans="1:18" ht="14.5">
      <c r="A74" s="7" t="s">
        <v>420</v>
      </c>
      <c r="B74" s="7" t="s">
        <v>421</v>
      </c>
      <c r="C74" s="44">
        <v>1</v>
      </c>
      <c r="D74" s="44" t="str">
        <f t="shared" si="0"/>
        <v>C000772</v>
      </c>
      <c r="E74" s="311">
        <f>IF(C74=1,('BD Comp'!X74+'BD Comp'!Y74)/2,"")</f>
        <v>394880.5</v>
      </c>
      <c r="F74" s="311">
        <f>IF(C74=1,('BD Comp'!AD74+'BD Comp'!AE74)/2,"")</f>
        <v>9765195</v>
      </c>
      <c r="G74" s="311">
        <f>IF(C74=1,('BD Comp'!AP74+'BD Comp'!AQ74)/2,"")</f>
        <v>398546.5</v>
      </c>
      <c r="H74" s="311">
        <f>IF(C74=1,('BD Comp'!F74+'BD Comp'!G74)/2,"")</f>
        <v>3022723122.4905343</v>
      </c>
      <c r="I74" s="311">
        <f>IF(C74=1,('BD Comp'!I74+'BD Comp'!J74)/2,"")</f>
        <v>125040233.76608911</v>
      </c>
      <c r="J74" s="311">
        <f>IF(C74=1,('BD Comp'!L74+'BD Comp'!M74)/2,"")</f>
        <v>39690133.755299352</v>
      </c>
      <c r="K74" s="311">
        <f>IF(C74=1,('BD Comp'!O74+'BD Comp'!P74)/2,"")</f>
        <v>30335483.486142017</v>
      </c>
      <c r="L74" s="311">
        <f>IF(C74=1,('BD Comp'!R74+'BD Comp'!S74)/2,"")</f>
        <v>19052661.465761401</v>
      </c>
      <c r="M74" s="311">
        <f>IF(C74=1,('BD Comp'!AA74+'BD Comp'!AB74)/2,"")</f>
        <v>444746</v>
      </c>
      <c r="N74" s="311">
        <f>IF(C74=1,('BD Comp'!AJ74+'BD Comp'!AK74)/2,"")</f>
        <v>40084094.759999998</v>
      </c>
      <c r="O74" s="312">
        <v>0.84199999999999997</v>
      </c>
      <c r="P74" s="311" t="str">
        <f t="shared" si="1"/>
        <v/>
      </c>
      <c r="Q74" s="95"/>
    </row>
    <row r="75" spans="1:18" ht="14.5">
      <c r="A75" s="7" t="s">
        <v>423</v>
      </c>
      <c r="B75" s="7" t="s">
        <v>424</v>
      </c>
      <c r="C75" s="44">
        <v>1</v>
      </c>
      <c r="D75" s="44" t="str">
        <f t="shared" si="0"/>
        <v>C000822</v>
      </c>
      <c r="E75" s="311">
        <f>IF(C75=1,('BD Comp'!X75+'BD Comp'!Y75)/2,"")</f>
        <v>1560646.5</v>
      </c>
      <c r="F75" s="311">
        <f>IF(C75=1,('BD Comp'!AD75+'BD Comp'!AE75)/2,"")</f>
        <v>28416847</v>
      </c>
      <c r="G75" s="311">
        <f>IF(C75=1,('BD Comp'!AP75+'BD Comp'!AQ75)/2,"")</f>
        <v>1420665</v>
      </c>
      <c r="H75" s="311">
        <f>IF(C75=1,('BD Comp'!F75+'BD Comp'!G75)/2,"")</f>
        <v>7550395214.5065088</v>
      </c>
      <c r="I75" s="311">
        <f>IF(C75=1,('BD Comp'!I75+'BD Comp'!J75)/2,"")</f>
        <v>446277057.79414821</v>
      </c>
      <c r="J75" s="311">
        <f>IF(C75=1,('BD Comp'!L75+'BD Comp'!M75)/2,"")</f>
        <v>128489983.81178416</v>
      </c>
      <c r="K75" s="311">
        <f>IF(C75=1,('BD Comp'!O75+'BD Comp'!P75)/2,"")</f>
        <v>209805222.3926577</v>
      </c>
      <c r="L75" s="311">
        <f>IF(C75=1,('BD Comp'!R75+'BD Comp'!S75)/2,"")</f>
        <v>106713963.10173699</v>
      </c>
      <c r="M75" s="311">
        <f>IF(C75=1,('BD Comp'!AA75+'BD Comp'!AB75)/2,"")</f>
        <v>1072732</v>
      </c>
      <c r="N75" s="311">
        <f>IF(C75=1,('BD Comp'!AJ75+'BD Comp'!AK75)/2,"")</f>
        <v>168520799.852</v>
      </c>
      <c r="O75" s="312">
        <v>1</v>
      </c>
      <c r="P75" s="311">
        <f t="shared" si="1"/>
        <v>1</v>
      </c>
      <c r="Q75" s="95"/>
      <c r="R75" s="17"/>
    </row>
    <row r="76" spans="1:18" ht="14.5">
      <c r="A76" s="7" t="s">
        <v>426</v>
      </c>
      <c r="B76" s="7" t="s">
        <v>427</v>
      </c>
      <c r="C76" s="44">
        <v>1</v>
      </c>
      <c r="D76" s="44" t="str">
        <f t="shared" si="0"/>
        <v>C000823</v>
      </c>
      <c r="E76" s="311">
        <f>IF(C76=1,('BD Comp'!X76+'BD Comp'!Y76)/2,"")</f>
        <v>267891</v>
      </c>
      <c r="F76" s="311">
        <f>IF(C76=1,('BD Comp'!AD76+'BD Comp'!AE76)/2,"")</f>
        <v>6927494</v>
      </c>
      <c r="G76" s="311">
        <f>IF(C76=1,('BD Comp'!AP76+'BD Comp'!AQ76)/2,"")</f>
        <v>9146</v>
      </c>
      <c r="H76" s="311">
        <f>IF(C76=1,('BD Comp'!F76+'BD Comp'!G76)/2,"")</f>
        <v>2676552813.2596579</v>
      </c>
      <c r="I76" s="311">
        <f>IF(C76=1,('BD Comp'!I76+'BD Comp'!J76)/2,"")</f>
        <v>70422557.994918287</v>
      </c>
      <c r="J76" s="311">
        <f>IF(C76=1,('BD Comp'!L76+'BD Comp'!M76)/2,"")</f>
        <v>43486548.68376708</v>
      </c>
      <c r="K76" s="311">
        <f>IF(C76=1,('BD Comp'!O76+'BD Comp'!P76)/2,"")</f>
        <v>28979420.083131023</v>
      </c>
      <c r="L76" s="311">
        <f>IF(C76=1,('BD Comp'!R76+'BD Comp'!S76)/2,"")</f>
        <v>23576868.034447461</v>
      </c>
      <c r="M76" s="311">
        <f>IF(C76=1,('BD Comp'!AA76+'BD Comp'!AB76)/2,"")</f>
        <v>528608</v>
      </c>
      <c r="N76" s="311">
        <f>IF(C76=1,('BD Comp'!AJ76+'BD Comp'!AK76)/2,"")</f>
        <v>50247984.851999998</v>
      </c>
      <c r="O76" s="312">
        <v>0.65800000000000003</v>
      </c>
      <c r="P76" s="311" t="str">
        <f t="shared" si="1"/>
        <v/>
      </c>
      <c r="Q76" s="95"/>
    </row>
    <row r="77" spans="1:18" ht="14.5">
      <c r="A77" s="7" t="s">
        <v>429</v>
      </c>
      <c r="B77" s="7" t="s">
        <v>430</v>
      </c>
      <c r="C77" s="44">
        <v>1</v>
      </c>
      <c r="D77" s="44" t="str">
        <f t="shared" si="0"/>
        <v>C000824</v>
      </c>
      <c r="E77" s="311">
        <f>IF(C77=1,('BD Comp'!X77+'BD Comp'!Y77)/2,"")</f>
        <v>1547504</v>
      </c>
      <c r="F77" s="311">
        <f>IF(C77=1,('BD Comp'!AD77+'BD Comp'!AE77)/2,"")</f>
        <v>33248946.5</v>
      </c>
      <c r="G77" s="311">
        <f>IF(C77=1,('BD Comp'!AP77+'BD Comp'!AQ77)/2,"")</f>
        <v>1384308.5</v>
      </c>
      <c r="H77" s="311">
        <f>IF(C77=1,('BD Comp'!F77+'BD Comp'!G77)/2,"")</f>
        <v>7872155622.3213463</v>
      </c>
      <c r="I77" s="311">
        <f>IF(C77=1,('BD Comp'!I77+'BD Comp'!J77)/2,"")</f>
        <v>233666754.04339454</v>
      </c>
      <c r="J77" s="311">
        <f>IF(C77=1,('BD Comp'!L77+'BD Comp'!M77)/2,"")</f>
        <v>132004175.87321195</v>
      </c>
      <c r="K77" s="311">
        <f>IF(C77=1,('BD Comp'!O77+'BD Comp'!P77)/2,"")</f>
        <v>209608903.74640429</v>
      </c>
      <c r="L77" s="311">
        <f>IF(C77=1,('BD Comp'!R77+'BD Comp'!S77)/2,"")</f>
        <v>88029143.329646677</v>
      </c>
      <c r="M77" s="311">
        <f>IF(C77=1,('BD Comp'!AA77+'BD Comp'!AB77)/2,"")</f>
        <v>884086</v>
      </c>
      <c r="N77" s="311">
        <f>IF(C77=1,('BD Comp'!AJ77+'BD Comp'!AK77)/2,"")</f>
        <v>134177792.84150001</v>
      </c>
      <c r="O77" s="312">
        <v>1</v>
      </c>
      <c r="P77" s="311">
        <f t="shared" si="1"/>
        <v>1</v>
      </c>
      <c r="Q77" s="95"/>
      <c r="R77" s="17"/>
    </row>
    <row r="78" spans="1:18" ht="14.5">
      <c r="A78" s="7" t="s">
        <v>432</v>
      </c>
      <c r="B78" s="7" t="s">
        <v>433</v>
      </c>
      <c r="C78" s="44">
        <v>1</v>
      </c>
      <c r="D78" s="44" t="str">
        <f t="shared" si="0"/>
        <v>C000825</v>
      </c>
      <c r="E78" s="311">
        <f>IF(C78=1,('BD Comp'!X78+'BD Comp'!Y78)/2,"")</f>
        <v>405057</v>
      </c>
      <c r="F78" s="311">
        <f>IF(C78=1,('BD Comp'!AD78+'BD Comp'!AE78)/2,"")</f>
        <v>23022966</v>
      </c>
      <c r="G78" s="311">
        <f>IF(C78=1,('BD Comp'!AP78+'BD Comp'!AQ78)/2,"")</f>
        <v>7935</v>
      </c>
      <c r="H78" s="311">
        <f>IF(C78=1,('BD Comp'!F78+'BD Comp'!G78)/2,"")</f>
        <v>4436853234.6774845</v>
      </c>
      <c r="I78" s="311">
        <f>IF(C78=1,('BD Comp'!I78+'BD Comp'!J78)/2,"")</f>
        <v>114134929.6065706</v>
      </c>
      <c r="J78" s="311">
        <f>IF(C78=1,('BD Comp'!L78+'BD Comp'!M78)/2,"")</f>
        <v>44938587.169257991</v>
      </c>
      <c r="K78" s="311">
        <f>IF(C78=1,('BD Comp'!O78+'BD Comp'!P78)/2,"")</f>
        <v>56618796.76106362</v>
      </c>
      <c r="L78" s="311">
        <f>IF(C78=1,('BD Comp'!R78+'BD Comp'!S78)/2,"")</f>
        <v>38433196.563711941</v>
      </c>
      <c r="M78" s="311">
        <f>IF(C78=1,('BD Comp'!AA78+'BD Comp'!AB78)/2,"")</f>
        <v>833362</v>
      </c>
      <c r="N78" s="311">
        <f>IF(C78=1,('BD Comp'!AJ78+'BD Comp'!AK78)/2,"")</f>
        <v>45136091.938999996</v>
      </c>
      <c r="O78" s="312">
        <v>1</v>
      </c>
      <c r="P78" s="311">
        <f t="shared" si="1"/>
        <v>1</v>
      </c>
      <c r="Q78" s="95"/>
      <c r="R78" s="17"/>
    </row>
    <row r="79" spans="1:18" ht="14.5">
      <c r="A79" s="7" t="s">
        <v>435</v>
      </c>
      <c r="B79" s="7" t="s">
        <v>436</v>
      </c>
      <c r="C79" s="44">
        <v>1</v>
      </c>
      <c r="D79" s="44" t="str">
        <f t="shared" si="0"/>
        <v>C000851</v>
      </c>
      <c r="E79" s="311">
        <f>IF(C79=1,('BD Comp'!X79+'BD Comp'!Y79)/2,"")</f>
        <v>499963</v>
      </c>
      <c r="F79" s="311">
        <f>IF(C79=1,('BD Comp'!AD79+'BD Comp'!AE79)/2,"")</f>
        <v>21215018.5</v>
      </c>
      <c r="G79" s="311">
        <f>IF(C79=1,('BD Comp'!AP79+'BD Comp'!AQ79)/2,"")</f>
        <v>538387</v>
      </c>
      <c r="H79" s="311">
        <f>IF(C79=1,('BD Comp'!F79+'BD Comp'!G79)/2,"")</f>
        <v>3385583364.8764863</v>
      </c>
      <c r="I79" s="311">
        <f>IF(C79=1,('BD Comp'!I79+'BD Comp'!J79)/2,"")</f>
        <v>207506524.09925127</v>
      </c>
      <c r="J79" s="311">
        <f>IF(C79=1,('BD Comp'!L79+'BD Comp'!M79)/2,"")</f>
        <v>74489127.578421116</v>
      </c>
      <c r="K79" s="311">
        <f>IF(C79=1,('BD Comp'!O79+'BD Comp'!P79)/2,"")</f>
        <v>47250298.741664641</v>
      </c>
      <c r="L79" s="311">
        <f>IF(C79=1,('BD Comp'!R79+'BD Comp'!S79)/2,"")</f>
        <v>56136780.017036706</v>
      </c>
      <c r="M79" s="311">
        <f>IF(C79=1,('BD Comp'!AA79+'BD Comp'!AB79)/2,"")</f>
        <v>744769</v>
      </c>
      <c r="N79" s="311">
        <f>IF(C79=1,('BD Comp'!AJ79+'BD Comp'!AK79)/2,"")</f>
        <v>167395997.80000001</v>
      </c>
      <c r="O79" s="312">
        <v>1</v>
      </c>
      <c r="P79" s="311">
        <f t="shared" si="1"/>
        <v>1</v>
      </c>
      <c r="Q79" s="95"/>
      <c r="R79" s="17"/>
    </row>
    <row r="80" spans="1:18" ht="14.5" hidden="1">
      <c r="A80" s="7" t="s">
        <v>438</v>
      </c>
      <c r="B80" s="7" t="s">
        <v>439</v>
      </c>
      <c r="C80" s="44"/>
      <c r="D80" s="44" t="str">
        <f t="shared" si="0"/>
        <v>C000852</v>
      </c>
      <c r="E80" s="311" t="str">
        <f>IF(C80=1,('BD Comp'!X80+'BD Comp'!Y80)/2,"")</f>
        <v/>
      </c>
      <c r="F80" s="311" t="str">
        <f>IF(C80=1,('BD Comp'!AD80+'BD Comp'!AE80)/2,"")</f>
        <v/>
      </c>
      <c r="G80" s="311" t="str">
        <f>IF(C80=1,('BD Comp'!AP80+'BD Comp'!AQ80)/2,"")</f>
        <v/>
      </c>
      <c r="H80" s="311" t="str">
        <f>IF(C80=1,('BD Comp'!F80+'BD Comp'!G80)/2,"")</f>
        <v/>
      </c>
      <c r="I80" s="311" t="str">
        <f>IF(C80=1,('BD Comp'!I80+'BD Comp'!J80)/2,"")</f>
        <v/>
      </c>
      <c r="J80" s="311" t="str">
        <f>IF(C80=1,('BD Comp'!L80+'BD Comp'!M80)/2,"")</f>
        <v/>
      </c>
      <c r="K80" s="311" t="str">
        <f>IF(C80=1,('BD Comp'!O80+'BD Comp'!P80)/2,"")</f>
        <v/>
      </c>
      <c r="L80" s="311" t="str">
        <f>IF(C80=1,('BD Comp'!R80+'BD Comp'!S80)/2,"")</f>
        <v/>
      </c>
      <c r="M80" s="311" t="str">
        <f>IF(C80=1,('BD Comp'!AA80+'BD Comp'!AB80)/2,"")</f>
        <v/>
      </c>
      <c r="N80" s="311" t="str">
        <f>IF(C80=1,('BD Comp'!AJ80+'BD Comp'!AK80)/2,"")</f>
        <v/>
      </c>
      <c r="O80" s="312"/>
      <c r="P80" s="311" t="str">
        <f t="shared" si="1"/>
        <v/>
      </c>
      <c r="Q80" s="95"/>
    </row>
    <row r="81" spans="1:18" ht="14.5" hidden="1">
      <c r="A81" s="7" t="s">
        <v>441</v>
      </c>
      <c r="B81" s="7" t="s">
        <v>442</v>
      </c>
      <c r="C81" s="44"/>
      <c r="D81" s="44" t="str">
        <f t="shared" si="0"/>
        <v>C000862</v>
      </c>
      <c r="E81" s="311" t="str">
        <f>IF(C81=1,('BD Comp'!X81+'BD Comp'!Y81)/2,"")</f>
        <v/>
      </c>
      <c r="F81" s="311" t="str">
        <f>IF(C81=1,('BD Comp'!AD81+'BD Comp'!AE81)/2,"")</f>
        <v/>
      </c>
      <c r="G81" s="311" t="str">
        <f>IF(C81=1,('BD Comp'!AP81+'BD Comp'!AQ81)/2,"")</f>
        <v/>
      </c>
      <c r="H81" s="311" t="str">
        <f>IF(C81=1,('BD Comp'!F81+'BD Comp'!G81)/2,"")</f>
        <v/>
      </c>
      <c r="I81" s="311" t="str">
        <f>IF(C81=1,('BD Comp'!I81+'BD Comp'!J81)/2,"")</f>
        <v/>
      </c>
      <c r="J81" s="311" t="str">
        <f>IF(C81=1,('BD Comp'!L81+'BD Comp'!M81)/2,"")</f>
        <v/>
      </c>
      <c r="K81" s="311" t="str">
        <f>IF(C81=1,('BD Comp'!O81+'BD Comp'!P81)/2,"")</f>
        <v/>
      </c>
      <c r="L81" s="311" t="str">
        <f>IF(C81=1,('BD Comp'!R81+'BD Comp'!S81)/2,"")</f>
        <v/>
      </c>
      <c r="M81" s="311" t="str">
        <f>IF(C81=1,('BD Comp'!AA81+'BD Comp'!AB81)/2,"")</f>
        <v/>
      </c>
      <c r="N81" s="311" t="str">
        <f>IF(C81=1,('BD Comp'!AJ81+'BD Comp'!AK81)/2,"")</f>
        <v/>
      </c>
      <c r="O81" s="312"/>
      <c r="P81" s="311" t="str">
        <f t="shared" si="1"/>
        <v/>
      </c>
      <c r="Q81" s="95"/>
    </row>
    <row r="82" spans="1:18" ht="14.5">
      <c r="A82" s="7" t="s">
        <v>444</v>
      </c>
      <c r="B82" s="7" t="s">
        <v>445</v>
      </c>
      <c r="C82" s="44">
        <v>1</v>
      </c>
      <c r="D82" s="44" t="str">
        <f t="shared" si="0"/>
        <v>C000905</v>
      </c>
      <c r="E82" s="311">
        <f>IF(C82=1,('BD Comp'!X82+'BD Comp'!Y82)/2,"")</f>
        <v>736437</v>
      </c>
      <c r="F82" s="311">
        <f>IF(C82=1,('BD Comp'!AD82+'BD Comp'!AE82)/2,"")</f>
        <v>19126264.5</v>
      </c>
      <c r="G82" s="311">
        <f>IF(C82=1,('BD Comp'!AP82+'BD Comp'!AQ82)/2,"")</f>
        <v>748289</v>
      </c>
      <c r="H82" s="311">
        <f>IF(C82=1,('BD Comp'!F82+'BD Comp'!G82)/2,"")</f>
        <v>3767207167.7178583</v>
      </c>
      <c r="I82" s="311">
        <f>IF(C82=1,('BD Comp'!I82+'BD Comp'!J82)/2,"")</f>
        <v>283039400.29552913</v>
      </c>
      <c r="J82" s="311">
        <f>IF(C82=1,('BD Comp'!L82+'BD Comp'!M82)/2,"")</f>
        <v>105773957.45988432</v>
      </c>
      <c r="K82" s="311">
        <f>IF(C82=1,('BD Comp'!O82+'BD Comp'!P82)/2,"")</f>
        <v>80910640.034399465</v>
      </c>
      <c r="L82" s="311">
        <f>IF(C82=1,('BD Comp'!R82+'BD Comp'!S82)/2,"")</f>
        <v>31863521.054450501</v>
      </c>
      <c r="M82" s="311">
        <f>IF(C82=1,('BD Comp'!AA82+'BD Comp'!AB82)/2,"")</f>
        <v>286676</v>
      </c>
      <c r="N82" s="311">
        <f>IF(C82=1,('BD Comp'!AJ82+'BD Comp'!AK82)/2,"")</f>
        <v>117675572.82000001</v>
      </c>
      <c r="O82" s="312">
        <v>1</v>
      </c>
      <c r="P82" s="311">
        <f t="shared" si="1"/>
        <v>1</v>
      </c>
      <c r="Q82" s="95"/>
    </row>
    <row r="83" spans="1:18" ht="14.5">
      <c r="A83" s="7" t="s">
        <v>447</v>
      </c>
      <c r="B83" s="7" t="s">
        <v>448</v>
      </c>
      <c r="C83" s="44">
        <v>1</v>
      </c>
      <c r="D83" s="44" t="str">
        <f t="shared" si="0"/>
        <v>C000906</v>
      </c>
      <c r="E83" s="311">
        <f>IF(C83=1,('BD Comp'!X83+'BD Comp'!Y83)/2,"")</f>
        <v>396273.5</v>
      </c>
      <c r="F83" s="311">
        <f>IF(C83=1,('BD Comp'!AD83+'BD Comp'!AE83)/2,"")</f>
        <v>12200145.5</v>
      </c>
      <c r="G83" s="311">
        <f>IF(C83=1,('BD Comp'!AP83+'BD Comp'!AQ83)/2,"")</f>
        <v>95385</v>
      </c>
      <c r="H83" s="311">
        <f>IF(C83=1,('BD Comp'!F83+'BD Comp'!G83)/2,"")</f>
        <v>3140611531.6132364</v>
      </c>
      <c r="I83" s="311">
        <f>IF(C83=1,('BD Comp'!I83+'BD Comp'!J83)/2,"")</f>
        <v>160070942.26360637</v>
      </c>
      <c r="J83" s="311">
        <f>IF(C83=1,('BD Comp'!L83+'BD Comp'!M83)/2,"")</f>
        <v>80025807.110915512</v>
      </c>
      <c r="K83" s="311">
        <f>IF(C83=1,('BD Comp'!O83+'BD Comp'!P83)/2,"")</f>
        <v>21268278.39348517</v>
      </c>
      <c r="L83" s="311">
        <f>IF(C83=1,('BD Comp'!R83+'BD Comp'!S83)/2,"")</f>
        <v>15843203.786611801</v>
      </c>
      <c r="M83" s="311">
        <f>IF(C83=1,('BD Comp'!AA83+'BD Comp'!AB83)/2,"")</f>
        <v>606210</v>
      </c>
      <c r="N83" s="311">
        <f>IF(C83=1,('BD Comp'!AJ83+'BD Comp'!AK83)/2,"")</f>
        <v>151540689.12099999</v>
      </c>
      <c r="O83" s="312">
        <v>0.76100000000000001</v>
      </c>
      <c r="P83" s="311" t="str">
        <f t="shared" si="1"/>
        <v/>
      </c>
      <c r="Q83" s="95"/>
    </row>
    <row r="84" spans="1:18" ht="14.5" hidden="1">
      <c r="A84" s="7" t="s">
        <v>450</v>
      </c>
      <c r="B84" s="7" t="s">
        <v>451</v>
      </c>
      <c r="C84" s="44"/>
      <c r="D84" s="44" t="str">
        <f t="shared" si="0"/>
        <v>C000911</v>
      </c>
      <c r="E84" s="311" t="str">
        <f>IF(C84=1,('BD Comp'!X84+'BD Comp'!Y84)/2,"")</f>
        <v/>
      </c>
      <c r="F84" s="311" t="str">
        <f>IF(C84=1,('BD Comp'!AD84+'BD Comp'!AE84)/2,"")</f>
        <v/>
      </c>
      <c r="G84" s="311" t="str">
        <f>IF(C84=1,('BD Comp'!AP84+'BD Comp'!AQ84)/2,"")</f>
        <v/>
      </c>
      <c r="H84" s="311" t="str">
        <f>IF(C84=1,('BD Comp'!F84+'BD Comp'!G84)/2,"")</f>
        <v/>
      </c>
      <c r="I84" s="311" t="str">
        <f>IF(C84=1,('BD Comp'!I84+'BD Comp'!J84)/2,"")</f>
        <v/>
      </c>
      <c r="J84" s="311" t="str">
        <f>IF(C84=1,('BD Comp'!L84+'BD Comp'!M84)/2,"")</f>
        <v/>
      </c>
      <c r="K84" s="311" t="str">
        <f>IF(C84=1,('BD Comp'!O84+'BD Comp'!P84)/2,"")</f>
        <v/>
      </c>
      <c r="L84" s="311" t="str">
        <f>IF(C84=1,('BD Comp'!R84+'BD Comp'!S84)/2,"")</f>
        <v/>
      </c>
      <c r="M84" s="311" t="str">
        <f>IF(C84=1,('BD Comp'!AA84+'BD Comp'!AB84)/2,"")</f>
        <v/>
      </c>
      <c r="N84" s="311" t="str">
        <f>IF(C84=1,('BD Comp'!AJ84+'BD Comp'!AK84)/2,"")</f>
        <v/>
      </c>
      <c r="O84" s="312"/>
      <c r="P84" s="311" t="str">
        <f t="shared" si="1"/>
        <v/>
      </c>
      <c r="Q84" s="95"/>
    </row>
    <row r="85" spans="1:18" ht="14.5">
      <c r="A85" s="7" t="s">
        <v>453</v>
      </c>
      <c r="B85" s="7" t="s">
        <v>454</v>
      </c>
      <c r="C85" s="44">
        <v>1</v>
      </c>
      <c r="D85" s="44" t="str">
        <f t="shared" si="0"/>
        <v>C000913</v>
      </c>
      <c r="E85" s="311">
        <f>IF(C85=1,('BD Comp'!X85+'BD Comp'!Y85)/2,"")</f>
        <v>438878</v>
      </c>
      <c r="F85" s="311">
        <f>IF(C85=1,('BD Comp'!AD85+'BD Comp'!AE85)/2,"")</f>
        <v>10443837.5</v>
      </c>
      <c r="G85" s="311">
        <f>IF(C85=1,('BD Comp'!AP85+'BD Comp'!AQ85)/2,"")</f>
        <v>38448.5</v>
      </c>
      <c r="H85" s="311">
        <f>IF(C85=1,('BD Comp'!F85+'BD Comp'!G85)/2,"")</f>
        <v>2939018098.0195436</v>
      </c>
      <c r="I85" s="311">
        <f>IF(C85=1,('BD Comp'!I85+'BD Comp'!J85)/2,"")</f>
        <v>154737981.64584202</v>
      </c>
      <c r="J85" s="311">
        <f>IF(C85=1,('BD Comp'!L85+'BD Comp'!M85)/2,"")</f>
        <v>57603290.54633069</v>
      </c>
      <c r="K85" s="311">
        <f>IF(C85=1,('BD Comp'!O85+'BD Comp'!P85)/2,"")</f>
        <v>25564600.971925646</v>
      </c>
      <c r="L85" s="311">
        <f>IF(C85=1,('BD Comp'!R85+'BD Comp'!S85)/2,"")</f>
        <v>8364691.0929092169</v>
      </c>
      <c r="M85" s="311">
        <f>IF(C85=1,('BD Comp'!AA85+'BD Comp'!AB85)/2,"")</f>
        <v>209603.5</v>
      </c>
      <c r="N85" s="311">
        <f>IF(C85=1,('BD Comp'!AJ85+'BD Comp'!AK85)/2,"")</f>
        <v>56354623.759999998</v>
      </c>
      <c r="O85" s="312">
        <v>0.82199999999999995</v>
      </c>
      <c r="P85" s="311" t="str">
        <f t="shared" si="1"/>
        <v/>
      </c>
      <c r="Q85" s="95"/>
    </row>
    <row r="86" spans="1:18" ht="14.5" hidden="1">
      <c r="A86" s="7" t="s">
        <v>456</v>
      </c>
      <c r="B86" s="7" t="s">
        <v>457</v>
      </c>
      <c r="C86" s="44"/>
      <c r="D86" s="44" t="str">
        <f t="shared" si="0"/>
        <v>C000945</v>
      </c>
      <c r="E86" s="311" t="str">
        <f>IF(C86=1,('BD Comp'!X86+'BD Comp'!Y86)/2,"")</f>
        <v/>
      </c>
      <c r="F86" s="311" t="str">
        <f>IF(C86=1,('BD Comp'!AD86+'BD Comp'!AE86)/2,"")</f>
        <v/>
      </c>
      <c r="G86" s="311" t="str">
        <f>IF(C86=1,('BD Comp'!AP86+'BD Comp'!AQ86)/2,"")</f>
        <v/>
      </c>
      <c r="H86" s="311" t="str">
        <f>IF(C86=1,('BD Comp'!F86+'BD Comp'!G86)/2,"")</f>
        <v/>
      </c>
      <c r="I86" s="311" t="str">
        <f>IF(C86=1,('BD Comp'!I86+'BD Comp'!J86)/2,"")</f>
        <v/>
      </c>
      <c r="J86" s="311" t="str">
        <f>IF(C86=1,('BD Comp'!L86+'BD Comp'!M86)/2,"")</f>
        <v/>
      </c>
      <c r="K86" s="311" t="str">
        <f>IF(C86=1,('BD Comp'!O86+'BD Comp'!P86)/2,"")</f>
        <v/>
      </c>
      <c r="L86" s="311" t="str">
        <f>IF(C86=1,('BD Comp'!R86+'BD Comp'!S86)/2,"")</f>
        <v/>
      </c>
      <c r="M86" s="311" t="str">
        <f>IF(C86=1,('BD Comp'!AA86+'BD Comp'!AB86)/2,"")</f>
        <v/>
      </c>
      <c r="N86" s="311" t="str">
        <f>IF(C86=1,('BD Comp'!AJ86+'BD Comp'!AK86)/2,"")</f>
        <v/>
      </c>
      <c r="O86" s="312"/>
      <c r="P86" s="311" t="str">
        <f t="shared" si="1"/>
        <v/>
      </c>
      <c r="Q86" s="95"/>
    </row>
    <row r="87" spans="1:18" ht="14.5">
      <c r="A87" s="7" t="s">
        <v>459</v>
      </c>
      <c r="B87" s="7" t="s">
        <v>460</v>
      </c>
      <c r="C87" s="44">
        <v>1</v>
      </c>
      <c r="D87" s="44" t="str">
        <f t="shared" si="0"/>
        <v>C001009</v>
      </c>
      <c r="E87" s="311">
        <f>IF(C87=1,('BD Comp'!X87+'BD Comp'!Y87)/2,"")</f>
        <v>154843.5</v>
      </c>
      <c r="F87" s="311">
        <f>IF(C87=1,('BD Comp'!AD87+'BD Comp'!AE87)/2,"")</f>
        <v>4493120.5</v>
      </c>
      <c r="G87" s="311">
        <f>IF(C87=1,('BD Comp'!AP87+'BD Comp'!AQ87)/2,"")</f>
        <v>155900</v>
      </c>
      <c r="H87" s="311">
        <f>IF(C87=1,('BD Comp'!F87+'BD Comp'!G87)/2,"")</f>
        <v>1695908955.8429875</v>
      </c>
      <c r="I87" s="311">
        <f>IF(C87=1,('BD Comp'!I87+'BD Comp'!J87)/2,"")</f>
        <v>39163962.949292466</v>
      </c>
      <c r="J87" s="311">
        <f>IF(C87=1,('BD Comp'!L87+'BD Comp'!M87)/2,"")</f>
        <v>23759326.774893731</v>
      </c>
      <c r="K87" s="311">
        <f>IF(C87=1,('BD Comp'!O87+'BD Comp'!P87)/2,"")</f>
        <v>15646261.255963676</v>
      </c>
      <c r="L87" s="311">
        <f>IF(C87=1,('BD Comp'!R87+'BD Comp'!S87)/2,"")</f>
        <v>12664776.624229142</v>
      </c>
      <c r="M87" s="311">
        <f>IF(C87=1,('BD Comp'!AA87+'BD Comp'!AB87)/2,"")</f>
        <v>235569.5</v>
      </c>
      <c r="N87" s="311">
        <f>IF(C87=1,('BD Comp'!AJ87+'BD Comp'!AK87)/2,"")</f>
        <v>14179670.300000001</v>
      </c>
      <c r="O87" s="312">
        <v>0.84399999999999997</v>
      </c>
      <c r="P87" s="311" t="str">
        <f t="shared" si="1"/>
        <v/>
      </c>
      <c r="Q87" s="95"/>
    </row>
    <row r="88" spans="1:18" ht="14.5">
      <c r="A88" s="7" t="s">
        <v>462</v>
      </c>
      <c r="B88" s="7" t="s">
        <v>463</v>
      </c>
      <c r="C88" s="44">
        <v>1</v>
      </c>
      <c r="D88" s="44" t="str">
        <f t="shared" si="0"/>
        <v>C001016</v>
      </c>
      <c r="E88" s="311">
        <f>IF(C88=1,('BD Comp'!X88+'BD Comp'!Y88)/2,"")</f>
        <v>1279013.5</v>
      </c>
      <c r="F88" s="311">
        <f>IF(C88=1,('BD Comp'!AD88+'BD Comp'!AE88)/2,"")</f>
        <v>20068162</v>
      </c>
      <c r="G88" s="311">
        <f>IF(C88=1,('BD Comp'!AP88+'BD Comp'!AQ88)/2,"")</f>
        <v>1297728.5</v>
      </c>
      <c r="H88" s="311">
        <f>IF(C88=1,('BD Comp'!F88+'BD Comp'!G88)/2,"")</f>
        <v>11496348389.368423</v>
      </c>
      <c r="I88" s="311">
        <f>IF(C88=1,('BD Comp'!I88+'BD Comp'!J88)/2,"")</f>
        <v>298217035.09848422</v>
      </c>
      <c r="J88" s="311">
        <f>IF(C88=1,('BD Comp'!L88+'BD Comp'!M88)/2,"")</f>
        <v>256543869.80115825</v>
      </c>
      <c r="K88" s="311">
        <f>IF(C88=1,('BD Comp'!O88+'BD Comp'!P88)/2,"")</f>
        <v>376317127.97107017</v>
      </c>
      <c r="L88" s="311">
        <f>IF(C88=1,('BD Comp'!R88+'BD Comp'!S88)/2,"")</f>
        <v>175445824.61595172</v>
      </c>
      <c r="M88" s="311">
        <f>IF(C88=1,('BD Comp'!AA88+'BD Comp'!AB88)/2,"")</f>
        <v>296715</v>
      </c>
      <c r="N88" s="311">
        <f>IF(C88=1,('BD Comp'!AJ88+'BD Comp'!AK88)/2,"")</f>
        <v>95289443.299999997</v>
      </c>
      <c r="O88" s="312">
        <v>1</v>
      </c>
      <c r="P88" s="311">
        <f t="shared" si="1"/>
        <v>1</v>
      </c>
      <c r="Q88" s="95"/>
      <c r="R88" s="17"/>
    </row>
    <row r="89" spans="1:18" ht="14.5">
      <c r="A89" s="7" t="s">
        <v>465</v>
      </c>
      <c r="B89" s="7" t="s">
        <v>466</v>
      </c>
      <c r="C89" s="44">
        <v>1</v>
      </c>
      <c r="D89" s="44" t="str">
        <f t="shared" si="0"/>
        <v>C001017</v>
      </c>
      <c r="E89" s="311">
        <f>IF(C89=1,('BD Comp'!X89+'BD Comp'!Y89)/2,"")</f>
        <v>535597</v>
      </c>
      <c r="F89" s="311">
        <f>IF(C89=1,('BD Comp'!AD89+'BD Comp'!AE89)/2,"")</f>
        <v>7676865.5</v>
      </c>
      <c r="G89" s="311">
        <f>IF(C89=1,('BD Comp'!AP89+'BD Comp'!AQ89)/2,"")</f>
        <v>572984</v>
      </c>
      <c r="H89" s="311">
        <f>IF(C89=1,('BD Comp'!F89+'BD Comp'!G89)/2,"")</f>
        <v>4593387377.7435303</v>
      </c>
      <c r="I89" s="311">
        <f>IF(C89=1,('BD Comp'!I89+'BD Comp'!J89)/2,"")</f>
        <v>118572493.15038952</v>
      </c>
      <c r="J89" s="311">
        <f>IF(C89=1,('BD Comp'!L89+'BD Comp'!M89)/2,"")</f>
        <v>116620590.5462327</v>
      </c>
      <c r="K89" s="311">
        <f>IF(C89=1,('BD Comp'!O89+'BD Comp'!P89)/2,"")</f>
        <v>78591636.647149026</v>
      </c>
      <c r="L89" s="311">
        <f>IF(C89=1,('BD Comp'!R89+'BD Comp'!S89)/2,"")</f>
        <v>88094096.837673455</v>
      </c>
      <c r="M89" s="311">
        <f>IF(C89=1,('BD Comp'!AA89+'BD Comp'!AB89)/2,"")</f>
        <v>318268.5</v>
      </c>
      <c r="N89" s="311">
        <f>IF(C89=1,('BD Comp'!AJ89+'BD Comp'!AK89)/2,"")</f>
        <v>43521298.75</v>
      </c>
      <c r="O89" s="312">
        <v>0.98899999999999999</v>
      </c>
      <c r="P89" s="311">
        <f t="shared" si="1"/>
        <v>1</v>
      </c>
      <c r="Q89" s="95"/>
      <c r="R89" s="17"/>
    </row>
    <row r="90" spans="1:18" ht="14.5">
      <c r="A90" s="7" t="s">
        <v>468</v>
      </c>
      <c r="B90" s="7" t="s">
        <v>469</v>
      </c>
      <c r="C90" s="44">
        <v>1</v>
      </c>
      <c r="D90" s="44" t="str">
        <f t="shared" si="0"/>
        <v>C001025</v>
      </c>
      <c r="E90" s="311">
        <f>IF(C90=1,('BD Comp'!X90+'BD Comp'!Y90)/2,"")</f>
        <v>277199</v>
      </c>
      <c r="F90" s="311">
        <f>IF(C90=1,('BD Comp'!AD90+'BD Comp'!AE90)/2,"")</f>
        <v>2862746.5</v>
      </c>
      <c r="G90" s="311">
        <f>IF(C90=1,('BD Comp'!AP90+'BD Comp'!AQ90)/2,"")</f>
        <v>160705.5</v>
      </c>
      <c r="H90" s="311">
        <f>IF(C90=1,('BD Comp'!F90+'BD Comp'!G90)/2,"")</f>
        <v>1939412915.416724</v>
      </c>
      <c r="I90" s="311">
        <f>IF(C90=1,('BD Comp'!I90+'BD Comp'!J90)/2,"")</f>
        <v>74090294.560382769</v>
      </c>
      <c r="J90" s="311">
        <f>IF(C90=1,('BD Comp'!L90+'BD Comp'!M90)/2,"")</f>
        <v>91911283.788178369</v>
      </c>
      <c r="K90" s="311">
        <f>IF(C90=1,('BD Comp'!O90+'BD Comp'!P90)/2,"")</f>
        <v>102852679.20241725</v>
      </c>
      <c r="L90" s="311">
        <f>IF(C90=1,('BD Comp'!R90+'BD Comp'!S90)/2,"")</f>
        <v>71956768.641333997</v>
      </c>
      <c r="M90" s="311">
        <f>IF(C90=1,('BD Comp'!AA90+'BD Comp'!AB90)/2,"")</f>
        <v>188868.5</v>
      </c>
      <c r="N90" s="311">
        <f>IF(C90=1,('BD Comp'!AJ90+'BD Comp'!AK90)/2,"")</f>
        <v>44686620.599999994</v>
      </c>
      <c r="O90" s="312">
        <v>0.71899999999999997</v>
      </c>
      <c r="P90" s="311" t="str">
        <f t="shared" si="1"/>
        <v/>
      </c>
      <c r="Q90" s="95"/>
    </row>
    <row r="91" spans="1:18" ht="14.5">
      <c r="A91" s="7" t="s">
        <v>471</v>
      </c>
      <c r="B91" s="7" t="s">
        <v>472</v>
      </c>
      <c r="C91" s="44">
        <v>1</v>
      </c>
      <c r="D91" s="44" t="str">
        <f t="shared" si="0"/>
        <v>C001030</v>
      </c>
      <c r="E91" s="311">
        <f>IF(C91=1,('BD Comp'!X91+'BD Comp'!Y91)/2,"")</f>
        <v>5810504.5</v>
      </c>
      <c r="F91" s="311">
        <f>IF(C91=1,('BD Comp'!AD91+'BD Comp'!AE91)/2,"")</f>
        <v>127176844.5</v>
      </c>
      <c r="G91" s="311">
        <f>IF(C91=1,('BD Comp'!AP91+'BD Comp'!AQ91)/2,"")</f>
        <v>5920263.5</v>
      </c>
      <c r="H91" s="311">
        <f>IF(C91=1,('BD Comp'!F91+'BD Comp'!G91)/2,"")</f>
        <v>30119321994.729828</v>
      </c>
      <c r="I91" s="311">
        <f>IF(C91=1,('BD Comp'!I91+'BD Comp'!J91)/2,"")</f>
        <v>1445420892.1101933</v>
      </c>
      <c r="J91" s="311">
        <f>IF(C91=1,('BD Comp'!L91+'BD Comp'!M91)/2,"")</f>
        <v>298201348.34544164</v>
      </c>
      <c r="K91" s="311">
        <f>IF(C91=1,('BD Comp'!O91+'BD Comp'!P91)/2,"")</f>
        <v>184354530.84565264</v>
      </c>
      <c r="L91" s="311">
        <f>IF(C91=1,('BD Comp'!R91+'BD Comp'!S91)/2,"")</f>
        <v>224932823.66749746</v>
      </c>
      <c r="M91" s="311">
        <f>IF(C91=1,('BD Comp'!AA91+'BD Comp'!AB91)/2,"")</f>
        <v>10464660.5</v>
      </c>
      <c r="N91" s="311">
        <f>IF(C91=1,('BD Comp'!AJ91+'BD Comp'!AK91)/2,"")</f>
        <v>283987080.11500001</v>
      </c>
      <c r="O91" s="312">
        <v>1</v>
      </c>
      <c r="P91" s="311">
        <f t="shared" si="1"/>
        <v>1</v>
      </c>
      <c r="Q91" s="95"/>
      <c r="R91" s="17"/>
    </row>
    <row r="92" spans="1:18" ht="14.5">
      <c r="A92" s="7" t="s">
        <v>474</v>
      </c>
      <c r="B92" s="7" t="s">
        <v>475</v>
      </c>
      <c r="C92" s="44">
        <v>1</v>
      </c>
      <c r="D92" s="44" t="str">
        <f t="shared" si="0"/>
        <v>C001111</v>
      </c>
      <c r="E92" s="311">
        <f>IF(C92=1,('BD Comp'!X92+'BD Comp'!Y92)/2,"")</f>
        <v>1332917</v>
      </c>
      <c r="F92" s="311">
        <f>IF(C92=1,('BD Comp'!AD92+'BD Comp'!AE92)/2,"")</f>
        <v>28465636.5</v>
      </c>
      <c r="G92" s="311">
        <f>IF(C92=1,('BD Comp'!AP92+'BD Comp'!AQ92)/2,"")</f>
        <v>1358113</v>
      </c>
      <c r="H92" s="311">
        <f>IF(C92=1,('BD Comp'!F92+'BD Comp'!G92)/2,"")</f>
        <v>9280104743.979969</v>
      </c>
      <c r="I92" s="311">
        <f>IF(C92=1,('BD Comp'!I92+'BD Comp'!J92)/2,"")</f>
        <v>491338182.75903815</v>
      </c>
      <c r="J92" s="311">
        <f>IF(C92=1,('BD Comp'!L92+'BD Comp'!M92)/2,"")</f>
        <v>241218375.31878996</v>
      </c>
      <c r="K92" s="311">
        <f>IF(C92=1,('BD Comp'!O92+'BD Comp'!P92)/2,"")</f>
        <v>83497831.311161309</v>
      </c>
      <c r="L92" s="311">
        <f>IF(C92=1,('BD Comp'!R92+'BD Comp'!S92)/2,"")</f>
        <v>186606520.86980078</v>
      </c>
      <c r="M92" s="311">
        <f>IF(C92=1,('BD Comp'!AA92+'BD Comp'!AB92)/2,"")</f>
        <v>1821644</v>
      </c>
      <c r="N92" s="311">
        <f>IF(C92=1,('BD Comp'!AJ92+'BD Comp'!AK92)/2,"")</f>
        <v>95838818.280000001</v>
      </c>
      <c r="O92" s="312">
        <v>0.84699999999999998</v>
      </c>
      <c r="P92" s="311" t="str">
        <f t="shared" si="1"/>
        <v/>
      </c>
      <c r="Q92" s="95"/>
    </row>
    <row r="93" spans="1:18" ht="14.5">
      <c r="A93" s="7" t="s">
        <v>477</v>
      </c>
      <c r="B93" s="7" t="s">
        <v>478</v>
      </c>
      <c r="C93" s="44">
        <v>1</v>
      </c>
      <c r="D93" s="44" t="str">
        <f t="shared" si="0"/>
        <v>C001130</v>
      </c>
      <c r="E93" s="311">
        <f>IF(C93=1,('BD Comp'!X93+'BD Comp'!Y93)/2,"")</f>
        <v>182659</v>
      </c>
      <c r="F93" s="311">
        <f>IF(C93=1,('BD Comp'!AD93+'BD Comp'!AE93)/2,"")</f>
        <v>4817677</v>
      </c>
      <c r="G93" s="311">
        <f>IF(C93=1,('BD Comp'!AP93+'BD Comp'!AQ93)/2,"")</f>
        <v>5523</v>
      </c>
      <c r="H93" s="311">
        <f>IF(C93=1,('BD Comp'!F93+'BD Comp'!G93)/2,"")</f>
        <v>2238305721.3670282</v>
      </c>
      <c r="I93" s="311">
        <f>IF(C93=1,('BD Comp'!I93+'BD Comp'!J93)/2,"")</f>
        <v>87284761.091307044</v>
      </c>
      <c r="J93" s="311">
        <f>IF(C93=1,('BD Comp'!L93+'BD Comp'!M93)/2,"")</f>
        <v>25203530.942702323</v>
      </c>
      <c r="K93" s="311">
        <f>IF(C93=1,('BD Comp'!O93+'BD Comp'!P93)/2,"")</f>
        <v>17440974.511402354</v>
      </c>
      <c r="L93" s="311">
        <f>IF(C93=1,('BD Comp'!R93+'BD Comp'!S93)/2,"")</f>
        <v>30871175.793655574</v>
      </c>
      <c r="M93" s="311">
        <f>IF(C93=1,('BD Comp'!AA93+'BD Comp'!AB93)/2,"")</f>
        <v>102128.5</v>
      </c>
      <c r="N93" s="311">
        <f>IF(C93=1,('BD Comp'!AJ93+'BD Comp'!AK93)/2,"")</f>
        <v>16526486.285</v>
      </c>
      <c r="O93" s="312">
        <v>0.78400000000000003</v>
      </c>
      <c r="P93" s="311" t="str">
        <f t="shared" si="1"/>
        <v/>
      </c>
      <c r="Q93" s="95"/>
    </row>
    <row r="94" spans="1:18" ht="14.5">
      <c r="A94" s="7" t="s">
        <v>480</v>
      </c>
      <c r="B94" s="7" t="s">
        <v>481</v>
      </c>
      <c r="C94" s="44">
        <v>1</v>
      </c>
      <c r="D94" s="44" t="str">
        <f t="shared" si="0"/>
        <v>C001132</v>
      </c>
      <c r="E94" s="311">
        <f>IF(C94=1,('BD Comp'!X94+'BD Comp'!Y94)/2,"")</f>
        <v>925695.5</v>
      </c>
      <c r="F94" s="311">
        <f>IF(C94=1,('BD Comp'!AD94+'BD Comp'!AE94)/2,"")</f>
        <v>19018394.5</v>
      </c>
      <c r="G94" s="311">
        <f>IF(C94=1,('BD Comp'!AP94+'BD Comp'!AQ94)/2,"")</f>
        <v>925669.5</v>
      </c>
      <c r="H94" s="311">
        <f>IF(C94=1,('BD Comp'!F94+'BD Comp'!G94)/2,"")</f>
        <v>7696935314.0366182</v>
      </c>
      <c r="I94" s="311">
        <f>IF(C94=1,('BD Comp'!I94+'BD Comp'!J94)/2,"")</f>
        <v>427662058.03818464</v>
      </c>
      <c r="J94" s="311">
        <f>IF(C94=1,('BD Comp'!L94+'BD Comp'!M94)/2,"")</f>
        <v>206137958.69958386</v>
      </c>
      <c r="K94" s="311">
        <f>IF(C94=1,('BD Comp'!O94+'BD Comp'!P94)/2,"")</f>
        <v>106478372.18082243</v>
      </c>
      <c r="L94" s="311">
        <f>IF(C94=1,('BD Comp'!R94+'BD Comp'!S94)/2,"")</f>
        <v>131675204.20022964</v>
      </c>
      <c r="M94" s="311">
        <f>IF(C94=1,('BD Comp'!AA94+'BD Comp'!AB94)/2,"")</f>
        <v>1135009.5</v>
      </c>
      <c r="N94" s="311">
        <f>IF(C94=1,('BD Comp'!AJ94+'BD Comp'!AK94)/2,"")</f>
        <v>104590757.5</v>
      </c>
      <c r="O94" s="312">
        <v>0.59299999999999997</v>
      </c>
      <c r="P94" s="311" t="str">
        <f t="shared" si="1"/>
        <v/>
      </c>
      <c r="Q94" s="95"/>
    </row>
    <row r="95" spans="1:18" ht="14.5">
      <c r="A95" s="7" t="s">
        <v>483</v>
      </c>
      <c r="B95" s="7" t="s">
        <v>484</v>
      </c>
      <c r="C95" s="44">
        <v>1</v>
      </c>
      <c r="D95" s="44" t="str">
        <f t="shared" si="0"/>
        <v>C001143</v>
      </c>
      <c r="E95" s="311">
        <f>IF(C95=1,('BD Comp'!X95+'BD Comp'!Y95)/2,"")</f>
        <v>816847.5</v>
      </c>
      <c r="F95" s="311">
        <f>IF(C95=1,('BD Comp'!AD95+'BD Comp'!AE95)/2,"")</f>
        <v>29482406.5</v>
      </c>
      <c r="G95" s="311">
        <f>IF(C95=1,('BD Comp'!AP95+'BD Comp'!AQ95)/2,"")</f>
        <v>727224</v>
      </c>
      <c r="H95" s="311">
        <f>IF(C95=1,('BD Comp'!F95+'BD Comp'!G95)/2,"")</f>
        <v>5271059142.9162683</v>
      </c>
      <c r="I95" s="311">
        <f>IF(C95=1,('BD Comp'!I95+'BD Comp'!J95)/2,"")</f>
        <v>150116477.06925306</v>
      </c>
      <c r="J95" s="311">
        <f>IF(C95=1,('BD Comp'!L95+'BD Comp'!M95)/2,"")</f>
        <v>94988717.386959225</v>
      </c>
      <c r="K95" s="311">
        <f>IF(C95=1,('BD Comp'!O95+'BD Comp'!P95)/2,"")</f>
        <v>82573670.215480551</v>
      </c>
      <c r="L95" s="311">
        <f>IF(C95=1,('BD Comp'!R95+'BD Comp'!S95)/2,"")</f>
        <v>17407161.832464844</v>
      </c>
      <c r="M95" s="311">
        <f>IF(C95=1,('BD Comp'!AA95+'BD Comp'!AB95)/2,"")</f>
        <v>775333</v>
      </c>
      <c r="N95" s="311">
        <f>IF(C95=1,('BD Comp'!AJ95+'BD Comp'!AK95)/2,"")</f>
        <v>57137244.5</v>
      </c>
      <c r="O95" s="312">
        <v>1</v>
      </c>
      <c r="P95" s="311">
        <f t="shared" si="1"/>
        <v>1</v>
      </c>
      <c r="Q95" s="95"/>
      <c r="R95" s="17"/>
    </row>
    <row r="96" spans="1:18" ht="14.5" hidden="1">
      <c r="A96" s="7" t="s">
        <v>486</v>
      </c>
      <c r="B96" s="7" t="s">
        <v>487</v>
      </c>
      <c r="C96" s="44"/>
      <c r="D96" s="44" t="str">
        <f t="shared" si="0"/>
        <v>C001153</v>
      </c>
      <c r="E96" s="311" t="str">
        <f>IF(C96=1,('BD Comp'!X96+'BD Comp'!Y96)/2,"")</f>
        <v/>
      </c>
      <c r="F96" s="311" t="str">
        <f>IF(C96=1,('BD Comp'!AD96+'BD Comp'!AE96)/2,"")</f>
        <v/>
      </c>
      <c r="G96" s="311" t="str">
        <f>IF(C96=1,('BD Comp'!AP96+'BD Comp'!AQ96)/2,"")</f>
        <v/>
      </c>
      <c r="H96" s="311" t="str">
        <f>IF(C96=1,('BD Comp'!F96+'BD Comp'!G96)/2,"")</f>
        <v/>
      </c>
      <c r="I96" s="311" t="str">
        <f>IF(C96=1,('BD Comp'!I96+'BD Comp'!J96)/2,"")</f>
        <v/>
      </c>
      <c r="J96" s="311" t="str">
        <f>IF(C96=1,('BD Comp'!L96+'BD Comp'!M96)/2,"")</f>
        <v/>
      </c>
      <c r="K96" s="311" t="str">
        <f>IF(C96=1,('BD Comp'!O96+'BD Comp'!P96)/2,"")</f>
        <v/>
      </c>
      <c r="L96" s="311" t="str">
        <f>IF(C96=1,('BD Comp'!R96+'BD Comp'!S96)/2,"")</f>
        <v/>
      </c>
      <c r="M96" s="311" t="str">
        <f>IF(C96=1,('BD Comp'!AA96+'BD Comp'!AB96)/2,"")</f>
        <v/>
      </c>
      <c r="N96" s="311" t="str">
        <f>IF(C96=1,('BD Comp'!AJ96+'BD Comp'!AK96)/2,"")</f>
        <v/>
      </c>
      <c r="O96" s="312"/>
      <c r="P96" s="311" t="str">
        <f t="shared" si="1"/>
        <v/>
      </c>
      <c r="Q96" s="95"/>
    </row>
    <row r="97" spans="1:18" ht="14.5">
      <c r="A97" s="7" t="s">
        <v>490</v>
      </c>
      <c r="B97" s="7" t="s">
        <v>491</v>
      </c>
      <c r="C97" s="44">
        <v>1</v>
      </c>
      <c r="D97" s="44" t="str">
        <f t="shared" si="0"/>
        <v>C001181</v>
      </c>
      <c r="E97" s="311">
        <f>IF(C97=1,('BD Comp'!X97+'BD Comp'!Y97)/2,"")</f>
        <v>577645</v>
      </c>
      <c r="F97" s="311">
        <f>IF(C97=1,('BD Comp'!AD97+'BD Comp'!AE97)/2,"")</f>
        <v>14778370.5</v>
      </c>
      <c r="G97" s="311">
        <f>IF(C97=1,('BD Comp'!AP97+'BD Comp'!AQ97)/2,"")</f>
        <v>284346</v>
      </c>
      <c r="H97" s="311">
        <f>IF(C97=1,('BD Comp'!F97+'BD Comp'!G97)/2,"")</f>
        <v>3816060272.8038893</v>
      </c>
      <c r="I97" s="311">
        <f>IF(C97=1,('BD Comp'!I97+'BD Comp'!J97)/2,"")</f>
        <v>288782605.31593084</v>
      </c>
      <c r="J97" s="311">
        <f>IF(C97=1,('BD Comp'!L97+'BD Comp'!M97)/2,"")</f>
        <v>52989036.742014736</v>
      </c>
      <c r="K97" s="311">
        <f>IF(C97=1,('BD Comp'!O97+'BD Comp'!P97)/2,"")</f>
        <v>44827266.811618283</v>
      </c>
      <c r="L97" s="311">
        <f>IF(C97=1,('BD Comp'!R97+'BD Comp'!S97)/2,"")</f>
        <v>37270070.768890411</v>
      </c>
      <c r="M97" s="311">
        <f>IF(C97=1,('BD Comp'!AA97+'BD Comp'!AB97)/2,"")</f>
        <v>380072</v>
      </c>
      <c r="N97" s="311">
        <f>IF(C97=1,('BD Comp'!AJ97+'BD Comp'!AK97)/2,"")</f>
        <v>47070071.539999999</v>
      </c>
      <c r="O97" s="312">
        <v>0.83499999999999996</v>
      </c>
      <c r="P97" s="311" t="str">
        <f t="shared" si="1"/>
        <v/>
      </c>
      <c r="Q97" s="95"/>
    </row>
    <row r="98" spans="1:18" ht="14.5">
      <c r="A98" s="7" t="s">
        <v>493</v>
      </c>
      <c r="B98" s="7" t="s">
        <v>494</v>
      </c>
      <c r="C98" s="44">
        <v>1</v>
      </c>
      <c r="D98" s="44" t="str">
        <f t="shared" si="0"/>
        <v>C001182</v>
      </c>
      <c r="E98" s="311">
        <f>IF(C98=1,('BD Comp'!X98+'BD Comp'!Y98)/2,"")</f>
        <v>342092</v>
      </c>
      <c r="F98" s="311">
        <f>IF(C98=1,('BD Comp'!AD98+'BD Comp'!AE98)/2,"")</f>
        <v>8563596.5</v>
      </c>
      <c r="G98" s="311">
        <f>IF(C98=1,('BD Comp'!AP98+'BD Comp'!AQ98)/2,"")</f>
        <v>343971</v>
      </c>
      <c r="H98" s="311">
        <f>IF(C98=1,('BD Comp'!F98+'BD Comp'!G98)/2,"")</f>
        <v>2722106363.1047592</v>
      </c>
      <c r="I98" s="311">
        <f>IF(C98=1,('BD Comp'!I98+'BD Comp'!J98)/2,"")</f>
        <v>127640278.75969055</v>
      </c>
      <c r="J98" s="311">
        <f>IF(C98=1,('BD Comp'!L98+'BD Comp'!M98)/2,"")</f>
        <v>33780409.315687731</v>
      </c>
      <c r="K98" s="311">
        <f>IF(C98=1,('BD Comp'!O98+'BD Comp'!P98)/2,"")</f>
        <v>56613164.837922677</v>
      </c>
      <c r="L98" s="311">
        <f>IF(C98=1,('BD Comp'!R98+'BD Comp'!S98)/2,"")</f>
        <v>59108466.185665712</v>
      </c>
      <c r="M98" s="311">
        <f>IF(C98=1,('BD Comp'!AA98+'BD Comp'!AB98)/2,"")</f>
        <v>343720.5</v>
      </c>
      <c r="N98" s="311">
        <f>IF(C98=1,('BD Comp'!AJ98+'BD Comp'!AK98)/2,"")</f>
        <v>41639852.969999999</v>
      </c>
      <c r="O98" s="312">
        <v>0.63200000000000001</v>
      </c>
      <c r="P98" s="311" t="str">
        <f t="shared" si="1"/>
        <v/>
      </c>
      <c r="Q98" s="95"/>
    </row>
    <row r="99" spans="1:18" ht="14.5" hidden="1">
      <c r="A99" s="7" t="s">
        <v>496</v>
      </c>
      <c r="B99" s="7" t="s">
        <v>497</v>
      </c>
      <c r="C99" s="44"/>
      <c r="D99" s="44" t="str">
        <f t="shared" si="0"/>
        <v>C001183</v>
      </c>
      <c r="E99" s="311" t="str">
        <f>IF(C99=1,('BD Comp'!X99+'BD Comp'!Y99)/2,"")</f>
        <v/>
      </c>
      <c r="F99" s="311" t="str">
        <f>IF(C99=1,('BD Comp'!AD99+'BD Comp'!AE99)/2,"")</f>
        <v/>
      </c>
      <c r="G99" s="311" t="str">
        <f>IF(C99=1,('BD Comp'!AP99+'BD Comp'!AQ99)/2,"")</f>
        <v/>
      </c>
      <c r="H99" s="311" t="str">
        <f>IF(C99=1,('BD Comp'!F99+'BD Comp'!G99)/2,"")</f>
        <v/>
      </c>
      <c r="I99" s="311" t="str">
        <f>IF(C99=1,('BD Comp'!I99+'BD Comp'!J99)/2,"")</f>
        <v/>
      </c>
      <c r="J99" s="311" t="str">
        <f>IF(C99=1,('BD Comp'!L99+'BD Comp'!M99)/2,"")</f>
        <v/>
      </c>
      <c r="K99" s="311" t="str">
        <f>IF(C99=1,('BD Comp'!O99+'BD Comp'!P99)/2,"")</f>
        <v/>
      </c>
      <c r="L99" s="311" t="str">
        <f>IF(C99=1,('BD Comp'!R99+'BD Comp'!S99)/2,"")</f>
        <v/>
      </c>
      <c r="M99" s="311" t="str">
        <f>IF(C99=1,('BD Comp'!AA99+'BD Comp'!AB99)/2,"")</f>
        <v/>
      </c>
      <c r="N99" s="311" t="str">
        <f>IF(C99=1,('BD Comp'!AJ99+'BD Comp'!AK99)/2,"")</f>
        <v/>
      </c>
      <c r="O99" s="312"/>
      <c r="P99" s="311" t="str">
        <f t="shared" si="1"/>
        <v/>
      </c>
      <c r="Q99" s="95"/>
    </row>
    <row r="100" spans="1:18" ht="14.5" hidden="1">
      <c r="A100" s="7" t="s">
        <v>499</v>
      </c>
      <c r="B100" s="7" t="s">
        <v>500</v>
      </c>
      <c r="C100" s="44"/>
      <c r="D100" s="44" t="str">
        <f t="shared" si="0"/>
        <v>C001184</v>
      </c>
      <c r="E100" s="311" t="str">
        <f>IF(C100=1,('BD Comp'!X100+'BD Comp'!Y100)/2,"")</f>
        <v/>
      </c>
      <c r="F100" s="311" t="str">
        <f>IF(C100=1,('BD Comp'!AD100+'BD Comp'!AE100)/2,"")</f>
        <v/>
      </c>
      <c r="G100" s="311" t="str">
        <f>IF(C100=1,('BD Comp'!AP100+'BD Comp'!AQ100)/2,"")</f>
        <v/>
      </c>
      <c r="H100" s="311" t="str">
        <f>IF(C100=1,('BD Comp'!F100+'BD Comp'!G100)/2,"")</f>
        <v/>
      </c>
      <c r="I100" s="311" t="str">
        <f>IF(C100=1,('BD Comp'!I100+'BD Comp'!J100)/2,"")</f>
        <v/>
      </c>
      <c r="J100" s="311" t="str">
        <f>IF(C100=1,('BD Comp'!L100+'BD Comp'!M100)/2,"")</f>
        <v/>
      </c>
      <c r="K100" s="311" t="str">
        <f>IF(C100=1,('BD Comp'!O100+'BD Comp'!P100)/2,"")</f>
        <v/>
      </c>
      <c r="L100" s="311" t="str">
        <f>IF(C100=1,('BD Comp'!R100+'BD Comp'!S100)/2,"")</f>
        <v/>
      </c>
      <c r="M100" s="311" t="str">
        <f>IF(C100=1,('BD Comp'!AA100+'BD Comp'!AB100)/2,"")</f>
        <v/>
      </c>
      <c r="N100" s="311" t="str">
        <f>IF(C100=1,('BD Comp'!AJ100+'BD Comp'!AK100)/2,"")</f>
        <v/>
      </c>
      <c r="O100" s="312"/>
      <c r="P100" s="311" t="str">
        <f t="shared" si="1"/>
        <v/>
      </c>
      <c r="Q100" s="95"/>
    </row>
    <row r="101" spans="1:18" ht="14.5">
      <c r="A101" s="7" t="s">
        <v>502</v>
      </c>
      <c r="B101" s="7" t="s">
        <v>503</v>
      </c>
      <c r="C101" s="44">
        <v>1</v>
      </c>
      <c r="D101" s="44" t="str">
        <f t="shared" si="0"/>
        <v>C001187</v>
      </c>
      <c r="E101" s="311">
        <f>IF(C101=1,('BD Comp'!X101+'BD Comp'!Y101)/2,"")</f>
        <v>102679.5</v>
      </c>
      <c r="F101" s="311">
        <f>IF(C101=1,('BD Comp'!AD101+'BD Comp'!AE101)/2,"")</f>
        <v>1839959.5</v>
      </c>
      <c r="G101" s="311">
        <f>IF(C101=1,('BD Comp'!AP101+'BD Comp'!AQ101)/2,"")</f>
        <v>110132</v>
      </c>
      <c r="H101" s="311">
        <f>IF(C101=1,('BD Comp'!F101+'BD Comp'!G101)/2,"")</f>
        <v>1051432394.2794702</v>
      </c>
      <c r="I101" s="311">
        <f>IF(C101=1,('BD Comp'!I101+'BD Comp'!J101)/2,"")</f>
        <v>36541965.474255793</v>
      </c>
      <c r="J101" s="311">
        <f>IF(C101=1,('BD Comp'!L101+'BD Comp'!M101)/2,"")</f>
        <v>7858858.6245331895</v>
      </c>
      <c r="K101" s="311">
        <f>IF(C101=1,('BD Comp'!O101+'BD Comp'!P101)/2,"")</f>
        <v>9791319.5223490782</v>
      </c>
      <c r="L101" s="311">
        <f>IF(C101=1,('BD Comp'!R101+'BD Comp'!S101)/2,"")</f>
        <v>4381443.296271719</v>
      </c>
      <c r="M101" s="311">
        <f>IF(C101=1,('BD Comp'!AA101+'BD Comp'!AB101)/2,"")</f>
        <v>33044.5</v>
      </c>
      <c r="N101" s="311">
        <f>IF(C101=1,('BD Comp'!AJ101+'BD Comp'!AK101)/2,"")</f>
        <v>6213348.6799999997</v>
      </c>
      <c r="O101" s="312">
        <v>1</v>
      </c>
      <c r="P101" s="311">
        <f t="shared" si="1"/>
        <v>1</v>
      </c>
      <c r="Q101" s="95"/>
      <c r="R101" s="17"/>
    </row>
    <row r="102" spans="1:18" ht="14.5" hidden="1">
      <c r="A102" s="7" t="s">
        <v>505</v>
      </c>
      <c r="B102" s="7" t="s">
        <v>506</v>
      </c>
      <c r="C102" s="44"/>
      <c r="D102" s="44" t="str">
        <f t="shared" si="0"/>
        <v>C001188</v>
      </c>
      <c r="E102" s="311" t="str">
        <f>IF(C102=1,('BD Comp'!X102+'BD Comp'!Y102)/2,"")</f>
        <v/>
      </c>
      <c r="F102" s="311" t="str">
        <f>IF(C102=1,('BD Comp'!AD102+'BD Comp'!AE102)/2,"")</f>
        <v/>
      </c>
      <c r="G102" s="311" t="str">
        <f>IF(C102=1,('BD Comp'!AP102+'BD Comp'!AQ102)/2,"")</f>
        <v/>
      </c>
      <c r="H102" s="311" t="str">
        <f>IF(C102=1,('BD Comp'!F102+'BD Comp'!G102)/2,"")</f>
        <v/>
      </c>
      <c r="I102" s="311" t="str">
        <f>IF(C102=1,('BD Comp'!I102+'BD Comp'!J102)/2,"")</f>
        <v/>
      </c>
      <c r="J102" s="311" t="str">
        <f>IF(C102=1,('BD Comp'!L102+'BD Comp'!M102)/2,"")</f>
        <v/>
      </c>
      <c r="K102" s="311" t="str">
        <f>IF(C102=1,('BD Comp'!O102+'BD Comp'!P102)/2,"")</f>
        <v/>
      </c>
      <c r="L102" s="311" t="str">
        <f>IF(C102=1,('BD Comp'!R102+'BD Comp'!S102)/2,"")</f>
        <v/>
      </c>
      <c r="M102" s="311" t="str">
        <f>IF(C102=1,('BD Comp'!AA102+'BD Comp'!AB102)/2,"")</f>
        <v/>
      </c>
      <c r="N102" s="311" t="str">
        <f>IF(C102=1,('BD Comp'!AJ102+'BD Comp'!AK102)/2,"")</f>
        <v/>
      </c>
      <c r="O102" s="312"/>
      <c r="P102" s="311" t="str">
        <f t="shared" si="1"/>
        <v/>
      </c>
      <c r="Q102" s="95"/>
    </row>
    <row r="103" spans="1:18" ht="14.5">
      <c r="A103" s="7" t="s">
        <v>508</v>
      </c>
      <c r="B103" s="7" t="s">
        <v>509</v>
      </c>
      <c r="C103" s="44">
        <v>1</v>
      </c>
      <c r="D103" s="44" t="str">
        <f t="shared" si="0"/>
        <v>C001194</v>
      </c>
      <c r="E103" s="311">
        <f>IF(C103=1,('BD Comp'!X103+'BD Comp'!Y103)/2,"")</f>
        <v>2358081.5</v>
      </c>
      <c r="F103" s="311">
        <f>IF(C103=1,('BD Comp'!AD103+'BD Comp'!AE103)/2,"")</f>
        <v>39958386</v>
      </c>
      <c r="G103" s="311">
        <f>IF(C103=1,('BD Comp'!AP103+'BD Comp'!AQ103)/2,"")</f>
        <v>1049186</v>
      </c>
      <c r="H103" s="311">
        <f>IF(C103=1,('BD Comp'!F103+'BD Comp'!G103)/2,"")</f>
        <v>14559249031.237051</v>
      </c>
      <c r="I103" s="311">
        <f>IF(C103=1,('BD Comp'!I103+'BD Comp'!J103)/2,"")</f>
        <v>575856702.97277296</v>
      </c>
      <c r="J103" s="311">
        <f>IF(C103=1,('BD Comp'!L103+'BD Comp'!M103)/2,"")</f>
        <v>203239027.85164273</v>
      </c>
      <c r="K103" s="311">
        <f>IF(C103=1,('BD Comp'!O103+'BD Comp'!P103)/2,"")</f>
        <v>585090853.85594296</v>
      </c>
      <c r="L103" s="311">
        <f>IF(C103=1,('BD Comp'!R103+'BD Comp'!S103)/2,"")</f>
        <v>79975128.968581781</v>
      </c>
      <c r="M103" s="311">
        <f>IF(C103=1,('BD Comp'!AA103+'BD Comp'!AB103)/2,"")</f>
        <v>1541766</v>
      </c>
      <c r="N103" s="311">
        <f>IF(C103=1,('BD Comp'!AJ103+'BD Comp'!AK103)/2,"")</f>
        <v>82059257.344999999</v>
      </c>
      <c r="O103" s="312">
        <v>1</v>
      </c>
      <c r="P103" s="311">
        <f t="shared" si="1"/>
        <v>1</v>
      </c>
      <c r="Q103" s="95"/>
      <c r="R103" s="17"/>
    </row>
    <row r="104" spans="1:18" ht="14.5">
      <c r="A104" s="7" t="s">
        <v>511</v>
      </c>
      <c r="B104" s="7" t="s">
        <v>512</v>
      </c>
      <c r="C104" s="44">
        <v>1</v>
      </c>
      <c r="D104" s="44" t="str">
        <f t="shared" si="0"/>
        <v>C001218</v>
      </c>
      <c r="E104" s="311">
        <f>IF(C104=1,('BD Comp'!X104+'BD Comp'!Y104)/2,"")</f>
        <v>545861.5</v>
      </c>
      <c r="F104" s="311">
        <f>IF(C104=1,('BD Comp'!AD104+'BD Comp'!AE104)/2,"")</f>
        <v>9592026.5</v>
      </c>
      <c r="G104" s="311">
        <f>IF(C104=1,('BD Comp'!AP104+'BD Comp'!AQ104)/2,"")</f>
        <v>35610.5</v>
      </c>
      <c r="H104" s="311">
        <f>IF(C104=1,('BD Comp'!F104+'BD Comp'!G104)/2,"")</f>
        <v>2737599570.0105209</v>
      </c>
      <c r="I104" s="311">
        <f>IF(C104=1,('BD Comp'!I104+'BD Comp'!J104)/2,"")</f>
        <v>91175139.24201031</v>
      </c>
      <c r="J104" s="311">
        <f>IF(C104=1,('BD Comp'!L104+'BD Comp'!M104)/2,"")</f>
        <v>31911664.051017217</v>
      </c>
      <c r="K104" s="311">
        <f>IF(C104=1,('BD Comp'!O104+'BD Comp'!P104)/2,"")</f>
        <v>35222890.419608489</v>
      </c>
      <c r="L104" s="311">
        <f>IF(C104=1,('BD Comp'!R104+'BD Comp'!S104)/2,"")</f>
        <v>53602158.392493561</v>
      </c>
      <c r="M104" s="311">
        <f>IF(C104=1,('BD Comp'!AA104+'BD Comp'!AB104)/2,"")</f>
        <v>2050423.5</v>
      </c>
      <c r="N104" s="311">
        <f>IF(C104=1,('BD Comp'!AJ104+'BD Comp'!AK104)/2,"")</f>
        <v>52802090.534999996</v>
      </c>
      <c r="O104" s="312">
        <v>1</v>
      </c>
      <c r="P104" s="311">
        <f t="shared" si="1"/>
        <v>1</v>
      </c>
      <c r="Q104" s="95"/>
    </row>
    <row r="105" spans="1:18" ht="14.5" hidden="1">
      <c r="A105" s="7" t="s">
        <v>514</v>
      </c>
      <c r="B105" s="7" t="s">
        <v>515</v>
      </c>
      <c r="C105" s="44"/>
      <c r="D105" s="44" t="str">
        <f t="shared" si="0"/>
        <v>C001221</v>
      </c>
      <c r="E105" s="311" t="str">
        <f>IF(C105=1,('BD Comp'!X105+'BD Comp'!Y105)/2,"")</f>
        <v/>
      </c>
      <c r="F105" s="311" t="str">
        <f>IF(C105=1,('BD Comp'!AD105+'BD Comp'!AE105)/2,"")</f>
        <v/>
      </c>
      <c r="G105" s="311" t="str">
        <f>IF(C105=1,('BD Comp'!AP105+'BD Comp'!AQ105)/2,"")</f>
        <v/>
      </c>
      <c r="H105" s="311" t="str">
        <f>IF(C105=1,('BD Comp'!F105+'BD Comp'!G105)/2,"")</f>
        <v/>
      </c>
      <c r="I105" s="311" t="str">
        <f>IF(C105=1,('BD Comp'!I105+'BD Comp'!J105)/2,"")</f>
        <v/>
      </c>
      <c r="J105" s="311" t="str">
        <f>IF(C105=1,('BD Comp'!L105+'BD Comp'!M105)/2,"")</f>
        <v/>
      </c>
      <c r="K105" s="311" t="str">
        <f>IF(C105=1,('BD Comp'!O105+'BD Comp'!P105)/2,"")</f>
        <v/>
      </c>
      <c r="L105" s="311" t="str">
        <f>IF(C105=1,('BD Comp'!R105+'BD Comp'!S105)/2,"")</f>
        <v/>
      </c>
      <c r="M105" s="311" t="str">
        <f>IF(C105=1,('BD Comp'!AA105+'BD Comp'!AB105)/2,"")</f>
        <v/>
      </c>
      <c r="N105" s="311" t="str">
        <f>IF(C105=1,('BD Comp'!AJ105+'BD Comp'!AK105)/2,"")</f>
        <v/>
      </c>
      <c r="O105" s="312"/>
      <c r="P105" s="311" t="str">
        <f t="shared" si="1"/>
        <v/>
      </c>
      <c r="Q105" s="95"/>
    </row>
    <row r="106" spans="1:18" ht="14.5">
      <c r="A106" s="7" t="s">
        <v>517</v>
      </c>
      <c r="B106" s="7" t="s">
        <v>518</v>
      </c>
      <c r="C106" s="44">
        <v>1</v>
      </c>
      <c r="D106" s="44" t="str">
        <f t="shared" si="0"/>
        <v>C001222</v>
      </c>
      <c r="E106" s="311">
        <f>IF(C106=1,('BD Comp'!X106+'BD Comp'!Y106)/2,"")</f>
        <v>80826.5</v>
      </c>
      <c r="F106" s="311">
        <f>IF(C106=1,('BD Comp'!AD106+'BD Comp'!AE106)/2,"")</f>
        <v>623700</v>
      </c>
      <c r="G106" s="311">
        <f>IF(C106=1,('BD Comp'!AP106+'BD Comp'!AQ106)/2,"")</f>
        <v>79833.5</v>
      </c>
      <c r="H106" s="311">
        <f>IF(C106=1,('BD Comp'!F106+'BD Comp'!G106)/2,"")</f>
        <v>534962935.9594636</v>
      </c>
      <c r="I106" s="311">
        <f>IF(C106=1,('BD Comp'!I106+'BD Comp'!J106)/2,"")</f>
        <v>31583214.320060767</v>
      </c>
      <c r="J106" s="311">
        <f>IF(C106=1,('BD Comp'!L106+'BD Comp'!M106)/2,"")</f>
        <v>10182983.75231779</v>
      </c>
      <c r="K106" s="311">
        <f>IF(C106=1,('BD Comp'!O106+'BD Comp'!P106)/2,"")</f>
        <v>12484094.143314285</v>
      </c>
      <c r="L106" s="311">
        <f>IF(C106=1,('BD Comp'!R106+'BD Comp'!S106)/2,"")</f>
        <v>4240754.9978292594</v>
      </c>
      <c r="M106" s="311">
        <f>IF(C106=1,('BD Comp'!AA106+'BD Comp'!AB106)/2,"")</f>
        <v>31993.5</v>
      </c>
      <c r="N106" s="311">
        <f>IF(C106=1,('BD Comp'!AJ106+'BD Comp'!AK106)/2,"")</f>
        <v>6536311.9850000003</v>
      </c>
      <c r="O106" s="312">
        <v>1</v>
      </c>
      <c r="P106" s="311">
        <f t="shared" si="1"/>
        <v>1</v>
      </c>
      <c r="Q106" s="95"/>
      <c r="R106" s="17"/>
    </row>
    <row r="107" spans="1:18" ht="14.5">
      <c r="A107" s="7" t="s">
        <v>520</v>
      </c>
      <c r="B107" s="7" t="s">
        <v>521</v>
      </c>
      <c r="C107" s="44">
        <v>1</v>
      </c>
      <c r="D107" s="44" t="str">
        <f t="shared" si="0"/>
        <v>C001230</v>
      </c>
      <c r="E107" s="311">
        <f>IF(C107=1,('BD Comp'!X107+'BD Comp'!Y107)/2,"")</f>
        <v>1472640</v>
      </c>
      <c r="F107" s="311">
        <f>IF(C107=1,('BD Comp'!AD107+'BD Comp'!AE107)/2,"")</f>
        <v>36641004</v>
      </c>
      <c r="G107" s="311">
        <f>IF(C107=1,('BD Comp'!AP107+'BD Comp'!AQ107)/2,"")</f>
        <v>1483555</v>
      </c>
      <c r="H107" s="311">
        <f>IF(C107=1,('BD Comp'!F107+'BD Comp'!G107)/2,"")</f>
        <v>13802214737.783073</v>
      </c>
      <c r="I107" s="311">
        <f>IF(C107=1,('BD Comp'!I107+'BD Comp'!J107)/2,"")</f>
        <v>507984017.25963795</v>
      </c>
      <c r="J107" s="311">
        <f>IF(C107=1,('BD Comp'!L107+'BD Comp'!M107)/2,"")</f>
        <v>209327193.82810569</v>
      </c>
      <c r="K107" s="311">
        <f>IF(C107=1,('BD Comp'!O107+'BD Comp'!P107)/2,"")</f>
        <v>201795766.88891381</v>
      </c>
      <c r="L107" s="311">
        <f>IF(C107=1,('BD Comp'!R107+'BD Comp'!S107)/2,"")</f>
        <v>107666750.95738447</v>
      </c>
      <c r="M107" s="311">
        <f>IF(C107=1,('BD Comp'!AA107+'BD Comp'!AB107)/2,"")</f>
        <v>2303150</v>
      </c>
      <c r="N107" s="311">
        <f>IF(C107=1,('BD Comp'!AJ107+'BD Comp'!AK107)/2,"")</f>
        <v>133126478.90000001</v>
      </c>
      <c r="O107" s="312">
        <v>0.68799999999999994</v>
      </c>
      <c r="P107" s="311" t="str">
        <f t="shared" si="1"/>
        <v/>
      </c>
      <c r="Q107" s="95"/>
    </row>
    <row r="108" spans="1:18" ht="14.5" hidden="1">
      <c r="A108" s="7" t="s">
        <v>523</v>
      </c>
      <c r="B108" s="7" t="s">
        <v>524</v>
      </c>
      <c r="C108" s="44"/>
      <c r="D108" s="44" t="str">
        <f t="shared" si="0"/>
        <v>C001245</v>
      </c>
      <c r="E108" s="311" t="str">
        <f>IF(C108=1,('BD Comp'!X108+'BD Comp'!Y108)/2,"")</f>
        <v/>
      </c>
      <c r="F108" s="311" t="str">
        <f>IF(C108=1,('BD Comp'!AD108+'BD Comp'!AE108)/2,"")</f>
        <v/>
      </c>
      <c r="G108" s="311" t="str">
        <f>IF(C108=1,('BD Comp'!AP108+'BD Comp'!AQ108)/2,"")</f>
        <v/>
      </c>
      <c r="H108" s="311" t="str">
        <f>IF(C108=1,('BD Comp'!F108+'BD Comp'!G108)/2,"")</f>
        <v/>
      </c>
      <c r="I108" s="311" t="str">
        <f>IF(C108=1,('BD Comp'!I108+'BD Comp'!J108)/2,"")</f>
        <v/>
      </c>
      <c r="J108" s="311" t="str">
        <f>IF(C108=1,('BD Comp'!L108+'BD Comp'!M108)/2,"")</f>
        <v/>
      </c>
      <c r="K108" s="311" t="str">
        <f>IF(C108=1,('BD Comp'!O108+'BD Comp'!P108)/2,"")</f>
        <v/>
      </c>
      <c r="L108" s="311" t="str">
        <f>IF(C108=1,('BD Comp'!R108+'BD Comp'!S108)/2,"")</f>
        <v/>
      </c>
      <c r="M108" s="311" t="str">
        <f>IF(C108=1,('BD Comp'!AA108+'BD Comp'!AB108)/2,"")</f>
        <v/>
      </c>
      <c r="N108" s="311" t="str">
        <f>IF(C108=1,('BD Comp'!AJ108+'BD Comp'!AK108)/2,"")</f>
        <v/>
      </c>
      <c r="O108" s="312"/>
      <c r="P108" s="311" t="str">
        <f t="shared" si="1"/>
        <v/>
      </c>
      <c r="Q108" s="95"/>
    </row>
    <row r="109" spans="1:18" ht="14.5" hidden="1">
      <c r="A109" s="7" t="s">
        <v>526</v>
      </c>
      <c r="B109" s="7" t="s">
        <v>527</v>
      </c>
      <c r="C109" s="44"/>
      <c r="D109" s="44" t="str">
        <f t="shared" si="0"/>
        <v>C001252</v>
      </c>
      <c r="E109" s="311" t="str">
        <f>IF(C109=1,('BD Comp'!X109+'BD Comp'!Y109)/2,"")</f>
        <v/>
      </c>
      <c r="F109" s="311" t="str">
        <f>IF(C109=1,('BD Comp'!AD109+'BD Comp'!AE109)/2,"")</f>
        <v/>
      </c>
      <c r="G109" s="311" t="str">
        <f>IF(C109=1,('BD Comp'!AP109+'BD Comp'!AQ109)/2,"")</f>
        <v/>
      </c>
      <c r="H109" s="311" t="str">
        <f>IF(C109=1,('BD Comp'!F109+'BD Comp'!G109)/2,"")</f>
        <v/>
      </c>
      <c r="I109" s="311" t="str">
        <f>IF(C109=1,('BD Comp'!I109+'BD Comp'!J109)/2,"")</f>
        <v/>
      </c>
      <c r="J109" s="311" t="str">
        <f>IF(C109=1,('BD Comp'!L109+'BD Comp'!M109)/2,"")</f>
        <v/>
      </c>
      <c r="K109" s="311" t="str">
        <f>IF(C109=1,('BD Comp'!O109+'BD Comp'!P109)/2,"")</f>
        <v/>
      </c>
      <c r="L109" s="311" t="str">
        <f>IF(C109=1,('BD Comp'!R109+'BD Comp'!S109)/2,"")</f>
        <v/>
      </c>
      <c r="M109" s="311" t="str">
        <f>IF(C109=1,('BD Comp'!AA109+'BD Comp'!AB109)/2,"")</f>
        <v/>
      </c>
      <c r="N109" s="311" t="str">
        <f>IF(C109=1,('BD Comp'!AJ109+'BD Comp'!AK109)/2,"")</f>
        <v/>
      </c>
      <c r="O109" s="312"/>
      <c r="P109" s="311" t="str">
        <f t="shared" si="1"/>
        <v/>
      </c>
      <c r="Q109" s="95"/>
    </row>
    <row r="110" spans="1:18" ht="14.5" hidden="1">
      <c r="A110" s="7" t="s">
        <v>529</v>
      </c>
      <c r="B110" s="7" t="s">
        <v>530</v>
      </c>
      <c r="C110" s="44"/>
      <c r="D110" s="44" t="str">
        <f t="shared" si="0"/>
        <v>C001257</v>
      </c>
      <c r="E110" s="311" t="str">
        <f>IF(C110=1,('BD Comp'!X110+'BD Comp'!Y110)/2,"")</f>
        <v/>
      </c>
      <c r="F110" s="311" t="str">
        <f>IF(C110=1,('BD Comp'!AD110+'BD Comp'!AE110)/2,"")</f>
        <v/>
      </c>
      <c r="G110" s="311" t="str">
        <f>IF(C110=1,('BD Comp'!AP110+'BD Comp'!AQ110)/2,"")</f>
        <v/>
      </c>
      <c r="H110" s="311" t="str">
        <f>IF(C110=1,('BD Comp'!F110+'BD Comp'!G110)/2,"")</f>
        <v/>
      </c>
      <c r="I110" s="311" t="str">
        <f>IF(C110=1,('BD Comp'!I110+'BD Comp'!J110)/2,"")</f>
        <v/>
      </c>
      <c r="J110" s="311" t="str">
        <f>IF(C110=1,('BD Comp'!L110+'BD Comp'!M110)/2,"")</f>
        <v/>
      </c>
      <c r="K110" s="311" t="str">
        <f>IF(C110=1,('BD Comp'!O110+'BD Comp'!P110)/2,"")</f>
        <v/>
      </c>
      <c r="L110" s="311" t="str">
        <f>IF(C110=1,('BD Comp'!R110+'BD Comp'!S110)/2,"")</f>
        <v/>
      </c>
      <c r="M110" s="311" t="str">
        <f>IF(C110=1,('BD Comp'!AA110+'BD Comp'!AB110)/2,"")</f>
        <v/>
      </c>
      <c r="N110" s="311" t="str">
        <f>IF(C110=1,('BD Comp'!AJ110+'BD Comp'!AK110)/2,"")</f>
        <v/>
      </c>
      <c r="O110" s="312"/>
      <c r="P110" s="311" t="str">
        <f t="shared" si="1"/>
        <v/>
      </c>
      <c r="Q110" s="95"/>
      <c r="R110" s="17"/>
    </row>
    <row r="111" spans="1:18" ht="14.5">
      <c r="A111" s="7" t="s">
        <v>532</v>
      </c>
      <c r="B111" s="7" t="s">
        <v>533</v>
      </c>
      <c r="C111" s="44">
        <v>1</v>
      </c>
      <c r="D111" s="44" t="str">
        <f t="shared" si="0"/>
        <v>C001288</v>
      </c>
      <c r="E111" s="311">
        <f>IF(C111=1,('BD Comp'!X111+'BD Comp'!Y111)/2,"")</f>
        <v>135068</v>
      </c>
      <c r="F111" s="311">
        <f>IF(C111=1,('BD Comp'!AD111+'BD Comp'!AE111)/2,"")</f>
        <v>5682291.5</v>
      </c>
      <c r="G111" s="311">
        <f>IF(C111=1,('BD Comp'!AP111+'BD Comp'!AQ111)/2,"")</f>
        <v>1039</v>
      </c>
      <c r="H111" s="311">
        <f>IF(C111=1,('BD Comp'!F111+'BD Comp'!G111)/2,"")</f>
        <v>1222322750.1271355</v>
      </c>
      <c r="I111" s="311">
        <f>IF(C111=1,('BD Comp'!I111+'BD Comp'!J111)/2,"")</f>
        <v>68213257.41737996</v>
      </c>
      <c r="J111" s="311">
        <f>IF(C111=1,('BD Comp'!L111+'BD Comp'!M111)/2,"")</f>
        <v>19516096.050040424</v>
      </c>
      <c r="K111" s="311">
        <f>IF(C111=1,('BD Comp'!O111+'BD Comp'!P111)/2,"")</f>
        <v>29401802.324087225</v>
      </c>
      <c r="L111" s="311">
        <f>IF(C111=1,('BD Comp'!R111+'BD Comp'!S111)/2,"")</f>
        <v>23566654.517005496</v>
      </c>
      <c r="M111" s="311">
        <f>IF(C111=1,('BD Comp'!AA111+'BD Comp'!AB111)/2,"")</f>
        <v>172084</v>
      </c>
      <c r="N111" s="311">
        <f>IF(C111=1,('BD Comp'!AJ111+'BD Comp'!AK111)/2,"")</f>
        <v>14586410.285</v>
      </c>
      <c r="O111" s="312">
        <v>0.746</v>
      </c>
      <c r="P111" s="311" t="str">
        <f t="shared" si="1"/>
        <v/>
      </c>
      <c r="Q111" s="95"/>
    </row>
    <row r="112" spans="1:18" ht="14.5" hidden="1">
      <c r="A112" s="7" t="s">
        <v>535</v>
      </c>
      <c r="B112" s="7" t="s">
        <v>536</v>
      </c>
      <c r="C112" s="44"/>
      <c r="D112" s="44" t="str">
        <f t="shared" si="0"/>
        <v>C001298</v>
      </c>
      <c r="E112" s="311" t="str">
        <f>IF(C112=1,('BD Comp'!X112+'BD Comp'!Y112)/2,"")</f>
        <v/>
      </c>
      <c r="F112" s="311" t="str">
        <f>IF(C112=1,('BD Comp'!AD112+'BD Comp'!AE112)/2,"")</f>
        <v/>
      </c>
      <c r="G112" s="311" t="str">
        <f>IF(C112=1,('BD Comp'!AP112+'BD Comp'!AQ112)/2,"")</f>
        <v/>
      </c>
      <c r="H112" s="311" t="str">
        <f>IF(C112=1,('BD Comp'!F112+'BD Comp'!G112)/2,"")</f>
        <v/>
      </c>
      <c r="I112" s="311" t="str">
        <f>IF(C112=1,('BD Comp'!I112+'BD Comp'!J112)/2,"")</f>
        <v/>
      </c>
      <c r="J112" s="311" t="str">
        <f>IF(C112=1,('BD Comp'!L112+'BD Comp'!M112)/2,"")</f>
        <v/>
      </c>
      <c r="K112" s="311" t="str">
        <f>IF(C112=1,('BD Comp'!O112+'BD Comp'!P112)/2,"")</f>
        <v/>
      </c>
      <c r="L112" s="311" t="str">
        <f>IF(C112=1,('BD Comp'!R112+'BD Comp'!S112)/2,"")</f>
        <v/>
      </c>
      <c r="M112" s="311" t="str">
        <f>IF(C112=1,('BD Comp'!AA112+'BD Comp'!AB112)/2,"")</f>
        <v/>
      </c>
      <c r="N112" s="311" t="str">
        <f>IF(C112=1,('BD Comp'!AJ112+'BD Comp'!AK112)/2,"")</f>
        <v/>
      </c>
      <c r="O112" s="312"/>
      <c r="P112" s="311" t="str">
        <f t="shared" si="1"/>
        <v/>
      </c>
      <c r="Q112" s="95"/>
    </row>
    <row r="113" spans="1:18" ht="14.5" hidden="1">
      <c r="A113" s="7" t="s">
        <v>538</v>
      </c>
      <c r="B113" s="7" t="s">
        <v>539</v>
      </c>
      <c r="C113" s="44"/>
      <c r="D113" s="44" t="str">
        <f t="shared" si="0"/>
        <v>C001305</v>
      </c>
      <c r="E113" s="311" t="str">
        <f>IF(C113=1,('BD Comp'!X113+'BD Comp'!Y113)/2,"")</f>
        <v/>
      </c>
      <c r="F113" s="311" t="str">
        <f>IF(C113=1,('BD Comp'!AD113+'BD Comp'!AE113)/2,"")</f>
        <v/>
      </c>
      <c r="G113" s="311" t="str">
        <f>IF(C113=1,('BD Comp'!AP113+'BD Comp'!AQ113)/2,"")</f>
        <v/>
      </c>
      <c r="H113" s="311" t="str">
        <f>IF(C113=1,('BD Comp'!F113+'BD Comp'!G113)/2,"")</f>
        <v/>
      </c>
      <c r="I113" s="311" t="str">
        <f>IF(C113=1,('BD Comp'!I113+'BD Comp'!J113)/2,"")</f>
        <v/>
      </c>
      <c r="J113" s="311" t="str">
        <f>IF(C113=1,('BD Comp'!L113+'BD Comp'!M113)/2,"")</f>
        <v/>
      </c>
      <c r="K113" s="311" t="str">
        <f>IF(C113=1,('BD Comp'!O113+'BD Comp'!P113)/2,"")</f>
        <v/>
      </c>
      <c r="L113" s="311" t="str">
        <f>IF(C113=1,('BD Comp'!R113+'BD Comp'!S113)/2,"")</f>
        <v/>
      </c>
      <c r="M113" s="311" t="str">
        <f>IF(C113=1,('BD Comp'!AA113+'BD Comp'!AB113)/2,"")</f>
        <v/>
      </c>
      <c r="N113" s="311" t="str">
        <f>IF(C113=1,('BD Comp'!AJ113+'BD Comp'!AK113)/2,"")</f>
        <v/>
      </c>
      <c r="O113" s="312"/>
      <c r="P113" s="311" t="str">
        <f t="shared" si="1"/>
        <v/>
      </c>
      <c r="Q113" s="95"/>
    </row>
    <row r="114" spans="1:18" ht="14.5" hidden="1">
      <c r="A114" s="7" t="s">
        <v>541</v>
      </c>
      <c r="B114" s="7" t="s">
        <v>542</v>
      </c>
      <c r="C114" s="44"/>
      <c r="D114" s="44" t="str">
        <f t="shared" si="0"/>
        <v>C001306</v>
      </c>
      <c r="E114" s="311" t="str">
        <f>IF(C114=1,('BD Comp'!X114+'BD Comp'!Y114)/2,"")</f>
        <v/>
      </c>
      <c r="F114" s="311" t="str">
        <f>IF(C114=1,('BD Comp'!AD114+'BD Comp'!AE114)/2,"")</f>
        <v/>
      </c>
      <c r="G114" s="311" t="str">
        <f>IF(C114=1,('BD Comp'!AP114+'BD Comp'!AQ114)/2,"")</f>
        <v/>
      </c>
      <c r="H114" s="311" t="str">
        <f>IF(C114=1,('BD Comp'!F114+'BD Comp'!G114)/2,"")</f>
        <v/>
      </c>
      <c r="I114" s="311" t="str">
        <f>IF(C114=1,('BD Comp'!I114+'BD Comp'!J114)/2,"")</f>
        <v/>
      </c>
      <c r="J114" s="311" t="str">
        <f>IF(C114=1,('BD Comp'!L114+'BD Comp'!M114)/2,"")</f>
        <v/>
      </c>
      <c r="K114" s="311" t="str">
        <f>IF(C114=1,('BD Comp'!O114+'BD Comp'!P114)/2,"")</f>
        <v/>
      </c>
      <c r="L114" s="311" t="str">
        <f>IF(C114=1,('BD Comp'!R114+'BD Comp'!S114)/2,"")</f>
        <v/>
      </c>
      <c r="M114" s="311" t="str">
        <f>IF(C114=1,('BD Comp'!AA114+'BD Comp'!AB114)/2,"")</f>
        <v/>
      </c>
      <c r="N114" s="311" t="str">
        <f>IF(C114=1,('BD Comp'!AJ114+'BD Comp'!AK114)/2,"")</f>
        <v/>
      </c>
      <c r="O114" s="312"/>
      <c r="P114" s="311" t="str">
        <f t="shared" si="1"/>
        <v/>
      </c>
      <c r="Q114" s="95"/>
    </row>
    <row r="115" spans="1:18" ht="14.5">
      <c r="A115" s="7" t="s">
        <v>544</v>
      </c>
      <c r="B115" s="7" t="s">
        <v>545</v>
      </c>
      <c r="C115" s="44">
        <v>1</v>
      </c>
      <c r="D115" s="44" t="str">
        <f t="shared" si="0"/>
        <v>C001307</v>
      </c>
      <c r="E115" s="311">
        <f>IF(C115=1,('BD Comp'!X115+'BD Comp'!Y115)/2,"")</f>
        <v>46300</v>
      </c>
      <c r="F115" s="311">
        <f>IF(C115=1,('BD Comp'!AD115+'BD Comp'!AE115)/2,"")</f>
        <v>894071.5</v>
      </c>
      <c r="G115" s="311">
        <f>IF(C115=1,('BD Comp'!AP115+'BD Comp'!AQ115)/2,"")</f>
        <v>45917.5</v>
      </c>
      <c r="H115" s="311">
        <f>IF(C115=1,('BD Comp'!F115+'BD Comp'!G115)/2,"")</f>
        <v>423034234.98813045</v>
      </c>
      <c r="I115" s="311">
        <f>IF(C115=1,('BD Comp'!I115+'BD Comp'!J115)/2,"")</f>
        <v>10024292.329500783</v>
      </c>
      <c r="J115" s="311">
        <f>IF(C115=1,('BD Comp'!L115+'BD Comp'!M115)/2,"")</f>
        <v>9874528.6566610299</v>
      </c>
      <c r="K115" s="311">
        <f>IF(C115=1,('BD Comp'!O115+'BD Comp'!P115)/2,"")</f>
        <v>2108647.2590311477</v>
      </c>
      <c r="L115" s="311">
        <f>IF(C115=1,('BD Comp'!R115+'BD Comp'!S115)/2,"")</f>
        <v>1858580.6015421087</v>
      </c>
      <c r="M115" s="311">
        <f>IF(C115=1,('BD Comp'!AA115+'BD Comp'!AB115)/2,"")</f>
        <v>18978</v>
      </c>
      <c r="N115" s="311">
        <f>IF(C115=1,('BD Comp'!AJ115+'BD Comp'!AK115)/2,"")</f>
        <v>5516601.7400000002</v>
      </c>
      <c r="O115" s="312">
        <v>1</v>
      </c>
      <c r="P115" s="311">
        <f t="shared" si="1"/>
        <v>1</v>
      </c>
      <c r="Q115" s="95"/>
      <c r="R115" s="17"/>
    </row>
    <row r="116" spans="1:18" ht="14.5">
      <c r="A116" s="7" t="s">
        <v>547</v>
      </c>
      <c r="B116" s="7" t="s">
        <v>548</v>
      </c>
      <c r="C116" s="44">
        <v>1</v>
      </c>
      <c r="D116" s="44" t="str">
        <f t="shared" si="0"/>
        <v>C001308</v>
      </c>
      <c r="E116" s="311">
        <f>IF(C116=1,('BD Comp'!X116+'BD Comp'!Y116)/2,"")</f>
        <v>657081</v>
      </c>
      <c r="F116" s="311">
        <f>IF(C116=1,('BD Comp'!AD116+'BD Comp'!AE116)/2,"")</f>
        <v>5073375.5</v>
      </c>
      <c r="G116" s="311">
        <f>IF(C116=1,('BD Comp'!AP116+'BD Comp'!AQ116)/2,"")</f>
        <v>1386774.5</v>
      </c>
      <c r="H116" s="311">
        <f>IF(C116=1,('BD Comp'!F116+'BD Comp'!G116)/2,"")</f>
        <v>6929763544.3280315</v>
      </c>
      <c r="I116" s="311">
        <f>IF(C116=1,('BD Comp'!I116+'BD Comp'!J116)/2,"")</f>
        <v>264272754.0354045</v>
      </c>
      <c r="J116" s="311">
        <f>IF(C116=1,('BD Comp'!L116+'BD Comp'!M116)/2,"")</f>
        <v>206239035.15902233</v>
      </c>
      <c r="K116" s="311">
        <f>IF(C116=1,('BD Comp'!O116+'BD Comp'!P116)/2,"")</f>
        <v>461613937.78859174</v>
      </c>
      <c r="L116" s="311">
        <f>IF(C116=1,('BD Comp'!R116+'BD Comp'!S116)/2,"")</f>
        <v>170131446.35798711</v>
      </c>
      <c r="M116" s="311">
        <f>IF(C116=1,('BD Comp'!AA116+'BD Comp'!AB116)/2,"")</f>
        <v>156278.28204108251</v>
      </c>
      <c r="N116" s="311">
        <f>IF(C116=1,('BD Comp'!AJ116+'BD Comp'!AK116)/2,"")</f>
        <v>66278648.280000001</v>
      </c>
      <c r="O116" s="312">
        <v>1</v>
      </c>
      <c r="P116" s="311">
        <f t="shared" si="1"/>
        <v>1</v>
      </c>
      <c r="Q116" s="95"/>
    </row>
    <row r="117" spans="1:18" ht="14.5">
      <c r="A117" s="7" t="s">
        <v>550</v>
      </c>
      <c r="B117" s="7" t="s">
        <v>551</v>
      </c>
      <c r="C117" s="44">
        <v>1</v>
      </c>
      <c r="D117" s="44" t="str">
        <f t="shared" si="0"/>
        <v>C001309</v>
      </c>
      <c r="E117" s="311">
        <f>IF(C117=1,('BD Comp'!X117+'BD Comp'!Y117)/2,"")</f>
        <v>429360.5</v>
      </c>
      <c r="F117" s="311">
        <f>IF(C117=1,('BD Comp'!AD117+'BD Comp'!AE117)/2,"")</f>
        <v>3804535</v>
      </c>
      <c r="G117" s="311">
        <f>IF(C117=1,('BD Comp'!AP117+'BD Comp'!AQ117)/2,"")</f>
        <v>512595</v>
      </c>
      <c r="H117" s="311">
        <f>IF(C117=1,('BD Comp'!F117+'BD Comp'!G117)/2,"")</f>
        <v>2964559368.3341231</v>
      </c>
      <c r="I117" s="311">
        <f>IF(C117=1,('BD Comp'!I117+'BD Comp'!J117)/2,"")</f>
        <v>103239455.81425184</v>
      </c>
      <c r="J117" s="311">
        <f>IF(C117=1,('BD Comp'!L117+'BD Comp'!M117)/2,"")</f>
        <v>102471703.33734414</v>
      </c>
      <c r="K117" s="311">
        <f>IF(C117=1,('BD Comp'!O117+'BD Comp'!P117)/2,"")</f>
        <v>141479039.41920915</v>
      </c>
      <c r="L117" s="311">
        <f>IF(C117=1,('BD Comp'!R117+'BD Comp'!S117)/2,"")</f>
        <v>111530701.38275108</v>
      </c>
      <c r="M117" s="311">
        <f>IF(C117=1,('BD Comp'!AA117+'BD Comp'!AB117)/2,"")</f>
        <v>218159.5</v>
      </c>
      <c r="N117" s="311">
        <f>IF(C117=1,('BD Comp'!AJ117+'BD Comp'!AK117)/2,"")</f>
        <v>24919457.109999999</v>
      </c>
      <c r="O117" s="312">
        <v>1</v>
      </c>
      <c r="P117" s="311">
        <f t="shared" si="1"/>
        <v>1</v>
      </c>
      <c r="Q117" s="95"/>
      <c r="R117" s="17"/>
    </row>
    <row r="118" spans="1:18" ht="14.5">
      <c r="A118" s="7" t="s">
        <v>553</v>
      </c>
      <c r="B118" s="7" t="s">
        <v>554</v>
      </c>
      <c r="C118" s="44">
        <v>1</v>
      </c>
      <c r="D118" s="44" t="str">
        <f t="shared" si="0"/>
        <v>C001315</v>
      </c>
      <c r="E118" s="311">
        <f>IF(C118=1,('BD Comp'!X118+'BD Comp'!Y118)/2,"")</f>
        <v>521357</v>
      </c>
      <c r="F118" s="311">
        <f>IF(C118=1,('BD Comp'!AD118+'BD Comp'!AE118)/2,"")</f>
        <v>12854133.5</v>
      </c>
      <c r="G118" s="311">
        <f>IF(C118=1,('BD Comp'!AP118+'BD Comp'!AQ118)/2,"")</f>
        <v>527913</v>
      </c>
      <c r="H118" s="311">
        <f>IF(C118=1,('BD Comp'!F118+'BD Comp'!G118)/2,"")</f>
        <v>3182603862.6393003</v>
      </c>
      <c r="I118" s="311">
        <f>IF(C118=1,('BD Comp'!I118+'BD Comp'!J118)/2,"")</f>
        <v>266291050.15691274</v>
      </c>
      <c r="J118" s="311">
        <f>IF(C118=1,('BD Comp'!L118+'BD Comp'!M118)/2,"")</f>
        <v>98437445.434289515</v>
      </c>
      <c r="K118" s="311">
        <f>IF(C118=1,('BD Comp'!O118+'BD Comp'!P118)/2,"")</f>
        <v>35505037.070192188</v>
      </c>
      <c r="L118" s="311">
        <f>IF(C118=1,('BD Comp'!R118+'BD Comp'!S118)/2,"")</f>
        <v>60124864.522652909</v>
      </c>
      <c r="M118" s="311">
        <f>IF(C118=1,('BD Comp'!AA118+'BD Comp'!AB118)/2,"")</f>
        <v>257858.5</v>
      </c>
      <c r="N118" s="311">
        <f>IF(C118=1,('BD Comp'!AJ118+'BD Comp'!AK118)/2,"")</f>
        <v>51893308.342500001</v>
      </c>
      <c r="O118" s="312">
        <v>1</v>
      </c>
      <c r="P118" s="311">
        <f t="shared" si="1"/>
        <v>1</v>
      </c>
      <c r="Q118" s="95"/>
    </row>
    <row r="119" spans="1:18" ht="14.5">
      <c r="A119" s="7" t="s">
        <v>556</v>
      </c>
      <c r="B119" s="7" t="s">
        <v>557</v>
      </c>
      <c r="C119" s="44">
        <v>1</v>
      </c>
      <c r="D119" s="44" t="str">
        <f t="shared" si="0"/>
        <v>C001316</v>
      </c>
      <c r="E119" s="311">
        <f>IF(C119=1,('BD Comp'!X119+'BD Comp'!Y119)/2,"")</f>
        <v>1153723.5</v>
      </c>
      <c r="F119" s="311">
        <f>IF(C119=1,('BD Comp'!AD119+'BD Comp'!AE119)/2,"")</f>
        <v>23222200.5</v>
      </c>
      <c r="G119" s="311">
        <f>IF(C119=1,('BD Comp'!AP119+'BD Comp'!AQ119)/2,"")</f>
        <v>1185020</v>
      </c>
      <c r="H119" s="311">
        <f>IF(C119=1,('BD Comp'!F119+'BD Comp'!G119)/2,"")</f>
        <v>6751875814.4872532</v>
      </c>
      <c r="I119" s="311">
        <f>IF(C119=1,('BD Comp'!I119+'BD Comp'!J119)/2,"")</f>
        <v>351047861.59576976</v>
      </c>
      <c r="J119" s="311">
        <f>IF(C119=1,('BD Comp'!L119+'BD Comp'!M119)/2,"")</f>
        <v>92941070.162014842</v>
      </c>
      <c r="K119" s="311">
        <f>IF(C119=1,('BD Comp'!O119+'BD Comp'!P119)/2,"")</f>
        <v>99651521.975129157</v>
      </c>
      <c r="L119" s="311">
        <f>IF(C119=1,('BD Comp'!R119+'BD Comp'!S119)/2,"")</f>
        <v>14954079.701283418</v>
      </c>
      <c r="M119" s="311">
        <f>IF(C119=1,('BD Comp'!AA119+'BD Comp'!AB119)/2,"")</f>
        <v>772172.5</v>
      </c>
      <c r="N119" s="311">
        <f>IF(C119=1,('BD Comp'!AJ119+'BD Comp'!AK119)/2,"")</f>
        <v>118733089.5</v>
      </c>
      <c r="O119" s="312">
        <v>1</v>
      </c>
      <c r="P119" s="311">
        <f t="shared" si="1"/>
        <v>1</v>
      </c>
      <c r="Q119" s="95"/>
      <c r="R119" s="17"/>
    </row>
    <row r="120" spans="1:18" ht="14.5" hidden="1">
      <c r="A120" s="7" t="s">
        <v>559</v>
      </c>
      <c r="B120" s="7" t="s">
        <v>560</v>
      </c>
      <c r="C120" s="44"/>
      <c r="D120" s="44" t="str">
        <f t="shared" si="0"/>
        <v>C001322</v>
      </c>
      <c r="E120" s="311" t="str">
        <f>IF(C120=1,('BD Comp'!X120+'BD Comp'!Y120)/2,"")</f>
        <v/>
      </c>
      <c r="F120" s="311" t="str">
        <f>IF(C120=1,('BD Comp'!AD120+'BD Comp'!AE120)/2,"")</f>
        <v/>
      </c>
      <c r="G120" s="311" t="str">
        <f>IF(C120=1,('BD Comp'!AP120+'BD Comp'!AQ120)/2,"")</f>
        <v/>
      </c>
      <c r="H120" s="311" t="str">
        <f>IF(C120=1,('BD Comp'!F120+'BD Comp'!G120)/2,"")</f>
        <v/>
      </c>
      <c r="I120" s="311" t="str">
        <f>IF(C120=1,('BD Comp'!I120+'BD Comp'!J120)/2,"")</f>
        <v/>
      </c>
      <c r="J120" s="311" t="str">
        <f>IF(C120=1,('BD Comp'!L120+'BD Comp'!M120)/2,"")</f>
        <v/>
      </c>
      <c r="K120" s="311" t="str">
        <f>IF(C120=1,('BD Comp'!O120+'BD Comp'!P120)/2,"")</f>
        <v/>
      </c>
      <c r="L120" s="311" t="str">
        <f>IF(C120=1,('BD Comp'!R120+'BD Comp'!S120)/2,"")</f>
        <v/>
      </c>
      <c r="M120" s="311" t="str">
        <f>IF(C120=1,('BD Comp'!AA120+'BD Comp'!AB120)/2,"")</f>
        <v/>
      </c>
      <c r="N120" s="311" t="str">
        <f>IF(C120=1,('BD Comp'!AJ120+'BD Comp'!AK120)/2,"")</f>
        <v/>
      </c>
      <c r="O120" s="312"/>
      <c r="P120" s="311" t="str">
        <f t="shared" si="1"/>
        <v/>
      </c>
      <c r="Q120" s="95"/>
    </row>
    <row r="121" spans="1:18" ht="14.5" hidden="1">
      <c r="A121" s="7" t="s">
        <v>562</v>
      </c>
      <c r="B121" s="7" t="s">
        <v>563</v>
      </c>
      <c r="C121" s="44"/>
      <c r="D121" s="44" t="str">
        <f t="shared" si="0"/>
        <v>C001330</v>
      </c>
      <c r="E121" s="311" t="str">
        <f>IF(C121=1,('BD Comp'!X121+'BD Comp'!Y121)/2,"")</f>
        <v/>
      </c>
      <c r="F121" s="311" t="str">
        <f>IF(C121=1,('BD Comp'!AD121+'BD Comp'!AE121)/2,"")</f>
        <v/>
      </c>
      <c r="G121" s="311" t="str">
        <f>IF(C121=1,('BD Comp'!AP121+'BD Comp'!AQ121)/2,"")</f>
        <v/>
      </c>
      <c r="H121" s="311" t="str">
        <f>IF(C121=1,('BD Comp'!F121+'BD Comp'!G121)/2,"")</f>
        <v/>
      </c>
      <c r="I121" s="311" t="str">
        <f>IF(C121=1,('BD Comp'!I121+'BD Comp'!J121)/2,"")</f>
        <v/>
      </c>
      <c r="J121" s="311" t="str">
        <f>IF(C121=1,('BD Comp'!L121+'BD Comp'!M121)/2,"")</f>
        <v/>
      </c>
      <c r="K121" s="311" t="str">
        <f>IF(C121=1,('BD Comp'!O121+'BD Comp'!P121)/2,"")</f>
        <v/>
      </c>
      <c r="L121" s="311" t="str">
        <f>IF(C121=1,('BD Comp'!R121+'BD Comp'!S121)/2,"")</f>
        <v/>
      </c>
      <c r="M121" s="311" t="str">
        <f>IF(C121=1,('BD Comp'!AA121+'BD Comp'!AB121)/2,"")</f>
        <v/>
      </c>
      <c r="N121" s="311" t="str">
        <f>IF(C121=1,('BD Comp'!AJ121+'BD Comp'!AK121)/2,"")</f>
        <v/>
      </c>
      <c r="O121" s="312"/>
      <c r="P121" s="311" t="str">
        <f t="shared" si="1"/>
        <v/>
      </c>
      <c r="Q121" s="95"/>
    </row>
    <row r="122" spans="1:18" ht="14.5" hidden="1">
      <c r="A122" s="7" t="s">
        <v>565</v>
      </c>
      <c r="B122" s="7" t="s">
        <v>566</v>
      </c>
      <c r="C122" s="44"/>
      <c r="D122" s="44" t="str">
        <f t="shared" si="0"/>
        <v>C001344</v>
      </c>
      <c r="E122" s="311" t="str">
        <f>IF(C122=1,('BD Comp'!X122+'BD Comp'!Y122)/2,"")</f>
        <v/>
      </c>
      <c r="F122" s="311" t="str">
        <f>IF(C122=1,('BD Comp'!AD122+'BD Comp'!AE122)/2,"")</f>
        <v/>
      </c>
      <c r="G122" s="311" t="str">
        <f>IF(C122=1,('BD Comp'!AP122+'BD Comp'!AQ122)/2,"")</f>
        <v/>
      </c>
      <c r="H122" s="311" t="str">
        <f>IF(C122=1,('BD Comp'!F122+'BD Comp'!G122)/2,"")</f>
        <v/>
      </c>
      <c r="I122" s="311" t="str">
        <f>IF(C122=1,('BD Comp'!I122+'BD Comp'!J122)/2,"")</f>
        <v/>
      </c>
      <c r="J122" s="311" t="str">
        <f>IF(C122=1,('BD Comp'!L122+'BD Comp'!M122)/2,"")</f>
        <v/>
      </c>
      <c r="K122" s="311" t="str">
        <f>IF(C122=1,('BD Comp'!O122+'BD Comp'!P122)/2,"")</f>
        <v/>
      </c>
      <c r="L122" s="311" t="str">
        <f>IF(C122=1,('BD Comp'!R122+'BD Comp'!S122)/2,"")</f>
        <v/>
      </c>
      <c r="M122" s="311" t="str">
        <f>IF(C122=1,('BD Comp'!AA122+'BD Comp'!AB122)/2,"")</f>
        <v/>
      </c>
      <c r="N122" s="311" t="str">
        <f>IF(C122=1,('BD Comp'!AJ122+'BD Comp'!AK122)/2,"")</f>
        <v/>
      </c>
      <c r="O122" s="312"/>
      <c r="P122" s="311" t="str">
        <f t="shared" si="1"/>
        <v/>
      </c>
      <c r="Q122" s="95"/>
    </row>
    <row r="123" spans="1:18" ht="14.5">
      <c r="A123" s="7" t="s">
        <v>568</v>
      </c>
      <c r="B123" s="7" t="s">
        <v>569</v>
      </c>
      <c r="C123" s="44">
        <v>1</v>
      </c>
      <c r="D123" s="44" t="str">
        <f t="shared" si="0"/>
        <v>C001346</v>
      </c>
      <c r="E123" s="311">
        <f>IF(C123=1,('BD Comp'!X123+'BD Comp'!Y123)/2,"")</f>
        <v>610145</v>
      </c>
      <c r="F123" s="311">
        <f>IF(C123=1,('BD Comp'!AD123+'BD Comp'!AE123)/2,"")</f>
        <v>12270769.5</v>
      </c>
      <c r="G123" s="311">
        <f>IF(C123=1,('BD Comp'!AP123+'BD Comp'!AQ123)/2,"")</f>
        <v>607628</v>
      </c>
      <c r="H123" s="311">
        <f>IF(C123=1,('BD Comp'!F123+'BD Comp'!G123)/2,"")</f>
        <v>4568219487.1020784</v>
      </c>
      <c r="I123" s="311">
        <f>IF(C123=1,('BD Comp'!I123+'BD Comp'!J123)/2,"")</f>
        <v>222252384.49638587</v>
      </c>
      <c r="J123" s="311">
        <f>IF(C123=1,('BD Comp'!L123+'BD Comp'!M123)/2,"")</f>
        <v>55879328.669838667</v>
      </c>
      <c r="K123" s="311">
        <f>IF(C123=1,('BD Comp'!O123+'BD Comp'!P123)/2,"")</f>
        <v>67034299.253521636</v>
      </c>
      <c r="L123" s="311">
        <f>IF(C123=1,('BD Comp'!R123+'BD Comp'!S123)/2,"")</f>
        <v>128403814.65402077</v>
      </c>
      <c r="M123" s="311">
        <f>IF(C123=1,('BD Comp'!AA123+'BD Comp'!AB123)/2,"")</f>
        <v>787155.07459518453</v>
      </c>
      <c r="N123" s="311">
        <f>IF(C123=1,('BD Comp'!AJ123+'BD Comp'!AK123)/2,"")</f>
        <v>60058919</v>
      </c>
      <c r="O123" s="312">
        <v>0.67200000000000004</v>
      </c>
      <c r="P123" s="311" t="str">
        <f t="shared" si="1"/>
        <v/>
      </c>
      <c r="Q123" s="95"/>
    </row>
    <row r="124" spans="1:18" ht="14.5">
      <c r="A124" s="7" t="s">
        <v>571</v>
      </c>
      <c r="B124" s="7" t="s">
        <v>572</v>
      </c>
      <c r="C124" s="44">
        <v>1</v>
      </c>
      <c r="D124" s="44" t="str">
        <f t="shared" si="0"/>
        <v>C001421</v>
      </c>
      <c r="E124" s="311">
        <f>IF(C124=1,('BD Comp'!X124+'BD Comp'!Y124)/2,"")</f>
        <v>75825.5</v>
      </c>
      <c r="F124" s="311">
        <f>IF(C124=1,('BD Comp'!AD124+'BD Comp'!AE124)/2,"")</f>
        <v>1857582.5</v>
      </c>
      <c r="G124" s="311">
        <f>IF(C124=1,('BD Comp'!AP124+'BD Comp'!AQ124)/2,"")</f>
        <v>40.5</v>
      </c>
      <c r="H124" s="311">
        <f>IF(C124=1,('BD Comp'!F124+'BD Comp'!G124)/2,"")</f>
        <v>733282229.7005012</v>
      </c>
      <c r="I124" s="311">
        <f>IF(C124=1,('BD Comp'!I124+'BD Comp'!J124)/2,"")</f>
        <v>18836211.536618069</v>
      </c>
      <c r="J124" s="311">
        <f>IF(C124=1,('BD Comp'!L124+'BD Comp'!M124)/2,"")</f>
        <v>14838093.466873989</v>
      </c>
      <c r="K124" s="311">
        <f>IF(C124=1,('BD Comp'!O124+'BD Comp'!P124)/2,"")</f>
        <v>3667908.4516731398</v>
      </c>
      <c r="L124" s="311">
        <f>IF(C124=1,('BD Comp'!R124+'BD Comp'!S124)/2,"")</f>
        <v>9756186.1731770635</v>
      </c>
      <c r="M124" s="311">
        <f>IF(C124=1,('BD Comp'!AA124+'BD Comp'!AB124)/2,"")</f>
        <v>191297</v>
      </c>
      <c r="N124" s="311">
        <f>IF(C124=1,('BD Comp'!AJ124+'BD Comp'!AK124)/2,"")</f>
        <v>13613280.1765</v>
      </c>
      <c r="O124" s="312">
        <v>0.83799999999999997</v>
      </c>
      <c r="P124" s="311" t="str">
        <f t="shared" si="1"/>
        <v/>
      </c>
      <c r="Q124" s="95"/>
    </row>
    <row r="125" spans="1:18" ht="14.5">
      <c r="A125" s="7" t="s">
        <v>574</v>
      </c>
      <c r="B125" s="7" t="s">
        <v>575</v>
      </c>
      <c r="C125" s="44">
        <v>1</v>
      </c>
      <c r="D125" s="44" t="str">
        <f t="shared" si="0"/>
        <v>C001436</v>
      </c>
      <c r="E125" s="311">
        <f>IF(C125=1,('BD Comp'!X125+'BD Comp'!Y125)/2,"")</f>
        <v>1357700</v>
      </c>
      <c r="F125" s="311">
        <f>IF(C125=1,('BD Comp'!AD125+'BD Comp'!AE125)/2,"")</f>
        <v>30946134.5</v>
      </c>
      <c r="G125" s="311">
        <f>IF(C125=1,('BD Comp'!AP125+'BD Comp'!AQ125)/2,"")</f>
        <v>1449613</v>
      </c>
      <c r="H125" s="311">
        <f>IF(C125=1,('BD Comp'!F125+'BD Comp'!G125)/2,"")</f>
        <v>9835365941.6465416</v>
      </c>
      <c r="I125" s="311">
        <f>IF(C125=1,('BD Comp'!I125+'BD Comp'!J125)/2,"")</f>
        <v>519263618.96458089</v>
      </c>
      <c r="J125" s="311">
        <f>IF(C125=1,('BD Comp'!L125+'BD Comp'!M125)/2,"")</f>
        <v>119627050.33534943</v>
      </c>
      <c r="K125" s="311">
        <f>IF(C125=1,('BD Comp'!O125+'BD Comp'!P125)/2,"")</f>
        <v>172281004.74373239</v>
      </c>
      <c r="L125" s="311">
        <f>IF(C125=1,('BD Comp'!R125+'BD Comp'!S125)/2,"")</f>
        <v>68879631.364071265</v>
      </c>
      <c r="M125" s="311">
        <f>IF(C125=1,('BD Comp'!AA125+'BD Comp'!AB125)/2,"")</f>
        <v>1971959</v>
      </c>
      <c r="N125" s="311">
        <f>IF(C125=1,('BD Comp'!AJ125+'BD Comp'!AK125)/2,"")</f>
        <v>112757408.86</v>
      </c>
      <c r="O125" s="312">
        <v>0.76400000000000001</v>
      </c>
      <c r="P125" s="311" t="str">
        <f t="shared" si="1"/>
        <v/>
      </c>
      <c r="Q125" s="95"/>
    </row>
    <row r="126" spans="1:18" ht="14.5" hidden="1">
      <c r="A126" s="7" t="s">
        <v>577</v>
      </c>
      <c r="B126" s="7" t="s">
        <v>578</v>
      </c>
      <c r="C126" s="44"/>
      <c r="D126" s="44" t="str">
        <f t="shared" si="0"/>
        <v>C001444</v>
      </c>
      <c r="E126" s="311" t="str">
        <f>IF(C126=1,('BD Comp'!X126+'BD Comp'!Y126)/2,"")</f>
        <v/>
      </c>
      <c r="F126" s="311" t="str">
        <f>IF(C126=1,('BD Comp'!AD126+'BD Comp'!AE126)/2,"")</f>
        <v/>
      </c>
      <c r="G126" s="311" t="str">
        <f>IF(C126=1,('BD Comp'!AP126+'BD Comp'!AQ126)/2,"")</f>
        <v/>
      </c>
      <c r="H126" s="311" t="str">
        <f>IF(C126=1,('BD Comp'!F126+'BD Comp'!G126)/2,"")</f>
        <v/>
      </c>
      <c r="I126" s="311" t="str">
        <f>IF(C126=1,('BD Comp'!I126+'BD Comp'!J126)/2,"")</f>
        <v/>
      </c>
      <c r="J126" s="311" t="str">
        <f>IF(C126=1,('BD Comp'!L126+'BD Comp'!M126)/2,"")</f>
        <v/>
      </c>
      <c r="K126" s="311" t="str">
        <f>IF(C126=1,('BD Comp'!O126+'BD Comp'!P126)/2,"")</f>
        <v/>
      </c>
      <c r="L126" s="311" t="str">
        <f>IF(C126=1,('BD Comp'!R126+'BD Comp'!S126)/2,"")</f>
        <v/>
      </c>
      <c r="M126" s="311" t="str">
        <f>IF(C126=1,('BD Comp'!AA126+'BD Comp'!AB126)/2,"")</f>
        <v/>
      </c>
      <c r="N126" s="311" t="str">
        <f>IF(C126=1,('BD Comp'!AJ126+'BD Comp'!AK126)/2,"")</f>
        <v/>
      </c>
      <c r="O126" s="312"/>
      <c r="P126" s="311" t="str">
        <f t="shared" si="1"/>
        <v/>
      </c>
      <c r="Q126" s="95"/>
    </row>
    <row r="127" spans="1:18" ht="14.5" hidden="1">
      <c r="A127" s="7" t="s">
        <v>580</v>
      </c>
      <c r="B127" s="7" t="s">
        <v>581</v>
      </c>
      <c r="C127" s="44"/>
      <c r="D127" s="44" t="str">
        <f t="shared" si="0"/>
        <v>C001446</v>
      </c>
      <c r="E127" s="311" t="str">
        <f>IF(C127=1,('BD Comp'!X127+'BD Comp'!Y127)/2,"")</f>
        <v/>
      </c>
      <c r="F127" s="311" t="str">
        <f>IF(C127=1,('BD Comp'!AD127+'BD Comp'!AE127)/2,"")</f>
        <v/>
      </c>
      <c r="G127" s="311" t="str">
        <f>IF(C127=1,('BD Comp'!AP127+'BD Comp'!AQ127)/2,"")</f>
        <v/>
      </c>
      <c r="H127" s="311" t="str">
        <f>IF(C127=1,('BD Comp'!F127+'BD Comp'!G127)/2,"")</f>
        <v/>
      </c>
      <c r="I127" s="311" t="str">
        <f>IF(C127=1,('BD Comp'!I127+'BD Comp'!J127)/2,"")</f>
        <v/>
      </c>
      <c r="J127" s="311" t="str">
        <f>IF(C127=1,('BD Comp'!L127+'BD Comp'!M127)/2,"")</f>
        <v/>
      </c>
      <c r="K127" s="311" t="str">
        <f>IF(C127=1,('BD Comp'!O127+'BD Comp'!P127)/2,"")</f>
        <v/>
      </c>
      <c r="L127" s="311" t="str">
        <f>IF(C127=1,('BD Comp'!R127+'BD Comp'!S127)/2,"")</f>
        <v/>
      </c>
      <c r="M127" s="311" t="str">
        <f>IF(C127=1,('BD Comp'!AA127+'BD Comp'!AB127)/2,"")</f>
        <v/>
      </c>
      <c r="N127" s="311" t="str">
        <f>IF(C127=1,('BD Comp'!AJ127+'BD Comp'!AK127)/2,"")</f>
        <v/>
      </c>
      <c r="O127" s="312"/>
      <c r="P127" s="311" t="str">
        <f t="shared" si="1"/>
        <v/>
      </c>
      <c r="Q127" s="95"/>
    </row>
    <row r="128" spans="1:18" ht="14.5">
      <c r="A128" s="7" t="s">
        <v>583</v>
      </c>
      <c r="B128" s="7" t="s">
        <v>584</v>
      </c>
      <c r="C128" s="44">
        <v>1</v>
      </c>
      <c r="D128" s="44" t="str">
        <f t="shared" si="0"/>
        <v>C001454</v>
      </c>
      <c r="E128" s="311">
        <f>IF(C128=1,('BD Comp'!X128+'BD Comp'!Y128)/2,"")</f>
        <v>44605</v>
      </c>
      <c r="F128" s="311">
        <f>IF(C128=1,('BD Comp'!AD128+'BD Comp'!AE128)/2,"")</f>
        <v>2011826.5</v>
      </c>
      <c r="G128" s="311">
        <f>IF(C128=1,('BD Comp'!AP128+'BD Comp'!AQ128)/2,"")</f>
        <v>44602</v>
      </c>
      <c r="H128" s="311">
        <f>IF(C128=1,('BD Comp'!F128+'BD Comp'!G128)/2,"")</f>
        <v>342314965.64281434</v>
      </c>
      <c r="I128" s="311">
        <f>IF(C128=1,('BD Comp'!I128+'BD Comp'!J128)/2,"")</f>
        <v>11711082.740861209</v>
      </c>
      <c r="J128" s="311">
        <f>IF(C128=1,('BD Comp'!L128+'BD Comp'!M128)/2,"")</f>
        <v>4304905.8130387962</v>
      </c>
      <c r="K128" s="311">
        <f>IF(C128=1,('BD Comp'!O128+'BD Comp'!P128)/2,"")</f>
        <v>1785843.4065394576</v>
      </c>
      <c r="L128" s="311">
        <f>IF(C128=1,('BD Comp'!R128+'BD Comp'!S128)/2,"")</f>
        <v>2605368.5900966441</v>
      </c>
      <c r="M128" s="311">
        <f>IF(C128=1,('BD Comp'!AA128+'BD Comp'!AB128)/2,"")</f>
        <v>136123</v>
      </c>
      <c r="N128" s="311">
        <f>IF(C128=1,('BD Comp'!AJ128+'BD Comp'!AK128)/2,"")</f>
        <v>1726662.21</v>
      </c>
      <c r="O128" s="312">
        <v>1</v>
      </c>
      <c r="P128" s="311">
        <f t="shared" si="1"/>
        <v>1</v>
      </c>
      <c r="Q128" s="95"/>
      <c r="R128" s="17"/>
    </row>
    <row r="129" spans="1:18" ht="14.5">
      <c r="A129" s="7" t="s">
        <v>586</v>
      </c>
      <c r="B129" s="7" t="s">
        <v>587</v>
      </c>
      <c r="C129" s="44">
        <v>1</v>
      </c>
      <c r="D129" s="44" t="str">
        <f t="shared" si="0"/>
        <v>C001464</v>
      </c>
      <c r="E129" s="311">
        <f>IF(C129=1,('BD Comp'!X129+'BD Comp'!Y129)/2,"")</f>
        <v>932844</v>
      </c>
      <c r="F129" s="311">
        <f>IF(C129=1,('BD Comp'!AD129+'BD Comp'!AE129)/2,"")</f>
        <v>23366412.5</v>
      </c>
      <c r="G129" s="311">
        <f>IF(C129=1,('BD Comp'!AP129+'BD Comp'!AQ129)/2,"")</f>
        <v>349873</v>
      </c>
      <c r="H129" s="311">
        <f>IF(C129=1,('BD Comp'!F129+'BD Comp'!G129)/2,"")</f>
        <v>10243084684.4072</v>
      </c>
      <c r="I129" s="311">
        <f>IF(C129=1,('BD Comp'!I129+'BD Comp'!J129)/2,"")</f>
        <v>278211922.11489707</v>
      </c>
      <c r="J129" s="311">
        <f>IF(C129=1,('BD Comp'!L129+'BD Comp'!M129)/2,"")</f>
        <v>213445827.58458865</v>
      </c>
      <c r="K129" s="311">
        <f>IF(C129=1,('BD Comp'!O129+'BD Comp'!P129)/2,"")</f>
        <v>148650832.9148224</v>
      </c>
      <c r="L129" s="311">
        <f>IF(C129=1,('BD Comp'!R129+'BD Comp'!S129)/2,"")</f>
        <v>167023908.76326132</v>
      </c>
      <c r="M129" s="311">
        <f>IF(C129=1,('BD Comp'!AA129+'BD Comp'!AB129)/2,"")</f>
        <v>839627</v>
      </c>
      <c r="N129" s="311">
        <f>IF(C129=1,('BD Comp'!AJ129+'BD Comp'!AK129)/2,"")</f>
        <v>27809105.343999997</v>
      </c>
      <c r="O129" s="312">
        <v>1</v>
      </c>
      <c r="P129" s="311">
        <f t="shared" si="1"/>
        <v>1</v>
      </c>
      <c r="Q129" s="95"/>
      <c r="R129" s="17"/>
    </row>
    <row r="130" spans="1:18" ht="14.5">
      <c r="A130" s="7" t="s">
        <v>589</v>
      </c>
      <c r="B130" s="7" t="s">
        <v>590</v>
      </c>
      <c r="C130" s="44">
        <v>1</v>
      </c>
      <c r="D130" s="44" t="str">
        <f t="shared" si="0"/>
        <v>C001465</v>
      </c>
      <c r="E130" s="311">
        <f>IF(C130=1,('BD Comp'!X130+'BD Comp'!Y130)/2,"")</f>
        <v>547321</v>
      </c>
      <c r="F130" s="311">
        <f>IF(C130=1,('BD Comp'!AD130+'BD Comp'!AE130)/2,"")</f>
        <v>11850226.5</v>
      </c>
      <c r="G130" s="311">
        <f>IF(C130=1,('BD Comp'!AP130+'BD Comp'!AQ130)/2,"")</f>
        <v>341881</v>
      </c>
      <c r="H130" s="311">
        <f>IF(C130=1,('BD Comp'!F130+'BD Comp'!G130)/2,"")</f>
        <v>4138368082.1929507</v>
      </c>
      <c r="I130" s="311">
        <f>IF(C130=1,('BD Comp'!I130+'BD Comp'!J130)/2,"")</f>
        <v>205235101.01360381</v>
      </c>
      <c r="J130" s="311">
        <f>IF(C130=1,('BD Comp'!L130+'BD Comp'!M130)/2,"")</f>
        <v>98367783.753056437</v>
      </c>
      <c r="K130" s="311">
        <f>IF(C130=1,('BD Comp'!O130+'BD Comp'!P130)/2,"")</f>
        <v>78932842.654013216</v>
      </c>
      <c r="L130" s="311">
        <f>IF(C130=1,('BD Comp'!R130+'BD Comp'!S130)/2,"")</f>
        <v>93438342.237130657</v>
      </c>
      <c r="M130" s="311">
        <f>IF(C130=1,('BD Comp'!AA130+'BD Comp'!AB130)/2,"")</f>
        <v>616210</v>
      </c>
      <c r="N130" s="311">
        <f>IF(C130=1,('BD Comp'!AJ130+'BD Comp'!AK130)/2,"")</f>
        <v>34201502.5</v>
      </c>
      <c r="O130" s="312">
        <v>0.71599999999999997</v>
      </c>
      <c r="P130" s="311" t="str">
        <f t="shared" si="1"/>
        <v/>
      </c>
      <c r="Q130" s="95"/>
    </row>
    <row r="131" spans="1:18" ht="14.5">
      <c r="A131" s="7" t="s">
        <v>592</v>
      </c>
      <c r="B131" s="7" t="s">
        <v>593</v>
      </c>
      <c r="C131" s="44">
        <v>1</v>
      </c>
      <c r="D131" s="44" t="str">
        <f t="shared" si="0"/>
        <v>C001466</v>
      </c>
      <c r="E131" s="311">
        <f>IF(C131=1,('BD Comp'!X131+'BD Comp'!Y131)/2,"")</f>
        <v>568592.5</v>
      </c>
      <c r="F131" s="311">
        <f>IF(C131=1,('BD Comp'!AD131+'BD Comp'!AE131)/2,"")</f>
        <v>8757688</v>
      </c>
      <c r="G131" s="311">
        <f>IF(C131=1,('BD Comp'!AP131+'BD Comp'!AQ131)/2,"")</f>
        <v>592.5</v>
      </c>
      <c r="H131" s="311">
        <f>IF(C131=1,('BD Comp'!F131+'BD Comp'!G131)/2,"")</f>
        <v>4603422480.4316368</v>
      </c>
      <c r="I131" s="311">
        <f>IF(C131=1,('BD Comp'!I131+'BD Comp'!J131)/2,"")</f>
        <v>154147338.70102495</v>
      </c>
      <c r="J131" s="311">
        <f>IF(C131=1,('BD Comp'!L131+'BD Comp'!M131)/2,"")</f>
        <v>136359588.96702626</v>
      </c>
      <c r="K131" s="311">
        <f>IF(C131=1,('BD Comp'!O131+'BD Comp'!P131)/2,"")</f>
        <v>125661090.34748322</v>
      </c>
      <c r="L131" s="311">
        <f>IF(C131=1,('BD Comp'!R131+'BD Comp'!S131)/2,"")</f>
        <v>91603939.209380031</v>
      </c>
      <c r="M131" s="311">
        <f>IF(C131=1,('BD Comp'!AA131+'BD Comp'!AB131)/2,"")</f>
        <v>415455</v>
      </c>
      <c r="N131" s="311">
        <f>IF(C131=1,('BD Comp'!AJ131+'BD Comp'!AK131)/2,"")</f>
        <v>29568190.5</v>
      </c>
      <c r="O131" s="312">
        <v>0.85599999999999998</v>
      </c>
      <c r="P131" s="311" t="str">
        <f t="shared" si="1"/>
        <v/>
      </c>
      <c r="Q131" s="95"/>
    </row>
    <row r="132" spans="1:18" ht="14.5" hidden="1">
      <c r="A132" s="7" t="s">
        <v>595</v>
      </c>
      <c r="B132" s="7" t="s">
        <v>596</v>
      </c>
      <c r="C132" s="44"/>
      <c r="D132" s="44" t="str">
        <f t="shared" si="0"/>
        <v>C001486</v>
      </c>
      <c r="E132" s="311" t="str">
        <f>IF(C132=1,('BD Comp'!X132+'BD Comp'!Y132)/2,"")</f>
        <v/>
      </c>
      <c r="F132" s="311" t="str">
        <f>IF(C132=1,('BD Comp'!AD132+'BD Comp'!AE132)/2,"")</f>
        <v/>
      </c>
      <c r="G132" s="311" t="str">
        <f>IF(C132=1,('BD Comp'!AP132+'BD Comp'!AQ132)/2,"")</f>
        <v/>
      </c>
      <c r="H132" s="311" t="str">
        <f>IF(C132=1,('BD Comp'!F132+'BD Comp'!G132)/2,"")</f>
        <v/>
      </c>
      <c r="I132" s="311" t="str">
        <f>IF(C132=1,('BD Comp'!I132+'BD Comp'!J132)/2,"")</f>
        <v/>
      </c>
      <c r="J132" s="311" t="str">
        <f>IF(C132=1,('BD Comp'!L132+'BD Comp'!M132)/2,"")</f>
        <v/>
      </c>
      <c r="K132" s="311" t="str">
        <f>IF(C132=1,('BD Comp'!O132+'BD Comp'!P132)/2,"")</f>
        <v/>
      </c>
      <c r="L132" s="311" t="str">
        <f>IF(C132=1,('BD Comp'!R132+'BD Comp'!S132)/2,"")</f>
        <v/>
      </c>
      <c r="M132" s="311" t="str">
        <f>IF(C132=1,('BD Comp'!AA132+'BD Comp'!AB132)/2,"")</f>
        <v/>
      </c>
      <c r="N132" s="311" t="str">
        <f>IF(C132=1,('BD Comp'!AJ132+'BD Comp'!AK132)/2,"")</f>
        <v/>
      </c>
      <c r="O132" s="312"/>
      <c r="P132" s="311" t="str">
        <f t="shared" si="1"/>
        <v/>
      </c>
      <c r="Q132" s="95"/>
    </row>
    <row r="133" spans="1:18" ht="14.5">
      <c r="A133" s="7" t="s">
        <v>598</v>
      </c>
      <c r="B133" s="7" t="s">
        <v>599</v>
      </c>
      <c r="C133" s="44">
        <v>1</v>
      </c>
      <c r="D133" s="44" t="str">
        <f t="shared" si="0"/>
        <v>C001552</v>
      </c>
      <c r="E133" s="311">
        <f>IF(C133=1,('BD Comp'!X133+'BD Comp'!Y133)/2,"")</f>
        <v>1531935.5</v>
      </c>
      <c r="F133" s="311">
        <f>IF(C133=1,('BD Comp'!AD133+'BD Comp'!AE133)/2,"")</f>
        <v>51643860.5</v>
      </c>
      <c r="G133" s="311">
        <f>IF(C133=1,('BD Comp'!AP133+'BD Comp'!AQ133)/2,"")</f>
        <v>1508172</v>
      </c>
      <c r="H133" s="311">
        <f>IF(C133=1,('BD Comp'!F133+'BD Comp'!G133)/2,"")</f>
        <v>16115324856.21048</v>
      </c>
      <c r="I133" s="311">
        <f>IF(C133=1,('BD Comp'!I133+'BD Comp'!J133)/2,"")</f>
        <v>711199337.85265124</v>
      </c>
      <c r="J133" s="311">
        <f>IF(C133=1,('BD Comp'!L133+'BD Comp'!M133)/2,"")</f>
        <v>318732353.73979056</v>
      </c>
      <c r="K133" s="311">
        <f>IF(C133=1,('BD Comp'!O133+'BD Comp'!P133)/2,"")</f>
        <v>190917747.78559917</v>
      </c>
      <c r="L133" s="311">
        <f>IF(C133=1,('BD Comp'!R133+'BD Comp'!S133)/2,"")</f>
        <v>103926058.26794602</v>
      </c>
      <c r="M133" s="311">
        <f>IF(C133=1,('BD Comp'!AA133+'BD Comp'!AB133)/2,"")</f>
        <v>3333687.5</v>
      </c>
      <c r="N133" s="311">
        <f>IF(C133=1,('BD Comp'!AJ133+'BD Comp'!AK133)/2,"")</f>
        <v>182151569.80000001</v>
      </c>
      <c r="O133" s="312">
        <v>0.74199999999999999</v>
      </c>
      <c r="P133" s="311" t="str">
        <f t="shared" si="1"/>
        <v/>
      </c>
      <c r="Q133" s="95"/>
    </row>
    <row r="134" spans="1:18" ht="14.5">
      <c r="A134" s="7" t="s">
        <v>601</v>
      </c>
      <c r="B134" s="7" t="s">
        <v>602</v>
      </c>
      <c r="C134" s="44">
        <v>1</v>
      </c>
      <c r="D134" s="44" t="str">
        <f t="shared" si="0"/>
        <v>C001553</v>
      </c>
      <c r="E134" s="311">
        <f>IF(C134=1,('BD Comp'!X134+'BD Comp'!Y134)/2,"")</f>
        <v>2714307</v>
      </c>
      <c r="F134" s="311">
        <f>IF(C134=1,('BD Comp'!AD134+'BD Comp'!AE134)/2,"")</f>
        <v>85043260.5</v>
      </c>
      <c r="G134" s="311">
        <f>IF(C134=1,('BD Comp'!AP134+'BD Comp'!AQ134)/2,"")</f>
        <v>2696977.5</v>
      </c>
      <c r="H134" s="311">
        <f>IF(C134=1,('BD Comp'!F134+'BD Comp'!G134)/2,"")</f>
        <v>19301836515.064968</v>
      </c>
      <c r="I134" s="311">
        <f>IF(C134=1,('BD Comp'!I134+'BD Comp'!J134)/2,"")</f>
        <v>813884333.59841204</v>
      </c>
      <c r="J134" s="311">
        <f>IF(C134=1,('BD Comp'!L134+'BD Comp'!M134)/2,"")</f>
        <v>371225352.87481272</v>
      </c>
      <c r="K134" s="311">
        <f>IF(C134=1,('BD Comp'!O134+'BD Comp'!P134)/2,"")</f>
        <v>335531721.03076768</v>
      </c>
      <c r="L134" s="311">
        <f>IF(C134=1,('BD Comp'!R134+'BD Comp'!S134)/2,"")</f>
        <v>208473489.55638766</v>
      </c>
      <c r="M134" s="311">
        <f>IF(C134=1,('BD Comp'!AA134+'BD Comp'!AB134)/2,"")</f>
        <v>3554463.5</v>
      </c>
      <c r="N134" s="311">
        <f>IF(C134=1,('BD Comp'!AJ134+'BD Comp'!AK134)/2,"")</f>
        <v>382768961.52999997</v>
      </c>
      <c r="O134" s="312">
        <v>1</v>
      </c>
      <c r="P134" s="311">
        <f t="shared" si="1"/>
        <v>1</v>
      </c>
      <c r="Q134" s="95"/>
      <c r="R134" s="17"/>
    </row>
    <row r="135" spans="1:18" ht="14.5" hidden="1">
      <c r="A135" s="7" t="s">
        <v>604</v>
      </c>
      <c r="B135" s="7" t="s">
        <v>605</v>
      </c>
      <c r="C135" s="44"/>
      <c r="D135" s="44" t="str">
        <f t="shared" si="0"/>
        <v>C001554</v>
      </c>
      <c r="E135" s="311" t="str">
        <f>IF(C135=1,('BD Comp'!X135+'BD Comp'!Y135)/2,"")</f>
        <v/>
      </c>
      <c r="F135" s="311" t="str">
        <f>IF(C135=1,('BD Comp'!AD135+'BD Comp'!AE135)/2,"")</f>
        <v/>
      </c>
      <c r="G135" s="311" t="str">
        <f>IF(C135=1,('BD Comp'!AP135+'BD Comp'!AQ135)/2,"")</f>
        <v/>
      </c>
      <c r="H135" s="311" t="str">
        <f>IF(C135=1,('BD Comp'!F135+'BD Comp'!G135)/2,"")</f>
        <v/>
      </c>
      <c r="I135" s="311" t="str">
        <f>IF(C135=1,('BD Comp'!I135+'BD Comp'!J135)/2,"")</f>
        <v/>
      </c>
      <c r="J135" s="311" t="str">
        <f>IF(C135=1,('BD Comp'!L135+'BD Comp'!M135)/2,"")</f>
        <v/>
      </c>
      <c r="K135" s="311" t="str">
        <f>IF(C135=1,('BD Comp'!O135+'BD Comp'!P135)/2,"")</f>
        <v/>
      </c>
      <c r="L135" s="311" t="str">
        <f>IF(C135=1,('BD Comp'!R135+'BD Comp'!S135)/2,"")</f>
        <v/>
      </c>
      <c r="M135" s="311" t="str">
        <f>IF(C135=1,('BD Comp'!AA135+'BD Comp'!AB135)/2,"")</f>
        <v/>
      </c>
      <c r="N135" s="311" t="str">
        <f>IF(C135=1,('BD Comp'!AJ135+'BD Comp'!AK135)/2,"")</f>
        <v/>
      </c>
      <c r="O135" s="312"/>
      <c r="P135" s="311" t="str">
        <f t="shared" si="1"/>
        <v/>
      </c>
      <c r="Q135" s="95"/>
    </row>
    <row r="136" spans="1:18" ht="14.5">
      <c r="A136" s="7" t="s">
        <v>607</v>
      </c>
      <c r="B136" s="7" t="s">
        <v>608</v>
      </c>
      <c r="C136" s="44">
        <v>1</v>
      </c>
      <c r="D136" s="44" t="str">
        <f t="shared" si="0"/>
        <v>C001555</v>
      </c>
      <c r="E136" s="311">
        <f>IF(C136=1,('BD Comp'!X136+'BD Comp'!Y136)/2,"")</f>
        <v>191646</v>
      </c>
      <c r="F136" s="311">
        <f>IF(C136=1,('BD Comp'!AD136+'BD Comp'!AE136)/2,"")</f>
        <v>9568924</v>
      </c>
      <c r="G136" s="311">
        <f>IF(C136=1,('BD Comp'!AP136+'BD Comp'!AQ136)/2,"")</f>
        <v>191570</v>
      </c>
      <c r="H136" s="311">
        <f>IF(C136=1,('BD Comp'!F136+'BD Comp'!G136)/2,"")</f>
        <v>2075984799.8968215</v>
      </c>
      <c r="I136" s="311">
        <f>IF(C136=1,('BD Comp'!I136+'BD Comp'!J136)/2,"")</f>
        <v>71687320.47249572</v>
      </c>
      <c r="J136" s="311">
        <f>IF(C136=1,('BD Comp'!L136+'BD Comp'!M136)/2,"")</f>
        <v>50495335.607595384</v>
      </c>
      <c r="K136" s="311">
        <f>IF(C136=1,('BD Comp'!O136+'BD Comp'!P136)/2,"")</f>
        <v>29066453.686637238</v>
      </c>
      <c r="L136" s="311">
        <f>IF(C136=1,('BD Comp'!R136+'BD Comp'!S136)/2,"")</f>
        <v>27178440.000984974</v>
      </c>
      <c r="M136" s="311">
        <f>IF(C136=1,('BD Comp'!AA136+'BD Comp'!AB136)/2,"")</f>
        <v>552300.5</v>
      </c>
      <c r="N136" s="311">
        <f>IF(C136=1,('BD Comp'!AJ136+'BD Comp'!AK136)/2,"")</f>
        <v>15349195.469999999</v>
      </c>
      <c r="O136" s="312">
        <v>1</v>
      </c>
      <c r="P136" s="311">
        <f t="shared" si="1"/>
        <v>1</v>
      </c>
      <c r="Q136" s="95"/>
      <c r="R136" s="17"/>
    </row>
    <row r="137" spans="1:18" ht="14.5" hidden="1">
      <c r="A137" s="7" t="s">
        <v>610</v>
      </c>
      <c r="B137" s="7" t="s">
        <v>611</v>
      </c>
      <c r="C137" s="44"/>
      <c r="D137" s="44" t="str">
        <f t="shared" si="0"/>
        <v>C001559</v>
      </c>
      <c r="E137" s="311" t="str">
        <f>IF(C137=1,('BD Comp'!X137+'BD Comp'!Y137)/2,"")</f>
        <v/>
      </c>
      <c r="F137" s="311" t="str">
        <f>IF(C137=1,('BD Comp'!AD137+'BD Comp'!AE137)/2,"")</f>
        <v/>
      </c>
      <c r="G137" s="311" t="str">
        <f>IF(C137=1,('BD Comp'!AP137+'BD Comp'!AQ137)/2,"")</f>
        <v/>
      </c>
      <c r="H137" s="311" t="str">
        <f>IF(C137=1,('BD Comp'!F137+'BD Comp'!G137)/2,"")</f>
        <v/>
      </c>
      <c r="I137" s="311" t="str">
        <f>IF(C137=1,('BD Comp'!I137+'BD Comp'!J137)/2,"")</f>
        <v/>
      </c>
      <c r="J137" s="311" t="str">
        <f>IF(C137=1,('BD Comp'!L137+'BD Comp'!M137)/2,"")</f>
        <v/>
      </c>
      <c r="K137" s="311" t="str">
        <f>IF(C137=1,('BD Comp'!O137+'BD Comp'!P137)/2,"")</f>
        <v/>
      </c>
      <c r="L137" s="311" t="str">
        <f>IF(C137=1,('BD Comp'!R137+'BD Comp'!S137)/2,"")</f>
        <v/>
      </c>
      <c r="M137" s="311" t="str">
        <f>IF(C137=1,('BD Comp'!AA137+'BD Comp'!AB137)/2,"")</f>
        <v/>
      </c>
      <c r="N137" s="311" t="str">
        <f>IF(C137=1,('BD Comp'!AJ137+'BD Comp'!AK137)/2,"")</f>
        <v/>
      </c>
      <c r="O137" s="312"/>
      <c r="P137" s="311" t="str">
        <f t="shared" si="1"/>
        <v/>
      </c>
      <c r="Q137" s="95"/>
    </row>
    <row r="138" spans="1:18" ht="14.5">
      <c r="A138" s="7" t="s">
        <v>613</v>
      </c>
      <c r="B138" s="7" t="s">
        <v>614</v>
      </c>
      <c r="C138" s="44">
        <v>1</v>
      </c>
      <c r="D138" s="44" t="str">
        <f t="shared" si="0"/>
        <v>C001607</v>
      </c>
      <c r="E138" s="311">
        <f>IF(C138=1,('BD Comp'!X138+'BD Comp'!Y138)/2,"")</f>
        <v>343743</v>
      </c>
      <c r="F138" s="311">
        <f>IF(C138=1,('BD Comp'!AD138+'BD Comp'!AE138)/2,"")</f>
        <v>4855735.5</v>
      </c>
      <c r="G138" s="311">
        <f>IF(C138=1,('BD Comp'!AP138+'BD Comp'!AQ138)/2,"")</f>
        <v>348152.5</v>
      </c>
      <c r="H138" s="311">
        <f>IF(C138=1,('BD Comp'!F138+'BD Comp'!G138)/2,"")</f>
        <v>2528035808.1963429</v>
      </c>
      <c r="I138" s="311">
        <f>IF(C138=1,('BD Comp'!I138+'BD Comp'!J138)/2,"")</f>
        <v>146031252.53183034</v>
      </c>
      <c r="J138" s="311">
        <f>IF(C138=1,('BD Comp'!L138+'BD Comp'!M138)/2,"")</f>
        <v>121806283.84013747</v>
      </c>
      <c r="K138" s="311">
        <f>IF(C138=1,('BD Comp'!O138+'BD Comp'!P138)/2,"")</f>
        <v>127713687.92009501</v>
      </c>
      <c r="L138" s="311">
        <f>IF(C138=1,('BD Comp'!R138+'BD Comp'!S138)/2,"")</f>
        <v>27988968.002810091</v>
      </c>
      <c r="M138" s="311">
        <f>IF(C138=1,('BD Comp'!AA138+'BD Comp'!AB138)/2,"")</f>
        <v>193450.5</v>
      </c>
      <c r="N138" s="311">
        <f>IF(C138=1,('BD Comp'!AJ138+'BD Comp'!AK138)/2,"")</f>
        <v>14094029</v>
      </c>
      <c r="O138" s="312">
        <v>1</v>
      </c>
      <c r="P138" s="311">
        <f t="shared" si="1"/>
        <v>1</v>
      </c>
      <c r="Q138" s="95"/>
      <c r="R138" s="17"/>
    </row>
    <row r="139" spans="1:18" ht="14.5">
      <c r="A139" s="7" t="s">
        <v>616</v>
      </c>
      <c r="B139" s="7" t="s">
        <v>617</v>
      </c>
      <c r="C139" s="44">
        <v>1</v>
      </c>
      <c r="D139" s="44" t="str">
        <f t="shared" si="0"/>
        <v>C001609</v>
      </c>
      <c r="E139" s="311">
        <f>IF(C139=1,('BD Comp'!X139+'BD Comp'!Y139)/2,"")</f>
        <v>373394</v>
      </c>
      <c r="F139" s="311">
        <f>IF(C139=1,('BD Comp'!AD139+'BD Comp'!AE139)/2,"")</f>
        <v>8549482.5</v>
      </c>
      <c r="G139" s="311">
        <f>IF(C139=1,('BD Comp'!AP139+'BD Comp'!AQ139)/2,"")</f>
        <v>393036.5</v>
      </c>
      <c r="H139" s="311">
        <f>IF(C139=1,('BD Comp'!F139+'BD Comp'!G139)/2,"")</f>
        <v>2724678918.0804319</v>
      </c>
      <c r="I139" s="311">
        <f>IF(C139=1,('BD Comp'!I139+'BD Comp'!J139)/2,"")</f>
        <v>92097944.7947703</v>
      </c>
      <c r="J139" s="311">
        <f>IF(C139=1,('BD Comp'!L139+'BD Comp'!M139)/2,"")</f>
        <v>35933150.590318039</v>
      </c>
      <c r="K139" s="311">
        <f>IF(C139=1,('BD Comp'!O139+'BD Comp'!P139)/2,"")</f>
        <v>23392918.614989161</v>
      </c>
      <c r="L139" s="311">
        <f>IF(C139=1,('BD Comp'!R139+'BD Comp'!S139)/2,"")</f>
        <v>30234416.113069937</v>
      </c>
      <c r="M139" s="311">
        <f>IF(C139=1,('BD Comp'!AA139+'BD Comp'!AB139)/2,"")</f>
        <v>532947</v>
      </c>
      <c r="N139" s="311">
        <f>IF(C139=1,('BD Comp'!AJ139+'BD Comp'!AK139)/2,"")</f>
        <v>58559534.355000004</v>
      </c>
      <c r="O139" s="312">
        <v>0.98399999999999999</v>
      </c>
      <c r="P139" s="311">
        <f t="shared" si="1"/>
        <v>1</v>
      </c>
      <c r="Q139" s="95"/>
    </row>
    <row r="140" spans="1:18" ht="14.5">
      <c r="A140" s="7" t="s">
        <v>619</v>
      </c>
      <c r="B140" s="7" t="s">
        <v>620</v>
      </c>
      <c r="C140" s="44">
        <v>1</v>
      </c>
      <c r="D140" s="44" t="str">
        <f t="shared" si="0"/>
        <v>C001610</v>
      </c>
      <c r="E140" s="311">
        <f>IF(C140=1,('BD Comp'!X140+'BD Comp'!Y140)/2,"")</f>
        <v>1008130</v>
      </c>
      <c r="F140" s="311">
        <f>IF(C140=1,('BD Comp'!AD140+'BD Comp'!AE140)/2,"")</f>
        <v>20711152</v>
      </c>
      <c r="G140" s="311">
        <f>IF(C140=1,('BD Comp'!AP140+'BD Comp'!AQ140)/2,"")</f>
        <v>1085888</v>
      </c>
      <c r="H140" s="311">
        <f>IF(C140=1,('BD Comp'!F140+'BD Comp'!G140)/2,"")</f>
        <v>4613445475.4361687</v>
      </c>
      <c r="I140" s="311">
        <f>IF(C140=1,('BD Comp'!I140+'BD Comp'!J140)/2,"")</f>
        <v>276475849.44786477</v>
      </c>
      <c r="J140" s="311">
        <f>IF(C140=1,('BD Comp'!L140+'BD Comp'!M140)/2,"")</f>
        <v>31888336.572106559</v>
      </c>
      <c r="K140" s="311">
        <f>IF(C140=1,('BD Comp'!O140+'BD Comp'!P140)/2,"")</f>
        <v>81876335.030284598</v>
      </c>
      <c r="L140" s="311">
        <f>IF(C140=1,('BD Comp'!R140+'BD Comp'!S140)/2,"")</f>
        <v>51592981.319491364</v>
      </c>
      <c r="M140" s="311">
        <f>IF(C140=1,('BD Comp'!AA140+'BD Comp'!AB140)/2,"")</f>
        <v>546140.5</v>
      </c>
      <c r="N140" s="311">
        <f>IF(C140=1,('BD Comp'!AJ140+'BD Comp'!AK140)/2,"")</f>
        <v>53370916.994999997</v>
      </c>
      <c r="O140" s="312">
        <v>1</v>
      </c>
      <c r="P140" s="311">
        <f t="shared" si="1"/>
        <v>1</v>
      </c>
      <c r="Q140" s="95"/>
      <c r="R140" s="17"/>
    </row>
    <row r="141" spans="1:18" ht="14.5">
      <c r="A141" s="7" t="s">
        <v>622</v>
      </c>
      <c r="B141" s="7" t="s">
        <v>623</v>
      </c>
      <c r="C141" s="44">
        <v>1</v>
      </c>
      <c r="D141" s="44" t="str">
        <f t="shared" si="0"/>
        <v>C001646</v>
      </c>
      <c r="E141" s="311">
        <f>IF(C141=1,('BD Comp'!X141+'BD Comp'!Y141)/2,"")</f>
        <v>2053046</v>
      </c>
      <c r="F141" s="311">
        <f>IF(C141=1,('BD Comp'!AD141+'BD Comp'!AE141)/2,"")</f>
        <v>56930212</v>
      </c>
      <c r="G141" s="311">
        <f>IF(C141=1,('BD Comp'!AP141+'BD Comp'!AQ141)/2,"")</f>
        <v>45649</v>
      </c>
      <c r="H141" s="311">
        <f>IF(C141=1,('BD Comp'!F141+'BD Comp'!G141)/2,"")</f>
        <v>13553048823.724529</v>
      </c>
      <c r="I141" s="311">
        <f>IF(C141=1,('BD Comp'!I141+'BD Comp'!J141)/2,"")</f>
        <v>475215682.16622305</v>
      </c>
      <c r="J141" s="311">
        <f>IF(C141=1,('BD Comp'!L141+'BD Comp'!M141)/2,"")</f>
        <v>316356960.06101203</v>
      </c>
      <c r="K141" s="311">
        <f>IF(C141=1,('BD Comp'!O141+'BD Comp'!P141)/2,"")</f>
        <v>260915539.182484</v>
      </c>
      <c r="L141" s="311">
        <f>IF(C141=1,('BD Comp'!R141+'BD Comp'!S141)/2,"")</f>
        <v>87252181.335916594</v>
      </c>
      <c r="M141" s="311">
        <f>IF(C141=1,('BD Comp'!AA141+'BD Comp'!AB141)/2,"")</f>
        <v>4399871.5</v>
      </c>
      <c r="N141" s="311">
        <f>IF(C141=1,('BD Comp'!AJ141+'BD Comp'!AK141)/2,"")</f>
        <v>313325237.27200001</v>
      </c>
      <c r="O141" s="312">
        <v>1</v>
      </c>
      <c r="P141" s="311">
        <f t="shared" si="1"/>
        <v>1</v>
      </c>
      <c r="Q141" s="95"/>
      <c r="R141" s="17"/>
    </row>
    <row r="142" spans="1:18" ht="14.5" hidden="1">
      <c r="A142" s="7" t="s">
        <v>625</v>
      </c>
      <c r="B142" s="7" t="s">
        <v>626</v>
      </c>
      <c r="C142" s="44"/>
      <c r="D142" s="44" t="str">
        <f t="shared" si="0"/>
        <v>C001654</v>
      </c>
      <c r="E142" s="311" t="str">
        <f>IF(C142=1,('BD Comp'!X142+'BD Comp'!Y142)/2,"")</f>
        <v/>
      </c>
      <c r="F142" s="311" t="str">
        <f>IF(C142=1,('BD Comp'!AD142+'BD Comp'!AE142)/2,"")</f>
        <v/>
      </c>
      <c r="G142" s="311" t="str">
        <f>IF(C142=1,('BD Comp'!AP142+'BD Comp'!AQ142)/2,"")</f>
        <v/>
      </c>
      <c r="H142" s="311" t="str">
        <f>IF(C142=1,('BD Comp'!F142+'BD Comp'!G142)/2,"")</f>
        <v/>
      </c>
      <c r="I142" s="311" t="str">
        <f>IF(C142=1,('BD Comp'!I142+'BD Comp'!J142)/2,"")</f>
        <v/>
      </c>
      <c r="J142" s="311" t="str">
        <f>IF(C142=1,('BD Comp'!L142+'BD Comp'!M142)/2,"")</f>
        <v/>
      </c>
      <c r="K142" s="311" t="str">
        <f>IF(C142=1,('BD Comp'!O142+'BD Comp'!P142)/2,"")</f>
        <v/>
      </c>
      <c r="L142" s="311" t="str">
        <f>IF(C142=1,('BD Comp'!R142+'BD Comp'!S142)/2,"")</f>
        <v/>
      </c>
      <c r="M142" s="311" t="str">
        <f>IF(C142=1,('BD Comp'!AA142+'BD Comp'!AB142)/2,"")</f>
        <v/>
      </c>
      <c r="N142" s="311" t="str">
        <f>IF(C142=1,('BD Comp'!AJ142+'BD Comp'!AK142)/2,"")</f>
        <v/>
      </c>
      <c r="O142" s="312"/>
      <c r="P142" s="311" t="str">
        <f t="shared" si="1"/>
        <v/>
      </c>
      <c r="Q142" s="95"/>
    </row>
    <row r="143" spans="1:18" ht="14.5" hidden="1">
      <c r="A143" s="7" t="s">
        <v>628</v>
      </c>
      <c r="B143" s="7" t="s">
        <v>629</v>
      </c>
      <c r="C143" s="44"/>
      <c r="D143" s="44" t="str">
        <f t="shared" si="0"/>
        <v>C001655</v>
      </c>
      <c r="E143" s="311" t="str">
        <f>IF(C143=1,('BD Comp'!X143+'BD Comp'!Y143)/2,"")</f>
        <v/>
      </c>
      <c r="F143" s="311" t="str">
        <f>IF(C143=1,('BD Comp'!AD143+'BD Comp'!AE143)/2,"")</f>
        <v/>
      </c>
      <c r="G143" s="311" t="str">
        <f>IF(C143=1,('BD Comp'!AP143+'BD Comp'!AQ143)/2,"")</f>
        <v/>
      </c>
      <c r="H143" s="311" t="str">
        <f>IF(C143=1,('BD Comp'!F143+'BD Comp'!G143)/2,"")</f>
        <v/>
      </c>
      <c r="I143" s="311" t="str">
        <f>IF(C143=1,('BD Comp'!I143+'BD Comp'!J143)/2,"")</f>
        <v/>
      </c>
      <c r="J143" s="311" t="str">
        <f>IF(C143=1,('BD Comp'!L143+'BD Comp'!M143)/2,"")</f>
        <v/>
      </c>
      <c r="K143" s="311" t="str">
        <f>IF(C143=1,('BD Comp'!O143+'BD Comp'!P143)/2,"")</f>
        <v/>
      </c>
      <c r="L143" s="311" t="str">
        <f>IF(C143=1,('BD Comp'!R143+'BD Comp'!S143)/2,"")</f>
        <v/>
      </c>
      <c r="M143" s="311" t="str">
        <f>IF(C143=1,('BD Comp'!AA143+'BD Comp'!AB143)/2,"")</f>
        <v/>
      </c>
      <c r="N143" s="311" t="str">
        <f>IF(C143=1,('BD Comp'!AJ143+'BD Comp'!AK143)/2,"")</f>
        <v/>
      </c>
      <c r="O143" s="312"/>
      <c r="P143" s="311" t="str">
        <f t="shared" si="1"/>
        <v/>
      </c>
      <c r="Q143" s="95"/>
    </row>
    <row r="144" spans="1:18" ht="14.5" hidden="1">
      <c r="A144" s="7" t="s">
        <v>631</v>
      </c>
      <c r="B144" s="7" t="s">
        <v>632</v>
      </c>
      <c r="C144" s="44"/>
      <c r="D144" s="44" t="str">
        <f t="shared" si="0"/>
        <v>C001656</v>
      </c>
      <c r="E144" s="311" t="str">
        <f>IF(C144=1,('BD Comp'!X144+'BD Comp'!Y144)/2,"")</f>
        <v/>
      </c>
      <c r="F144" s="311" t="str">
        <f>IF(C144=1,('BD Comp'!AD144+'BD Comp'!AE144)/2,"")</f>
        <v/>
      </c>
      <c r="G144" s="311" t="str">
        <f>IF(C144=1,('BD Comp'!AP144+'BD Comp'!AQ144)/2,"")</f>
        <v/>
      </c>
      <c r="H144" s="311" t="str">
        <f>IF(C144=1,('BD Comp'!F144+'BD Comp'!G144)/2,"")</f>
        <v/>
      </c>
      <c r="I144" s="311" t="str">
        <f>IF(C144=1,('BD Comp'!I144+'BD Comp'!J144)/2,"")</f>
        <v/>
      </c>
      <c r="J144" s="311" t="str">
        <f>IF(C144=1,('BD Comp'!L144+'BD Comp'!M144)/2,"")</f>
        <v/>
      </c>
      <c r="K144" s="311" t="str">
        <f>IF(C144=1,('BD Comp'!O144+'BD Comp'!P144)/2,"")</f>
        <v/>
      </c>
      <c r="L144" s="311" t="str">
        <f>IF(C144=1,('BD Comp'!R144+'BD Comp'!S144)/2,"")</f>
        <v/>
      </c>
      <c r="M144" s="311" t="str">
        <f>IF(C144=1,('BD Comp'!AA144+'BD Comp'!AB144)/2,"")</f>
        <v/>
      </c>
      <c r="N144" s="311" t="str">
        <f>IF(C144=1,('BD Comp'!AJ144+'BD Comp'!AK144)/2,"")</f>
        <v/>
      </c>
      <c r="O144" s="312"/>
      <c r="P144" s="311" t="str">
        <f t="shared" si="1"/>
        <v/>
      </c>
      <c r="Q144" s="95"/>
    </row>
    <row r="145" spans="1:18" ht="14.5">
      <c r="A145" s="7" t="s">
        <v>634</v>
      </c>
      <c r="B145" s="7" t="s">
        <v>635</v>
      </c>
      <c r="C145" s="44">
        <v>1</v>
      </c>
      <c r="D145" s="44" t="str">
        <f t="shared" si="0"/>
        <v>C001673</v>
      </c>
      <c r="E145" s="311">
        <f>IF(C145=1,('BD Comp'!X145+'BD Comp'!Y145)/2,"")</f>
        <v>151087</v>
      </c>
      <c r="F145" s="311">
        <f>IF(C145=1,('BD Comp'!AD145+'BD Comp'!AE145)/2,"")</f>
        <v>8406259.5</v>
      </c>
      <c r="G145" s="311">
        <f>IF(C145=1,('BD Comp'!AP145+'BD Comp'!AQ145)/2,"")</f>
        <v>151071.5</v>
      </c>
      <c r="H145" s="311">
        <f>IF(C145=1,('BD Comp'!F145+'BD Comp'!G145)/2,"")</f>
        <v>1192682610.0413384</v>
      </c>
      <c r="I145" s="311">
        <f>IF(C145=1,('BD Comp'!I145+'BD Comp'!J145)/2,"")</f>
        <v>113771793.82069226</v>
      </c>
      <c r="J145" s="311">
        <f>IF(C145=1,('BD Comp'!L145+'BD Comp'!M145)/2,"")</f>
        <v>32603635.779902909</v>
      </c>
      <c r="K145" s="311">
        <f>IF(C145=1,('BD Comp'!O145+'BD Comp'!P145)/2,"")</f>
        <v>21208594.625568241</v>
      </c>
      <c r="L145" s="311">
        <f>IF(C145=1,('BD Comp'!R145+'BD Comp'!S145)/2,"")</f>
        <v>18363936.221423</v>
      </c>
      <c r="M145" s="311">
        <f>IF(C145=1,('BD Comp'!AA145+'BD Comp'!AB145)/2,"")</f>
        <v>478046</v>
      </c>
      <c r="N145" s="311">
        <f>IF(C145=1,('BD Comp'!AJ145+'BD Comp'!AK145)/2,"")</f>
        <v>16337297.199999999</v>
      </c>
      <c r="O145" s="312">
        <v>1</v>
      </c>
      <c r="P145" s="311">
        <f t="shared" si="1"/>
        <v>1</v>
      </c>
      <c r="Q145" s="95"/>
      <c r="R145" s="17"/>
    </row>
    <row r="146" spans="1:18" ht="14.5" hidden="1">
      <c r="A146" s="7" t="s">
        <v>637</v>
      </c>
      <c r="B146" s="7" t="s">
        <v>638</v>
      </c>
      <c r="C146" s="44"/>
      <c r="D146" s="44" t="str">
        <f t="shared" si="0"/>
        <v>C001675</v>
      </c>
      <c r="E146" s="311" t="str">
        <f>IF(C146=1,('BD Comp'!X146+'BD Comp'!Y146)/2,"")</f>
        <v/>
      </c>
      <c r="F146" s="311" t="str">
        <f>IF(C146=1,('BD Comp'!AD146+'BD Comp'!AE146)/2,"")</f>
        <v/>
      </c>
      <c r="G146" s="311" t="str">
        <f>IF(C146=1,('BD Comp'!AP146+'BD Comp'!AQ146)/2,"")</f>
        <v/>
      </c>
      <c r="H146" s="311" t="str">
        <f>IF(C146=1,('BD Comp'!F146+'BD Comp'!G146)/2,"")</f>
        <v/>
      </c>
      <c r="I146" s="311" t="str">
        <f>IF(C146=1,('BD Comp'!I146+'BD Comp'!J146)/2,"")</f>
        <v/>
      </c>
      <c r="J146" s="311" t="str">
        <f>IF(C146=1,('BD Comp'!L146+'BD Comp'!M146)/2,"")</f>
        <v/>
      </c>
      <c r="K146" s="311" t="str">
        <f>IF(C146=1,('BD Comp'!O146+'BD Comp'!P146)/2,"")</f>
        <v/>
      </c>
      <c r="L146" s="311" t="str">
        <f>IF(C146=1,('BD Comp'!R146+'BD Comp'!S146)/2,"")</f>
        <v/>
      </c>
      <c r="M146" s="311" t="str">
        <f>IF(C146=1,('BD Comp'!AA146+'BD Comp'!AB146)/2,"")</f>
        <v/>
      </c>
      <c r="N146" s="311" t="str">
        <f>IF(C146=1,('BD Comp'!AJ146+'BD Comp'!AK146)/2,"")</f>
        <v/>
      </c>
      <c r="O146" s="312"/>
      <c r="P146" s="311" t="str">
        <f t="shared" si="1"/>
        <v/>
      </c>
      <c r="Q146" s="95"/>
    </row>
    <row r="147" spans="1:18" ht="14.5">
      <c r="A147" s="7" t="s">
        <v>640</v>
      </c>
      <c r="B147" s="7" t="s">
        <v>641</v>
      </c>
      <c r="C147" s="44">
        <v>1</v>
      </c>
      <c r="D147" s="44" t="str">
        <f t="shared" si="0"/>
        <v>C001696</v>
      </c>
      <c r="E147" s="311">
        <f>IF(C147=1,('BD Comp'!X147+'BD Comp'!Y147)/2,"")</f>
        <v>101384</v>
      </c>
      <c r="F147" s="311">
        <f>IF(C147=1,('BD Comp'!AD147+'BD Comp'!AE147)/2,"")</f>
        <v>1848666.5</v>
      </c>
      <c r="G147" s="311">
        <f>IF(C147=1,('BD Comp'!AP147+'BD Comp'!AQ147)/2,"")</f>
        <v>100761.5</v>
      </c>
      <c r="H147" s="311">
        <f>IF(C147=1,('BD Comp'!F147+'BD Comp'!G147)/2,"")</f>
        <v>807676323.68170893</v>
      </c>
      <c r="I147" s="311">
        <f>IF(C147=1,('BD Comp'!I147+'BD Comp'!J147)/2,"")</f>
        <v>31278867.409068555</v>
      </c>
      <c r="J147" s="311">
        <f>IF(C147=1,('BD Comp'!L147+'BD Comp'!M147)/2,"")</f>
        <v>15368202.578590073</v>
      </c>
      <c r="K147" s="311">
        <f>IF(C147=1,('BD Comp'!O147+'BD Comp'!P147)/2,"")</f>
        <v>5600703.4661534345</v>
      </c>
      <c r="L147" s="311">
        <f>IF(C147=1,('BD Comp'!R147+'BD Comp'!S147)/2,"")</f>
        <v>19281084.361427084</v>
      </c>
      <c r="M147" s="311">
        <f>IF(C147=1,('BD Comp'!AA147+'BD Comp'!AB147)/2,"")</f>
        <v>111491</v>
      </c>
      <c r="N147" s="311">
        <f>IF(C147=1,('BD Comp'!AJ147+'BD Comp'!AK147)/2,"")</f>
        <v>8860594.0489999987</v>
      </c>
      <c r="O147" s="312">
        <v>0.88300000000000001</v>
      </c>
      <c r="P147" s="311" t="str">
        <f t="shared" si="1"/>
        <v/>
      </c>
      <c r="Q147" s="95"/>
    </row>
    <row r="148" spans="1:18" ht="14.5" hidden="1">
      <c r="A148" s="7" t="s">
        <v>643</v>
      </c>
      <c r="B148" s="7" t="s">
        <v>644</v>
      </c>
      <c r="C148" s="44"/>
      <c r="D148" s="44" t="str">
        <f t="shared" si="0"/>
        <v>C001702</v>
      </c>
      <c r="E148" s="311" t="str">
        <f>IF(C148=1,('BD Comp'!X148+'BD Comp'!Y148)/2,"")</f>
        <v/>
      </c>
      <c r="F148" s="311" t="str">
        <f>IF(C148=1,('BD Comp'!AD148+'BD Comp'!AE148)/2,"")</f>
        <v/>
      </c>
      <c r="G148" s="311" t="str">
        <f>IF(C148=1,('BD Comp'!AP148+'BD Comp'!AQ148)/2,"")</f>
        <v/>
      </c>
      <c r="H148" s="311" t="str">
        <f>IF(C148=1,('BD Comp'!F148+'BD Comp'!G148)/2,"")</f>
        <v/>
      </c>
      <c r="I148" s="311" t="str">
        <f>IF(C148=1,('BD Comp'!I148+'BD Comp'!J148)/2,"")</f>
        <v/>
      </c>
      <c r="J148" s="311" t="str">
        <f>IF(C148=1,('BD Comp'!L148+'BD Comp'!M148)/2,"")</f>
        <v/>
      </c>
      <c r="K148" s="311" t="str">
        <f>IF(C148=1,('BD Comp'!O148+'BD Comp'!P148)/2,"")</f>
        <v/>
      </c>
      <c r="L148" s="311" t="str">
        <f>IF(C148=1,('BD Comp'!R148+'BD Comp'!S148)/2,"")</f>
        <v/>
      </c>
      <c r="M148" s="311" t="str">
        <f>IF(C148=1,('BD Comp'!AA148+'BD Comp'!AB148)/2,"")</f>
        <v/>
      </c>
      <c r="N148" s="311" t="str">
        <f>IF(C148=1,('BD Comp'!AJ148+'BD Comp'!AK148)/2,"")</f>
        <v/>
      </c>
      <c r="O148" s="312"/>
      <c r="P148" s="311" t="str">
        <f t="shared" si="1"/>
        <v/>
      </c>
      <c r="Q148" s="95"/>
    </row>
    <row r="149" spans="1:18" ht="14.5" hidden="1">
      <c r="A149" s="7" t="s">
        <v>646</v>
      </c>
      <c r="B149" s="7" t="s">
        <v>647</v>
      </c>
      <c r="C149" s="44"/>
      <c r="D149" s="44" t="str">
        <f t="shared" si="0"/>
        <v>C001731</v>
      </c>
      <c r="E149" s="311" t="str">
        <f>IF(C149=1,('BD Comp'!X149+'BD Comp'!Y149)/2,"")</f>
        <v/>
      </c>
      <c r="F149" s="311" t="str">
        <f>IF(C149=1,('BD Comp'!AD149+'BD Comp'!AE149)/2,"")</f>
        <v/>
      </c>
      <c r="G149" s="311" t="str">
        <f>IF(C149=1,('BD Comp'!AP149+'BD Comp'!AQ149)/2,"")</f>
        <v/>
      </c>
      <c r="H149" s="311" t="str">
        <f>IF(C149=1,('BD Comp'!F149+'BD Comp'!G149)/2,"")</f>
        <v/>
      </c>
      <c r="I149" s="311" t="str">
        <f>IF(C149=1,('BD Comp'!I149+'BD Comp'!J149)/2,"")</f>
        <v/>
      </c>
      <c r="J149" s="311" t="str">
        <f>IF(C149=1,('BD Comp'!L149+'BD Comp'!M149)/2,"")</f>
        <v/>
      </c>
      <c r="K149" s="311" t="str">
        <f>IF(C149=1,('BD Comp'!O149+'BD Comp'!P149)/2,"")</f>
        <v/>
      </c>
      <c r="L149" s="311" t="str">
        <f>IF(C149=1,('BD Comp'!R149+'BD Comp'!S149)/2,"")</f>
        <v/>
      </c>
      <c r="M149" s="311" t="str">
        <f>IF(C149=1,('BD Comp'!AA149+'BD Comp'!AB149)/2,"")</f>
        <v/>
      </c>
      <c r="N149" s="311" t="str">
        <f>IF(C149=1,('BD Comp'!AJ149+'BD Comp'!AK149)/2,"")</f>
        <v/>
      </c>
      <c r="O149" s="312"/>
      <c r="P149" s="311" t="str">
        <f t="shared" si="1"/>
        <v/>
      </c>
      <c r="Q149" s="95"/>
    </row>
    <row r="150" spans="1:18" ht="14.5">
      <c r="A150" s="7" t="s">
        <v>649</v>
      </c>
      <c r="B150" s="7" t="s">
        <v>650</v>
      </c>
      <c r="C150" s="44">
        <v>1</v>
      </c>
      <c r="D150" s="44" t="str">
        <f t="shared" si="0"/>
        <v>C001745</v>
      </c>
      <c r="E150" s="311">
        <f>IF(C150=1,('BD Comp'!X150+'BD Comp'!Y150)/2,"")</f>
        <v>272239.5</v>
      </c>
      <c r="F150" s="311">
        <f>IF(C150=1,('BD Comp'!AD150+'BD Comp'!AE150)/2,"")</f>
        <v>4081230.5</v>
      </c>
      <c r="G150" s="311">
        <f>IF(C150=1,('BD Comp'!AP150+'BD Comp'!AQ150)/2,"")</f>
        <v>276690</v>
      </c>
      <c r="H150" s="311">
        <f>IF(C150=1,('BD Comp'!F150+'BD Comp'!G150)/2,"")</f>
        <v>1736760745.2347112</v>
      </c>
      <c r="I150" s="311">
        <f>IF(C150=1,('BD Comp'!I150+'BD Comp'!J150)/2,"")</f>
        <v>72972334.013980895</v>
      </c>
      <c r="J150" s="311">
        <f>IF(C150=1,('BD Comp'!L150+'BD Comp'!M150)/2,"")</f>
        <v>54543430.290793166</v>
      </c>
      <c r="K150" s="311">
        <f>IF(C150=1,('BD Comp'!O150+'BD Comp'!P150)/2,"")</f>
        <v>13123473.911330193</v>
      </c>
      <c r="L150" s="311">
        <f>IF(C150=1,('BD Comp'!R150+'BD Comp'!S150)/2,"")</f>
        <v>13336595.293631703</v>
      </c>
      <c r="M150" s="311">
        <f>IF(C150=1,('BD Comp'!AA150+'BD Comp'!AB150)/2,"")</f>
        <v>216863</v>
      </c>
      <c r="N150" s="311">
        <f>IF(C150=1,('BD Comp'!AJ150+'BD Comp'!AK150)/2,"")</f>
        <v>68664038.100000009</v>
      </c>
      <c r="O150" s="312">
        <v>1</v>
      </c>
      <c r="P150" s="311">
        <f t="shared" si="1"/>
        <v>1</v>
      </c>
      <c r="Q150" s="95"/>
      <c r="R150" s="17"/>
    </row>
    <row r="151" spans="1:18" ht="14.5">
      <c r="A151" s="7" t="s">
        <v>652</v>
      </c>
      <c r="B151" s="7" t="s">
        <v>653</v>
      </c>
      <c r="C151" s="44">
        <v>1</v>
      </c>
      <c r="D151" s="44" t="str">
        <f t="shared" si="0"/>
        <v>C001775</v>
      </c>
      <c r="E151" s="311">
        <f>IF(C151=1,('BD Comp'!X151+'BD Comp'!Y151)/2,"")</f>
        <v>888527.5</v>
      </c>
      <c r="F151" s="311">
        <f>IF(C151=1,('BD Comp'!AD151+'BD Comp'!AE151)/2,"")</f>
        <v>29839463.5</v>
      </c>
      <c r="G151" s="311">
        <f>IF(C151=1,('BD Comp'!AP151+'BD Comp'!AQ151)/2,"")</f>
        <v>71391</v>
      </c>
      <c r="H151" s="311">
        <f>IF(C151=1,('BD Comp'!F151+'BD Comp'!G151)/2,"")</f>
        <v>6904737585.7889729</v>
      </c>
      <c r="I151" s="311">
        <f>IF(C151=1,('BD Comp'!I151+'BD Comp'!J151)/2,"")</f>
        <v>332520686.00747859</v>
      </c>
      <c r="J151" s="311">
        <f>IF(C151=1,('BD Comp'!L151+'BD Comp'!M151)/2,"")</f>
        <v>135828292.60904628</v>
      </c>
      <c r="K151" s="311">
        <f>IF(C151=1,('BD Comp'!O151+'BD Comp'!P151)/2,"")</f>
        <v>83528217.856372029</v>
      </c>
      <c r="L151" s="311">
        <f>IF(C151=1,('BD Comp'!R151+'BD Comp'!S151)/2,"")</f>
        <v>61413252.557535455</v>
      </c>
      <c r="M151" s="311">
        <f>IF(C151=1,('BD Comp'!AA151+'BD Comp'!AB151)/2,"")</f>
        <v>1444968.5</v>
      </c>
      <c r="N151" s="311">
        <f>IF(C151=1,('BD Comp'!AJ151+'BD Comp'!AK151)/2,"")</f>
        <v>120758955.18099999</v>
      </c>
      <c r="O151" s="312">
        <v>0.77200000000000002</v>
      </c>
      <c r="P151" s="311" t="str">
        <f t="shared" si="1"/>
        <v/>
      </c>
      <c r="Q151" s="95"/>
    </row>
    <row r="152" spans="1:18" ht="14.5">
      <c r="A152" s="7" t="s">
        <v>655</v>
      </c>
      <c r="B152" s="7" t="s">
        <v>656</v>
      </c>
      <c r="C152" s="44">
        <v>1</v>
      </c>
      <c r="D152" s="44" t="str">
        <f t="shared" si="0"/>
        <v>C001789</v>
      </c>
      <c r="E152" s="311">
        <f>IF(C152=1,('BD Comp'!X152+'BD Comp'!Y152)/2,"")</f>
        <v>464096.5</v>
      </c>
      <c r="F152" s="311">
        <f>IF(C152=1,('BD Comp'!AD152+'BD Comp'!AE152)/2,"")</f>
        <v>8090005</v>
      </c>
      <c r="G152" s="311">
        <f>IF(C152=1,('BD Comp'!AP152+'BD Comp'!AQ152)/2,"")</f>
        <v>377303.5</v>
      </c>
      <c r="H152" s="311">
        <f>IF(C152=1,('BD Comp'!F152+'BD Comp'!G152)/2,"")</f>
        <v>3298259237.5666275</v>
      </c>
      <c r="I152" s="311">
        <f>IF(C152=1,('BD Comp'!I152+'BD Comp'!J152)/2,"")</f>
        <v>152794069.43089795</v>
      </c>
      <c r="J152" s="311">
        <f>IF(C152=1,('BD Comp'!L152+'BD Comp'!M152)/2,"")</f>
        <v>37958526.117268413</v>
      </c>
      <c r="K152" s="311">
        <f>IF(C152=1,('BD Comp'!O152+'BD Comp'!P152)/2,"")</f>
        <v>22352081.624948509</v>
      </c>
      <c r="L152" s="311">
        <f>IF(C152=1,('BD Comp'!R152+'BD Comp'!S152)/2,"")</f>
        <v>45287950.478262857</v>
      </c>
      <c r="M152" s="311">
        <f>IF(C152=1,('BD Comp'!AA152+'BD Comp'!AB152)/2,"")</f>
        <v>603038.5</v>
      </c>
      <c r="N152" s="311">
        <f>IF(C152=1,('BD Comp'!AJ152+'BD Comp'!AK152)/2,"")</f>
        <v>51270372.306999996</v>
      </c>
      <c r="O152" s="312">
        <v>0.87</v>
      </c>
      <c r="P152" s="311" t="str">
        <f t="shared" si="1"/>
        <v/>
      </c>
      <c r="Q152" s="95"/>
    </row>
    <row r="153" spans="1:18" ht="14.5" hidden="1">
      <c r="A153" s="7" t="s">
        <v>658</v>
      </c>
      <c r="B153" s="7" t="s">
        <v>659</v>
      </c>
      <c r="C153" s="44"/>
      <c r="D153" s="44" t="str">
        <f t="shared" si="0"/>
        <v>C002012</v>
      </c>
      <c r="E153" s="311" t="str">
        <f>IF(C153=1,('BD Comp'!X153+'BD Comp'!Y153)/2,"")</f>
        <v/>
      </c>
      <c r="F153" s="311" t="str">
        <f>IF(C153=1,('BD Comp'!AD153+'BD Comp'!AE153)/2,"")</f>
        <v/>
      </c>
      <c r="G153" s="311" t="str">
        <f>IF(C153=1,('BD Comp'!AP153+'BD Comp'!AQ153)/2,"")</f>
        <v/>
      </c>
      <c r="H153" s="311" t="str">
        <f>IF(C153=1,('BD Comp'!F153+'BD Comp'!G153)/2,"")</f>
        <v/>
      </c>
      <c r="I153" s="311" t="str">
        <f>IF(C153=1,('BD Comp'!I153+'BD Comp'!J153)/2,"")</f>
        <v/>
      </c>
      <c r="J153" s="311" t="str">
        <f>IF(C153=1,('BD Comp'!L153+'BD Comp'!M153)/2,"")</f>
        <v/>
      </c>
      <c r="K153" s="311" t="str">
        <f>IF(C153=1,('BD Comp'!O153+'BD Comp'!P153)/2,"")</f>
        <v/>
      </c>
      <c r="L153" s="311" t="str">
        <f>IF(C153=1,('BD Comp'!R153+'BD Comp'!S153)/2,"")</f>
        <v/>
      </c>
      <c r="M153" s="311" t="str">
        <f>IF(C153=1,('BD Comp'!AA153+'BD Comp'!AB153)/2,"")</f>
        <v/>
      </c>
      <c r="N153" s="311" t="str">
        <f>IF(C153=1,('BD Comp'!AJ153+'BD Comp'!AK153)/2,"")</f>
        <v/>
      </c>
      <c r="O153" s="312"/>
      <c r="P153" s="311" t="str">
        <f t="shared" si="1"/>
        <v/>
      </c>
      <c r="Q153" s="95"/>
    </row>
    <row r="154" spans="1:18" ht="14.5" hidden="1">
      <c r="A154" s="7" t="s">
        <v>661</v>
      </c>
      <c r="B154" s="7" t="s">
        <v>662</v>
      </c>
      <c r="C154" s="44"/>
      <c r="D154" s="44" t="str">
        <f t="shared" si="0"/>
        <v>C002045</v>
      </c>
      <c r="E154" s="311" t="str">
        <f>IF(C154=1,('BD Comp'!X154+'BD Comp'!Y154)/2,"")</f>
        <v/>
      </c>
      <c r="F154" s="311" t="str">
        <f>IF(C154=1,('BD Comp'!AD154+'BD Comp'!AE154)/2,"")</f>
        <v/>
      </c>
      <c r="G154" s="311" t="str">
        <f>IF(C154=1,('BD Comp'!AP154+'BD Comp'!AQ154)/2,"")</f>
        <v/>
      </c>
      <c r="H154" s="311" t="str">
        <f>IF(C154=1,('BD Comp'!F154+'BD Comp'!G154)/2,"")</f>
        <v/>
      </c>
      <c r="I154" s="311" t="str">
        <f>IF(C154=1,('BD Comp'!I154+'BD Comp'!J154)/2,"")</f>
        <v/>
      </c>
      <c r="J154" s="311" t="str">
        <f>IF(C154=1,('BD Comp'!L154+'BD Comp'!M154)/2,"")</f>
        <v/>
      </c>
      <c r="K154" s="311" t="str">
        <f>IF(C154=1,('BD Comp'!O154+'BD Comp'!P154)/2,"")</f>
        <v/>
      </c>
      <c r="L154" s="311" t="str">
        <f>IF(C154=1,('BD Comp'!R154+'BD Comp'!S154)/2,"")</f>
        <v/>
      </c>
      <c r="M154" s="311" t="str">
        <f>IF(C154=1,('BD Comp'!AA154+'BD Comp'!AB154)/2,"")</f>
        <v/>
      </c>
      <c r="N154" s="311" t="str">
        <f>IF(C154=1,('BD Comp'!AJ154+'BD Comp'!AK154)/2,"")</f>
        <v/>
      </c>
      <c r="O154" s="312"/>
      <c r="P154" s="311" t="str">
        <f t="shared" si="1"/>
        <v/>
      </c>
      <c r="Q154" s="95"/>
    </row>
    <row r="155" spans="1:18" ht="14.5" hidden="1">
      <c r="A155" s="7" t="s">
        <v>664</v>
      </c>
      <c r="B155" s="7" t="s">
        <v>665</v>
      </c>
      <c r="C155" s="44"/>
      <c r="D155" s="44" t="str">
        <f t="shared" si="0"/>
        <v>C002073</v>
      </c>
      <c r="E155" s="311" t="str">
        <f>IF(C155=1,('BD Comp'!X155+'BD Comp'!Y155)/2,"")</f>
        <v/>
      </c>
      <c r="F155" s="311" t="str">
        <f>IF(C155=1,('BD Comp'!AD155+'BD Comp'!AE155)/2,"")</f>
        <v/>
      </c>
      <c r="G155" s="311" t="str">
        <f>IF(C155=1,('BD Comp'!AP155+'BD Comp'!AQ155)/2,"")</f>
        <v/>
      </c>
      <c r="H155" s="311" t="str">
        <f>IF(C155=1,('BD Comp'!F155+'BD Comp'!G155)/2,"")</f>
        <v/>
      </c>
      <c r="I155" s="311" t="str">
        <f>IF(C155=1,('BD Comp'!I155+'BD Comp'!J155)/2,"")</f>
        <v/>
      </c>
      <c r="J155" s="311" t="str">
        <f>IF(C155=1,('BD Comp'!L155+'BD Comp'!M155)/2,"")</f>
        <v/>
      </c>
      <c r="K155" s="311" t="str">
        <f>IF(C155=1,('BD Comp'!O155+'BD Comp'!P155)/2,"")</f>
        <v/>
      </c>
      <c r="L155" s="311" t="str">
        <f>IF(C155=1,('BD Comp'!R155+'BD Comp'!S155)/2,"")</f>
        <v/>
      </c>
      <c r="M155" s="311" t="str">
        <f>IF(C155=1,('BD Comp'!AA155+'BD Comp'!AB155)/2,"")</f>
        <v/>
      </c>
      <c r="N155" s="311" t="str">
        <f>IF(C155=1,('BD Comp'!AJ155+'BD Comp'!AK155)/2,"")</f>
        <v/>
      </c>
      <c r="O155" s="312"/>
      <c r="P155" s="311" t="str">
        <f t="shared" si="1"/>
        <v/>
      </c>
      <c r="Q155" s="95"/>
    </row>
    <row r="156" spans="1:18" ht="14.5" hidden="1">
      <c r="A156" s="7" t="s">
        <v>667</v>
      </c>
      <c r="B156" s="7" t="s">
        <v>668</v>
      </c>
      <c r="C156" s="44"/>
      <c r="D156" s="44" t="str">
        <f t="shared" si="0"/>
        <v>C002083</v>
      </c>
      <c r="E156" s="311" t="str">
        <f>IF(C156=1,('BD Comp'!X156+'BD Comp'!Y156)/2,"")</f>
        <v/>
      </c>
      <c r="F156" s="311" t="str">
        <f>IF(C156=1,('BD Comp'!AD156+'BD Comp'!AE156)/2,"")</f>
        <v/>
      </c>
      <c r="G156" s="311" t="str">
        <f>IF(C156=1,('BD Comp'!AP156+'BD Comp'!AQ156)/2,"")</f>
        <v/>
      </c>
      <c r="H156" s="311" t="str">
        <f>IF(C156=1,('BD Comp'!F156+'BD Comp'!G156)/2,"")</f>
        <v/>
      </c>
      <c r="I156" s="311" t="str">
        <f>IF(C156=1,('BD Comp'!I156+'BD Comp'!J156)/2,"")</f>
        <v/>
      </c>
      <c r="J156" s="311" t="str">
        <f>IF(C156=1,('BD Comp'!L156+'BD Comp'!M156)/2,"")</f>
        <v/>
      </c>
      <c r="K156" s="311" t="str">
        <f>IF(C156=1,('BD Comp'!O156+'BD Comp'!P156)/2,"")</f>
        <v/>
      </c>
      <c r="L156" s="311" t="str">
        <f>IF(C156=1,('BD Comp'!R156+'BD Comp'!S156)/2,"")</f>
        <v/>
      </c>
      <c r="M156" s="311" t="str">
        <f>IF(C156=1,('BD Comp'!AA156+'BD Comp'!AB156)/2,"")</f>
        <v/>
      </c>
      <c r="N156" s="311" t="str">
        <f>IF(C156=1,('BD Comp'!AJ156+'BD Comp'!AK156)/2,"")</f>
        <v/>
      </c>
      <c r="O156" s="312"/>
      <c r="P156" s="311" t="str">
        <f t="shared" si="1"/>
        <v/>
      </c>
      <c r="Q156" s="95"/>
    </row>
    <row r="157" spans="1:18" ht="14.5">
      <c r="A157" s="7" t="s">
        <v>670</v>
      </c>
      <c r="B157" s="7" t="s">
        <v>671</v>
      </c>
      <c r="C157" s="44">
        <v>1</v>
      </c>
      <c r="D157" s="44" t="str">
        <f t="shared" si="0"/>
        <v>C002089</v>
      </c>
      <c r="E157" s="311">
        <f>IF(C157=1,('BD Comp'!X157+'BD Comp'!Y157)/2,"")</f>
        <v>62719</v>
      </c>
      <c r="F157" s="311">
        <f>IF(C157=1,('BD Comp'!AD157+'BD Comp'!AE157)/2,"")</f>
        <v>977530</v>
      </c>
      <c r="G157" s="311">
        <f>IF(C157=1,('BD Comp'!AP157+'BD Comp'!AQ157)/2,"")</f>
        <v>59177.5</v>
      </c>
      <c r="H157" s="311">
        <f>IF(C157=1,('BD Comp'!F157+'BD Comp'!G157)/2,"")</f>
        <v>338128459.39766598</v>
      </c>
      <c r="I157" s="311">
        <f>IF(C157=1,('BD Comp'!I157+'BD Comp'!J157)/2,"")</f>
        <v>15996546.317197479</v>
      </c>
      <c r="J157" s="311">
        <f>IF(C157=1,('BD Comp'!L157+'BD Comp'!M157)/2,"")</f>
        <v>13023754.53640189</v>
      </c>
      <c r="K157" s="311">
        <f>IF(C157=1,('BD Comp'!O157+'BD Comp'!P157)/2,"")</f>
        <v>6388677.5376941264</v>
      </c>
      <c r="L157" s="311">
        <f>IF(C157=1,('BD Comp'!R157+'BD Comp'!S157)/2,"")</f>
        <v>7208250.5397325978</v>
      </c>
      <c r="M157" s="311">
        <f>IF(C157=1,('BD Comp'!AA157+'BD Comp'!AB157)/2,"")</f>
        <v>84152</v>
      </c>
      <c r="N157" s="311">
        <f>IF(C157=1,('BD Comp'!AJ157+'BD Comp'!AK157)/2,"")</f>
        <v>6146111</v>
      </c>
      <c r="O157" s="312">
        <v>0.93100000000000005</v>
      </c>
      <c r="P157" s="311">
        <f t="shared" si="1"/>
        <v>1</v>
      </c>
      <c r="Q157" s="95"/>
      <c r="R157" s="17"/>
    </row>
    <row r="158" spans="1:18" ht="14.5" hidden="1">
      <c r="A158" s="7" t="s">
        <v>673</v>
      </c>
      <c r="B158" s="7" t="s">
        <v>674</v>
      </c>
      <c r="C158" s="44"/>
      <c r="D158" s="44" t="str">
        <f t="shared" si="0"/>
        <v>C002101</v>
      </c>
      <c r="E158" s="311" t="str">
        <f>IF(C158=1,('BD Comp'!X158+'BD Comp'!Y158)/2,"")</f>
        <v/>
      </c>
      <c r="F158" s="311" t="str">
        <f>IF(C158=1,('BD Comp'!AD158+'BD Comp'!AE158)/2,"")</f>
        <v/>
      </c>
      <c r="G158" s="311" t="str">
        <f>IF(C158=1,('BD Comp'!AP158+'BD Comp'!AQ158)/2,"")</f>
        <v/>
      </c>
      <c r="H158" s="311" t="str">
        <f>IF(C158=1,('BD Comp'!F158+'BD Comp'!G158)/2,"")</f>
        <v/>
      </c>
      <c r="I158" s="311" t="str">
        <f>IF(C158=1,('BD Comp'!I158+'BD Comp'!J158)/2,"")</f>
        <v/>
      </c>
      <c r="J158" s="311" t="str">
        <f>IF(C158=1,('BD Comp'!L158+'BD Comp'!M158)/2,"")</f>
        <v/>
      </c>
      <c r="K158" s="311" t="str">
        <f>IF(C158=1,('BD Comp'!O158+'BD Comp'!P158)/2,"")</f>
        <v/>
      </c>
      <c r="L158" s="311" t="str">
        <f>IF(C158=1,('BD Comp'!R158+'BD Comp'!S158)/2,"")</f>
        <v/>
      </c>
      <c r="M158" s="311" t="str">
        <f>IF(C158=1,('BD Comp'!AA158+'BD Comp'!AB158)/2,"")</f>
        <v/>
      </c>
      <c r="N158" s="311" t="str">
        <f>IF(C158=1,('BD Comp'!AJ158+'BD Comp'!AK158)/2,"")</f>
        <v/>
      </c>
      <c r="O158" s="312"/>
      <c r="P158" s="311" t="str">
        <f t="shared" si="1"/>
        <v/>
      </c>
      <c r="Q158" s="95"/>
    </row>
    <row r="159" spans="1:18" ht="14.5" hidden="1">
      <c r="A159" s="7" t="s">
        <v>676</v>
      </c>
      <c r="B159" s="7" t="s">
        <v>677</v>
      </c>
      <c r="C159" s="44"/>
      <c r="D159" s="44" t="str">
        <f t="shared" si="0"/>
        <v>C002115</v>
      </c>
      <c r="E159" s="311" t="str">
        <f>IF(C159=1,('BD Comp'!X159+'BD Comp'!Y159)/2,"")</f>
        <v/>
      </c>
      <c r="F159" s="311" t="str">
        <f>IF(C159=1,('BD Comp'!AD159+'BD Comp'!AE159)/2,"")</f>
        <v/>
      </c>
      <c r="G159" s="311" t="str">
        <f>IF(C159=1,('BD Comp'!AP159+'BD Comp'!AQ159)/2,"")</f>
        <v/>
      </c>
      <c r="H159" s="311" t="str">
        <f>IF(C159=1,('BD Comp'!F159+'BD Comp'!G159)/2,"")</f>
        <v/>
      </c>
      <c r="I159" s="311" t="str">
        <f>IF(C159=1,('BD Comp'!I159+'BD Comp'!J159)/2,"")</f>
        <v/>
      </c>
      <c r="J159" s="311" t="str">
        <f>IF(C159=1,('BD Comp'!L159+'BD Comp'!M159)/2,"")</f>
        <v/>
      </c>
      <c r="K159" s="311" t="str">
        <f>IF(C159=1,('BD Comp'!O159+'BD Comp'!P159)/2,"")</f>
        <v/>
      </c>
      <c r="L159" s="311" t="str">
        <f>IF(C159=1,('BD Comp'!R159+'BD Comp'!S159)/2,"")</f>
        <v/>
      </c>
      <c r="M159" s="311" t="str">
        <f>IF(C159=1,('BD Comp'!AA159+'BD Comp'!AB159)/2,"")</f>
        <v/>
      </c>
      <c r="N159" s="311" t="str">
        <f>IF(C159=1,('BD Comp'!AJ159+'BD Comp'!AK159)/2,"")</f>
        <v/>
      </c>
      <c r="O159" s="312"/>
      <c r="P159" s="311" t="str">
        <f t="shared" si="1"/>
        <v/>
      </c>
      <c r="Q159" s="95"/>
    </row>
    <row r="160" spans="1:18" ht="14.5" hidden="1">
      <c r="A160" s="7" t="s">
        <v>679</v>
      </c>
      <c r="B160" s="7" t="s">
        <v>680</v>
      </c>
      <c r="C160" s="44"/>
      <c r="D160" s="44" t="str">
        <f t="shared" si="0"/>
        <v>C002116</v>
      </c>
      <c r="E160" s="311" t="str">
        <f>IF(C160=1,('BD Comp'!X160+'BD Comp'!Y160)/2,"")</f>
        <v/>
      </c>
      <c r="F160" s="311" t="str">
        <f>IF(C160=1,('BD Comp'!AD160+'BD Comp'!AE160)/2,"")</f>
        <v/>
      </c>
      <c r="G160" s="311" t="str">
        <f>IF(C160=1,('BD Comp'!AP160+'BD Comp'!AQ160)/2,"")</f>
        <v/>
      </c>
      <c r="H160" s="311" t="str">
        <f>IF(C160=1,('BD Comp'!F160+'BD Comp'!G160)/2,"")</f>
        <v/>
      </c>
      <c r="I160" s="311" t="str">
        <f>IF(C160=1,('BD Comp'!I160+'BD Comp'!J160)/2,"")</f>
        <v/>
      </c>
      <c r="J160" s="311" t="str">
        <f>IF(C160=1,('BD Comp'!L160+'BD Comp'!M160)/2,"")</f>
        <v/>
      </c>
      <c r="K160" s="311" t="str">
        <f>IF(C160=1,('BD Comp'!O160+'BD Comp'!P160)/2,"")</f>
        <v/>
      </c>
      <c r="L160" s="311" t="str">
        <f>IF(C160=1,('BD Comp'!R160+'BD Comp'!S160)/2,"")</f>
        <v/>
      </c>
      <c r="M160" s="311" t="str">
        <f>IF(C160=1,('BD Comp'!AA160+'BD Comp'!AB160)/2,"")</f>
        <v/>
      </c>
      <c r="N160" s="311" t="str">
        <f>IF(C160=1,('BD Comp'!AJ160+'BD Comp'!AK160)/2,"")</f>
        <v/>
      </c>
      <c r="O160" s="312"/>
      <c r="P160" s="311" t="str">
        <f t="shared" si="1"/>
        <v/>
      </c>
      <c r="Q160" s="95"/>
    </row>
    <row r="161" spans="1:17" ht="14.5" hidden="1">
      <c r="A161" s="7" t="s">
        <v>682</v>
      </c>
      <c r="B161" s="7" t="s">
        <v>683</v>
      </c>
      <c r="C161" s="44"/>
      <c r="D161" s="44" t="str">
        <f t="shared" si="0"/>
        <v>C002196</v>
      </c>
      <c r="E161" s="311" t="str">
        <f>IF(C161=1,('BD Comp'!X161+'BD Comp'!Y161)/2,"")</f>
        <v/>
      </c>
      <c r="F161" s="311" t="str">
        <f>IF(C161=1,('BD Comp'!AD161+'BD Comp'!AE161)/2,"")</f>
        <v/>
      </c>
      <c r="G161" s="311" t="str">
        <f>IF(C161=1,('BD Comp'!AP161+'BD Comp'!AQ161)/2,"")</f>
        <v/>
      </c>
      <c r="H161" s="311" t="str">
        <f>IF(C161=1,('BD Comp'!F161+'BD Comp'!G161)/2,"")</f>
        <v/>
      </c>
      <c r="I161" s="311" t="str">
        <f>IF(C161=1,('BD Comp'!I161+'BD Comp'!J161)/2,"")</f>
        <v/>
      </c>
      <c r="J161" s="311" t="str">
        <f>IF(C161=1,('BD Comp'!L161+'BD Comp'!M161)/2,"")</f>
        <v/>
      </c>
      <c r="K161" s="311" t="str">
        <f>IF(C161=1,('BD Comp'!O161+'BD Comp'!P161)/2,"")</f>
        <v/>
      </c>
      <c r="L161" s="311" t="str">
        <f>IF(C161=1,('BD Comp'!R161+'BD Comp'!S161)/2,"")</f>
        <v/>
      </c>
      <c r="M161" s="311" t="str">
        <f>IF(C161=1,('BD Comp'!AA161+'BD Comp'!AB161)/2,"")</f>
        <v/>
      </c>
      <c r="N161" s="311" t="str">
        <f>IF(C161=1,('BD Comp'!AJ161+'BD Comp'!AK161)/2,"")</f>
        <v/>
      </c>
      <c r="O161" s="312"/>
      <c r="P161" s="311" t="str">
        <f t="shared" si="1"/>
        <v/>
      </c>
      <c r="Q161" s="95"/>
    </row>
    <row r="162" spans="1:17" ht="14.5" hidden="1">
      <c r="A162" s="7" t="s">
        <v>685</v>
      </c>
      <c r="B162" s="7" t="s">
        <v>686</v>
      </c>
      <c r="C162" s="44"/>
      <c r="D162" s="44" t="str">
        <f t="shared" si="0"/>
        <v>C002308</v>
      </c>
      <c r="E162" s="311" t="str">
        <f>IF(C162=1,('BD Comp'!X162+'BD Comp'!Y162)/2,"")</f>
        <v/>
      </c>
      <c r="F162" s="311" t="str">
        <f>IF(C162=1,('BD Comp'!AD162+'BD Comp'!AE162)/2,"")</f>
        <v/>
      </c>
      <c r="G162" s="311" t="str">
        <f>IF(C162=1,('BD Comp'!AP162+'BD Comp'!AQ162)/2,"")</f>
        <v/>
      </c>
      <c r="H162" s="311" t="str">
        <f>IF(C162=1,('BD Comp'!F162+'BD Comp'!G162)/2,"")</f>
        <v/>
      </c>
      <c r="I162" s="311" t="str">
        <f>IF(C162=1,('BD Comp'!I162+'BD Comp'!J162)/2,"")</f>
        <v/>
      </c>
      <c r="J162" s="311" t="str">
        <f>IF(C162=1,('BD Comp'!L162+'BD Comp'!M162)/2,"")</f>
        <v/>
      </c>
      <c r="K162" s="311" t="str">
        <f>IF(C162=1,('BD Comp'!O162+'BD Comp'!P162)/2,"")</f>
        <v/>
      </c>
      <c r="L162" s="311" t="str">
        <f>IF(C162=1,('BD Comp'!R162+'BD Comp'!S162)/2,"")</f>
        <v/>
      </c>
      <c r="M162" s="311" t="str">
        <f>IF(C162=1,('BD Comp'!AA162+'BD Comp'!AB162)/2,"")</f>
        <v/>
      </c>
      <c r="N162" s="311" t="str">
        <f>IF(C162=1,('BD Comp'!AJ162+'BD Comp'!AK162)/2,"")</f>
        <v/>
      </c>
      <c r="O162" s="312"/>
      <c r="P162" s="311" t="str">
        <f t="shared" si="1"/>
        <v/>
      </c>
      <c r="Q162" s="95"/>
    </row>
    <row r="163" spans="1:17" ht="14.5" hidden="1">
      <c r="A163" s="7" t="s">
        <v>688</v>
      </c>
      <c r="B163" s="7" t="s">
        <v>689</v>
      </c>
      <c r="C163" s="44"/>
      <c r="D163" s="44" t="str">
        <f t="shared" si="0"/>
        <v>C002335</v>
      </c>
      <c r="E163" s="311" t="str">
        <f>IF(C163=1,('BD Comp'!X163+'BD Comp'!Y163)/2,"")</f>
        <v/>
      </c>
      <c r="F163" s="311" t="str">
        <f>IF(C163=1,('BD Comp'!AD163+'BD Comp'!AE163)/2,"")</f>
        <v/>
      </c>
      <c r="G163" s="311" t="str">
        <f>IF(C163=1,('BD Comp'!AP163+'BD Comp'!AQ163)/2,"")</f>
        <v/>
      </c>
      <c r="H163" s="311" t="str">
        <f>IF(C163=1,('BD Comp'!F163+'BD Comp'!G163)/2,"")</f>
        <v/>
      </c>
      <c r="I163" s="311" t="str">
        <f>IF(C163=1,('BD Comp'!I163+'BD Comp'!J163)/2,"")</f>
        <v/>
      </c>
      <c r="J163" s="311" t="str">
        <f>IF(C163=1,('BD Comp'!L163+'BD Comp'!M163)/2,"")</f>
        <v/>
      </c>
      <c r="K163" s="311" t="str">
        <f>IF(C163=1,('BD Comp'!O163+'BD Comp'!P163)/2,"")</f>
        <v/>
      </c>
      <c r="L163" s="311" t="str">
        <f>IF(C163=1,('BD Comp'!R163+'BD Comp'!S163)/2,"")</f>
        <v/>
      </c>
      <c r="M163" s="311" t="str">
        <f>IF(C163=1,('BD Comp'!AA163+'BD Comp'!AB163)/2,"")</f>
        <v/>
      </c>
      <c r="N163" s="311" t="str">
        <f>IF(C163=1,('BD Comp'!AJ163+'BD Comp'!AK163)/2,"")</f>
        <v/>
      </c>
      <c r="O163" s="312"/>
      <c r="P163" s="311" t="str">
        <f t="shared" si="1"/>
        <v/>
      </c>
      <c r="Q163" s="95"/>
    </row>
    <row r="164" spans="1:17" ht="14.5" hidden="1">
      <c r="A164" s="7" t="s">
        <v>691</v>
      </c>
      <c r="B164" s="7" t="s">
        <v>692</v>
      </c>
      <c r="C164" s="44"/>
      <c r="D164" s="44" t="str">
        <f t="shared" si="0"/>
        <v>C002336</v>
      </c>
      <c r="E164" s="311" t="str">
        <f>IF(C164=1,('BD Comp'!X164+'BD Comp'!Y164)/2,"")</f>
        <v/>
      </c>
      <c r="F164" s="311" t="str">
        <f>IF(C164=1,('BD Comp'!AD164+'BD Comp'!AE164)/2,"")</f>
        <v/>
      </c>
      <c r="G164" s="311" t="str">
        <f>IF(C164=1,('BD Comp'!AP164+'BD Comp'!AQ164)/2,"")</f>
        <v/>
      </c>
      <c r="H164" s="311" t="str">
        <f>IF(C164=1,('BD Comp'!F164+'BD Comp'!G164)/2,"")</f>
        <v/>
      </c>
      <c r="I164" s="311" t="str">
        <f>IF(C164=1,('BD Comp'!I164+'BD Comp'!J164)/2,"")</f>
        <v/>
      </c>
      <c r="J164" s="311" t="str">
        <f>IF(C164=1,('BD Comp'!L164+'BD Comp'!M164)/2,"")</f>
        <v/>
      </c>
      <c r="K164" s="311" t="str">
        <f>IF(C164=1,('BD Comp'!O164+'BD Comp'!P164)/2,"")</f>
        <v/>
      </c>
      <c r="L164" s="311" t="str">
        <f>IF(C164=1,('BD Comp'!R164+'BD Comp'!S164)/2,"")</f>
        <v/>
      </c>
      <c r="M164" s="311" t="str">
        <f>IF(C164=1,('BD Comp'!AA164+'BD Comp'!AB164)/2,"")</f>
        <v/>
      </c>
      <c r="N164" s="311" t="str">
        <f>IF(C164=1,('BD Comp'!AJ164+'BD Comp'!AK164)/2,"")</f>
        <v/>
      </c>
      <c r="O164" s="312"/>
      <c r="P164" s="311" t="str">
        <f t="shared" si="1"/>
        <v/>
      </c>
      <c r="Q164" s="95"/>
    </row>
    <row r="165" spans="1:17" ht="14.5" hidden="1">
      <c r="A165" s="7" t="s">
        <v>694</v>
      </c>
      <c r="B165" s="7" t="s">
        <v>695</v>
      </c>
      <c r="C165" s="44"/>
      <c r="D165" s="44" t="str">
        <f t="shared" si="0"/>
        <v>C002446</v>
      </c>
      <c r="E165" s="311" t="str">
        <f>IF(C165=1,('BD Comp'!X165+'BD Comp'!Y165)/2,"")</f>
        <v/>
      </c>
      <c r="F165" s="311" t="str">
        <f>IF(C165=1,('BD Comp'!AD165+'BD Comp'!AE165)/2,"")</f>
        <v/>
      </c>
      <c r="G165" s="311" t="str">
        <f>IF(C165=1,('BD Comp'!AP165+'BD Comp'!AQ165)/2,"")</f>
        <v/>
      </c>
      <c r="H165" s="311" t="str">
        <f>IF(C165=1,('BD Comp'!F165+'BD Comp'!G165)/2,"")</f>
        <v/>
      </c>
      <c r="I165" s="311" t="str">
        <f>IF(C165=1,('BD Comp'!I165+'BD Comp'!J165)/2,"")</f>
        <v/>
      </c>
      <c r="J165" s="311" t="str">
        <f>IF(C165=1,('BD Comp'!L165+'BD Comp'!M165)/2,"")</f>
        <v/>
      </c>
      <c r="K165" s="311" t="str">
        <f>IF(C165=1,('BD Comp'!O165+'BD Comp'!P165)/2,"")</f>
        <v/>
      </c>
      <c r="L165" s="311" t="str">
        <f>IF(C165=1,('BD Comp'!R165+'BD Comp'!S165)/2,"")</f>
        <v/>
      </c>
      <c r="M165" s="311" t="str">
        <f>IF(C165=1,('BD Comp'!AA165+'BD Comp'!AB165)/2,"")</f>
        <v/>
      </c>
      <c r="N165" s="311" t="str">
        <f>IF(C165=1,('BD Comp'!AJ165+'BD Comp'!AK165)/2,"")</f>
        <v/>
      </c>
      <c r="O165" s="312"/>
      <c r="P165" s="311" t="str">
        <f t="shared" si="1"/>
        <v/>
      </c>
      <c r="Q165" s="95"/>
    </row>
    <row r="166" spans="1:17" ht="14.5">
      <c r="A166" s="7" t="s">
        <v>697</v>
      </c>
      <c r="B166" s="7" t="s">
        <v>698</v>
      </c>
      <c r="C166" s="44">
        <v>1</v>
      </c>
      <c r="D166" s="44" t="str">
        <f t="shared" si="0"/>
        <v>C002498</v>
      </c>
      <c r="E166" s="311">
        <f>IF(C166=1,('BD Comp'!X166+'BD Comp'!Y166)/2,"")</f>
        <v>163345.5</v>
      </c>
      <c r="F166" s="311">
        <f>IF(C166=1,('BD Comp'!AD166+'BD Comp'!AE166)/2,"")</f>
        <v>3174978</v>
      </c>
      <c r="G166" s="311">
        <f>IF(C166=1,('BD Comp'!AP166+'BD Comp'!AQ166)/2,"")</f>
        <v>165926.5</v>
      </c>
      <c r="H166" s="311">
        <f>IF(C166=1,('BD Comp'!F166+'BD Comp'!G166)/2,"")</f>
        <v>837572723.80053782</v>
      </c>
      <c r="I166" s="311">
        <f>IF(C166=1,('BD Comp'!I166+'BD Comp'!J166)/2,"")</f>
        <v>45190087.804404736</v>
      </c>
      <c r="J166" s="311">
        <f>IF(C166=1,('BD Comp'!L166+'BD Comp'!M166)/2,"")</f>
        <v>15854169.913463905</v>
      </c>
      <c r="K166" s="311">
        <f>IF(C166=1,('BD Comp'!O166+'BD Comp'!P166)/2,"")</f>
        <v>21584372.250365399</v>
      </c>
      <c r="L166" s="311">
        <f>IF(C166=1,('BD Comp'!R166+'BD Comp'!S166)/2,"")</f>
        <v>12148364.181117985</v>
      </c>
      <c r="M166" s="311">
        <f>IF(C166=1,('BD Comp'!AA166+'BD Comp'!AB166)/2,"")</f>
        <v>98461.5</v>
      </c>
      <c r="N166" s="311">
        <f>IF(C166=1,('BD Comp'!AJ166+'BD Comp'!AK166)/2,"")</f>
        <v>3741957.2879999997</v>
      </c>
      <c r="O166" s="312">
        <v>1</v>
      </c>
      <c r="P166" s="311">
        <f t="shared" si="1"/>
        <v>1</v>
      </c>
      <c r="Q166" s="95"/>
    </row>
    <row r="167" spans="1:17" ht="14.5" hidden="1">
      <c r="A167" s="7" t="s">
        <v>700</v>
      </c>
      <c r="B167" s="7" t="s">
        <v>701</v>
      </c>
      <c r="C167" s="44"/>
      <c r="D167" s="44" t="str">
        <f t="shared" si="0"/>
        <v>C002525</v>
      </c>
      <c r="E167" s="311" t="str">
        <f>IF(C167=1,('BD Comp'!X167+'BD Comp'!Y167)/2,"")</f>
        <v/>
      </c>
      <c r="F167" s="311" t="str">
        <f>IF(C167=1,('BD Comp'!AD167+'BD Comp'!AE167)/2,"")</f>
        <v/>
      </c>
      <c r="G167" s="311" t="str">
        <f>IF(C167=1,('BD Comp'!AP167+'BD Comp'!AQ167)/2,"")</f>
        <v/>
      </c>
      <c r="H167" s="311" t="str">
        <f>IF(C167=1,('BD Comp'!F167+'BD Comp'!G167)/2,"")</f>
        <v/>
      </c>
      <c r="I167" s="311" t="str">
        <f>IF(C167=1,('BD Comp'!I167+'BD Comp'!J167)/2,"")</f>
        <v/>
      </c>
      <c r="J167" s="311" t="str">
        <f>IF(C167=1,('BD Comp'!L167+'BD Comp'!M167)/2,"")</f>
        <v/>
      </c>
      <c r="K167" s="311" t="str">
        <f>IF(C167=1,('BD Comp'!O167+'BD Comp'!P167)/2,"")</f>
        <v/>
      </c>
      <c r="L167" s="311" t="str">
        <f>IF(C167=1,('BD Comp'!R167+'BD Comp'!S167)/2,"")</f>
        <v/>
      </c>
      <c r="M167" s="311" t="str">
        <f>IF(C167=1,('BD Comp'!AA167+'BD Comp'!AB167)/2,"")</f>
        <v/>
      </c>
      <c r="N167" s="311" t="str">
        <f>IF(C167=1,('BD Comp'!AJ167+'BD Comp'!AK167)/2,"")</f>
        <v/>
      </c>
      <c r="O167" s="312"/>
      <c r="P167" s="311" t="str">
        <f t="shared" si="1"/>
        <v/>
      </c>
      <c r="Q167" s="95"/>
    </row>
    <row r="168" spans="1:17" ht="14.5" hidden="1">
      <c r="A168" s="7" t="s">
        <v>703</v>
      </c>
      <c r="B168" s="7" t="s">
        <v>704</v>
      </c>
      <c r="C168" s="44"/>
      <c r="D168" s="44" t="str">
        <f t="shared" si="0"/>
        <v>C002827</v>
      </c>
      <c r="E168" s="311" t="str">
        <f>IF(C168=1,('BD Comp'!X168+'BD Comp'!Y168)/2,"")</f>
        <v/>
      </c>
      <c r="F168" s="311" t="str">
        <f>IF(C168=1,('BD Comp'!AD168+'BD Comp'!AE168)/2,"")</f>
        <v/>
      </c>
      <c r="G168" s="311" t="str">
        <f>IF(C168=1,('BD Comp'!AP168+'BD Comp'!AQ168)/2,"")</f>
        <v/>
      </c>
      <c r="H168" s="311" t="str">
        <f>IF(C168=1,('BD Comp'!F168+'BD Comp'!G168)/2,"")</f>
        <v/>
      </c>
      <c r="I168" s="311" t="str">
        <f>IF(C168=1,('BD Comp'!I168+'BD Comp'!J168)/2,"")</f>
        <v/>
      </c>
      <c r="J168" s="311" t="str">
        <f>IF(C168=1,('BD Comp'!L168+'BD Comp'!M168)/2,"")</f>
        <v/>
      </c>
      <c r="K168" s="311" t="str">
        <f>IF(C168=1,('BD Comp'!O168+'BD Comp'!P168)/2,"")</f>
        <v/>
      </c>
      <c r="L168" s="311" t="str">
        <f>IF(C168=1,('BD Comp'!R168+'BD Comp'!S168)/2,"")</f>
        <v/>
      </c>
      <c r="M168" s="311" t="str">
        <f>IF(C168=1,('BD Comp'!AA168+'BD Comp'!AB168)/2,"")</f>
        <v/>
      </c>
      <c r="N168" s="311" t="str">
        <f>IF(C168=1,('BD Comp'!AJ168+'BD Comp'!AK168)/2,"")</f>
        <v/>
      </c>
      <c r="O168" s="312"/>
      <c r="P168" s="311" t="str">
        <f t="shared" si="1"/>
        <v/>
      </c>
      <c r="Q168" s="95"/>
    </row>
    <row r="169" spans="1:17" ht="14.5" hidden="1">
      <c r="A169" s="7" t="s">
        <v>706</v>
      </c>
      <c r="B169" s="7" t="s">
        <v>707</v>
      </c>
      <c r="C169" s="44"/>
      <c r="D169" s="44" t="str">
        <f t="shared" si="0"/>
        <v>C002854</v>
      </c>
      <c r="E169" s="311" t="str">
        <f>IF(C169=1,('BD Comp'!X169+'BD Comp'!Y169)/2,"")</f>
        <v/>
      </c>
      <c r="F169" s="311" t="str">
        <f>IF(C169=1,('BD Comp'!AD169+'BD Comp'!AE169)/2,"")</f>
        <v/>
      </c>
      <c r="G169" s="311" t="str">
        <f>IF(C169=1,('BD Comp'!AP169+'BD Comp'!AQ169)/2,"")</f>
        <v/>
      </c>
      <c r="H169" s="311" t="str">
        <f>IF(C169=1,('BD Comp'!F169+'BD Comp'!G169)/2,"")</f>
        <v/>
      </c>
      <c r="I169" s="311" t="str">
        <f>IF(C169=1,('BD Comp'!I169+'BD Comp'!J169)/2,"")</f>
        <v/>
      </c>
      <c r="J169" s="311" t="str">
        <f>IF(C169=1,('BD Comp'!L169+'BD Comp'!M169)/2,"")</f>
        <v/>
      </c>
      <c r="K169" s="311" t="str">
        <f>IF(C169=1,('BD Comp'!O169+'BD Comp'!P169)/2,"")</f>
        <v/>
      </c>
      <c r="L169" s="311" t="str">
        <f>IF(C169=1,('BD Comp'!R169+'BD Comp'!S169)/2,"")</f>
        <v/>
      </c>
      <c r="M169" s="311" t="str">
        <f>IF(C169=1,('BD Comp'!AA169+'BD Comp'!AB169)/2,"")</f>
        <v/>
      </c>
      <c r="N169" s="311" t="str">
        <f>IF(C169=1,('BD Comp'!AJ169+'BD Comp'!AK169)/2,"")</f>
        <v/>
      </c>
      <c r="O169" s="312"/>
      <c r="P169" s="311" t="str">
        <f t="shared" si="1"/>
        <v/>
      </c>
      <c r="Q169" s="95"/>
    </row>
    <row r="170" spans="1:17" ht="14.5" hidden="1">
      <c r="A170" s="7" t="s">
        <v>709</v>
      </c>
      <c r="B170" s="7" t="s">
        <v>710</v>
      </c>
      <c r="C170" s="44"/>
      <c r="D170" s="44" t="str">
        <f t="shared" si="0"/>
        <v>C003138</v>
      </c>
      <c r="E170" s="311" t="str">
        <f>IF(C170=1,('BD Comp'!X170+'BD Comp'!Y170)/2,"")</f>
        <v/>
      </c>
      <c r="F170" s="311" t="str">
        <f>IF(C170=1,('BD Comp'!AD170+'BD Comp'!AE170)/2,"")</f>
        <v/>
      </c>
      <c r="G170" s="311" t="str">
        <f>IF(C170=1,('BD Comp'!AP170+'BD Comp'!AQ170)/2,"")</f>
        <v/>
      </c>
      <c r="H170" s="311" t="str">
        <f>IF(C170=1,('BD Comp'!F170+'BD Comp'!G170)/2,"")</f>
        <v/>
      </c>
      <c r="I170" s="311" t="str">
        <f>IF(C170=1,('BD Comp'!I170+'BD Comp'!J170)/2,"")</f>
        <v/>
      </c>
      <c r="J170" s="311" t="str">
        <f>IF(C170=1,('BD Comp'!L170+'BD Comp'!M170)/2,"")</f>
        <v/>
      </c>
      <c r="K170" s="311" t="str">
        <f>IF(C170=1,('BD Comp'!O170+'BD Comp'!P170)/2,"")</f>
        <v/>
      </c>
      <c r="L170" s="311" t="str">
        <f>IF(C170=1,('BD Comp'!R170+'BD Comp'!S170)/2,"")</f>
        <v/>
      </c>
      <c r="M170" s="311" t="str">
        <f>IF(C170=1,('BD Comp'!AA170+'BD Comp'!AB170)/2,"")</f>
        <v/>
      </c>
      <c r="N170" s="311" t="str">
        <f>IF(C170=1,('BD Comp'!AJ170+'BD Comp'!AK170)/2,"")</f>
        <v/>
      </c>
      <c r="O170" s="312"/>
      <c r="P170" s="311" t="str">
        <f t="shared" si="1"/>
        <v/>
      </c>
      <c r="Q170" s="95"/>
    </row>
    <row r="171" spans="1:17" ht="14.5" hidden="1">
      <c r="A171" s="7" t="s">
        <v>712</v>
      </c>
      <c r="B171" s="7" t="s">
        <v>713</v>
      </c>
      <c r="C171" s="44"/>
      <c r="D171" s="44" t="str">
        <f t="shared" si="0"/>
        <v>C003184</v>
      </c>
      <c r="E171" s="311" t="str">
        <f>IF(C171=1,('BD Comp'!X171+'BD Comp'!Y171)/2,"")</f>
        <v/>
      </c>
      <c r="F171" s="311" t="str">
        <f>IF(C171=1,('BD Comp'!AD171+'BD Comp'!AE171)/2,"")</f>
        <v/>
      </c>
      <c r="G171" s="311" t="str">
        <f>IF(C171=1,('BD Comp'!AP171+'BD Comp'!AQ171)/2,"")</f>
        <v/>
      </c>
      <c r="H171" s="311" t="str">
        <f>IF(C171=1,('BD Comp'!F171+'BD Comp'!G171)/2,"")</f>
        <v/>
      </c>
      <c r="I171" s="311" t="str">
        <f>IF(C171=1,('BD Comp'!I171+'BD Comp'!J171)/2,"")</f>
        <v/>
      </c>
      <c r="J171" s="311" t="str">
        <f>IF(C171=1,('BD Comp'!L171+'BD Comp'!M171)/2,"")</f>
        <v/>
      </c>
      <c r="K171" s="311" t="str">
        <f>IF(C171=1,('BD Comp'!O171+'BD Comp'!P171)/2,"")</f>
        <v/>
      </c>
      <c r="L171" s="311" t="str">
        <f>IF(C171=1,('BD Comp'!R171+'BD Comp'!S171)/2,"")</f>
        <v/>
      </c>
      <c r="M171" s="311" t="str">
        <f>IF(C171=1,('BD Comp'!AA171+'BD Comp'!AB171)/2,"")</f>
        <v/>
      </c>
      <c r="N171" s="311" t="str">
        <f>IF(C171=1,('BD Comp'!AJ171+'BD Comp'!AK171)/2,"")</f>
        <v/>
      </c>
      <c r="O171" s="312"/>
      <c r="P171" s="311" t="str">
        <f t="shared" si="1"/>
        <v/>
      </c>
      <c r="Q171" s="95"/>
    </row>
    <row r="172" spans="1:17" ht="14.5" hidden="1">
      <c r="A172" s="7" t="s">
        <v>715</v>
      </c>
      <c r="B172" s="7" t="s">
        <v>716</v>
      </c>
      <c r="C172" s="44"/>
      <c r="D172" s="44" t="str">
        <f t="shared" si="0"/>
        <v>C003194</v>
      </c>
      <c r="E172" s="311" t="str">
        <f>IF(C172=1,('BD Comp'!X172+'BD Comp'!Y172)/2,"")</f>
        <v/>
      </c>
      <c r="F172" s="311" t="str">
        <f>IF(C172=1,('BD Comp'!AD172+'BD Comp'!AE172)/2,"")</f>
        <v/>
      </c>
      <c r="G172" s="311" t="str">
        <f>IF(C172=1,('BD Comp'!AP172+'BD Comp'!AQ172)/2,"")</f>
        <v/>
      </c>
      <c r="H172" s="311" t="str">
        <f>IF(C172=1,('BD Comp'!F172+'BD Comp'!G172)/2,"")</f>
        <v/>
      </c>
      <c r="I172" s="311" t="str">
        <f>IF(C172=1,('BD Comp'!I172+'BD Comp'!J172)/2,"")</f>
        <v/>
      </c>
      <c r="J172" s="311" t="str">
        <f>IF(C172=1,('BD Comp'!L172+'BD Comp'!M172)/2,"")</f>
        <v/>
      </c>
      <c r="K172" s="311" t="str">
        <f>IF(C172=1,('BD Comp'!O172+'BD Comp'!P172)/2,"")</f>
        <v/>
      </c>
      <c r="L172" s="311" t="str">
        <f>IF(C172=1,('BD Comp'!R172+'BD Comp'!S172)/2,"")</f>
        <v/>
      </c>
      <c r="M172" s="311" t="str">
        <f>IF(C172=1,('BD Comp'!AA172+'BD Comp'!AB172)/2,"")</f>
        <v/>
      </c>
      <c r="N172" s="311" t="str">
        <f>IF(C172=1,('BD Comp'!AJ172+'BD Comp'!AK172)/2,"")</f>
        <v/>
      </c>
      <c r="O172" s="312"/>
      <c r="P172" s="311" t="str">
        <f t="shared" si="1"/>
        <v/>
      </c>
      <c r="Q172" s="95"/>
    </row>
    <row r="173" spans="1:17" ht="14.5" hidden="1">
      <c r="A173" s="7" t="s">
        <v>718</v>
      </c>
      <c r="B173" s="7" t="s">
        <v>719</v>
      </c>
      <c r="C173" s="44"/>
      <c r="D173" s="44" t="str">
        <f t="shared" si="0"/>
        <v>C003435</v>
      </c>
      <c r="E173" s="311" t="str">
        <f>IF(C173=1,('BD Comp'!X173+'BD Comp'!Y173)/2,"")</f>
        <v/>
      </c>
      <c r="F173" s="311" t="str">
        <f>IF(C173=1,('BD Comp'!AD173+'BD Comp'!AE173)/2,"")</f>
        <v/>
      </c>
      <c r="G173" s="311" t="str">
        <f>IF(C173=1,('BD Comp'!AP173+'BD Comp'!AQ173)/2,"")</f>
        <v/>
      </c>
      <c r="H173" s="311" t="str">
        <f>IF(C173=1,('BD Comp'!F173+'BD Comp'!G173)/2,"")</f>
        <v/>
      </c>
      <c r="I173" s="311" t="str">
        <f>IF(C173=1,('BD Comp'!I173+'BD Comp'!J173)/2,"")</f>
        <v/>
      </c>
      <c r="J173" s="311" t="str">
        <f>IF(C173=1,('BD Comp'!L173+'BD Comp'!M173)/2,"")</f>
        <v/>
      </c>
      <c r="K173" s="311" t="str">
        <f>IF(C173=1,('BD Comp'!O173+'BD Comp'!P173)/2,"")</f>
        <v/>
      </c>
      <c r="L173" s="311" t="str">
        <f>IF(C173=1,('BD Comp'!R173+'BD Comp'!S173)/2,"")</f>
        <v/>
      </c>
      <c r="M173" s="311" t="str">
        <f>IF(C173=1,('BD Comp'!AA173+'BD Comp'!AB173)/2,"")</f>
        <v/>
      </c>
      <c r="N173" s="311" t="str">
        <f>IF(C173=1,('BD Comp'!AJ173+'BD Comp'!AK173)/2,"")</f>
        <v/>
      </c>
      <c r="O173" s="312"/>
      <c r="P173" s="311" t="str">
        <f t="shared" si="1"/>
        <v/>
      </c>
      <c r="Q173" s="95"/>
    </row>
    <row r="174" spans="1:17" ht="14.5" hidden="1">
      <c r="A174" s="7" t="s">
        <v>721</v>
      </c>
      <c r="B174" s="7" t="s">
        <v>722</v>
      </c>
      <c r="C174" s="44"/>
      <c r="D174" s="44" t="str">
        <f t="shared" si="0"/>
        <v>C003483</v>
      </c>
      <c r="E174" s="311" t="str">
        <f>IF(C174=1,('BD Comp'!X174+'BD Comp'!Y174)/2,"")</f>
        <v/>
      </c>
      <c r="F174" s="311" t="str">
        <f>IF(C174=1,('BD Comp'!AD174+'BD Comp'!AE174)/2,"")</f>
        <v/>
      </c>
      <c r="G174" s="311" t="str">
        <f>IF(C174=1,('BD Comp'!AP174+'BD Comp'!AQ174)/2,"")</f>
        <v/>
      </c>
      <c r="H174" s="311" t="str">
        <f>IF(C174=1,('BD Comp'!F174+'BD Comp'!G174)/2,"")</f>
        <v/>
      </c>
      <c r="I174" s="311" t="str">
        <f>IF(C174=1,('BD Comp'!I174+'BD Comp'!J174)/2,"")</f>
        <v/>
      </c>
      <c r="J174" s="311" t="str">
        <f>IF(C174=1,('BD Comp'!L174+'BD Comp'!M174)/2,"")</f>
        <v/>
      </c>
      <c r="K174" s="311" t="str">
        <f>IF(C174=1,('BD Comp'!O174+'BD Comp'!P174)/2,"")</f>
        <v/>
      </c>
      <c r="L174" s="311" t="str">
        <f>IF(C174=1,('BD Comp'!R174+'BD Comp'!S174)/2,"")</f>
        <v/>
      </c>
      <c r="M174" s="311" t="str">
        <f>IF(C174=1,('BD Comp'!AA174+'BD Comp'!AB174)/2,"")</f>
        <v/>
      </c>
      <c r="N174" s="311" t="str">
        <f>IF(C174=1,('BD Comp'!AJ174+'BD Comp'!AK174)/2,"")</f>
        <v/>
      </c>
      <c r="O174" s="312"/>
      <c r="P174" s="311" t="str">
        <f t="shared" si="1"/>
        <v/>
      </c>
      <c r="Q174" s="95"/>
    </row>
    <row r="175" spans="1:17" ht="14.5" hidden="1">
      <c r="A175" s="7" t="s">
        <v>724</v>
      </c>
      <c r="B175" s="7" t="s">
        <v>725</v>
      </c>
      <c r="C175" s="44"/>
      <c r="D175" s="44" t="str">
        <f t="shared" si="0"/>
        <v>C003646</v>
      </c>
      <c r="E175" s="311" t="str">
        <f>IF(C175=1,('BD Comp'!X175+'BD Comp'!Y175)/2,"")</f>
        <v/>
      </c>
      <c r="F175" s="311" t="str">
        <f>IF(C175=1,('BD Comp'!AD175+'BD Comp'!AE175)/2,"")</f>
        <v/>
      </c>
      <c r="G175" s="311" t="str">
        <f>IF(C175=1,('BD Comp'!AP175+'BD Comp'!AQ175)/2,"")</f>
        <v/>
      </c>
      <c r="H175" s="311" t="str">
        <f>IF(C175=1,('BD Comp'!F175+'BD Comp'!G175)/2,"")</f>
        <v/>
      </c>
      <c r="I175" s="311" t="str">
        <f>IF(C175=1,('BD Comp'!I175+'BD Comp'!J175)/2,"")</f>
        <v/>
      </c>
      <c r="J175" s="311" t="str">
        <f>IF(C175=1,('BD Comp'!L175+'BD Comp'!M175)/2,"")</f>
        <v/>
      </c>
      <c r="K175" s="311" t="str">
        <f>IF(C175=1,('BD Comp'!O175+'BD Comp'!P175)/2,"")</f>
        <v/>
      </c>
      <c r="L175" s="311" t="str">
        <f>IF(C175=1,('BD Comp'!R175+'BD Comp'!S175)/2,"")</f>
        <v/>
      </c>
      <c r="M175" s="311" t="str">
        <f>IF(C175=1,('BD Comp'!AA175+'BD Comp'!AB175)/2,"")</f>
        <v/>
      </c>
      <c r="N175" s="311" t="str">
        <f>IF(C175=1,('BD Comp'!AJ175+'BD Comp'!AK175)/2,"")</f>
        <v/>
      </c>
      <c r="O175" s="312"/>
      <c r="P175" s="311" t="str">
        <f t="shared" si="1"/>
        <v/>
      </c>
      <c r="Q175" s="95"/>
    </row>
    <row r="176" spans="1:17" ht="14.5" hidden="1">
      <c r="A176" s="7" t="s">
        <v>727</v>
      </c>
      <c r="B176" s="7" t="s">
        <v>728</v>
      </c>
      <c r="C176" s="44"/>
      <c r="D176" s="44" t="str">
        <f t="shared" si="0"/>
        <v>C003713</v>
      </c>
      <c r="E176" s="311" t="str">
        <f>IF(C176=1,('BD Comp'!X176+'BD Comp'!Y176)/2,"")</f>
        <v/>
      </c>
      <c r="F176" s="311" t="str">
        <f>IF(C176=1,('BD Comp'!AD176+'BD Comp'!AE176)/2,"")</f>
        <v/>
      </c>
      <c r="G176" s="311" t="str">
        <f>IF(C176=1,('BD Comp'!AP176+'BD Comp'!AQ176)/2,"")</f>
        <v/>
      </c>
      <c r="H176" s="311" t="str">
        <f>IF(C176=1,('BD Comp'!F176+'BD Comp'!G176)/2,"")</f>
        <v/>
      </c>
      <c r="I176" s="311" t="str">
        <f>IF(C176=1,('BD Comp'!I176+'BD Comp'!J176)/2,"")</f>
        <v/>
      </c>
      <c r="J176" s="311" t="str">
        <f>IF(C176=1,('BD Comp'!L176+'BD Comp'!M176)/2,"")</f>
        <v/>
      </c>
      <c r="K176" s="311" t="str">
        <f>IF(C176=1,('BD Comp'!O176+'BD Comp'!P176)/2,"")</f>
        <v/>
      </c>
      <c r="L176" s="311" t="str">
        <f>IF(C176=1,('BD Comp'!R176+'BD Comp'!S176)/2,"")</f>
        <v/>
      </c>
      <c r="M176" s="311" t="str">
        <f>IF(C176=1,('BD Comp'!AA176+'BD Comp'!AB176)/2,"")</f>
        <v/>
      </c>
      <c r="N176" s="311" t="str">
        <f>IF(C176=1,('BD Comp'!AJ176+'BD Comp'!AK176)/2,"")</f>
        <v/>
      </c>
      <c r="O176" s="312"/>
      <c r="P176" s="311" t="str">
        <f t="shared" si="1"/>
        <v/>
      </c>
      <c r="Q176" s="95"/>
    </row>
    <row r="177" spans="1:17" ht="14.5" hidden="1">
      <c r="A177" s="7" t="s">
        <v>730</v>
      </c>
      <c r="B177" s="7" t="s">
        <v>731</v>
      </c>
      <c r="C177" s="44"/>
      <c r="D177" s="44" t="str">
        <f t="shared" si="0"/>
        <v>C003836</v>
      </c>
      <c r="E177" s="311" t="str">
        <f>IF(C177=1,('BD Comp'!X177+'BD Comp'!Y177)/2,"")</f>
        <v/>
      </c>
      <c r="F177" s="311" t="str">
        <f>IF(C177=1,('BD Comp'!AD177+'BD Comp'!AE177)/2,"")</f>
        <v/>
      </c>
      <c r="G177" s="311" t="str">
        <f>IF(C177=1,('BD Comp'!AP177+'BD Comp'!AQ177)/2,"")</f>
        <v/>
      </c>
      <c r="H177" s="311" t="str">
        <f>IF(C177=1,('BD Comp'!F177+'BD Comp'!G177)/2,"")</f>
        <v/>
      </c>
      <c r="I177" s="311" t="str">
        <f>IF(C177=1,('BD Comp'!I177+'BD Comp'!J177)/2,"")</f>
        <v/>
      </c>
      <c r="J177" s="311" t="str">
        <f>IF(C177=1,('BD Comp'!L177+'BD Comp'!M177)/2,"")</f>
        <v/>
      </c>
      <c r="K177" s="311" t="str">
        <f>IF(C177=1,('BD Comp'!O177+'BD Comp'!P177)/2,"")</f>
        <v/>
      </c>
      <c r="L177" s="311" t="str">
        <f>IF(C177=1,('BD Comp'!R177+'BD Comp'!S177)/2,"")</f>
        <v/>
      </c>
      <c r="M177" s="311" t="str">
        <f>IF(C177=1,('BD Comp'!AA177+'BD Comp'!AB177)/2,"")</f>
        <v/>
      </c>
      <c r="N177" s="311" t="str">
        <f>IF(C177=1,('BD Comp'!AJ177+'BD Comp'!AK177)/2,"")</f>
        <v/>
      </c>
      <c r="O177" s="312"/>
      <c r="P177" s="311" t="str">
        <f t="shared" si="1"/>
        <v/>
      </c>
      <c r="Q177" s="95"/>
    </row>
    <row r="178" spans="1:17" ht="14.5" hidden="1">
      <c r="A178" s="7" t="s">
        <v>733</v>
      </c>
      <c r="B178" s="7" t="s">
        <v>734</v>
      </c>
      <c r="C178" s="44"/>
      <c r="D178" s="44" t="str">
        <f t="shared" si="0"/>
        <v>C003849</v>
      </c>
      <c r="E178" s="311" t="str">
        <f>IF(C178=1,('BD Comp'!X178+'BD Comp'!Y178)/2,"")</f>
        <v/>
      </c>
      <c r="F178" s="311" t="str">
        <f>IF(C178=1,('BD Comp'!AD178+'BD Comp'!AE178)/2,"")</f>
        <v/>
      </c>
      <c r="G178" s="311" t="str">
        <f>IF(C178=1,('BD Comp'!AP178+'BD Comp'!AQ178)/2,"")</f>
        <v/>
      </c>
      <c r="H178" s="311" t="str">
        <f>IF(C178=1,('BD Comp'!F178+'BD Comp'!G178)/2,"")</f>
        <v/>
      </c>
      <c r="I178" s="311" t="str">
        <f>IF(C178=1,('BD Comp'!I178+'BD Comp'!J178)/2,"")</f>
        <v/>
      </c>
      <c r="J178" s="311" t="str">
        <f>IF(C178=1,('BD Comp'!L178+'BD Comp'!M178)/2,"")</f>
        <v/>
      </c>
      <c r="K178" s="311" t="str">
        <f>IF(C178=1,('BD Comp'!O178+'BD Comp'!P178)/2,"")</f>
        <v/>
      </c>
      <c r="L178" s="311" t="str">
        <f>IF(C178=1,('BD Comp'!R178+'BD Comp'!S178)/2,"")</f>
        <v/>
      </c>
      <c r="M178" s="311" t="str">
        <f>IF(C178=1,('BD Comp'!AA178+'BD Comp'!AB178)/2,"")</f>
        <v/>
      </c>
      <c r="N178" s="311" t="str">
        <f>IF(C178=1,('BD Comp'!AJ178+'BD Comp'!AK178)/2,"")</f>
        <v/>
      </c>
      <c r="O178" s="312"/>
      <c r="P178" s="311" t="str">
        <f t="shared" si="1"/>
        <v/>
      </c>
      <c r="Q178" s="95"/>
    </row>
    <row r="179" spans="1:17" ht="14.5" hidden="1">
      <c r="A179" s="7" t="s">
        <v>736</v>
      </c>
      <c r="B179" s="7" t="s">
        <v>737</v>
      </c>
      <c r="C179" s="44"/>
      <c r="D179" s="44" t="str">
        <f t="shared" si="0"/>
        <v>C003988</v>
      </c>
      <c r="E179" s="311" t="str">
        <f>IF(C179=1,('BD Comp'!X179+'BD Comp'!Y179)/2,"")</f>
        <v/>
      </c>
      <c r="F179" s="311" t="str">
        <f>IF(C179=1,('BD Comp'!AD179+'BD Comp'!AE179)/2,"")</f>
        <v/>
      </c>
      <c r="G179" s="311" t="str">
        <f>IF(C179=1,('BD Comp'!AP179+'BD Comp'!AQ179)/2,"")</f>
        <v/>
      </c>
      <c r="H179" s="311" t="str">
        <f>IF(C179=1,('BD Comp'!F179+'BD Comp'!G179)/2,"")</f>
        <v/>
      </c>
      <c r="I179" s="311" t="str">
        <f>IF(C179=1,('BD Comp'!I179+'BD Comp'!J179)/2,"")</f>
        <v/>
      </c>
      <c r="J179" s="311" t="str">
        <f>IF(C179=1,('BD Comp'!L179+'BD Comp'!M179)/2,"")</f>
        <v/>
      </c>
      <c r="K179" s="311" t="str">
        <f>IF(C179=1,('BD Comp'!O179+'BD Comp'!P179)/2,"")</f>
        <v/>
      </c>
      <c r="L179" s="311" t="str">
        <f>IF(C179=1,('BD Comp'!R179+'BD Comp'!S179)/2,"")</f>
        <v/>
      </c>
      <c r="M179" s="311" t="str">
        <f>IF(C179=1,('BD Comp'!AA179+'BD Comp'!AB179)/2,"")</f>
        <v/>
      </c>
      <c r="N179" s="311" t="str">
        <f>IF(C179=1,('BD Comp'!AJ179+'BD Comp'!AK179)/2,"")</f>
        <v/>
      </c>
      <c r="O179" s="312"/>
      <c r="P179" s="311" t="str">
        <f t="shared" si="1"/>
        <v/>
      </c>
      <c r="Q179" s="95"/>
    </row>
    <row r="180" spans="1:17" ht="14.5">
      <c r="A180" s="7" t="s">
        <v>739</v>
      </c>
      <c r="B180" s="7" t="s">
        <v>740</v>
      </c>
      <c r="C180" s="44">
        <v>1</v>
      </c>
      <c r="D180" s="44" t="str">
        <f t="shared" si="0"/>
        <v>C004044</v>
      </c>
      <c r="E180" s="311">
        <f>IF(C180=1,('BD Comp'!X180+'BD Comp'!Y180)/2,"")</f>
        <v>341451</v>
      </c>
      <c r="F180" s="311">
        <f>IF(C180=1,('BD Comp'!AD180+'BD Comp'!AE180)/2,"")</f>
        <v>9890479</v>
      </c>
      <c r="G180" s="311">
        <f>IF(C180=1,('BD Comp'!AP180+'BD Comp'!AQ180)/2,"")</f>
        <v>348726.5</v>
      </c>
      <c r="H180" s="311">
        <f>IF(C180=1,('BD Comp'!F180+'BD Comp'!G180)/2,"")</f>
        <v>2124924244.2942286</v>
      </c>
      <c r="I180" s="311">
        <f>IF(C180=1,('BD Comp'!I180+'BD Comp'!J180)/2,"")</f>
        <v>126409657.15283918</v>
      </c>
      <c r="J180" s="311">
        <f>IF(C180=1,('BD Comp'!L180+'BD Comp'!M180)/2,"")</f>
        <v>37426547.613581382</v>
      </c>
      <c r="K180" s="311">
        <f>IF(C180=1,('BD Comp'!O180+'BD Comp'!P180)/2,"")</f>
        <v>23627726.326683782</v>
      </c>
      <c r="L180" s="311">
        <f>IF(C180=1,('BD Comp'!R180+'BD Comp'!S180)/2,"")</f>
        <v>18218060.013661109</v>
      </c>
      <c r="M180" s="311">
        <f>IF(C180=1,('BD Comp'!AA180+'BD Comp'!AB180)/2,"")</f>
        <v>916104</v>
      </c>
      <c r="N180" s="311">
        <f>IF(C180=1,('BD Comp'!AJ180+'BD Comp'!AK180)/2,"")</f>
        <v>30941729.029999997</v>
      </c>
      <c r="O180" s="312">
        <v>0.89700000000000002</v>
      </c>
      <c r="P180" s="311" t="str">
        <f t="shared" si="1"/>
        <v/>
      </c>
      <c r="Q180" s="95"/>
    </row>
    <row r="181" spans="1:17" ht="14.5" hidden="1">
      <c r="A181" s="7" t="s">
        <v>1048</v>
      </c>
      <c r="B181" s="7" t="s">
        <v>1049</v>
      </c>
      <c r="C181" s="44"/>
      <c r="D181" s="44" t="str">
        <f t="shared" si="0"/>
        <v>C004679</v>
      </c>
      <c r="E181" s="311" t="str">
        <f>IF(C181=1,('BD Comp'!X181+'BD Comp'!Y181)/2,"")</f>
        <v/>
      </c>
      <c r="F181" s="311" t="str">
        <f>IF(C181=1,('BD Comp'!AD181+'BD Comp'!AE181)/2,"")</f>
        <v/>
      </c>
      <c r="G181" s="311" t="str">
        <f>IF(C181=1,('BD Comp'!AP181+'BD Comp'!AQ181)/2,"")</f>
        <v/>
      </c>
      <c r="H181" s="311" t="str">
        <f>IF(C181=1,('BD Comp'!F181+'BD Comp'!G181)/2,"")</f>
        <v/>
      </c>
      <c r="I181" s="311" t="str">
        <f>IF(C181=1,('BD Comp'!I181+'BD Comp'!J181)/2,"")</f>
        <v/>
      </c>
      <c r="J181" s="311" t="str">
        <f>IF(C181=1,('BD Comp'!L181+'BD Comp'!M181)/2,"")</f>
        <v/>
      </c>
      <c r="K181" s="311" t="str">
        <f>IF(C181=1,('BD Comp'!O181+'BD Comp'!P181)/2,"")</f>
        <v/>
      </c>
      <c r="L181" s="311" t="str">
        <f>IF(C181=1,('BD Comp'!R181+'BD Comp'!S181)/2,"")</f>
        <v/>
      </c>
      <c r="M181" s="311" t="str">
        <f>IF(C181=1,('BD Comp'!AA181+'BD Comp'!AB181)/2,"")</f>
        <v/>
      </c>
      <c r="N181" s="311" t="str">
        <f>IF(C181=1,('BD Comp'!AJ181+'BD Comp'!AK181)/2,"")</f>
        <v/>
      </c>
      <c r="O181" s="312"/>
      <c r="P181" s="311" t="str">
        <f t="shared" si="1"/>
        <v/>
      </c>
      <c r="Q181" s="95"/>
    </row>
    <row r="182" spans="1:17" ht="14.5" hidden="1">
      <c r="A182" s="7" t="s">
        <v>742</v>
      </c>
      <c r="B182" s="7" t="s">
        <v>743</v>
      </c>
      <c r="C182" s="44"/>
      <c r="D182" s="44" t="str">
        <f t="shared" si="0"/>
        <v>C004872</v>
      </c>
      <c r="E182" s="311" t="str">
        <f>IF(C182=1,('BD Comp'!X182+'BD Comp'!Y182)/2,"")</f>
        <v/>
      </c>
      <c r="F182" s="311" t="str">
        <f>IF(C182=1,('BD Comp'!AD182+'BD Comp'!AE182)/2,"")</f>
        <v/>
      </c>
      <c r="G182" s="311" t="str">
        <f>IF(C182=1,('BD Comp'!AP182+'BD Comp'!AQ182)/2,"")</f>
        <v/>
      </c>
      <c r="H182" s="311" t="str">
        <f>IF(C182=1,('BD Comp'!F182+'BD Comp'!G182)/2,"")</f>
        <v/>
      </c>
      <c r="I182" s="311" t="str">
        <f>IF(C182=1,('BD Comp'!I182+'BD Comp'!J182)/2,"")</f>
        <v/>
      </c>
      <c r="J182" s="311" t="str">
        <f>IF(C182=1,('BD Comp'!L182+'BD Comp'!M182)/2,"")</f>
        <v/>
      </c>
      <c r="K182" s="311" t="str">
        <f>IF(C182=1,('BD Comp'!O182+'BD Comp'!P182)/2,"")</f>
        <v/>
      </c>
      <c r="L182" s="311" t="str">
        <f>IF(C182=1,('BD Comp'!R182+'BD Comp'!S182)/2,"")</f>
        <v/>
      </c>
      <c r="M182" s="311" t="str">
        <f>IF(C182=1,('BD Comp'!AA182+'BD Comp'!AB182)/2,"")</f>
        <v/>
      </c>
      <c r="N182" s="311" t="str">
        <f>IF(C182=1,('BD Comp'!AJ182+'BD Comp'!AK182)/2,"")</f>
        <v/>
      </c>
      <c r="O182" s="312"/>
      <c r="P182" s="311" t="str">
        <f t="shared" si="1"/>
        <v/>
      </c>
      <c r="Q182" s="95"/>
    </row>
    <row r="183" spans="1:17" ht="14.5" hidden="1">
      <c r="A183" s="7" t="s">
        <v>745</v>
      </c>
      <c r="B183" s="7" t="s">
        <v>746</v>
      </c>
      <c r="C183" s="44"/>
      <c r="D183" s="44" t="str">
        <f t="shared" si="0"/>
        <v>C004881</v>
      </c>
      <c r="E183" s="311" t="str">
        <f>IF(C183=1,('BD Comp'!X183+'BD Comp'!Y183)/2,"")</f>
        <v/>
      </c>
      <c r="F183" s="311" t="str">
        <f>IF(C183=1,('BD Comp'!AD183+'BD Comp'!AE183)/2,"")</f>
        <v/>
      </c>
      <c r="G183" s="311" t="str">
        <f>IF(C183=1,('BD Comp'!AP183+'BD Comp'!AQ183)/2,"")</f>
        <v/>
      </c>
      <c r="H183" s="311" t="str">
        <f>IF(C183=1,('BD Comp'!F183+'BD Comp'!G183)/2,"")</f>
        <v/>
      </c>
      <c r="I183" s="311" t="str">
        <f>IF(C183=1,('BD Comp'!I183+'BD Comp'!J183)/2,"")</f>
        <v/>
      </c>
      <c r="J183" s="311" t="str">
        <f>IF(C183=1,('BD Comp'!L183+'BD Comp'!M183)/2,"")</f>
        <v/>
      </c>
      <c r="K183" s="311" t="str">
        <f>IF(C183=1,('BD Comp'!O183+'BD Comp'!P183)/2,"")</f>
        <v/>
      </c>
      <c r="L183" s="311" t="str">
        <f>IF(C183=1,('BD Comp'!R183+'BD Comp'!S183)/2,"")</f>
        <v/>
      </c>
      <c r="M183" s="311" t="str">
        <f>IF(C183=1,('BD Comp'!AA183+'BD Comp'!AB183)/2,"")</f>
        <v/>
      </c>
      <c r="N183" s="311" t="str">
        <f>IF(C183=1,('BD Comp'!AJ183+'BD Comp'!AK183)/2,"")</f>
        <v/>
      </c>
      <c r="O183" s="312"/>
      <c r="P183" s="311" t="str">
        <f t="shared" si="1"/>
        <v/>
      </c>
      <c r="Q183" s="95"/>
    </row>
    <row r="184" spans="1:17" ht="14.5" hidden="1">
      <c r="A184" s="7" t="s">
        <v>748</v>
      </c>
      <c r="B184" s="7" t="s">
        <v>749</v>
      </c>
      <c r="C184" s="44"/>
      <c r="D184" s="44" t="str">
        <f t="shared" si="0"/>
        <v>C004936</v>
      </c>
      <c r="E184" s="311" t="str">
        <f>IF(C184=1,('BD Comp'!X184+'BD Comp'!Y184)/2,"")</f>
        <v/>
      </c>
      <c r="F184" s="311" t="str">
        <f>IF(C184=1,('BD Comp'!AD184+'BD Comp'!AE184)/2,"")</f>
        <v/>
      </c>
      <c r="G184" s="311" t="str">
        <f>IF(C184=1,('BD Comp'!AP184+'BD Comp'!AQ184)/2,"")</f>
        <v/>
      </c>
      <c r="H184" s="311" t="str">
        <f>IF(C184=1,('BD Comp'!F184+'BD Comp'!G184)/2,"")</f>
        <v/>
      </c>
      <c r="I184" s="311" t="str">
        <f>IF(C184=1,('BD Comp'!I184+'BD Comp'!J184)/2,"")</f>
        <v/>
      </c>
      <c r="J184" s="311" t="str">
        <f>IF(C184=1,('BD Comp'!L184+'BD Comp'!M184)/2,"")</f>
        <v/>
      </c>
      <c r="K184" s="311" t="str">
        <f>IF(C184=1,('BD Comp'!O184+'BD Comp'!P184)/2,"")</f>
        <v/>
      </c>
      <c r="L184" s="311" t="str">
        <f>IF(C184=1,('BD Comp'!R184+'BD Comp'!S184)/2,"")</f>
        <v/>
      </c>
      <c r="M184" s="311" t="str">
        <f>IF(C184=1,('BD Comp'!AA184+'BD Comp'!AB184)/2,"")</f>
        <v/>
      </c>
      <c r="N184" s="311" t="str">
        <f>IF(C184=1,('BD Comp'!AJ184+'BD Comp'!AK184)/2,"")</f>
        <v/>
      </c>
      <c r="O184" s="312"/>
      <c r="P184" s="311" t="str">
        <f t="shared" si="1"/>
        <v/>
      </c>
      <c r="Q184" s="95"/>
    </row>
    <row r="185" spans="1:17" ht="14.5">
      <c r="A185" s="7" t="s">
        <v>751</v>
      </c>
      <c r="B185" s="7" t="s">
        <v>752</v>
      </c>
      <c r="C185" s="44">
        <v>1</v>
      </c>
      <c r="D185" s="44" t="str">
        <f t="shared" si="0"/>
        <v>C004995</v>
      </c>
      <c r="E185" s="311">
        <f>IF(C185=1,('BD Comp'!X185+'BD Comp'!Y185)/2,"")</f>
        <v>1103518</v>
      </c>
      <c r="F185" s="311">
        <f>IF(C185=1,('BD Comp'!AD185+'BD Comp'!AE185)/2,"")</f>
        <v>57562198</v>
      </c>
      <c r="G185" s="311">
        <f>IF(C185=1,('BD Comp'!AP185+'BD Comp'!AQ185)/2,"")</f>
        <v>1266976.5</v>
      </c>
      <c r="H185" s="311">
        <f>IF(C185=1,('BD Comp'!F185+'BD Comp'!G185)/2,"")</f>
        <v>8838489791.5679455</v>
      </c>
      <c r="I185" s="311">
        <f>IF(C185=1,('BD Comp'!I185+'BD Comp'!J185)/2,"")</f>
        <v>393632425.40834093</v>
      </c>
      <c r="J185" s="311">
        <f>IF(C185=1,('BD Comp'!L185+'BD Comp'!M185)/2,"")</f>
        <v>152625421.38903067</v>
      </c>
      <c r="K185" s="311">
        <f>IF(C185=1,('BD Comp'!O185+'BD Comp'!P185)/2,"")</f>
        <v>110717465.4411518</v>
      </c>
      <c r="L185" s="311">
        <f>IF(C185=1,('BD Comp'!R185+'BD Comp'!S185)/2,"")</f>
        <v>106476875.8530644</v>
      </c>
      <c r="M185" s="311">
        <f>IF(C185=1,('BD Comp'!AA185+'BD Comp'!AB185)/2,"")</f>
        <v>1690192</v>
      </c>
      <c r="N185" s="311">
        <f>IF(C185=1,('BD Comp'!AJ185+'BD Comp'!AK185)/2,"")</f>
        <v>227905455.65000004</v>
      </c>
      <c r="O185" s="312">
        <v>1</v>
      </c>
      <c r="P185" s="311">
        <f t="shared" si="1"/>
        <v>1</v>
      </c>
      <c r="Q185" s="95"/>
    </row>
    <row r="186" spans="1:17" ht="14.5" hidden="1">
      <c r="A186" s="7" t="s">
        <v>754</v>
      </c>
      <c r="B186" s="7" t="s">
        <v>755</v>
      </c>
      <c r="C186" s="44"/>
      <c r="D186" s="44" t="str">
        <f t="shared" si="0"/>
        <v>C005059</v>
      </c>
      <c r="E186" s="311" t="str">
        <f>IF(C186=1,('BD Comp'!X186+'BD Comp'!Y186)/2,"")</f>
        <v/>
      </c>
      <c r="F186" s="311" t="str">
        <f>IF(C186=1,('BD Comp'!AD186+'BD Comp'!AE186)/2,"")</f>
        <v/>
      </c>
      <c r="G186" s="311" t="str">
        <f>IF(C186=1,('BD Comp'!AP186+'BD Comp'!AQ186)/2,"")</f>
        <v/>
      </c>
      <c r="H186" s="311" t="str">
        <f>IF(C186=1,('BD Comp'!F186+'BD Comp'!G186)/2,"")</f>
        <v/>
      </c>
      <c r="I186" s="311" t="str">
        <f>IF(C186=1,('BD Comp'!I186+'BD Comp'!J186)/2,"")</f>
        <v/>
      </c>
      <c r="J186" s="311" t="str">
        <f>IF(C186=1,('BD Comp'!L186+'BD Comp'!M186)/2,"")</f>
        <v/>
      </c>
      <c r="K186" s="311" t="str">
        <f>IF(C186=1,('BD Comp'!O186+'BD Comp'!P186)/2,"")</f>
        <v/>
      </c>
      <c r="L186" s="311" t="str">
        <f>IF(C186=1,('BD Comp'!R186+'BD Comp'!S186)/2,"")</f>
        <v/>
      </c>
      <c r="M186" s="311" t="str">
        <f>IF(C186=1,('BD Comp'!AA186+'BD Comp'!AB186)/2,"")</f>
        <v/>
      </c>
      <c r="N186" s="311" t="str">
        <f>IF(C186=1,('BD Comp'!AJ186+'BD Comp'!AK186)/2,"")</f>
        <v/>
      </c>
      <c r="O186" s="312"/>
      <c r="P186" s="311" t="str">
        <f t="shared" si="1"/>
        <v/>
      </c>
      <c r="Q186" s="95"/>
    </row>
    <row r="187" spans="1:17" ht="14.5" hidden="1">
      <c r="A187" s="7" t="s">
        <v>757</v>
      </c>
      <c r="B187" s="7" t="s">
        <v>758</v>
      </c>
      <c r="C187" s="44"/>
      <c r="D187" s="44" t="str">
        <f t="shared" si="0"/>
        <v>C005067</v>
      </c>
      <c r="E187" s="311" t="str">
        <f>IF(C187=1,('BD Comp'!X187+'BD Comp'!Y187)/2,"")</f>
        <v/>
      </c>
      <c r="F187" s="311" t="str">
        <f>IF(C187=1,('BD Comp'!AD187+'BD Comp'!AE187)/2,"")</f>
        <v/>
      </c>
      <c r="G187" s="311" t="str">
        <f>IF(C187=1,('BD Comp'!AP187+'BD Comp'!AQ187)/2,"")</f>
        <v/>
      </c>
      <c r="H187" s="311" t="str">
        <f>IF(C187=1,('BD Comp'!F187+'BD Comp'!G187)/2,"")</f>
        <v/>
      </c>
      <c r="I187" s="311" t="str">
        <f>IF(C187=1,('BD Comp'!I187+'BD Comp'!J187)/2,"")</f>
        <v/>
      </c>
      <c r="J187" s="311" t="str">
        <f>IF(C187=1,('BD Comp'!L187+'BD Comp'!M187)/2,"")</f>
        <v/>
      </c>
      <c r="K187" s="311" t="str">
        <f>IF(C187=1,('BD Comp'!O187+'BD Comp'!P187)/2,"")</f>
        <v/>
      </c>
      <c r="L187" s="311" t="str">
        <f>IF(C187=1,('BD Comp'!R187+'BD Comp'!S187)/2,"")</f>
        <v/>
      </c>
      <c r="M187" s="311" t="str">
        <f>IF(C187=1,('BD Comp'!AA187+'BD Comp'!AB187)/2,"")</f>
        <v/>
      </c>
      <c r="N187" s="311" t="str">
        <f>IF(C187=1,('BD Comp'!AJ187+'BD Comp'!AK187)/2,"")</f>
        <v/>
      </c>
      <c r="O187" s="312"/>
      <c r="P187" s="311" t="str">
        <f t="shared" si="1"/>
        <v/>
      </c>
      <c r="Q187" s="95"/>
    </row>
    <row r="188" spans="1:17" ht="14.5" hidden="1">
      <c r="A188" s="7" t="s">
        <v>760</v>
      </c>
      <c r="B188" s="7" t="s">
        <v>761</v>
      </c>
      <c r="C188" s="44"/>
      <c r="D188" s="44" t="str">
        <f t="shared" si="0"/>
        <v>C005423</v>
      </c>
      <c r="E188" s="311" t="str">
        <f>IF(C188=1,('BD Comp'!X188+'BD Comp'!Y188)/2,"")</f>
        <v/>
      </c>
      <c r="F188" s="311" t="str">
        <f>IF(C188=1,('BD Comp'!AD188+'BD Comp'!AE188)/2,"")</f>
        <v/>
      </c>
      <c r="G188" s="311" t="str">
        <f>IF(C188=1,('BD Comp'!AP188+'BD Comp'!AQ188)/2,"")</f>
        <v/>
      </c>
      <c r="H188" s="311" t="str">
        <f>IF(C188=1,('BD Comp'!F188+'BD Comp'!G188)/2,"")</f>
        <v/>
      </c>
      <c r="I188" s="311" t="str">
        <f>IF(C188=1,('BD Comp'!I188+'BD Comp'!J188)/2,"")</f>
        <v/>
      </c>
      <c r="J188" s="311" t="str">
        <f>IF(C188=1,('BD Comp'!L188+'BD Comp'!M188)/2,"")</f>
        <v/>
      </c>
      <c r="K188" s="311" t="str">
        <f>IF(C188=1,('BD Comp'!O188+'BD Comp'!P188)/2,"")</f>
        <v/>
      </c>
      <c r="L188" s="311" t="str">
        <f>IF(C188=1,('BD Comp'!R188+'BD Comp'!S188)/2,"")</f>
        <v/>
      </c>
      <c r="M188" s="311" t="str">
        <f>IF(C188=1,('BD Comp'!AA188+'BD Comp'!AB188)/2,"")</f>
        <v/>
      </c>
      <c r="N188" s="311" t="str">
        <f>IF(C188=1,('BD Comp'!AJ188+'BD Comp'!AK188)/2,"")</f>
        <v/>
      </c>
      <c r="O188" s="312"/>
      <c r="P188" s="311" t="str">
        <f t="shared" si="1"/>
        <v/>
      </c>
      <c r="Q188" s="95"/>
    </row>
    <row r="189" spans="1:17" ht="14.5" hidden="1">
      <c r="A189" s="7" t="s">
        <v>763</v>
      </c>
      <c r="B189" s="7" t="s">
        <v>764</v>
      </c>
      <c r="C189" s="44"/>
      <c r="D189" s="44" t="str">
        <f t="shared" si="0"/>
        <v>C005424</v>
      </c>
      <c r="E189" s="311" t="str">
        <f>IF(C189=1,('BD Comp'!X189+'BD Comp'!Y189)/2,"")</f>
        <v/>
      </c>
      <c r="F189" s="311" t="str">
        <f>IF(C189=1,('BD Comp'!AD189+'BD Comp'!AE189)/2,"")</f>
        <v/>
      </c>
      <c r="G189" s="311" t="str">
        <f>IF(C189=1,('BD Comp'!AP189+'BD Comp'!AQ189)/2,"")</f>
        <v/>
      </c>
      <c r="H189" s="311" t="str">
        <f>IF(C189=1,('BD Comp'!F189+'BD Comp'!G189)/2,"")</f>
        <v/>
      </c>
      <c r="I189" s="311" t="str">
        <f>IF(C189=1,('BD Comp'!I189+'BD Comp'!J189)/2,"")</f>
        <v/>
      </c>
      <c r="J189" s="311" t="str">
        <f>IF(C189=1,('BD Comp'!L189+'BD Comp'!M189)/2,"")</f>
        <v/>
      </c>
      <c r="K189" s="311" t="str">
        <f>IF(C189=1,('BD Comp'!O189+'BD Comp'!P189)/2,"")</f>
        <v/>
      </c>
      <c r="L189" s="311" t="str">
        <f>IF(C189=1,('BD Comp'!R189+'BD Comp'!S189)/2,"")</f>
        <v/>
      </c>
      <c r="M189" s="311" t="str">
        <f>IF(C189=1,('BD Comp'!AA189+'BD Comp'!AB189)/2,"")</f>
        <v/>
      </c>
      <c r="N189" s="311" t="str">
        <f>IF(C189=1,('BD Comp'!AJ189+'BD Comp'!AK189)/2,"")</f>
        <v/>
      </c>
      <c r="O189" s="312"/>
      <c r="P189" s="311" t="str">
        <f t="shared" si="1"/>
        <v/>
      </c>
      <c r="Q189" s="95"/>
    </row>
    <row r="190" spans="1:17" ht="14.5">
      <c r="A190" s="7" t="s">
        <v>766</v>
      </c>
      <c r="B190" s="7" t="s">
        <v>767</v>
      </c>
      <c r="C190" s="44">
        <v>1</v>
      </c>
      <c r="D190" s="44" t="str">
        <f t="shared" si="0"/>
        <v>C005443</v>
      </c>
      <c r="E190" s="311">
        <f>IF(C190=1,('BD Comp'!X190+'BD Comp'!Y190)/2,"")</f>
        <v>37154.5</v>
      </c>
      <c r="F190" s="311">
        <f>IF(C190=1,('BD Comp'!AD190+'BD Comp'!AE190)/2,"")</f>
        <v>1766000.5</v>
      </c>
      <c r="G190" s="311">
        <f>IF(C190=1,('BD Comp'!AP190+'BD Comp'!AQ190)/2,"")</f>
        <v>37908.5</v>
      </c>
      <c r="H190" s="311">
        <f>IF(C190=1,('BD Comp'!F190+'BD Comp'!G190)/2,"")</f>
        <v>291142848.50272411</v>
      </c>
      <c r="I190" s="311">
        <f>IF(C190=1,('BD Comp'!I190+'BD Comp'!J190)/2,"")</f>
        <v>10711797.855869068</v>
      </c>
      <c r="J190" s="311">
        <f>IF(C190=1,('BD Comp'!L190+'BD Comp'!M190)/2,"")</f>
        <v>5025075.774860004</v>
      </c>
      <c r="K190" s="311">
        <f>IF(C190=1,('BD Comp'!O190+'BD Comp'!P190)/2,"")</f>
        <v>5075817.1972444002</v>
      </c>
      <c r="L190" s="311">
        <f>IF(C190=1,('BD Comp'!R190+'BD Comp'!S190)/2,"")</f>
        <v>858663.27868175879</v>
      </c>
      <c r="M190" s="311">
        <f>IF(C190=1,('BD Comp'!AA190+'BD Comp'!AB190)/2,"")</f>
        <v>77028</v>
      </c>
      <c r="N190" s="311">
        <f>IF(C190=1,('BD Comp'!AJ190+'BD Comp'!AK190)/2,"")</f>
        <v>8782559.5</v>
      </c>
      <c r="O190" s="312">
        <v>1</v>
      </c>
      <c r="P190" s="311">
        <f t="shared" si="1"/>
        <v>1</v>
      </c>
      <c r="Q190" s="95"/>
    </row>
    <row r="191" spans="1:17" ht="14.5" hidden="1">
      <c r="A191" s="7" t="s">
        <v>769</v>
      </c>
      <c r="B191" s="7" t="s">
        <v>770</v>
      </c>
      <c r="C191" s="44"/>
      <c r="D191" s="44" t="str">
        <f t="shared" si="0"/>
        <v>C005444</v>
      </c>
      <c r="E191" s="311" t="str">
        <f>IF(C191=1,('BD Comp'!X191+'BD Comp'!Y191)/2,"")</f>
        <v/>
      </c>
      <c r="F191" s="311" t="str">
        <f>IF(C191=1,('BD Comp'!AD191+'BD Comp'!AE191)/2,"")</f>
        <v/>
      </c>
      <c r="G191" s="311" t="str">
        <f>IF(C191=1,('BD Comp'!AP191+'BD Comp'!AQ191)/2,"")</f>
        <v/>
      </c>
      <c r="H191" s="311" t="str">
        <f>IF(C191=1,('BD Comp'!F191+'BD Comp'!G191)/2,"")</f>
        <v/>
      </c>
      <c r="I191" s="311" t="str">
        <f>IF(C191=1,('BD Comp'!I191+'BD Comp'!J191)/2,"")</f>
        <v/>
      </c>
      <c r="J191" s="311" t="str">
        <f>IF(C191=1,('BD Comp'!L191+'BD Comp'!M191)/2,"")</f>
        <v/>
      </c>
      <c r="K191" s="311" t="str">
        <f>IF(C191=1,('BD Comp'!O191+'BD Comp'!P191)/2,"")</f>
        <v/>
      </c>
      <c r="L191" s="311" t="str">
        <f>IF(C191=1,('BD Comp'!R191+'BD Comp'!S191)/2,"")</f>
        <v/>
      </c>
      <c r="M191" s="311" t="str">
        <f>IF(C191=1,('BD Comp'!AA191+'BD Comp'!AB191)/2,"")</f>
        <v/>
      </c>
      <c r="N191" s="311" t="str">
        <f>IF(C191=1,('BD Comp'!AJ191+'BD Comp'!AK191)/2,"")</f>
        <v/>
      </c>
      <c r="O191" s="312"/>
      <c r="P191" s="311" t="str">
        <f t="shared" si="1"/>
        <v/>
      </c>
      <c r="Q191" s="95"/>
    </row>
    <row r="192" spans="1:17" ht="14.5" hidden="1">
      <c r="A192" s="7" t="s">
        <v>772</v>
      </c>
      <c r="B192" s="7" t="s">
        <v>773</v>
      </c>
      <c r="C192" s="44"/>
      <c r="D192" s="44" t="str">
        <f t="shared" si="0"/>
        <v>C005475</v>
      </c>
      <c r="E192" s="311" t="str">
        <f>IF(C192=1,('BD Comp'!X192+'BD Comp'!Y192)/2,"")</f>
        <v/>
      </c>
      <c r="F192" s="311" t="str">
        <f>IF(C192=1,('BD Comp'!AD192+'BD Comp'!AE192)/2,"")</f>
        <v/>
      </c>
      <c r="G192" s="311" t="str">
        <f>IF(C192=1,('BD Comp'!AP192+'BD Comp'!AQ192)/2,"")</f>
        <v/>
      </c>
      <c r="H192" s="311" t="str">
        <f>IF(C192=1,('BD Comp'!F192+'BD Comp'!G192)/2,"")</f>
        <v/>
      </c>
      <c r="I192" s="311" t="str">
        <f>IF(C192=1,('BD Comp'!I192+'BD Comp'!J192)/2,"")</f>
        <v/>
      </c>
      <c r="J192" s="311" t="str">
        <f>IF(C192=1,('BD Comp'!L192+'BD Comp'!M192)/2,"")</f>
        <v/>
      </c>
      <c r="K192" s="311" t="str">
        <f>IF(C192=1,('BD Comp'!O192+'BD Comp'!P192)/2,"")</f>
        <v/>
      </c>
      <c r="L192" s="311" t="str">
        <f>IF(C192=1,('BD Comp'!R192+'BD Comp'!S192)/2,"")</f>
        <v/>
      </c>
      <c r="M192" s="311" t="str">
        <f>IF(C192=1,('BD Comp'!AA192+'BD Comp'!AB192)/2,"")</f>
        <v/>
      </c>
      <c r="N192" s="311" t="str">
        <f>IF(C192=1,('BD Comp'!AJ192+'BD Comp'!AK192)/2,"")</f>
        <v/>
      </c>
      <c r="O192" s="312"/>
      <c r="P192" s="311" t="str">
        <f t="shared" si="1"/>
        <v/>
      </c>
      <c r="Q192" s="95"/>
    </row>
    <row r="193" spans="1:17" ht="14.5" hidden="1">
      <c r="A193" s="7" t="s">
        <v>775</v>
      </c>
      <c r="B193" s="7" t="s">
        <v>776</v>
      </c>
      <c r="C193" s="44"/>
      <c r="D193" s="44" t="str">
        <f t="shared" si="0"/>
        <v>C005519</v>
      </c>
      <c r="E193" s="311" t="str">
        <f>IF(C193=1,('BD Comp'!X193+'BD Comp'!Y193)/2,"")</f>
        <v/>
      </c>
      <c r="F193" s="311" t="str">
        <f>IF(C193=1,('BD Comp'!AD193+'BD Comp'!AE193)/2,"")</f>
        <v/>
      </c>
      <c r="G193" s="311" t="str">
        <f>IF(C193=1,('BD Comp'!AP193+'BD Comp'!AQ193)/2,"")</f>
        <v/>
      </c>
      <c r="H193" s="311" t="str">
        <f>IF(C193=1,('BD Comp'!F193+'BD Comp'!G193)/2,"")</f>
        <v/>
      </c>
      <c r="I193" s="311" t="str">
        <f>IF(C193=1,('BD Comp'!I193+'BD Comp'!J193)/2,"")</f>
        <v/>
      </c>
      <c r="J193" s="311" t="str">
        <f>IF(C193=1,('BD Comp'!L193+'BD Comp'!M193)/2,"")</f>
        <v/>
      </c>
      <c r="K193" s="311" t="str">
        <f>IF(C193=1,('BD Comp'!O193+'BD Comp'!P193)/2,"")</f>
        <v/>
      </c>
      <c r="L193" s="311" t="str">
        <f>IF(C193=1,('BD Comp'!R193+'BD Comp'!S193)/2,"")</f>
        <v/>
      </c>
      <c r="M193" s="311" t="str">
        <f>IF(C193=1,('BD Comp'!AA193+'BD Comp'!AB193)/2,"")</f>
        <v/>
      </c>
      <c r="N193" s="311" t="str">
        <f>IF(C193=1,('BD Comp'!AJ193+'BD Comp'!AK193)/2,"")</f>
        <v/>
      </c>
      <c r="O193" s="312"/>
      <c r="P193" s="311" t="str">
        <f t="shared" si="1"/>
        <v/>
      </c>
      <c r="Q193" s="95"/>
    </row>
    <row r="194" spans="1:17" ht="14.5" hidden="1">
      <c r="A194" s="7" t="s">
        <v>778</v>
      </c>
      <c r="B194" s="7" t="s">
        <v>779</v>
      </c>
      <c r="C194" s="44"/>
      <c r="D194" s="44" t="str">
        <f t="shared" si="0"/>
        <v>C007565</v>
      </c>
      <c r="E194" s="311" t="str">
        <f>IF(C194=1,('BD Comp'!X194+'BD Comp'!Y194)/2,"")</f>
        <v/>
      </c>
      <c r="F194" s="311" t="str">
        <f>IF(C194=1,('BD Comp'!AD194+'BD Comp'!AE194)/2,"")</f>
        <v/>
      </c>
      <c r="G194" s="311" t="str">
        <f>IF(C194=1,('BD Comp'!AP194+'BD Comp'!AQ194)/2,"")</f>
        <v/>
      </c>
      <c r="H194" s="311" t="str">
        <f>IF(C194=1,('BD Comp'!F194+'BD Comp'!G194)/2,"")</f>
        <v/>
      </c>
      <c r="I194" s="311" t="str">
        <f>IF(C194=1,('BD Comp'!I194+'BD Comp'!J194)/2,"")</f>
        <v/>
      </c>
      <c r="J194" s="311" t="str">
        <f>IF(C194=1,('BD Comp'!L194+'BD Comp'!M194)/2,"")</f>
        <v/>
      </c>
      <c r="K194" s="311" t="str">
        <f>IF(C194=1,('BD Comp'!O194+'BD Comp'!P194)/2,"")</f>
        <v/>
      </c>
      <c r="L194" s="311" t="str">
        <f>IF(C194=1,('BD Comp'!R194+'BD Comp'!S194)/2,"")</f>
        <v/>
      </c>
      <c r="M194" s="311" t="str">
        <f>IF(C194=1,('BD Comp'!AA194+'BD Comp'!AB194)/2,"")</f>
        <v/>
      </c>
      <c r="N194" s="311" t="str">
        <f>IF(C194=1,('BD Comp'!AJ194+'BD Comp'!AK194)/2,"")</f>
        <v/>
      </c>
      <c r="O194" s="312"/>
      <c r="P194" s="311" t="str">
        <f t="shared" si="1"/>
        <v/>
      </c>
      <c r="Q194" s="95"/>
    </row>
    <row r="195" spans="1:17" ht="14.5" hidden="1">
      <c r="A195" s="7" t="s">
        <v>781</v>
      </c>
      <c r="B195" s="7" t="s">
        <v>782</v>
      </c>
      <c r="C195" s="44"/>
      <c r="D195" s="44" t="str">
        <f t="shared" si="0"/>
        <v>C007581</v>
      </c>
      <c r="E195" s="311" t="str">
        <f>IF(C195=1,('BD Comp'!X195+'BD Comp'!Y195)/2,"")</f>
        <v/>
      </c>
      <c r="F195" s="311" t="str">
        <f>IF(C195=1,('BD Comp'!AD195+'BD Comp'!AE195)/2,"")</f>
        <v/>
      </c>
      <c r="G195" s="311" t="str">
        <f>IF(C195=1,('BD Comp'!AP195+'BD Comp'!AQ195)/2,"")</f>
        <v/>
      </c>
      <c r="H195" s="311" t="str">
        <f>IF(C195=1,('BD Comp'!F195+'BD Comp'!G195)/2,"")</f>
        <v/>
      </c>
      <c r="I195" s="311" t="str">
        <f>IF(C195=1,('BD Comp'!I195+'BD Comp'!J195)/2,"")</f>
        <v/>
      </c>
      <c r="J195" s="311" t="str">
        <f>IF(C195=1,('BD Comp'!L195+'BD Comp'!M195)/2,"")</f>
        <v/>
      </c>
      <c r="K195" s="311" t="str">
        <f>IF(C195=1,('BD Comp'!O195+'BD Comp'!P195)/2,"")</f>
        <v/>
      </c>
      <c r="L195" s="311" t="str">
        <f>IF(C195=1,('BD Comp'!R195+'BD Comp'!S195)/2,"")</f>
        <v/>
      </c>
      <c r="M195" s="311" t="str">
        <f>IF(C195=1,('BD Comp'!AA195+'BD Comp'!AB195)/2,"")</f>
        <v/>
      </c>
      <c r="N195" s="311" t="str">
        <f>IF(C195=1,('BD Comp'!AJ195+'BD Comp'!AK195)/2,"")</f>
        <v/>
      </c>
      <c r="O195" s="312"/>
      <c r="P195" s="311" t="str">
        <f t="shared" si="1"/>
        <v/>
      </c>
      <c r="Q195" s="95"/>
    </row>
    <row r="196" spans="1:17" ht="14.5" hidden="1">
      <c r="A196" s="7" t="s">
        <v>784</v>
      </c>
      <c r="B196" s="7" t="s">
        <v>785</v>
      </c>
      <c r="C196" s="44"/>
      <c r="D196" s="44" t="str">
        <f t="shared" si="0"/>
        <v>C007582</v>
      </c>
      <c r="E196" s="311" t="str">
        <f>IF(C196=1,('BD Comp'!X196+'BD Comp'!Y196)/2,"")</f>
        <v/>
      </c>
      <c r="F196" s="311" t="str">
        <f>IF(C196=1,('BD Comp'!AD196+'BD Comp'!AE196)/2,"")</f>
        <v/>
      </c>
      <c r="G196" s="311" t="str">
        <f>IF(C196=1,('BD Comp'!AP196+'BD Comp'!AQ196)/2,"")</f>
        <v/>
      </c>
      <c r="H196" s="311" t="str">
        <f>IF(C196=1,('BD Comp'!F196+'BD Comp'!G196)/2,"")</f>
        <v/>
      </c>
      <c r="I196" s="311" t="str">
        <f>IF(C196=1,('BD Comp'!I196+'BD Comp'!J196)/2,"")</f>
        <v/>
      </c>
      <c r="J196" s="311" t="str">
        <f>IF(C196=1,('BD Comp'!L196+'BD Comp'!M196)/2,"")</f>
        <v/>
      </c>
      <c r="K196" s="311" t="str">
        <f>IF(C196=1,('BD Comp'!O196+'BD Comp'!P196)/2,"")</f>
        <v/>
      </c>
      <c r="L196" s="311" t="str">
        <f>IF(C196=1,('BD Comp'!R196+'BD Comp'!S196)/2,"")</f>
        <v/>
      </c>
      <c r="M196" s="311" t="str">
        <f>IF(C196=1,('BD Comp'!AA196+'BD Comp'!AB196)/2,"")</f>
        <v/>
      </c>
      <c r="N196" s="311" t="str">
        <f>IF(C196=1,('BD Comp'!AJ196+'BD Comp'!AK196)/2,"")</f>
        <v/>
      </c>
      <c r="O196" s="312"/>
      <c r="P196" s="311" t="str">
        <f t="shared" si="1"/>
        <v/>
      </c>
      <c r="Q196" s="95"/>
    </row>
    <row r="197" spans="1:17" ht="14.5" hidden="1">
      <c r="A197" s="7" t="s">
        <v>787</v>
      </c>
      <c r="B197" s="7" t="s">
        <v>788</v>
      </c>
      <c r="C197" s="44"/>
      <c r="D197" s="44" t="str">
        <f t="shared" si="0"/>
        <v>C007584</v>
      </c>
      <c r="E197" s="311" t="str">
        <f>IF(C197=1,('BD Comp'!X197+'BD Comp'!Y197)/2,"")</f>
        <v/>
      </c>
      <c r="F197" s="311" t="str">
        <f>IF(C197=1,('BD Comp'!AD197+'BD Comp'!AE197)/2,"")</f>
        <v/>
      </c>
      <c r="G197" s="311" t="str">
        <f>IF(C197=1,('BD Comp'!AP197+'BD Comp'!AQ197)/2,"")</f>
        <v/>
      </c>
      <c r="H197" s="311" t="str">
        <f>IF(C197=1,('BD Comp'!F197+'BD Comp'!G197)/2,"")</f>
        <v/>
      </c>
      <c r="I197" s="311" t="str">
        <f>IF(C197=1,('BD Comp'!I197+'BD Comp'!J197)/2,"")</f>
        <v/>
      </c>
      <c r="J197" s="311" t="str">
        <f>IF(C197=1,('BD Comp'!L197+'BD Comp'!M197)/2,"")</f>
        <v/>
      </c>
      <c r="K197" s="311" t="str">
        <f>IF(C197=1,('BD Comp'!O197+'BD Comp'!P197)/2,"")</f>
        <v/>
      </c>
      <c r="L197" s="311" t="str">
        <f>IF(C197=1,('BD Comp'!R197+'BD Comp'!S197)/2,"")</f>
        <v/>
      </c>
      <c r="M197" s="311" t="str">
        <f>IF(C197=1,('BD Comp'!AA197+'BD Comp'!AB197)/2,"")</f>
        <v/>
      </c>
      <c r="N197" s="311" t="str">
        <f>IF(C197=1,('BD Comp'!AJ197+'BD Comp'!AK197)/2,"")</f>
        <v/>
      </c>
      <c r="O197" s="312"/>
      <c r="P197" s="311" t="str">
        <f t="shared" si="1"/>
        <v/>
      </c>
      <c r="Q197" s="95"/>
    </row>
    <row r="198" spans="1:17" ht="14.5" hidden="1">
      <c r="A198" s="7" t="s">
        <v>790</v>
      </c>
      <c r="B198" s="7" t="s">
        <v>791</v>
      </c>
      <c r="C198" s="44"/>
      <c r="D198" s="44" t="str">
        <f t="shared" si="0"/>
        <v>C007624</v>
      </c>
      <c r="E198" s="311" t="str">
        <f>IF(C198=1,('BD Comp'!X198+'BD Comp'!Y198)/2,"")</f>
        <v/>
      </c>
      <c r="F198" s="311" t="str">
        <f>IF(C198=1,('BD Comp'!AD198+'BD Comp'!AE198)/2,"")</f>
        <v/>
      </c>
      <c r="G198" s="311" t="str">
        <f>IF(C198=1,('BD Comp'!AP198+'BD Comp'!AQ198)/2,"")</f>
        <v/>
      </c>
      <c r="H198" s="311" t="str">
        <f>IF(C198=1,('BD Comp'!F198+'BD Comp'!G198)/2,"")</f>
        <v/>
      </c>
      <c r="I198" s="311" t="str">
        <f>IF(C198=1,('BD Comp'!I198+'BD Comp'!J198)/2,"")</f>
        <v/>
      </c>
      <c r="J198" s="311" t="str">
        <f>IF(C198=1,('BD Comp'!L198+'BD Comp'!M198)/2,"")</f>
        <v/>
      </c>
      <c r="K198" s="311" t="str">
        <f>IF(C198=1,('BD Comp'!O198+'BD Comp'!P198)/2,"")</f>
        <v/>
      </c>
      <c r="L198" s="311" t="str">
        <f>IF(C198=1,('BD Comp'!R198+'BD Comp'!S198)/2,"")</f>
        <v/>
      </c>
      <c r="M198" s="311" t="str">
        <f>IF(C198=1,('BD Comp'!AA198+'BD Comp'!AB198)/2,"")</f>
        <v/>
      </c>
      <c r="N198" s="311" t="str">
        <f>IF(C198=1,('BD Comp'!AJ198+'BD Comp'!AK198)/2,"")</f>
        <v/>
      </c>
      <c r="O198" s="312"/>
      <c r="P198" s="311" t="str">
        <f t="shared" si="1"/>
        <v/>
      </c>
      <c r="Q198" s="95"/>
    </row>
    <row r="199" spans="1:17" ht="14.5">
      <c r="A199" s="7" t="s">
        <v>793</v>
      </c>
      <c r="B199" s="7" t="s">
        <v>794</v>
      </c>
      <c r="C199" s="44">
        <v>1</v>
      </c>
      <c r="D199" s="44" t="str">
        <f t="shared" si="0"/>
        <v>C007667</v>
      </c>
      <c r="E199" s="311">
        <f>IF(C199=1,('BD Comp'!X199+'BD Comp'!Y199)/2,"")</f>
        <v>208968</v>
      </c>
      <c r="F199" s="311">
        <f>IF(C199=1,('BD Comp'!AD199+'BD Comp'!AE199)/2,"")</f>
        <v>5689928</v>
      </c>
      <c r="G199" s="311">
        <f>IF(C199=1,('BD Comp'!AP199+'BD Comp'!AQ199)/2,"")</f>
        <v>329859</v>
      </c>
      <c r="H199" s="311">
        <f>IF(C199=1,('BD Comp'!F199+'BD Comp'!G199)/2,"")</f>
        <v>1104026325.8850696</v>
      </c>
      <c r="I199" s="311">
        <f>IF(C199=1,('BD Comp'!I199+'BD Comp'!J199)/2,"")</f>
        <v>88373185.953188986</v>
      </c>
      <c r="J199" s="311">
        <f>IF(C199=1,('BD Comp'!L199+'BD Comp'!M199)/2,"")</f>
        <v>30078304.486571167</v>
      </c>
      <c r="K199" s="311">
        <f>IF(C199=1,('BD Comp'!O199+'BD Comp'!P199)/2,"")</f>
        <v>38976262.206291869</v>
      </c>
      <c r="L199" s="311">
        <f>IF(C199=1,('BD Comp'!R199+'BD Comp'!S199)/2,"")</f>
        <v>37244163.879225925</v>
      </c>
      <c r="M199" s="311">
        <f>IF(C199=1,('BD Comp'!AA199+'BD Comp'!AB199)/2,"")</f>
        <v>135161</v>
      </c>
      <c r="N199" s="311">
        <f>IF(C199=1,('BD Comp'!AJ199+'BD Comp'!AK199)/2,"")</f>
        <v>32879482.25</v>
      </c>
      <c r="O199" s="312">
        <v>1</v>
      </c>
      <c r="P199" s="311">
        <f t="shared" si="1"/>
        <v>1</v>
      </c>
      <c r="Q199" s="95"/>
    </row>
    <row r="200" spans="1:17" ht="14.5" hidden="1">
      <c r="A200" s="7" t="s">
        <v>796</v>
      </c>
      <c r="B200" s="7" t="s">
        <v>797</v>
      </c>
      <c r="C200" s="44"/>
      <c r="D200" s="44" t="str">
        <f t="shared" si="0"/>
        <v>C007679</v>
      </c>
      <c r="E200" s="311" t="str">
        <f>IF(C200=1,('BD Comp'!X200+'BD Comp'!Y200)/2,"")</f>
        <v/>
      </c>
      <c r="F200" s="311" t="str">
        <f>IF(C200=1,('BD Comp'!AD200+'BD Comp'!AE200)/2,"")</f>
        <v/>
      </c>
      <c r="G200" s="311" t="str">
        <f>IF(C200=1,('BD Comp'!AP200+'BD Comp'!AQ200)/2,"")</f>
        <v/>
      </c>
      <c r="H200" s="311" t="str">
        <f>IF(C200=1,('BD Comp'!F200+'BD Comp'!G200)/2,"")</f>
        <v/>
      </c>
      <c r="I200" s="311" t="str">
        <f>IF(C200=1,('BD Comp'!I200+'BD Comp'!J200)/2,"")</f>
        <v/>
      </c>
      <c r="J200" s="311" t="str">
        <f>IF(C200=1,('BD Comp'!L200+'BD Comp'!M200)/2,"")</f>
        <v/>
      </c>
      <c r="K200" s="311" t="str">
        <f>IF(C200=1,('BD Comp'!O200+'BD Comp'!P200)/2,"")</f>
        <v/>
      </c>
      <c r="L200" s="311" t="str">
        <f>IF(C200=1,('BD Comp'!R200+'BD Comp'!S200)/2,"")</f>
        <v/>
      </c>
      <c r="M200" s="311" t="str">
        <f>IF(C200=1,('BD Comp'!AA200+'BD Comp'!AB200)/2,"")</f>
        <v/>
      </c>
      <c r="N200" s="311" t="str">
        <f>IF(C200=1,('BD Comp'!AJ200+'BD Comp'!AK200)/2,"")</f>
        <v/>
      </c>
      <c r="O200" s="312"/>
      <c r="P200" s="311" t="str">
        <f t="shared" si="1"/>
        <v/>
      </c>
      <c r="Q200" s="95"/>
    </row>
    <row r="201" spans="1:17" ht="14.5" hidden="1">
      <c r="A201" s="7" t="s">
        <v>799</v>
      </c>
      <c r="B201" s="7" t="s">
        <v>800</v>
      </c>
      <c r="C201" s="44"/>
      <c r="D201" s="44" t="str">
        <f t="shared" si="0"/>
        <v>C008947</v>
      </c>
      <c r="E201" s="311" t="str">
        <f>IF(C201=1,('BD Comp'!X201+'BD Comp'!Y201)/2,"")</f>
        <v/>
      </c>
      <c r="F201" s="311" t="str">
        <f>IF(C201=1,('BD Comp'!AD201+'BD Comp'!AE201)/2,"")</f>
        <v/>
      </c>
      <c r="G201" s="311" t="str">
        <f>IF(C201=1,('BD Comp'!AP201+'BD Comp'!AQ201)/2,"")</f>
        <v/>
      </c>
      <c r="H201" s="311" t="str">
        <f>IF(C201=1,('BD Comp'!F201+'BD Comp'!G201)/2,"")</f>
        <v/>
      </c>
      <c r="I201" s="311" t="str">
        <f>IF(C201=1,('BD Comp'!I201+'BD Comp'!J201)/2,"")</f>
        <v/>
      </c>
      <c r="J201" s="311" t="str">
        <f>IF(C201=1,('BD Comp'!L201+'BD Comp'!M201)/2,"")</f>
        <v/>
      </c>
      <c r="K201" s="311" t="str">
        <f>IF(C201=1,('BD Comp'!O201+'BD Comp'!P201)/2,"")</f>
        <v/>
      </c>
      <c r="L201" s="311" t="str">
        <f>IF(C201=1,('BD Comp'!R201+'BD Comp'!S201)/2,"")</f>
        <v/>
      </c>
      <c r="M201" s="311" t="str">
        <f>IF(C201=1,('BD Comp'!AA201+'BD Comp'!AB201)/2,"")</f>
        <v/>
      </c>
      <c r="N201" s="311" t="str">
        <f>IF(C201=1,('BD Comp'!AJ201+'BD Comp'!AK201)/2,"")</f>
        <v/>
      </c>
      <c r="O201" s="312"/>
      <c r="P201" s="311" t="str">
        <f t="shared" si="1"/>
        <v/>
      </c>
      <c r="Q201" s="95"/>
    </row>
    <row r="202" spans="1:17" ht="14.5">
      <c r="A202" s="7" t="s">
        <v>802</v>
      </c>
      <c r="B202" s="7" t="s">
        <v>803</v>
      </c>
      <c r="C202" s="44">
        <v>1</v>
      </c>
      <c r="D202" s="44" t="str">
        <f t="shared" si="0"/>
        <v>C008998</v>
      </c>
      <c r="E202" s="311">
        <f>IF(C202=1,('BD Comp'!X202+'BD Comp'!Y202)/2,"")</f>
        <v>727373</v>
      </c>
      <c r="F202" s="311">
        <f>IF(C202=1,('BD Comp'!AD202+'BD Comp'!AE202)/2,"")</f>
        <v>22422354.5</v>
      </c>
      <c r="G202" s="311">
        <f>IF(C202=1,('BD Comp'!AP202+'BD Comp'!AQ202)/2,"")</f>
        <v>778546</v>
      </c>
      <c r="H202" s="311">
        <f>IF(C202=1,('BD Comp'!F202+'BD Comp'!G202)/2,"")</f>
        <v>6487143559.6137238</v>
      </c>
      <c r="I202" s="311">
        <f>IF(C202=1,('BD Comp'!I202+'BD Comp'!J202)/2,"")</f>
        <v>328380391.52197027</v>
      </c>
      <c r="J202" s="311">
        <f>IF(C202=1,('BD Comp'!L202+'BD Comp'!M202)/2,"")</f>
        <v>116728898.67678529</v>
      </c>
      <c r="K202" s="311">
        <f>IF(C202=1,('BD Comp'!O202+'BD Comp'!P202)/2,"")</f>
        <v>120753328.62482187</v>
      </c>
      <c r="L202" s="311">
        <f>IF(C202=1,('BD Comp'!R202+'BD Comp'!S202)/2,"")</f>
        <v>84516400.475917712</v>
      </c>
      <c r="M202" s="311">
        <f>IF(C202=1,('BD Comp'!AA202+'BD Comp'!AB202)/2,"")</f>
        <v>1302411.5</v>
      </c>
      <c r="N202" s="311">
        <f>IF(C202=1,('BD Comp'!AJ202+'BD Comp'!AK202)/2,"")</f>
        <v>246569579.69999999</v>
      </c>
      <c r="O202" s="312">
        <v>0.63</v>
      </c>
      <c r="P202" s="311" t="str">
        <f t="shared" si="1"/>
        <v/>
      </c>
      <c r="Q202" s="95"/>
    </row>
    <row r="203" spans="1:17" ht="14.5">
      <c r="A203" s="7" t="s">
        <v>805</v>
      </c>
      <c r="B203" s="7" t="s">
        <v>806</v>
      </c>
      <c r="C203" s="44">
        <v>1</v>
      </c>
      <c r="D203" s="44" t="str">
        <f t="shared" si="0"/>
        <v>C008999</v>
      </c>
      <c r="E203" s="311">
        <f>IF(C203=1,('BD Comp'!X203+'BD Comp'!Y203)/2,"")</f>
        <v>459877.5</v>
      </c>
      <c r="F203" s="311">
        <f>IF(C203=1,('BD Comp'!AD203+'BD Comp'!AE203)/2,"")</f>
        <v>12916819</v>
      </c>
      <c r="G203" s="311">
        <f>IF(C203=1,('BD Comp'!AP203+'BD Comp'!AQ203)/2,"")</f>
        <v>493425</v>
      </c>
      <c r="H203" s="311">
        <f>IF(C203=1,('BD Comp'!F203+'BD Comp'!G203)/2,"")</f>
        <v>4417576089.1155128</v>
      </c>
      <c r="I203" s="311">
        <f>IF(C203=1,('BD Comp'!I203+'BD Comp'!J203)/2,"")</f>
        <v>211851573.07232344</v>
      </c>
      <c r="J203" s="311">
        <f>IF(C203=1,('BD Comp'!L203+'BD Comp'!M203)/2,"")</f>
        <v>77506438.615436658</v>
      </c>
      <c r="K203" s="311">
        <f>IF(C203=1,('BD Comp'!O203+'BD Comp'!P203)/2,"")</f>
        <v>46670893.426241174</v>
      </c>
      <c r="L203" s="311">
        <f>IF(C203=1,('BD Comp'!R203+'BD Comp'!S203)/2,"")</f>
        <v>72039773.550594121</v>
      </c>
      <c r="M203" s="311">
        <f>IF(C203=1,('BD Comp'!AA203+'BD Comp'!AB203)/2,"")</f>
        <v>746020</v>
      </c>
      <c r="N203" s="311">
        <f>IF(C203=1,('BD Comp'!AJ203+'BD Comp'!AK203)/2,"")</f>
        <v>143155796.19999999</v>
      </c>
      <c r="O203" s="312">
        <v>0.65500000000000003</v>
      </c>
      <c r="P203" s="311" t="str">
        <f t="shared" si="1"/>
        <v/>
      </c>
      <c r="Q203" s="95"/>
    </row>
    <row r="204" spans="1:17" ht="14.5" hidden="1">
      <c r="A204" s="7" t="s">
        <v>808</v>
      </c>
      <c r="B204" s="7" t="s">
        <v>809</v>
      </c>
      <c r="C204" s="44"/>
      <c r="D204" s="44" t="str">
        <f t="shared" si="0"/>
        <v>C009068</v>
      </c>
      <c r="E204" s="311" t="str">
        <f>IF(C204=1,('BD Comp'!X204+'BD Comp'!Y204)/2,"")</f>
        <v/>
      </c>
      <c r="F204" s="311" t="str">
        <f>IF(C204=1,('BD Comp'!AD204+'BD Comp'!AE204)/2,"")</f>
        <v/>
      </c>
      <c r="G204" s="311" t="str">
        <f>IF(C204=1,('BD Comp'!AP204+'BD Comp'!AQ204)/2,"")</f>
        <v/>
      </c>
      <c r="H204" s="311" t="str">
        <f>IF(C204=1,('BD Comp'!F204+'BD Comp'!G204)/2,"")</f>
        <v/>
      </c>
      <c r="I204" s="311" t="str">
        <f>IF(C204=1,('BD Comp'!I204+'BD Comp'!J204)/2,"")</f>
        <v/>
      </c>
      <c r="J204" s="311" t="str">
        <f>IF(C204=1,('BD Comp'!L204+'BD Comp'!M204)/2,"")</f>
        <v/>
      </c>
      <c r="K204" s="311" t="str">
        <f>IF(C204=1,('BD Comp'!O204+'BD Comp'!P204)/2,"")</f>
        <v/>
      </c>
      <c r="L204" s="311" t="str">
        <f>IF(C204=1,('BD Comp'!R204+'BD Comp'!S204)/2,"")</f>
        <v/>
      </c>
      <c r="M204" s="311" t="str">
        <f>IF(C204=1,('BD Comp'!AA204+'BD Comp'!AB204)/2,"")</f>
        <v/>
      </c>
      <c r="N204" s="311" t="str">
        <f>IF(C204=1,('BD Comp'!AJ204+'BD Comp'!AK204)/2,"")</f>
        <v/>
      </c>
      <c r="O204" s="312"/>
      <c r="P204" s="311" t="str">
        <f t="shared" si="1"/>
        <v/>
      </c>
      <c r="Q204" s="95"/>
    </row>
    <row r="205" spans="1:17" ht="14.5" hidden="1">
      <c r="A205" s="7" t="s">
        <v>811</v>
      </c>
      <c r="B205" s="7" t="s">
        <v>812</v>
      </c>
      <c r="C205" s="44"/>
      <c r="D205" s="44" t="str">
        <f t="shared" si="0"/>
        <v>C010151</v>
      </c>
      <c r="E205" s="311" t="str">
        <f>IF(C205=1,('BD Comp'!X205+'BD Comp'!Y205)/2,"")</f>
        <v/>
      </c>
      <c r="F205" s="311" t="str">
        <f>IF(C205=1,('BD Comp'!AD205+'BD Comp'!AE205)/2,"")</f>
        <v/>
      </c>
      <c r="G205" s="311" t="str">
        <f>IF(C205=1,('BD Comp'!AP205+'BD Comp'!AQ205)/2,"")</f>
        <v/>
      </c>
      <c r="H205" s="311" t="str">
        <f>IF(C205=1,('BD Comp'!F205+'BD Comp'!G205)/2,"")</f>
        <v/>
      </c>
      <c r="I205" s="311" t="str">
        <f>IF(C205=1,('BD Comp'!I205+'BD Comp'!J205)/2,"")</f>
        <v/>
      </c>
      <c r="J205" s="311" t="str">
        <f>IF(C205=1,('BD Comp'!L205+'BD Comp'!M205)/2,"")</f>
        <v/>
      </c>
      <c r="K205" s="311" t="str">
        <f>IF(C205=1,('BD Comp'!O205+'BD Comp'!P205)/2,"")</f>
        <v/>
      </c>
      <c r="L205" s="311" t="str">
        <f>IF(C205=1,('BD Comp'!R205+'BD Comp'!S205)/2,"")</f>
        <v/>
      </c>
      <c r="M205" s="311" t="str">
        <f>IF(C205=1,('BD Comp'!AA205+'BD Comp'!AB205)/2,"")</f>
        <v/>
      </c>
      <c r="N205" s="311" t="str">
        <f>IF(C205=1,('BD Comp'!AJ205+'BD Comp'!AK205)/2,"")</f>
        <v/>
      </c>
      <c r="O205" s="312"/>
      <c r="P205" s="311" t="str">
        <f t="shared" si="1"/>
        <v/>
      </c>
      <c r="Q205" s="95"/>
    </row>
    <row r="206" spans="1:17" ht="14.5" hidden="1">
      <c r="A206" s="7" t="s">
        <v>814</v>
      </c>
      <c r="B206" s="7" t="s">
        <v>815</v>
      </c>
      <c r="C206" s="44"/>
      <c r="D206" s="44" t="str">
        <f t="shared" si="0"/>
        <v>C010388</v>
      </c>
      <c r="E206" s="311" t="str">
        <f>IF(C206=1,('BD Comp'!X206+'BD Comp'!Y206)/2,"")</f>
        <v/>
      </c>
      <c r="F206" s="311" t="str">
        <f>IF(C206=1,('BD Comp'!AD206+'BD Comp'!AE206)/2,"")</f>
        <v/>
      </c>
      <c r="G206" s="311" t="str">
        <f>IF(C206=1,('BD Comp'!AP206+'BD Comp'!AQ206)/2,"")</f>
        <v/>
      </c>
      <c r="H206" s="311" t="str">
        <f>IF(C206=1,('BD Comp'!F206+'BD Comp'!G206)/2,"")</f>
        <v/>
      </c>
      <c r="I206" s="311" t="str">
        <f>IF(C206=1,('BD Comp'!I206+'BD Comp'!J206)/2,"")</f>
        <v/>
      </c>
      <c r="J206" s="311" t="str">
        <f>IF(C206=1,('BD Comp'!L206+'BD Comp'!M206)/2,"")</f>
        <v/>
      </c>
      <c r="K206" s="311" t="str">
        <f>IF(C206=1,('BD Comp'!O206+'BD Comp'!P206)/2,"")</f>
        <v/>
      </c>
      <c r="L206" s="311" t="str">
        <f>IF(C206=1,('BD Comp'!R206+'BD Comp'!S206)/2,"")</f>
        <v/>
      </c>
      <c r="M206" s="311" t="str">
        <f>IF(C206=1,('BD Comp'!AA206+'BD Comp'!AB206)/2,"")</f>
        <v/>
      </c>
      <c r="N206" s="311" t="str">
        <f>IF(C206=1,('BD Comp'!AJ206+'BD Comp'!AK206)/2,"")</f>
        <v/>
      </c>
      <c r="O206" s="312"/>
      <c r="P206" s="311" t="str">
        <f t="shared" si="1"/>
        <v/>
      </c>
      <c r="Q206" s="95"/>
    </row>
    <row r="207" spans="1:17" ht="14.5" hidden="1">
      <c r="A207" s="7" t="s">
        <v>817</v>
      </c>
      <c r="B207" s="7" t="s">
        <v>818</v>
      </c>
      <c r="C207" s="44"/>
      <c r="D207" s="44" t="str">
        <f t="shared" si="0"/>
        <v>C010432</v>
      </c>
      <c r="E207" s="311" t="str">
        <f>IF(C207=1,('BD Comp'!X207+'BD Comp'!Y207)/2,"")</f>
        <v/>
      </c>
      <c r="F207" s="311" t="str">
        <f>IF(C207=1,('BD Comp'!AD207+'BD Comp'!AE207)/2,"")</f>
        <v/>
      </c>
      <c r="G207" s="311" t="str">
        <f>IF(C207=1,('BD Comp'!AP207+'BD Comp'!AQ207)/2,"")</f>
        <v/>
      </c>
      <c r="H207" s="311" t="str">
        <f>IF(C207=1,('BD Comp'!F207+'BD Comp'!G207)/2,"")</f>
        <v/>
      </c>
      <c r="I207" s="311" t="str">
        <f>IF(C207=1,('BD Comp'!I207+'BD Comp'!J207)/2,"")</f>
        <v/>
      </c>
      <c r="J207" s="311" t="str">
        <f>IF(C207=1,('BD Comp'!L207+'BD Comp'!M207)/2,"")</f>
        <v/>
      </c>
      <c r="K207" s="311" t="str">
        <f>IF(C207=1,('BD Comp'!O207+'BD Comp'!P207)/2,"")</f>
        <v/>
      </c>
      <c r="L207" s="311" t="str">
        <f>IF(C207=1,('BD Comp'!R207+'BD Comp'!S207)/2,"")</f>
        <v/>
      </c>
      <c r="M207" s="311" t="str">
        <f>IF(C207=1,('BD Comp'!AA207+'BD Comp'!AB207)/2,"")</f>
        <v/>
      </c>
      <c r="N207" s="311" t="str">
        <f>IF(C207=1,('BD Comp'!AJ207+'BD Comp'!AK207)/2,"")</f>
        <v/>
      </c>
      <c r="O207" s="312"/>
      <c r="P207" s="311" t="str">
        <f t="shared" si="1"/>
        <v/>
      </c>
      <c r="Q207" s="95"/>
    </row>
    <row r="208" spans="1:17" ht="14.5" hidden="1">
      <c r="A208" s="7" t="s">
        <v>820</v>
      </c>
      <c r="B208" s="7" t="s">
        <v>821</v>
      </c>
      <c r="C208" s="44"/>
      <c r="D208" s="44" t="str">
        <f t="shared" si="0"/>
        <v>C010446</v>
      </c>
      <c r="E208" s="311" t="str">
        <f>IF(C208=1,('BD Comp'!X208+'BD Comp'!Y208)/2,"")</f>
        <v/>
      </c>
      <c r="F208" s="311" t="str">
        <f>IF(C208=1,('BD Comp'!AD208+'BD Comp'!AE208)/2,"")</f>
        <v/>
      </c>
      <c r="G208" s="311" t="str">
        <f>IF(C208=1,('BD Comp'!AP208+'BD Comp'!AQ208)/2,"")</f>
        <v/>
      </c>
      <c r="H208" s="311" t="str">
        <f>IF(C208=1,('BD Comp'!F208+'BD Comp'!G208)/2,"")</f>
        <v/>
      </c>
      <c r="I208" s="311" t="str">
        <f>IF(C208=1,('BD Comp'!I208+'BD Comp'!J208)/2,"")</f>
        <v/>
      </c>
      <c r="J208" s="311" t="str">
        <f>IF(C208=1,('BD Comp'!L208+'BD Comp'!M208)/2,"")</f>
        <v/>
      </c>
      <c r="K208" s="311" t="str">
        <f>IF(C208=1,('BD Comp'!O208+'BD Comp'!P208)/2,"")</f>
        <v/>
      </c>
      <c r="L208" s="311" t="str">
        <f>IF(C208=1,('BD Comp'!R208+'BD Comp'!S208)/2,"")</f>
        <v/>
      </c>
      <c r="M208" s="311" t="str">
        <f>IF(C208=1,('BD Comp'!AA208+'BD Comp'!AB208)/2,"")</f>
        <v/>
      </c>
      <c r="N208" s="311" t="str">
        <f>IF(C208=1,('BD Comp'!AJ208+'BD Comp'!AK208)/2,"")</f>
        <v/>
      </c>
      <c r="O208" s="312"/>
      <c r="P208" s="311" t="str">
        <f t="shared" si="1"/>
        <v/>
      </c>
      <c r="Q208" s="95"/>
    </row>
    <row r="209" spans="1:17" ht="14.5" hidden="1">
      <c r="A209" s="7" t="s">
        <v>823</v>
      </c>
      <c r="B209" s="7" t="s">
        <v>824</v>
      </c>
      <c r="C209" s="44"/>
      <c r="D209" s="44" t="str">
        <f t="shared" si="0"/>
        <v>C010464</v>
      </c>
      <c r="E209" s="311" t="str">
        <f>IF(C209=1,('BD Comp'!X209+'BD Comp'!Y209)/2,"")</f>
        <v/>
      </c>
      <c r="F209" s="311" t="str">
        <f>IF(C209=1,('BD Comp'!AD209+'BD Comp'!AE209)/2,"")</f>
        <v/>
      </c>
      <c r="G209" s="311" t="str">
        <f>IF(C209=1,('BD Comp'!AP209+'BD Comp'!AQ209)/2,"")</f>
        <v/>
      </c>
      <c r="H209" s="311" t="str">
        <f>IF(C209=1,('BD Comp'!F209+'BD Comp'!G209)/2,"")</f>
        <v/>
      </c>
      <c r="I209" s="311" t="str">
        <f>IF(C209=1,('BD Comp'!I209+'BD Comp'!J209)/2,"")</f>
        <v/>
      </c>
      <c r="J209" s="311" t="str">
        <f>IF(C209=1,('BD Comp'!L209+'BD Comp'!M209)/2,"")</f>
        <v/>
      </c>
      <c r="K209" s="311" t="str">
        <f>IF(C209=1,('BD Comp'!O209+'BD Comp'!P209)/2,"")</f>
        <v/>
      </c>
      <c r="L209" s="311" t="str">
        <f>IF(C209=1,('BD Comp'!R209+'BD Comp'!S209)/2,"")</f>
        <v/>
      </c>
      <c r="M209" s="311" t="str">
        <f>IF(C209=1,('BD Comp'!AA209+'BD Comp'!AB209)/2,"")</f>
        <v/>
      </c>
      <c r="N209" s="311" t="str">
        <f>IF(C209=1,('BD Comp'!AJ209+'BD Comp'!AK209)/2,"")</f>
        <v/>
      </c>
      <c r="O209" s="312"/>
      <c r="P209" s="311" t="str">
        <f t="shared" si="1"/>
        <v/>
      </c>
      <c r="Q209" s="95"/>
    </row>
    <row r="210" spans="1:17" ht="14.5" hidden="1">
      <c r="A210" s="7" t="s">
        <v>826</v>
      </c>
      <c r="B210" s="7" t="s">
        <v>827</v>
      </c>
      <c r="C210" s="44"/>
      <c r="D210" s="44" t="str">
        <f t="shared" si="0"/>
        <v>C010473</v>
      </c>
      <c r="E210" s="311" t="str">
        <f>IF(C210=1,('BD Comp'!X210+'BD Comp'!Y210)/2,"")</f>
        <v/>
      </c>
      <c r="F210" s="311" t="str">
        <f>IF(C210=1,('BD Comp'!AD210+'BD Comp'!AE210)/2,"")</f>
        <v/>
      </c>
      <c r="G210" s="311" t="str">
        <f>IF(C210=1,('BD Comp'!AP210+'BD Comp'!AQ210)/2,"")</f>
        <v/>
      </c>
      <c r="H210" s="311" t="str">
        <f>IF(C210=1,('BD Comp'!F210+'BD Comp'!G210)/2,"")</f>
        <v/>
      </c>
      <c r="I210" s="311" t="str">
        <f>IF(C210=1,('BD Comp'!I210+'BD Comp'!J210)/2,"")</f>
        <v/>
      </c>
      <c r="J210" s="311" t="str">
        <f>IF(C210=1,('BD Comp'!L210+'BD Comp'!M210)/2,"")</f>
        <v/>
      </c>
      <c r="K210" s="311" t="str">
        <f>IF(C210=1,('BD Comp'!O210+'BD Comp'!P210)/2,"")</f>
        <v/>
      </c>
      <c r="L210" s="311" t="str">
        <f>IF(C210=1,('BD Comp'!R210+'BD Comp'!S210)/2,"")</f>
        <v/>
      </c>
      <c r="M210" s="311" t="str">
        <f>IF(C210=1,('BD Comp'!AA210+'BD Comp'!AB210)/2,"")</f>
        <v/>
      </c>
      <c r="N210" s="311" t="str">
        <f>IF(C210=1,('BD Comp'!AJ210+'BD Comp'!AK210)/2,"")</f>
        <v/>
      </c>
      <c r="O210" s="312"/>
      <c r="P210" s="311" t="str">
        <f t="shared" si="1"/>
        <v/>
      </c>
      <c r="Q210" s="95"/>
    </row>
    <row r="211" spans="1:17" ht="14.5" hidden="1">
      <c r="A211" s="7" t="s">
        <v>829</v>
      </c>
      <c r="B211" s="7" t="s">
        <v>830</v>
      </c>
      <c r="C211" s="44"/>
      <c r="D211" s="44" t="str">
        <f t="shared" si="0"/>
        <v>C010474</v>
      </c>
      <c r="E211" s="311" t="str">
        <f>IF(C211=1,('BD Comp'!X211+'BD Comp'!Y211)/2,"")</f>
        <v/>
      </c>
      <c r="F211" s="311" t="str">
        <f>IF(C211=1,('BD Comp'!AD211+'BD Comp'!AE211)/2,"")</f>
        <v/>
      </c>
      <c r="G211" s="311" t="str">
        <f>IF(C211=1,('BD Comp'!AP211+'BD Comp'!AQ211)/2,"")</f>
        <v/>
      </c>
      <c r="H211" s="311" t="str">
        <f>IF(C211=1,('BD Comp'!F211+'BD Comp'!G211)/2,"")</f>
        <v/>
      </c>
      <c r="I211" s="311" t="str">
        <f>IF(C211=1,('BD Comp'!I211+'BD Comp'!J211)/2,"")</f>
        <v/>
      </c>
      <c r="J211" s="311" t="str">
        <f>IF(C211=1,('BD Comp'!L211+'BD Comp'!M211)/2,"")</f>
        <v/>
      </c>
      <c r="K211" s="311" t="str">
        <f>IF(C211=1,('BD Comp'!O211+'BD Comp'!P211)/2,"")</f>
        <v/>
      </c>
      <c r="L211" s="311" t="str">
        <f>IF(C211=1,('BD Comp'!R211+'BD Comp'!S211)/2,"")</f>
        <v/>
      </c>
      <c r="M211" s="311" t="str">
        <f>IF(C211=1,('BD Comp'!AA211+'BD Comp'!AB211)/2,"")</f>
        <v/>
      </c>
      <c r="N211" s="311" t="str">
        <f>IF(C211=1,('BD Comp'!AJ211+'BD Comp'!AK211)/2,"")</f>
        <v/>
      </c>
      <c r="O211" s="312"/>
      <c r="P211" s="311" t="str">
        <f t="shared" si="1"/>
        <v/>
      </c>
      <c r="Q211" s="95"/>
    </row>
    <row r="212" spans="1:17" ht="14.5" hidden="1">
      <c r="A212" s="7" t="s">
        <v>832</v>
      </c>
      <c r="B212" s="7" t="s">
        <v>833</v>
      </c>
      <c r="C212" s="44"/>
      <c r="D212" s="44" t="str">
        <f t="shared" si="0"/>
        <v>C010523</v>
      </c>
      <c r="E212" s="311" t="str">
        <f>IF(C212=1,('BD Comp'!X212+'BD Comp'!Y212)/2,"")</f>
        <v/>
      </c>
      <c r="F212" s="311" t="str">
        <f>IF(C212=1,('BD Comp'!AD212+'BD Comp'!AE212)/2,"")</f>
        <v/>
      </c>
      <c r="G212" s="311" t="str">
        <f>IF(C212=1,('BD Comp'!AP212+'BD Comp'!AQ212)/2,"")</f>
        <v/>
      </c>
      <c r="H212" s="311" t="str">
        <f>IF(C212=1,('BD Comp'!F212+'BD Comp'!G212)/2,"")</f>
        <v/>
      </c>
      <c r="I212" s="311" t="str">
        <f>IF(C212=1,('BD Comp'!I212+'BD Comp'!J212)/2,"")</f>
        <v/>
      </c>
      <c r="J212" s="311" t="str">
        <f>IF(C212=1,('BD Comp'!L212+'BD Comp'!M212)/2,"")</f>
        <v/>
      </c>
      <c r="K212" s="311" t="str">
        <f>IF(C212=1,('BD Comp'!O212+'BD Comp'!P212)/2,"")</f>
        <v/>
      </c>
      <c r="L212" s="311" t="str">
        <f>IF(C212=1,('BD Comp'!R212+'BD Comp'!S212)/2,"")</f>
        <v/>
      </c>
      <c r="M212" s="311" t="str">
        <f>IF(C212=1,('BD Comp'!AA212+'BD Comp'!AB212)/2,"")</f>
        <v/>
      </c>
      <c r="N212" s="311" t="str">
        <f>IF(C212=1,('BD Comp'!AJ212+'BD Comp'!AK212)/2,"")</f>
        <v/>
      </c>
      <c r="O212" s="312"/>
      <c r="P212" s="311" t="str">
        <f t="shared" si="1"/>
        <v/>
      </c>
      <c r="Q212" s="95"/>
    </row>
    <row r="213" spans="1:17" ht="14.5" hidden="1">
      <c r="A213" s="7" t="s">
        <v>835</v>
      </c>
      <c r="B213" s="7" t="s">
        <v>836</v>
      </c>
      <c r="C213" s="44"/>
      <c r="D213" s="44" t="str">
        <f t="shared" si="0"/>
        <v>C010845</v>
      </c>
      <c r="E213" s="311" t="str">
        <f>IF(C213=1,('BD Comp'!X213+'BD Comp'!Y213)/2,"")</f>
        <v/>
      </c>
      <c r="F213" s="311" t="str">
        <f>IF(C213=1,('BD Comp'!AD213+'BD Comp'!AE213)/2,"")</f>
        <v/>
      </c>
      <c r="G213" s="311" t="str">
        <f>IF(C213=1,('BD Comp'!AP213+'BD Comp'!AQ213)/2,"")</f>
        <v/>
      </c>
      <c r="H213" s="311" t="str">
        <f>IF(C213=1,('BD Comp'!F213+'BD Comp'!G213)/2,"")</f>
        <v/>
      </c>
      <c r="I213" s="311" t="str">
        <f>IF(C213=1,('BD Comp'!I213+'BD Comp'!J213)/2,"")</f>
        <v/>
      </c>
      <c r="J213" s="311" t="str">
        <f>IF(C213=1,('BD Comp'!L213+'BD Comp'!M213)/2,"")</f>
        <v/>
      </c>
      <c r="K213" s="311" t="str">
        <f>IF(C213=1,('BD Comp'!O213+'BD Comp'!P213)/2,"")</f>
        <v/>
      </c>
      <c r="L213" s="311" t="str">
        <f>IF(C213=1,('BD Comp'!R213+'BD Comp'!S213)/2,"")</f>
        <v/>
      </c>
      <c r="M213" s="311" t="str">
        <f>IF(C213=1,('BD Comp'!AA213+'BD Comp'!AB213)/2,"")</f>
        <v/>
      </c>
      <c r="N213" s="311" t="str">
        <f>IF(C213=1,('BD Comp'!AJ213+'BD Comp'!AK213)/2,"")</f>
        <v/>
      </c>
      <c r="O213" s="312"/>
      <c r="P213" s="311" t="str">
        <f t="shared" si="1"/>
        <v/>
      </c>
      <c r="Q213" s="95"/>
    </row>
    <row r="214" spans="1:17" ht="14.5" hidden="1">
      <c r="A214" s="7" t="s">
        <v>1316</v>
      </c>
      <c r="B214" s="7" t="s">
        <v>1317</v>
      </c>
      <c r="C214" s="44"/>
      <c r="D214" s="44" t="str">
        <f t="shared" si="0"/>
        <v>C010996</v>
      </c>
      <c r="E214" s="311" t="str">
        <f>IF(C214=1,('BD Comp'!X214+'BD Comp'!Y214)/2,"")</f>
        <v/>
      </c>
      <c r="F214" s="311" t="str">
        <f>IF(C214=1,('BD Comp'!AD214+'BD Comp'!AE214)/2,"")</f>
        <v/>
      </c>
      <c r="G214" s="311" t="str">
        <f>IF(C214=1,('BD Comp'!AP214+'BD Comp'!AQ214)/2,"")</f>
        <v/>
      </c>
      <c r="H214" s="311" t="str">
        <f>IF(C214=1,('BD Comp'!F214+'BD Comp'!G214)/2,"")</f>
        <v/>
      </c>
      <c r="I214" s="311" t="str">
        <f>IF(C214=1,('BD Comp'!I214+'BD Comp'!J214)/2,"")</f>
        <v/>
      </c>
      <c r="J214" s="311" t="str">
        <f>IF(C214=1,('BD Comp'!L214+'BD Comp'!M214)/2,"")</f>
        <v/>
      </c>
      <c r="K214" s="311" t="str">
        <f>IF(C214=1,('BD Comp'!O214+'BD Comp'!P214)/2,"")</f>
        <v/>
      </c>
      <c r="L214" s="311" t="str">
        <f>IF(C214=1,('BD Comp'!R214+'BD Comp'!S214)/2,"")</f>
        <v/>
      </c>
      <c r="M214" s="311" t="str">
        <f>IF(C214=1,('BD Comp'!AA214+'BD Comp'!AB214)/2,"")</f>
        <v/>
      </c>
      <c r="N214" s="311" t="str">
        <f>IF(C214=1,('BD Comp'!AJ214+'BD Comp'!AK214)/2,"")</f>
        <v/>
      </c>
      <c r="O214" s="312"/>
      <c r="P214" s="311" t="str">
        <f t="shared" si="1"/>
        <v/>
      </c>
      <c r="Q214" s="95"/>
    </row>
    <row r="215" spans="1:17" ht="14.5" hidden="1">
      <c r="A215" s="7" t="s">
        <v>838</v>
      </c>
      <c r="B215" s="7" t="s">
        <v>839</v>
      </c>
      <c r="C215" s="44"/>
      <c r="D215" s="44" t="str">
        <f t="shared" si="0"/>
        <v>C011100</v>
      </c>
      <c r="E215" s="311" t="str">
        <f>IF(C215=1,('BD Comp'!X215+'BD Comp'!Y215)/2,"")</f>
        <v/>
      </c>
      <c r="F215" s="311" t="str">
        <f>IF(C215=1,('BD Comp'!AD215+'BD Comp'!AE215)/2,"")</f>
        <v/>
      </c>
      <c r="G215" s="311" t="str">
        <f>IF(C215=1,('BD Comp'!AP215+'BD Comp'!AQ215)/2,"")</f>
        <v/>
      </c>
      <c r="H215" s="311" t="str">
        <f>IF(C215=1,('BD Comp'!F215+'BD Comp'!G215)/2,"")</f>
        <v/>
      </c>
      <c r="I215" s="311" t="str">
        <f>IF(C215=1,('BD Comp'!I215+'BD Comp'!J215)/2,"")</f>
        <v/>
      </c>
      <c r="J215" s="311" t="str">
        <f>IF(C215=1,('BD Comp'!L215+'BD Comp'!M215)/2,"")</f>
        <v/>
      </c>
      <c r="K215" s="311" t="str">
        <f>IF(C215=1,('BD Comp'!O215+'BD Comp'!P215)/2,"")</f>
        <v/>
      </c>
      <c r="L215" s="311" t="str">
        <f>IF(C215=1,('BD Comp'!R215+'BD Comp'!S215)/2,"")</f>
        <v/>
      </c>
      <c r="M215" s="311" t="str">
        <f>IF(C215=1,('BD Comp'!AA215+'BD Comp'!AB215)/2,"")</f>
        <v/>
      </c>
      <c r="N215" s="311" t="str">
        <f>IF(C215=1,('BD Comp'!AJ215+'BD Comp'!AK215)/2,"")</f>
        <v/>
      </c>
      <c r="O215" s="312"/>
      <c r="P215" s="311" t="str">
        <f t="shared" si="1"/>
        <v/>
      </c>
      <c r="Q215" s="95"/>
    </row>
    <row r="216" spans="1:17" ht="14.5">
      <c r="A216" s="7" t="s">
        <v>841</v>
      </c>
      <c r="B216" s="7" t="s">
        <v>842</v>
      </c>
      <c r="C216" s="44">
        <v>1</v>
      </c>
      <c r="D216" s="44" t="str">
        <f t="shared" si="0"/>
        <v>C011150</v>
      </c>
      <c r="E216" s="311">
        <f>IF(C216=1,('BD Comp'!X216+'BD Comp'!Y216)/2,"")</f>
        <v>17785</v>
      </c>
      <c r="F216" s="311">
        <f>IF(C216=1,('BD Comp'!AD216+'BD Comp'!AE216)/2,"")</f>
        <v>408381</v>
      </c>
      <c r="G216" s="311">
        <f>IF(C216=1,('BD Comp'!AP216+'BD Comp'!AQ216)/2,"")</f>
        <v>17801.5</v>
      </c>
      <c r="H216" s="311">
        <f>IF(C216=1,('BD Comp'!F216+'BD Comp'!G216)/2,"")</f>
        <v>162710736.25528765</v>
      </c>
      <c r="I216" s="311">
        <f>IF(C216=1,('BD Comp'!I216+'BD Comp'!J216)/2,"")</f>
        <v>22187474.136155188</v>
      </c>
      <c r="J216" s="311">
        <f>IF(C216=1,('BD Comp'!L216+'BD Comp'!M216)/2,"")</f>
        <v>4100877.8248750558</v>
      </c>
      <c r="K216" s="311">
        <f>IF(C216=1,('BD Comp'!O216+'BD Comp'!P216)/2,"")</f>
        <v>2049602.6585303908</v>
      </c>
      <c r="L216" s="311">
        <f>IF(C216=1,('BD Comp'!R216+'BD Comp'!S216)/2,"")</f>
        <v>4151132.3536859518</v>
      </c>
      <c r="M216" s="311">
        <f>IF(C216=1,('BD Comp'!AA216+'BD Comp'!AB216)/2,"")</f>
        <v>18560</v>
      </c>
      <c r="N216" s="311">
        <f>IF(C216=1,('BD Comp'!AJ216+'BD Comp'!AK216)/2,"")</f>
        <v>1903055.16</v>
      </c>
      <c r="O216" s="312">
        <v>1</v>
      </c>
      <c r="P216" s="311">
        <f t="shared" si="1"/>
        <v>1</v>
      </c>
      <c r="Q216" s="95"/>
    </row>
    <row r="217" spans="1:17" ht="14.5">
      <c r="A217" s="7" t="s">
        <v>844</v>
      </c>
      <c r="B217" s="7" t="s">
        <v>845</v>
      </c>
      <c r="C217" s="44">
        <v>1</v>
      </c>
      <c r="D217" s="44" t="str">
        <f t="shared" si="0"/>
        <v>C011163</v>
      </c>
      <c r="E217" s="311">
        <f>IF(C217=1,('BD Comp'!X217+'BD Comp'!Y217)/2,"")</f>
        <v>15278.5</v>
      </c>
      <c r="F217" s="311">
        <f>IF(C217=1,('BD Comp'!AD217+'BD Comp'!AE217)/2,"")</f>
        <v>961616</v>
      </c>
      <c r="G217" s="311">
        <f>IF(C217=1,('BD Comp'!AP217+'BD Comp'!AQ217)/2,"")</f>
        <v>14956</v>
      </c>
      <c r="H217" s="311">
        <f>IF(C217=1,('BD Comp'!F217+'BD Comp'!G217)/2,"")</f>
        <v>67027327.820781678</v>
      </c>
      <c r="I217" s="311">
        <f>IF(C217=1,('BD Comp'!I217+'BD Comp'!J217)/2,"")</f>
        <v>6136035.3764231754</v>
      </c>
      <c r="J217" s="311">
        <f>IF(C217=1,('BD Comp'!L217+'BD Comp'!M217)/2,"")</f>
        <v>1375917.3428775468</v>
      </c>
      <c r="K217" s="311">
        <f>IF(C217=1,('BD Comp'!O217+'BD Comp'!P217)/2,"")</f>
        <v>2267069.7789567746</v>
      </c>
      <c r="L217" s="311">
        <f>IF(C217=1,('BD Comp'!R217+'BD Comp'!S217)/2,"")</f>
        <v>3958149.3869965118</v>
      </c>
      <c r="M217" s="311">
        <f>IF(C217=1,('BD Comp'!AA217+'BD Comp'!AB217)/2,"")</f>
        <v>7135</v>
      </c>
      <c r="N217" s="311">
        <f>IF(C217=1,('BD Comp'!AJ217+'BD Comp'!AK217)/2,"")</f>
        <v>402475.82999999996</v>
      </c>
      <c r="O217" s="312">
        <v>1</v>
      </c>
      <c r="P217" s="311">
        <f t="shared" si="1"/>
        <v>1</v>
      </c>
      <c r="Q217" s="95"/>
    </row>
    <row r="218" spans="1:17" ht="14.5" hidden="1">
      <c r="A218" s="7" t="s">
        <v>847</v>
      </c>
      <c r="B218" s="7" t="s">
        <v>848</v>
      </c>
      <c r="C218" s="44"/>
      <c r="D218" s="44" t="str">
        <f t="shared" si="0"/>
        <v>C011285</v>
      </c>
      <c r="E218" s="311" t="str">
        <f>IF(C218=1,('BD Comp'!X218+'BD Comp'!Y218)/2,"")</f>
        <v/>
      </c>
      <c r="F218" s="311" t="str">
        <f>IF(C218=1,('BD Comp'!AD218+'BD Comp'!AE218)/2,"")</f>
        <v/>
      </c>
      <c r="G218" s="311" t="str">
        <f>IF(C218=1,('BD Comp'!AP218+'BD Comp'!AQ218)/2,"")</f>
        <v/>
      </c>
      <c r="H218" s="311" t="str">
        <f>IF(C218=1,('BD Comp'!F218+'BD Comp'!G218)/2,"")</f>
        <v/>
      </c>
      <c r="I218" s="311" t="str">
        <f>IF(C218=1,('BD Comp'!I218+'BD Comp'!J218)/2,"")</f>
        <v/>
      </c>
      <c r="J218" s="311" t="str">
        <f>IF(C218=1,('BD Comp'!L218+'BD Comp'!M218)/2,"")</f>
        <v/>
      </c>
      <c r="K218" s="311" t="str">
        <f>IF(C218=1,('BD Comp'!O218+'BD Comp'!P218)/2,"")</f>
        <v/>
      </c>
      <c r="L218" s="311" t="str">
        <f>IF(C218=1,('BD Comp'!R218+'BD Comp'!S218)/2,"")</f>
        <v/>
      </c>
      <c r="M218" s="311" t="str">
        <f>IF(C218=1,('BD Comp'!AA218+'BD Comp'!AB218)/2,"")</f>
        <v/>
      </c>
      <c r="N218" s="311" t="str">
        <f>IF(C218=1,('BD Comp'!AJ218+'BD Comp'!AK218)/2,"")</f>
        <v/>
      </c>
      <c r="O218" s="312"/>
      <c r="P218" s="311" t="str">
        <f t="shared" si="1"/>
        <v/>
      </c>
      <c r="Q218" s="95"/>
    </row>
    <row r="219" spans="1:17" ht="14.5" hidden="1">
      <c r="A219" s="7" t="s">
        <v>850</v>
      </c>
      <c r="B219" s="7" t="s">
        <v>851</v>
      </c>
      <c r="C219" s="44"/>
      <c r="D219" s="44" t="str">
        <f t="shared" si="0"/>
        <v>C011301</v>
      </c>
      <c r="E219" s="311" t="str">
        <f>IF(C219=1,('BD Comp'!X219+'BD Comp'!Y219)/2,"")</f>
        <v/>
      </c>
      <c r="F219" s="311" t="str">
        <f>IF(C219=1,('BD Comp'!AD219+'BD Comp'!AE219)/2,"")</f>
        <v/>
      </c>
      <c r="G219" s="311" t="str">
        <f>IF(C219=1,('BD Comp'!AP219+'BD Comp'!AQ219)/2,"")</f>
        <v/>
      </c>
      <c r="H219" s="311" t="str">
        <f>IF(C219=1,('BD Comp'!F219+'BD Comp'!G219)/2,"")</f>
        <v/>
      </c>
      <c r="I219" s="311" t="str">
        <f>IF(C219=1,('BD Comp'!I219+'BD Comp'!J219)/2,"")</f>
        <v/>
      </c>
      <c r="J219" s="311" t="str">
        <f>IF(C219=1,('BD Comp'!L219+'BD Comp'!M219)/2,"")</f>
        <v/>
      </c>
      <c r="K219" s="311" t="str">
        <f>IF(C219=1,('BD Comp'!O219+'BD Comp'!P219)/2,"")</f>
        <v/>
      </c>
      <c r="L219" s="311" t="str">
        <f>IF(C219=1,('BD Comp'!R219+'BD Comp'!S219)/2,"")</f>
        <v/>
      </c>
      <c r="M219" s="311" t="str">
        <f>IF(C219=1,('BD Comp'!AA219+'BD Comp'!AB219)/2,"")</f>
        <v/>
      </c>
      <c r="N219" s="311" t="str">
        <f>IF(C219=1,('BD Comp'!AJ219+'BD Comp'!AK219)/2,"")</f>
        <v/>
      </c>
      <c r="O219" s="312"/>
      <c r="P219" s="311" t="str">
        <f t="shared" si="1"/>
        <v/>
      </c>
      <c r="Q219" s="95"/>
    </row>
    <row r="220" spans="1:17" ht="14.5" hidden="1">
      <c r="A220" s="7" t="s">
        <v>853</v>
      </c>
      <c r="B220" s="7" t="s">
        <v>854</v>
      </c>
      <c r="C220" s="44"/>
      <c r="D220" s="44" t="str">
        <f t="shared" si="0"/>
        <v>C011302</v>
      </c>
      <c r="E220" s="311" t="str">
        <f>IF(C220=1,('BD Comp'!X220+'BD Comp'!Y220)/2,"")</f>
        <v/>
      </c>
      <c r="F220" s="311" t="str">
        <f>IF(C220=1,('BD Comp'!AD220+'BD Comp'!AE220)/2,"")</f>
        <v/>
      </c>
      <c r="G220" s="311" t="str">
        <f>IF(C220=1,('BD Comp'!AP220+'BD Comp'!AQ220)/2,"")</f>
        <v/>
      </c>
      <c r="H220" s="311" t="str">
        <f>IF(C220=1,('BD Comp'!F220+'BD Comp'!G220)/2,"")</f>
        <v/>
      </c>
      <c r="I220" s="311" t="str">
        <f>IF(C220=1,('BD Comp'!I220+'BD Comp'!J220)/2,"")</f>
        <v/>
      </c>
      <c r="J220" s="311" t="str">
        <f>IF(C220=1,('BD Comp'!L220+'BD Comp'!M220)/2,"")</f>
        <v/>
      </c>
      <c r="K220" s="311" t="str">
        <f>IF(C220=1,('BD Comp'!O220+'BD Comp'!P220)/2,"")</f>
        <v/>
      </c>
      <c r="L220" s="311" t="str">
        <f>IF(C220=1,('BD Comp'!R220+'BD Comp'!S220)/2,"")</f>
        <v/>
      </c>
      <c r="M220" s="311" t="str">
        <f>IF(C220=1,('BD Comp'!AA220+'BD Comp'!AB220)/2,"")</f>
        <v/>
      </c>
      <c r="N220" s="311" t="str">
        <f>IF(C220=1,('BD Comp'!AJ220+'BD Comp'!AK220)/2,"")</f>
        <v/>
      </c>
      <c r="O220" s="312"/>
      <c r="P220" s="311" t="str">
        <f t="shared" si="1"/>
        <v/>
      </c>
      <c r="Q220" s="95"/>
    </row>
    <row r="221" spans="1:17" ht="14.5" hidden="1">
      <c r="A221" s="7" t="s">
        <v>856</v>
      </c>
      <c r="B221" s="7" t="s">
        <v>857</v>
      </c>
      <c r="C221" s="44"/>
      <c r="D221" s="44" t="str">
        <f t="shared" si="0"/>
        <v>C011304</v>
      </c>
      <c r="E221" s="311" t="str">
        <f>IF(C221=1,('BD Comp'!X221+'BD Comp'!Y221)/2,"")</f>
        <v/>
      </c>
      <c r="F221" s="311" t="str">
        <f>IF(C221=1,('BD Comp'!AD221+'BD Comp'!AE221)/2,"")</f>
        <v/>
      </c>
      <c r="G221" s="311" t="str">
        <f>IF(C221=1,('BD Comp'!AP221+'BD Comp'!AQ221)/2,"")</f>
        <v/>
      </c>
      <c r="H221" s="311" t="str">
        <f>IF(C221=1,('BD Comp'!F221+'BD Comp'!G221)/2,"")</f>
        <v/>
      </c>
      <c r="I221" s="311" t="str">
        <f>IF(C221=1,('BD Comp'!I221+'BD Comp'!J221)/2,"")</f>
        <v/>
      </c>
      <c r="J221" s="311" t="str">
        <f>IF(C221=1,('BD Comp'!L221+'BD Comp'!M221)/2,"")</f>
        <v/>
      </c>
      <c r="K221" s="311" t="str">
        <f>IF(C221=1,('BD Comp'!O221+'BD Comp'!P221)/2,"")</f>
        <v/>
      </c>
      <c r="L221" s="311" t="str">
        <f>IF(C221=1,('BD Comp'!R221+'BD Comp'!S221)/2,"")</f>
        <v/>
      </c>
      <c r="M221" s="311" t="str">
        <f>IF(C221=1,('BD Comp'!AA221+'BD Comp'!AB221)/2,"")</f>
        <v/>
      </c>
      <c r="N221" s="311" t="str">
        <f>IF(C221=1,('BD Comp'!AJ221+'BD Comp'!AK221)/2,"")</f>
        <v/>
      </c>
      <c r="O221" s="312"/>
      <c r="P221" s="311" t="str">
        <f t="shared" si="1"/>
        <v/>
      </c>
      <c r="Q221" s="95"/>
    </row>
    <row r="222" spans="1:17" ht="14.5" hidden="1">
      <c r="A222" s="7" t="s">
        <v>859</v>
      </c>
      <c r="B222" s="7" t="s">
        <v>860</v>
      </c>
      <c r="C222" s="44"/>
      <c r="D222" s="44" t="str">
        <f t="shared" si="0"/>
        <v>C011318</v>
      </c>
      <c r="E222" s="311" t="str">
        <f>IF(C222=1,('BD Comp'!X222+'BD Comp'!Y222)/2,"")</f>
        <v/>
      </c>
      <c r="F222" s="311" t="str">
        <f>IF(C222=1,('BD Comp'!AD222+'BD Comp'!AE222)/2,"")</f>
        <v/>
      </c>
      <c r="G222" s="311" t="str">
        <f>IF(C222=1,('BD Comp'!AP222+'BD Comp'!AQ222)/2,"")</f>
        <v/>
      </c>
      <c r="H222" s="311" t="str">
        <f>IF(C222=1,('BD Comp'!F222+'BD Comp'!G222)/2,"")</f>
        <v/>
      </c>
      <c r="I222" s="311" t="str">
        <f>IF(C222=1,('BD Comp'!I222+'BD Comp'!J222)/2,"")</f>
        <v/>
      </c>
      <c r="J222" s="311" t="str">
        <f>IF(C222=1,('BD Comp'!L222+'BD Comp'!M222)/2,"")</f>
        <v/>
      </c>
      <c r="K222" s="311" t="str">
        <f>IF(C222=1,('BD Comp'!O222+'BD Comp'!P222)/2,"")</f>
        <v/>
      </c>
      <c r="L222" s="311" t="str">
        <f>IF(C222=1,('BD Comp'!R222+'BD Comp'!S222)/2,"")</f>
        <v/>
      </c>
      <c r="M222" s="311" t="str">
        <f>IF(C222=1,('BD Comp'!AA222+'BD Comp'!AB222)/2,"")</f>
        <v/>
      </c>
      <c r="N222" s="311" t="str">
        <f>IF(C222=1,('BD Comp'!AJ222+'BD Comp'!AK222)/2,"")</f>
        <v/>
      </c>
      <c r="O222" s="312"/>
      <c r="P222" s="311" t="str">
        <f t="shared" si="1"/>
        <v/>
      </c>
      <c r="Q222" s="95"/>
    </row>
    <row r="223" spans="1:17" ht="14.5">
      <c r="A223" s="7" t="s">
        <v>862</v>
      </c>
      <c r="B223" s="7" t="s">
        <v>863</v>
      </c>
      <c r="C223" s="44">
        <v>1</v>
      </c>
      <c r="D223" s="44" t="str">
        <f t="shared" si="0"/>
        <v>C011423</v>
      </c>
      <c r="E223" s="311">
        <f>IF(C223=1,('BD Comp'!X223+'BD Comp'!Y223)/2,"")</f>
        <v>50188.5</v>
      </c>
      <c r="F223" s="311">
        <f>IF(C223=1,('BD Comp'!AD223+'BD Comp'!AE223)/2,"")</f>
        <v>1485633</v>
      </c>
      <c r="G223" s="311">
        <f>IF(C223=1,('BD Comp'!AP223+'BD Comp'!AQ223)/2,"")</f>
        <v>50320.5</v>
      </c>
      <c r="H223" s="311">
        <f>IF(C223=1,('BD Comp'!F223+'BD Comp'!G223)/2,"")</f>
        <v>499173469.92791855</v>
      </c>
      <c r="I223" s="311">
        <f>IF(C223=1,('BD Comp'!I223+'BD Comp'!J223)/2,"")</f>
        <v>32760060.761473067</v>
      </c>
      <c r="J223" s="311">
        <f>IF(C223=1,('BD Comp'!L223+'BD Comp'!M223)/2,"")</f>
        <v>8479421.2144445144</v>
      </c>
      <c r="K223" s="311">
        <f>IF(C223=1,('BD Comp'!O223+'BD Comp'!P223)/2,"")</f>
        <v>3299671.7670706483</v>
      </c>
      <c r="L223" s="311">
        <f>IF(C223=1,('BD Comp'!R223+'BD Comp'!S223)/2,"")</f>
        <v>6380466.3408290464</v>
      </c>
      <c r="M223" s="311">
        <f>IF(C223=1,('BD Comp'!AA223+'BD Comp'!AB223)/2,"")</f>
        <v>201766</v>
      </c>
      <c r="N223" s="311">
        <f>IF(C223=1,('BD Comp'!AJ223+'BD Comp'!AK223)/2,"")</f>
        <v>8581364.0999999996</v>
      </c>
      <c r="O223" s="312">
        <v>0.65100000000000002</v>
      </c>
      <c r="P223" s="311" t="str">
        <f t="shared" si="1"/>
        <v/>
      </c>
      <c r="Q223" s="95"/>
    </row>
    <row r="224" spans="1:17" ht="14.5" hidden="1">
      <c r="A224" s="7" t="s">
        <v>865</v>
      </c>
      <c r="B224" s="7" t="s">
        <v>866</v>
      </c>
      <c r="C224" s="44"/>
      <c r="D224" s="44" t="str">
        <f t="shared" si="0"/>
        <v>C011644</v>
      </c>
      <c r="E224" s="311" t="str">
        <f>IF(C224=1,('BD Comp'!X224+'BD Comp'!Y224)/2,"")</f>
        <v/>
      </c>
      <c r="F224" s="311" t="str">
        <f>IF(C224=1,('BD Comp'!AD224+'BD Comp'!AE224)/2,"")</f>
        <v/>
      </c>
      <c r="G224" s="311" t="str">
        <f>IF(C224=1,('BD Comp'!AP224+'BD Comp'!AQ224)/2,"")</f>
        <v/>
      </c>
      <c r="H224" s="311" t="str">
        <f>IF(C224=1,('BD Comp'!F224+'BD Comp'!G224)/2,"")</f>
        <v/>
      </c>
      <c r="I224" s="311" t="str">
        <f>IF(C224=1,('BD Comp'!I224+'BD Comp'!J224)/2,"")</f>
        <v/>
      </c>
      <c r="J224" s="311" t="str">
        <f>IF(C224=1,('BD Comp'!L224+'BD Comp'!M224)/2,"")</f>
        <v/>
      </c>
      <c r="K224" s="311" t="str">
        <f>IF(C224=1,('BD Comp'!O224+'BD Comp'!P224)/2,"")</f>
        <v/>
      </c>
      <c r="L224" s="311" t="str">
        <f>IF(C224=1,('BD Comp'!R224+'BD Comp'!S224)/2,"")</f>
        <v/>
      </c>
      <c r="M224" s="311" t="str">
        <f>IF(C224=1,('BD Comp'!AA224+'BD Comp'!AB224)/2,"")</f>
        <v/>
      </c>
      <c r="N224" s="311" t="str">
        <f>IF(C224=1,('BD Comp'!AJ224+'BD Comp'!AK224)/2,"")</f>
        <v/>
      </c>
      <c r="O224" s="312"/>
      <c r="P224" s="311" t="str">
        <f t="shared" si="1"/>
        <v/>
      </c>
      <c r="Q224" s="95"/>
    </row>
    <row r="225" spans="1:18" ht="14.5" hidden="1">
      <c r="A225" s="7" t="s">
        <v>1302</v>
      </c>
      <c r="B225" s="7" t="s">
        <v>1303</v>
      </c>
      <c r="C225" s="44"/>
      <c r="D225" s="44" t="str">
        <f t="shared" si="0"/>
        <v>C011745</v>
      </c>
      <c r="E225" s="311" t="str">
        <f>IF(C225=1,('BD Comp'!X225+'BD Comp'!Y225)/2,"")</f>
        <v/>
      </c>
      <c r="F225" s="311" t="str">
        <f>IF(C225=1,('BD Comp'!AD225+'BD Comp'!AE225)/2,"")</f>
        <v/>
      </c>
      <c r="G225" s="311" t="str">
        <f>IF(C225=1,('BD Comp'!AP225+'BD Comp'!AQ225)/2,"")</f>
        <v/>
      </c>
      <c r="H225" s="311" t="str">
        <f>IF(C225=1,('BD Comp'!F225+'BD Comp'!G225)/2,"")</f>
        <v/>
      </c>
      <c r="I225" s="311" t="str">
        <f>IF(C225=1,('BD Comp'!I225+'BD Comp'!J225)/2,"")</f>
        <v/>
      </c>
      <c r="J225" s="311" t="str">
        <f>IF(C225=1,('BD Comp'!L225+'BD Comp'!M225)/2,"")</f>
        <v/>
      </c>
      <c r="K225" s="311" t="str">
        <f>IF(C225=1,('BD Comp'!O225+'BD Comp'!P225)/2,"")</f>
        <v/>
      </c>
      <c r="L225" s="311" t="str">
        <f>IF(C225=1,('BD Comp'!R225+'BD Comp'!S225)/2,"")</f>
        <v/>
      </c>
      <c r="M225" s="311" t="str">
        <f>IF(C225=1,('BD Comp'!AA225+'BD Comp'!AB225)/2,"")</f>
        <v/>
      </c>
      <c r="N225" s="311" t="str">
        <f>IF(C225=1,('BD Comp'!AJ225+'BD Comp'!AK225)/2,"")</f>
        <v/>
      </c>
      <c r="O225" s="312"/>
      <c r="P225" s="311" t="str">
        <f t="shared" si="1"/>
        <v/>
      </c>
      <c r="Q225" s="95"/>
    </row>
    <row r="226" spans="1:18" ht="14.5" hidden="1">
      <c r="A226" s="7" t="s">
        <v>1083</v>
      </c>
      <c r="B226" s="7" t="s">
        <v>1084</v>
      </c>
      <c r="C226" s="44"/>
      <c r="D226" s="44" t="str">
        <f t="shared" si="0"/>
        <v>C011785</v>
      </c>
      <c r="E226" s="311" t="str">
        <f>IF(C226=1,('BD Comp'!X226+'BD Comp'!Y226)/2,"")</f>
        <v/>
      </c>
      <c r="F226" s="311" t="str">
        <f>IF(C226=1,('BD Comp'!AD226+'BD Comp'!AE226)/2,"")</f>
        <v/>
      </c>
      <c r="G226" s="311" t="str">
        <f>IF(C226=1,('BD Comp'!AP226+'BD Comp'!AQ226)/2,"")</f>
        <v/>
      </c>
      <c r="H226" s="311" t="str">
        <f>IF(C226=1,('BD Comp'!F226+'BD Comp'!G226)/2,"")</f>
        <v/>
      </c>
      <c r="I226" s="311" t="str">
        <f>IF(C226=1,('BD Comp'!I226+'BD Comp'!J226)/2,"")</f>
        <v/>
      </c>
      <c r="J226" s="311" t="str">
        <f>IF(C226=1,('BD Comp'!L226+'BD Comp'!M226)/2,"")</f>
        <v/>
      </c>
      <c r="K226" s="311" t="str">
        <f>IF(C226=1,('BD Comp'!O226+'BD Comp'!P226)/2,"")</f>
        <v/>
      </c>
      <c r="L226" s="311" t="str">
        <f>IF(C226=1,('BD Comp'!R226+'BD Comp'!S226)/2,"")</f>
        <v/>
      </c>
      <c r="M226" s="311" t="str">
        <f>IF(C226=1,('BD Comp'!AA226+'BD Comp'!AB226)/2,"")</f>
        <v/>
      </c>
      <c r="N226" s="311" t="str">
        <f>IF(C226=1,('BD Comp'!AJ226+'BD Comp'!AK226)/2,"")</f>
        <v/>
      </c>
      <c r="O226" s="312"/>
      <c r="P226" s="311" t="str">
        <f t="shared" si="1"/>
        <v/>
      </c>
      <c r="Q226" s="95"/>
    </row>
    <row r="227" spans="1:18" ht="14.5" hidden="1">
      <c r="A227" s="7" t="s">
        <v>1318</v>
      </c>
      <c r="B227" s="7" t="s">
        <v>1319</v>
      </c>
      <c r="C227" s="44"/>
      <c r="D227" s="44" t="str">
        <f t="shared" si="0"/>
        <v>C011902</v>
      </c>
      <c r="E227" s="311" t="str">
        <f>IF(C227=1,('BD Comp'!X227+'BD Comp'!Y227)/2,"")</f>
        <v/>
      </c>
      <c r="F227" s="311" t="str">
        <f>IF(C227=1,('BD Comp'!AD227+'BD Comp'!AE227)/2,"")</f>
        <v/>
      </c>
      <c r="G227" s="311" t="str">
        <f>IF(C227=1,('BD Comp'!AP227+'BD Comp'!AQ227)/2,"")</f>
        <v/>
      </c>
      <c r="H227" s="311" t="str">
        <f>IF(C227=1,('BD Comp'!F227+'BD Comp'!G227)/2,"")</f>
        <v/>
      </c>
      <c r="I227" s="311" t="str">
        <f>IF(C227=1,('BD Comp'!I227+'BD Comp'!J227)/2,"")</f>
        <v/>
      </c>
      <c r="J227" s="311" t="str">
        <f>IF(C227=1,('BD Comp'!L227+'BD Comp'!M227)/2,"")</f>
        <v/>
      </c>
      <c r="K227" s="311" t="str">
        <f>IF(C227=1,('BD Comp'!O227+'BD Comp'!P227)/2,"")</f>
        <v/>
      </c>
      <c r="L227" s="311" t="str">
        <f>IF(C227=1,('BD Comp'!R227+'BD Comp'!S227)/2,"")</f>
        <v/>
      </c>
      <c r="M227" s="311" t="str">
        <f>IF(C227=1,('BD Comp'!AA227+'BD Comp'!AB227)/2,"")</f>
        <v/>
      </c>
      <c r="N227" s="311" t="str">
        <f>IF(C227=1,('BD Comp'!AJ227+'BD Comp'!AK227)/2,"")</f>
        <v/>
      </c>
      <c r="O227" s="312"/>
      <c r="P227" s="311" t="str">
        <f t="shared" si="1"/>
        <v/>
      </c>
      <c r="Q227" s="95"/>
    </row>
    <row r="228" spans="1:18" ht="14.5" hidden="1">
      <c r="A228" s="7" t="s">
        <v>1320</v>
      </c>
      <c r="B228" s="7" t="s">
        <v>1321</v>
      </c>
      <c r="C228" s="44"/>
      <c r="D228" s="44" t="str">
        <f t="shared" si="0"/>
        <v>C011963</v>
      </c>
      <c r="E228" s="311" t="str">
        <f>IF(C228=1,('BD Comp'!X228+'BD Comp'!Y228)/2,"")</f>
        <v/>
      </c>
      <c r="F228" s="311" t="str">
        <f>IF(C228=1,('BD Comp'!AD228+'BD Comp'!AE228)/2,"")</f>
        <v/>
      </c>
      <c r="G228" s="311" t="str">
        <f>IF(C228=1,('BD Comp'!AP228+'BD Comp'!AQ228)/2,"")</f>
        <v/>
      </c>
      <c r="H228" s="311" t="str">
        <f>IF(C228=1,('BD Comp'!F228+'BD Comp'!G228)/2,"")</f>
        <v/>
      </c>
      <c r="I228" s="311" t="str">
        <f>IF(C228=1,('BD Comp'!I228+'BD Comp'!J228)/2,"")</f>
        <v/>
      </c>
      <c r="J228" s="311" t="str">
        <f>IF(C228=1,('BD Comp'!L228+'BD Comp'!M228)/2,"")</f>
        <v/>
      </c>
      <c r="K228" s="311" t="str">
        <f>IF(C228=1,('BD Comp'!O228+'BD Comp'!P228)/2,"")</f>
        <v/>
      </c>
      <c r="L228" s="311" t="str">
        <f>IF(C228=1,('BD Comp'!R228+'BD Comp'!S228)/2,"")</f>
        <v/>
      </c>
      <c r="M228" s="311" t="str">
        <f>IF(C228=1,('BD Comp'!AA228+'BD Comp'!AB228)/2,"")</f>
        <v/>
      </c>
      <c r="N228" s="311" t="str">
        <f>IF(C228=1,('BD Comp'!AJ228+'BD Comp'!AK228)/2,"")</f>
        <v/>
      </c>
      <c r="O228" s="312"/>
      <c r="P228" s="311" t="str">
        <f t="shared" si="1"/>
        <v/>
      </c>
      <c r="Q228" s="95"/>
    </row>
    <row r="229" spans="1:18" ht="14.5" hidden="1">
      <c r="A229" s="7" t="s">
        <v>1322</v>
      </c>
      <c r="B229" s="7" t="s">
        <v>1323</v>
      </c>
      <c r="C229" s="44"/>
      <c r="D229" s="44" t="str">
        <f t="shared" si="0"/>
        <v>C012020</v>
      </c>
      <c r="E229" s="311" t="str">
        <f>IF(C229=1,('BD Comp'!X229+'BD Comp'!Y229)/2,"")</f>
        <v/>
      </c>
      <c r="F229" s="311" t="str">
        <f>IF(C229=1,('BD Comp'!AD229+'BD Comp'!AE229)/2,"")</f>
        <v/>
      </c>
      <c r="G229" s="311" t="str">
        <f>IF(C229=1,('BD Comp'!AP229+'BD Comp'!AQ229)/2,"")</f>
        <v/>
      </c>
      <c r="H229" s="311" t="str">
        <f>IF(C229=1,('BD Comp'!F229+'BD Comp'!G229)/2,"")</f>
        <v/>
      </c>
      <c r="I229" s="311" t="str">
        <f>IF(C229=1,('BD Comp'!I229+'BD Comp'!J229)/2,"")</f>
        <v/>
      </c>
      <c r="J229" s="311" t="str">
        <f>IF(C229=1,('BD Comp'!L229+'BD Comp'!M229)/2,"")</f>
        <v/>
      </c>
      <c r="K229" s="311" t="str">
        <f>IF(C229=1,('BD Comp'!O229+'BD Comp'!P229)/2,"")</f>
        <v/>
      </c>
      <c r="L229" s="311" t="str">
        <f>IF(C229=1,('BD Comp'!R229+'BD Comp'!S229)/2,"")</f>
        <v/>
      </c>
      <c r="M229" s="311" t="str">
        <f>IF(C229=1,('BD Comp'!AA229+'BD Comp'!AB229)/2,"")</f>
        <v/>
      </c>
      <c r="N229" s="311" t="str">
        <f>IF(C229=1,('BD Comp'!AJ229+'BD Comp'!AK229)/2,"")</f>
        <v/>
      </c>
      <c r="O229" s="312"/>
      <c r="P229" s="311" t="str">
        <f t="shared" si="1"/>
        <v/>
      </c>
      <c r="Q229" s="95"/>
    </row>
    <row r="230" spans="1:18" ht="14.5" hidden="1">
      <c r="A230" s="7" t="s">
        <v>1324</v>
      </c>
      <c r="B230" s="7" t="s">
        <v>1325</v>
      </c>
      <c r="C230" s="44"/>
      <c r="D230" s="44" t="str">
        <f t="shared" si="0"/>
        <v>C012021</v>
      </c>
      <c r="E230" s="311" t="str">
        <f>IF(C230=1,('BD Comp'!X230+'BD Comp'!Y230)/2,"")</f>
        <v/>
      </c>
      <c r="F230" s="311" t="str">
        <f>IF(C230=1,('BD Comp'!AD230+'BD Comp'!AE230)/2,"")</f>
        <v/>
      </c>
      <c r="G230" s="311" t="str">
        <f>IF(C230=1,('BD Comp'!AP230+'BD Comp'!AQ230)/2,"")</f>
        <v/>
      </c>
      <c r="H230" s="311" t="str">
        <f>IF(C230=1,('BD Comp'!F230+'BD Comp'!G230)/2,"")</f>
        <v/>
      </c>
      <c r="I230" s="311" t="str">
        <f>IF(C230=1,('BD Comp'!I230+'BD Comp'!J230)/2,"")</f>
        <v/>
      </c>
      <c r="J230" s="311" t="str">
        <f>IF(C230=1,('BD Comp'!L230+'BD Comp'!M230)/2,"")</f>
        <v/>
      </c>
      <c r="K230" s="311" t="str">
        <f>IF(C230=1,('BD Comp'!O230+'BD Comp'!P230)/2,"")</f>
        <v/>
      </c>
      <c r="L230" s="311" t="str">
        <f>IF(C230=1,('BD Comp'!R230+'BD Comp'!S230)/2,"")</f>
        <v/>
      </c>
      <c r="M230" s="311" t="str">
        <f>IF(C230=1,('BD Comp'!AA230+'BD Comp'!AB230)/2,"")</f>
        <v/>
      </c>
      <c r="N230" s="311" t="str">
        <f>IF(C230=1,('BD Comp'!AJ230+'BD Comp'!AK230)/2,"")</f>
        <v/>
      </c>
      <c r="O230" s="312"/>
      <c r="P230" s="311" t="str">
        <f t="shared" si="1"/>
        <v/>
      </c>
      <c r="Q230" s="95"/>
    </row>
    <row r="231" spans="1:18" ht="14.5">
      <c r="A231" s="44" t="s">
        <v>1584</v>
      </c>
      <c r="B231" s="44" t="s">
        <v>1442</v>
      </c>
      <c r="C231" s="44">
        <v>1</v>
      </c>
      <c r="D231" s="44" t="str">
        <f t="shared" si="0"/>
        <v>PA00001</v>
      </c>
      <c r="E231" s="311">
        <f>IF(C231=1,('BD Comp'!X231+'BD Comp'!Y231)/2,"")</f>
        <v>541226</v>
      </c>
      <c r="F231" s="311">
        <f>IF(C231=1,('BD Comp'!AD231+'BD Comp'!AE231)/2,"")</f>
        <v>3125306</v>
      </c>
      <c r="G231" s="311">
        <f>IF(C231=1,('BD Comp'!AP231+'BD Comp'!AQ231)/2,"")</f>
        <v>4336</v>
      </c>
      <c r="H231" s="311">
        <f>IF(C231=1,('BD Comp'!F231+'BD Comp'!G231)/2,"")</f>
        <v>1866211462.4119782</v>
      </c>
      <c r="I231" s="311">
        <f>IF(C231=1,('BD Comp'!I231+'BD Comp'!J231)/2,"")</f>
        <v>187581888.58624488</v>
      </c>
      <c r="J231" s="311">
        <f>IF(C231=1,('BD Comp'!L231+'BD Comp'!M231)/2,"")</f>
        <v>41231685.209593073</v>
      </c>
      <c r="K231" s="311">
        <f>IF(C231=1,('BD Comp'!O231+'BD Comp'!P231)/2,"")</f>
        <v>53085190.144669145</v>
      </c>
      <c r="L231" s="311">
        <f>IF(C231=1,('BD Comp'!R231+'BD Comp'!S231)/2,"")</f>
        <v>60242321.721990578</v>
      </c>
      <c r="M231" s="311">
        <f>IF(C231=1,('BD Comp'!AA231+'BD Comp'!AB231)/2,"")</f>
        <v>459848</v>
      </c>
      <c r="N231" s="311">
        <f>IF(C231=1,('BD Comp'!AJ231+'BD Comp'!AK231)/2,"")</f>
        <v>312415160.64999998</v>
      </c>
      <c r="O231" s="312">
        <v>1</v>
      </c>
      <c r="P231" s="311"/>
      <c r="Q231" s="95"/>
    </row>
    <row r="232" spans="1:18" ht="14.5">
      <c r="A232" s="44" t="s">
        <v>1585</v>
      </c>
      <c r="B232" s="44" t="s">
        <v>1445</v>
      </c>
      <c r="C232" s="44">
        <v>1</v>
      </c>
      <c r="D232" s="44" t="str">
        <f t="shared" si="0"/>
        <v>PA00002</v>
      </c>
      <c r="E232" s="311">
        <f>IF(C232=1,('BD Comp'!X232+'BD Comp'!Y232)/2,"")</f>
        <v>608184.5</v>
      </c>
      <c r="F232" s="311">
        <f>IF(C232=1,('BD Comp'!AD232+'BD Comp'!AE232)/2,"")</f>
        <v>3608188.15</v>
      </c>
      <c r="G232" s="311">
        <f>IF(C232=1,('BD Comp'!AP232+'BD Comp'!AQ232)/2,"")</f>
        <v>2377.5</v>
      </c>
      <c r="H232" s="311">
        <f>IF(C232=1,('BD Comp'!F232+'BD Comp'!G232)/2,"")</f>
        <v>3729308511.7187319</v>
      </c>
      <c r="I232" s="311">
        <f>IF(C232=1,('BD Comp'!I232+'BD Comp'!J232)/2,"")</f>
        <v>151249853.8545891</v>
      </c>
      <c r="J232" s="311">
        <f>IF(C232=1,('BD Comp'!L232+'BD Comp'!M232)/2,"")</f>
        <v>52109063.725748181</v>
      </c>
      <c r="K232" s="311">
        <f>IF(C232=1,('BD Comp'!O232+'BD Comp'!P232)/2,"")</f>
        <v>23718551.428255115</v>
      </c>
      <c r="L232" s="311">
        <f>IF(C232=1,('BD Comp'!R232+'BD Comp'!S232)/2,"")</f>
        <v>26598519.763195649</v>
      </c>
      <c r="M232" s="311">
        <f>IF(C232=1,('BD Comp'!AA232+'BD Comp'!AB232)/2,"")</f>
        <v>788941.5</v>
      </c>
      <c r="N232" s="311">
        <f>IF(C232=1,('BD Comp'!AJ232+'BD Comp'!AK232)/2,"")</f>
        <v>2417393641.0450001</v>
      </c>
      <c r="O232" s="312">
        <v>0.90200000000000002</v>
      </c>
      <c r="P232" s="95"/>
      <c r="Q232" s="95"/>
    </row>
    <row r="233" spans="1:18" ht="14.5">
      <c r="A233" s="44" t="s">
        <v>1586</v>
      </c>
      <c r="B233" s="44" t="s">
        <v>1446</v>
      </c>
      <c r="C233" s="44">
        <v>1</v>
      </c>
      <c r="D233" s="44" t="str">
        <f t="shared" si="0"/>
        <v>PA00003</v>
      </c>
      <c r="E233" s="311">
        <f>IF(C233=1,('BD Comp'!X233+'BD Comp'!Y233)/2,"")</f>
        <v>185273.5</v>
      </c>
      <c r="F233" s="311">
        <f>IF(C233=1,('BD Comp'!AD233+'BD Comp'!AE233)/2,"")</f>
        <v>881917.10000000009</v>
      </c>
      <c r="G233" s="311">
        <f>IF(C233=1,('BD Comp'!AP233+'BD Comp'!AQ233)/2,"")</f>
        <v>425</v>
      </c>
      <c r="H233" s="311">
        <f>IF(C233=1,('BD Comp'!F233+'BD Comp'!G233)/2,"")</f>
        <v>823605699.23960745</v>
      </c>
      <c r="I233" s="311">
        <f>IF(C233=1,('BD Comp'!I233+'BD Comp'!J233)/2,"")</f>
        <v>22965112.164433375</v>
      </c>
      <c r="J233" s="311">
        <f>IF(C233=1,('BD Comp'!L233+'BD Comp'!M233)/2,"")</f>
        <v>12587519.898361068</v>
      </c>
      <c r="K233" s="311">
        <f>IF(C233=1,('BD Comp'!O233+'BD Comp'!P233)/2,"")</f>
        <v>2695876.7717285343</v>
      </c>
      <c r="L233" s="311">
        <f>IF(C233=1,('BD Comp'!R233+'BD Comp'!S233)/2,"")</f>
        <v>2840088.7281211913</v>
      </c>
      <c r="M233" s="311">
        <f>IF(C233=1,('BD Comp'!AA233+'BD Comp'!AB233)/2,"")</f>
        <v>161101.90000000002</v>
      </c>
      <c r="N233" s="311">
        <f>IF(C233=1,('BD Comp'!AJ233+'BD Comp'!AK233)/2,"")</f>
        <v>611823513.60500002</v>
      </c>
      <c r="O233" s="312">
        <v>1</v>
      </c>
      <c r="P233" s="95"/>
      <c r="Q233" s="95"/>
    </row>
    <row r="234" spans="1:18" ht="14.5">
      <c r="E234" s="311"/>
      <c r="F234" s="311"/>
      <c r="G234" s="311"/>
      <c r="H234" s="311"/>
      <c r="I234" s="311"/>
      <c r="J234" s="311"/>
      <c r="K234" s="311"/>
      <c r="L234" s="311"/>
      <c r="M234" s="311"/>
      <c r="N234" s="311"/>
      <c r="O234" s="312"/>
      <c r="P234" s="311"/>
      <c r="Q234" s="95"/>
      <c r="R234" s="311"/>
    </row>
    <row r="235" spans="1:18" ht="14.5">
      <c r="E235" s="311"/>
      <c r="F235" s="311"/>
      <c r="G235" s="311"/>
      <c r="H235" s="311"/>
      <c r="I235" s="311"/>
      <c r="J235" s="311"/>
      <c r="K235" s="311"/>
      <c r="L235" s="311"/>
      <c r="M235" s="311"/>
      <c r="N235" s="311"/>
      <c r="O235" s="312"/>
      <c r="P235" s="311"/>
      <c r="Q235" s="95"/>
      <c r="R235" s="311"/>
    </row>
    <row r="236" spans="1:18" ht="14.5">
      <c r="E236" s="311"/>
      <c r="F236" s="311"/>
      <c r="G236" s="311"/>
      <c r="H236" s="311"/>
      <c r="I236" s="311"/>
      <c r="J236" s="311"/>
      <c r="K236" s="311"/>
      <c r="L236" s="311"/>
      <c r="M236" s="311"/>
      <c r="N236" s="311"/>
      <c r="O236" s="312"/>
      <c r="P236" s="311"/>
      <c r="Q236" s="95"/>
      <c r="R236" s="311"/>
    </row>
    <row r="237" spans="1:18" ht="14.5">
      <c r="E237" s="311"/>
      <c r="F237" s="311"/>
      <c r="G237" s="311"/>
      <c r="H237" s="311"/>
      <c r="I237" s="311"/>
      <c r="J237" s="311"/>
      <c r="K237" s="311"/>
      <c r="L237" s="311"/>
      <c r="M237" s="311"/>
      <c r="N237" s="311"/>
      <c r="O237" s="312"/>
      <c r="P237" s="311"/>
      <c r="Q237" s="95"/>
      <c r="R237" s="311"/>
    </row>
    <row r="238" spans="1:18" ht="14.5">
      <c r="E238" s="311"/>
      <c r="F238" s="311"/>
      <c r="G238" s="311"/>
      <c r="H238" s="311"/>
      <c r="I238" s="311"/>
      <c r="J238" s="311"/>
      <c r="K238" s="311"/>
      <c r="L238" s="311"/>
      <c r="M238" s="311"/>
      <c r="N238" s="311"/>
      <c r="O238" s="312"/>
      <c r="P238" s="311"/>
      <c r="Q238" s="95"/>
      <c r="R238" s="311"/>
    </row>
    <row r="239" spans="1:18" ht="14.5">
      <c r="E239" s="311"/>
      <c r="F239" s="311"/>
      <c r="G239" s="311"/>
      <c r="H239" s="311"/>
      <c r="I239" s="311"/>
      <c r="J239" s="311"/>
      <c r="K239" s="311"/>
      <c r="L239" s="311"/>
      <c r="M239" s="311"/>
      <c r="N239" s="311"/>
      <c r="O239" s="312"/>
      <c r="P239" s="311"/>
      <c r="Q239" s="95"/>
      <c r="R239" s="311"/>
    </row>
    <row r="240" spans="1:18" ht="14.5">
      <c r="E240" s="311"/>
      <c r="F240" s="311"/>
      <c r="G240" s="311"/>
      <c r="H240" s="311"/>
      <c r="I240" s="311"/>
      <c r="J240" s="311"/>
      <c r="K240" s="311"/>
      <c r="L240" s="311"/>
      <c r="M240" s="311"/>
      <c r="N240" s="311"/>
      <c r="O240" s="312"/>
      <c r="P240" s="311"/>
      <c r="Q240" s="95"/>
      <c r="R240" s="311"/>
    </row>
    <row r="241" spans="5:18" ht="14.5">
      <c r="E241" s="311"/>
      <c r="F241" s="311"/>
      <c r="G241" s="311"/>
      <c r="H241" s="311"/>
      <c r="I241" s="311"/>
      <c r="J241" s="311"/>
      <c r="K241" s="311"/>
      <c r="L241" s="311"/>
      <c r="M241" s="311"/>
      <c r="N241" s="311"/>
      <c r="O241" s="312"/>
      <c r="P241" s="311"/>
      <c r="Q241" s="95"/>
      <c r="R241" s="311"/>
    </row>
    <row r="242" spans="5:18" ht="14.5">
      <c r="E242" s="311"/>
      <c r="F242" s="311"/>
      <c r="G242" s="311"/>
      <c r="H242" s="311"/>
      <c r="I242" s="311"/>
      <c r="J242" s="311"/>
      <c r="K242" s="311"/>
      <c r="L242" s="311"/>
      <c r="M242" s="311"/>
      <c r="N242" s="311"/>
      <c r="O242" s="312"/>
      <c r="P242" s="311"/>
      <c r="Q242" s="95"/>
      <c r="R242" s="311"/>
    </row>
    <row r="243" spans="5:18" ht="14.5">
      <c r="E243" s="311"/>
      <c r="F243" s="311"/>
      <c r="G243" s="311"/>
      <c r="H243" s="311"/>
      <c r="I243" s="311"/>
      <c r="J243" s="311"/>
      <c r="K243" s="311"/>
      <c r="L243" s="311"/>
      <c r="M243" s="311"/>
      <c r="N243" s="311"/>
      <c r="O243" s="312"/>
      <c r="P243" s="311"/>
      <c r="Q243" s="95"/>
      <c r="R243" s="311"/>
    </row>
    <row r="244" spans="5:18" ht="14.5">
      <c r="E244" s="311"/>
      <c r="F244" s="311"/>
      <c r="G244" s="311"/>
      <c r="H244" s="311"/>
      <c r="I244" s="311"/>
      <c r="J244" s="311"/>
      <c r="K244" s="311"/>
      <c r="L244" s="311"/>
      <c r="M244" s="311"/>
      <c r="N244" s="311"/>
      <c r="O244" s="312"/>
      <c r="P244" s="311"/>
      <c r="Q244" s="95"/>
      <c r="R244" s="311"/>
    </row>
    <row r="245" spans="5:18" ht="14.5">
      <c r="O245" s="307"/>
      <c r="P245" s="72"/>
      <c r="Q245" s="95"/>
    </row>
    <row r="246" spans="5:18" ht="14.5">
      <c r="O246" s="307"/>
      <c r="P246" s="72"/>
      <c r="Q246" s="95"/>
    </row>
    <row r="247" spans="5:18" ht="14.5">
      <c r="O247" s="307"/>
      <c r="P247" s="72"/>
      <c r="Q247" s="95"/>
    </row>
    <row r="248" spans="5:18" ht="14.5">
      <c r="O248" s="307"/>
      <c r="P248" s="72"/>
      <c r="Q248" s="95"/>
    </row>
    <row r="249" spans="5:18" ht="14.5">
      <c r="O249" s="307"/>
      <c r="P249" s="72"/>
      <c r="Q249" s="95"/>
    </row>
    <row r="250" spans="5:18" ht="14.5">
      <c r="O250" s="307"/>
      <c r="P250" s="72"/>
      <c r="Q250" s="95"/>
    </row>
    <row r="251" spans="5:18" ht="14.5">
      <c r="O251" s="307"/>
      <c r="P251" s="72"/>
      <c r="Q251" s="95"/>
    </row>
    <row r="252" spans="5:18" ht="14.5">
      <c r="O252" s="307"/>
      <c r="P252" s="72"/>
      <c r="Q252" s="95"/>
    </row>
    <row r="253" spans="5:18" ht="14.5">
      <c r="O253" s="307"/>
      <c r="P253" s="72"/>
      <c r="Q253" s="95"/>
    </row>
    <row r="254" spans="5:18" ht="14.5">
      <c r="O254" s="307"/>
      <c r="P254" s="72"/>
      <c r="Q254" s="95"/>
    </row>
    <row r="255" spans="5:18" ht="14.5">
      <c r="O255" s="307"/>
      <c r="P255" s="72"/>
      <c r="Q255" s="95"/>
    </row>
    <row r="256" spans="5:18" ht="14.5">
      <c r="O256" s="307"/>
      <c r="P256" s="72"/>
      <c r="Q256" s="95"/>
    </row>
    <row r="257" spans="15:17" ht="14.5">
      <c r="O257" s="307"/>
      <c r="P257" s="72"/>
      <c r="Q257" s="95"/>
    </row>
    <row r="258" spans="15:17" ht="14.5">
      <c r="O258" s="307"/>
      <c r="P258" s="72"/>
      <c r="Q258" s="95"/>
    </row>
    <row r="259" spans="15:17" ht="14.5">
      <c r="O259" s="307"/>
      <c r="P259" s="72"/>
      <c r="Q259" s="95"/>
    </row>
    <row r="260" spans="15:17" ht="14.5">
      <c r="O260" s="307"/>
      <c r="P260" s="72"/>
      <c r="Q260" s="95"/>
    </row>
    <row r="261" spans="15:17" ht="14.5">
      <c r="O261" s="307"/>
      <c r="P261" s="72"/>
      <c r="Q261" s="95"/>
    </row>
    <row r="262" spans="15:17" ht="14.5">
      <c r="O262" s="307"/>
      <c r="P262" s="72"/>
      <c r="Q262" s="95"/>
    </row>
    <row r="263" spans="15:17" ht="14.5">
      <c r="O263" s="307"/>
      <c r="P263" s="72"/>
      <c r="Q263" s="95"/>
    </row>
    <row r="264" spans="15:17" ht="14.5">
      <c r="O264" s="307"/>
      <c r="P264" s="72"/>
      <c r="Q264" s="95"/>
    </row>
    <row r="265" spans="15:17" ht="14.5">
      <c r="O265" s="307"/>
      <c r="P265" s="72"/>
      <c r="Q265" s="95"/>
    </row>
    <row r="266" spans="15:17" ht="14.5">
      <c r="O266" s="307"/>
      <c r="P266" s="72"/>
      <c r="Q266" s="95"/>
    </row>
    <row r="267" spans="15:17" ht="14.5">
      <c r="O267" s="307"/>
      <c r="P267" s="72"/>
      <c r="Q267" s="95"/>
    </row>
    <row r="268" spans="15:17" ht="14.5">
      <c r="O268" s="307"/>
      <c r="P268" s="72"/>
      <c r="Q268" s="95"/>
    </row>
    <row r="269" spans="15:17" ht="14.5">
      <c r="O269" s="307"/>
      <c r="P269" s="72"/>
      <c r="Q269" s="95"/>
    </row>
    <row r="270" spans="15:17" ht="14.5">
      <c r="O270" s="307"/>
      <c r="P270" s="72"/>
      <c r="Q270" s="95"/>
    </row>
    <row r="271" spans="15:17" ht="14.5">
      <c r="O271" s="307"/>
      <c r="P271" s="72"/>
      <c r="Q271" s="95"/>
    </row>
    <row r="272" spans="15:17" ht="14.5">
      <c r="O272" s="307"/>
      <c r="P272" s="72"/>
      <c r="Q272" s="95"/>
    </row>
    <row r="273" spans="15:17" ht="14.5">
      <c r="O273" s="307"/>
      <c r="P273" s="72"/>
      <c r="Q273" s="95"/>
    </row>
    <row r="274" spans="15:17" ht="14.5">
      <c r="O274" s="307"/>
      <c r="P274" s="72"/>
      <c r="Q274" s="95"/>
    </row>
    <row r="275" spans="15:17" ht="14.5">
      <c r="O275" s="307"/>
      <c r="P275" s="72"/>
      <c r="Q275" s="95"/>
    </row>
    <row r="276" spans="15:17" ht="14.5">
      <c r="O276" s="307"/>
      <c r="P276" s="72"/>
      <c r="Q276" s="95"/>
    </row>
    <row r="277" spans="15:17" ht="14.5">
      <c r="O277" s="307"/>
      <c r="P277" s="72"/>
      <c r="Q277" s="95"/>
    </row>
    <row r="278" spans="15:17" ht="14.5">
      <c r="O278" s="307"/>
      <c r="P278" s="72"/>
      <c r="Q278" s="95"/>
    </row>
    <row r="279" spans="15:17" ht="14.5">
      <c r="O279" s="307"/>
      <c r="P279" s="72"/>
      <c r="Q279" s="95"/>
    </row>
    <row r="280" spans="15:17" ht="14.5">
      <c r="O280" s="307"/>
      <c r="P280" s="72"/>
      <c r="Q280" s="95"/>
    </row>
    <row r="281" spans="15:17" ht="14.5">
      <c r="O281" s="307"/>
      <c r="P281" s="72"/>
      <c r="Q281" s="95"/>
    </row>
    <row r="282" spans="15:17" ht="14.5">
      <c r="O282" s="307"/>
      <c r="P282" s="72"/>
      <c r="Q282" s="95"/>
    </row>
    <row r="283" spans="15:17" ht="14.5">
      <c r="O283" s="307"/>
      <c r="P283" s="72"/>
      <c r="Q283" s="95"/>
    </row>
    <row r="284" spans="15:17" ht="14.5">
      <c r="O284" s="307"/>
      <c r="P284" s="72"/>
      <c r="Q284" s="95"/>
    </row>
    <row r="285" spans="15:17" ht="14.5">
      <c r="O285" s="307"/>
      <c r="P285" s="72"/>
      <c r="Q285" s="95"/>
    </row>
    <row r="286" spans="15:17" ht="14.5">
      <c r="O286" s="307"/>
      <c r="P286" s="72"/>
      <c r="Q286" s="95"/>
    </row>
    <row r="287" spans="15:17" ht="14.5">
      <c r="O287" s="307"/>
      <c r="P287" s="72"/>
      <c r="Q287" s="95"/>
    </row>
    <row r="288" spans="15:17" ht="14.5">
      <c r="O288" s="307"/>
      <c r="P288" s="72"/>
      <c r="Q288" s="95"/>
    </row>
    <row r="289" spans="15:17" ht="14.5">
      <c r="O289" s="307"/>
      <c r="P289" s="72"/>
      <c r="Q289" s="95"/>
    </row>
    <row r="290" spans="15:17" ht="14.5">
      <c r="O290" s="307"/>
      <c r="P290" s="72"/>
      <c r="Q290" s="95"/>
    </row>
    <row r="291" spans="15:17" ht="14.5">
      <c r="O291" s="307"/>
      <c r="P291" s="72"/>
      <c r="Q291" s="95"/>
    </row>
    <row r="292" spans="15:17" ht="14.5">
      <c r="O292" s="307"/>
      <c r="P292" s="72"/>
      <c r="Q292" s="95"/>
    </row>
    <row r="293" spans="15:17" ht="14.5">
      <c r="O293" s="307"/>
      <c r="P293" s="72"/>
      <c r="Q293" s="95"/>
    </row>
    <row r="294" spans="15:17" ht="14.5">
      <c r="O294" s="307"/>
      <c r="P294" s="72"/>
      <c r="Q294" s="95"/>
    </row>
    <row r="295" spans="15:17" ht="14.5">
      <c r="O295" s="307"/>
      <c r="Q295" s="95"/>
    </row>
    <row r="296" spans="15:17" ht="14.5">
      <c r="O296" s="307"/>
      <c r="Q296" s="95"/>
    </row>
    <row r="297" spans="15:17" ht="14.5">
      <c r="O297" s="307"/>
      <c r="Q297" s="95"/>
    </row>
    <row r="298" spans="15:17" ht="14.5">
      <c r="O298" s="307"/>
      <c r="Q298" s="95"/>
    </row>
    <row r="299" spans="15:17" ht="14.5">
      <c r="O299" s="307"/>
      <c r="Q299" s="95"/>
    </row>
    <row r="300" spans="15:17" ht="14.5">
      <c r="O300" s="307"/>
      <c r="Q300" s="95"/>
    </row>
    <row r="301" spans="15:17" ht="14.5">
      <c r="O301" s="307"/>
      <c r="Q301" s="95"/>
    </row>
    <row r="302" spans="15:17" ht="14.5">
      <c r="O302" s="307"/>
      <c r="Q302" s="95"/>
    </row>
    <row r="303" spans="15:17" ht="14.5">
      <c r="O303" s="307"/>
      <c r="Q303" s="95"/>
    </row>
    <row r="304" spans="15:17" ht="14.5">
      <c r="O304" s="307"/>
      <c r="Q304" s="95"/>
    </row>
    <row r="305" spans="15:17" ht="14.5">
      <c r="O305" s="307"/>
      <c r="Q305" s="95"/>
    </row>
    <row r="306" spans="15:17" ht="14.5">
      <c r="O306" s="307"/>
      <c r="Q306" s="95"/>
    </row>
    <row r="307" spans="15:17" ht="14.5">
      <c r="O307" s="307"/>
      <c r="Q307" s="95"/>
    </row>
    <row r="308" spans="15:17" ht="14.5">
      <c r="O308" s="307"/>
      <c r="Q308" s="95"/>
    </row>
    <row r="309" spans="15:17" ht="14.5">
      <c r="O309" s="307"/>
      <c r="Q309" s="95"/>
    </row>
    <row r="310" spans="15:17" ht="14.5">
      <c r="O310" s="307"/>
      <c r="Q310" s="95"/>
    </row>
    <row r="311" spans="15:17" ht="14.5">
      <c r="O311" s="307"/>
      <c r="Q311" s="95"/>
    </row>
    <row r="312" spans="15:17" ht="14.5">
      <c r="O312" s="307"/>
      <c r="Q312" s="95"/>
    </row>
    <row r="313" spans="15:17" ht="14.5">
      <c r="O313" s="307"/>
      <c r="Q313" s="95"/>
    </row>
    <row r="314" spans="15:17" ht="14.5">
      <c r="O314" s="307"/>
      <c r="Q314" s="95"/>
    </row>
    <row r="315" spans="15:17" ht="14.5">
      <c r="O315" s="307"/>
      <c r="Q315" s="95"/>
    </row>
    <row r="316" spans="15:17" ht="14.5">
      <c r="O316" s="307"/>
      <c r="Q316" s="95"/>
    </row>
    <row r="317" spans="15:17" ht="14.5">
      <c r="O317" s="307"/>
      <c r="Q317" s="95"/>
    </row>
    <row r="318" spans="15:17" ht="14.5">
      <c r="O318" s="307"/>
      <c r="Q318" s="95"/>
    </row>
    <row r="319" spans="15:17" ht="14.5">
      <c r="O319" s="307"/>
      <c r="Q319" s="95"/>
    </row>
    <row r="320" spans="15:17" ht="14.5">
      <c r="O320" s="307"/>
      <c r="Q320" s="95"/>
    </row>
    <row r="321" spans="15:17" ht="14.5">
      <c r="O321" s="307"/>
      <c r="Q321" s="95"/>
    </row>
    <row r="322" spans="15:17" ht="14.5">
      <c r="O322" s="307"/>
      <c r="Q322" s="95"/>
    </row>
    <row r="323" spans="15:17" ht="14.5">
      <c r="O323" s="307"/>
      <c r="Q323" s="95"/>
    </row>
    <row r="324" spans="15:17" ht="14.5">
      <c r="O324" s="307"/>
      <c r="Q324" s="95"/>
    </row>
    <row r="325" spans="15:17" ht="14.5">
      <c r="O325" s="307"/>
      <c r="Q325" s="95"/>
    </row>
    <row r="326" spans="15:17" ht="14.5">
      <c r="O326" s="307"/>
      <c r="Q326" s="95"/>
    </row>
    <row r="327" spans="15:17" ht="14.5">
      <c r="O327" s="307"/>
      <c r="Q327" s="95"/>
    </row>
    <row r="328" spans="15:17" ht="14.5">
      <c r="O328" s="307"/>
      <c r="Q328" s="95"/>
    </row>
    <row r="329" spans="15:17" ht="14.5">
      <c r="O329" s="307"/>
      <c r="Q329" s="95"/>
    </row>
    <row r="330" spans="15:17" ht="14.5">
      <c r="O330" s="307"/>
      <c r="Q330" s="95"/>
    </row>
    <row r="331" spans="15:17" ht="14.5">
      <c r="O331" s="307"/>
      <c r="Q331" s="95"/>
    </row>
    <row r="332" spans="15:17" ht="14.5">
      <c r="O332" s="307"/>
      <c r="Q332" s="95"/>
    </row>
    <row r="333" spans="15:17" ht="14.5">
      <c r="O333" s="307"/>
      <c r="Q333" s="95"/>
    </row>
    <row r="334" spans="15:17" ht="14.5">
      <c r="O334" s="307"/>
      <c r="Q334" s="95"/>
    </row>
    <row r="335" spans="15:17" ht="14.5">
      <c r="O335" s="307"/>
      <c r="Q335" s="95"/>
    </row>
    <row r="336" spans="15:17" ht="14.5">
      <c r="O336" s="307"/>
      <c r="Q336" s="95"/>
    </row>
    <row r="337" spans="15:17" ht="14.5">
      <c r="O337" s="307"/>
      <c r="Q337" s="95"/>
    </row>
    <row r="338" spans="15:17" ht="14.5">
      <c r="O338" s="307"/>
      <c r="Q338" s="95"/>
    </row>
    <row r="339" spans="15:17" ht="14.5">
      <c r="O339" s="307"/>
      <c r="Q339" s="95"/>
    </row>
    <row r="340" spans="15:17" ht="14.5">
      <c r="O340" s="307"/>
      <c r="Q340" s="95"/>
    </row>
    <row r="341" spans="15:17" ht="14.5">
      <c r="O341" s="307"/>
      <c r="Q341" s="95"/>
    </row>
    <row r="342" spans="15:17" ht="14.5">
      <c r="O342" s="307"/>
      <c r="Q342" s="95"/>
    </row>
    <row r="343" spans="15:17" ht="14.5">
      <c r="O343" s="307"/>
      <c r="Q343" s="95"/>
    </row>
    <row r="344" spans="15:17" ht="14.5">
      <c r="O344" s="307"/>
      <c r="Q344" s="95"/>
    </row>
    <row r="345" spans="15:17" ht="14.5">
      <c r="O345" s="307"/>
      <c r="Q345" s="95"/>
    </row>
    <row r="346" spans="15:17" ht="14.5">
      <c r="O346" s="307"/>
      <c r="Q346" s="95"/>
    </row>
    <row r="347" spans="15:17" ht="14.5">
      <c r="O347" s="307"/>
      <c r="Q347" s="95"/>
    </row>
    <row r="348" spans="15:17" ht="14.5">
      <c r="O348" s="307"/>
      <c r="Q348" s="95"/>
    </row>
    <row r="349" spans="15:17" ht="14.5">
      <c r="O349" s="307"/>
      <c r="Q349" s="95"/>
    </row>
    <row r="350" spans="15:17" ht="14.5">
      <c r="O350" s="307"/>
      <c r="Q350" s="95"/>
    </row>
    <row r="351" spans="15:17" ht="14.5">
      <c r="O351" s="307"/>
      <c r="Q351" s="95"/>
    </row>
    <row r="352" spans="15:17" ht="14.5">
      <c r="O352" s="307"/>
      <c r="Q352" s="95"/>
    </row>
    <row r="353" spans="15:17" ht="14.5">
      <c r="O353" s="307"/>
      <c r="Q353" s="95"/>
    </row>
    <row r="354" spans="15:17" ht="14.5">
      <c r="O354" s="307"/>
      <c r="Q354" s="95"/>
    </row>
    <row r="355" spans="15:17" ht="14.5">
      <c r="O355" s="307"/>
      <c r="Q355" s="95"/>
    </row>
    <row r="356" spans="15:17" ht="14.5">
      <c r="O356" s="307"/>
      <c r="Q356" s="95"/>
    </row>
    <row r="357" spans="15:17" ht="14.5">
      <c r="O357" s="307"/>
      <c r="Q357" s="95"/>
    </row>
    <row r="358" spans="15:17" ht="14.5">
      <c r="O358" s="307"/>
      <c r="Q358" s="95"/>
    </row>
    <row r="359" spans="15:17" ht="14.5">
      <c r="O359" s="307"/>
      <c r="Q359" s="95"/>
    </row>
    <row r="360" spans="15:17" ht="14.5">
      <c r="O360" s="307"/>
      <c r="Q360" s="95"/>
    </row>
    <row r="361" spans="15:17" ht="14.5">
      <c r="O361" s="307"/>
      <c r="Q361" s="95"/>
    </row>
    <row r="362" spans="15:17" ht="14.5">
      <c r="O362" s="307"/>
      <c r="Q362" s="95"/>
    </row>
    <row r="363" spans="15:17" ht="14.5">
      <c r="O363" s="307"/>
      <c r="Q363" s="95"/>
    </row>
    <row r="364" spans="15:17" ht="14.5">
      <c r="O364" s="307"/>
      <c r="Q364" s="95"/>
    </row>
    <row r="365" spans="15:17" ht="14.5">
      <c r="O365" s="307"/>
      <c r="Q365" s="95"/>
    </row>
    <row r="366" spans="15:17" ht="14.5">
      <c r="O366" s="307"/>
      <c r="Q366" s="95"/>
    </row>
    <row r="367" spans="15:17" ht="14.5">
      <c r="O367" s="307"/>
      <c r="Q367" s="95"/>
    </row>
    <row r="368" spans="15:17" ht="14.5">
      <c r="O368" s="307"/>
      <c r="Q368" s="95"/>
    </row>
    <row r="369" spans="15:17" ht="14.5">
      <c r="O369" s="307"/>
      <c r="Q369" s="95"/>
    </row>
    <row r="370" spans="15:17" ht="14.5">
      <c r="O370" s="307"/>
      <c r="Q370" s="95"/>
    </row>
    <row r="371" spans="15:17" ht="14.5">
      <c r="O371" s="307"/>
      <c r="Q371" s="95"/>
    </row>
    <row r="372" spans="15:17" ht="14.5">
      <c r="O372" s="307"/>
      <c r="Q372" s="95"/>
    </row>
    <row r="373" spans="15:17" ht="14.5">
      <c r="O373" s="307"/>
      <c r="Q373" s="95"/>
    </row>
    <row r="374" spans="15:17" ht="14.5">
      <c r="O374" s="307"/>
      <c r="Q374" s="95"/>
    </row>
    <row r="375" spans="15:17" ht="14.5">
      <c r="O375" s="307"/>
      <c r="Q375" s="95"/>
    </row>
    <row r="376" spans="15:17" ht="14.5">
      <c r="O376" s="307"/>
      <c r="Q376" s="95"/>
    </row>
    <row r="377" spans="15:17" ht="14.5">
      <c r="O377" s="307"/>
      <c r="Q377" s="95"/>
    </row>
    <row r="378" spans="15:17" ht="14.5">
      <c r="O378" s="307"/>
      <c r="Q378" s="95"/>
    </row>
    <row r="379" spans="15:17" ht="14.5">
      <c r="O379" s="307"/>
      <c r="Q379" s="95"/>
    </row>
    <row r="380" spans="15:17" ht="14.5">
      <c r="O380" s="307"/>
      <c r="Q380" s="95"/>
    </row>
    <row r="381" spans="15:17" ht="14.5">
      <c r="O381" s="307"/>
      <c r="Q381" s="95"/>
    </row>
    <row r="382" spans="15:17" ht="14.5">
      <c r="O382" s="307"/>
      <c r="Q382" s="95"/>
    </row>
    <row r="383" spans="15:17" ht="14.5">
      <c r="O383" s="307"/>
      <c r="Q383" s="95"/>
    </row>
    <row r="384" spans="15:17" ht="14.5">
      <c r="O384" s="307"/>
      <c r="Q384" s="95"/>
    </row>
    <row r="385" spans="15:17" ht="14.5">
      <c r="O385" s="307"/>
      <c r="Q385" s="95"/>
    </row>
    <row r="386" spans="15:17" ht="14.5">
      <c r="O386" s="307"/>
      <c r="Q386" s="95"/>
    </row>
    <row r="387" spans="15:17" ht="14.5">
      <c r="O387" s="307"/>
      <c r="Q387" s="95"/>
    </row>
    <row r="388" spans="15:17" ht="14.5">
      <c r="O388" s="307"/>
      <c r="Q388" s="95"/>
    </row>
    <row r="389" spans="15:17" ht="14.5">
      <c r="O389" s="307"/>
      <c r="Q389" s="95"/>
    </row>
    <row r="390" spans="15:17" ht="14.5">
      <c r="O390" s="307"/>
      <c r="Q390" s="95"/>
    </row>
    <row r="391" spans="15:17" ht="14.5">
      <c r="O391" s="307"/>
      <c r="Q391" s="95"/>
    </row>
    <row r="392" spans="15:17" ht="14.5">
      <c r="O392" s="307"/>
      <c r="Q392" s="95"/>
    </row>
    <row r="393" spans="15:17" ht="14.5">
      <c r="O393" s="307"/>
      <c r="Q393" s="95"/>
    </row>
    <row r="394" spans="15:17" ht="14.5">
      <c r="O394" s="307"/>
      <c r="Q394" s="95"/>
    </row>
    <row r="395" spans="15:17" ht="14.5">
      <c r="O395" s="307"/>
      <c r="Q395" s="95"/>
    </row>
    <row r="396" spans="15:17" ht="14.5">
      <c r="O396" s="307"/>
      <c r="Q396" s="95"/>
    </row>
    <row r="397" spans="15:17" ht="14.5">
      <c r="O397" s="307"/>
      <c r="Q397" s="95"/>
    </row>
    <row r="398" spans="15:17" ht="14.5">
      <c r="O398" s="307"/>
      <c r="Q398" s="95"/>
    </row>
    <row r="399" spans="15:17" ht="14.5">
      <c r="O399" s="307"/>
      <c r="Q399" s="95"/>
    </row>
    <row r="400" spans="15:17" ht="14.5">
      <c r="O400" s="307"/>
      <c r="Q400" s="95"/>
    </row>
    <row r="401" spans="15:17" ht="14.5">
      <c r="O401" s="307"/>
      <c r="Q401" s="95"/>
    </row>
    <row r="402" spans="15:17" ht="14.5">
      <c r="O402" s="307"/>
      <c r="Q402" s="95"/>
    </row>
    <row r="403" spans="15:17" ht="14.5">
      <c r="O403" s="307"/>
      <c r="Q403" s="95"/>
    </row>
    <row r="404" spans="15:17" ht="14.5">
      <c r="O404" s="307"/>
      <c r="Q404" s="95"/>
    </row>
    <row r="405" spans="15:17" ht="14.5">
      <c r="O405" s="307"/>
      <c r="Q405" s="95"/>
    </row>
    <row r="406" spans="15:17" ht="14.5">
      <c r="O406" s="307"/>
      <c r="Q406" s="95"/>
    </row>
    <row r="407" spans="15:17" ht="14.5">
      <c r="O407" s="307"/>
      <c r="Q407" s="95"/>
    </row>
    <row r="408" spans="15:17" ht="14.5">
      <c r="O408" s="307"/>
      <c r="Q408" s="95"/>
    </row>
    <row r="409" spans="15:17" ht="14.5">
      <c r="O409" s="307"/>
      <c r="Q409" s="95"/>
    </row>
    <row r="410" spans="15:17" ht="14.5">
      <c r="O410" s="307"/>
      <c r="Q410" s="95"/>
    </row>
    <row r="411" spans="15:17" ht="14.5">
      <c r="O411" s="307"/>
      <c r="Q411" s="95"/>
    </row>
    <row r="412" spans="15:17" ht="14.5">
      <c r="O412" s="307"/>
      <c r="Q412" s="95"/>
    </row>
    <row r="413" spans="15:17" ht="14.5">
      <c r="O413" s="307"/>
      <c r="Q413" s="95"/>
    </row>
    <row r="414" spans="15:17" ht="14.5">
      <c r="O414" s="307"/>
      <c r="Q414" s="95"/>
    </row>
    <row r="415" spans="15:17" ht="14.5">
      <c r="O415" s="307"/>
      <c r="Q415" s="95"/>
    </row>
    <row r="416" spans="15:17" ht="14.5">
      <c r="O416" s="307"/>
      <c r="Q416" s="95"/>
    </row>
    <row r="417" spans="15:17" ht="14.5">
      <c r="O417" s="307"/>
      <c r="Q417" s="95"/>
    </row>
    <row r="418" spans="15:17" ht="14.5">
      <c r="O418" s="307"/>
      <c r="Q418" s="95"/>
    </row>
    <row r="419" spans="15:17" ht="14.5">
      <c r="O419" s="307"/>
      <c r="Q419" s="95"/>
    </row>
    <row r="420" spans="15:17" ht="14.5">
      <c r="O420" s="307"/>
      <c r="Q420" s="95"/>
    </row>
    <row r="421" spans="15:17" ht="14.5">
      <c r="O421" s="307"/>
      <c r="Q421" s="95"/>
    </row>
    <row r="422" spans="15:17" ht="14.5">
      <c r="O422" s="307"/>
      <c r="Q422" s="95"/>
    </row>
    <row r="423" spans="15:17" ht="14.5">
      <c r="O423" s="307"/>
      <c r="Q423" s="95"/>
    </row>
    <row r="424" spans="15:17" ht="14.5">
      <c r="O424" s="307"/>
      <c r="Q424" s="95"/>
    </row>
    <row r="425" spans="15:17" ht="14.5">
      <c r="O425" s="307"/>
      <c r="Q425" s="95"/>
    </row>
    <row r="426" spans="15:17" ht="14.5">
      <c r="O426" s="307"/>
      <c r="Q426" s="95"/>
    </row>
    <row r="427" spans="15:17" ht="14.5">
      <c r="O427" s="307"/>
      <c r="Q427" s="95"/>
    </row>
    <row r="428" spans="15:17" ht="14.5">
      <c r="O428" s="307"/>
      <c r="Q428" s="95"/>
    </row>
    <row r="429" spans="15:17" ht="14.5">
      <c r="O429" s="307"/>
      <c r="Q429" s="95"/>
    </row>
    <row r="430" spans="15:17" ht="14.5">
      <c r="O430" s="307"/>
      <c r="Q430" s="95"/>
    </row>
    <row r="431" spans="15:17" ht="14.5">
      <c r="O431" s="307"/>
      <c r="Q431" s="95"/>
    </row>
    <row r="432" spans="15:17" ht="14.5">
      <c r="O432" s="307"/>
      <c r="Q432" s="95"/>
    </row>
    <row r="433" spans="15:17" ht="14.5">
      <c r="O433" s="307"/>
      <c r="Q433" s="95"/>
    </row>
    <row r="434" spans="15:17" ht="14.5">
      <c r="O434" s="307"/>
      <c r="Q434" s="95"/>
    </row>
    <row r="435" spans="15:17" ht="14.5">
      <c r="O435" s="307"/>
      <c r="Q435" s="95"/>
    </row>
    <row r="436" spans="15:17" ht="14.5">
      <c r="O436" s="307"/>
      <c r="Q436" s="95"/>
    </row>
    <row r="437" spans="15:17" ht="14.5">
      <c r="O437" s="307"/>
      <c r="Q437" s="95"/>
    </row>
    <row r="438" spans="15:17" ht="14.5">
      <c r="O438" s="307"/>
      <c r="Q438" s="95"/>
    </row>
    <row r="439" spans="15:17" ht="14.5">
      <c r="O439" s="307"/>
      <c r="Q439" s="95"/>
    </row>
    <row r="440" spans="15:17" ht="14.5">
      <c r="O440" s="307"/>
      <c r="Q440" s="95"/>
    </row>
    <row r="441" spans="15:17" ht="14.5">
      <c r="O441" s="307"/>
      <c r="Q441" s="95"/>
    </row>
    <row r="442" spans="15:17" ht="14.5">
      <c r="O442" s="307"/>
      <c r="Q442" s="95"/>
    </row>
    <row r="443" spans="15:17" ht="14.5">
      <c r="O443" s="307"/>
      <c r="Q443" s="95"/>
    </row>
    <row r="444" spans="15:17" ht="14.5">
      <c r="O444" s="307"/>
      <c r="Q444" s="95"/>
    </row>
    <row r="445" spans="15:17" ht="14.5">
      <c r="O445" s="307"/>
      <c r="Q445" s="95"/>
    </row>
    <row r="446" spans="15:17" ht="14.5">
      <c r="O446" s="307"/>
      <c r="Q446" s="95"/>
    </row>
    <row r="447" spans="15:17" ht="14.5">
      <c r="O447" s="307"/>
      <c r="Q447" s="95"/>
    </row>
    <row r="448" spans="15:17" ht="14.5">
      <c r="O448" s="307"/>
      <c r="Q448" s="95"/>
    </row>
    <row r="449" spans="15:17" ht="14.5">
      <c r="O449" s="307"/>
      <c r="Q449" s="95"/>
    </row>
    <row r="450" spans="15:17" ht="14.5">
      <c r="O450" s="307"/>
      <c r="Q450" s="95"/>
    </row>
    <row r="451" spans="15:17" ht="14.5">
      <c r="O451" s="307"/>
      <c r="Q451" s="95"/>
    </row>
    <row r="452" spans="15:17" ht="14.5">
      <c r="O452" s="307"/>
      <c r="Q452" s="95"/>
    </row>
    <row r="453" spans="15:17" ht="14.5">
      <c r="O453" s="307"/>
      <c r="Q453" s="95"/>
    </row>
    <row r="454" spans="15:17" ht="14.5">
      <c r="O454" s="307"/>
      <c r="Q454" s="95"/>
    </row>
    <row r="455" spans="15:17" ht="14.5">
      <c r="O455" s="307"/>
      <c r="Q455" s="95"/>
    </row>
    <row r="456" spans="15:17" ht="14.5">
      <c r="O456" s="307"/>
      <c r="Q456" s="95"/>
    </row>
    <row r="457" spans="15:17" ht="14.5">
      <c r="O457" s="307"/>
      <c r="Q457" s="95"/>
    </row>
    <row r="458" spans="15:17" ht="14.5">
      <c r="O458" s="307"/>
      <c r="Q458" s="95"/>
    </row>
    <row r="459" spans="15:17" ht="14.5">
      <c r="O459" s="307"/>
      <c r="Q459" s="95"/>
    </row>
    <row r="460" spans="15:17" ht="14.5">
      <c r="O460" s="307"/>
      <c r="Q460" s="95"/>
    </row>
    <row r="461" spans="15:17" ht="14.5">
      <c r="O461" s="307"/>
      <c r="Q461" s="95"/>
    </row>
    <row r="462" spans="15:17" ht="14.5">
      <c r="O462" s="307"/>
      <c r="Q462" s="95"/>
    </row>
    <row r="463" spans="15:17" ht="14.5">
      <c r="O463" s="307"/>
      <c r="Q463" s="95"/>
    </row>
    <row r="464" spans="15:17" ht="14.5">
      <c r="O464" s="307"/>
      <c r="Q464" s="95"/>
    </row>
    <row r="465" spans="15:17" ht="14.5">
      <c r="O465" s="307"/>
      <c r="Q465" s="95"/>
    </row>
    <row r="466" spans="15:17" ht="14.5">
      <c r="O466" s="307"/>
      <c r="Q466" s="95"/>
    </row>
    <row r="467" spans="15:17" ht="14.5">
      <c r="O467" s="307"/>
      <c r="Q467" s="95"/>
    </row>
    <row r="468" spans="15:17" ht="14.5">
      <c r="O468" s="307"/>
      <c r="Q468" s="95"/>
    </row>
    <row r="469" spans="15:17" ht="14.5">
      <c r="O469" s="307"/>
      <c r="Q469" s="95"/>
    </row>
    <row r="470" spans="15:17" ht="14.5">
      <c r="O470" s="307"/>
      <c r="Q470" s="95"/>
    </row>
    <row r="471" spans="15:17" ht="14.5">
      <c r="O471" s="307"/>
      <c r="Q471" s="95"/>
    </row>
    <row r="472" spans="15:17" ht="14.5">
      <c r="O472" s="307"/>
      <c r="Q472" s="95"/>
    </row>
    <row r="473" spans="15:17" ht="14.5">
      <c r="O473" s="307"/>
      <c r="Q473" s="95"/>
    </row>
    <row r="474" spans="15:17" ht="14.5">
      <c r="O474" s="307"/>
      <c r="Q474" s="95"/>
    </row>
    <row r="475" spans="15:17" ht="14.5">
      <c r="O475" s="307"/>
      <c r="Q475" s="95"/>
    </row>
    <row r="476" spans="15:17" ht="14.5">
      <c r="O476" s="307"/>
      <c r="Q476" s="95"/>
    </row>
    <row r="477" spans="15:17" ht="14.5">
      <c r="O477" s="307"/>
      <c r="Q477" s="95"/>
    </row>
    <row r="478" spans="15:17" ht="14.5">
      <c r="O478" s="307"/>
      <c r="Q478" s="95"/>
    </row>
    <row r="479" spans="15:17" ht="14.5">
      <c r="O479" s="307"/>
      <c r="Q479" s="95"/>
    </row>
    <row r="480" spans="15:17" ht="14.5">
      <c r="O480" s="307"/>
      <c r="Q480" s="95"/>
    </row>
    <row r="481" spans="15:17" ht="14.5">
      <c r="O481" s="307"/>
      <c r="Q481" s="95"/>
    </row>
    <row r="482" spans="15:17" ht="14.5">
      <c r="O482" s="307"/>
      <c r="Q482" s="95"/>
    </row>
    <row r="483" spans="15:17" ht="14.5">
      <c r="O483" s="307"/>
      <c r="Q483" s="95"/>
    </row>
    <row r="484" spans="15:17" ht="14.5">
      <c r="O484" s="307"/>
      <c r="Q484" s="95"/>
    </row>
    <row r="485" spans="15:17" ht="14.5">
      <c r="O485" s="307"/>
      <c r="Q485" s="95"/>
    </row>
    <row r="486" spans="15:17" ht="14.5">
      <c r="O486" s="307"/>
      <c r="Q486" s="95"/>
    </row>
    <row r="487" spans="15:17" ht="14.5">
      <c r="O487" s="307"/>
      <c r="Q487" s="95"/>
    </row>
    <row r="488" spans="15:17" ht="14.5">
      <c r="O488" s="307"/>
      <c r="Q488" s="95"/>
    </row>
    <row r="489" spans="15:17" ht="14.5">
      <c r="O489" s="307"/>
      <c r="Q489" s="95"/>
    </row>
    <row r="490" spans="15:17" ht="14.5">
      <c r="O490" s="307"/>
      <c r="Q490" s="95"/>
    </row>
    <row r="491" spans="15:17" ht="14.5">
      <c r="O491" s="307"/>
      <c r="Q491" s="95"/>
    </row>
    <row r="492" spans="15:17" ht="14.5">
      <c r="O492" s="307"/>
      <c r="Q492" s="95"/>
    </row>
    <row r="493" spans="15:17" ht="14.5">
      <c r="O493" s="307"/>
      <c r="Q493" s="95"/>
    </row>
    <row r="494" spans="15:17" ht="14.5">
      <c r="O494" s="307"/>
      <c r="Q494" s="95"/>
    </row>
    <row r="495" spans="15:17" ht="14.5">
      <c r="O495" s="307"/>
      <c r="Q495" s="95"/>
    </row>
    <row r="496" spans="15:17" ht="14.5">
      <c r="O496" s="307"/>
      <c r="Q496" s="95"/>
    </row>
    <row r="497" spans="15:17" ht="14.5">
      <c r="O497" s="307"/>
      <c r="Q497" s="95"/>
    </row>
    <row r="498" spans="15:17" ht="14.5">
      <c r="O498" s="307"/>
      <c r="Q498" s="95"/>
    </row>
    <row r="499" spans="15:17" ht="14.5">
      <c r="O499" s="307"/>
      <c r="Q499" s="95"/>
    </row>
    <row r="500" spans="15:17" ht="14.5">
      <c r="O500" s="307"/>
      <c r="Q500" s="95"/>
    </row>
    <row r="501" spans="15:17" ht="14.5">
      <c r="O501" s="307"/>
      <c r="Q501" s="95"/>
    </row>
    <row r="502" spans="15:17" ht="14.5">
      <c r="O502" s="307"/>
      <c r="Q502" s="95"/>
    </row>
    <row r="503" spans="15:17" ht="14.5">
      <c r="O503" s="307"/>
      <c r="Q503" s="95"/>
    </row>
    <row r="504" spans="15:17" ht="14.5">
      <c r="O504" s="307"/>
      <c r="Q504" s="95"/>
    </row>
    <row r="505" spans="15:17" ht="14.5">
      <c r="O505" s="307"/>
      <c r="Q505" s="95"/>
    </row>
    <row r="506" spans="15:17" ht="14.5">
      <c r="O506" s="307"/>
      <c r="Q506" s="95"/>
    </row>
    <row r="507" spans="15:17" ht="14.5">
      <c r="O507" s="307"/>
      <c r="Q507" s="95"/>
    </row>
    <row r="508" spans="15:17" ht="14.5">
      <c r="O508" s="307"/>
      <c r="Q508" s="95"/>
    </row>
    <row r="509" spans="15:17" ht="14.5">
      <c r="O509" s="307"/>
      <c r="Q509" s="95"/>
    </row>
    <row r="510" spans="15:17" ht="14.5">
      <c r="O510" s="307"/>
      <c r="Q510" s="95"/>
    </row>
    <row r="511" spans="15:17" ht="14.5">
      <c r="O511" s="307"/>
      <c r="Q511" s="95"/>
    </row>
    <row r="512" spans="15:17" ht="14.5">
      <c r="O512" s="307"/>
      <c r="Q512" s="95"/>
    </row>
    <row r="513" spans="15:17" ht="14.5">
      <c r="O513" s="307"/>
      <c r="Q513" s="95"/>
    </row>
    <row r="514" spans="15:17" ht="14.5">
      <c r="O514" s="307"/>
      <c r="Q514" s="95"/>
    </row>
    <row r="515" spans="15:17" ht="14.5">
      <c r="O515" s="307"/>
      <c r="Q515" s="95"/>
    </row>
    <row r="516" spans="15:17" ht="14.5">
      <c r="O516" s="307"/>
      <c r="Q516" s="95"/>
    </row>
    <row r="517" spans="15:17" ht="14.5">
      <c r="O517" s="307"/>
      <c r="Q517" s="95"/>
    </row>
    <row r="518" spans="15:17" ht="14.5">
      <c r="O518" s="307"/>
      <c r="Q518" s="95"/>
    </row>
    <row r="519" spans="15:17" ht="14.5">
      <c r="O519" s="307"/>
      <c r="Q519" s="95"/>
    </row>
    <row r="520" spans="15:17" ht="14.5">
      <c r="O520" s="307"/>
      <c r="Q520" s="95"/>
    </row>
    <row r="521" spans="15:17" ht="14.5">
      <c r="O521" s="307"/>
      <c r="Q521" s="95"/>
    </row>
    <row r="522" spans="15:17" ht="14.5">
      <c r="O522" s="307"/>
      <c r="Q522" s="95"/>
    </row>
    <row r="523" spans="15:17" ht="14.5">
      <c r="O523" s="307"/>
      <c r="Q523" s="95"/>
    </row>
    <row r="524" spans="15:17" ht="14.5">
      <c r="O524" s="307"/>
      <c r="Q524" s="95"/>
    </row>
    <row r="525" spans="15:17" ht="14.5">
      <c r="O525" s="307"/>
      <c r="Q525" s="95"/>
    </row>
    <row r="526" spans="15:17" ht="14.5">
      <c r="O526" s="307"/>
      <c r="Q526" s="95"/>
    </row>
    <row r="527" spans="15:17" ht="14.5">
      <c r="O527" s="307"/>
      <c r="Q527" s="95"/>
    </row>
    <row r="528" spans="15:17" ht="14.5">
      <c r="O528" s="307"/>
      <c r="Q528" s="95"/>
    </row>
    <row r="529" spans="15:17" ht="14.5">
      <c r="O529" s="307"/>
      <c r="Q529" s="95"/>
    </row>
    <row r="530" spans="15:17" ht="14.5">
      <c r="O530" s="307"/>
      <c r="Q530" s="95"/>
    </row>
    <row r="531" spans="15:17" ht="14.5">
      <c r="O531" s="307"/>
      <c r="Q531" s="95"/>
    </row>
    <row r="532" spans="15:17" ht="14.5">
      <c r="O532" s="307"/>
      <c r="Q532" s="95"/>
    </row>
    <row r="533" spans="15:17" ht="14.5">
      <c r="O533" s="307"/>
      <c r="Q533" s="95"/>
    </row>
    <row r="534" spans="15:17" ht="14.5">
      <c r="O534" s="307"/>
      <c r="Q534" s="95"/>
    </row>
    <row r="535" spans="15:17" ht="14.5">
      <c r="O535" s="307"/>
      <c r="Q535" s="95"/>
    </row>
    <row r="536" spans="15:17" ht="14.5">
      <c r="O536" s="307"/>
      <c r="Q536" s="95"/>
    </row>
    <row r="537" spans="15:17" ht="14.5">
      <c r="O537" s="307"/>
      <c r="Q537" s="95"/>
    </row>
    <row r="538" spans="15:17" ht="14.5">
      <c r="O538" s="307"/>
      <c r="Q538" s="95"/>
    </row>
    <row r="539" spans="15:17" ht="14.5">
      <c r="O539" s="307"/>
      <c r="Q539" s="95"/>
    </row>
    <row r="540" spans="15:17" ht="14.5">
      <c r="O540" s="307"/>
      <c r="Q540" s="95"/>
    </row>
    <row r="541" spans="15:17" ht="14.5">
      <c r="O541" s="307"/>
      <c r="Q541" s="95"/>
    </row>
    <row r="542" spans="15:17" ht="14.5">
      <c r="O542" s="307"/>
      <c r="Q542" s="95"/>
    </row>
    <row r="543" spans="15:17" ht="14.5">
      <c r="O543" s="307"/>
      <c r="Q543" s="95"/>
    </row>
    <row r="544" spans="15:17" ht="14.5">
      <c r="O544" s="307"/>
      <c r="Q544" s="95"/>
    </row>
    <row r="545" spans="15:17" ht="14.5">
      <c r="O545" s="307"/>
      <c r="Q545" s="95"/>
    </row>
    <row r="546" spans="15:17" ht="14.5">
      <c r="O546" s="307"/>
      <c r="Q546" s="95"/>
    </row>
    <row r="547" spans="15:17" ht="14.5">
      <c r="O547" s="307"/>
      <c r="Q547" s="95"/>
    </row>
    <row r="548" spans="15:17" ht="14.5">
      <c r="O548" s="307"/>
      <c r="Q548" s="95"/>
    </row>
    <row r="549" spans="15:17" ht="14.5">
      <c r="O549" s="307"/>
      <c r="Q549" s="95"/>
    </row>
    <row r="550" spans="15:17" ht="14.5">
      <c r="O550" s="307"/>
      <c r="Q550" s="95"/>
    </row>
    <row r="551" spans="15:17" ht="14.5">
      <c r="O551" s="307"/>
      <c r="Q551" s="95"/>
    </row>
    <row r="552" spans="15:17" ht="14.5">
      <c r="O552" s="307"/>
      <c r="Q552" s="95"/>
    </row>
    <row r="553" spans="15:17" ht="14.5">
      <c r="O553" s="307"/>
      <c r="Q553" s="95"/>
    </row>
    <row r="554" spans="15:17" ht="14.5">
      <c r="O554" s="307"/>
      <c r="Q554" s="95"/>
    </row>
    <row r="555" spans="15:17" ht="14.5">
      <c r="O555" s="307"/>
      <c r="Q555" s="95"/>
    </row>
    <row r="556" spans="15:17" ht="14.5">
      <c r="O556" s="307"/>
      <c r="Q556" s="95"/>
    </row>
    <row r="557" spans="15:17" ht="14.5">
      <c r="O557" s="307"/>
      <c r="Q557" s="95"/>
    </row>
    <row r="558" spans="15:17" ht="14.5">
      <c r="O558" s="307"/>
      <c r="Q558" s="95"/>
    </row>
    <row r="559" spans="15:17" ht="14.5">
      <c r="O559" s="307"/>
      <c r="Q559" s="95"/>
    </row>
    <row r="560" spans="15:17" ht="14.5">
      <c r="O560" s="307"/>
      <c r="Q560" s="95"/>
    </row>
    <row r="561" spans="15:17" ht="14.5">
      <c r="O561" s="307"/>
      <c r="Q561" s="95"/>
    </row>
    <row r="562" spans="15:17" ht="14.5">
      <c r="O562" s="307"/>
      <c r="Q562" s="95"/>
    </row>
    <row r="563" spans="15:17" ht="14.5">
      <c r="O563" s="307"/>
      <c r="Q563" s="95"/>
    </row>
    <row r="564" spans="15:17" ht="14.5">
      <c r="O564" s="307"/>
      <c r="Q564" s="95"/>
    </row>
    <row r="565" spans="15:17" ht="14.5">
      <c r="O565" s="307"/>
      <c r="Q565" s="95"/>
    </row>
    <row r="566" spans="15:17" ht="14.5">
      <c r="O566" s="307"/>
      <c r="Q566" s="95"/>
    </row>
    <row r="567" spans="15:17" ht="14.5">
      <c r="O567" s="307"/>
      <c r="Q567" s="95"/>
    </row>
    <row r="568" spans="15:17" ht="14.5">
      <c r="O568" s="307"/>
      <c r="Q568" s="95"/>
    </row>
    <row r="569" spans="15:17" ht="14.5">
      <c r="O569" s="307"/>
      <c r="Q569" s="95"/>
    </row>
    <row r="570" spans="15:17" ht="14.5">
      <c r="O570" s="307"/>
      <c r="Q570" s="95"/>
    </row>
    <row r="571" spans="15:17" ht="14.5">
      <c r="O571" s="307"/>
      <c r="Q571" s="95"/>
    </row>
    <row r="572" spans="15:17" ht="14.5">
      <c r="O572" s="307"/>
      <c r="Q572" s="95"/>
    </row>
    <row r="573" spans="15:17" ht="14.5">
      <c r="O573" s="307"/>
      <c r="Q573" s="95"/>
    </row>
    <row r="574" spans="15:17" ht="14.5">
      <c r="O574" s="307"/>
      <c r="Q574" s="95"/>
    </row>
    <row r="575" spans="15:17" ht="14.5">
      <c r="O575" s="307"/>
      <c r="Q575" s="95"/>
    </row>
    <row r="576" spans="15:17" ht="14.5">
      <c r="O576" s="307"/>
      <c r="Q576" s="95"/>
    </row>
    <row r="577" spans="15:17" ht="14.5">
      <c r="O577" s="307"/>
      <c r="Q577" s="95"/>
    </row>
    <row r="578" spans="15:17" ht="14.5">
      <c r="O578" s="307"/>
      <c r="Q578" s="95"/>
    </row>
    <row r="579" spans="15:17" ht="14.5">
      <c r="O579" s="307"/>
      <c r="Q579" s="95"/>
    </row>
    <row r="580" spans="15:17" ht="14.5">
      <c r="O580" s="307"/>
      <c r="Q580" s="95"/>
    </row>
    <row r="581" spans="15:17" ht="14.5">
      <c r="O581" s="307"/>
      <c r="Q581" s="95"/>
    </row>
    <row r="582" spans="15:17" ht="14.5">
      <c r="O582" s="307"/>
      <c r="Q582" s="95"/>
    </row>
    <row r="583" spans="15:17" ht="14.5">
      <c r="O583" s="307"/>
      <c r="Q583" s="95"/>
    </row>
    <row r="584" spans="15:17" ht="14.5">
      <c r="O584" s="307"/>
      <c r="Q584" s="95"/>
    </row>
    <row r="585" spans="15:17" ht="14.5">
      <c r="O585" s="307"/>
      <c r="Q585" s="95"/>
    </row>
    <row r="586" spans="15:17" ht="14.5">
      <c r="O586" s="307"/>
      <c r="Q586" s="95"/>
    </row>
    <row r="587" spans="15:17" ht="14.5">
      <c r="O587" s="307"/>
      <c r="Q587" s="95"/>
    </row>
    <row r="588" spans="15:17" ht="14.5">
      <c r="O588" s="307"/>
      <c r="Q588" s="95"/>
    </row>
    <row r="589" spans="15:17" ht="14.5">
      <c r="O589" s="307"/>
      <c r="Q589" s="95"/>
    </row>
    <row r="590" spans="15:17" ht="14.5">
      <c r="O590" s="307"/>
      <c r="Q590" s="95"/>
    </row>
    <row r="591" spans="15:17" ht="14.5">
      <c r="O591" s="307"/>
      <c r="Q591" s="95"/>
    </row>
    <row r="592" spans="15:17" ht="14.5">
      <c r="O592" s="307"/>
      <c r="Q592" s="95"/>
    </row>
    <row r="593" spans="15:17" ht="14.5">
      <c r="O593" s="307"/>
      <c r="Q593" s="95"/>
    </row>
    <row r="594" spans="15:17" ht="14.5">
      <c r="O594" s="307"/>
      <c r="Q594" s="95"/>
    </row>
    <row r="595" spans="15:17" ht="14.5">
      <c r="O595" s="307"/>
      <c r="Q595" s="95"/>
    </row>
    <row r="596" spans="15:17" ht="14.5">
      <c r="O596" s="307"/>
      <c r="Q596" s="95"/>
    </row>
    <row r="597" spans="15:17" ht="14.5">
      <c r="O597" s="307"/>
      <c r="Q597" s="95"/>
    </row>
    <row r="598" spans="15:17" ht="14.5">
      <c r="O598" s="307"/>
      <c r="Q598" s="95"/>
    </row>
    <row r="599" spans="15:17" ht="14.5">
      <c r="O599" s="307"/>
      <c r="Q599" s="95"/>
    </row>
    <row r="600" spans="15:17" ht="14.5">
      <c r="O600" s="307"/>
      <c r="Q600" s="95"/>
    </row>
    <row r="601" spans="15:17" ht="14.5">
      <c r="O601" s="307"/>
      <c r="Q601" s="95"/>
    </row>
    <row r="602" spans="15:17" ht="14.5">
      <c r="O602" s="307"/>
      <c r="Q602" s="95"/>
    </row>
    <row r="603" spans="15:17" ht="14.5">
      <c r="O603" s="307"/>
      <c r="Q603" s="95"/>
    </row>
    <row r="604" spans="15:17" ht="14.5">
      <c r="O604" s="307"/>
      <c r="Q604" s="95"/>
    </row>
    <row r="605" spans="15:17" ht="14.5">
      <c r="O605" s="307"/>
      <c r="Q605" s="95"/>
    </row>
    <row r="606" spans="15:17" ht="14.5">
      <c r="O606" s="307"/>
      <c r="Q606" s="95"/>
    </row>
    <row r="607" spans="15:17" ht="14.5">
      <c r="O607" s="307"/>
      <c r="Q607" s="95"/>
    </row>
    <row r="608" spans="15:17" ht="14.5">
      <c r="O608" s="307"/>
      <c r="Q608" s="95"/>
    </row>
    <row r="609" spans="15:17" ht="14.5">
      <c r="O609" s="307"/>
      <c r="Q609" s="95"/>
    </row>
    <row r="610" spans="15:17" ht="14.5">
      <c r="O610" s="307"/>
      <c r="Q610" s="95"/>
    </row>
    <row r="611" spans="15:17" ht="14.5">
      <c r="O611" s="307"/>
      <c r="Q611" s="95"/>
    </row>
    <row r="612" spans="15:17" ht="14.5">
      <c r="O612" s="307"/>
      <c r="Q612" s="95"/>
    </row>
    <row r="613" spans="15:17" ht="14.5">
      <c r="O613" s="307"/>
      <c r="Q613" s="95"/>
    </row>
    <row r="614" spans="15:17" ht="14.5">
      <c r="O614" s="307"/>
      <c r="Q614" s="95"/>
    </row>
    <row r="615" spans="15:17" ht="14.5">
      <c r="O615" s="307"/>
      <c r="Q615" s="95"/>
    </row>
    <row r="616" spans="15:17" ht="14.5">
      <c r="O616" s="307"/>
      <c r="Q616" s="95"/>
    </row>
    <row r="617" spans="15:17" ht="14.5">
      <c r="O617" s="307"/>
      <c r="Q617" s="95"/>
    </row>
    <row r="618" spans="15:17" ht="14.5">
      <c r="O618" s="307"/>
      <c r="Q618" s="95"/>
    </row>
    <row r="619" spans="15:17" ht="14.5">
      <c r="O619" s="307"/>
      <c r="Q619" s="95"/>
    </row>
    <row r="620" spans="15:17" ht="14.5">
      <c r="O620" s="307"/>
      <c r="Q620" s="95"/>
    </row>
    <row r="621" spans="15:17" ht="14.5">
      <c r="O621" s="307"/>
      <c r="Q621" s="95"/>
    </row>
    <row r="622" spans="15:17" ht="14.5">
      <c r="O622" s="307"/>
      <c r="Q622" s="95"/>
    </row>
    <row r="623" spans="15:17" ht="14.5">
      <c r="O623" s="307"/>
      <c r="Q623" s="95"/>
    </row>
    <row r="624" spans="15:17" ht="14.5">
      <c r="O624" s="307"/>
      <c r="Q624" s="95"/>
    </row>
    <row r="625" spans="15:17" ht="14.5">
      <c r="O625" s="307"/>
      <c r="Q625" s="95"/>
    </row>
    <row r="626" spans="15:17" ht="14.5">
      <c r="O626" s="307"/>
      <c r="Q626" s="95"/>
    </row>
    <row r="627" spans="15:17" ht="14.5">
      <c r="O627" s="307"/>
      <c r="Q627" s="95"/>
    </row>
    <row r="628" spans="15:17" ht="14.5">
      <c r="O628" s="307"/>
      <c r="Q628" s="95"/>
    </row>
    <row r="629" spans="15:17" ht="14.5">
      <c r="O629" s="307"/>
      <c r="Q629" s="95"/>
    </row>
    <row r="630" spans="15:17" ht="14.5">
      <c r="O630" s="307"/>
      <c r="Q630" s="95"/>
    </row>
    <row r="631" spans="15:17" ht="14.5">
      <c r="O631" s="307"/>
      <c r="Q631" s="95"/>
    </row>
    <row r="632" spans="15:17" ht="14.5">
      <c r="O632" s="307"/>
      <c r="Q632" s="95"/>
    </row>
    <row r="633" spans="15:17" ht="14.5">
      <c r="O633" s="307"/>
      <c r="Q633" s="95"/>
    </row>
    <row r="634" spans="15:17" ht="14.5">
      <c r="O634" s="307"/>
      <c r="Q634" s="95"/>
    </row>
    <row r="635" spans="15:17" ht="14.5">
      <c r="O635" s="307"/>
      <c r="Q635" s="95"/>
    </row>
    <row r="636" spans="15:17" ht="14.5">
      <c r="O636" s="307"/>
      <c r="Q636" s="95"/>
    </row>
    <row r="637" spans="15:17" ht="14.5">
      <c r="O637" s="307"/>
      <c r="Q637" s="95"/>
    </row>
    <row r="638" spans="15:17" ht="14.5">
      <c r="O638" s="307"/>
      <c r="Q638" s="95"/>
    </row>
    <row r="639" spans="15:17" ht="14.5">
      <c r="O639" s="307"/>
      <c r="Q639" s="95"/>
    </row>
    <row r="640" spans="15:17" ht="14.5">
      <c r="O640" s="307"/>
      <c r="Q640" s="95"/>
    </row>
    <row r="641" spans="15:17" ht="14.5">
      <c r="O641" s="307"/>
      <c r="Q641" s="95"/>
    </row>
    <row r="642" spans="15:17" ht="14.5">
      <c r="O642" s="307"/>
      <c r="Q642" s="95"/>
    </row>
    <row r="643" spans="15:17" ht="14.5">
      <c r="O643" s="307"/>
      <c r="Q643" s="95"/>
    </row>
    <row r="644" spans="15:17" ht="14.5">
      <c r="O644" s="307"/>
      <c r="Q644" s="95"/>
    </row>
    <row r="645" spans="15:17" ht="14.5">
      <c r="O645" s="307"/>
      <c r="Q645" s="95"/>
    </row>
    <row r="646" spans="15:17" ht="14.5">
      <c r="O646" s="307"/>
      <c r="Q646" s="95"/>
    </row>
    <row r="647" spans="15:17" ht="14.5">
      <c r="O647" s="307"/>
      <c r="Q647" s="95"/>
    </row>
    <row r="648" spans="15:17" ht="14.5">
      <c r="O648" s="307"/>
      <c r="Q648" s="95"/>
    </row>
    <row r="649" spans="15:17" ht="14.5">
      <c r="O649" s="307"/>
      <c r="Q649" s="95"/>
    </row>
    <row r="650" spans="15:17" ht="14.5">
      <c r="O650" s="307"/>
      <c r="Q650" s="95"/>
    </row>
    <row r="651" spans="15:17" ht="14.5">
      <c r="O651" s="307"/>
      <c r="Q651" s="95"/>
    </row>
    <row r="652" spans="15:17" ht="14.5">
      <c r="O652" s="307"/>
      <c r="Q652" s="95"/>
    </row>
    <row r="653" spans="15:17" ht="14.5">
      <c r="O653" s="307"/>
      <c r="Q653" s="95"/>
    </row>
    <row r="654" spans="15:17" ht="14.5">
      <c r="O654" s="307"/>
      <c r="Q654" s="95"/>
    </row>
    <row r="655" spans="15:17" ht="14.5">
      <c r="O655" s="307"/>
      <c r="Q655" s="95"/>
    </row>
    <row r="656" spans="15:17" ht="14.5">
      <c r="O656" s="307"/>
      <c r="Q656" s="95"/>
    </row>
    <row r="657" spans="15:17" ht="14.5">
      <c r="O657" s="307"/>
      <c r="Q657" s="95"/>
    </row>
    <row r="658" spans="15:17" ht="14.5">
      <c r="O658" s="307"/>
      <c r="Q658" s="95"/>
    </row>
    <row r="659" spans="15:17" ht="14.5">
      <c r="O659" s="307"/>
      <c r="Q659" s="95"/>
    </row>
    <row r="660" spans="15:17" ht="14.5">
      <c r="O660" s="307"/>
      <c r="Q660" s="95"/>
    </row>
    <row r="661" spans="15:17" ht="14.5">
      <c r="O661" s="307"/>
      <c r="Q661" s="95"/>
    </row>
    <row r="662" spans="15:17" ht="14.5">
      <c r="O662" s="307"/>
      <c r="Q662" s="95"/>
    </row>
    <row r="663" spans="15:17" ht="14.5">
      <c r="O663" s="307"/>
      <c r="Q663" s="95"/>
    </row>
    <row r="664" spans="15:17" ht="14.5">
      <c r="O664" s="307"/>
      <c r="Q664" s="95"/>
    </row>
    <row r="665" spans="15:17" ht="14.5">
      <c r="O665" s="307"/>
      <c r="Q665" s="95"/>
    </row>
    <row r="666" spans="15:17" ht="14.5">
      <c r="O666" s="307"/>
      <c r="Q666" s="95"/>
    </row>
    <row r="667" spans="15:17" ht="14.5">
      <c r="O667" s="307"/>
      <c r="Q667" s="95"/>
    </row>
    <row r="668" spans="15:17" ht="14.5">
      <c r="O668" s="307"/>
      <c r="Q668" s="95"/>
    </row>
    <row r="669" spans="15:17" ht="14.5">
      <c r="O669" s="307"/>
      <c r="Q669" s="95"/>
    </row>
    <row r="670" spans="15:17" ht="14.5">
      <c r="O670" s="307"/>
      <c r="Q670" s="95"/>
    </row>
    <row r="671" spans="15:17" ht="14.5">
      <c r="O671" s="307"/>
      <c r="Q671" s="95"/>
    </row>
    <row r="672" spans="15:17" ht="14.5">
      <c r="O672" s="307"/>
      <c r="Q672" s="95"/>
    </row>
    <row r="673" spans="15:17" ht="14.5">
      <c r="O673" s="307"/>
      <c r="Q673" s="95"/>
    </row>
    <row r="674" spans="15:17" ht="14.5">
      <c r="O674" s="307"/>
      <c r="Q674" s="95"/>
    </row>
    <row r="675" spans="15:17" ht="14.5">
      <c r="O675" s="307"/>
      <c r="Q675" s="95"/>
    </row>
    <row r="676" spans="15:17" ht="14.5">
      <c r="O676" s="307"/>
      <c r="Q676" s="95"/>
    </row>
    <row r="677" spans="15:17" ht="14.5">
      <c r="O677" s="307"/>
      <c r="Q677" s="95"/>
    </row>
    <row r="678" spans="15:17" ht="14.5">
      <c r="O678" s="307"/>
      <c r="Q678" s="95"/>
    </row>
    <row r="679" spans="15:17" ht="14.5">
      <c r="O679" s="307"/>
      <c r="Q679" s="95"/>
    </row>
    <row r="680" spans="15:17" ht="14.5">
      <c r="O680" s="307"/>
      <c r="Q680" s="95"/>
    </row>
    <row r="681" spans="15:17" ht="14.5">
      <c r="O681" s="307"/>
      <c r="Q681" s="95"/>
    </row>
    <row r="682" spans="15:17" ht="14.5">
      <c r="O682" s="307"/>
      <c r="Q682" s="95"/>
    </row>
    <row r="683" spans="15:17" ht="14.5">
      <c r="O683" s="307"/>
      <c r="Q683" s="95"/>
    </row>
    <row r="684" spans="15:17" ht="14.5">
      <c r="O684" s="307"/>
      <c r="Q684" s="95"/>
    </row>
    <row r="685" spans="15:17" ht="14.5">
      <c r="O685" s="307"/>
      <c r="Q685" s="95"/>
    </row>
    <row r="686" spans="15:17" ht="14.5">
      <c r="O686" s="307"/>
      <c r="Q686" s="95"/>
    </row>
    <row r="687" spans="15:17" ht="14.5">
      <c r="O687" s="307"/>
      <c r="Q687" s="95"/>
    </row>
    <row r="688" spans="15:17" ht="14.5">
      <c r="O688" s="307"/>
      <c r="Q688" s="95"/>
    </row>
    <row r="689" spans="15:17" ht="14.5">
      <c r="O689" s="307"/>
      <c r="Q689" s="95"/>
    </row>
    <row r="690" spans="15:17" ht="14.5">
      <c r="O690" s="307"/>
      <c r="Q690" s="95"/>
    </row>
    <row r="691" spans="15:17" ht="14.5">
      <c r="O691" s="307"/>
      <c r="Q691" s="95"/>
    </row>
    <row r="692" spans="15:17" ht="14.5">
      <c r="O692" s="307"/>
      <c r="Q692" s="95"/>
    </row>
    <row r="693" spans="15:17" ht="14.5">
      <c r="O693" s="307"/>
      <c r="Q693" s="95"/>
    </row>
    <row r="694" spans="15:17" ht="14.5">
      <c r="O694" s="307"/>
      <c r="Q694" s="95"/>
    </row>
    <row r="695" spans="15:17" ht="14.5">
      <c r="O695" s="307"/>
      <c r="Q695" s="95"/>
    </row>
    <row r="696" spans="15:17" ht="14.5">
      <c r="O696" s="307"/>
      <c r="Q696" s="95"/>
    </row>
    <row r="697" spans="15:17" ht="14.5">
      <c r="O697" s="307"/>
      <c r="Q697" s="95"/>
    </row>
    <row r="698" spans="15:17" ht="14.5">
      <c r="O698" s="307"/>
      <c r="Q698" s="95"/>
    </row>
    <row r="699" spans="15:17" ht="14.5">
      <c r="O699" s="307"/>
      <c r="Q699" s="95"/>
    </row>
    <row r="700" spans="15:17" ht="14.5">
      <c r="O700" s="307"/>
      <c r="Q700" s="95"/>
    </row>
    <row r="701" spans="15:17" ht="14.5">
      <c r="O701" s="307"/>
      <c r="Q701" s="95"/>
    </row>
    <row r="702" spans="15:17" ht="14.5">
      <c r="O702" s="307"/>
      <c r="Q702" s="95"/>
    </row>
    <row r="703" spans="15:17" ht="14.5">
      <c r="O703" s="307"/>
      <c r="Q703" s="95"/>
    </row>
    <row r="704" spans="15:17" ht="14.5">
      <c r="O704" s="307"/>
      <c r="Q704" s="95"/>
    </row>
    <row r="705" spans="15:17" ht="14.5">
      <c r="O705" s="307"/>
      <c r="Q705" s="95"/>
    </row>
    <row r="706" spans="15:17" ht="14.5">
      <c r="O706" s="307"/>
      <c r="Q706" s="95"/>
    </row>
    <row r="707" spans="15:17" ht="14.5">
      <c r="O707" s="307"/>
      <c r="Q707" s="95"/>
    </row>
    <row r="708" spans="15:17" ht="14.5">
      <c r="O708" s="307"/>
      <c r="Q708" s="95"/>
    </row>
    <row r="709" spans="15:17" ht="14.5">
      <c r="O709" s="307"/>
      <c r="Q709" s="95"/>
    </row>
    <row r="710" spans="15:17" ht="14.5">
      <c r="O710" s="307"/>
      <c r="Q710" s="95"/>
    </row>
    <row r="711" spans="15:17" ht="14.5">
      <c r="O711" s="307"/>
      <c r="Q711" s="95"/>
    </row>
    <row r="712" spans="15:17" ht="14.5">
      <c r="O712" s="307"/>
      <c r="Q712" s="95"/>
    </row>
    <row r="713" spans="15:17" ht="14.5">
      <c r="O713" s="307"/>
      <c r="Q713" s="95"/>
    </row>
    <row r="714" spans="15:17" ht="14.5">
      <c r="O714" s="307"/>
      <c r="Q714" s="95"/>
    </row>
    <row r="715" spans="15:17" ht="14.5">
      <c r="O715" s="307"/>
      <c r="Q715" s="95"/>
    </row>
    <row r="716" spans="15:17" ht="14.5">
      <c r="O716" s="307"/>
      <c r="Q716" s="95"/>
    </row>
    <row r="717" spans="15:17" ht="14.5">
      <c r="O717" s="307"/>
      <c r="Q717" s="95"/>
    </row>
    <row r="718" spans="15:17" ht="14.5">
      <c r="O718" s="307"/>
      <c r="Q718" s="95"/>
    </row>
    <row r="719" spans="15:17" ht="14.5">
      <c r="O719" s="307"/>
      <c r="Q719" s="95"/>
    </row>
    <row r="720" spans="15:17" ht="14.5">
      <c r="O720" s="307"/>
      <c r="Q720" s="95"/>
    </row>
    <row r="721" spans="15:17" ht="14.5">
      <c r="O721" s="307"/>
      <c r="Q721" s="95"/>
    </row>
    <row r="722" spans="15:17" ht="14.5">
      <c r="O722" s="307"/>
      <c r="Q722" s="95"/>
    </row>
    <row r="723" spans="15:17" ht="14.5">
      <c r="O723" s="307"/>
      <c r="Q723" s="95"/>
    </row>
    <row r="724" spans="15:17" ht="14.5">
      <c r="O724" s="307"/>
      <c r="Q724" s="95"/>
    </row>
    <row r="725" spans="15:17" ht="14.5">
      <c r="O725" s="307"/>
      <c r="Q725" s="95"/>
    </row>
    <row r="726" spans="15:17" ht="14.5">
      <c r="O726" s="307"/>
      <c r="Q726" s="95"/>
    </row>
    <row r="727" spans="15:17" ht="14.5">
      <c r="O727" s="307"/>
      <c r="Q727" s="95"/>
    </row>
    <row r="728" spans="15:17" ht="14.5">
      <c r="O728" s="307"/>
      <c r="Q728" s="95"/>
    </row>
    <row r="729" spans="15:17" ht="14.5">
      <c r="O729" s="307"/>
      <c r="Q729" s="95"/>
    </row>
    <row r="730" spans="15:17" ht="14.5">
      <c r="O730" s="307"/>
      <c r="Q730" s="95"/>
    </row>
    <row r="731" spans="15:17" ht="14.5">
      <c r="O731" s="307"/>
      <c r="Q731" s="95"/>
    </row>
    <row r="732" spans="15:17" ht="14.5">
      <c r="O732" s="307"/>
      <c r="Q732" s="95"/>
    </row>
    <row r="733" spans="15:17" ht="14.5">
      <c r="O733" s="307"/>
      <c r="Q733" s="95"/>
    </row>
    <row r="734" spans="15:17" ht="14.5">
      <c r="O734" s="307"/>
      <c r="Q734" s="95"/>
    </row>
    <row r="735" spans="15:17" ht="14.5">
      <c r="O735" s="307"/>
      <c r="Q735" s="95"/>
    </row>
    <row r="736" spans="15:17" ht="14.5">
      <c r="O736" s="307"/>
      <c r="Q736" s="95"/>
    </row>
    <row r="737" spans="15:17" ht="14.5">
      <c r="O737" s="307"/>
      <c r="Q737" s="95"/>
    </row>
    <row r="738" spans="15:17" ht="14.5">
      <c r="O738" s="307"/>
      <c r="Q738" s="95"/>
    </row>
    <row r="739" spans="15:17" ht="14.5">
      <c r="O739" s="307"/>
      <c r="Q739" s="95"/>
    </row>
    <row r="740" spans="15:17" ht="14.5">
      <c r="O740" s="307"/>
      <c r="Q740" s="95"/>
    </row>
    <row r="741" spans="15:17" ht="14.5">
      <c r="O741" s="307"/>
      <c r="Q741" s="95"/>
    </row>
    <row r="742" spans="15:17" ht="14.5">
      <c r="O742" s="307"/>
      <c r="Q742" s="95"/>
    </row>
    <row r="743" spans="15:17" ht="14.5">
      <c r="O743" s="307"/>
      <c r="Q743" s="95"/>
    </row>
    <row r="744" spans="15:17" ht="14.5">
      <c r="O744" s="307"/>
      <c r="Q744" s="95"/>
    </row>
    <row r="745" spans="15:17" ht="14.5">
      <c r="O745" s="307"/>
      <c r="Q745" s="95"/>
    </row>
    <row r="746" spans="15:17" ht="14.5">
      <c r="O746" s="307"/>
      <c r="Q746" s="95"/>
    </row>
    <row r="747" spans="15:17" ht="14.5">
      <c r="O747" s="307"/>
      <c r="Q747" s="95"/>
    </row>
    <row r="748" spans="15:17" ht="14.5">
      <c r="O748" s="307"/>
      <c r="Q748" s="95"/>
    </row>
    <row r="749" spans="15:17" ht="14.5">
      <c r="O749" s="307"/>
      <c r="Q749" s="95"/>
    </row>
    <row r="750" spans="15:17" ht="14.5">
      <c r="O750" s="307"/>
      <c r="Q750" s="95"/>
    </row>
    <row r="751" spans="15:17" ht="14.5">
      <c r="O751" s="307"/>
      <c r="Q751" s="95"/>
    </row>
    <row r="752" spans="15:17" ht="14.5">
      <c r="O752" s="307"/>
      <c r="Q752" s="95"/>
    </row>
    <row r="753" spans="15:17" ht="14.5">
      <c r="O753" s="307"/>
      <c r="Q753" s="95"/>
    </row>
    <row r="754" spans="15:17" ht="14.5">
      <c r="O754" s="307"/>
      <c r="Q754" s="95"/>
    </row>
    <row r="755" spans="15:17" ht="14.5">
      <c r="O755" s="307"/>
      <c r="Q755" s="95"/>
    </row>
    <row r="756" spans="15:17" ht="14.5">
      <c r="O756" s="307"/>
      <c r="Q756" s="95"/>
    </row>
    <row r="757" spans="15:17" ht="14.5">
      <c r="O757" s="307"/>
      <c r="Q757" s="95"/>
    </row>
    <row r="758" spans="15:17" ht="14.5">
      <c r="O758" s="307"/>
      <c r="Q758" s="95"/>
    </row>
    <row r="759" spans="15:17" ht="14.5">
      <c r="O759" s="307"/>
      <c r="Q759" s="95"/>
    </row>
    <row r="760" spans="15:17" ht="14.5">
      <c r="O760" s="307"/>
      <c r="Q760" s="95"/>
    </row>
    <row r="761" spans="15:17" ht="14.5">
      <c r="O761" s="307"/>
      <c r="Q761" s="95"/>
    </row>
    <row r="762" spans="15:17" ht="14.5">
      <c r="O762" s="307"/>
      <c r="Q762" s="95"/>
    </row>
    <row r="763" spans="15:17" ht="14.5">
      <c r="O763" s="307"/>
      <c r="Q763" s="95"/>
    </row>
    <row r="764" spans="15:17" ht="14.5">
      <c r="O764" s="307"/>
      <c r="Q764" s="95"/>
    </row>
    <row r="765" spans="15:17" ht="14.5">
      <c r="O765" s="307"/>
      <c r="Q765" s="95"/>
    </row>
    <row r="766" spans="15:17" ht="14.5">
      <c r="O766" s="307"/>
      <c r="Q766" s="95"/>
    </row>
    <row r="767" spans="15:17" ht="14.5">
      <c r="O767" s="307"/>
      <c r="Q767" s="95"/>
    </row>
    <row r="768" spans="15:17" ht="14.5">
      <c r="O768" s="307"/>
      <c r="Q768" s="95"/>
    </row>
    <row r="769" spans="15:17" ht="14.5">
      <c r="O769" s="307"/>
      <c r="Q769" s="95"/>
    </row>
    <row r="770" spans="15:17" ht="14.5">
      <c r="O770" s="307"/>
      <c r="Q770" s="95"/>
    </row>
    <row r="771" spans="15:17" ht="14.5">
      <c r="O771" s="307"/>
      <c r="Q771" s="95"/>
    </row>
    <row r="772" spans="15:17" ht="14.5">
      <c r="O772" s="307"/>
      <c r="Q772" s="95"/>
    </row>
    <row r="773" spans="15:17" ht="14.5">
      <c r="O773" s="307"/>
      <c r="Q773" s="95"/>
    </row>
    <row r="774" spans="15:17" ht="14.5">
      <c r="O774" s="307"/>
      <c r="Q774" s="95"/>
    </row>
    <row r="775" spans="15:17" ht="14.5">
      <c r="O775" s="307"/>
      <c r="Q775" s="95"/>
    </row>
    <row r="776" spans="15:17" ht="14.5">
      <c r="O776" s="307"/>
      <c r="Q776" s="95"/>
    </row>
    <row r="777" spans="15:17" ht="14.5">
      <c r="O777" s="307"/>
      <c r="Q777" s="95"/>
    </row>
    <row r="778" spans="15:17" ht="14.5">
      <c r="O778" s="307"/>
      <c r="Q778" s="95"/>
    </row>
    <row r="779" spans="15:17" ht="14.5">
      <c r="O779" s="307"/>
      <c r="Q779" s="95"/>
    </row>
    <row r="780" spans="15:17" ht="14.5">
      <c r="O780" s="307"/>
      <c r="Q780" s="95"/>
    </row>
    <row r="781" spans="15:17" ht="14.5">
      <c r="O781" s="307"/>
      <c r="Q781" s="95"/>
    </row>
    <row r="782" spans="15:17" ht="14.5">
      <c r="O782" s="307"/>
      <c r="Q782" s="95"/>
    </row>
    <row r="783" spans="15:17" ht="14.5">
      <c r="O783" s="307"/>
      <c r="Q783" s="95"/>
    </row>
    <row r="784" spans="15:17" ht="14.5">
      <c r="O784" s="307"/>
      <c r="Q784" s="95"/>
    </row>
    <row r="785" spans="15:17" ht="14.5">
      <c r="O785" s="307"/>
      <c r="Q785" s="95"/>
    </row>
    <row r="786" spans="15:17" ht="14.5">
      <c r="O786" s="307"/>
      <c r="Q786" s="95"/>
    </row>
    <row r="787" spans="15:17" ht="14.5">
      <c r="O787" s="307"/>
      <c r="Q787" s="95"/>
    </row>
    <row r="788" spans="15:17" ht="14.5">
      <c r="O788" s="307"/>
      <c r="Q788" s="95"/>
    </row>
    <row r="789" spans="15:17" ht="14.5">
      <c r="O789" s="307"/>
      <c r="Q789" s="95"/>
    </row>
    <row r="790" spans="15:17" ht="14.5">
      <c r="O790" s="307"/>
      <c r="Q790" s="95"/>
    </row>
    <row r="791" spans="15:17" ht="14.5">
      <c r="O791" s="307"/>
      <c r="Q791" s="95"/>
    </row>
    <row r="792" spans="15:17" ht="14.5">
      <c r="O792" s="307"/>
      <c r="Q792" s="95"/>
    </row>
    <row r="793" spans="15:17" ht="14.5">
      <c r="O793" s="307"/>
      <c r="Q793" s="95"/>
    </row>
    <row r="794" spans="15:17" ht="14.5">
      <c r="O794" s="307"/>
      <c r="Q794" s="95"/>
    </row>
    <row r="795" spans="15:17" ht="14.5">
      <c r="O795" s="307"/>
      <c r="Q795" s="95"/>
    </row>
    <row r="796" spans="15:17" ht="14.5">
      <c r="O796" s="307"/>
      <c r="Q796" s="95"/>
    </row>
    <row r="797" spans="15:17" ht="14.5">
      <c r="O797" s="307"/>
      <c r="Q797" s="95"/>
    </row>
    <row r="798" spans="15:17" ht="14.5">
      <c r="O798" s="307"/>
      <c r="Q798" s="95"/>
    </row>
    <row r="799" spans="15:17" ht="14.5">
      <c r="O799" s="307"/>
      <c r="Q799" s="95"/>
    </row>
    <row r="800" spans="15:17" ht="14.5">
      <c r="O800" s="307"/>
      <c r="Q800" s="95"/>
    </row>
    <row r="801" spans="15:17" ht="14.5">
      <c r="O801" s="307"/>
      <c r="Q801" s="95"/>
    </row>
    <row r="802" spans="15:17" ht="14.5">
      <c r="O802" s="307"/>
      <c r="Q802" s="95"/>
    </row>
    <row r="803" spans="15:17" ht="14.5">
      <c r="O803" s="307"/>
      <c r="Q803" s="95"/>
    </row>
    <row r="804" spans="15:17" ht="14.5">
      <c r="O804" s="307"/>
      <c r="Q804" s="95"/>
    </row>
    <row r="805" spans="15:17" ht="14.5">
      <c r="O805" s="307"/>
      <c r="Q805" s="95"/>
    </row>
    <row r="806" spans="15:17" ht="14.5">
      <c r="O806" s="307"/>
      <c r="Q806" s="95"/>
    </row>
    <row r="807" spans="15:17" ht="14.5">
      <c r="O807" s="307"/>
      <c r="Q807" s="95"/>
    </row>
    <row r="808" spans="15:17" ht="14.5">
      <c r="O808" s="307"/>
      <c r="Q808" s="95"/>
    </row>
    <row r="809" spans="15:17" ht="14.5">
      <c r="O809" s="307"/>
      <c r="Q809" s="95"/>
    </row>
    <row r="810" spans="15:17" ht="14.5">
      <c r="O810" s="307"/>
      <c r="Q810" s="95"/>
    </row>
    <row r="811" spans="15:17" ht="14.5">
      <c r="O811" s="307"/>
      <c r="Q811" s="95"/>
    </row>
    <row r="812" spans="15:17" ht="14.5">
      <c r="O812" s="307"/>
      <c r="Q812" s="95"/>
    </row>
    <row r="813" spans="15:17" ht="14.5">
      <c r="O813" s="307"/>
      <c r="Q813" s="95"/>
    </row>
    <row r="814" spans="15:17" ht="14.5">
      <c r="O814" s="307"/>
      <c r="Q814" s="95"/>
    </row>
    <row r="815" spans="15:17" ht="14.5">
      <c r="O815" s="307"/>
      <c r="Q815" s="95"/>
    </row>
    <row r="816" spans="15:17" ht="14.5">
      <c r="O816" s="307"/>
      <c r="Q816" s="95"/>
    </row>
    <row r="817" spans="15:17" ht="14.5">
      <c r="O817" s="307"/>
      <c r="Q817" s="95"/>
    </row>
    <row r="818" spans="15:17" ht="14.5">
      <c r="O818" s="307"/>
      <c r="Q818" s="95"/>
    </row>
    <row r="819" spans="15:17" ht="14.5">
      <c r="O819" s="307"/>
      <c r="Q819" s="95"/>
    </row>
    <row r="820" spans="15:17" ht="14.5">
      <c r="O820" s="307"/>
      <c r="Q820" s="95"/>
    </row>
    <row r="821" spans="15:17" ht="14.5">
      <c r="O821" s="307"/>
      <c r="Q821" s="95"/>
    </row>
    <row r="822" spans="15:17" ht="14.5">
      <c r="O822" s="307"/>
      <c r="Q822" s="95"/>
    </row>
    <row r="823" spans="15:17" ht="14.5">
      <c r="O823" s="307"/>
      <c r="Q823" s="95"/>
    </row>
    <row r="824" spans="15:17" ht="14.5">
      <c r="O824" s="307"/>
      <c r="Q824" s="95"/>
    </row>
    <row r="825" spans="15:17" ht="14.5">
      <c r="O825" s="307"/>
      <c r="Q825" s="95"/>
    </row>
    <row r="826" spans="15:17" ht="14.5">
      <c r="O826" s="307"/>
      <c r="Q826" s="95"/>
    </row>
    <row r="827" spans="15:17" ht="14.5">
      <c r="O827" s="307"/>
      <c r="Q827" s="95"/>
    </row>
    <row r="828" spans="15:17" ht="14.5">
      <c r="O828" s="307"/>
      <c r="Q828" s="95"/>
    </row>
    <row r="829" spans="15:17" ht="14.5">
      <c r="O829" s="307"/>
      <c r="Q829" s="95"/>
    </row>
    <row r="830" spans="15:17" ht="14.5">
      <c r="O830" s="307"/>
      <c r="Q830" s="95"/>
    </row>
    <row r="831" spans="15:17" ht="14.5">
      <c r="O831" s="307"/>
      <c r="Q831" s="95"/>
    </row>
    <row r="832" spans="15:17" ht="14.5">
      <c r="O832" s="307"/>
      <c r="Q832" s="95"/>
    </row>
    <row r="833" spans="15:17" ht="14.5">
      <c r="O833" s="307"/>
      <c r="Q833" s="95"/>
    </row>
    <row r="834" spans="15:17" ht="14.5">
      <c r="O834" s="307"/>
      <c r="Q834" s="95"/>
    </row>
    <row r="835" spans="15:17" ht="14.5">
      <c r="O835" s="307"/>
      <c r="Q835" s="95"/>
    </row>
    <row r="836" spans="15:17" ht="14.5">
      <c r="O836" s="307"/>
      <c r="Q836" s="95"/>
    </row>
    <row r="837" spans="15:17" ht="14.5">
      <c r="O837" s="307"/>
      <c r="Q837" s="95"/>
    </row>
    <row r="838" spans="15:17" ht="14.5">
      <c r="O838" s="307"/>
      <c r="Q838" s="95"/>
    </row>
    <row r="839" spans="15:17" ht="14.5">
      <c r="O839" s="307"/>
      <c r="Q839" s="95"/>
    </row>
    <row r="840" spans="15:17" ht="14.5">
      <c r="O840" s="307"/>
      <c r="Q840" s="95"/>
    </row>
    <row r="841" spans="15:17" ht="14.5">
      <c r="O841" s="307"/>
      <c r="Q841" s="95"/>
    </row>
    <row r="842" spans="15:17" ht="14.5">
      <c r="O842" s="307"/>
      <c r="Q842" s="95"/>
    </row>
    <row r="843" spans="15:17" ht="14.5">
      <c r="O843" s="307"/>
      <c r="Q843" s="95"/>
    </row>
    <row r="844" spans="15:17" ht="14.5">
      <c r="O844" s="307"/>
      <c r="Q844" s="95"/>
    </row>
    <row r="845" spans="15:17" ht="14.5">
      <c r="O845" s="307"/>
      <c r="Q845" s="95"/>
    </row>
    <row r="846" spans="15:17" ht="14.5">
      <c r="O846" s="307"/>
      <c r="Q846" s="95"/>
    </row>
    <row r="847" spans="15:17" ht="14.5">
      <c r="O847" s="307"/>
      <c r="Q847" s="95"/>
    </row>
    <row r="848" spans="15:17" ht="14.5">
      <c r="O848" s="307"/>
      <c r="Q848" s="95"/>
    </row>
    <row r="849" spans="15:17" ht="14.5">
      <c r="O849" s="307"/>
      <c r="Q849" s="95"/>
    </row>
    <row r="850" spans="15:17" ht="14.5">
      <c r="O850" s="307"/>
      <c r="Q850" s="95"/>
    </row>
    <row r="851" spans="15:17" ht="14.5">
      <c r="O851" s="307"/>
      <c r="Q851" s="95"/>
    </row>
    <row r="852" spans="15:17" ht="14.5">
      <c r="O852" s="307"/>
      <c r="Q852" s="95"/>
    </row>
    <row r="853" spans="15:17" ht="14.5">
      <c r="O853" s="307"/>
      <c r="Q853" s="95"/>
    </row>
    <row r="854" spans="15:17" ht="14.5">
      <c r="O854" s="307"/>
      <c r="Q854" s="95"/>
    </row>
    <row r="855" spans="15:17" ht="14.5">
      <c r="O855" s="307"/>
      <c r="Q855" s="95"/>
    </row>
    <row r="856" spans="15:17" ht="14.5">
      <c r="O856" s="307"/>
      <c r="Q856" s="95"/>
    </row>
    <row r="857" spans="15:17" ht="14.5">
      <c r="O857" s="307"/>
      <c r="Q857" s="95"/>
    </row>
    <row r="858" spans="15:17" ht="14.5">
      <c r="O858" s="307"/>
      <c r="Q858" s="95"/>
    </row>
    <row r="859" spans="15:17" ht="14.5">
      <c r="O859" s="307"/>
      <c r="Q859" s="95"/>
    </row>
    <row r="860" spans="15:17" ht="14.5">
      <c r="O860" s="307"/>
      <c r="Q860" s="95"/>
    </row>
    <row r="861" spans="15:17" ht="14.5">
      <c r="O861" s="307"/>
      <c r="Q861" s="95"/>
    </row>
    <row r="862" spans="15:17" ht="14.5">
      <c r="O862" s="307"/>
      <c r="Q862" s="95"/>
    </row>
    <row r="863" spans="15:17" ht="14.5">
      <c r="O863" s="307"/>
      <c r="Q863" s="95"/>
    </row>
    <row r="864" spans="15:17" ht="14.5">
      <c r="O864" s="307"/>
      <c r="Q864" s="95"/>
    </row>
    <row r="865" spans="15:17" ht="14.5">
      <c r="O865" s="307"/>
      <c r="Q865" s="95"/>
    </row>
    <row r="866" spans="15:17" ht="14.5">
      <c r="O866" s="307"/>
      <c r="Q866" s="95"/>
    </row>
    <row r="867" spans="15:17" ht="14.5">
      <c r="O867" s="307"/>
      <c r="Q867" s="95"/>
    </row>
    <row r="868" spans="15:17" ht="14.5">
      <c r="O868" s="307"/>
      <c r="Q868" s="95"/>
    </row>
    <row r="869" spans="15:17" ht="14.5">
      <c r="O869" s="307"/>
      <c r="Q869" s="95"/>
    </row>
    <row r="870" spans="15:17" ht="14.5">
      <c r="O870" s="307"/>
      <c r="Q870" s="95"/>
    </row>
    <row r="871" spans="15:17" ht="14.5">
      <c r="O871" s="307"/>
      <c r="Q871" s="95"/>
    </row>
    <row r="872" spans="15:17" ht="14.5">
      <c r="O872" s="307"/>
      <c r="Q872" s="95"/>
    </row>
    <row r="873" spans="15:17" ht="14.5">
      <c r="O873" s="307"/>
      <c r="Q873" s="95"/>
    </row>
    <row r="874" spans="15:17" ht="14.5">
      <c r="O874" s="307"/>
      <c r="Q874" s="95"/>
    </row>
    <row r="875" spans="15:17" ht="14.5">
      <c r="O875" s="307"/>
      <c r="Q875" s="95"/>
    </row>
    <row r="876" spans="15:17" ht="14.5">
      <c r="O876" s="307"/>
      <c r="Q876" s="95"/>
    </row>
    <row r="877" spans="15:17" ht="14.5">
      <c r="O877" s="307"/>
      <c r="Q877" s="95"/>
    </row>
    <row r="878" spans="15:17" ht="14.5">
      <c r="O878" s="307"/>
      <c r="Q878" s="95"/>
    </row>
    <row r="879" spans="15:17" ht="14.5">
      <c r="O879" s="307"/>
      <c r="Q879" s="95"/>
    </row>
    <row r="880" spans="15:17" ht="14.5">
      <c r="O880" s="307"/>
      <c r="Q880" s="95"/>
    </row>
    <row r="881" spans="15:17" ht="14.5">
      <c r="O881" s="307"/>
      <c r="Q881" s="95"/>
    </row>
    <row r="882" spans="15:17" ht="14.5">
      <c r="O882" s="307"/>
      <c r="Q882" s="95"/>
    </row>
    <row r="883" spans="15:17" ht="14.5">
      <c r="O883" s="307"/>
      <c r="Q883" s="95"/>
    </row>
    <row r="884" spans="15:17" ht="14.5">
      <c r="O884" s="307"/>
      <c r="Q884" s="95"/>
    </row>
    <row r="885" spans="15:17" ht="14.5">
      <c r="O885" s="307"/>
      <c r="Q885" s="95"/>
    </row>
    <row r="886" spans="15:17" ht="14.5">
      <c r="O886" s="307"/>
      <c r="Q886" s="95"/>
    </row>
    <row r="887" spans="15:17" ht="14.5">
      <c r="O887" s="307"/>
      <c r="Q887" s="95"/>
    </row>
    <row r="888" spans="15:17" ht="14.5">
      <c r="O888" s="307"/>
      <c r="Q888" s="95"/>
    </row>
    <row r="889" spans="15:17" ht="14.5">
      <c r="O889" s="307"/>
      <c r="Q889" s="95"/>
    </row>
    <row r="890" spans="15:17" ht="14.5">
      <c r="O890" s="307"/>
      <c r="Q890" s="95"/>
    </row>
    <row r="891" spans="15:17" ht="14.5">
      <c r="O891" s="307"/>
      <c r="Q891" s="95"/>
    </row>
    <row r="892" spans="15:17" ht="14.5">
      <c r="O892" s="307"/>
      <c r="Q892" s="95"/>
    </row>
    <row r="893" spans="15:17" ht="14.5">
      <c r="O893" s="307"/>
      <c r="Q893" s="95"/>
    </row>
    <row r="894" spans="15:17" ht="14.5">
      <c r="O894" s="307"/>
      <c r="Q894" s="95"/>
    </row>
    <row r="895" spans="15:17" ht="14.5">
      <c r="O895" s="307"/>
      <c r="Q895" s="95"/>
    </row>
    <row r="896" spans="15:17" ht="14.5">
      <c r="O896" s="307"/>
      <c r="Q896" s="95"/>
    </row>
    <row r="897" spans="15:17" ht="14.5">
      <c r="O897" s="307"/>
      <c r="Q897" s="95"/>
    </row>
    <row r="898" spans="15:17" ht="14.5">
      <c r="O898" s="307"/>
      <c r="Q898" s="95"/>
    </row>
    <row r="899" spans="15:17" ht="14.5">
      <c r="O899" s="307"/>
      <c r="Q899" s="95"/>
    </row>
    <row r="900" spans="15:17" ht="14.5">
      <c r="O900" s="307"/>
      <c r="Q900" s="95"/>
    </row>
    <row r="901" spans="15:17" ht="14.5">
      <c r="O901" s="307"/>
      <c r="Q901" s="95"/>
    </row>
    <row r="902" spans="15:17" ht="14.5">
      <c r="O902" s="307"/>
      <c r="Q902" s="95"/>
    </row>
    <row r="903" spans="15:17" ht="14.5">
      <c r="O903" s="307"/>
      <c r="Q903" s="95"/>
    </row>
    <row r="904" spans="15:17" ht="14.5">
      <c r="O904" s="307"/>
      <c r="Q904" s="95"/>
    </row>
    <row r="905" spans="15:17" ht="14.5">
      <c r="O905" s="307"/>
      <c r="Q905" s="95"/>
    </row>
    <row r="906" spans="15:17" ht="14.5">
      <c r="O906" s="307"/>
      <c r="Q906" s="95"/>
    </row>
    <row r="907" spans="15:17" ht="14.5">
      <c r="O907" s="307"/>
      <c r="Q907" s="95"/>
    </row>
    <row r="908" spans="15:17" ht="14.5">
      <c r="O908" s="307"/>
      <c r="Q908" s="95"/>
    </row>
    <row r="909" spans="15:17" ht="14.5">
      <c r="O909" s="307"/>
      <c r="Q909" s="95"/>
    </row>
    <row r="910" spans="15:17" ht="14.5">
      <c r="O910" s="307"/>
      <c r="Q910" s="95"/>
    </row>
    <row r="911" spans="15:17" ht="14.5">
      <c r="O911" s="307"/>
      <c r="Q911" s="95"/>
    </row>
    <row r="912" spans="15:17" ht="14.5">
      <c r="O912" s="307"/>
      <c r="Q912" s="95"/>
    </row>
    <row r="913" spans="15:17" ht="14.5">
      <c r="O913" s="307"/>
      <c r="Q913" s="95"/>
    </row>
    <row r="914" spans="15:17" ht="14.5">
      <c r="O914" s="307"/>
      <c r="Q914" s="95"/>
    </row>
    <row r="915" spans="15:17" ht="14.5">
      <c r="O915" s="307"/>
      <c r="Q915" s="95"/>
    </row>
    <row r="916" spans="15:17" ht="14.5">
      <c r="O916" s="307"/>
      <c r="Q916" s="95"/>
    </row>
    <row r="917" spans="15:17" ht="14.5">
      <c r="O917" s="307"/>
      <c r="Q917" s="95"/>
    </row>
    <row r="918" spans="15:17" ht="14.5">
      <c r="O918" s="307"/>
      <c r="Q918" s="95"/>
    </row>
    <row r="919" spans="15:17" ht="14.5">
      <c r="O919" s="307"/>
      <c r="Q919" s="95"/>
    </row>
    <row r="920" spans="15:17" ht="14.5">
      <c r="O920" s="307"/>
      <c r="Q920" s="95"/>
    </row>
    <row r="921" spans="15:17" ht="14.5">
      <c r="O921" s="307"/>
      <c r="Q921" s="95"/>
    </row>
    <row r="922" spans="15:17" ht="14.5">
      <c r="O922" s="307"/>
      <c r="Q922" s="95"/>
    </row>
    <row r="923" spans="15:17" ht="14.5">
      <c r="O923" s="307"/>
      <c r="Q923" s="95"/>
    </row>
    <row r="924" spans="15:17" ht="14.5">
      <c r="O924" s="307"/>
      <c r="Q924" s="95"/>
    </row>
    <row r="925" spans="15:17" ht="14.5">
      <c r="O925" s="307"/>
      <c r="Q925" s="95"/>
    </row>
    <row r="926" spans="15:17" ht="14.5">
      <c r="O926" s="307"/>
      <c r="Q926" s="95"/>
    </row>
    <row r="927" spans="15:17" ht="14.5">
      <c r="O927" s="307"/>
      <c r="Q927" s="95"/>
    </row>
    <row r="928" spans="15:17" ht="14.5">
      <c r="O928" s="307"/>
      <c r="Q928" s="95"/>
    </row>
    <row r="929" spans="15:17" ht="14.5">
      <c r="O929" s="307"/>
      <c r="Q929" s="95"/>
    </row>
    <row r="930" spans="15:17" ht="14.5">
      <c r="O930" s="307"/>
      <c r="Q930" s="95"/>
    </row>
    <row r="931" spans="15:17" ht="14.5">
      <c r="O931" s="307"/>
      <c r="Q931" s="95"/>
    </row>
    <row r="932" spans="15:17" ht="14.5">
      <c r="O932" s="307"/>
      <c r="Q932" s="95"/>
    </row>
    <row r="933" spans="15:17" ht="14.5">
      <c r="O933" s="307"/>
      <c r="Q933" s="95"/>
    </row>
    <row r="934" spans="15:17" ht="14.5">
      <c r="O934" s="307"/>
      <c r="Q934" s="95"/>
    </row>
    <row r="935" spans="15:17" ht="14.5">
      <c r="O935" s="307"/>
      <c r="Q935" s="95"/>
    </row>
    <row r="936" spans="15:17" ht="14.5">
      <c r="O936" s="307"/>
      <c r="Q936" s="95"/>
    </row>
    <row r="937" spans="15:17" ht="14.5">
      <c r="O937" s="307"/>
      <c r="Q937" s="95"/>
    </row>
    <row r="938" spans="15:17" ht="14.5">
      <c r="O938" s="307"/>
      <c r="Q938" s="95"/>
    </row>
    <row r="939" spans="15:17" ht="14.5">
      <c r="O939" s="307"/>
      <c r="Q939" s="95"/>
    </row>
    <row r="940" spans="15:17" ht="14.5">
      <c r="O940" s="307"/>
      <c r="Q940" s="95"/>
    </row>
    <row r="941" spans="15:17" ht="14.5">
      <c r="O941" s="307"/>
      <c r="Q941" s="95"/>
    </row>
    <row r="942" spans="15:17" ht="14.5">
      <c r="O942" s="307"/>
      <c r="Q942" s="95"/>
    </row>
    <row r="943" spans="15:17" ht="14.5">
      <c r="O943" s="307"/>
      <c r="Q943" s="95"/>
    </row>
    <row r="944" spans="15:17" ht="14.5">
      <c r="O944" s="307"/>
      <c r="Q944" s="95"/>
    </row>
    <row r="945" spans="15:17" ht="14.5">
      <c r="O945" s="307"/>
      <c r="Q945" s="95"/>
    </row>
    <row r="946" spans="15:17" ht="14.5">
      <c r="O946" s="307"/>
      <c r="Q946" s="95"/>
    </row>
    <row r="947" spans="15:17" ht="14.5">
      <c r="O947" s="307"/>
      <c r="Q947" s="95"/>
    </row>
    <row r="948" spans="15:17" ht="14.5">
      <c r="O948" s="307"/>
      <c r="Q948" s="95"/>
    </row>
    <row r="949" spans="15:17" ht="14.5">
      <c r="O949" s="307"/>
      <c r="Q949" s="95"/>
    </row>
    <row r="950" spans="15:17" ht="14.5">
      <c r="O950" s="307"/>
      <c r="Q950" s="95"/>
    </row>
    <row r="951" spans="15:17" ht="14.5">
      <c r="O951" s="307"/>
      <c r="Q951" s="95"/>
    </row>
    <row r="952" spans="15:17" ht="14.5">
      <c r="O952" s="307"/>
      <c r="Q952" s="95"/>
    </row>
    <row r="953" spans="15:17" ht="14.5">
      <c r="O953" s="307"/>
      <c r="Q953" s="95"/>
    </row>
    <row r="954" spans="15:17" ht="14.5">
      <c r="O954" s="307"/>
      <c r="Q954" s="95"/>
    </row>
    <row r="955" spans="15:17" ht="14.5">
      <c r="O955" s="307"/>
      <c r="Q955" s="95"/>
    </row>
    <row r="956" spans="15:17" ht="14.5">
      <c r="O956" s="307"/>
      <c r="Q956" s="95"/>
    </row>
    <row r="957" spans="15:17" ht="14.5">
      <c r="O957" s="307"/>
      <c r="Q957" s="95"/>
    </row>
    <row r="958" spans="15:17" ht="14.5">
      <c r="O958" s="307"/>
      <c r="Q958" s="95"/>
    </row>
    <row r="959" spans="15:17" ht="14.5">
      <c r="O959" s="307"/>
      <c r="Q959" s="95"/>
    </row>
    <row r="960" spans="15:17" ht="14.5">
      <c r="O960" s="307"/>
      <c r="Q960" s="95"/>
    </row>
    <row r="961" spans="15:17" ht="14.5">
      <c r="O961" s="307"/>
      <c r="Q961" s="95"/>
    </row>
    <row r="962" spans="15:17" ht="14.5">
      <c r="O962" s="307"/>
      <c r="Q962" s="95"/>
    </row>
    <row r="963" spans="15:17" ht="14.5">
      <c r="O963" s="307"/>
      <c r="Q963" s="95"/>
    </row>
    <row r="964" spans="15:17" ht="14.5">
      <c r="O964" s="307"/>
      <c r="Q964" s="95"/>
    </row>
    <row r="965" spans="15:17" ht="14.5">
      <c r="O965" s="307"/>
      <c r="Q965" s="95"/>
    </row>
    <row r="966" spans="15:17" ht="14.5">
      <c r="O966" s="307"/>
      <c r="Q966" s="95"/>
    </row>
    <row r="967" spans="15:17" ht="14.5">
      <c r="O967" s="307"/>
      <c r="Q967" s="95"/>
    </row>
    <row r="968" spans="15:17" ht="14.5">
      <c r="O968" s="307"/>
      <c r="Q968" s="95"/>
    </row>
    <row r="969" spans="15:17" ht="14.5">
      <c r="O969" s="307"/>
      <c r="Q969" s="95"/>
    </row>
    <row r="970" spans="15:17" ht="14.5">
      <c r="O970" s="307"/>
      <c r="Q970" s="95"/>
    </row>
    <row r="971" spans="15:17" ht="14.5">
      <c r="O971" s="307"/>
      <c r="Q971" s="95"/>
    </row>
    <row r="972" spans="15:17" ht="14.5">
      <c r="O972" s="307"/>
      <c r="Q972" s="95"/>
    </row>
    <row r="973" spans="15:17" ht="14.5">
      <c r="O973" s="307"/>
      <c r="Q973" s="95"/>
    </row>
    <row r="974" spans="15:17" ht="14.5">
      <c r="O974" s="307"/>
      <c r="Q974" s="95"/>
    </row>
    <row r="975" spans="15:17" ht="14.5">
      <c r="O975" s="307"/>
      <c r="Q975" s="95"/>
    </row>
    <row r="976" spans="15:17" ht="14.5">
      <c r="O976" s="307"/>
      <c r="Q976" s="95"/>
    </row>
    <row r="977" spans="15:17" ht="14.5">
      <c r="O977" s="307"/>
      <c r="Q977" s="95"/>
    </row>
    <row r="978" spans="15:17" ht="14.5">
      <c r="O978" s="307"/>
      <c r="Q978" s="95"/>
    </row>
    <row r="979" spans="15:17" ht="14.5">
      <c r="O979" s="307"/>
      <c r="Q979" s="95"/>
    </row>
    <row r="980" spans="15:17" ht="14.5">
      <c r="O980" s="307"/>
      <c r="Q980" s="95"/>
    </row>
    <row r="981" spans="15:17" ht="14.5">
      <c r="O981" s="307"/>
      <c r="Q981" s="95"/>
    </row>
    <row r="982" spans="15:17" ht="14.5">
      <c r="O982" s="307"/>
      <c r="Q982" s="95"/>
    </row>
    <row r="983" spans="15:17" ht="14.5">
      <c r="O983" s="307"/>
      <c r="Q983" s="95"/>
    </row>
    <row r="984" spans="15:17" ht="14.5">
      <c r="O984" s="307"/>
      <c r="Q984" s="95"/>
    </row>
    <row r="985" spans="15:17" ht="14.5">
      <c r="O985" s="307"/>
      <c r="Q985" s="95"/>
    </row>
    <row r="986" spans="15:17" ht="14.5">
      <c r="O986" s="307"/>
      <c r="Q986" s="95"/>
    </row>
    <row r="987" spans="15:17" ht="14.5">
      <c r="O987" s="307"/>
      <c r="Q987" s="95"/>
    </row>
    <row r="988" spans="15:17" ht="14.5">
      <c r="O988" s="307"/>
      <c r="Q988" s="95"/>
    </row>
    <row r="989" spans="15:17" ht="14.5">
      <c r="O989" s="307"/>
      <c r="Q989" s="95"/>
    </row>
    <row r="990" spans="15:17" ht="14.5">
      <c r="O990" s="307"/>
      <c r="Q990" s="95"/>
    </row>
    <row r="991" spans="15:17" ht="14.5">
      <c r="O991" s="307"/>
      <c r="Q991" s="95"/>
    </row>
    <row r="992" spans="15:17" ht="14.5">
      <c r="O992" s="307"/>
      <c r="Q992" s="95"/>
    </row>
    <row r="993" spans="15:17" ht="14.5">
      <c r="O993" s="307"/>
      <c r="Q993" s="95"/>
    </row>
    <row r="994" spans="15:17" ht="14.5">
      <c r="O994" s="307"/>
      <c r="Q994" s="95"/>
    </row>
    <row r="995" spans="15:17" ht="14.5">
      <c r="O995" s="307"/>
      <c r="Q995" s="95"/>
    </row>
    <row r="996" spans="15:17" ht="14.5">
      <c r="O996" s="307"/>
      <c r="Q996" s="95"/>
    </row>
    <row r="997" spans="15:17" ht="14.5">
      <c r="O997" s="307"/>
      <c r="Q997" s="95"/>
    </row>
    <row r="998" spans="15:17" ht="14.5">
      <c r="O998" s="307"/>
      <c r="Q998" s="95"/>
    </row>
    <row r="999" spans="15:17" ht="14.5">
      <c r="O999" s="307"/>
      <c r="Q999" s="95"/>
    </row>
    <row r="1000" spans="15:17" ht="14.5">
      <c r="O1000" s="307"/>
      <c r="Q1000" s="95"/>
    </row>
    <row r="1001" spans="15:17" ht="14.5">
      <c r="O1001" s="307"/>
      <c r="Q1001" s="95"/>
    </row>
    <row r="1002" spans="15:17" ht="14.5">
      <c r="O1002" s="307"/>
      <c r="Q1002" s="95"/>
    </row>
  </sheetData>
  <autoFilter ref="A3:P233" xr:uid="{00000000-0009-0000-0000-000013000000}">
    <filterColumn colId="2">
      <filters>
        <filter val="1"/>
      </filters>
    </filterColumn>
  </autoFilter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filterMode="1">
    <tabColor rgb="FF00FF00"/>
  </sheetPr>
  <dimension ref="A1:AQ1002"/>
  <sheetViews>
    <sheetView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B7" sqref="B7"/>
    </sheetView>
  </sheetViews>
  <sheetFormatPr baseColWidth="10" defaultColWidth="14.453125" defaultRowHeight="15" customHeight="1"/>
  <cols>
    <col min="1" max="1" width="10.7265625" customWidth="1"/>
    <col min="2" max="2" width="50.1796875" bestFit="1" customWidth="1"/>
    <col min="3" max="3" width="12.08984375" customWidth="1"/>
    <col min="4" max="4" width="10.7265625" customWidth="1"/>
    <col min="5" max="5" width="10.7265625" hidden="1" customWidth="1"/>
    <col min="6" max="7" width="13.1796875" bestFit="1" customWidth="1"/>
    <col min="8" max="10" width="12.1796875" bestFit="1" customWidth="1"/>
    <col min="11" max="13" width="12.453125" bestFit="1" customWidth="1"/>
    <col min="14" max="15" width="12.26953125" bestFit="1" customWidth="1"/>
    <col min="16" max="16" width="10.7265625" customWidth="1"/>
    <col min="17" max="17" width="10.7265625" hidden="1" customWidth="1"/>
    <col min="18" max="19" width="12.26953125" bestFit="1" customWidth="1"/>
    <col min="20" max="20" width="10.7265625" hidden="1" customWidth="1"/>
    <col min="21" max="22" width="10.7265625" customWidth="1"/>
    <col min="23" max="23" width="10.7265625" hidden="1" customWidth="1"/>
    <col min="24" max="25" width="10.7265625" customWidth="1"/>
    <col min="26" max="26" width="10.7265625" hidden="1" customWidth="1"/>
    <col min="27" max="28" width="10.7265625" customWidth="1"/>
    <col min="29" max="29" width="10.7265625" hidden="1" customWidth="1"/>
    <col min="30" max="31" width="10.7265625" customWidth="1"/>
    <col min="32" max="32" width="10.7265625" hidden="1" customWidth="1"/>
    <col min="33" max="34" width="10.7265625" customWidth="1"/>
    <col min="35" max="35" width="10.7265625" hidden="1" customWidth="1"/>
    <col min="36" max="37" width="10.7265625" customWidth="1"/>
    <col min="38" max="38" width="10.7265625" hidden="1" customWidth="1"/>
    <col min="39" max="40" width="10.7265625" customWidth="1"/>
    <col min="41" max="41" width="10.7265625" hidden="1" customWidth="1"/>
    <col min="42" max="43" width="10.7265625" customWidth="1"/>
  </cols>
  <sheetData>
    <row r="1" spans="1:43" ht="14.5">
      <c r="B1" s="64"/>
      <c r="C1" s="64"/>
      <c r="D1" s="64"/>
      <c r="F1" s="44"/>
      <c r="G1" s="44"/>
    </row>
    <row r="2" spans="1:43" ht="14.5">
      <c r="A2" s="64"/>
      <c r="B2" s="64"/>
      <c r="C2" s="44"/>
      <c r="D2" s="44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</row>
    <row r="3" spans="1:43" ht="29">
      <c r="A3" s="61" t="s">
        <v>0</v>
      </c>
      <c r="B3" s="3" t="s">
        <v>1</v>
      </c>
      <c r="C3" s="308" t="s">
        <v>1603</v>
      </c>
      <c r="D3" s="313" t="s">
        <v>0</v>
      </c>
      <c r="E3" s="314" t="s">
        <v>1606</v>
      </c>
      <c r="F3" s="314" t="s">
        <v>1607</v>
      </c>
      <c r="G3" s="314" t="s">
        <v>1608</v>
      </c>
      <c r="H3" s="314" t="s">
        <v>1609</v>
      </c>
      <c r="I3" s="314" t="s">
        <v>1610</v>
      </c>
      <c r="J3" s="314" t="s">
        <v>1611</v>
      </c>
      <c r="K3" s="314" t="s">
        <v>1612</v>
      </c>
      <c r="L3" s="314" t="s">
        <v>1613</v>
      </c>
      <c r="M3" s="314" t="s">
        <v>1614</v>
      </c>
      <c r="N3" s="314" t="s">
        <v>1615</v>
      </c>
      <c r="O3" s="314" t="s">
        <v>1616</v>
      </c>
      <c r="P3" s="314" t="s">
        <v>1617</v>
      </c>
      <c r="Q3" s="314" t="s">
        <v>1618</v>
      </c>
      <c r="R3" s="314" t="s">
        <v>1619</v>
      </c>
      <c r="S3" s="314" t="s">
        <v>1620</v>
      </c>
      <c r="T3" s="314" t="s">
        <v>1621</v>
      </c>
      <c r="U3" s="314" t="s">
        <v>1622</v>
      </c>
      <c r="V3" s="314" t="s">
        <v>1623</v>
      </c>
      <c r="W3" s="314" t="s">
        <v>1624</v>
      </c>
      <c r="X3" s="314" t="s">
        <v>1625</v>
      </c>
      <c r="Y3" s="314" t="s">
        <v>1626</v>
      </c>
      <c r="Z3" s="314" t="s">
        <v>1627</v>
      </c>
      <c r="AA3" s="314" t="s">
        <v>1628</v>
      </c>
      <c r="AB3" s="314" t="s">
        <v>1629</v>
      </c>
      <c r="AC3" s="314" t="s">
        <v>1630</v>
      </c>
      <c r="AD3" s="314" t="s">
        <v>1631</v>
      </c>
      <c r="AE3" s="314" t="s">
        <v>1632</v>
      </c>
      <c r="AF3" s="314" t="s">
        <v>1633</v>
      </c>
      <c r="AG3" s="314" t="s">
        <v>1634</v>
      </c>
      <c r="AH3" s="314" t="s">
        <v>1635</v>
      </c>
      <c r="AI3" s="314" t="s">
        <v>1636</v>
      </c>
      <c r="AJ3" s="314" t="s">
        <v>1637</v>
      </c>
      <c r="AK3" s="314" t="s">
        <v>1638</v>
      </c>
      <c r="AL3" s="314" t="s">
        <v>1639</v>
      </c>
      <c r="AM3" s="314" t="s">
        <v>1640</v>
      </c>
      <c r="AN3" s="314" t="s">
        <v>1641</v>
      </c>
      <c r="AO3" s="314" t="s">
        <v>1642</v>
      </c>
      <c r="AP3" s="314" t="s">
        <v>1643</v>
      </c>
      <c r="AQ3" s="314" t="s">
        <v>1644</v>
      </c>
    </row>
    <row r="4" spans="1:43" ht="14.5" hidden="1">
      <c r="A4" s="7" t="s">
        <v>210</v>
      </c>
      <c r="B4" s="7" t="s">
        <v>211</v>
      </c>
      <c r="C4" s="311" t="str">
        <f>'BD DEA'!P4</f>
        <v/>
      </c>
      <c r="D4" s="44" t="str">
        <f t="shared" ref="D4:D233" si="0">A4</f>
        <v>C000029</v>
      </c>
      <c r="E4" s="72" t="str">
        <f>IFERROR(VLOOKUP($D4,'FERC 2021'!$EA$3:$EN$221,2,0),"")</f>
        <v/>
      </c>
      <c r="F4" s="72" t="str">
        <f>IFERROR(VLOOKUP($D4,'FERC 2022'!$EA$3:$EN$220,2,0),"")</f>
        <v/>
      </c>
      <c r="G4" s="72" t="str">
        <f>IFERROR(VLOOKUP($D4,'FERC 2023'!$EA$3:$EN$221,2,0),"")</f>
        <v/>
      </c>
      <c r="H4" s="72" t="str">
        <f>IFERROR(VLOOKUP($D4,'FERC 2021'!$EA$3:$EN$225,3,0),"")</f>
        <v/>
      </c>
      <c r="I4" s="72" t="str">
        <f>IFERROR(VLOOKUP($D4,'FERC 2022'!$EA$3:$EN$229,3,0),"")</f>
        <v/>
      </c>
      <c r="J4" s="72" t="str">
        <f>IFERROR(VLOOKUP($D4,'FERC 2023'!$EA$3:$EN$229,3,0),"")</f>
        <v/>
      </c>
      <c r="K4" s="72" t="str">
        <f>IFERROR(VLOOKUP($D4,'FERC 2021'!$EA$3:$EN$229,4,0),"")</f>
        <v/>
      </c>
      <c r="L4" s="72" t="str">
        <f>IFERROR(VLOOKUP($D4,'FERC 2022'!$EA$3:$EN$220,4,0),"")</f>
        <v/>
      </c>
      <c r="M4" s="72" t="str">
        <f>IFERROR(VLOOKUP($D4,'FERC 2023'!$EA$3:$EN$221,4,0),"")</f>
        <v/>
      </c>
      <c r="N4" s="72" t="str">
        <f>IFERROR(VLOOKUP($D4,'FERC 2021'!$EA$3:$EN$221,5,0),"")</f>
        <v/>
      </c>
      <c r="O4" s="72" t="str">
        <f>IFERROR(VLOOKUP($D4,'FERC 2022'!$EA$3:$EN$220,5,0),"")</f>
        <v/>
      </c>
      <c r="P4" s="72" t="str">
        <f>IFERROR(VLOOKUP($D4,'FERC 2023'!$EA$3:$EN$221,5,0),"")</f>
        <v/>
      </c>
      <c r="Q4" s="72" t="str">
        <f>IFERROR(VLOOKUP($D4,'FERC 2021'!$EA$3:$EN$221,6,0),"")</f>
        <v/>
      </c>
      <c r="R4" s="72" t="str">
        <f>IFERROR(VLOOKUP($D4,'FERC 2022'!$EA$3:$EN$220,6,0),"")</f>
        <v/>
      </c>
      <c r="S4" s="72" t="str">
        <f>IFERROR(VLOOKUP($D4,'FERC 2023'!$EA$3:$EN$221,6,0),"")</f>
        <v/>
      </c>
      <c r="T4" s="72" t="str">
        <f>IFERROR(VLOOKUP($D4,'FERC 2021'!$EA$3:$EN$221,7,0),"")</f>
        <v/>
      </c>
      <c r="U4" s="72" t="str">
        <f>IFERROR(VLOOKUP($D4,'FERC 2022'!$EA$3:$EN$220,7,0),"")</f>
        <v/>
      </c>
      <c r="V4" s="72" t="str">
        <f>IFERROR(VLOOKUP($D4,'FERC 2023'!$EA$3:$EN$221,7,0),"")</f>
        <v/>
      </c>
      <c r="W4" s="72" t="str">
        <f>IFERROR(VLOOKUP($D4,'FERC 2021'!$EA$3:$EN$221,8,0),"")</f>
        <v/>
      </c>
      <c r="X4" s="72" t="str">
        <f>IFERROR(VLOOKUP($D4,'FERC 2022'!$EA$3:$EN$220,8,0),"")</f>
        <v/>
      </c>
      <c r="Y4" s="72" t="str">
        <f>IFERROR(VLOOKUP($D4,'FERC 2023'!$EA$3:$EN$221,8,0),"")</f>
        <v/>
      </c>
      <c r="Z4" s="72" t="str">
        <f>IFERROR(VLOOKUP($D4,'FERC 2021'!$EA$3:$EN$222,9,0),"")</f>
        <v/>
      </c>
      <c r="AA4" s="72" t="str">
        <f>IFERROR(VLOOKUP($D4,'FERC 2022'!$EA$3:$EN$220,9,0),"")</f>
        <v/>
      </c>
      <c r="AB4" s="72" t="str">
        <f>IFERROR(VLOOKUP($D4,'FERC 2023'!$EA$3:$EN$221,9,0),"")</f>
        <v/>
      </c>
      <c r="AC4" s="72" t="str">
        <f>IFERROR(VLOOKUP($D4,'FERC 2021'!$EA$3:$EN$221,10,0),"")</f>
        <v/>
      </c>
      <c r="AD4" s="72" t="str">
        <f>IFERROR(VLOOKUP($D4,'FERC 2022'!$EA$3:$EN$220,10,0),"")</f>
        <v/>
      </c>
      <c r="AE4" s="72" t="str">
        <f>IFERROR(VLOOKUP($D4,'FERC 2023'!$EA$3:$EN$221,10,0),"")</f>
        <v/>
      </c>
      <c r="AF4" s="72" t="str">
        <f>IFERROR(VLOOKUP($D4,'FERC 2021'!$EA$3:$EN$221,11,0),"")</f>
        <v/>
      </c>
      <c r="AG4" s="72" t="str">
        <f>IFERROR(VLOOKUP($D4,'FERC 2022'!$EA$3:$EN$220,11,0),"")</f>
        <v/>
      </c>
      <c r="AH4" s="72" t="str">
        <f>IFERROR(VLOOKUP($D4,'FERC 2023'!$EA$3:$EN$221,11,0),"")</f>
        <v/>
      </c>
      <c r="AI4" s="72" t="str">
        <f>IFERROR(VLOOKUP($D4,'FERC 2021'!$EA$3:$EN$221,12,0),"")</f>
        <v/>
      </c>
      <c r="AJ4" s="72" t="str">
        <f>IFERROR(VLOOKUP($D4,'FERC 2022'!$EA$3:$EN$220,12,0),"")</f>
        <v/>
      </c>
      <c r="AK4" s="72" t="str">
        <f>IFERROR(VLOOKUP($D4,'FERC 2023'!$EA$3:$EN$221,12,0),"")</f>
        <v/>
      </c>
      <c r="AL4" s="72" t="str">
        <f>VLOOKUP($D4,'FERC 2021'!$EA$3:$EN$221,13,0)</f>
        <v/>
      </c>
      <c r="AM4" s="72" t="str">
        <f>VLOOKUP($D4,'FERC 2022'!$EA$3:$EN$220,13,0)</f>
        <v/>
      </c>
      <c r="AN4" s="72" t="str">
        <f>VLOOKUP($D4,'FERC 2023'!$EA$3:$EN$221,13,0)</f>
        <v/>
      </c>
      <c r="AO4" s="72" t="str">
        <f>IFERROR(VLOOKUP($D4,'FERC 2021'!$EA$3:$EN$221,14,0),"")</f>
        <v/>
      </c>
      <c r="AP4" s="72" t="str">
        <f>IFERROR(VLOOKUP($D4,'FERC 2022'!$EA$3:$EN$220,14,0),"")</f>
        <v/>
      </c>
      <c r="AQ4" s="72" t="str">
        <f>IFERROR(VLOOKUP($D4,'FERC 2023'!$EA$3:$EN$221,14,0),"")</f>
        <v/>
      </c>
    </row>
    <row r="5" spans="1:43" ht="14.5" hidden="1">
      <c r="A5" s="7" t="s">
        <v>213</v>
      </c>
      <c r="B5" s="7" t="s">
        <v>214</v>
      </c>
      <c r="C5" s="311" t="str">
        <f>'BD DEA'!P5</f>
        <v/>
      </c>
      <c r="D5" s="44" t="str">
        <f t="shared" si="0"/>
        <v>C000030</v>
      </c>
      <c r="E5" s="72" t="str">
        <f>IFERROR(VLOOKUP($D5,'FERC 2021'!$EA$3:$EN$221,2,0),"")</f>
        <v/>
      </c>
      <c r="F5" s="72" t="str">
        <f>IFERROR(VLOOKUP($D5,'FERC 2022'!$EA$3:$EN$220,2,0),"")</f>
        <v/>
      </c>
      <c r="G5" s="72" t="str">
        <f>IFERROR(VLOOKUP($D5,'FERC 2023'!$EA$3:$EN$221,2,0),"")</f>
        <v/>
      </c>
      <c r="H5" s="72" t="str">
        <f>IFERROR(VLOOKUP($D5,'FERC 2021'!$EA$3:$EN$225,3,0),"")</f>
        <v/>
      </c>
      <c r="I5" s="72" t="str">
        <f>IFERROR(VLOOKUP($D5,'FERC 2022'!$EA$3:$EN$229,3,0),"")</f>
        <v/>
      </c>
      <c r="J5" s="72" t="str">
        <f>IFERROR(VLOOKUP($D5,'FERC 2023'!$EA$3:$EN$229,3,0),"")</f>
        <v/>
      </c>
      <c r="K5" s="72" t="str">
        <f>IFERROR(VLOOKUP($D5,'FERC 2021'!$EA$3:$EN$229,4,0),"")</f>
        <v/>
      </c>
      <c r="L5" s="72" t="str">
        <f>IFERROR(VLOOKUP($D5,'FERC 2022'!$EA$3:$EN$220,4,0),"")</f>
        <v/>
      </c>
      <c r="M5" s="72" t="str">
        <f>IFERROR(VLOOKUP($D5,'FERC 2023'!$EA$3:$EN$221,4,0),"")</f>
        <v/>
      </c>
      <c r="N5" s="72" t="str">
        <f>IFERROR(VLOOKUP($D5,'FERC 2021'!$EA$3:$EN$221,5,0),"")</f>
        <v/>
      </c>
      <c r="O5" s="72" t="str">
        <f>IFERROR(VLOOKUP($D5,'FERC 2022'!$EA$3:$EN$220,5,0),"")</f>
        <v/>
      </c>
      <c r="P5" s="72" t="str">
        <f>IFERROR(VLOOKUP($D5,'FERC 2023'!$EA$3:$EN$221,5,0),"")</f>
        <v/>
      </c>
      <c r="Q5" s="72" t="str">
        <f>IFERROR(VLOOKUP($D5,'FERC 2021'!$EA$3:$EN$221,6,0),"")</f>
        <v/>
      </c>
      <c r="R5" s="72" t="str">
        <f>IFERROR(VLOOKUP($D5,'FERC 2022'!$EA$3:$EN$220,6,0),"")</f>
        <v/>
      </c>
      <c r="S5" s="72" t="str">
        <f>IFERROR(VLOOKUP($D5,'FERC 2023'!$EA$3:$EN$221,6,0),"")</f>
        <v/>
      </c>
      <c r="T5" s="72" t="str">
        <f>IFERROR(VLOOKUP($D5,'FERC 2021'!$EA$3:$EN$221,7,0),"")</f>
        <v/>
      </c>
      <c r="U5" s="72" t="str">
        <f>IFERROR(VLOOKUP($D5,'FERC 2022'!$EA$3:$EN$220,7,0),"")</f>
        <v/>
      </c>
      <c r="V5" s="72" t="str">
        <f>IFERROR(VLOOKUP($D5,'FERC 2023'!$EA$3:$EN$221,7,0),"")</f>
        <v/>
      </c>
      <c r="W5" s="72" t="str">
        <f>IFERROR(VLOOKUP($D5,'FERC 2021'!$EA$3:$EN$221,8,0),"")</f>
        <v/>
      </c>
      <c r="X5" s="72" t="str">
        <f>IFERROR(VLOOKUP($D5,'FERC 2022'!$EA$3:$EN$220,8,0),"")</f>
        <v/>
      </c>
      <c r="Y5" s="72" t="str">
        <f>IFERROR(VLOOKUP($D5,'FERC 2023'!$EA$3:$EN$221,8,0),"")</f>
        <v/>
      </c>
      <c r="Z5" s="72" t="str">
        <f>IFERROR(VLOOKUP($D5,'FERC 2021'!$EA$3:$EN$222,9,0),"")</f>
        <v/>
      </c>
      <c r="AA5" s="72" t="str">
        <f>IFERROR(VLOOKUP($D5,'FERC 2022'!$EA$3:$EN$220,9,0),"")</f>
        <v/>
      </c>
      <c r="AB5" s="72" t="str">
        <f>IFERROR(VLOOKUP($D5,'FERC 2023'!$EA$3:$EN$221,9,0),"")</f>
        <v/>
      </c>
      <c r="AC5" s="72" t="str">
        <f>IFERROR(VLOOKUP($D5,'FERC 2021'!$EA$3:$EN$221,10,0),"")</f>
        <v/>
      </c>
      <c r="AD5" s="72" t="str">
        <f>IFERROR(VLOOKUP($D5,'FERC 2022'!$EA$3:$EN$220,10,0),"")</f>
        <v/>
      </c>
      <c r="AE5" s="72" t="str">
        <f>IFERROR(VLOOKUP($D5,'FERC 2023'!$EA$3:$EN$221,10,0),"")</f>
        <v/>
      </c>
      <c r="AF5" s="72" t="str">
        <f>IFERROR(VLOOKUP($D5,'FERC 2021'!$EA$3:$EN$221,11,0),"")</f>
        <v/>
      </c>
      <c r="AG5" s="72" t="str">
        <f>IFERROR(VLOOKUP($D5,'FERC 2022'!$EA$3:$EN$220,11,0),"")</f>
        <v/>
      </c>
      <c r="AH5" s="72" t="str">
        <f>IFERROR(VLOOKUP($D5,'FERC 2023'!$EA$3:$EN$221,11,0),"")</f>
        <v/>
      </c>
      <c r="AI5" s="72" t="str">
        <f>IFERROR(VLOOKUP($D5,'FERC 2021'!$EA$3:$EN$221,12,0),"")</f>
        <v/>
      </c>
      <c r="AJ5" s="72" t="str">
        <f>IFERROR(VLOOKUP($D5,'FERC 2022'!$EA$3:$EN$220,12,0),"")</f>
        <v/>
      </c>
      <c r="AK5" s="72" t="str">
        <f>IFERROR(VLOOKUP($D5,'FERC 2023'!$EA$3:$EN$221,12,0),"")</f>
        <v/>
      </c>
      <c r="AL5" s="72" t="str">
        <f>VLOOKUP($D5,'FERC 2021'!$EA$3:$EN$221,13,0)</f>
        <v/>
      </c>
      <c r="AM5" s="72" t="str">
        <f>VLOOKUP($D5,'FERC 2022'!$EA$3:$EN$220,13,0)</f>
        <v/>
      </c>
      <c r="AN5" s="72" t="str">
        <f>VLOOKUP($D5,'FERC 2023'!$EA$3:$EN$221,13,0)</f>
        <v/>
      </c>
      <c r="AO5" s="72" t="str">
        <f>IFERROR(VLOOKUP($D5,'FERC 2021'!$EA$3:$EN$221,14,0),"")</f>
        <v/>
      </c>
      <c r="AP5" s="72" t="str">
        <f>IFERROR(VLOOKUP($D5,'FERC 2022'!$EA$3:$EN$220,14,0),"")</f>
        <v/>
      </c>
      <c r="AQ5" s="72" t="str">
        <f>IFERROR(VLOOKUP($D5,'FERC 2023'!$EA$3:$EN$221,14,0),"")</f>
        <v/>
      </c>
    </row>
    <row r="6" spans="1:43" ht="14.5" hidden="1">
      <c r="A6" s="7" t="s">
        <v>216</v>
      </c>
      <c r="B6" s="7" t="s">
        <v>217</v>
      </c>
      <c r="C6" s="311" t="str">
        <f>'BD DEA'!P6</f>
        <v/>
      </c>
      <c r="D6" s="44" t="str">
        <f t="shared" si="0"/>
        <v>C000038</v>
      </c>
      <c r="E6" s="72" t="str">
        <f>IFERROR(VLOOKUP($D6,'FERC 2021'!$EA$3:$EN$221,2,0),"")</f>
        <v/>
      </c>
      <c r="F6" s="72" t="str">
        <f>IFERROR(VLOOKUP($D6,'FERC 2022'!$EA$3:$EN$220,2,0),"")</f>
        <v/>
      </c>
      <c r="G6" s="72" t="str">
        <f>IFERROR(VLOOKUP($D6,'FERC 2023'!$EA$3:$EN$221,2,0),"")</f>
        <v/>
      </c>
      <c r="H6" s="72" t="str">
        <f>IFERROR(VLOOKUP($D6,'FERC 2021'!$EA$3:$EN$225,3,0),"")</f>
        <v/>
      </c>
      <c r="I6" s="72" t="str">
        <f>IFERROR(VLOOKUP($D6,'FERC 2022'!$EA$3:$EN$229,3,0),"")</f>
        <v/>
      </c>
      <c r="J6" s="72" t="str">
        <f>IFERROR(VLOOKUP($D6,'FERC 2023'!$EA$3:$EN$229,3,0),"")</f>
        <v/>
      </c>
      <c r="K6" s="72" t="str">
        <f>IFERROR(VLOOKUP($D6,'FERC 2021'!$EA$3:$EN$229,4,0),"")</f>
        <v/>
      </c>
      <c r="L6" s="72" t="str">
        <f>IFERROR(VLOOKUP($D6,'FERC 2022'!$EA$3:$EN$220,4,0),"")</f>
        <v/>
      </c>
      <c r="M6" s="72" t="str">
        <f>IFERROR(VLOOKUP($D6,'FERC 2023'!$EA$3:$EN$221,4,0),"")</f>
        <v/>
      </c>
      <c r="N6" s="72" t="str">
        <f>IFERROR(VLOOKUP($D6,'FERC 2021'!$EA$3:$EN$221,5,0),"")</f>
        <v/>
      </c>
      <c r="O6" s="72" t="str">
        <f>IFERROR(VLOOKUP($D6,'FERC 2022'!$EA$3:$EN$220,5,0),"")</f>
        <v/>
      </c>
      <c r="P6" s="72" t="str">
        <f>IFERROR(VLOOKUP($D6,'FERC 2023'!$EA$3:$EN$221,5,0),"")</f>
        <v/>
      </c>
      <c r="Q6" s="72" t="str">
        <f>IFERROR(VLOOKUP($D6,'FERC 2021'!$EA$3:$EN$221,6,0),"")</f>
        <v/>
      </c>
      <c r="R6" s="72" t="str">
        <f>IFERROR(VLOOKUP($D6,'FERC 2022'!$EA$3:$EN$220,6,0),"")</f>
        <v/>
      </c>
      <c r="S6" s="72" t="str">
        <f>IFERROR(VLOOKUP($D6,'FERC 2023'!$EA$3:$EN$221,6,0),"")</f>
        <v/>
      </c>
      <c r="T6" s="72" t="str">
        <f>IFERROR(VLOOKUP($D6,'FERC 2021'!$EA$3:$EN$221,7,0),"")</f>
        <v/>
      </c>
      <c r="U6" s="72" t="str">
        <f>IFERROR(VLOOKUP($D6,'FERC 2022'!$EA$3:$EN$220,7,0),"")</f>
        <v/>
      </c>
      <c r="V6" s="72" t="str">
        <f>IFERROR(VLOOKUP($D6,'FERC 2023'!$EA$3:$EN$221,7,0),"")</f>
        <v/>
      </c>
      <c r="W6" s="72" t="str">
        <f>IFERROR(VLOOKUP($D6,'FERC 2021'!$EA$3:$EN$221,8,0),"")</f>
        <v/>
      </c>
      <c r="X6" s="72" t="str">
        <f>IFERROR(VLOOKUP($D6,'FERC 2022'!$EA$3:$EN$220,8,0),"")</f>
        <v/>
      </c>
      <c r="Y6" s="72" t="str">
        <f>IFERROR(VLOOKUP($D6,'FERC 2023'!$EA$3:$EN$221,8,0),"")</f>
        <v/>
      </c>
      <c r="Z6" s="72" t="str">
        <f>IFERROR(VLOOKUP($D6,'FERC 2021'!$EA$3:$EN$222,9,0),"")</f>
        <v/>
      </c>
      <c r="AA6" s="72" t="str">
        <f>IFERROR(VLOOKUP($D6,'FERC 2022'!$EA$3:$EN$220,9,0),"")</f>
        <v/>
      </c>
      <c r="AB6" s="72" t="str">
        <f>IFERROR(VLOOKUP($D6,'FERC 2023'!$EA$3:$EN$221,9,0),"")</f>
        <v/>
      </c>
      <c r="AC6" s="72" t="str">
        <f>IFERROR(VLOOKUP($D6,'FERC 2021'!$EA$3:$EN$221,10,0),"")</f>
        <v/>
      </c>
      <c r="AD6" s="72" t="str">
        <f>IFERROR(VLOOKUP($D6,'FERC 2022'!$EA$3:$EN$220,10,0),"")</f>
        <v/>
      </c>
      <c r="AE6" s="72" t="str">
        <f>IFERROR(VLOOKUP($D6,'FERC 2023'!$EA$3:$EN$221,10,0),"")</f>
        <v/>
      </c>
      <c r="AF6" s="72" t="str">
        <f>IFERROR(VLOOKUP($D6,'FERC 2021'!$EA$3:$EN$221,11,0),"")</f>
        <v/>
      </c>
      <c r="AG6" s="72" t="str">
        <f>IFERROR(VLOOKUP($D6,'FERC 2022'!$EA$3:$EN$220,11,0),"")</f>
        <v/>
      </c>
      <c r="AH6" s="72" t="str">
        <f>IFERROR(VLOOKUP($D6,'FERC 2023'!$EA$3:$EN$221,11,0),"")</f>
        <v/>
      </c>
      <c r="AI6" s="72" t="str">
        <f>IFERROR(VLOOKUP($D6,'FERC 2021'!$EA$3:$EN$221,12,0),"")</f>
        <v/>
      </c>
      <c r="AJ6" s="72" t="str">
        <f>IFERROR(VLOOKUP($D6,'FERC 2022'!$EA$3:$EN$220,12,0),"")</f>
        <v/>
      </c>
      <c r="AK6" s="72" t="str">
        <f>IFERROR(VLOOKUP($D6,'FERC 2023'!$EA$3:$EN$221,12,0),"")</f>
        <v/>
      </c>
      <c r="AL6" s="72" t="str">
        <f>VLOOKUP($D6,'FERC 2021'!$EA$3:$EN$221,13,0)</f>
        <v/>
      </c>
      <c r="AM6" s="72" t="str">
        <f>VLOOKUP($D6,'FERC 2022'!$EA$3:$EN$220,13,0)</f>
        <v/>
      </c>
      <c r="AN6" s="72" t="str">
        <f>VLOOKUP($D6,'FERC 2023'!$EA$3:$EN$221,13,0)</f>
        <v/>
      </c>
      <c r="AO6" s="72" t="str">
        <f>IFERROR(VLOOKUP($D6,'FERC 2021'!$EA$3:$EN$221,14,0),"")</f>
        <v/>
      </c>
      <c r="AP6" s="72" t="str">
        <f>IFERROR(VLOOKUP($D6,'FERC 2022'!$EA$3:$EN$220,14,0),"")</f>
        <v/>
      </c>
      <c r="AQ6" s="72" t="str">
        <f>IFERROR(VLOOKUP($D6,'FERC 2023'!$EA$3:$EN$221,14,0),"")</f>
        <v/>
      </c>
    </row>
    <row r="7" spans="1:43" ht="14.5">
      <c r="A7" s="7" t="s">
        <v>219</v>
      </c>
      <c r="B7" s="7" t="s">
        <v>220</v>
      </c>
      <c r="C7" s="311">
        <f>'BD DEA'!P7</f>
        <v>1</v>
      </c>
      <c r="D7" s="44" t="str">
        <f t="shared" si="0"/>
        <v>C000041</v>
      </c>
      <c r="E7" s="72">
        <f>IFERROR(VLOOKUP($D7,'FERC 2021'!$EA$3:$EN$221,2,0),"")</f>
        <v>37163090870.509727</v>
      </c>
      <c r="F7" s="72">
        <f>IFERROR(VLOOKUP($D7,'FERC 2022'!$EA$3:$EN$220,2,0),"")</f>
        <v>39306105296.560707</v>
      </c>
      <c r="G7" s="72">
        <f>IFERROR(VLOOKUP($D7,'FERC 2023'!$EA$3:$EN$221,2,0),"")</f>
        <v>40133910122.627869</v>
      </c>
      <c r="H7" s="72">
        <f>IFERROR(VLOOKUP($D7,'FERC 2021'!$EA$3:$EN$225,3,0),"")</f>
        <v>1552145538.401391</v>
      </c>
      <c r="I7" s="72">
        <f>IFERROR(VLOOKUP($D7,'FERC 2022'!$EA$3:$EN$229,3,0),"")</f>
        <v>1599248302.6324062</v>
      </c>
      <c r="J7" s="72">
        <f>IFERROR(VLOOKUP($D7,'FERC 2023'!$EA$3:$EN$229,3,0),"")</f>
        <v>1596935339.5298684</v>
      </c>
      <c r="K7" s="72">
        <f>IFERROR(VLOOKUP($D7,'FERC 2021'!$EA$3:$EN$229,4,0),"")</f>
        <v>1082910264.1792915</v>
      </c>
      <c r="L7" s="72">
        <f>IFERROR(VLOOKUP($D7,'FERC 2022'!$EA$3:$EN$220,4,0),"")</f>
        <v>1119374071.4938383</v>
      </c>
      <c r="M7" s="72">
        <f>IFERROR(VLOOKUP($D7,'FERC 2023'!$EA$3:$EN$221,4,0),"")</f>
        <v>1057657067.5757548</v>
      </c>
      <c r="N7" s="72">
        <f>IFERROR(VLOOKUP($D7,'FERC 2021'!$EA$3:$EN$221,5,0),"")</f>
        <v>892504221.24793935</v>
      </c>
      <c r="O7" s="72">
        <f>IFERROR(VLOOKUP($D7,'FERC 2022'!$EA$3:$EN$220,5,0),"")</f>
        <v>796363045.86351836</v>
      </c>
      <c r="P7" s="72">
        <f>IFERROR(VLOOKUP($D7,'FERC 2023'!$EA$3:$EN$221,5,0),"")</f>
        <v>819127387.02796817</v>
      </c>
      <c r="Q7" s="72">
        <f>IFERROR(VLOOKUP($D7,'FERC 2021'!$EA$3:$EN$221,6,0),"")</f>
        <v>2238091604.1571541</v>
      </c>
      <c r="R7" s="72">
        <f>IFERROR(VLOOKUP($D7,'FERC 2022'!$EA$3:$EN$220,6,0),"")</f>
        <v>2447182176.4501534</v>
      </c>
      <c r="S7" s="72">
        <f>IFERROR(VLOOKUP($D7,'FERC 2023'!$EA$3:$EN$221,6,0),"")</f>
        <v>1621441241.304014</v>
      </c>
      <c r="T7" s="72">
        <f>IFERROR(VLOOKUP($D7,'FERC 2021'!$EA$3:$EN$221,7,0),"")</f>
        <v>20750</v>
      </c>
      <c r="U7" s="72">
        <f>IFERROR(VLOOKUP($D7,'FERC 2022'!$EA$3:$EN$220,7,0),"")</f>
        <v>24027</v>
      </c>
      <c r="V7" s="72">
        <f>IFERROR(VLOOKUP($D7,'FERC 2023'!$EA$3:$EN$221,7,0),"")</f>
        <v>20948</v>
      </c>
      <c r="W7" s="72">
        <f>IFERROR(VLOOKUP($D7,'FERC 2021'!$EA$3:$EN$221,8,0),"")</f>
        <v>5192940</v>
      </c>
      <c r="X7" s="72">
        <f>IFERROR(VLOOKUP($D7,'FERC 2022'!$EA$3:$EN$220,8,0),"")</f>
        <v>5226537</v>
      </c>
      <c r="Y7" s="72">
        <f>IFERROR(VLOOKUP($D7,'FERC 2023'!$EA$3:$EN$221,8,0),"")</f>
        <v>5263440</v>
      </c>
      <c r="Z7" s="72">
        <f>IFERROR(VLOOKUP($D7,'FERC 2021'!$EA$3:$EN$222,9,0),"")</f>
        <v>5498875</v>
      </c>
      <c r="AA7" s="72">
        <f>IFERROR(VLOOKUP($D7,'FERC 2022'!$EA$3:$EN$220,9,0),"")</f>
        <v>3786113</v>
      </c>
      <c r="AB7" s="72">
        <f>IFERROR(VLOOKUP($D7,'FERC 2023'!$EA$3:$EN$221,9,0),"")</f>
        <v>3888853</v>
      </c>
      <c r="AC7" s="72">
        <f>IFERROR(VLOOKUP($D7,'FERC 2021'!$EA$3:$EN$221,10,0),"")</f>
        <v>80814328</v>
      </c>
      <c r="AD7" s="72">
        <f>IFERROR(VLOOKUP($D7,'FERC 2022'!$EA$3:$EN$220,10,0),"")</f>
        <v>83200168</v>
      </c>
      <c r="AE7" s="72">
        <f>IFERROR(VLOOKUP($D7,'FERC 2023'!$EA$3:$EN$221,10,0),"")</f>
        <v>76991755</v>
      </c>
      <c r="AF7" s="72">
        <f>IFERROR(VLOOKUP($D7,'FERC 2021'!$EA$3:$EN$221,11,0),"")</f>
        <v>86245246.17766498</v>
      </c>
      <c r="AG7" s="72">
        <f>IFERROR(VLOOKUP($D7,'FERC 2022'!$EA$3:$EN$220,11,0),"")</f>
        <v>86834573.862944156</v>
      </c>
      <c r="AH7" s="72">
        <f>IFERROR(VLOOKUP($D7,'FERC 2023'!$EA$3:$EN$221,11,0),"")</f>
        <v>80680361.715736046</v>
      </c>
      <c r="AI7" s="72">
        <f>IFERROR(VLOOKUP($D7,'FERC 2021'!$EA$3:$EN$221,12,0),"")</f>
        <v>538866190.86000001</v>
      </c>
      <c r="AJ7" s="72">
        <f>IFERROR(VLOOKUP($D7,'FERC 2022'!$EA$3:$EN$220,12,0),"")</f>
        <v>528016126.96199995</v>
      </c>
      <c r="AK7" s="72">
        <f>IFERROR(VLOOKUP($D7,'FERC 2023'!$EA$3:$EN$221,12,0),"")</f>
        <v>504532304.63999999</v>
      </c>
      <c r="AL7" s="72">
        <f>VLOOKUP($D7,'FERC 2021'!$EA$3:$EN$221,13,0)</f>
        <v>5769356.3399999999</v>
      </c>
      <c r="AM7" s="72">
        <f>VLOOKUP($D7,'FERC 2022'!$EA$3:$EN$220,13,0)</f>
        <v>5644659.96</v>
      </c>
      <c r="AN7" s="72">
        <f>VLOOKUP($D7,'FERC 2023'!$EA$3:$EN$221,13,0)</f>
        <v>5452923.8399999999</v>
      </c>
      <c r="AO7" s="72">
        <f>IFERROR(VLOOKUP($D7,'FERC 2021'!$EA$3:$EN$221,14,0),"")</f>
        <v>5138576</v>
      </c>
      <c r="AP7" s="72">
        <f>IFERROR(VLOOKUP($D7,'FERC 2022'!$EA$3:$EN$220,14,0),"")</f>
        <v>5335103</v>
      </c>
      <c r="AQ7" s="72">
        <f>IFERROR(VLOOKUP($D7,'FERC 2023'!$EA$3:$EN$221,14,0),"")</f>
        <v>5695535</v>
      </c>
    </row>
    <row r="8" spans="1:43" ht="14.5" hidden="1">
      <c r="A8" s="7" t="s">
        <v>222</v>
      </c>
      <c r="B8" s="7" t="s">
        <v>223</v>
      </c>
      <c r="C8" s="311" t="str">
        <f>'BD DEA'!P8</f>
        <v/>
      </c>
      <c r="D8" s="44" t="str">
        <f t="shared" si="0"/>
        <v>C000045</v>
      </c>
      <c r="E8" s="72" t="str">
        <f>IFERROR(VLOOKUP($D8,'FERC 2021'!$EA$3:$EN$221,2,0),"")</f>
        <v/>
      </c>
      <c r="F8" s="72" t="str">
        <f>IFERROR(VLOOKUP($D8,'FERC 2022'!$EA$3:$EN$220,2,0),"")</f>
        <v/>
      </c>
      <c r="G8" s="72" t="str">
        <f>IFERROR(VLOOKUP($D8,'FERC 2023'!$EA$3:$EN$221,2,0),"")</f>
        <v/>
      </c>
      <c r="H8" s="72" t="str">
        <f>IFERROR(VLOOKUP($D8,'FERC 2021'!$EA$3:$EN$225,3,0),"")</f>
        <v/>
      </c>
      <c r="I8" s="72" t="str">
        <f>IFERROR(VLOOKUP($D8,'FERC 2022'!$EA$3:$EN$229,3,0),"")</f>
        <v/>
      </c>
      <c r="J8" s="72" t="str">
        <f>IFERROR(VLOOKUP($D8,'FERC 2023'!$EA$3:$EN$229,3,0),"")</f>
        <v/>
      </c>
      <c r="K8" s="72" t="str">
        <f>IFERROR(VLOOKUP($D8,'FERC 2021'!$EA$3:$EN$229,4,0),"")</f>
        <v/>
      </c>
      <c r="L8" s="72" t="str">
        <f>IFERROR(VLOOKUP($D8,'FERC 2022'!$EA$3:$EN$220,4,0),"")</f>
        <v/>
      </c>
      <c r="M8" s="72" t="str">
        <f>IFERROR(VLOOKUP($D8,'FERC 2023'!$EA$3:$EN$221,4,0),"")</f>
        <v/>
      </c>
      <c r="N8" s="72" t="str">
        <f>IFERROR(VLOOKUP($D8,'FERC 2021'!$EA$3:$EN$221,5,0),"")</f>
        <v/>
      </c>
      <c r="O8" s="72" t="str">
        <f>IFERROR(VLOOKUP($D8,'FERC 2022'!$EA$3:$EN$220,5,0),"")</f>
        <v/>
      </c>
      <c r="P8" s="72" t="str">
        <f>IFERROR(VLOOKUP($D8,'FERC 2023'!$EA$3:$EN$221,5,0),"")</f>
        <v/>
      </c>
      <c r="Q8" s="72" t="str">
        <f>IFERROR(VLOOKUP($D8,'FERC 2021'!$EA$3:$EN$221,6,0),"")</f>
        <v/>
      </c>
      <c r="R8" s="72" t="str">
        <f>IFERROR(VLOOKUP($D8,'FERC 2022'!$EA$3:$EN$220,6,0),"")</f>
        <v/>
      </c>
      <c r="S8" s="72" t="str">
        <f>IFERROR(VLOOKUP($D8,'FERC 2023'!$EA$3:$EN$221,6,0),"")</f>
        <v/>
      </c>
      <c r="T8" s="72" t="str">
        <f>IFERROR(VLOOKUP($D8,'FERC 2021'!$EA$3:$EN$221,7,0),"")</f>
        <v/>
      </c>
      <c r="U8" s="72" t="str">
        <f>IFERROR(VLOOKUP($D8,'FERC 2022'!$EA$3:$EN$220,7,0),"")</f>
        <v/>
      </c>
      <c r="V8" s="72" t="str">
        <f>IFERROR(VLOOKUP($D8,'FERC 2023'!$EA$3:$EN$221,7,0),"")</f>
        <v/>
      </c>
      <c r="W8" s="72" t="str">
        <f>IFERROR(VLOOKUP($D8,'FERC 2021'!$EA$3:$EN$221,8,0),"")</f>
        <v/>
      </c>
      <c r="X8" s="72" t="str">
        <f>IFERROR(VLOOKUP($D8,'FERC 2022'!$EA$3:$EN$220,8,0),"")</f>
        <v/>
      </c>
      <c r="Y8" s="72" t="str">
        <f>IFERROR(VLOOKUP($D8,'FERC 2023'!$EA$3:$EN$221,8,0),"")</f>
        <v/>
      </c>
      <c r="Z8" s="72" t="str">
        <f>IFERROR(VLOOKUP($D8,'FERC 2021'!$EA$3:$EN$222,9,0),"")</f>
        <v/>
      </c>
      <c r="AA8" s="72" t="str">
        <f>IFERROR(VLOOKUP($D8,'FERC 2022'!$EA$3:$EN$220,9,0),"")</f>
        <v/>
      </c>
      <c r="AB8" s="72" t="str">
        <f>IFERROR(VLOOKUP($D8,'FERC 2023'!$EA$3:$EN$221,9,0),"")</f>
        <v/>
      </c>
      <c r="AC8" s="72" t="str">
        <f>IFERROR(VLOOKUP($D8,'FERC 2021'!$EA$3:$EN$221,10,0),"")</f>
        <v/>
      </c>
      <c r="AD8" s="72" t="str">
        <f>IFERROR(VLOOKUP($D8,'FERC 2022'!$EA$3:$EN$220,10,0),"")</f>
        <v/>
      </c>
      <c r="AE8" s="72" t="str">
        <f>IFERROR(VLOOKUP($D8,'FERC 2023'!$EA$3:$EN$221,10,0),"")</f>
        <v/>
      </c>
      <c r="AF8" s="72" t="str">
        <f>IFERROR(VLOOKUP($D8,'FERC 2021'!$EA$3:$EN$221,11,0),"")</f>
        <v/>
      </c>
      <c r="AG8" s="72" t="str">
        <f>IFERROR(VLOOKUP($D8,'FERC 2022'!$EA$3:$EN$220,11,0),"")</f>
        <v/>
      </c>
      <c r="AH8" s="72" t="str">
        <f>IFERROR(VLOOKUP($D8,'FERC 2023'!$EA$3:$EN$221,11,0),"")</f>
        <v/>
      </c>
      <c r="AI8" s="72" t="str">
        <f>IFERROR(VLOOKUP($D8,'FERC 2021'!$EA$3:$EN$221,12,0),"")</f>
        <v/>
      </c>
      <c r="AJ8" s="72" t="str">
        <f>IFERROR(VLOOKUP($D8,'FERC 2022'!$EA$3:$EN$220,12,0),"")</f>
        <v/>
      </c>
      <c r="AK8" s="72" t="str">
        <f>IFERROR(VLOOKUP($D8,'FERC 2023'!$EA$3:$EN$221,12,0),"")</f>
        <v/>
      </c>
      <c r="AL8" s="72" t="str">
        <f>VLOOKUP($D8,'FERC 2021'!$EA$3:$EN$221,13,0)</f>
        <v/>
      </c>
      <c r="AM8" s="72" t="str">
        <f>VLOOKUP($D8,'FERC 2022'!$EA$3:$EN$220,13,0)</f>
        <v/>
      </c>
      <c r="AN8" s="72" t="str">
        <f>VLOOKUP($D8,'FERC 2023'!$EA$3:$EN$221,13,0)</f>
        <v/>
      </c>
      <c r="AO8" s="72" t="str">
        <f>IFERROR(VLOOKUP($D8,'FERC 2021'!$EA$3:$EN$221,14,0),"")</f>
        <v/>
      </c>
      <c r="AP8" s="72" t="str">
        <f>IFERROR(VLOOKUP($D8,'FERC 2022'!$EA$3:$EN$220,14,0),"")</f>
        <v/>
      </c>
      <c r="AQ8" s="72" t="str">
        <f>IFERROR(VLOOKUP($D8,'FERC 2023'!$EA$3:$EN$221,14,0),"")</f>
        <v/>
      </c>
    </row>
    <row r="9" spans="1:43" ht="15" customHeight="1">
      <c r="A9" s="7" t="s">
        <v>225</v>
      </c>
      <c r="B9" s="7" t="s">
        <v>226</v>
      </c>
      <c r="C9" s="311">
        <f>'BD DEA'!P9</f>
        <v>1</v>
      </c>
      <c r="D9" s="44" t="str">
        <f t="shared" si="0"/>
        <v>C000116</v>
      </c>
      <c r="E9" s="72">
        <f>IFERROR(VLOOKUP($D9,'FERC 2021'!$EA$3:$EN$221,2,0),"")</f>
        <v>3259506224.7836747</v>
      </c>
      <c r="F9" s="72">
        <f>IFERROR(VLOOKUP($D9,'FERC 2022'!$EA$3:$EN$220,2,0),"")</f>
        <v>3399501330.8471031</v>
      </c>
      <c r="G9" s="72">
        <f>IFERROR(VLOOKUP($D9,'FERC 2023'!$EA$3:$EN$221,2,0),"")</f>
        <v>3669576276.584691</v>
      </c>
      <c r="H9" s="72">
        <f>IFERROR(VLOOKUP($D9,'FERC 2021'!$EA$3:$EN$225,3,0),"")</f>
        <v>184192264.07347205</v>
      </c>
      <c r="I9" s="72">
        <f>IFERROR(VLOOKUP($D9,'FERC 2022'!$EA$3:$EN$229,3,0),"")</f>
        <v>185923177.34975624</v>
      </c>
      <c r="J9" s="72">
        <f>IFERROR(VLOOKUP($D9,'FERC 2023'!$EA$3:$EN$229,3,0),"")</f>
        <v>193193570.0488832</v>
      </c>
      <c r="K9" s="72">
        <f>IFERROR(VLOOKUP($D9,'FERC 2021'!$EA$3:$EN$229,4,0),"")</f>
        <v>72889207.111090347</v>
      </c>
      <c r="L9" s="72">
        <f>IFERROR(VLOOKUP($D9,'FERC 2022'!$EA$3:$EN$220,4,0),"")</f>
        <v>64092823.38806162</v>
      </c>
      <c r="M9" s="72">
        <f>IFERROR(VLOOKUP($D9,'FERC 2023'!$EA$3:$EN$221,4,0),"")</f>
        <v>72254572.296573043</v>
      </c>
      <c r="N9" s="72">
        <f>IFERROR(VLOOKUP($D9,'FERC 2021'!$EA$3:$EN$221,5,0),"")</f>
        <v>94039651.696717069</v>
      </c>
      <c r="O9" s="72">
        <f>IFERROR(VLOOKUP($D9,'FERC 2022'!$EA$3:$EN$220,5,0),"")</f>
        <v>93622822.872023985</v>
      </c>
      <c r="P9" s="72">
        <f>IFERROR(VLOOKUP($D9,'FERC 2023'!$EA$3:$EN$221,5,0),"")</f>
        <v>101116388.91652174</v>
      </c>
      <c r="Q9" s="72">
        <f>IFERROR(VLOOKUP($D9,'FERC 2021'!$EA$3:$EN$221,6,0),"")</f>
        <v>83554384.957655564</v>
      </c>
      <c r="R9" s="72">
        <f>IFERROR(VLOOKUP($D9,'FERC 2022'!$EA$3:$EN$220,6,0),"")</f>
        <v>95730999.915105119</v>
      </c>
      <c r="S9" s="72">
        <f>IFERROR(VLOOKUP($D9,'FERC 2023'!$EA$3:$EN$221,6,0),"")</f>
        <v>153660608.73119226</v>
      </c>
      <c r="T9" s="72">
        <f>IFERROR(VLOOKUP($D9,'FERC 2021'!$EA$3:$EN$221,7,0),"")</f>
        <v>4102</v>
      </c>
      <c r="U9" s="72">
        <f>IFERROR(VLOOKUP($D9,'FERC 2022'!$EA$3:$EN$220,7,0),"")</f>
        <v>4131</v>
      </c>
      <c r="V9" s="72">
        <f>IFERROR(VLOOKUP($D9,'FERC 2023'!$EA$3:$EN$221,7,0),"")</f>
        <v>4385</v>
      </c>
      <c r="W9" s="72">
        <f>IFERROR(VLOOKUP($D9,'FERC 2021'!$EA$3:$EN$221,8,0),"")</f>
        <v>802049</v>
      </c>
      <c r="X9" s="72">
        <f>IFERROR(VLOOKUP($D9,'FERC 2022'!$EA$3:$EN$220,8,0),"")</f>
        <v>819766</v>
      </c>
      <c r="Y9" s="72">
        <f>IFERROR(VLOOKUP($D9,'FERC 2023'!$EA$3:$EN$221,8,0),"")</f>
        <v>834144</v>
      </c>
      <c r="Z9" s="72">
        <f>IFERROR(VLOOKUP($D9,'FERC 2021'!$EA$3:$EN$222,9,0),"")</f>
        <v>930694</v>
      </c>
      <c r="AA9" s="72">
        <f>IFERROR(VLOOKUP($D9,'FERC 2022'!$EA$3:$EN$220,9,0),"")</f>
        <v>1099349</v>
      </c>
      <c r="AB9" s="72">
        <f>IFERROR(VLOOKUP($D9,'FERC 2023'!$EA$3:$EN$221,9,0),"")</f>
        <v>973687</v>
      </c>
      <c r="AC9" s="72">
        <f>IFERROR(VLOOKUP($D9,'FERC 2021'!$EA$3:$EN$221,10,0),"")</f>
        <v>20092643</v>
      </c>
      <c r="AD9" s="72">
        <f>IFERROR(VLOOKUP($D9,'FERC 2022'!$EA$3:$EN$220,10,0),"")</f>
        <v>20466729</v>
      </c>
      <c r="AE9" s="72">
        <f>IFERROR(VLOOKUP($D9,'FERC 2023'!$EA$3:$EN$221,10,0),"")</f>
        <v>20790700</v>
      </c>
      <c r="AF9" s="72">
        <f>IFERROR(VLOOKUP($D9,'FERC 2021'!$EA$3:$EN$221,11,0),"")</f>
        <v>21021607.507614214</v>
      </c>
      <c r="AG9" s="72">
        <f>IFERROR(VLOOKUP($D9,'FERC 2022'!$EA$3:$EN$220,11,0),"")</f>
        <v>21559917.964467004</v>
      </c>
      <c r="AH9" s="72">
        <f>IFERROR(VLOOKUP($D9,'FERC 2023'!$EA$3:$EN$221,11,0),"")</f>
        <v>21760518.187817261</v>
      </c>
      <c r="AI9" s="72">
        <f>IFERROR(VLOOKUP($D9,'FERC 2021'!$EA$3:$EN$221,12,0),"")</f>
        <v>52622434.890000001</v>
      </c>
      <c r="AJ9" s="72">
        <f>IFERROR(VLOOKUP($D9,'FERC 2022'!$EA$3:$EN$220,12,0),"")</f>
        <v>54760368.799999997</v>
      </c>
      <c r="AK9" s="72">
        <f>IFERROR(VLOOKUP($D9,'FERC 2023'!$EA$3:$EN$221,12,0),"")</f>
        <v>50607516.480000004</v>
      </c>
      <c r="AL9" s="72">
        <f>VLOOKUP($D9,'FERC 2021'!$EA$3:$EN$221,13,0)</f>
        <v>1106827.6199999999</v>
      </c>
      <c r="AM9" s="72">
        <f>VLOOKUP($D9,'FERC 2022'!$EA$3:$EN$220,13,0)</f>
        <v>1844473.5</v>
      </c>
      <c r="AN9" s="72">
        <f>VLOOKUP($D9,'FERC 2023'!$EA$3:$EN$221,13,0)</f>
        <v>1184484.48</v>
      </c>
      <c r="AO9" s="72">
        <f>IFERROR(VLOOKUP($D9,'FERC 2021'!$EA$3:$EN$221,14,0),"")</f>
        <v>806171</v>
      </c>
      <c r="AP9" s="72">
        <f>IFERROR(VLOOKUP($D9,'FERC 2022'!$EA$3:$EN$220,14,0),"")</f>
        <v>824923</v>
      </c>
      <c r="AQ9" s="72">
        <f>IFERROR(VLOOKUP($D9,'FERC 2023'!$EA$3:$EN$221,14,0),"")</f>
        <v>832016</v>
      </c>
    </row>
    <row r="10" spans="1:43" ht="15" hidden="1" customHeight="1">
      <c r="A10" s="7" t="s">
        <v>228</v>
      </c>
      <c r="B10" s="7" t="s">
        <v>229</v>
      </c>
      <c r="C10" s="311" t="str">
        <f>'BD DEA'!P10</f>
        <v/>
      </c>
      <c r="D10" s="44" t="str">
        <f t="shared" si="0"/>
        <v>C000120</v>
      </c>
      <c r="E10" s="72" t="str">
        <f>IFERROR(VLOOKUP($D10,'FERC 2021'!$EA$3:$EN$221,2,0),"")</f>
        <v/>
      </c>
      <c r="F10" s="72" t="str">
        <f>IFERROR(VLOOKUP($D10,'FERC 2022'!$EA$3:$EN$220,2,0),"")</f>
        <v/>
      </c>
      <c r="G10" s="72" t="str">
        <f>IFERROR(VLOOKUP($D10,'FERC 2023'!$EA$3:$EN$221,2,0),"")</f>
        <v/>
      </c>
      <c r="H10" s="72" t="str">
        <f>IFERROR(VLOOKUP($D10,'FERC 2021'!$EA$3:$EN$225,3,0),"")</f>
        <v/>
      </c>
      <c r="I10" s="72" t="str">
        <f>IFERROR(VLOOKUP($D10,'FERC 2022'!$EA$3:$EN$229,3,0),"")</f>
        <v/>
      </c>
      <c r="J10" s="72" t="str">
        <f>IFERROR(VLOOKUP($D10,'FERC 2023'!$EA$3:$EN$229,3,0),"")</f>
        <v/>
      </c>
      <c r="K10" s="72" t="str">
        <f>IFERROR(VLOOKUP($D10,'FERC 2021'!$EA$3:$EN$229,4,0),"")</f>
        <v/>
      </c>
      <c r="L10" s="72" t="str">
        <f>IFERROR(VLOOKUP($D10,'FERC 2022'!$EA$3:$EN$220,4,0),"")</f>
        <v/>
      </c>
      <c r="M10" s="72" t="str">
        <f>IFERROR(VLOOKUP($D10,'FERC 2023'!$EA$3:$EN$221,4,0),"")</f>
        <v/>
      </c>
      <c r="N10" s="72" t="str">
        <f>IFERROR(VLOOKUP($D10,'FERC 2021'!$EA$3:$EN$221,5,0),"")</f>
        <v/>
      </c>
      <c r="O10" s="72" t="str">
        <f>IFERROR(VLOOKUP($D10,'FERC 2022'!$EA$3:$EN$220,5,0),"")</f>
        <v/>
      </c>
      <c r="P10" s="72" t="str">
        <f>IFERROR(VLOOKUP($D10,'FERC 2023'!$EA$3:$EN$221,5,0),"")</f>
        <v/>
      </c>
      <c r="Q10" s="72" t="str">
        <f>IFERROR(VLOOKUP($D10,'FERC 2021'!$EA$3:$EN$221,6,0),"")</f>
        <v/>
      </c>
      <c r="R10" s="72" t="str">
        <f>IFERROR(VLOOKUP($D10,'FERC 2022'!$EA$3:$EN$220,6,0),"")</f>
        <v/>
      </c>
      <c r="S10" s="72" t="str">
        <f>IFERROR(VLOOKUP($D10,'FERC 2023'!$EA$3:$EN$221,6,0),"")</f>
        <v/>
      </c>
      <c r="T10" s="72" t="str">
        <f>IFERROR(VLOOKUP($D10,'FERC 2021'!$EA$3:$EN$221,7,0),"")</f>
        <v/>
      </c>
      <c r="U10" s="72" t="str">
        <f>IFERROR(VLOOKUP($D10,'FERC 2022'!$EA$3:$EN$220,7,0),"")</f>
        <v/>
      </c>
      <c r="V10" s="72" t="str">
        <f>IFERROR(VLOOKUP($D10,'FERC 2023'!$EA$3:$EN$221,7,0),"")</f>
        <v/>
      </c>
      <c r="W10" s="72" t="str">
        <f>IFERROR(VLOOKUP($D10,'FERC 2021'!$EA$3:$EN$221,8,0),"")</f>
        <v/>
      </c>
      <c r="X10" s="72" t="str">
        <f>IFERROR(VLOOKUP($D10,'FERC 2022'!$EA$3:$EN$220,8,0),"")</f>
        <v/>
      </c>
      <c r="Y10" s="72" t="str">
        <f>IFERROR(VLOOKUP($D10,'FERC 2023'!$EA$3:$EN$221,8,0),"")</f>
        <v/>
      </c>
      <c r="Z10" s="72" t="str">
        <f>IFERROR(VLOOKUP($D10,'FERC 2021'!$EA$3:$EN$222,9,0),"")</f>
        <v/>
      </c>
      <c r="AA10" s="72" t="str">
        <f>IFERROR(VLOOKUP($D10,'FERC 2022'!$EA$3:$EN$220,9,0),"")</f>
        <v/>
      </c>
      <c r="AB10" s="72" t="str">
        <f>IFERROR(VLOOKUP($D10,'FERC 2023'!$EA$3:$EN$221,9,0),"")</f>
        <v/>
      </c>
      <c r="AC10" s="72" t="str">
        <f>IFERROR(VLOOKUP($D10,'FERC 2021'!$EA$3:$EN$221,10,0),"")</f>
        <v/>
      </c>
      <c r="AD10" s="72" t="str">
        <f>IFERROR(VLOOKUP($D10,'FERC 2022'!$EA$3:$EN$220,10,0),"")</f>
        <v/>
      </c>
      <c r="AE10" s="72" t="str">
        <f>IFERROR(VLOOKUP($D10,'FERC 2023'!$EA$3:$EN$221,10,0),"")</f>
        <v/>
      </c>
      <c r="AF10" s="72" t="str">
        <f>IFERROR(VLOOKUP($D10,'FERC 2021'!$EA$3:$EN$221,11,0),"")</f>
        <v/>
      </c>
      <c r="AG10" s="72" t="str">
        <f>IFERROR(VLOOKUP($D10,'FERC 2022'!$EA$3:$EN$220,11,0),"")</f>
        <v/>
      </c>
      <c r="AH10" s="72" t="str">
        <f>IFERROR(VLOOKUP($D10,'FERC 2023'!$EA$3:$EN$221,11,0),"")</f>
        <v/>
      </c>
      <c r="AI10" s="72" t="str">
        <f>IFERROR(VLOOKUP($D10,'FERC 2021'!$EA$3:$EN$221,12,0),"")</f>
        <v/>
      </c>
      <c r="AJ10" s="72" t="str">
        <f>IFERROR(VLOOKUP($D10,'FERC 2022'!$EA$3:$EN$220,12,0),"")</f>
        <v/>
      </c>
      <c r="AK10" s="72" t="str">
        <f>IFERROR(VLOOKUP($D10,'FERC 2023'!$EA$3:$EN$221,12,0),"")</f>
        <v/>
      </c>
      <c r="AL10" s="72" t="str">
        <f>VLOOKUP($D10,'FERC 2021'!$EA$3:$EN$221,13,0)</f>
        <v/>
      </c>
      <c r="AM10" s="72" t="str">
        <f>VLOOKUP($D10,'FERC 2022'!$EA$3:$EN$220,13,0)</f>
        <v/>
      </c>
      <c r="AN10" s="72" t="str">
        <f>VLOOKUP($D10,'FERC 2023'!$EA$3:$EN$221,13,0)</f>
        <v/>
      </c>
      <c r="AO10" s="72" t="str">
        <f>IFERROR(VLOOKUP($D10,'FERC 2021'!$EA$3:$EN$221,14,0),"")</f>
        <v/>
      </c>
      <c r="AP10" s="72" t="str">
        <f>IFERROR(VLOOKUP($D10,'FERC 2022'!$EA$3:$EN$220,14,0),"")</f>
        <v/>
      </c>
      <c r="AQ10" s="72" t="str">
        <f>IFERROR(VLOOKUP($D10,'FERC 2023'!$EA$3:$EN$221,14,0),"")</f>
        <v/>
      </c>
    </row>
    <row r="11" spans="1:43" ht="15" hidden="1" customHeight="1">
      <c r="A11" s="7" t="s">
        <v>231</v>
      </c>
      <c r="B11" s="7" t="s">
        <v>232</v>
      </c>
      <c r="C11" s="311" t="str">
        <f>'BD DEA'!P11</f>
        <v/>
      </c>
      <c r="D11" s="44" t="str">
        <f t="shared" si="0"/>
        <v>C000134</v>
      </c>
      <c r="E11" s="72">
        <f>IFERROR(VLOOKUP($D11,'FERC 2021'!$EA$3:$EN$221,2,0),"")</f>
        <v>23432565829.252705</v>
      </c>
      <c r="F11" s="72">
        <f>IFERROR(VLOOKUP($D11,'FERC 2022'!$EA$3:$EN$220,2,0),"")</f>
        <v>24577900599.125824</v>
      </c>
      <c r="G11" s="72">
        <f>IFERROR(VLOOKUP($D11,'FERC 2023'!$EA$3:$EN$221,2,0),"")</f>
        <v>25559413863.989899</v>
      </c>
      <c r="H11" s="72">
        <f>IFERROR(VLOOKUP($D11,'FERC 2021'!$EA$3:$EN$225,3,0),"")</f>
        <v>1018512829.9798967</v>
      </c>
      <c r="I11" s="72">
        <f>IFERROR(VLOOKUP($D11,'FERC 2022'!$EA$3:$EN$229,3,0),"")</f>
        <v>1085923875.6099954</v>
      </c>
      <c r="J11" s="72">
        <f>IFERROR(VLOOKUP($D11,'FERC 2023'!$EA$3:$EN$229,3,0),"")</f>
        <v>1121244692.9537442</v>
      </c>
      <c r="K11" s="72">
        <f>IFERROR(VLOOKUP($D11,'FERC 2021'!$EA$3:$EN$229,4,0),"")</f>
        <v>720350888.60195386</v>
      </c>
      <c r="L11" s="72">
        <f>IFERROR(VLOOKUP($D11,'FERC 2022'!$EA$3:$EN$220,4,0),"")</f>
        <v>639523045.53178775</v>
      </c>
      <c r="M11" s="72">
        <f>IFERROR(VLOOKUP($D11,'FERC 2023'!$EA$3:$EN$221,4,0),"")</f>
        <v>667004607.21345806</v>
      </c>
      <c r="N11" s="72">
        <f>IFERROR(VLOOKUP($D11,'FERC 2021'!$EA$3:$EN$221,5,0),"")</f>
        <v>707257142.64104891</v>
      </c>
      <c r="O11" s="72">
        <f>IFERROR(VLOOKUP($D11,'FERC 2022'!$EA$3:$EN$220,5,0),"")</f>
        <v>696334816.64675164</v>
      </c>
      <c r="P11" s="72">
        <f>IFERROR(VLOOKUP($D11,'FERC 2023'!$EA$3:$EN$221,5,0),"")</f>
        <v>696943994.58626378</v>
      </c>
      <c r="Q11" s="72">
        <f>IFERROR(VLOOKUP($D11,'FERC 2021'!$EA$3:$EN$221,6,0),"")</f>
        <v>523538866.46516812</v>
      </c>
      <c r="R11" s="72">
        <f>IFERROR(VLOOKUP($D11,'FERC 2022'!$EA$3:$EN$220,6,0),"")</f>
        <v>507168230.55833805</v>
      </c>
      <c r="S11" s="72">
        <f>IFERROR(VLOOKUP($D11,'FERC 2023'!$EA$3:$EN$221,6,0),"")</f>
        <v>228911254.92698073</v>
      </c>
      <c r="T11" s="72">
        <f>IFERROR(VLOOKUP($D11,'FERC 2021'!$EA$3:$EN$221,7,0),"")</f>
        <v>5394</v>
      </c>
      <c r="U11" s="72">
        <f>IFERROR(VLOOKUP($D11,'FERC 2022'!$EA$3:$EN$220,7,0),"")</f>
        <v>6227</v>
      </c>
      <c r="V11" s="72">
        <f>IFERROR(VLOOKUP($D11,'FERC 2023'!$EA$3:$EN$221,7,0),"")</f>
        <v>5549</v>
      </c>
      <c r="W11" s="72">
        <f>IFERROR(VLOOKUP($D11,'FERC 2021'!$EA$3:$EN$221,8,0),"")</f>
        <v>3530570</v>
      </c>
      <c r="X11" s="72">
        <f>IFERROR(VLOOKUP($D11,'FERC 2022'!$EA$3:$EN$220,8,0),"")</f>
        <v>3593840</v>
      </c>
      <c r="Y11" s="72">
        <f>IFERROR(VLOOKUP($D11,'FERC 2023'!$EA$3:$EN$221,8,0),"")</f>
        <v>3645153</v>
      </c>
      <c r="Z11" s="72">
        <f>IFERROR(VLOOKUP($D11,'FERC 2021'!$EA$3:$EN$222,9,0),"")</f>
        <v>4800056</v>
      </c>
      <c r="AA11" s="72">
        <f>IFERROR(VLOOKUP($D11,'FERC 2022'!$EA$3:$EN$220,9,0),"")</f>
        <v>3354159</v>
      </c>
      <c r="AB11" s="72">
        <f>IFERROR(VLOOKUP($D11,'FERC 2023'!$EA$3:$EN$221,9,0),"")</f>
        <v>1376415</v>
      </c>
      <c r="AC11" s="72">
        <f>IFERROR(VLOOKUP($D11,'FERC 2021'!$EA$3:$EN$221,10,0),"")</f>
        <v>42303158</v>
      </c>
      <c r="AD11" s="72">
        <f>IFERROR(VLOOKUP($D11,'FERC 2022'!$EA$3:$EN$220,10,0),"")</f>
        <v>43547140</v>
      </c>
      <c r="AE11" s="72">
        <f>IFERROR(VLOOKUP($D11,'FERC 2023'!$EA$3:$EN$221,10,0),"")</f>
        <v>43082500</v>
      </c>
      <c r="AF11" s="72">
        <f>IFERROR(VLOOKUP($D11,'FERC 2021'!$EA$3:$EN$221,11,0),"")</f>
        <v>47086530.771573603</v>
      </c>
      <c r="AG11" s="72">
        <f>IFERROR(VLOOKUP($D11,'FERC 2022'!$EA$3:$EN$220,11,0),"")</f>
        <v>46895411.949238576</v>
      </c>
      <c r="AH11" s="72">
        <f>IFERROR(VLOOKUP($D11,'FERC 2023'!$EA$3:$EN$221,11,0),"")</f>
        <v>44450775.90862944</v>
      </c>
      <c r="AI11" s="72">
        <f>IFERROR(VLOOKUP($D11,'FERC 2021'!$EA$3:$EN$221,12,0),"")</f>
        <v>69199172</v>
      </c>
      <c r="AJ11" s="72">
        <f>IFERROR(VLOOKUP($D11,'FERC 2022'!$EA$3:$EN$220,12,0),"")</f>
        <v>65336011.199999996</v>
      </c>
      <c r="AK11" s="72">
        <f>IFERROR(VLOOKUP($D11,'FERC 2023'!$EA$3:$EN$221,12,0),"")</f>
        <v>53831619.504000001</v>
      </c>
      <c r="AL11" s="72">
        <f>VLOOKUP($D11,'FERC 2021'!$EA$3:$EN$221,13,0)</f>
        <v>579013.48</v>
      </c>
      <c r="AM11" s="72">
        <f>VLOOKUP($D11,'FERC 2022'!$EA$3:$EN$220,13,0)</f>
        <v>517512.95999999996</v>
      </c>
      <c r="AN11" s="72">
        <f>VLOOKUP($D11,'FERC 2023'!$EA$3:$EN$221,13,0)</f>
        <v>433773.20699999999</v>
      </c>
      <c r="AO11" s="72">
        <f>IFERROR(VLOOKUP($D11,'FERC 2021'!$EA$3:$EN$221,14,0),"")</f>
        <v>0</v>
      </c>
      <c r="AP11" s="72">
        <f>IFERROR(VLOOKUP($D11,'FERC 2022'!$EA$3:$EN$220,14,0),"")</f>
        <v>0</v>
      </c>
      <c r="AQ11" s="72">
        <f>IFERROR(VLOOKUP($D11,'FERC 2023'!$EA$3:$EN$221,14,0),"")</f>
        <v>0</v>
      </c>
    </row>
    <row r="12" spans="1:43" ht="15" customHeight="1">
      <c r="A12" s="7" t="s">
        <v>234</v>
      </c>
      <c r="B12" s="7" t="s">
        <v>235</v>
      </c>
      <c r="C12" s="311">
        <f>'BD DEA'!P12</f>
        <v>1</v>
      </c>
      <c r="D12" s="44" t="str">
        <f t="shared" si="0"/>
        <v>C000135</v>
      </c>
      <c r="E12" s="72">
        <f>IFERROR(VLOOKUP($D12,'FERC 2021'!$EA$3:$EN$221,2,0),"")</f>
        <v>11017733214.390997</v>
      </c>
      <c r="F12" s="72">
        <f>IFERROR(VLOOKUP($D12,'FERC 2022'!$EA$3:$EN$220,2,0),"")</f>
        <v>11741390722.901854</v>
      </c>
      <c r="G12" s="72">
        <f>IFERROR(VLOOKUP($D12,'FERC 2023'!$EA$3:$EN$221,2,0),"")</f>
        <v>12919200465.189678</v>
      </c>
      <c r="H12" s="72">
        <f>IFERROR(VLOOKUP($D12,'FERC 2021'!$EA$3:$EN$225,3,0),"")</f>
        <v>436921898.14517522</v>
      </c>
      <c r="I12" s="72">
        <f>IFERROR(VLOOKUP($D12,'FERC 2022'!$EA$3:$EN$229,3,0),"")</f>
        <v>486350430.31903148</v>
      </c>
      <c r="J12" s="72">
        <f>IFERROR(VLOOKUP($D12,'FERC 2023'!$EA$3:$EN$229,3,0),"")</f>
        <v>511790538.97274435</v>
      </c>
      <c r="K12" s="72">
        <f>IFERROR(VLOOKUP($D12,'FERC 2021'!$EA$3:$EN$229,4,0),"")</f>
        <v>184156553.94762596</v>
      </c>
      <c r="L12" s="72">
        <f>IFERROR(VLOOKUP($D12,'FERC 2022'!$EA$3:$EN$220,4,0),"")</f>
        <v>201965542.5891847</v>
      </c>
      <c r="M12" s="72">
        <f>IFERROR(VLOOKUP($D12,'FERC 2023'!$EA$3:$EN$221,4,0),"")</f>
        <v>151708176.97795048</v>
      </c>
      <c r="N12" s="72">
        <f>IFERROR(VLOOKUP($D12,'FERC 2021'!$EA$3:$EN$221,5,0),"")</f>
        <v>95065661.163464963</v>
      </c>
      <c r="O12" s="72">
        <f>IFERROR(VLOOKUP($D12,'FERC 2022'!$EA$3:$EN$220,5,0),"")</f>
        <v>100716150.83300924</v>
      </c>
      <c r="P12" s="72">
        <f>IFERROR(VLOOKUP($D12,'FERC 2023'!$EA$3:$EN$221,5,0),"")</f>
        <v>86653708.379421517</v>
      </c>
      <c r="Q12" s="72">
        <f>IFERROR(VLOOKUP($D12,'FERC 2021'!$EA$3:$EN$221,6,0),"")</f>
        <v>108859377.97924367</v>
      </c>
      <c r="R12" s="72">
        <f>IFERROR(VLOOKUP($D12,'FERC 2022'!$EA$3:$EN$220,6,0),"")</f>
        <v>111196640.35595997</v>
      </c>
      <c r="S12" s="72">
        <f>IFERROR(VLOOKUP($D12,'FERC 2023'!$EA$3:$EN$221,6,0),"")</f>
        <v>87841501.635100707</v>
      </c>
      <c r="T12" s="72">
        <f>IFERROR(VLOOKUP($D12,'FERC 2021'!$EA$3:$EN$221,7,0),"")</f>
        <v>12655</v>
      </c>
      <c r="U12" s="72">
        <f>IFERROR(VLOOKUP($D12,'FERC 2022'!$EA$3:$EN$220,7,0),"")</f>
        <v>13814</v>
      </c>
      <c r="V12" s="72">
        <f>IFERROR(VLOOKUP($D12,'FERC 2023'!$EA$3:$EN$221,7,0),"")</f>
        <v>12630</v>
      </c>
      <c r="W12" s="72">
        <f>IFERROR(VLOOKUP($D12,'FERC 2021'!$EA$3:$EN$221,8,0),"")</f>
        <v>1644186</v>
      </c>
      <c r="X12" s="72">
        <f>IFERROR(VLOOKUP($D12,'FERC 2022'!$EA$3:$EN$220,8,0),"")</f>
        <v>1688598</v>
      </c>
      <c r="Y12" s="72">
        <f>IFERROR(VLOOKUP($D12,'FERC 2023'!$EA$3:$EN$221,8,0),"")</f>
        <v>1718136</v>
      </c>
      <c r="Z12" s="72">
        <f>IFERROR(VLOOKUP($D12,'FERC 2021'!$EA$3:$EN$222,9,0),"")</f>
        <v>2346288</v>
      </c>
      <c r="AA12" s="72">
        <f>IFERROR(VLOOKUP($D12,'FERC 2022'!$EA$3:$EN$220,9,0),"")</f>
        <v>1483234</v>
      </c>
      <c r="AB12" s="72">
        <f>IFERROR(VLOOKUP($D12,'FERC 2023'!$EA$3:$EN$221,9,0),"")</f>
        <v>2424406</v>
      </c>
      <c r="AC12" s="72">
        <f>IFERROR(VLOOKUP($D12,'FERC 2021'!$EA$3:$EN$221,10,0),"")</f>
        <v>43336959</v>
      </c>
      <c r="AD12" s="72">
        <f>IFERROR(VLOOKUP($D12,'FERC 2022'!$EA$3:$EN$220,10,0),"")</f>
        <v>44851735</v>
      </c>
      <c r="AE12" s="72">
        <f>IFERROR(VLOOKUP($D12,'FERC 2023'!$EA$3:$EN$221,10,0),"")</f>
        <v>41891387</v>
      </c>
      <c r="AF12" s="72">
        <f>IFERROR(VLOOKUP($D12,'FERC 2021'!$EA$3:$EN$221,11,0),"")</f>
        <v>45324689.071065992</v>
      </c>
      <c r="AG12" s="72">
        <f>IFERROR(VLOOKUP($D12,'FERC 2022'!$EA$3:$EN$220,11,0),"")</f>
        <v>45945327.842639595</v>
      </c>
      <c r="AH12" s="72">
        <f>IFERROR(VLOOKUP($D12,'FERC 2023'!$EA$3:$EN$221,11,0),"")</f>
        <v>43937731.203045681</v>
      </c>
      <c r="AI12" s="72">
        <f>IFERROR(VLOOKUP($D12,'FERC 2021'!$EA$3:$EN$221,12,0),"")</f>
        <v>206115156.96000001</v>
      </c>
      <c r="AJ12" s="72">
        <f>IFERROR(VLOOKUP($D12,'FERC 2022'!$EA$3:$EN$220,12,0),"")</f>
        <v>240034205.70000002</v>
      </c>
      <c r="AK12" s="72">
        <f>IFERROR(VLOOKUP($D12,'FERC 2023'!$EA$3:$EN$221,12,0),"")</f>
        <v>250143420.24000001</v>
      </c>
      <c r="AL12" s="72">
        <f>VLOOKUP($D12,'FERC 2021'!$EA$3:$EN$221,13,0)</f>
        <v>2091404.5919999999</v>
      </c>
      <c r="AM12" s="72">
        <f>VLOOKUP($D12,'FERC 2022'!$EA$3:$EN$220,13,0)</f>
        <v>3873643.8119999999</v>
      </c>
      <c r="AN12" s="72">
        <f>VLOOKUP($D12,'FERC 2023'!$EA$3:$EN$221,13,0)</f>
        <v>2645929.44</v>
      </c>
      <c r="AO12" s="72">
        <f>IFERROR(VLOOKUP($D12,'FERC 2021'!$EA$3:$EN$221,14,0),"")</f>
        <v>9437</v>
      </c>
      <c r="AP12" s="72">
        <f>IFERROR(VLOOKUP($D12,'FERC 2022'!$EA$3:$EN$220,14,0),"")</f>
        <v>1524297</v>
      </c>
      <c r="AQ12" s="72">
        <f>IFERROR(VLOOKUP($D12,'FERC 2023'!$EA$3:$EN$221,14,0),"")</f>
        <v>1563874</v>
      </c>
    </row>
    <row r="13" spans="1:43" ht="14.5">
      <c r="A13" s="7" t="s">
        <v>237</v>
      </c>
      <c r="B13" s="7" t="s">
        <v>238</v>
      </c>
      <c r="C13" s="311">
        <f>'BD DEA'!P13</f>
        <v>1</v>
      </c>
      <c r="D13" s="44" t="str">
        <f t="shared" si="0"/>
        <v>C000136</v>
      </c>
      <c r="E13" s="72">
        <f>IFERROR(VLOOKUP($D13,'FERC 2021'!$EA$3:$EN$221,2,0),"")</f>
        <v>10585244152.28513</v>
      </c>
      <c r="F13" s="72">
        <f>IFERROR(VLOOKUP($D13,'FERC 2022'!$EA$3:$EN$220,2,0),"")</f>
        <v>11352375198.921803</v>
      </c>
      <c r="G13" s="72">
        <f>IFERROR(VLOOKUP($D13,'FERC 2023'!$EA$3:$EN$221,2,0),"")</f>
        <v>12425405384.094263</v>
      </c>
      <c r="H13" s="72">
        <f>IFERROR(VLOOKUP($D13,'FERC 2021'!$EA$3:$EN$225,3,0),"")</f>
        <v>490974664.68562353</v>
      </c>
      <c r="I13" s="72">
        <f>IFERROR(VLOOKUP($D13,'FERC 2022'!$EA$3:$EN$229,3,0),"")</f>
        <v>513973137.79090649</v>
      </c>
      <c r="J13" s="72">
        <f>IFERROR(VLOOKUP($D13,'FERC 2023'!$EA$3:$EN$229,3,0),"")</f>
        <v>504869443.72604728</v>
      </c>
      <c r="K13" s="72">
        <f>IFERROR(VLOOKUP($D13,'FERC 2021'!$EA$3:$EN$229,4,0),"")</f>
        <v>185145068.17067024</v>
      </c>
      <c r="L13" s="72">
        <f>IFERROR(VLOOKUP($D13,'FERC 2022'!$EA$3:$EN$220,4,0),"")</f>
        <v>164682808.11328813</v>
      </c>
      <c r="M13" s="72">
        <f>IFERROR(VLOOKUP($D13,'FERC 2023'!$EA$3:$EN$221,4,0),"")</f>
        <v>155390817.33949298</v>
      </c>
      <c r="N13" s="72">
        <f>IFERROR(VLOOKUP($D13,'FERC 2021'!$EA$3:$EN$221,5,0),"")</f>
        <v>234334448.45793191</v>
      </c>
      <c r="O13" s="72">
        <f>IFERROR(VLOOKUP($D13,'FERC 2022'!$EA$3:$EN$220,5,0),"")</f>
        <v>254053563.63037863</v>
      </c>
      <c r="P13" s="72">
        <f>IFERROR(VLOOKUP($D13,'FERC 2023'!$EA$3:$EN$221,5,0),"")</f>
        <v>243783789.35639906</v>
      </c>
      <c r="Q13" s="72">
        <f>IFERROR(VLOOKUP($D13,'FERC 2021'!$EA$3:$EN$221,6,0),"")</f>
        <v>310138759.19603509</v>
      </c>
      <c r="R13" s="72">
        <f>IFERROR(VLOOKUP($D13,'FERC 2022'!$EA$3:$EN$220,6,0),"")</f>
        <v>209471019.87139106</v>
      </c>
      <c r="S13" s="72">
        <f>IFERROR(VLOOKUP($D13,'FERC 2023'!$EA$3:$EN$221,6,0),"")</f>
        <v>402779022.6520294</v>
      </c>
      <c r="T13" s="72">
        <f>IFERROR(VLOOKUP($D13,'FERC 2021'!$EA$3:$EN$221,7,0),"")</f>
        <v>9682</v>
      </c>
      <c r="U13" s="72">
        <f>IFERROR(VLOOKUP($D13,'FERC 2022'!$EA$3:$EN$220,7,0),"")</f>
        <v>9974</v>
      </c>
      <c r="V13" s="72">
        <f>IFERROR(VLOOKUP($D13,'FERC 2023'!$EA$3:$EN$221,7,0),"")</f>
        <v>10235</v>
      </c>
      <c r="W13" s="72">
        <f>IFERROR(VLOOKUP($D13,'FERC 2021'!$EA$3:$EN$221,8,0),"")</f>
        <v>1943025</v>
      </c>
      <c r="X13" s="72">
        <f>IFERROR(VLOOKUP($D13,'FERC 2022'!$EA$3:$EN$220,8,0),"")</f>
        <v>1933066</v>
      </c>
      <c r="Y13" s="72">
        <f>IFERROR(VLOOKUP($D13,'FERC 2023'!$EA$3:$EN$221,8,0),"")</f>
        <v>1968226</v>
      </c>
      <c r="Z13" s="72">
        <f>IFERROR(VLOOKUP($D13,'FERC 2021'!$EA$3:$EN$222,9,0),"")</f>
        <v>1920805</v>
      </c>
      <c r="AA13" s="72">
        <f>IFERROR(VLOOKUP($D13,'FERC 2022'!$EA$3:$EN$220,9,0),"")</f>
        <v>2209873</v>
      </c>
      <c r="AB13" s="72">
        <f>IFERROR(VLOOKUP($D13,'FERC 2023'!$EA$3:$EN$221,9,0),"")</f>
        <v>2016786</v>
      </c>
      <c r="AC13" s="72">
        <f>IFERROR(VLOOKUP($D13,'FERC 2021'!$EA$3:$EN$221,10,0),"")</f>
        <v>39681797</v>
      </c>
      <c r="AD13" s="72">
        <f>IFERROR(VLOOKUP($D13,'FERC 2022'!$EA$3:$EN$220,10,0),"")</f>
        <v>40511973</v>
      </c>
      <c r="AE13" s="72">
        <f>IFERROR(VLOOKUP($D13,'FERC 2023'!$EA$3:$EN$221,10,0),"")</f>
        <v>40832186</v>
      </c>
      <c r="AF13" s="72">
        <f>IFERROR(VLOOKUP($D13,'FERC 2021'!$EA$3:$EN$221,11,0),"")</f>
        <v>41546219.786802031</v>
      </c>
      <c r="AG13" s="72">
        <f>IFERROR(VLOOKUP($D13,'FERC 2022'!$EA$3:$EN$220,11,0),"")</f>
        <v>42643648.045685276</v>
      </c>
      <c r="AH13" s="72">
        <f>IFERROR(VLOOKUP($D13,'FERC 2023'!$EA$3:$EN$221,11,0),"")</f>
        <v>42809370.461928934</v>
      </c>
      <c r="AI13" s="72">
        <f>IFERROR(VLOOKUP($D13,'FERC 2021'!$EA$3:$EN$221,12,0),"")</f>
        <v>174211621.5</v>
      </c>
      <c r="AJ13" s="72">
        <f>IFERROR(VLOOKUP($D13,'FERC 2022'!$EA$3:$EN$220,12,0),"")</f>
        <v>182810051.61999997</v>
      </c>
      <c r="AK13" s="72">
        <f>IFERROR(VLOOKUP($D13,'FERC 2023'!$EA$3:$EN$221,12,0),"")</f>
        <v>164583058.12</v>
      </c>
      <c r="AL13" s="72">
        <f>VLOOKUP($D13,'FERC 2021'!$EA$3:$EN$221,13,0)</f>
        <v>2030461.1249999998</v>
      </c>
      <c r="AM13" s="72">
        <f>VLOOKUP($D13,'FERC 2022'!$EA$3:$EN$220,13,0)</f>
        <v>3357735.642</v>
      </c>
      <c r="AN13" s="72">
        <f>VLOOKUP($D13,'FERC 2023'!$EA$3:$EN$221,13,0)</f>
        <v>2125684.08</v>
      </c>
      <c r="AO13" s="72">
        <f>IFERROR(VLOOKUP($D13,'FERC 2021'!$EA$3:$EN$221,14,0),"")</f>
        <v>1900980</v>
      </c>
      <c r="AP13" s="72">
        <f>IFERROR(VLOOKUP($D13,'FERC 2022'!$EA$3:$EN$220,14,0),"")</f>
        <v>1953972</v>
      </c>
      <c r="AQ13" s="72">
        <f>IFERROR(VLOOKUP($D13,'FERC 2023'!$EA$3:$EN$221,14,0),"")</f>
        <v>2001254</v>
      </c>
    </row>
    <row r="14" spans="1:43" ht="14.5">
      <c r="A14" s="7" t="s">
        <v>240</v>
      </c>
      <c r="B14" s="7" t="s">
        <v>241</v>
      </c>
      <c r="C14" s="311">
        <f>'BD DEA'!P14</f>
        <v>1</v>
      </c>
      <c r="D14" s="44" t="str">
        <f t="shared" si="0"/>
        <v>C000171</v>
      </c>
      <c r="E14" s="72">
        <f>IFERROR(VLOOKUP($D14,'FERC 2021'!$EA$3:$EN$221,2,0),"")</f>
        <v>5665209874.2831688</v>
      </c>
      <c r="F14" s="72">
        <f>IFERROR(VLOOKUP($D14,'FERC 2022'!$EA$3:$EN$220,2,0),"")</f>
        <v>5778948151.1808081</v>
      </c>
      <c r="G14" s="72">
        <f>IFERROR(VLOOKUP($D14,'FERC 2023'!$EA$3:$EN$221,2,0),"")</f>
        <v>6175729061.4546375</v>
      </c>
      <c r="H14" s="72">
        <f>IFERROR(VLOOKUP($D14,'FERC 2021'!$EA$3:$EN$225,3,0),"")</f>
        <v>400149225.07455665</v>
      </c>
      <c r="I14" s="72">
        <f>IFERROR(VLOOKUP($D14,'FERC 2022'!$EA$3:$EN$229,3,0),"")</f>
        <v>394883614.61389077</v>
      </c>
      <c r="J14" s="72">
        <f>IFERROR(VLOOKUP($D14,'FERC 2023'!$EA$3:$EN$229,3,0),"")</f>
        <v>378548183.90976667</v>
      </c>
      <c r="K14" s="72">
        <f>IFERROR(VLOOKUP($D14,'FERC 2021'!$EA$3:$EN$229,4,0),"")</f>
        <v>112342659.20313878</v>
      </c>
      <c r="L14" s="72">
        <f>IFERROR(VLOOKUP($D14,'FERC 2022'!$EA$3:$EN$220,4,0),"")</f>
        <v>107144812.50568229</v>
      </c>
      <c r="M14" s="72">
        <f>IFERROR(VLOOKUP($D14,'FERC 2023'!$EA$3:$EN$221,4,0),"")</f>
        <v>110821278.46034417</v>
      </c>
      <c r="N14" s="72">
        <f>IFERROR(VLOOKUP($D14,'FERC 2021'!$EA$3:$EN$221,5,0),"")</f>
        <v>198983752.52216783</v>
      </c>
      <c r="O14" s="72">
        <f>IFERROR(VLOOKUP($D14,'FERC 2022'!$EA$3:$EN$220,5,0),"")</f>
        <v>211792234.97011203</v>
      </c>
      <c r="P14" s="72">
        <f>IFERROR(VLOOKUP($D14,'FERC 2023'!$EA$3:$EN$221,5,0),"")</f>
        <v>222527654.45492312</v>
      </c>
      <c r="Q14" s="72">
        <f>IFERROR(VLOOKUP($D14,'FERC 2021'!$EA$3:$EN$221,6,0),"")</f>
        <v>90057706.491090849</v>
      </c>
      <c r="R14" s="72">
        <f>IFERROR(VLOOKUP($D14,'FERC 2022'!$EA$3:$EN$220,6,0),"")</f>
        <v>88424125.221533522</v>
      </c>
      <c r="S14" s="72">
        <f>IFERROR(VLOOKUP($D14,'FERC 2023'!$EA$3:$EN$221,6,0),"")</f>
        <v>92049475.720848769</v>
      </c>
      <c r="T14" s="72">
        <f>IFERROR(VLOOKUP($D14,'FERC 2021'!$EA$3:$EN$221,7,0),"")</f>
        <v>4741</v>
      </c>
      <c r="U14" s="72">
        <f>IFERROR(VLOOKUP($D14,'FERC 2022'!$EA$3:$EN$220,7,0),"")</f>
        <v>4807</v>
      </c>
      <c r="V14" s="72">
        <f>IFERROR(VLOOKUP($D14,'FERC 2023'!$EA$3:$EN$221,7,0),"")</f>
        <v>4329</v>
      </c>
      <c r="W14" s="72">
        <f>IFERROR(VLOOKUP($D14,'FERC 2021'!$EA$3:$EN$221,8,0),"")</f>
        <v>1196859</v>
      </c>
      <c r="X14" s="72">
        <f>IFERROR(VLOOKUP($D14,'FERC 2022'!$EA$3:$EN$220,8,0),"")</f>
        <v>1210402</v>
      </c>
      <c r="Y14" s="72">
        <f>IFERROR(VLOOKUP($D14,'FERC 2023'!$EA$3:$EN$221,8,0),"")</f>
        <v>1224334</v>
      </c>
      <c r="Z14" s="72">
        <f>IFERROR(VLOOKUP($D14,'FERC 2021'!$EA$3:$EN$222,9,0),"")</f>
        <v>1459849</v>
      </c>
      <c r="AA14" s="72">
        <f>IFERROR(VLOOKUP($D14,'FERC 2022'!$EA$3:$EN$220,9,0),"")</f>
        <v>1343941</v>
      </c>
      <c r="AB14" s="72">
        <f>IFERROR(VLOOKUP($D14,'FERC 2023'!$EA$3:$EN$221,9,0),"")</f>
        <v>1090701</v>
      </c>
      <c r="AC14" s="72">
        <f>IFERROR(VLOOKUP($D14,'FERC 2021'!$EA$3:$EN$221,10,0),"")</f>
        <v>21036614</v>
      </c>
      <c r="AD14" s="72">
        <f>IFERROR(VLOOKUP($D14,'FERC 2022'!$EA$3:$EN$220,10,0),"")</f>
        <v>21613415</v>
      </c>
      <c r="AE14" s="72">
        <f>IFERROR(VLOOKUP($D14,'FERC 2023'!$EA$3:$EN$221,10,0),"")</f>
        <v>21165762</v>
      </c>
      <c r="AF14" s="72">
        <f>IFERROR(VLOOKUP($D14,'FERC 2021'!$EA$3:$EN$221,11,0),"")</f>
        <v>22395194.756345179</v>
      </c>
      <c r="AG14" s="72">
        <f>IFERROR(VLOOKUP($D14,'FERC 2022'!$EA$3:$EN$220,11,0),"")</f>
        <v>22865308.796954315</v>
      </c>
      <c r="AH14" s="72">
        <f>IFERROR(VLOOKUP($D14,'FERC 2023'!$EA$3:$EN$221,11,0),"")</f>
        <v>22118895.121827409</v>
      </c>
      <c r="AI14" s="72">
        <f>IFERROR(VLOOKUP($D14,'FERC 2021'!$EA$3:$EN$221,12,0),"")</f>
        <v>247749813</v>
      </c>
      <c r="AJ14" s="72">
        <f>IFERROR(VLOOKUP($D14,'FERC 2022'!$EA$3:$EN$220,12,0),"")</f>
        <v>237238792</v>
      </c>
      <c r="AK14" s="72">
        <f>IFERROR(VLOOKUP($D14,'FERC 2023'!$EA$3:$EN$221,12,0),"")</f>
        <v>204463778</v>
      </c>
      <c r="AL14" s="72">
        <f>VLOOKUP($D14,'FERC 2021'!$EA$3:$EN$221,13,0)</f>
        <v>2716869.93</v>
      </c>
      <c r="AM14" s="72">
        <f>VLOOKUP($D14,'FERC 2022'!$EA$3:$EN$220,13,0)</f>
        <v>2009267.3199999998</v>
      </c>
      <c r="AN14" s="72">
        <f>VLOOKUP($D14,'FERC 2023'!$EA$3:$EN$221,13,0)</f>
        <v>1591634.2</v>
      </c>
      <c r="AO14" s="72">
        <f>IFERROR(VLOOKUP($D14,'FERC 2021'!$EA$3:$EN$221,14,0),"")</f>
        <v>1223497</v>
      </c>
      <c r="AP14" s="72">
        <f>IFERROR(VLOOKUP($D14,'FERC 2022'!$EA$3:$EN$220,14,0),"")</f>
        <v>1235860</v>
      </c>
      <c r="AQ14" s="72">
        <f>IFERROR(VLOOKUP($D14,'FERC 2023'!$EA$3:$EN$221,14,0),"")</f>
        <v>1261526</v>
      </c>
    </row>
    <row r="15" spans="1:43" ht="14.5">
      <c r="A15" s="7" t="s">
        <v>243</v>
      </c>
      <c r="B15" s="7" t="s">
        <v>244</v>
      </c>
      <c r="C15" s="311">
        <f>'BD DEA'!P15</f>
        <v>1</v>
      </c>
      <c r="D15" s="44" t="str">
        <f t="shared" si="0"/>
        <v>C000191</v>
      </c>
      <c r="E15" s="72">
        <f>IFERROR(VLOOKUP($D15,'FERC 2021'!$EA$3:$EN$221,2,0),"")</f>
        <v>12620805917.544605</v>
      </c>
      <c r="F15" s="72">
        <f>IFERROR(VLOOKUP($D15,'FERC 2022'!$EA$3:$EN$220,2,0),"")</f>
        <v>13193585652.304611</v>
      </c>
      <c r="G15" s="72">
        <f>IFERROR(VLOOKUP($D15,'FERC 2023'!$EA$3:$EN$221,2,0),"")</f>
        <v>13899750106.215261</v>
      </c>
      <c r="H15" s="72">
        <f>IFERROR(VLOOKUP($D15,'FERC 2021'!$EA$3:$EN$225,3,0),"")</f>
        <v>881398947.52652717</v>
      </c>
      <c r="I15" s="72">
        <f>IFERROR(VLOOKUP($D15,'FERC 2022'!$EA$3:$EN$229,3,0),"")</f>
        <v>885932768.24990678</v>
      </c>
      <c r="J15" s="72">
        <f>IFERROR(VLOOKUP($D15,'FERC 2023'!$EA$3:$EN$229,3,0),"")</f>
        <v>923258150.31332624</v>
      </c>
      <c r="K15" s="72">
        <f>IFERROR(VLOOKUP($D15,'FERC 2021'!$EA$3:$EN$229,4,0),"")</f>
        <v>388070886.41121531</v>
      </c>
      <c r="L15" s="72">
        <f>IFERROR(VLOOKUP($D15,'FERC 2022'!$EA$3:$EN$220,4,0),"")</f>
        <v>341962436.28299868</v>
      </c>
      <c r="M15" s="72">
        <f>IFERROR(VLOOKUP($D15,'FERC 2023'!$EA$3:$EN$221,4,0),"")</f>
        <v>391793594.26883316</v>
      </c>
      <c r="N15" s="72">
        <f>IFERROR(VLOOKUP($D15,'FERC 2021'!$EA$3:$EN$221,5,0),"")</f>
        <v>346308210.47997904</v>
      </c>
      <c r="O15" s="72">
        <f>IFERROR(VLOOKUP($D15,'FERC 2022'!$EA$3:$EN$220,5,0),"")</f>
        <v>361314365.4358139</v>
      </c>
      <c r="P15" s="72">
        <f>IFERROR(VLOOKUP($D15,'FERC 2023'!$EA$3:$EN$221,5,0),"")</f>
        <v>348431404.09860343</v>
      </c>
      <c r="Q15" s="72">
        <f>IFERROR(VLOOKUP($D15,'FERC 2021'!$EA$3:$EN$221,6,0),"")</f>
        <v>36567933.567856647</v>
      </c>
      <c r="R15" s="72">
        <f>IFERROR(VLOOKUP($D15,'FERC 2022'!$EA$3:$EN$220,6,0),"")</f>
        <v>28827013.589039173</v>
      </c>
      <c r="S15" s="72">
        <f>IFERROR(VLOOKUP($D15,'FERC 2023'!$EA$3:$EN$221,6,0),"")</f>
        <v>37094305.833636157</v>
      </c>
      <c r="T15" s="72">
        <f>IFERROR(VLOOKUP($D15,'FERC 2021'!$EA$3:$EN$221,7,0),"")</f>
        <v>7370</v>
      </c>
      <c r="U15" s="72">
        <f>IFERROR(VLOOKUP($D15,'FERC 2022'!$EA$3:$EN$220,7,0),"")</f>
        <v>7528</v>
      </c>
      <c r="V15" s="72">
        <f>IFERROR(VLOOKUP($D15,'FERC 2023'!$EA$3:$EN$221,7,0),"")</f>
        <v>7518</v>
      </c>
      <c r="W15" s="72">
        <f>IFERROR(VLOOKUP($D15,'FERC 2021'!$EA$3:$EN$221,8,0),"")</f>
        <v>1870124</v>
      </c>
      <c r="X15" s="72">
        <f>IFERROR(VLOOKUP($D15,'FERC 2022'!$EA$3:$EN$220,8,0),"")</f>
        <v>1875020</v>
      </c>
      <c r="Y15" s="72">
        <f>IFERROR(VLOOKUP($D15,'FERC 2023'!$EA$3:$EN$221,8,0),"")</f>
        <v>1884291</v>
      </c>
      <c r="Z15" s="72">
        <f>IFERROR(VLOOKUP($D15,'FERC 2021'!$EA$3:$EN$222,9,0),"")</f>
        <v>1763809</v>
      </c>
      <c r="AA15" s="72">
        <f>IFERROR(VLOOKUP($D15,'FERC 2022'!$EA$3:$EN$220,9,0),"")</f>
        <v>1917667</v>
      </c>
      <c r="AB15" s="72">
        <f>IFERROR(VLOOKUP($D15,'FERC 2023'!$EA$3:$EN$221,9,0),"")</f>
        <v>1645322</v>
      </c>
      <c r="AC15" s="72">
        <f>IFERROR(VLOOKUP($D15,'FERC 2021'!$EA$3:$EN$221,10,0),"")</f>
        <v>32251402</v>
      </c>
      <c r="AD15" s="72">
        <f>IFERROR(VLOOKUP($D15,'FERC 2022'!$EA$3:$EN$220,10,0),"")</f>
        <v>33249142</v>
      </c>
      <c r="AE15" s="72">
        <f>IFERROR(VLOOKUP($D15,'FERC 2023'!$EA$3:$EN$221,10,0),"")</f>
        <v>32449010</v>
      </c>
      <c r="AF15" s="72">
        <f>IFERROR(VLOOKUP($D15,'FERC 2021'!$EA$3:$EN$221,11,0),"")</f>
        <v>33935185.58883249</v>
      </c>
      <c r="AG15" s="72">
        <f>IFERROR(VLOOKUP($D15,'FERC 2022'!$EA$3:$EN$220,11,0),"")</f>
        <v>35104114.01015228</v>
      </c>
      <c r="AH15" s="72">
        <f>IFERROR(VLOOKUP($D15,'FERC 2023'!$EA$3:$EN$221,11,0),"")</f>
        <v>34031502.527918778</v>
      </c>
      <c r="AI15" s="72">
        <f>IFERROR(VLOOKUP($D15,'FERC 2021'!$EA$3:$EN$221,12,0),"")</f>
        <v>426201259.60000002</v>
      </c>
      <c r="AJ15" s="72">
        <f>IFERROR(VLOOKUP($D15,'FERC 2022'!$EA$3:$EN$220,12,0),"")</f>
        <v>341234889.80000001</v>
      </c>
      <c r="AK15" s="72">
        <f>IFERROR(VLOOKUP($D15,'FERC 2023'!$EA$3:$EN$221,12,0),"")</f>
        <v>332351246.57999998</v>
      </c>
      <c r="AL15" s="72">
        <f>VLOOKUP($D15,'FERC 2021'!$EA$3:$EN$221,13,0)</f>
        <v>2994068.5239999997</v>
      </c>
      <c r="AM15" s="72">
        <f>VLOOKUP($D15,'FERC 2022'!$EA$3:$EN$220,13,0)</f>
        <v>2413150.7399999998</v>
      </c>
      <c r="AN15" s="72">
        <f>VLOOKUP($D15,'FERC 2023'!$EA$3:$EN$221,13,0)</f>
        <v>2583362.9610000001</v>
      </c>
      <c r="AO15" s="72">
        <f>IFERROR(VLOOKUP($D15,'FERC 2021'!$EA$3:$EN$221,14,0),"")</f>
        <v>1858185</v>
      </c>
      <c r="AP15" s="72">
        <f>IFERROR(VLOOKUP($D15,'FERC 2022'!$EA$3:$EN$220,14,0),"")</f>
        <v>1867185</v>
      </c>
      <c r="AQ15" s="72">
        <f>IFERROR(VLOOKUP($D15,'FERC 2023'!$EA$3:$EN$221,14,0),"")</f>
        <v>1853584</v>
      </c>
    </row>
    <row r="16" spans="1:43" ht="14.5" hidden="1">
      <c r="A16" s="7" t="s">
        <v>246</v>
      </c>
      <c r="B16" s="7" t="s">
        <v>247</v>
      </c>
      <c r="C16" s="311" t="str">
        <f>'BD DEA'!P16</f>
        <v/>
      </c>
      <c r="D16" s="44" t="str">
        <f t="shared" si="0"/>
        <v>C000196</v>
      </c>
      <c r="E16" s="72" t="str">
        <f>IFERROR(VLOOKUP($D16,'FERC 2021'!$EA$3:$EN$221,2,0),"")</f>
        <v/>
      </c>
      <c r="F16" s="72" t="str">
        <f>IFERROR(VLOOKUP($D16,'FERC 2022'!$EA$3:$EN$220,2,0),"")</f>
        <v/>
      </c>
      <c r="G16" s="72">
        <f>IFERROR(VLOOKUP($D16,'FERC 2023'!$EA$3:$EN$221,2,0),"")</f>
        <v>20600827590.269615</v>
      </c>
      <c r="H16" s="72" t="str">
        <f>IFERROR(VLOOKUP($D16,'FERC 2021'!$EA$3:$EN$225,3,0),"")</f>
        <v/>
      </c>
      <c r="I16" s="72" t="str">
        <f>IFERROR(VLOOKUP($D16,'FERC 2022'!$EA$3:$EN$229,3,0),"")</f>
        <v/>
      </c>
      <c r="J16" s="72">
        <f>IFERROR(VLOOKUP($D16,'FERC 2023'!$EA$3:$EN$229,3,0),"")</f>
        <v>955121244.93779111</v>
      </c>
      <c r="K16" s="72" t="str">
        <f>IFERROR(VLOOKUP($D16,'FERC 2021'!$EA$3:$EN$229,4,0),"")</f>
        <v/>
      </c>
      <c r="L16" s="72" t="str">
        <f>IFERROR(VLOOKUP($D16,'FERC 2022'!$EA$3:$EN$220,4,0),"")</f>
        <v/>
      </c>
      <c r="M16" s="72">
        <f>IFERROR(VLOOKUP($D16,'FERC 2023'!$EA$3:$EN$221,4,0),"")</f>
        <v>305563567.76607436</v>
      </c>
      <c r="N16" s="72" t="str">
        <f>IFERROR(VLOOKUP($D16,'FERC 2021'!$EA$3:$EN$221,5,0),"")</f>
        <v/>
      </c>
      <c r="O16" s="72" t="str">
        <f>IFERROR(VLOOKUP($D16,'FERC 2022'!$EA$3:$EN$220,5,0),"")</f>
        <v/>
      </c>
      <c r="P16" s="72">
        <f>IFERROR(VLOOKUP($D16,'FERC 2023'!$EA$3:$EN$221,5,0),"")</f>
        <v>272755465.40069973</v>
      </c>
      <c r="Q16" s="72" t="str">
        <f>IFERROR(VLOOKUP($D16,'FERC 2021'!$EA$3:$EN$221,6,0),"")</f>
        <v/>
      </c>
      <c r="R16" s="72" t="str">
        <f>IFERROR(VLOOKUP($D16,'FERC 2022'!$EA$3:$EN$220,6,0),"")</f>
        <v/>
      </c>
      <c r="S16" s="72">
        <f>IFERROR(VLOOKUP($D16,'FERC 2023'!$EA$3:$EN$221,6,0),"")</f>
        <v>113635524.38924432</v>
      </c>
      <c r="T16" s="72" t="str">
        <f>IFERROR(VLOOKUP($D16,'FERC 2021'!$EA$3:$EN$221,7,0),"")</f>
        <v/>
      </c>
      <c r="U16" s="72" t="str">
        <f>IFERROR(VLOOKUP($D16,'FERC 2022'!$EA$3:$EN$220,7,0),"")</f>
        <v/>
      </c>
      <c r="V16" s="72">
        <f>IFERROR(VLOOKUP($D16,'FERC 2023'!$EA$3:$EN$221,7,0),"")</f>
        <v>17957</v>
      </c>
      <c r="W16" s="72" t="str">
        <f>IFERROR(VLOOKUP($D16,'FERC 2021'!$EA$3:$EN$221,8,0),"")</f>
        <v/>
      </c>
      <c r="X16" s="72" t="str">
        <f>IFERROR(VLOOKUP($D16,'FERC 2022'!$EA$3:$EN$220,8,0),"")</f>
        <v/>
      </c>
      <c r="Y16" s="72">
        <f>IFERROR(VLOOKUP($D16,'FERC 2023'!$EA$3:$EN$221,8,0),"")</f>
        <v>2752731</v>
      </c>
      <c r="Z16" s="72" t="str">
        <f>IFERROR(VLOOKUP($D16,'FERC 2021'!$EA$3:$EN$222,9,0),"")</f>
        <v/>
      </c>
      <c r="AA16" s="72" t="str">
        <f>IFERROR(VLOOKUP($D16,'FERC 2022'!$EA$3:$EN$220,9,0),"")</f>
        <v/>
      </c>
      <c r="AB16" s="72">
        <f>IFERROR(VLOOKUP($D16,'FERC 2023'!$EA$3:$EN$221,9,0),"")</f>
        <v>1141791</v>
      </c>
      <c r="AC16" s="72" t="str">
        <f>IFERROR(VLOOKUP($D16,'FERC 2021'!$EA$3:$EN$221,10,0),"")</f>
        <v/>
      </c>
      <c r="AD16" s="72" t="str">
        <f>IFERROR(VLOOKUP($D16,'FERC 2022'!$EA$3:$EN$220,10,0),"")</f>
        <v/>
      </c>
      <c r="AE16" s="72">
        <f>IFERROR(VLOOKUP($D16,'FERC 2023'!$EA$3:$EN$221,10,0),"")</f>
        <v>88417686</v>
      </c>
      <c r="AF16" s="72" t="str">
        <f>IFERROR(VLOOKUP($D16,'FERC 2021'!$EA$3:$EN$221,11,0),"")</f>
        <v/>
      </c>
      <c r="AG16" s="72" t="str">
        <f>IFERROR(VLOOKUP($D16,'FERC 2022'!$EA$3:$EN$220,11,0),"")</f>
        <v/>
      </c>
      <c r="AH16" s="72">
        <f>IFERROR(VLOOKUP($D16,'FERC 2023'!$EA$3:$EN$221,11,0),"")</f>
        <v>89535418.401015222</v>
      </c>
      <c r="AI16" s="72" t="str">
        <f>IFERROR(VLOOKUP($D16,'FERC 2021'!$EA$3:$EN$221,12,0),"")</f>
        <v/>
      </c>
      <c r="AJ16" s="72" t="str">
        <f>IFERROR(VLOOKUP($D16,'FERC 2022'!$EA$3:$EN$220,12,0),"")</f>
        <v/>
      </c>
      <c r="AK16" s="72">
        <f>IFERROR(VLOOKUP($D16,'FERC 2023'!$EA$3:$EN$221,12,0),"")</f>
        <v>358265186.91900003</v>
      </c>
      <c r="AL16" s="72" t="str">
        <f>VLOOKUP($D16,'FERC 2021'!$EA$3:$EN$221,13,0)</f>
        <v/>
      </c>
      <c r="AM16" s="72" t="str">
        <f>VLOOKUP($D16,'FERC 2022'!$EA$3:$EN$220,13,0)</f>
        <v/>
      </c>
      <c r="AN16" s="72">
        <f>VLOOKUP($D16,'FERC 2023'!$EA$3:$EN$221,13,0)</f>
        <v>3239964.3870000001</v>
      </c>
      <c r="AO16" s="72" t="str">
        <f>IFERROR(VLOOKUP($D16,'FERC 2021'!$EA$3:$EN$221,14,0),"")</f>
        <v/>
      </c>
      <c r="AP16" s="72" t="str">
        <f>IFERROR(VLOOKUP($D16,'FERC 2022'!$EA$3:$EN$220,14,0),"")</f>
        <v/>
      </c>
      <c r="AQ16" s="72">
        <f>IFERROR(VLOOKUP($D16,'FERC 2023'!$EA$3:$EN$221,14,0),"")</f>
        <v>134922</v>
      </c>
    </row>
    <row r="17" spans="1:43" ht="14.5">
      <c r="A17" s="7" t="s">
        <v>249</v>
      </c>
      <c r="B17" s="7" t="s">
        <v>250</v>
      </c>
      <c r="C17" s="311">
        <f>'BD DEA'!P17</f>
        <v>1</v>
      </c>
      <c r="D17" s="44" t="str">
        <f t="shared" si="0"/>
        <v>C000199</v>
      </c>
      <c r="E17" s="72">
        <f>IFERROR(VLOOKUP($D17,'FERC 2021'!$EA$3:$EN$221,2,0),"")</f>
        <v>27988689852.442989</v>
      </c>
      <c r="F17" s="72">
        <f>IFERROR(VLOOKUP($D17,'FERC 2022'!$EA$3:$EN$220,2,0),"")</f>
        <v>28643934876.890816</v>
      </c>
      <c r="G17" s="72">
        <f>IFERROR(VLOOKUP($D17,'FERC 2023'!$EA$3:$EN$221,2,0),"")</f>
        <v>29677819896.896141</v>
      </c>
      <c r="H17" s="72">
        <f>IFERROR(VLOOKUP($D17,'FERC 2021'!$EA$3:$EN$225,3,0),"")</f>
        <v>1333719711.9787014</v>
      </c>
      <c r="I17" s="72">
        <f>IFERROR(VLOOKUP($D17,'FERC 2022'!$EA$3:$EN$229,3,0),"")</f>
        <v>1312084089.2985365</v>
      </c>
      <c r="J17" s="72">
        <f>IFERROR(VLOOKUP($D17,'FERC 2023'!$EA$3:$EN$229,3,0),"")</f>
        <v>1311686767.8463423</v>
      </c>
      <c r="K17" s="72">
        <f>IFERROR(VLOOKUP($D17,'FERC 2021'!$EA$3:$EN$229,4,0),"")</f>
        <v>564797211.528548</v>
      </c>
      <c r="L17" s="72">
        <f>IFERROR(VLOOKUP($D17,'FERC 2022'!$EA$3:$EN$220,4,0),"")</f>
        <v>574031594.42364633</v>
      </c>
      <c r="M17" s="72">
        <f>IFERROR(VLOOKUP($D17,'FERC 2023'!$EA$3:$EN$221,4,0),"")</f>
        <v>549453496.732463</v>
      </c>
      <c r="N17" s="72">
        <f>IFERROR(VLOOKUP($D17,'FERC 2021'!$EA$3:$EN$221,5,0),"")</f>
        <v>281232865.49838728</v>
      </c>
      <c r="O17" s="72">
        <f>IFERROR(VLOOKUP($D17,'FERC 2022'!$EA$3:$EN$220,5,0),"")</f>
        <v>293792977.25838411</v>
      </c>
      <c r="P17" s="72">
        <f>IFERROR(VLOOKUP($D17,'FERC 2023'!$EA$3:$EN$221,5,0),"")</f>
        <v>332812265.59106237</v>
      </c>
      <c r="Q17" s="72">
        <f>IFERROR(VLOOKUP($D17,'FERC 2021'!$EA$3:$EN$221,6,0),"")</f>
        <v>291448076.49412876</v>
      </c>
      <c r="R17" s="72">
        <f>IFERROR(VLOOKUP($D17,'FERC 2022'!$EA$3:$EN$220,6,0),"")</f>
        <v>272677737.05695409</v>
      </c>
      <c r="S17" s="72">
        <f>IFERROR(VLOOKUP($D17,'FERC 2023'!$EA$3:$EN$221,6,0),"")</f>
        <v>277559686.56070757</v>
      </c>
      <c r="T17" s="72">
        <f>IFERROR(VLOOKUP($D17,'FERC 2021'!$EA$3:$EN$221,7,0),"")</f>
        <v>21167</v>
      </c>
      <c r="U17" s="72">
        <f>IFERROR(VLOOKUP($D17,'FERC 2022'!$EA$3:$EN$220,7,0),"")</f>
        <v>21262</v>
      </c>
      <c r="V17" s="72">
        <f>IFERROR(VLOOKUP($D17,'FERC 2023'!$EA$3:$EN$221,7,0),"")</f>
        <v>22467</v>
      </c>
      <c r="W17" s="72">
        <f>IFERROR(VLOOKUP($D17,'FERC 2021'!$EA$3:$EN$221,8,0),"")</f>
        <v>4095261</v>
      </c>
      <c r="X17" s="72">
        <f>IFERROR(VLOOKUP($D17,'FERC 2022'!$EA$3:$EN$220,8,0),"")</f>
        <v>4111174</v>
      </c>
      <c r="Y17" s="72">
        <f>IFERROR(VLOOKUP($D17,'FERC 2023'!$EA$3:$EN$221,8,0),"")</f>
        <v>4130538</v>
      </c>
      <c r="Z17" s="72">
        <f>IFERROR(VLOOKUP($D17,'FERC 2021'!$EA$3:$EN$222,9,0),"")</f>
        <v>6253619</v>
      </c>
      <c r="AA17" s="72">
        <f>IFERROR(VLOOKUP($D17,'FERC 2022'!$EA$3:$EN$220,9,0),"")</f>
        <v>6290778</v>
      </c>
      <c r="AB17" s="72">
        <f>IFERROR(VLOOKUP($D17,'FERC 2023'!$EA$3:$EN$221,9,0),"")</f>
        <v>5906237</v>
      </c>
      <c r="AC17" s="72">
        <f>IFERROR(VLOOKUP($D17,'FERC 2021'!$EA$3:$EN$221,10,0),"")</f>
        <v>85410014</v>
      </c>
      <c r="AD17" s="72">
        <f>IFERROR(VLOOKUP($D17,'FERC 2022'!$EA$3:$EN$220,10,0),"")</f>
        <v>85399277</v>
      </c>
      <c r="AE17" s="72">
        <f>IFERROR(VLOOKUP($D17,'FERC 2023'!$EA$3:$EN$221,10,0),"")</f>
        <v>82290221</v>
      </c>
      <c r="AF17" s="72">
        <f>IFERROR(VLOOKUP($D17,'FERC 2021'!$EA$3:$EN$221,11,0),"")</f>
        <v>91649143.730964467</v>
      </c>
      <c r="AG17" s="72">
        <f>IFERROR(VLOOKUP($D17,'FERC 2022'!$EA$3:$EN$220,11,0),"")</f>
        <v>91673042.578680202</v>
      </c>
      <c r="AH17" s="72">
        <f>IFERROR(VLOOKUP($D17,'FERC 2023'!$EA$3:$EN$221,11,0),"")</f>
        <v>88181398.456852794</v>
      </c>
      <c r="AI17" s="72">
        <f>IFERROR(VLOOKUP($D17,'FERC 2021'!$EA$3:$EN$221,12,0),"")</f>
        <v>177980043.06</v>
      </c>
      <c r="AJ17" s="72">
        <f>IFERROR(VLOOKUP($D17,'FERC 2022'!$EA$3:$EN$220,12,0),"")</f>
        <v>154744589.36000001</v>
      </c>
      <c r="AK17" s="72">
        <f>IFERROR(VLOOKUP($D17,'FERC 2023'!$EA$3:$EN$221,12,0),"")</f>
        <v>144734051.52000001</v>
      </c>
      <c r="AL17" s="72">
        <f>VLOOKUP($D17,'FERC 2021'!$EA$3:$EN$221,13,0)</f>
        <v>3153350.97</v>
      </c>
      <c r="AM17" s="72">
        <f>VLOOKUP($D17,'FERC 2022'!$EA$3:$EN$220,13,0)</f>
        <v>2590039.62</v>
      </c>
      <c r="AN17" s="72">
        <f>VLOOKUP($D17,'FERC 2023'!$EA$3:$EN$221,13,0)</f>
        <v>2519628.1800000002</v>
      </c>
      <c r="AO17" s="72">
        <f>IFERROR(VLOOKUP($D17,'FERC 2021'!$EA$3:$EN$221,14,0),"")</f>
        <v>4193211</v>
      </c>
      <c r="AP17" s="72">
        <f>IFERROR(VLOOKUP($D17,'FERC 2022'!$EA$3:$EN$220,14,0),"")</f>
        <v>4208158</v>
      </c>
      <c r="AQ17" s="72">
        <f>IFERROR(VLOOKUP($D17,'FERC 2023'!$EA$3:$EN$221,14,0),"")</f>
        <v>4277602</v>
      </c>
    </row>
    <row r="18" spans="1:43" ht="14.5" hidden="1">
      <c r="A18" s="7" t="s">
        <v>252</v>
      </c>
      <c r="B18" s="7" t="s">
        <v>253</v>
      </c>
      <c r="C18" s="311" t="str">
        <f>'BD DEA'!P18</f>
        <v/>
      </c>
      <c r="D18" s="44" t="str">
        <f t="shared" si="0"/>
        <v>C000200</v>
      </c>
      <c r="E18" s="72" t="str">
        <f>IFERROR(VLOOKUP($D18,'FERC 2021'!$EA$3:$EN$221,2,0),"")</f>
        <v/>
      </c>
      <c r="F18" s="72" t="str">
        <f>IFERROR(VLOOKUP($D18,'FERC 2022'!$EA$3:$EN$220,2,0),"")</f>
        <v/>
      </c>
      <c r="G18" s="72" t="str">
        <f>IFERROR(VLOOKUP($D18,'FERC 2023'!$EA$3:$EN$221,2,0),"")</f>
        <v/>
      </c>
      <c r="H18" s="72" t="str">
        <f>IFERROR(VLOOKUP($D18,'FERC 2021'!$EA$3:$EN$225,3,0),"")</f>
        <v/>
      </c>
      <c r="I18" s="72" t="str">
        <f>IFERROR(VLOOKUP($D18,'FERC 2022'!$EA$3:$EN$229,3,0),"")</f>
        <v/>
      </c>
      <c r="J18" s="72" t="str">
        <f>IFERROR(VLOOKUP($D18,'FERC 2023'!$EA$3:$EN$229,3,0),"")</f>
        <v/>
      </c>
      <c r="K18" s="72" t="str">
        <f>IFERROR(VLOOKUP($D18,'FERC 2021'!$EA$3:$EN$229,4,0),"")</f>
        <v/>
      </c>
      <c r="L18" s="72" t="str">
        <f>IFERROR(VLOOKUP($D18,'FERC 2022'!$EA$3:$EN$220,4,0),"")</f>
        <v/>
      </c>
      <c r="M18" s="72" t="str">
        <f>IFERROR(VLOOKUP($D18,'FERC 2023'!$EA$3:$EN$221,4,0),"")</f>
        <v/>
      </c>
      <c r="N18" s="72" t="str">
        <f>IFERROR(VLOOKUP($D18,'FERC 2021'!$EA$3:$EN$221,5,0),"")</f>
        <v/>
      </c>
      <c r="O18" s="72" t="str">
        <f>IFERROR(VLOOKUP($D18,'FERC 2022'!$EA$3:$EN$220,5,0),"")</f>
        <v/>
      </c>
      <c r="P18" s="72" t="str">
        <f>IFERROR(VLOOKUP($D18,'FERC 2023'!$EA$3:$EN$221,5,0),"")</f>
        <v/>
      </c>
      <c r="Q18" s="72" t="str">
        <f>IFERROR(VLOOKUP($D18,'FERC 2021'!$EA$3:$EN$221,6,0),"")</f>
        <v/>
      </c>
      <c r="R18" s="72" t="str">
        <f>IFERROR(VLOOKUP($D18,'FERC 2022'!$EA$3:$EN$220,6,0),"")</f>
        <v/>
      </c>
      <c r="S18" s="72" t="str">
        <f>IFERROR(VLOOKUP($D18,'FERC 2023'!$EA$3:$EN$221,6,0),"")</f>
        <v/>
      </c>
      <c r="T18" s="72" t="str">
        <f>IFERROR(VLOOKUP($D18,'FERC 2021'!$EA$3:$EN$221,7,0),"")</f>
        <v/>
      </c>
      <c r="U18" s="72" t="str">
        <f>IFERROR(VLOOKUP($D18,'FERC 2022'!$EA$3:$EN$220,7,0),"")</f>
        <v/>
      </c>
      <c r="V18" s="72" t="str">
        <f>IFERROR(VLOOKUP($D18,'FERC 2023'!$EA$3:$EN$221,7,0),"")</f>
        <v/>
      </c>
      <c r="W18" s="72" t="str">
        <f>IFERROR(VLOOKUP($D18,'FERC 2021'!$EA$3:$EN$221,8,0),"")</f>
        <v/>
      </c>
      <c r="X18" s="72" t="str">
        <f>IFERROR(VLOOKUP($D18,'FERC 2022'!$EA$3:$EN$220,8,0),"")</f>
        <v/>
      </c>
      <c r="Y18" s="72" t="str">
        <f>IFERROR(VLOOKUP($D18,'FERC 2023'!$EA$3:$EN$221,8,0),"")</f>
        <v/>
      </c>
      <c r="Z18" s="72" t="str">
        <f>IFERROR(VLOOKUP($D18,'FERC 2021'!$EA$3:$EN$222,9,0),"")</f>
        <v/>
      </c>
      <c r="AA18" s="72" t="str">
        <f>IFERROR(VLOOKUP($D18,'FERC 2022'!$EA$3:$EN$220,9,0),"")</f>
        <v/>
      </c>
      <c r="AB18" s="72" t="str">
        <f>IFERROR(VLOOKUP($D18,'FERC 2023'!$EA$3:$EN$221,9,0),"")</f>
        <v/>
      </c>
      <c r="AC18" s="72" t="str">
        <f>IFERROR(VLOOKUP($D18,'FERC 2021'!$EA$3:$EN$221,10,0),"")</f>
        <v/>
      </c>
      <c r="AD18" s="72" t="str">
        <f>IFERROR(VLOOKUP($D18,'FERC 2022'!$EA$3:$EN$220,10,0),"")</f>
        <v/>
      </c>
      <c r="AE18" s="72" t="str">
        <f>IFERROR(VLOOKUP($D18,'FERC 2023'!$EA$3:$EN$221,10,0),"")</f>
        <v/>
      </c>
      <c r="AF18" s="72" t="str">
        <f>IFERROR(VLOOKUP($D18,'FERC 2021'!$EA$3:$EN$221,11,0),"")</f>
        <v/>
      </c>
      <c r="AG18" s="72" t="str">
        <f>IFERROR(VLOOKUP($D18,'FERC 2022'!$EA$3:$EN$220,11,0),"")</f>
        <v/>
      </c>
      <c r="AH18" s="72" t="str">
        <f>IFERROR(VLOOKUP($D18,'FERC 2023'!$EA$3:$EN$221,11,0),"")</f>
        <v/>
      </c>
      <c r="AI18" s="72" t="str">
        <f>IFERROR(VLOOKUP($D18,'FERC 2021'!$EA$3:$EN$221,12,0),"")</f>
        <v/>
      </c>
      <c r="AJ18" s="72" t="str">
        <f>IFERROR(VLOOKUP($D18,'FERC 2022'!$EA$3:$EN$220,12,0),"")</f>
        <v/>
      </c>
      <c r="AK18" s="72" t="str">
        <f>IFERROR(VLOOKUP($D18,'FERC 2023'!$EA$3:$EN$221,12,0),"")</f>
        <v/>
      </c>
      <c r="AL18" s="72" t="str">
        <f>VLOOKUP($D18,'FERC 2021'!$EA$3:$EN$221,13,0)</f>
        <v/>
      </c>
      <c r="AM18" s="72" t="str">
        <f>VLOOKUP($D18,'FERC 2022'!$EA$3:$EN$220,13,0)</f>
        <v/>
      </c>
      <c r="AN18" s="72" t="str">
        <f>VLOOKUP($D18,'FERC 2023'!$EA$3:$EN$221,13,0)</f>
        <v/>
      </c>
      <c r="AO18" s="72" t="str">
        <f>IFERROR(VLOOKUP($D18,'FERC 2021'!$EA$3:$EN$221,14,0),"")</f>
        <v/>
      </c>
      <c r="AP18" s="72" t="str">
        <f>IFERROR(VLOOKUP($D18,'FERC 2022'!$EA$3:$EN$220,14,0),"")</f>
        <v/>
      </c>
      <c r="AQ18" s="72" t="str">
        <f>IFERROR(VLOOKUP($D18,'FERC 2023'!$EA$3:$EN$221,14,0),"")</f>
        <v/>
      </c>
    </row>
    <row r="19" spans="1:43" ht="14.5" hidden="1">
      <c r="A19" s="7" t="s">
        <v>255</v>
      </c>
      <c r="B19" s="7" t="s">
        <v>256</v>
      </c>
      <c r="C19" s="311" t="str">
        <f>'BD DEA'!P19</f>
        <v/>
      </c>
      <c r="D19" s="44" t="str">
        <f t="shared" si="0"/>
        <v>C000201</v>
      </c>
      <c r="E19" s="72">
        <f>IFERROR(VLOOKUP($D19,'FERC 2021'!$EA$3:$EN$221,2,0),"")</f>
        <v>9370829699.2403927</v>
      </c>
      <c r="F19" s="72">
        <f>IFERROR(VLOOKUP($D19,'FERC 2022'!$EA$3:$EN$220,2,0),"")</f>
        <v>9614457682.3938847</v>
      </c>
      <c r="G19" s="72">
        <f>IFERROR(VLOOKUP($D19,'FERC 2023'!$EA$3:$EN$221,2,0),"")</f>
        <v>10002044448.142969</v>
      </c>
      <c r="H19" s="72">
        <f>IFERROR(VLOOKUP($D19,'FERC 2021'!$EA$3:$EN$225,3,0),"")</f>
        <v>510427336.94996488</v>
      </c>
      <c r="I19" s="72">
        <f>IFERROR(VLOOKUP($D19,'FERC 2022'!$EA$3:$EN$229,3,0),"")</f>
        <v>502964123.11313027</v>
      </c>
      <c r="J19" s="72">
        <f>IFERROR(VLOOKUP($D19,'FERC 2023'!$EA$3:$EN$229,3,0),"")</f>
        <v>500364802.2320922</v>
      </c>
      <c r="K19" s="72">
        <f>IFERROR(VLOOKUP($D19,'FERC 2021'!$EA$3:$EN$229,4,0),"")</f>
        <v>411795799.95389473</v>
      </c>
      <c r="L19" s="72">
        <f>IFERROR(VLOOKUP($D19,'FERC 2022'!$EA$3:$EN$220,4,0),"")</f>
        <v>371116374.73290682</v>
      </c>
      <c r="M19" s="72">
        <f>IFERROR(VLOOKUP($D19,'FERC 2023'!$EA$3:$EN$221,4,0),"")</f>
        <v>362728376.92855155</v>
      </c>
      <c r="N19" s="72">
        <f>IFERROR(VLOOKUP($D19,'FERC 2021'!$EA$3:$EN$221,5,0),"")</f>
        <v>231057169.47400713</v>
      </c>
      <c r="O19" s="72">
        <f>IFERROR(VLOOKUP($D19,'FERC 2022'!$EA$3:$EN$220,5,0),"")</f>
        <v>235722743.25832835</v>
      </c>
      <c r="P19" s="72">
        <f>IFERROR(VLOOKUP($D19,'FERC 2023'!$EA$3:$EN$221,5,0),"")</f>
        <v>251903655.40651983</v>
      </c>
      <c r="Q19" s="72">
        <f>IFERROR(VLOOKUP($D19,'FERC 2021'!$EA$3:$EN$221,6,0),"")</f>
        <v>146730731.7585116</v>
      </c>
      <c r="R19" s="72">
        <f>IFERROR(VLOOKUP($D19,'FERC 2022'!$EA$3:$EN$220,6,0),"")</f>
        <v>129137704.93693641</v>
      </c>
      <c r="S19" s="72">
        <f>IFERROR(VLOOKUP($D19,'FERC 2023'!$EA$3:$EN$221,6,0),"")</f>
        <v>133277824.54078141</v>
      </c>
      <c r="T19" s="72">
        <f>IFERROR(VLOOKUP($D19,'FERC 2021'!$EA$3:$EN$221,7,0),"")</f>
        <v>8479</v>
      </c>
      <c r="U19" s="72">
        <f>IFERROR(VLOOKUP($D19,'FERC 2022'!$EA$3:$EN$220,7,0),"")</f>
        <v>8583</v>
      </c>
      <c r="V19" s="72">
        <f>IFERROR(VLOOKUP($D19,'FERC 2023'!$EA$3:$EN$221,7,0),"")</f>
        <v>8163</v>
      </c>
      <c r="W19" s="72">
        <f>IFERROR(VLOOKUP($D19,'FERC 2021'!$EA$3:$EN$221,8,0),"")</f>
        <v>1681439</v>
      </c>
      <c r="X19" s="72">
        <f>IFERROR(VLOOKUP($D19,'FERC 2022'!$EA$3:$EN$220,8,0),"")</f>
        <v>1690627</v>
      </c>
      <c r="Y19" s="72">
        <f>IFERROR(VLOOKUP($D19,'FERC 2023'!$EA$3:$EN$221,8,0),"")</f>
        <v>1700223</v>
      </c>
      <c r="Z19" s="72">
        <f>IFERROR(VLOOKUP($D19,'FERC 2021'!$EA$3:$EN$222,9,0),"")</f>
        <v>1973908</v>
      </c>
      <c r="AA19" s="72">
        <f>IFERROR(VLOOKUP($D19,'FERC 2022'!$EA$3:$EN$220,9,0),"")</f>
        <v>1853517</v>
      </c>
      <c r="AB19" s="72">
        <f>IFERROR(VLOOKUP($D19,'FERC 2023'!$EA$3:$EN$221,9,0),"")</f>
        <v>1781073</v>
      </c>
      <c r="AC19" s="72">
        <f>IFERROR(VLOOKUP($D19,'FERC 2021'!$EA$3:$EN$221,10,0),"")</f>
        <v>36428052</v>
      </c>
      <c r="AD19" s="72">
        <f>IFERROR(VLOOKUP($D19,'FERC 2022'!$EA$3:$EN$220,10,0),"")</f>
        <v>36768555</v>
      </c>
      <c r="AE19" s="72">
        <f>IFERROR(VLOOKUP($D19,'FERC 2023'!$EA$3:$EN$221,10,0),"")</f>
        <v>34878986</v>
      </c>
      <c r="AF19" s="72">
        <f>IFERROR(VLOOKUP($D19,'FERC 2021'!$EA$3:$EN$221,11,0),"")</f>
        <v>38401908.649746194</v>
      </c>
      <c r="AG19" s="72">
        <f>IFERROR(VLOOKUP($D19,'FERC 2022'!$EA$3:$EN$220,11,0),"")</f>
        <v>38621997.50253807</v>
      </c>
      <c r="AH19" s="72">
        <f>IFERROR(VLOOKUP($D19,'FERC 2023'!$EA$3:$EN$221,11,0),"")</f>
        <v>36660006.614213198</v>
      </c>
      <c r="AI19" s="72">
        <f>IFERROR(VLOOKUP($D19,'FERC 2021'!$EA$3:$EN$221,12,0),"")</f>
        <v>147966632</v>
      </c>
      <c r="AJ19" s="72">
        <f>IFERROR(VLOOKUP($D19,'FERC 2022'!$EA$3:$EN$220,12,0),"")</f>
        <v>138631414</v>
      </c>
      <c r="AK19" s="72">
        <f>IFERROR(VLOOKUP($D19,'FERC 2023'!$EA$3:$EN$221,12,0),"")</f>
        <v>134317617</v>
      </c>
      <c r="AL19" s="72">
        <f>VLOOKUP($D19,'FERC 2021'!$EA$3:$EN$221,13,0)</f>
        <v>1698253.3900000001</v>
      </c>
      <c r="AM19" s="72">
        <f>VLOOKUP($D19,'FERC 2022'!$EA$3:$EN$220,13,0)</f>
        <v>1453939.22</v>
      </c>
      <c r="AN19" s="72">
        <f>VLOOKUP($D19,'FERC 2023'!$EA$3:$EN$221,13,0)</f>
        <v>1496196.24</v>
      </c>
      <c r="AO19" s="72">
        <f>IFERROR(VLOOKUP($D19,'FERC 2021'!$EA$3:$EN$221,14,0),"")</f>
        <v>1723219</v>
      </c>
      <c r="AP19" s="72">
        <f>IFERROR(VLOOKUP($D19,'FERC 2022'!$EA$3:$EN$220,14,0),"")</f>
        <v>1760477</v>
      </c>
      <c r="AQ19" s="72">
        <f>IFERROR(VLOOKUP($D19,'FERC 2023'!$EA$3:$EN$221,14,0),"")</f>
        <v>1756272</v>
      </c>
    </row>
    <row r="20" spans="1:43" ht="14.5" hidden="1">
      <c r="A20" s="7" t="s">
        <v>258</v>
      </c>
      <c r="B20" s="7" t="s">
        <v>259</v>
      </c>
      <c r="C20" s="311" t="str">
        <f>'BD DEA'!P20</f>
        <v/>
      </c>
      <c r="D20" s="44" t="str">
        <f t="shared" si="0"/>
        <v>C000241</v>
      </c>
      <c r="E20" s="72">
        <f>IFERROR(VLOOKUP($D20,'FERC 2021'!$EA$3:$EN$221,2,0),"")</f>
        <v>5237495831.4664841</v>
      </c>
      <c r="F20" s="72">
        <f>IFERROR(VLOOKUP($D20,'FERC 2022'!$EA$3:$EN$220,2,0),"")</f>
        <v>5633465409.3382883</v>
      </c>
      <c r="G20" s="72">
        <f>IFERROR(VLOOKUP($D20,'FERC 2023'!$EA$3:$EN$221,2,0),"")</f>
        <v>6139423377.2361879</v>
      </c>
      <c r="H20" s="72">
        <f>IFERROR(VLOOKUP($D20,'FERC 2021'!$EA$3:$EN$225,3,0),"")</f>
        <v>271237363.59143662</v>
      </c>
      <c r="I20" s="72">
        <f>IFERROR(VLOOKUP($D20,'FERC 2022'!$EA$3:$EN$229,3,0),"")</f>
        <v>277740223.13272059</v>
      </c>
      <c r="J20" s="72">
        <f>IFERROR(VLOOKUP($D20,'FERC 2023'!$EA$3:$EN$229,3,0),"")</f>
        <v>319856919.65987116</v>
      </c>
      <c r="K20" s="72">
        <f>IFERROR(VLOOKUP($D20,'FERC 2021'!$EA$3:$EN$229,4,0),"")</f>
        <v>76021447.346324474</v>
      </c>
      <c r="L20" s="72">
        <f>IFERROR(VLOOKUP($D20,'FERC 2022'!$EA$3:$EN$220,4,0),"")</f>
        <v>77915768.738646105</v>
      </c>
      <c r="M20" s="72">
        <f>IFERROR(VLOOKUP($D20,'FERC 2023'!$EA$3:$EN$221,4,0),"")</f>
        <v>76045564.316167757</v>
      </c>
      <c r="N20" s="72">
        <f>IFERROR(VLOOKUP($D20,'FERC 2021'!$EA$3:$EN$221,5,0),"")</f>
        <v>71166129.128492102</v>
      </c>
      <c r="O20" s="72">
        <f>IFERROR(VLOOKUP($D20,'FERC 2022'!$EA$3:$EN$220,5,0),"")</f>
        <v>77484972.908957765</v>
      </c>
      <c r="P20" s="72">
        <f>IFERROR(VLOOKUP($D20,'FERC 2023'!$EA$3:$EN$221,5,0),"")</f>
        <v>70553668.143858314</v>
      </c>
      <c r="Q20" s="72">
        <f>IFERROR(VLOOKUP($D20,'FERC 2021'!$EA$3:$EN$221,6,0),"")</f>
        <v>87137424.956958115</v>
      </c>
      <c r="R20" s="72">
        <f>IFERROR(VLOOKUP($D20,'FERC 2022'!$EA$3:$EN$220,6,0),"")</f>
        <v>68969270.334956691</v>
      </c>
      <c r="S20" s="72">
        <f>IFERROR(VLOOKUP($D20,'FERC 2023'!$EA$3:$EN$221,6,0),"")</f>
        <v>58017493.378206864</v>
      </c>
      <c r="T20" s="72">
        <f>IFERROR(VLOOKUP($D20,'FERC 2021'!$EA$3:$EN$221,7,0),"")</f>
        <v>4573</v>
      </c>
      <c r="U20" s="72">
        <f>IFERROR(VLOOKUP($D20,'FERC 2022'!$EA$3:$EN$220,7,0),"")</f>
        <v>4723</v>
      </c>
      <c r="V20" s="72">
        <f>IFERROR(VLOOKUP($D20,'FERC 2023'!$EA$3:$EN$221,7,0),"")</f>
        <v>4785</v>
      </c>
      <c r="W20" s="72">
        <f>IFERROR(VLOOKUP($D20,'FERC 2021'!$EA$3:$EN$221,8,0),"")</f>
        <v>765969</v>
      </c>
      <c r="X20" s="72">
        <f>IFERROR(VLOOKUP($D20,'FERC 2022'!$EA$3:$EN$220,8,0),"")</f>
        <v>777001</v>
      </c>
      <c r="Y20" s="72">
        <f>IFERROR(VLOOKUP($D20,'FERC 2023'!$EA$3:$EN$221,8,0),"")</f>
        <v>790230</v>
      </c>
      <c r="Z20" s="72">
        <f>IFERROR(VLOOKUP($D20,'FERC 2021'!$EA$3:$EN$222,9,0),"")</f>
        <v>1107416</v>
      </c>
      <c r="AA20" s="72">
        <f>IFERROR(VLOOKUP($D20,'FERC 2022'!$EA$3:$EN$220,9,0),"")</f>
        <v>1098485</v>
      </c>
      <c r="AB20" s="72">
        <f>IFERROR(VLOOKUP($D20,'FERC 2023'!$EA$3:$EN$221,9,0),"")</f>
        <v>1029391</v>
      </c>
      <c r="AC20" s="72">
        <f>IFERROR(VLOOKUP($D20,'FERC 2021'!$EA$3:$EN$221,10,0),"")</f>
        <v>21411242</v>
      </c>
      <c r="AD20" s="72">
        <f>IFERROR(VLOOKUP($D20,'FERC 2022'!$EA$3:$EN$220,10,0),"")</f>
        <v>21820395</v>
      </c>
      <c r="AE20" s="72">
        <f>IFERROR(VLOOKUP($D20,'FERC 2023'!$EA$3:$EN$221,10,0),"")</f>
        <v>21026077</v>
      </c>
      <c r="AF20" s="72">
        <f>IFERROR(VLOOKUP($D20,'FERC 2021'!$EA$3:$EN$221,11,0),"")</f>
        <v>22502773.228426397</v>
      </c>
      <c r="AG20" s="72">
        <f>IFERROR(VLOOKUP($D20,'FERC 2022'!$EA$3:$EN$220,11,0),"")</f>
        <v>22901225.791878171</v>
      </c>
      <c r="AH20" s="72">
        <f>IFERROR(VLOOKUP($D20,'FERC 2023'!$EA$3:$EN$221,11,0),"")</f>
        <v>22041442.756345179</v>
      </c>
      <c r="AI20" s="72">
        <f>IFERROR(VLOOKUP($D20,'FERC 2021'!$EA$3:$EN$221,12,0),"")</f>
        <v>60427294.410000004</v>
      </c>
      <c r="AJ20" s="72">
        <f>IFERROR(VLOOKUP($D20,'FERC 2022'!$EA$3:$EN$220,12,0),"")</f>
        <v>60916878.400000006</v>
      </c>
      <c r="AK20" s="72">
        <f>IFERROR(VLOOKUP($D20,'FERC 2023'!$EA$3:$EN$221,12,0),"")</f>
        <v>71041677</v>
      </c>
      <c r="AL20" s="72">
        <f>VLOOKUP($D20,'FERC 2021'!$EA$3:$EN$221,13,0)</f>
        <v>842565.9</v>
      </c>
      <c r="AM20" s="72">
        <f>VLOOKUP($D20,'FERC 2022'!$EA$3:$EN$220,13,0)</f>
        <v>1499611.93</v>
      </c>
      <c r="AN20" s="72">
        <f>VLOOKUP($D20,'FERC 2023'!$EA$3:$EN$221,13,0)</f>
        <v>1169540.3999999999</v>
      </c>
      <c r="AO20" s="72">
        <f>IFERROR(VLOOKUP($D20,'FERC 2021'!$EA$3:$EN$221,14,0),"")</f>
        <v>771607</v>
      </c>
      <c r="AP20" s="72">
        <f>IFERROR(VLOOKUP($D20,'FERC 2022'!$EA$3:$EN$220,14,0),"")</f>
        <v>781603</v>
      </c>
      <c r="AQ20" s="72">
        <f>IFERROR(VLOOKUP($D20,'FERC 2023'!$EA$3:$EN$221,14,0),"")</f>
        <v>788694</v>
      </c>
    </row>
    <row r="21" spans="1:43" ht="15.75" customHeight="1">
      <c r="A21" s="7" t="s">
        <v>261</v>
      </c>
      <c r="B21" s="7" t="s">
        <v>262</v>
      </c>
      <c r="C21" s="311">
        <f>'BD DEA'!P21</f>
        <v>1</v>
      </c>
      <c r="D21" s="44" t="str">
        <f t="shared" si="0"/>
        <v>C000289</v>
      </c>
      <c r="E21" s="72">
        <f>IFERROR(VLOOKUP($D21,'FERC 2021'!$EA$3:$EN$221,2,0),"")</f>
        <v>6280255313.0719376</v>
      </c>
      <c r="F21" s="72">
        <f>IFERROR(VLOOKUP($D21,'FERC 2022'!$EA$3:$EN$220,2,0),"")</f>
        <v>6865032573.2115793</v>
      </c>
      <c r="G21" s="72">
        <f>IFERROR(VLOOKUP($D21,'FERC 2023'!$EA$3:$EN$221,2,0),"")</f>
        <v>7370418570.1726122</v>
      </c>
      <c r="H21" s="72">
        <f>IFERROR(VLOOKUP($D21,'FERC 2021'!$EA$3:$EN$225,3,0),"")</f>
        <v>308815588.19988364</v>
      </c>
      <c r="I21" s="72">
        <f>IFERROR(VLOOKUP($D21,'FERC 2022'!$EA$3:$EN$229,3,0),"")</f>
        <v>340398626.83475643</v>
      </c>
      <c r="J21" s="72">
        <f>IFERROR(VLOOKUP($D21,'FERC 2023'!$EA$3:$EN$229,3,0),"")</f>
        <v>347261733.36027288</v>
      </c>
      <c r="K21" s="72">
        <f>IFERROR(VLOOKUP($D21,'FERC 2021'!$EA$3:$EN$229,4,0),"")</f>
        <v>140576270.56543747</v>
      </c>
      <c r="L21" s="72">
        <f>IFERROR(VLOOKUP($D21,'FERC 2022'!$EA$3:$EN$220,4,0),"")</f>
        <v>131609416.57014573</v>
      </c>
      <c r="M21" s="72">
        <f>IFERROR(VLOOKUP($D21,'FERC 2023'!$EA$3:$EN$221,4,0),"")</f>
        <v>93665010.718205884</v>
      </c>
      <c r="N21" s="72">
        <f>IFERROR(VLOOKUP($D21,'FERC 2021'!$EA$3:$EN$221,5,0),"")</f>
        <v>40424996.972035676</v>
      </c>
      <c r="O21" s="72">
        <f>IFERROR(VLOOKUP($D21,'FERC 2022'!$EA$3:$EN$220,5,0),"")</f>
        <v>37195821.932250611</v>
      </c>
      <c r="P21" s="72">
        <f>IFERROR(VLOOKUP($D21,'FERC 2023'!$EA$3:$EN$221,5,0),"")</f>
        <v>37344349.803488716</v>
      </c>
      <c r="Q21" s="72">
        <f>IFERROR(VLOOKUP($D21,'FERC 2021'!$EA$3:$EN$221,6,0),"")</f>
        <v>53099687.953146346</v>
      </c>
      <c r="R21" s="72">
        <f>IFERROR(VLOOKUP($D21,'FERC 2022'!$EA$3:$EN$220,6,0),"")</f>
        <v>48286015.462063245</v>
      </c>
      <c r="S21" s="72">
        <f>IFERROR(VLOOKUP($D21,'FERC 2023'!$EA$3:$EN$221,6,0),"")</f>
        <v>33548215.287914053</v>
      </c>
      <c r="T21" s="72">
        <f>IFERROR(VLOOKUP($D21,'FERC 2021'!$EA$3:$EN$221,7,0),"")</f>
        <v>5753</v>
      </c>
      <c r="U21" s="72">
        <f>IFERROR(VLOOKUP($D21,'FERC 2022'!$EA$3:$EN$220,7,0),"")</f>
        <v>6029</v>
      </c>
      <c r="V21" s="72">
        <f>IFERROR(VLOOKUP($D21,'FERC 2023'!$EA$3:$EN$221,7,0),"")</f>
        <v>6051</v>
      </c>
      <c r="W21" s="72">
        <f>IFERROR(VLOOKUP($D21,'FERC 2021'!$EA$3:$EN$221,8,0),"")</f>
        <v>860972</v>
      </c>
      <c r="X21" s="72">
        <f>IFERROR(VLOOKUP($D21,'FERC 2022'!$EA$3:$EN$220,8,0),"")</f>
        <v>881328</v>
      </c>
      <c r="Y21" s="72">
        <f>IFERROR(VLOOKUP($D21,'FERC 2023'!$EA$3:$EN$221,8,0),"")</f>
        <v>894160</v>
      </c>
      <c r="Z21" s="72">
        <f>IFERROR(VLOOKUP($D21,'FERC 2021'!$EA$3:$EN$222,9,0),"")</f>
        <v>1692940</v>
      </c>
      <c r="AA21" s="72">
        <f>IFERROR(VLOOKUP($D21,'FERC 2022'!$EA$3:$EN$220,9,0),"")</f>
        <v>1817786</v>
      </c>
      <c r="AB21" s="72">
        <f>IFERROR(VLOOKUP($D21,'FERC 2023'!$EA$3:$EN$221,9,0),"")</f>
        <v>2490342</v>
      </c>
      <c r="AC21" s="72">
        <f>IFERROR(VLOOKUP($D21,'FERC 2021'!$EA$3:$EN$221,10,0),"")</f>
        <v>26938817</v>
      </c>
      <c r="AD21" s="72">
        <f>IFERROR(VLOOKUP($D21,'FERC 2022'!$EA$3:$EN$220,10,0),"")</f>
        <v>27289913</v>
      </c>
      <c r="AE21" s="72">
        <f>IFERROR(VLOOKUP($D21,'FERC 2023'!$EA$3:$EN$221,10,0),"")</f>
        <v>25618885</v>
      </c>
      <c r="AF21" s="72">
        <f>IFERROR(VLOOKUP($D21,'FERC 2021'!$EA$3:$EN$221,11,0),"")</f>
        <v>28564006.477157362</v>
      </c>
      <c r="AG21" s="72">
        <f>IFERROR(VLOOKUP($D21,'FERC 2022'!$EA$3:$EN$220,11,0),"")</f>
        <v>29036292.49746193</v>
      </c>
      <c r="AH21" s="72">
        <f>IFERROR(VLOOKUP($D21,'FERC 2023'!$EA$3:$EN$221,11,0),"")</f>
        <v>28039180.137055837</v>
      </c>
      <c r="AI21" s="72">
        <f>IFERROR(VLOOKUP($D21,'FERC 2021'!$EA$3:$EN$221,12,0),"")</f>
        <v>109446760.64</v>
      </c>
      <c r="AJ21" s="72">
        <f>IFERROR(VLOOKUP($D21,'FERC 2022'!$EA$3:$EN$220,12,0),"")</f>
        <v>141365011.20000002</v>
      </c>
      <c r="AK21" s="72">
        <f>IFERROR(VLOOKUP($D21,'FERC 2023'!$EA$3:$EN$221,12,0),"")</f>
        <v>87618738.399999991</v>
      </c>
      <c r="AL21" s="72">
        <f>VLOOKUP($D21,'FERC 2021'!$EA$3:$EN$221,13,0)</f>
        <v>959122.80800000008</v>
      </c>
      <c r="AM21" s="72">
        <f>VLOOKUP($D21,'FERC 2022'!$EA$3:$EN$220,13,0)</f>
        <v>1158946.32</v>
      </c>
      <c r="AN21" s="72">
        <f>VLOOKUP($D21,'FERC 2023'!$EA$3:$EN$221,13,0)</f>
        <v>1326933.44</v>
      </c>
      <c r="AO21" s="72">
        <f>IFERROR(VLOOKUP($D21,'FERC 2021'!$EA$3:$EN$221,14,0),"")</f>
        <v>879657</v>
      </c>
      <c r="AP21" s="72">
        <f>IFERROR(VLOOKUP($D21,'FERC 2022'!$EA$3:$EN$220,14,0),"")</f>
        <v>897827</v>
      </c>
      <c r="AQ21" s="72">
        <f>IFERROR(VLOOKUP($D21,'FERC 2023'!$EA$3:$EN$221,14,0),"")</f>
        <v>913967</v>
      </c>
    </row>
    <row r="22" spans="1:43" ht="15.75" customHeight="1">
      <c r="A22" s="7" t="s">
        <v>264</v>
      </c>
      <c r="B22" s="7" t="s">
        <v>265</v>
      </c>
      <c r="C22" s="311">
        <f>'BD DEA'!P22</f>
        <v>1</v>
      </c>
      <c r="D22" s="44" t="str">
        <f t="shared" si="0"/>
        <v>C000290</v>
      </c>
      <c r="E22" s="72">
        <f>IFERROR(VLOOKUP($D22,'FERC 2021'!$EA$3:$EN$221,2,0),"")</f>
        <v>22419279213.474567</v>
      </c>
      <c r="F22" s="72">
        <f>IFERROR(VLOOKUP($D22,'FERC 2022'!$EA$3:$EN$220,2,0),"")</f>
        <v>23421499303.539734</v>
      </c>
      <c r="G22" s="72">
        <f>IFERROR(VLOOKUP($D22,'FERC 2023'!$EA$3:$EN$221,2,0),"")</f>
        <v>25091074644.822521</v>
      </c>
      <c r="H22" s="72">
        <f>IFERROR(VLOOKUP($D22,'FERC 2021'!$EA$3:$EN$225,3,0),"")</f>
        <v>979805304.09165359</v>
      </c>
      <c r="I22" s="72">
        <f>IFERROR(VLOOKUP($D22,'FERC 2022'!$EA$3:$EN$229,3,0),"")</f>
        <v>1059869824.0660276</v>
      </c>
      <c r="J22" s="72">
        <f>IFERROR(VLOOKUP($D22,'FERC 2023'!$EA$3:$EN$229,3,0),"")</f>
        <v>1076226794.8019354</v>
      </c>
      <c r="K22" s="72">
        <f>IFERROR(VLOOKUP($D22,'FERC 2021'!$EA$3:$EN$229,4,0),"")</f>
        <v>301383919.36013877</v>
      </c>
      <c r="L22" s="72">
        <f>IFERROR(VLOOKUP($D22,'FERC 2022'!$EA$3:$EN$220,4,0),"")</f>
        <v>316740626.9013226</v>
      </c>
      <c r="M22" s="72">
        <f>IFERROR(VLOOKUP($D22,'FERC 2023'!$EA$3:$EN$221,4,0),"")</f>
        <v>256399369.08266261</v>
      </c>
      <c r="N22" s="72">
        <f>IFERROR(VLOOKUP($D22,'FERC 2021'!$EA$3:$EN$221,5,0),"")</f>
        <v>190710680.43721411</v>
      </c>
      <c r="O22" s="72">
        <f>IFERROR(VLOOKUP($D22,'FERC 2022'!$EA$3:$EN$220,5,0),"")</f>
        <v>188460934.66979453</v>
      </c>
      <c r="P22" s="72">
        <f>IFERROR(VLOOKUP($D22,'FERC 2023'!$EA$3:$EN$221,5,0),"")</f>
        <v>150727818.4195748</v>
      </c>
      <c r="Q22" s="72">
        <f>IFERROR(VLOOKUP($D22,'FERC 2021'!$EA$3:$EN$221,6,0),"")</f>
        <v>176661429.68255645</v>
      </c>
      <c r="R22" s="72">
        <f>IFERROR(VLOOKUP($D22,'FERC 2022'!$EA$3:$EN$220,6,0),"")</f>
        <v>221441473.26086041</v>
      </c>
      <c r="S22" s="72">
        <f>IFERROR(VLOOKUP($D22,'FERC 2023'!$EA$3:$EN$221,6,0),"")</f>
        <v>124587115.27680005</v>
      </c>
      <c r="T22" s="72">
        <f>IFERROR(VLOOKUP($D22,'FERC 2021'!$EA$3:$EN$221,7,0),"")</f>
        <v>17337</v>
      </c>
      <c r="U22" s="72">
        <f>IFERROR(VLOOKUP($D22,'FERC 2022'!$EA$3:$EN$220,7,0),"")</f>
        <v>17963</v>
      </c>
      <c r="V22" s="72">
        <f>IFERROR(VLOOKUP($D22,'FERC 2023'!$EA$3:$EN$221,7,0),"")</f>
        <v>18010</v>
      </c>
      <c r="W22" s="72">
        <f>IFERROR(VLOOKUP($D22,'FERC 2021'!$EA$3:$EN$221,8,0),"")</f>
        <v>2764839</v>
      </c>
      <c r="X22" s="72">
        <f>IFERROR(VLOOKUP($D22,'FERC 2022'!$EA$3:$EN$220,8,0),"")</f>
        <v>2791711</v>
      </c>
      <c r="Y22" s="72">
        <f>IFERROR(VLOOKUP($D22,'FERC 2023'!$EA$3:$EN$221,8,0),"")</f>
        <v>2845809</v>
      </c>
      <c r="Z22" s="72">
        <f>IFERROR(VLOOKUP($D22,'FERC 2021'!$EA$3:$EN$222,9,0),"")</f>
        <v>5221540</v>
      </c>
      <c r="AA22" s="72">
        <f>IFERROR(VLOOKUP($D22,'FERC 2022'!$EA$3:$EN$220,9,0),"")</f>
        <v>4564541</v>
      </c>
      <c r="AB22" s="72">
        <f>IFERROR(VLOOKUP($D22,'FERC 2023'!$EA$3:$EN$221,9,0),"")</f>
        <v>5046609</v>
      </c>
      <c r="AC22" s="72">
        <f>IFERROR(VLOOKUP($D22,'FERC 2021'!$EA$3:$EN$221,10,0),"")</f>
        <v>78390914</v>
      </c>
      <c r="AD22" s="72">
        <f>IFERROR(VLOOKUP($D22,'FERC 2022'!$EA$3:$EN$220,10,0),"")</f>
        <v>81277019</v>
      </c>
      <c r="AE22" s="72">
        <f>IFERROR(VLOOKUP($D22,'FERC 2023'!$EA$3:$EN$221,10,0),"")</f>
        <v>77847395</v>
      </c>
      <c r="AF22" s="72">
        <f>IFERROR(VLOOKUP($D22,'FERC 2021'!$EA$3:$EN$221,11,0),"")</f>
        <v>83469215.878172591</v>
      </c>
      <c r="AG22" s="72">
        <f>IFERROR(VLOOKUP($D22,'FERC 2022'!$EA$3:$EN$220,11,0),"")</f>
        <v>85694803.624365479</v>
      </c>
      <c r="AH22" s="72">
        <f>IFERROR(VLOOKUP($D22,'FERC 2023'!$EA$3:$EN$221,11,0),"")</f>
        <v>82744961.426395938</v>
      </c>
      <c r="AI22" s="72">
        <f>IFERROR(VLOOKUP($D22,'FERC 2021'!$EA$3:$EN$221,12,0),"")</f>
        <v>424623973.62</v>
      </c>
      <c r="AJ22" s="72">
        <f>IFERROR(VLOOKUP($D22,'FERC 2022'!$EA$3:$EN$220,12,0),"")</f>
        <v>507170137.36999995</v>
      </c>
      <c r="AK22" s="72">
        <f>IFERROR(VLOOKUP($D22,'FERC 2023'!$EA$3:$EN$221,12,0),"")</f>
        <v>560908953.89999998</v>
      </c>
      <c r="AL22" s="72">
        <f>VLOOKUP($D22,'FERC 2021'!$EA$3:$EN$221,13,0)</f>
        <v>3461578.4279999998</v>
      </c>
      <c r="AM22" s="72">
        <f>VLOOKUP($D22,'FERC 2022'!$EA$3:$EN$220,13,0)</f>
        <v>5332168.01</v>
      </c>
      <c r="AN22" s="72">
        <f>VLOOKUP($D22,'FERC 2023'!$EA$3:$EN$221,13,0)</f>
        <v>4587444.108</v>
      </c>
      <c r="AO22" s="72">
        <f>IFERROR(VLOOKUP($D22,'FERC 2021'!$EA$3:$EN$221,14,0),"")</f>
        <v>2119870</v>
      </c>
      <c r="AP22" s="72">
        <f>IFERROR(VLOOKUP($D22,'FERC 2022'!$EA$3:$EN$220,14,0),"")</f>
        <v>2177460</v>
      </c>
      <c r="AQ22" s="72">
        <f>IFERROR(VLOOKUP($D22,'FERC 2023'!$EA$3:$EN$221,14,0),"")</f>
        <v>2219129</v>
      </c>
    </row>
    <row r="23" spans="1:43" ht="15.75" customHeight="1">
      <c r="A23" s="7" t="s">
        <v>267</v>
      </c>
      <c r="B23" s="7" t="s">
        <v>268</v>
      </c>
      <c r="C23" s="311">
        <f>'BD DEA'!P23</f>
        <v>1</v>
      </c>
      <c r="D23" s="44" t="str">
        <f t="shared" si="0"/>
        <v>C000291</v>
      </c>
      <c r="E23" s="72">
        <f>IFERROR(VLOOKUP($D23,'FERC 2021'!$EA$3:$EN$221,2,0),"")</f>
        <v>795594003.45619547</v>
      </c>
      <c r="F23" s="72">
        <f>IFERROR(VLOOKUP($D23,'FERC 2022'!$EA$3:$EN$220,2,0),"")</f>
        <v>816446316.94000125</v>
      </c>
      <c r="G23" s="72">
        <f>IFERROR(VLOOKUP($D23,'FERC 2023'!$EA$3:$EN$221,2,0),"")</f>
        <v>860579021.9080478</v>
      </c>
      <c r="H23" s="72">
        <f>IFERROR(VLOOKUP($D23,'FERC 2021'!$EA$3:$EN$225,3,0),"")</f>
        <v>42730771.471486546</v>
      </c>
      <c r="I23" s="72">
        <f>IFERROR(VLOOKUP($D23,'FERC 2022'!$EA$3:$EN$229,3,0),"")</f>
        <v>45070899.076361045</v>
      </c>
      <c r="J23" s="72">
        <f>IFERROR(VLOOKUP($D23,'FERC 2023'!$EA$3:$EN$229,3,0),"")</f>
        <v>45386704.971120469</v>
      </c>
      <c r="K23" s="72">
        <f>IFERROR(VLOOKUP($D23,'FERC 2021'!$EA$3:$EN$229,4,0),"")</f>
        <v>12326175.24858861</v>
      </c>
      <c r="L23" s="72">
        <f>IFERROR(VLOOKUP($D23,'FERC 2022'!$EA$3:$EN$220,4,0),"")</f>
        <v>15396779.370548947</v>
      </c>
      <c r="M23" s="72">
        <f>IFERROR(VLOOKUP($D23,'FERC 2023'!$EA$3:$EN$221,4,0),"")</f>
        <v>11807105.288540307</v>
      </c>
      <c r="N23" s="72">
        <f>IFERROR(VLOOKUP($D23,'FERC 2021'!$EA$3:$EN$221,5,0),"")</f>
        <v>8896226.7375807539</v>
      </c>
      <c r="O23" s="72">
        <f>IFERROR(VLOOKUP($D23,'FERC 2022'!$EA$3:$EN$220,5,0),"")</f>
        <v>7590415.9341884209</v>
      </c>
      <c r="P23" s="72">
        <f>IFERROR(VLOOKUP($D23,'FERC 2023'!$EA$3:$EN$221,5,0),"")</f>
        <v>5952089.0516147148</v>
      </c>
      <c r="Q23" s="72">
        <f>IFERROR(VLOOKUP($D23,'FERC 2021'!$EA$3:$EN$221,6,0),"")</f>
        <v>5088229.9478045153</v>
      </c>
      <c r="R23" s="72">
        <f>IFERROR(VLOOKUP($D23,'FERC 2022'!$EA$3:$EN$220,6,0),"")</f>
        <v>5922140.3329250766</v>
      </c>
      <c r="S23" s="72">
        <f>IFERROR(VLOOKUP($D23,'FERC 2023'!$EA$3:$EN$221,6,0),"")</f>
        <v>4508423.1167859044</v>
      </c>
      <c r="T23" s="72">
        <f>IFERROR(VLOOKUP($D23,'FERC 2021'!$EA$3:$EN$221,7,0),"")</f>
        <v>814</v>
      </c>
      <c r="U23" s="72">
        <f>IFERROR(VLOOKUP($D23,'FERC 2022'!$EA$3:$EN$220,7,0),"")</f>
        <v>810</v>
      </c>
      <c r="V23" s="72">
        <f>IFERROR(VLOOKUP($D23,'FERC 2023'!$EA$3:$EN$221,7,0),"")</f>
        <v>803</v>
      </c>
      <c r="W23" s="72">
        <f>IFERROR(VLOOKUP($D23,'FERC 2021'!$EA$3:$EN$221,8,0),"")</f>
        <v>146515</v>
      </c>
      <c r="X23" s="72">
        <f>IFERROR(VLOOKUP($D23,'FERC 2022'!$EA$3:$EN$220,8,0),"")</f>
        <v>148902</v>
      </c>
      <c r="Y23" s="72">
        <f>IFERROR(VLOOKUP($D23,'FERC 2023'!$EA$3:$EN$221,8,0),"")</f>
        <v>151128</v>
      </c>
      <c r="Z23" s="72">
        <f>IFERROR(VLOOKUP($D23,'FERC 2021'!$EA$3:$EN$222,9,0),"")</f>
        <v>201235</v>
      </c>
      <c r="AA23" s="72">
        <f>IFERROR(VLOOKUP($D23,'FERC 2022'!$EA$3:$EN$220,9,0),"")</f>
        <v>288446</v>
      </c>
      <c r="AB23" s="72">
        <f>IFERROR(VLOOKUP($D23,'FERC 2023'!$EA$3:$EN$221,9,0),"")</f>
        <v>188365</v>
      </c>
      <c r="AC23" s="72">
        <f>IFERROR(VLOOKUP($D23,'FERC 2021'!$EA$3:$EN$221,10,0),"")</f>
        <v>3946009</v>
      </c>
      <c r="AD23" s="72">
        <f>IFERROR(VLOOKUP($D23,'FERC 2022'!$EA$3:$EN$220,10,0),"")</f>
        <v>3976559</v>
      </c>
      <c r="AE23" s="72">
        <f>IFERROR(VLOOKUP($D23,'FERC 2023'!$EA$3:$EN$221,10,0),"")</f>
        <v>3848896</v>
      </c>
      <c r="AF23" s="72">
        <f>IFERROR(VLOOKUP($D23,'FERC 2021'!$EA$3:$EN$221,11,0),"")</f>
        <v>4138808.0761421318</v>
      </c>
      <c r="AG23" s="72">
        <f>IFERROR(VLOOKUP($D23,'FERC 2022'!$EA$3:$EN$220,11,0),"")</f>
        <v>4257504.8781725885</v>
      </c>
      <c r="AH23" s="72">
        <f>IFERROR(VLOOKUP($D23,'FERC 2023'!$EA$3:$EN$221,11,0),"")</f>
        <v>4031201.6395939086</v>
      </c>
      <c r="AI23" s="72">
        <f>IFERROR(VLOOKUP($D23,'FERC 2021'!$EA$3:$EN$221,12,0),"")</f>
        <v>9331540.3499999996</v>
      </c>
      <c r="AJ23" s="72">
        <f>IFERROR(VLOOKUP($D23,'FERC 2022'!$EA$3:$EN$220,12,0),"")</f>
        <v>13503922.379999999</v>
      </c>
      <c r="AK23" s="72">
        <f>IFERROR(VLOOKUP($D23,'FERC 2023'!$EA$3:$EN$221,12,0),"")</f>
        <v>10896328.799999999</v>
      </c>
      <c r="AL23" s="72">
        <f>VLOOKUP($D23,'FERC 2021'!$EA$3:$EN$221,13,0)</f>
        <v>105637.315</v>
      </c>
      <c r="AM23" s="72">
        <f>VLOOKUP($D23,'FERC 2022'!$EA$3:$EN$220,13,0)</f>
        <v>159771.84599999999</v>
      </c>
      <c r="AN23" s="72">
        <f>VLOOKUP($D23,'FERC 2023'!$EA$3:$EN$221,13,0)</f>
        <v>111230.208</v>
      </c>
      <c r="AO23" s="72">
        <f>IFERROR(VLOOKUP($D23,'FERC 2021'!$EA$3:$EN$221,14,0),"")</f>
        <v>149173</v>
      </c>
      <c r="AP23" s="72">
        <f>IFERROR(VLOOKUP($D23,'FERC 2022'!$EA$3:$EN$220,14,0),"")</f>
        <v>153209</v>
      </c>
      <c r="AQ23" s="72">
        <f>IFERROR(VLOOKUP($D23,'FERC 2023'!$EA$3:$EN$221,14,0),"")</f>
        <v>155503</v>
      </c>
    </row>
    <row r="24" spans="1:43" ht="15.75" customHeight="1">
      <c r="A24" s="7" t="s">
        <v>270</v>
      </c>
      <c r="B24" s="7" t="s">
        <v>271</v>
      </c>
      <c r="C24" s="311">
        <f>'BD DEA'!P24</f>
        <v>1</v>
      </c>
      <c r="D24" s="44" t="str">
        <f t="shared" si="0"/>
        <v>C000292</v>
      </c>
      <c r="E24" s="72">
        <f>IFERROR(VLOOKUP($D24,'FERC 2021'!$EA$3:$EN$221,2,0),"")</f>
        <v>4308665755.702775</v>
      </c>
      <c r="F24" s="72">
        <f>IFERROR(VLOOKUP($D24,'FERC 2022'!$EA$3:$EN$220,2,0),"")</f>
        <v>4512058487.103713</v>
      </c>
      <c r="G24" s="72">
        <f>IFERROR(VLOOKUP($D24,'FERC 2023'!$EA$3:$EN$221,2,0),"")</f>
        <v>4673516740.2713203</v>
      </c>
      <c r="H24" s="72">
        <f>IFERROR(VLOOKUP($D24,'FERC 2021'!$EA$3:$EN$225,3,0),"")</f>
        <v>223692087.24070078</v>
      </c>
      <c r="I24" s="72">
        <f>IFERROR(VLOOKUP($D24,'FERC 2022'!$EA$3:$EN$229,3,0),"")</f>
        <v>232807402.87169087</v>
      </c>
      <c r="J24" s="72">
        <f>IFERROR(VLOOKUP($D24,'FERC 2023'!$EA$3:$EN$229,3,0),"")</f>
        <v>242358037.8499918</v>
      </c>
      <c r="K24" s="72">
        <f>IFERROR(VLOOKUP($D24,'FERC 2021'!$EA$3:$EN$229,4,0),"")</f>
        <v>78224989.245837167</v>
      </c>
      <c r="L24" s="72">
        <f>IFERROR(VLOOKUP($D24,'FERC 2022'!$EA$3:$EN$220,4,0),"")</f>
        <v>76384327.954794243</v>
      </c>
      <c r="M24" s="72">
        <f>IFERROR(VLOOKUP($D24,'FERC 2023'!$EA$3:$EN$221,4,0),"")</f>
        <v>69767125.250207275</v>
      </c>
      <c r="N24" s="72">
        <f>IFERROR(VLOOKUP($D24,'FERC 2021'!$EA$3:$EN$221,5,0),"")</f>
        <v>34812439.34397874</v>
      </c>
      <c r="O24" s="72">
        <f>IFERROR(VLOOKUP($D24,'FERC 2022'!$EA$3:$EN$220,5,0),"")</f>
        <v>32297805.251013763</v>
      </c>
      <c r="P24" s="72">
        <f>IFERROR(VLOOKUP($D24,'FERC 2023'!$EA$3:$EN$221,5,0),"")</f>
        <v>33223660.839546572</v>
      </c>
      <c r="Q24" s="72">
        <f>IFERROR(VLOOKUP($D24,'FERC 2021'!$EA$3:$EN$221,6,0),"")</f>
        <v>46510930.91464451</v>
      </c>
      <c r="R24" s="72">
        <f>IFERROR(VLOOKUP($D24,'FERC 2022'!$EA$3:$EN$220,6,0),"")</f>
        <v>46481165.579472415</v>
      </c>
      <c r="S24" s="72">
        <f>IFERROR(VLOOKUP($D24,'FERC 2023'!$EA$3:$EN$221,6,0),"")</f>
        <v>36586465.308504343</v>
      </c>
      <c r="T24" s="72">
        <f>IFERROR(VLOOKUP($D24,'FERC 2021'!$EA$3:$EN$221,7,0),"")</f>
        <v>935</v>
      </c>
      <c r="U24" s="72">
        <f>IFERROR(VLOOKUP($D24,'FERC 2022'!$EA$3:$EN$220,7,0),"")</f>
        <v>1614</v>
      </c>
      <c r="V24" s="72">
        <f>IFERROR(VLOOKUP($D24,'FERC 2023'!$EA$3:$EN$221,7,0),"")</f>
        <v>1426</v>
      </c>
      <c r="W24" s="72">
        <f>IFERROR(VLOOKUP($D24,'FERC 2021'!$EA$3:$EN$221,8,0),"")</f>
        <v>735922</v>
      </c>
      <c r="X24" s="72">
        <f>IFERROR(VLOOKUP($D24,'FERC 2022'!$EA$3:$EN$220,8,0),"")</f>
        <v>746993</v>
      </c>
      <c r="Y24" s="72">
        <f>IFERROR(VLOOKUP($D24,'FERC 2023'!$EA$3:$EN$221,8,0),"")</f>
        <v>752909</v>
      </c>
      <c r="Z24" s="72">
        <f>IFERROR(VLOOKUP($D24,'FERC 2021'!$EA$3:$EN$222,9,0),"")</f>
        <v>278896</v>
      </c>
      <c r="AA24" s="72">
        <f>IFERROR(VLOOKUP($D24,'FERC 2022'!$EA$3:$EN$220,9,0),"")</f>
        <v>1030442</v>
      </c>
      <c r="AB24" s="72">
        <f>IFERROR(VLOOKUP($D24,'FERC 2023'!$EA$3:$EN$221,9,0),"")</f>
        <v>1042451</v>
      </c>
      <c r="AC24" s="72">
        <f>IFERROR(VLOOKUP($D24,'FERC 2021'!$EA$3:$EN$221,10,0),"")</f>
        <v>19630461</v>
      </c>
      <c r="AD24" s="72">
        <f>IFERROR(VLOOKUP($D24,'FERC 2022'!$EA$3:$EN$220,10,0),"")</f>
        <v>19802748</v>
      </c>
      <c r="AE24" s="72">
        <f>IFERROR(VLOOKUP($D24,'FERC 2023'!$EA$3:$EN$221,10,0),"")</f>
        <v>19062261</v>
      </c>
      <c r="AF24" s="72">
        <f>IFERROR(VLOOKUP($D24,'FERC 2021'!$EA$3:$EN$221,11,0),"")</f>
        <v>19895573.340101521</v>
      </c>
      <c r="AG24" s="72">
        <f>IFERROR(VLOOKUP($D24,'FERC 2022'!$EA$3:$EN$220,11,0),"")</f>
        <v>20818021.573604062</v>
      </c>
      <c r="AH24" s="72">
        <f>IFERROR(VLOOKUP($D24,'FERC 2023'!$EA$3:$EN$221,11,0),"")</f>
        <v>20091604.847715735</v>
      </c>
      <c r="AI24" s="72">
        <f>IFERROR(VLOOKUP($D24,'FERC 2021'!$EA$3:$EN$221,12,0),"")</f>
        <v>91901939.359999999</v>
      </c>
      <c r="AJ24" s="72">
        <f>IFERROR(VLOOKUP($D24,'FERC 2022'!$EA$3:$EN$220,12,0),"")</f>
        <v>84596957.25</v>
      </c>
      <c r="AK24" s="72">
        <f>IFERROR(VLOOKUP($D24,'FERC 2023'!$EA$3:$EN$221,12,0),"")</f>
        <v>77986314.219999999</v>
      </c>
      <c r="AL24" s="72">
        <f>VLOOKUP($D24,'FERC 2021'!$EA$3:$EN$221,13,0)</f>
        <v>754320.04999999993</v>
      </c>
      <c r="AM24" s="72">
        <f>VLOOKUP($D24,'FERC 2022'!$EA$3:$EN$220,13,0)</f>
        <v>1101814.675</v>
      </c>
      <c r="AN24" s="72">
        <f>VLOOKUP($D24,'FERC 2023'!$EA$3:$EN$221,13,0)</f>
        <v>745379.91</v>
      </c>
      <c r="AO24" s="72">
        <f>IFERROR(VLOOKUP($D24,'FERC 2021'!$EA$3:$EN$221,14,0),"")</f>
        <v>747503</v>
      </c>
      <c r="AP24" s="72">
        <f>IFERROR(VLOOKUP($D24,'FERC 2022'!$EA$3:$EN$220,14,0),"")</f>
        <v>794672</v>
      </c>
      <c r="AQ24" s="72">
        <f>IFERROR(VLOOKUP($D24,'FERC 2023'!$EA$3:$EN$221,14,0),"")</f>
        <v>765174</v>
      </c>
    </row>
    <row r="25" spans="1:43" ht="15.75" hidden="1" customHeight="1">
      <c r="A25" s="7" t="s">
        <v>273</v>
      </c>
      <c r="B25" s="7" t="s">
        <v>274</v>
      </c>
      <c r="C25" s="311" t="str">
        <f>'BD DEA'!P25</f>
        <v/>
      </c>
      <c r="D25" s="44" t="str">
        <f t="shared" si="0"/>
        <v>C000312</v>
      </c>
      <c r="E25" s="72">
        <f>IFERROR(VLOOKUP($D25,'FERC 2021'!$EA$3:$EN$221,2,0),"")</f>
        <v>7562299498.4001036</v>
      </c>
      <c r="F25" s="72">
        <f>IFERROR(VLOOKUP($D25,'FERC 2022'!$EA$3:$EN$220,2,0),"")</f>
        <v>7421283603.1428595</v>
      </c>
      <c r="G25" s="72">
        <f>IFERROR(VLOOKUP($D25,'FERC 2023'!$EA$3:$EN$221,2,0),"")</f>
        <v>7553257960.7396088</v>
      </c>
      <c r="H25" s="72">
        <f>IFERROR(VLOOKUP($D25,'FERC 2021'!$EA$3:$EN$225,3,0),"")</f>
        <v>304950521.7982409</v>
      </c>
      <c r="I25" s="72">
        <f>IFERROR(VLOOKUP($D25,'FERC 2022'!$EA$3:$EN$229,3,0),"")</f>
        <v>313246505.48005742</v>
      </c>
      <c r="J25" s="72">
        <f>IFERROR(VLOOKUP($D25,'FERC 2023'!$EA$3:$EN$229,3,0),"")</f>
        <v>380311372.97691566</v>
      </c>
      <c r="K25" s="72">
        <f>IFERROR(VLOOKUP($D25,'FERC 2021'!$EA$3:$EN$229,4,0),"")</f>
        <v>184705124.02424654</v>
      </c>
      <c r="L25" s="72">
        <f>IFERROR(VLOOKUP($D25,'FERC 2022'!$EA$3:$EN$220,4,0),"")</f>
        <v>158692392.11327025</v>
      </c>
      <c r="M25" s="72">
        <f>IFERROR(VLOOKUP($D25,'FERC 2023'!$EA$3:$EN$221,4,0),"")</f>
        <v>145581644.43778852</v>
      </c>
      <c r="N25" s="72">
        <f>IFERROR(VLOOKUP($D25,'FERC 2021'!$EA$3:$EN$221,5,0),"")</f>
        <v>189192925.44190672</v>
      </c>
      <c r="O25" s="72">
        <f>IFERROR(VLOOKUP($D25,'FERC 2022'!$EA$3:$EN$220,5,0),"")</f>
        <v>220007874.74835169</v>
      </c>
      <c r="P25" s="72">
        <f>IFERROR(VLOOKUP($D25,'FERC 2023'!$EA$3:$EN$221,5,0),"")</f>
        <v>208700848.70229319</v>
      </c>
      <c r="Q25" s="72">
        <f>IFERROR(VLOOKUP($D25,'FERC 2021'!$EA$3:$EN$221,6,0),"")</f>
        <v>94090501.183257908</v>
      </c>
      <c r="R25" s="72">
        <f>IFERROR(VLOOKUP($D25,'FERC 2022'!$EA$3:$EN$220,6,0),"")</f>
        <v>108356115.8937773</v>
      </c>
      <c r="S25" s="72">
        <f>IFERROR(VLOOKUP($D25,'FERC 2023'!$EA$3:$EN$221,6,0),"")</f>
        <v>157410954.01042724</v>
      </c>
      <c r="T25" s="72">
        <f>IFERROR(VLOOKUP($D25,'FERC 2021'!$EA$3:$EN$221,7,0),"")</f>
        <v>6170</v>
      </c>
      <c r="U25" s="72">
        <f>IFERROR(VLOOKUP($D25,'FERC 2022'!$EA$3:$EN$220,7,0),"")</f>
        <v>6122</v>
      </c>
      <c r="V25" s="72">
        <f>IFERROR(VLOOKUP($D25,'FERC 2023'!$EA$3:$EN$221,7,0),"")</f>
        <v>5731</v>
      </c>
      <c r="W25" s="72">
        <f>IFERROR(VLOOKUP($D25,'FERC 2021'!$EA$3:$EN$221,8,0),"")</f>
        <v>1150247</v>
      </c>
      <c r="X25" s="72">
        <f>IFERROR(VLOOKUP($D25,'FERC 2022'!$EA$3:$EN$220,8,0),"")</f>
        <v>1155415</v>
      </c>
      <c r="Y25" s="72">
        <f>IFERROR(VLOOKUP($D25,'FERC 2023'!$EA$3:$EN$221,8,0),"")</f>
        <v>1163141</v>
      </c>
      <c r="Z25" s="72">
        <f>IFERROR(VLOOKUP($D25,'FERC 2021'!$EA$3:$EN$222,9,0),"")</f>
        <v>964767</v>
      </c>
      <c r="AA25" s="72">
        <f>IFERROR(VLOOKUP($D25,'FERC 2022'!$EA$3:$EN$220,9,0),"")</f>
        <v>334652</v>
      </c>
      <c r="AB25" s="72">
        <f>IFERROR(VLOOKUP($D25,'FERC 2023'!$EA$3:$EN$221,9,0),"")</f>
        <v>1442713</v>
      </c>
      <c r="AC25" s="72">
        <f>IFERROR(VLOOKUP($D25,'FERC 2021'!$EA$3:$EN$221,10,0),"")</f>
        <v>19865554</v>
      </c>
      <c r="AD25" s="72">
        <f>IFERROR(VLOOKUP($D25,'FERC 2022'!$EA$3:$EN$220,10,0),"")</f>
        <v>20447785</v>
      </c>
      <c r="AE25" s="72">
        <f>IFERROR(VLOOKUP($D25,'FERC 2023'!$EA$3:$EN$221,10,0),"")</f>
        <v>19286177</v>
      </c>
      <c r="AF25" s="72">
        <f>IFERROR(VLOOKUP($D25,'FERC 2021'!$EA$3:$EN$221,11,0),"")</f>
        <v>20829952.989847716</v>
      </c>
      <c r="AG25" s="72">
        <f>IFERROR(VLOOKUP($D25,'FERC 2022'!$EA$3:$EN$220,11,0),"")</f>
        <v>20782346.390862945</v>
      </c>
      <c r="AH25" s="72">
        <f>IFERROR(VLOOKUP($D25,'FERC 2023'!$EA$3:$EN$221,11,0),"")</f>
        <v>20728828.964467004</v>
      </c>
      <c r="AI25" s="72">
        <f>IFERROR(VLOOKUP($D25,'FERC 2021'!$EA$3:$EN$221,12,0),"")</f>
        <v>221261512.92000002</v>
      </c>
      <c r="AJ25" s="72">
        <f>IFERROR(VLOOKUP($D25,'FERC 2022'!$EA$3:$EN$220,12,0),"")</f>
        <v>220400032.91</v>
      </c>
      <c r="AK25" s="72">
        <f>IFERROR(VLOOKUP($D25,'FERC 2023'!$EA$3:$EN$221,12,0),"")</f>
        <v>256205068.07000002</v>
      </c>
      <c r="AL25" s="72">
        <f>VLOOKUP($D25,'FERC 2021'!$EA$3:$EN$221,13,0)</f>
        <v>2172816.5830000001</v>
      </c>
      <c r="AM25" s="72">
        <f>VLOOKUP($D25,'FERC 2022'!$EA$3:$EN$220,13,0)</f>
        <v>1967671.7450000001</v>
      </c>
      <c r="AN25" s="72">
        <f>VLOOKUP($D25,'FERC 2023'!$EA$3:$EN$221,13,0)</f>
        <v>1942445.47</v>
      </c>
      <c r="AO25" s="72">
        <f>IFERROR(VLOOKUP($D25,'FERC 2021'!$EA$3:$EN$221,14,0),"")</f>
        <v>25714</v>
      </c>
      <c r="AP25" s="72">
        <f>IFERROR(VLOOKUP($D25,'FERC 2022'!$EA$3:$EN$220,14,0),"")</f>
        <v>39061</v>
      </c>
      <c r="AQ25" s="72">
        <f>IFERROR(VLOOKUP($D25,'FERC 2023'!$EA$3:$EN$221,14,0),"")</f>
        <v>366349</v>
      </c>
    </row>
    <row r="26" spans="1:43" ht="15.75" customHeight="1">
      <c r="A26" s="7" t="s">
        <v>276</v>
      </c>
      <c r="B26" s="7" t="s">
        <v>277</v>
      </c>
      <c r="C26" s="311">
        <f>'BD DEA'!P26</f>
        <v>1</v>
      </c>
      <c r="D26" s="44" t="str">
        <f t="shared" si="0"/>
        <v>C000313</v>
      </c>
      <c r="E26" s="72">
        <f>IFERROR(VLOOKUP($D26,'FERC 2021'!$EA$3:$EN$221,2,0),"")</f>
        <v>4619072276.3268967</v>
      </c>
      <c r="F26" s="72">
        <f>IFERROR(VLOOKUP($D26,'FERC 2022'!$EA$3:$EN$220,2,0),"")</f>
        <v>4800533727.581728</v>
      </c>
      <c r="G26" s="72">
        <f>IFERROR(VLOOKUP($D26,'FERC 2023'!$EA$3:$EN$221,2,0),"")</f>
        <v>4853167395.6365738</v>
      </c>
      <c r="H26" s="72">
        <f>IFERROR(VLOOKUP($D26,'FERC 2021'!$EA$3:$EN$225,3,0),"")</f>
        <v>363978286.23552233</v>
      </c>
      <c r="I26" s="72">
        <f>IFERROR(VLOOKUP($D26,'FERC 2022'!$EA$3:$EN$229,3,0),"")</f>
        <v>334484191.11669958</v>
      </c>
      <c r="J26" s="72">
        <f>IFERROR(VLOOKUP($D26,'FERC 2023'!$EA$3:$EN$229,3,0),"")</f>
        <v>346130103.82718813</v>
      </c>
      <c r="K26" s="72">
        <f>IFERROR(VLOOKUP($D26,'FERC 2021'!$EA$3:$EN$229,4,0),"")</f>
        <v>88948792.501481831</v>
      </c>
      <c r="L26" s="72">
        <f>IFERROR(VLOOKUP($D26,'FERC 2022'!$EA$3:$EN$220,4,0),"")</f>
        <v>110689549.02658083</v>
      </c>
      <c r="M26" s="72">
        <f>IFERROR(VLOOKUP($D26,'FERC 2023'!$EA$3:$EN$221,4,0),"")</f>
        <v>129631475.30518565</v>
      </c>
      <c r="N26" s="72">
        <f>IFERROR(VLOOKUP($D26,'FERC 2021'!$EA$3:$EN$221,5,0),"")</f>
        <v>69186122.500382468</v>
      </c>
      <c r="O26" s="72">
        <f>IFERROR(VLOOKUP($D26,'FERC 2022'!$EA$3:$EN$220,5,0),"")</f>
        <v>51641758.223723337</v>
      </c>
      <c r="P26" s="72">
        <f>IFERROR(VLOOKUP($D26,'FERC 2023'!$EA$3:$EN$221,5,0),"")</f>
        <v>40996625.532335311</v>
      </c>
      <c r="Q26" s="72">
        <f>IFERROR(VLOOKUP($D26,'FERC 2021'!$EA$3:$EN$221,6,0),"")</f>
        <v>3833724.6903716479</v>
      </c>
      <c r="R26" s="72">
        <f>IFERROR(VLOOKUP($D26,'FERC 2022'!$EA$3:$EN$220,6,0),"")</f>
        <v>8373414.0072907107</v>
      </c>
      <c r="S26" s="72">
        <f>IFERROR(VLOOKUP($D26,'FERC 2023'!$EA$3:$EN$221,6,0),"")</f>
        <v>14923145.638977319</v>
      </c>
      <c r="T26" s="72">
        <f>IFERROR(VLOOKUP($D26,'FERC 2021'!$EA$3:$EN$221,7,0),"")</f>
        <v>5504</v>
      </c>
      <c r="U26" s="72">
        <f>IFERROR(VLOOKUP($D26,'FERC 2022'!$EA$3:$EN$220,7,0),"")</f>
        <v>5652</v>
      </c>
      <c r="V26" s="72">
        <f>IFERROR(VLOOKUP($D26,'FERC 2023'!$EA$3:$EN$221,7,0),"")</f>
        <v>5192</v>
      </c>
      <c r="W26" s="72">
        <f>IFERROR(VLOOKUP($D26,'FERC 2021'!$EA$3:$EN$221,8,0),"")</f>
        <v>1062269</v>
      </c>
      <c r="X26" s="72">
        <f>IFERROR(VLOOKUP($D26,'FERC 2022'!$EA$3:$EN$220,8,0),"")</f>
        <v>1065866</v>
      </c>
      <c r="Y26" s="72">
        <f>IFERROR(VLOOKUP($D26,'FERC 2023'!$EA$3:$EN$221,8,0),"")</f>
        <v>1069766</v>
      </c>
      <c r="Z26" s="72">
        <f>IFERROR(VLOOKUP($D26,'FERC 2021'!$EA$3:$EN$222,9,0),"")</f>
        <v>249329</v>
      </c>
      <c r="AA26" s="72">
        <f>IFERROR(VLOOKUP($D26,'FERC 2022'!$EA$3:$EN$220,9,0),"")</f>
        <v>175728</v>
      </c>
      <c r="AB26" s="72">
        <f>IFERROR(VLOOKUP($D26,'FERC 2023'!$EA$3:$EN$221,9,0),"")</f>
        <v>257142</v>
      </c>
      <c r="AC26" s="72">
        <f>IFERROR(VLOOKUP($D26,'FERC 2021'!$EA$3:$EN$221,10,0),"")</f>
        <v>23209989</v>
      </c>
      <c r="AD26" s="72">
        <f>IFERROR(VLOOKUP($D26,'FERC 2022'!$EA$3:$EN$220,10,0),"")</f>
        <v>23634197</v>
      </c>
      <c r="AE26" s="72">
        <f>IFERROR(VLOOKUP($D26,'FERC 2023'!$EA$3:$EN$221,10,0),"")</f>
        <v>23499759</v>
      </c>
      <c r="AF26" s="72">
        <f>IFERROR(VLOOKUP($D26,'FERC 2021'!$EA$3:$EN$221,11,0),"")</f>
        <v>23459318</v>
      </c>
      <c r="AG26" s="72">
        <f>IFERROR(VLOOKUP($D26,'FERC 2022'!$EA$3:$EN$220,11,0),"")</f>
        <v>23809925</v>
      </c>
      <c r="AH26" s="72">
        <f>IFERROR(VLOOKUP($D26,'FERC 2023'!$EA$3:$EN$221,11,0),"")</f>
        <v>23756901</v>
      </c>
      <c r="AI26" s="72">
        <f>IFERROR(VLOOKUP($D26,'FERC 2021'!$EA$3:$EN$221,12,0),"")</f>
        <v>121563939.822</v>
      </c>
      <c r="AJ26" s="72">
        <f>IFERROR(VLOOKUP($D26,'FERC 2022'!$EA$3:$EN$220,12,0),"")</f>
        <v>122568194.80400001</v>
      </c>
      <c r="AK26" s="72">
        <f>IFERROR(VLOOKUP($D26,'FERC 2023'!$EA$3:$EN$221,12,0),"")</f>
        <v>114711008.18000001</v>
      </c>
      <c r="AL26" s="72">
        <f>VLOOKUP($D26,'FERC 2021'!$EA$3:$EN$221,13,0)</f>
        <v>1491425.676</v>
      </c>
      <c r="AM26" s="72">
        <f>VLOOKUP($D26,'FERC 2022'!$EA$3:$EN$220,13,0)</f>
        <v>1623313.9179999998</v>
      </c>
      <c r="AN26" s="72">
        <f>VLOOKUP($D26,'FERC 2023'!$EA$3:$EN$221,13,0)</f>
        <v>1586462.9780000001</v>
      </c>
      <c r="AO26" s="72">
        <f>IFERROR(VLOOKUP($D26,'FERC 2021'!$EA$3:$EN$221,14,0),"")</f>
        <v>326402</v>
      </c>
      <c r="AP26" s="72">
        <f>IFERROR(VLOOKUP($D26,'FERC 2022'!$EA$3:$EN$220,14,0),"")</f>
        <v>347971</v>
      </c>
      <c r="AQ26" s="72">
        <f>IFERROR(VLOOKUP($D26,'FERC 2023'!$EA$3:$EN$221,14,0),"")</f>
        <v>357838</v>
      </c>
    </row>
    <row r="27" spans="1:43" ht="15.75" customHeight="1">
      <c r="A27" s="7" t="s">
        <v>279</v>
      </c>
      <c r="B27" s="7" t="s">
        <v>280</v>
      </c>
      <c r="C27" s="311">
        <f>'BD DEA'!P27</f>
        <v>1</v>
      </c>
      <c r="D27" s="44" t="str">
        <f t="shared" si="0"/>
        <v>C000314</v>
      </c>
      <c r="E27" s="72">
        <f>IFERROR(VLOOKUP($D27,'FERC 2021'!$EA$3:$EN$221,2,0),"")</f>
        <v>3862271834.0408854</v>
      </c>
      <c r="F27" s="72">
        <f>IFERROR(VLOOKUP($D27,'FERC 2022'!$EA$3:$EN$220,2,0),"")</f>
        <v>3890262745.5799608</v>
      </c>
      <c r="G27" s="72">
        <f>IFERROR(VLOOKUP($D27,'FERC 2023'!$EA$3:$EN$221,2,0),"")</f>
        <v>3874880889.7388716</v>
      </c>
      <c r="H27" s="72">
        <f>IFERROR(VLOOKUP($D27,'FERC 2021'!$EA$3:$EN$225,3,0),"")</f>
        <v>303754158.85086387</v>
      </c>
      <c r="I27" s="72">
        <f>IFERROR(VLOOKUP($D27,'FERC 2022'!$EA$3:$EN$229,3,0),"")</f>
        <v>256562125.33175468</v>
      </c>
      <c r="J27" s="72">
        <f>IFERROR(VLOOKUP($D27,'FERC 2023'!$EA$3:$EN$229,3,0),"")</f>
        <v>254751140.46341044</v>
      </c>
      <c r="K27" s="72">
        <f>IFERROR(VLOOKUP($D27,'FERC 2021'!$EA$3:$EN$229,4,0),"")</f>
        <v>83847010.606805101</v>
      </c>
      <c r="L27" s="72">
        <f>IFERROR(VLOOKUP($D27,'FERC 2022'!$EA$3:$EN$220,4,0),"")</f>
        <v>78210459.175717652</v>
      </c>
      <c r="M27" s="72">
        <f>IFERROR(VLOOKUP($D27,'FERC 2023'!$EA$3:$EN$221,4,0),"")</f>
        <v>86203644.079310119</v>
      </c>
      <c r="N27" s="72">
        <f>IFERROR(VLOOKUP($D27,'FERC 2021'!$EA$3:$EN$221,5,0),"")</f>
        <v>45854544.334345892</v>
      </c>
      <c r="O27" s="72">
        <f>IFERROR(VLOOKUP($D27,'FERC 2022'!$EA$3:$EN$220,5,0),"")</f>
        <v>50056717.304049559</v>
      </c>
      <c r="P27" s="72">
        <f>IFERROR(VLOOKUP($D27,'FERC 2023'!$EA$3:$EN$221,5,0),"")</f>
        <v>38515119.779441342</v>
      </c>
      <c r="Q27" s="72">
        <f>IFERROR(VLOOKUP($D27,'FERC 2021'!$EA$3:$EN$221,6,0),"")</f>
        <v>86663.12598426624</v>
      </c>
      <c r="R27" s="72">
        <f>IFERROR(VLOOKUP($D27,'FERC 2022'!$EA$3:$EN$220,6,0),"")</f>
        <v>9046045.9244551677</v>
      </c>
      <c r="S27" s="72">
        <f>IFERROR(VLOOKUP($D27,'FERC 2023'!$EA$3:$EN$221,6,0),"")</f>
        <v>23650538.262252886</v>
      </c>
      <c r="T27" s="72">
        <f>IFERROR(VLOOKUP($D27,'FERC 2021'!$EA$3:$EN$221,7,0),"")</f>
        <v>4055</v>
      </c>
      <c r="U27" s="72">
        <f>IFERROR(VLOOKUP($D27,'FERC 2022'!$EA$3:$EN$220,7,0),"")</f>
        <v>4266</v>
      </c>
      <c r="V27" s="72">
        <f>IFERROR(VLOOKUP($D27,'FERC 2023'!$EA$3:$EN$221,7,0),"")</f>
        <v>3868</v>
      </c>
      <c r="W27" s="72">
        <f>IFERROR(VLOOKUP($D27,'FERC 2021'!$EA$3:$EN$221,8,0),"")</f>
        <v>755210</v>
      </c>
      <c r="X27" s="72">
        <f>IFERROR(VLOOKUP($D27,'FERC 2022'!$EA$3:$EN$220,8,0),"")</f>
        <v>755417</v>
      </c>
      <c r="Y27" s="72">
        <f>IFERROR(VLOOKUP($D27,'FERC 2023'!$EA$3:$EN$221,8,0),"")</f>
        <v>756673</v>
      </c>
      <c r="Z27" s="72">
        <f>IFERROR(VLOOKUP($D27,'FERC 2021'!$EA$3:$EN$222,9,0),"")</f>
        <v>220026</v>
      </c>
      <c r="AA27" s="72">
        <f>IFERROR(VLOOKUP($D27,'FERC 2022'!$EA$3:$EN$220,9,0),"")</f>
        <v>20755</v>
      </c>
      <c r="AB27" s="72">
        <f>IFERROR(VLOOKUP($D27,'FERC 2023'!$EA$3:$EN$221,9,0),"")</f>
        <v>159223</v>
      </c>
      <c r="AC27" s="72">
        <f>IFERROR(VLOOKUP($D27,'FERC 2021'!$EA$3:$EN$221,10,0),"")</f>
        <v>17563170</v>
      </c>
      <c r="AD27" s="72">
        <f>IFERROR(VLOOKUP($D27,'FERC 2022'!$EA$3:$EN$220,10,0),"")</f>
        <v>17719187</v>
      </c>
      <c r="AE27" s="72">
        <f>IFERROR(VLOOKUP($D27,'FERC 2023'!$EA$3:$EN$221,10,0),"")</f>
        <v>17042067</v>
      </c>
      <c r="AF27" s="72">
        <f>IFERROR(VLOOKUP($D27,'FERC 2021'!$EA$3:$EN$221,11,0),"")</f>
        <v>17783196</v>
      </c>
      <c r="AG27" s="72">
        <f>IFERROR(VLOOKUP($D27,'FERC 2022'!$EA$3:$EN$220,11,0),"")</f>
        <v>17739942</v>
      </c>
      <c r="AH27" s="72">
        <f>IFERROR(VLOOKUP($D27,'FERC 2023'!$EA$3:$EN$221,11,0),"")</f>
        <v>17201290</v>
      </c>
      <c r="AI27" s="72">
        <f>IFERROR(VLOOKUP($D27,'FERC 2021'!$EA$3:$EN$221,12,0),"")</f>
        <v>102475955.32000001</v>
      </c>
      <c r="AJ27" s="72">
        <f>IFERROR(VLOOKUP($D27,'FERC 2022'!$EA$3:$EN$220,12,0),"")</f>
        <v>122420612.76899999</v>
      </c>
      <c r="AK27" s="72">
        <f>IFERROR(VLOOKUP($D27,'FERC 2023'!$EA$3:$EN$221,12,0),"")</f>
        <v>89051332.024000004</v>
      </c>
      <c r="AL27" s="72">
        <f>VLOOKUP($D27,'FERC 2021'!$EA$3:$EN$221,13,0)</f>
        <v>1181148.44</v>
      </c>
      <c r="AM27" s="72">
        <f>VLOOKUP($D27,'FERC 2022'!$EA$3:$EN$220,13,0)</f>
        <v>911788.31900000002</v>
      </c>
      <c r="AN27" s="72">
        <f>VLOOKUP($D27,'FERC 2023'!$EA$3:$EN$221,13,0)</f>
        <v>939787.86600000004</v>
      </c>
      <c r="AO27" s="72">
        <f>IFERROR(VLOOKUP($D27,'FERC 2021'!$EA$3:$EN$221,14,0),"")</f>
        <v>338725</v>
      </c>
      <c r="AP27" s="72">
        <f>IFERROR(VLOOKUP($D27,'FERC 2022'!$EA$3:$EN$220,14,0),"")</f>
        <v>329308</v>
      </c>
      <c r="AQ27" s="72">
        <f>IFERROR(VLOOKUP($D27,'FERC 2023'!$EA$3:$EN$221,14,0),"")</f>
        <v>331795</v>
      </c>
    </row>
    <row r="28" spans="1:43" ht="15.75" customHeight="1">
      <c r="A28" s="7" t="s">
        <v>282</v>
      </c>
      <c r="B28" s="7" t="s">
        <v>283</v>
      </c>
      <c r="C28" s="311">
        <f>'BD DEA'!P28</f>
        <v>1</v>
      </c>
      <c r="D28" s="44" t="str">
        <f t="shared" si="0"/>
        <v>C000315</v>
      </c>
      <c r="E28" s="72">
        <f>IFERROR(VLOOKUP($D28,'FERC 2021'!$EA$3:$EN$221,2,0),"")</f>
        <v>1670260162.3799179</v>
      </c>
      <c r="F28" s="72">
        <f>IFERROR(VLOOKUP($D28,'FERC 2022'!$EA$3:$EN$220,2,0),"")</f>
        <v>1622435479.588659</v>
      </c>
      <c r="G28" s="72">
        <f>IFERROR(VLOOKUP($D28,'FERC 2023'!$EA$3:$EN$221,2,0),"")</f>
        <v>1619994564.4363816</v>
      </c>
      <c r="H28" s="72">
        <f>IFERROR(VLOOKUP($D28,'FERC 2021'!$EA$3:$EN$225,3,0),"")</f>
        <v>136027941.11281937</v>
      </c>
      <c r="I28" s="72">
        <f>IFERROR(VLOOKUP($D28,'FERC 2022'!$EA$3:$EN$229,3,0),"")</f>
        <v>106218119.5405034</v>
      </c>
      <c r="J28" s="72">
        <f>IFERROR(VLOOKUP($D28,'FERC 2023'!$EA$3:$EN$229,3,0),"")</f>
        <v>106903226.92526935</v>
      </c>
      <c r="K28" s="72">
        <f>IFERROR(VLOOKUP($D28,'FERC 2021'!$EA$3:$EN$229,4,0),"")</f>
        <v>23732063.318426751</v>
      </c>
      <c r="L28" s="72">
        <f>IFERROR(VLOOKUP($D28,'FERC 2022'!$EA$3:$EN$220,4,0),"")</f>
        <v>26135822.466945011</v>
      </c>
      <c r="M28" s="72">
        <f>IFERROR(VLOOKUP($D28,'FERC 2023'!$EA$3:$EN$221,4,0),"")</f>
        <v>26787304.149811223</v>
      </c>
      <c r="N28" s="72">
        <f>IFERROR(VLOOKUP($D28,'FERC 2021'!$EA$3:$EN$221,5,0),"")</f>
        <v>24013376.232910551</v>
      </c>
      <c r="O28" s="72">
        <f>IFERROR(VLOOKUP($D28,'FERC 2022'!$EA$3:$EN$220,5,0),"")</f>
        <v>14880144.578232458</v>
      </c>
      <c r="P28" s="72">
        <f>IFERROR(VLOOKUP($D28,'FERC 2023'!$EA$3:$EN$221,5,0),"")</f>
        <v>13205614.353596831</v>
      </c>
      <c r="Q28" s="72">
        <f>IFERROR(VLOOKUP($D28,'FERC 2021'!$EA$3:$EN$221,6,0),"")</f>
        <v>16598.489258610512</v>
      </c>
      <c r="R28" s="72">
        <f>IFERROR(VLOOKUP($D28,'FERC 2022'!$EA$3:$EN$220,6,0),"")</f>
        <v>1543697.9980429925</v>
      </c>
      <c r="S28" s="72">
        <f>IFERROR(VLOOKUP($D28,'FERC 2023'!$EA$3:$EN$221,6,0),"")</f>
        <v>6979258.5066945767</v>
      </c>
      <c r="T28" s="72">
        <f>IFERROR(VLOOKUP($D28,'FERC 2021'!$EA$3:$EN$221,7,0),"")</f>
        <v>2190</v>
      </c>
      <c r="U28" s="72">
        <f>IFERROR(VLOOKUP($D28,'FERC 2022'!$EA$3:$EN$220,7,0),"")</f>
        <v>2277</v>
      </c>
      <c r="V28" s="72">
        <f>IFERROR(VLOOKUP($D28,'FERC 2023'!$EA$3:$EN$221,7,0),"")</f>
        <v>2220</v>
      </c>
      <c r="W28" s="72">
        <f>IFERROR(VLOOKUP($D28,'FERC 2021'!$EA$3:$EN$221,8,0),"")</f>
        <v>314440</v>
      </c>
      <c r="X28" s="72">
        <f>IFERROR(VLOOKUP($D28,'FERC 2022'!$EA$3:$EN$220,8,0),"")</f>
        <v>313654</v>
      </c>
      <c r="Y28" s="72">
        <f>IFERROR(VLOOKUP($D28,'FERC 2023'!$EA$3:$EN$221,8,0),"")</f>
        <v>315061</v>
      </c>
      <c r="Z28" s="72">
        <f>IFERROR(VLOOKUP($D28,'FERC 2021'!$EA$3:$EN$222,9,0),"")</f>
        <v>61494</v>
      </c>
      <c r="AA28" s="72">
        <f>IFERROR(VLOOKUP($D28,'FERC 2022'!$EA$3:$EN$220,9,0),"")</f>
        <v>173204</v>
      </c>
      <c r="AB28" s="72">
        <f>IFERROR(VLOOKUP($D28,'FERC 2023'!$EA$3:$EN$221,9,0),"")</f>
        <v>135390</v>
      </c>
      <c r="AC28" s="72">
        <f>IFERROR(VLOOKUP($D28,'FERC 2021'!$EA$3:$EN$221,10,0),"")</f>
        <v>10745926</v>
      </c>
      <c r="AD28" s="72">
        <f>IFERROR(VLOOKUP($D28,'FERC 2022'!$EA$3:$EN$220,10,0),"")</f>
        <v>10808083</v>
      </c>
      <c r="AE28" s="72">
        <f>IFERROR(VLOOKUP($D28,'FERC 2023'!$EA$3:$EN$221,10,0),"")</f>
        <v>10830066</v>
      </c>
      <c r="AF28" s="72">
        <f>IFERROR(VLOOKUP($D28,'FERC 2021'!$EA$3:$EN$221,11,0),"")</f>
        <v>10807420</v>
      </c>
      <c r="AG28" s="72">
        <f>IFERROR(VLOOKUP($D28,'FERC 2022'!$EA$3:$EN$220,11,0),"")</f>
        <v>10981287</v>
      </c>
      <c r="AH28" s="72">
        <f>IFERROR(VLOOKUP($D28,'FERC 2023'!$EA$3:$EN$221,11,0),"")</f>
        <v>10965456</v>
      </c>
      <c r="AI28" s="72">
        <f>IFERROR(VLOOKUP($D28,'FERC 2021'!$EA$3:$EN$221,12,0),"")</f>
        <v>21571527.319999997</v>
      </c>
      <c r="AJ28" s="72">
        <f>IFERROR(VLOOKUP($D28,'FERC 2022'!$EA$3:$EN$220,12,0),"")</f>
        <v>29934824.105999999</v>
      </c>
      <c r="AK28" s="72">
        <f>IFERROR(VLOOKUP($D28,'FERC 2023'!$EA$3:$EN$221,12,0),"")</f>
        <v>25173373.900000002</v>
      </c>
      <c r="AL28" s="72">
        <f>VLOOKUP($D28,'FERC 2021'!$EA$3:$EN$221,13,0)</f>
        <v>351858.36</v>
      </c>
      <c r="AM28" s="72">
        <f>VLOOKUP($D28,'FERC 2022'!$EA$3:$EN$220,13,0)</f>
        <v>376384.8</v>
      </c>
      <c r="AN28" s="72">
        <f>VLOOKUP($D28,'FERC 2023'!$EA$3:$EN$221,13,0)</f>
        <v>319471.85399999999</v>
      </c>
      <c r="AO28" s="72">
        <f>IFERROR(VLOOKUP($D28,'FERC 2021'!$EA$3:$EN$221,14,0),"")</f>
        <v>125586</v>
      </c>
      <c r="AP28" s="72">
        <f>IFERROR(VLOOKUP($D28,'FERC 2022'!$EA$3:$EN$220,14,0),"")</f>
        <v>129306</v>
      </c>
      <c r="AQ28" s="72">
        <f>IFERROR(VLOOKUP($D28,'FERC 2023'!$EA$3:$EN$221,14,0),"")</f>
        <v>129694</v>
      </c>
    </row>
    <row r="29" spans="1:43" ht="15.75" customHeight="1">
      <c r="A29" s="7" t="s">
        <v>285</v>
      </c>
      <c r="B29" s="7" t="s">
        <v>286</v>
      </c>
      <c r="C29" s="311">
        <f>'BD DEA'!P29</f>
        <v>1</v>
      </c>
      <c r="D29" s="44" t="str">
        <f t="shared" si="0"/>
        <v>C000316</v>
      </c>
      <c r="E29" s="72">
        <f>IFERROR(VLOOKUP($D29,'FERC 2021'!$EA$3:$EN$221,2,0),"")</f>
        <v>1001682558.8665764</v>
      </c>
      <c r="F29" s="72">
        <f>IFERROR(VLOOKUP($D29,'FERC 2022'!$EA$3:$EN$220,2,0),"")</f>
        <v>1008194445.6944928</v>
      </c>
      <c r="G29" s="72">
        <f>IFERROR(VLOOKUP($D29,'FERC 2023'!$EA$3:$EN$221,2,0),"")</f>
        <v>1021709570.7118995</v>
      </c>
      <c r="H29" s="72">
        <f>IFERROR(VLOOKUP($D29,'FERC 2021'!$EA$3:$EN$225,3,0),"")</f>
        <v>67271476.370473951</v>
      </c>
      <c r="I29" s="72">
        <f>IFERROR(VLOOKUP($D29,'FERC 2022'!$EA$3:$EN$229,3,0),"")</f>
        <v>65959239.083499491</v>
      </c>
      <c r="J29" s="72">
        <f>IFERROR(VLOOKUP($D29,'FERC 2023'!$EA$3:$EN$229,3,0),"")</f>
        <v>66533702.339231312</v>
      </c>
      <c r="K29" s="72">
        <f>IFERROR(VLOOKUP($D29,'FERC 2021'!$EA$3:$EN$229,4,0),"")</f>
        <v>20605691.780126013</v>
      </c>
      <c r="L29" s="72">
        <f>IFERROR(VLOOKUP($D29,'FERC 2022'!$EA$3:$EN$220,4,0),"")</f>
        <v>31268325.720545907</v>
      </c>
      <c r="M29" s="72">
        <f>IFERROR(VLOOKUP($D29,'FERC 2023'!$EA$3:$EN$221,4,0),"")</f>
        <v>36728485.491616867</v>
      </c>
      <c r="N29" s="72">
        <f>IFERROR(VLOOKUP($D29,'FERC 2021'!$EA$3:$EN$221,5,0),"")</f>
        <v>20601974.174771465</v>
      </c>
      <c r="O29" s="72">
        <f>IFERROR(VLOOKUP($D29,'FERC 2022'!$EA$3:$EN$220,5,0),"")</f>
        <v>24761432.431093913</v>
      </c>
      <c r="P29" s="72">
        <f>IFERROR(VLOOKUP($D29,'FERC 2023'!$EA$3:$EN$221,5,0),"")</f>
        <v>21778902.209550198</v>
      </c>
      <c r="Q29" s="72">
        <f>IFERROR(VLOOKUP($D29,'FERC 2021'!$EA$3:$EN$221,6,0),"")</f>
        <v>3243082.7269731201</v>
      </c>
      <c r="R29" s="72">
        <f>IFERROR(VLOOKUP($D29,'FERC 2022'!$EA$3:$EN$220,6,0),"")</f>
        <v>12714827.310884532</v>
      </c>
      <c r="S29" s="72">
        <f>IFERROR(VLOOKUP($D29,'FERC 2023'!$EA$3:$EN$221,6,0),"")</f>
        <v>8248798.9354550131</v>
      </c>
      <c r="T29" s="72">
        <f>IFERROR(VLOOKUP($D29,'FERC 2021'!$EA$3:$EN$221,7,0),"")</f>
        <v>971</v>
      </c>
      <c r="U29" s="72">
        <f>IFERROR(VLOOKUP($D29,'FERC 2022'!$EA$3:$EN$220,7,0),"")</f>
        <v>877</v>
      </c>
      <c r="V29" s="72">
        <f>IFERROR(VLOOKUP($D29,'FERC 2023'!$EA$3:$EN$221,7,0),"")</f>
        <v>900</v>
      </c>
      <c r="W29" s="72">
        <f>IFERROR(VLOOKUP($D29,'FERC 2021'!$EA$3:$EN$221,8,0),"")</f>
        <v>169371</v>
      </c>
      <c r="X29" s="72">
        <f>IFERROR(VLOOKUP($D29,'FERC 2022'!$EA$3:$EN$220,8,0),"")</f>
        <v>170274</v>
      </c>
      <c r="Y29" s="72">
        <f>IFERROR(VLOOKUP($D29,'FERC 2023'!$EA$3:$EN$221,8,0),"")</f>
        <v>171046</v>
      </c>
      <c r="Z29" s="72">
        <f>IFERROR(VLOOKUP($D29,'FERC 2021'!$EA$3:$EN$222,9,0),"")</f>
        <v>60662</v>
      </c>
      <c r="AA29" s="72">
        <f>IFERROR(VLOOKUP($D29,'FERC 2022'!$EA$3:$EN$220,9,0),"")</f>
        <v>14438</v>
      </c>
      <c r="AB29" s="72">
        <f>IFERROR(VLOOKUP($D29,'FERC 2023'!$EA$3:$EN$221,9,0),"")</f>
        <v>4350</v>
      </c>
      <c r="AC29" s="72">
        <f>IFERROR(VLOOKUP($D29,'FERC 2021'!$EA$3:$EN$221,10,0),"")</f>
        <v>4434813</v>
      </c>
      <c r="AD29" s="72">
        <f>IFERROR(VLOOKUP($D29,'FERC 2022'!$EA$3:$EN$220,10,0),"")</f>
        <v>4589789</v>
      </c>
      <c r="AE29" s="72">
        <f>IFERROR(VLOOKUP($D29,'FERC 2023'!$EA$3:$EN$221,10,0),"")</f>
        <v>4430772</v>
      </c>
      <c r="AF29" s="72">
        <f>IFERROR(VLOOKUP($D29,'FERC 2021'!$EA$3:$EN$221,11,0),"")</f>
        <v>4495326.0812182743</v>
      </c>
      <c r="AG29" s="72">
        <f>IFERROR(VLOOKUP($D29,'FERC 2022'!$EA$3:$EN$220,11,0),"")</f>
        <v>4603961.4314720808</v>
      </c>
      <c r="AH29" s="72">
        <f>IFERROR(VLOOKUP($D29,'FERC 2023'!$EA$3:$EN$221,11,0),"")</f>
        <v>4434844.507614213</v>
      </c>
      <c r="AI29" s="72">
        <f>IFERROR(VLOOKUP($D29,'FERC 2021'!$EA$3:$EN$221,12,0),"")</f>
        <v>17483660.217</v>
      </c>
      <c r="AJ29" s="72">
        <f>IFERROR(VLOOKUP($D29,'FERC 2022'!$EA$3:$EN$220,12,0),"")</f>
        <v>21769530.899999999</v>
      </c>
      <c r="AK29" s="72">
        <f>IFERROR(VLOOKUP($D29,'FERC 2023'!$EA$3:$EN$221,12,0),"")</f>
        <v>20275792.84</v>
      </c>
      <c r="AL29" s="72">
        <f>VLOOKUP($D29,'FERC 2021'!$EA$3:$EN$221,13,0)</f>
        <v>191050.48799999998</v>
      </c>
      <c r="AM29" s="72">
        <f>VLOOKUP($D29,'FERC 2022'!$EA$3:$EN$220,13,0)</f>
        <v>198539.484</v>
      </c>
      <c r="AN29" s="72">
        <f>VLOOKUP($D29,'FERC 2023'!$EA$3:$EN$221,13,0)</f>
        <v>258108.41399999999</v>
      </c>
      <c r="AO29" s="72">
        <f>IFERROR(VLOOKUP($D29,'FERC 2021'!$EA$3:$EN$221,14,0),"")</f>
        <v>172835</v>
      </c>
      <c r="AP29" s="72">
        <f>IFERROR(VLOOKUP($D29,'FERC 2022'!$EA$3:$EN$220,14,0),"")</f>
        <v>173238</v>
      </c>
      <c r="AQ29" s="72">
        <f>IFERROR(VLOOKUP($D29,'FERC 2023'!$EA$3:$EN$221,14,0),"")</f>
        <v>174221</v>
      </c>
    </row>
    <row r="30" spans="1:43" ht="15.75" hidden="1" customHeight="1">
      <c r="A30" s="7" t="s">
        <v>288</v>
      </c>
      <c r="B30" s="7" t="s">
        <v>289</v>
      </c>
      <c r="C30" s="311" t="str">
        <f>'BD DEA'!P30</f>
        <v/>
      </c>
      <c r="D30" s="44" t="str">
        <f t="shared" si="0"/>
        <v>C000317</v>
      </c>
      <c r="E30" s="72">
        <f>IFERROR(VLOOKUP($D30,'FERC 2021'!$EA$3:$EN$221,2,0),"")</f>
        <v>4426148454.2995281</v>
      </c>
      <c r="F30" s="72">
        <f>IFERROR(VLOOKUP($D30,'FERC 2022'!$EA$3:$EN$220,2,0),"")</f>
        <v>4534895290.0602074</v>
      </c>
      <c r="G30" s="72">
        <f>IFERROR(VLOOKUP($D30,'FERC 2023'!$EA$3:$EN$221,2,0),"")</f>
        <v>4648282918.4016562</v>
      </c>
      <c r="H30" s="72">
        <f>IFERROR(VLOOKUP($D30,'FERC 2021'!$EA$3:$EN$225,3,0),"")</f>
        <v>215931813.02889061</v>
      </c>
      <c r="I30" s="72">
        <f>IFERROR(VLOOKUP($D30,'FERC 2022'!$EA$3:$EN$229,3,0),"")</f>
        <v>210896997.66905916</v>
      </c>
      <c r="J30" s="72">
        <f>IFERROR(VLOOKUP($D30,'FERC 2023'!$EA$3:$EN$229,3,0),"")</f>
        <v>214220542.45098251</v>
      </c>
      <c r="K30" s="72">
        <f>IFERROR(VLOOKUP($D30,'FERC 2021'!$EA$3:$EN$229,4,0),"")</f>
        <v>72247759.240569279</v>
      </c>
      <c r="L30" s="72">
        <f>IFERROR(VLOOKUP($D30,'FERC 2022'!$EA$3:$EN$220,4,0),"")</f>
        <v>105800812.77021943</v>
      </c>
      <c r="M30" s="72">
        <f>IFERROR(VLOOKUP($D30,'FERC 2023'!$EA$3:$EN$221,4,0),"")</f>
        <v>89822068.969977945</v>
      </c>
      <c r="N30" s="72">
        <f>IFERROR(VLOOKUP($D30,'FERC 2021'!$EA$3:$EN$221,5,0),"")</f>
        <v>74870972.251123801</v>
      </c>
      <c r="O30" s="72">
        <f>IFERROR(VLOOKUP($D30,'FERC 2022'!$EA$3:$EN$220,5,0),"")</f>
        <v>85157883.328436136</v>
      </c>
      <c r="P30" s="72">
        <f>IFERROR(VLOOKUP($D30,'FERC 2023'!$EA$3:$EN$221,5,0),"")</f>
        <v>83872482.527756125</v>
      </c>
      <c r="Q30" s="72">
        <f>IFERROR(VLOOKUP($D30,'FERC 2021'!$EA$3:$EN$221,6,0),"")</f>
        <v>80636914.034604728</v>
      </c>
      <c r="R30" s="72">
        <f>IFERROR(VLOOKUP($D30,'FERC 2022'!$EA$3:$EN$220,6,0),"")</f>
        <v>21876772.292103425</v>
      </c>
      <c r="S30" s="72">
        <f>IFERROR(VLOOKUP($D30,'FERC 2023'!$EA$3:$EN$221,6,0),"")</f>
        <v>37014514.790381461</v>
      </c>
      <c r="T30" s="72">
        <f>IFERROR(VLOOKUP($D30,'FERC 2021'!$EA$3:$EN$221,7,0),"")</f>
        <v>2898</v>
      </c>
      <c r="U30" s="72">
        <f>IFERROR(VLOOKUP($D30,'FERC 2022'!$EA$3:$EN$220,7,0),"")</f>
        <v>2838</v>
      </c>
      <c r="V30" s="72">
        <f>IFERROR(VLOOKUP($D30,'FERC 2023'!$EA$3:$EN$221,7,0),"")</f>
        <v>2763</v>
      </c>
      <c r="W30" s="72">
        <f>IFERROR(VLOOKUP($D30,'FERC 2021'!$EA$3:$EN$221,8,0),"")</f>
        <v>588261</v>
      </c>
      <c r="X30" s="72">
        <f>IFERROR(VLOOKUP($D30,'FERC 2022'!$EA$3:$EN$220,8,0),"")</f>
        <v>588187</v>
      </c>
      <c r="Y30" s="72">
        <f>IFERROR(VLOOKUP($D30,'FERC 2023'!$EA$3:$EN$221,8,0),"")</f>
        <v>588213</v>
      </c>
      <c r="Z30" s="72">
        <f>IFERROR(VLOOKUP($D30,'FERC 2021'!$EA$3:$EN$222,9,0),"")</f>
        <v>294153</v>
      </c>
      <c r="AA30" s="72">
        <f>IFERROR(VLOOKUP($D30,'FERC 2022'!$EA$3:$EN$220,9,0),"")</f>
        <v>280153</v>
      </c>
      <c r="AB30" s="72">
        <f>IFERROR(VLOOKUP($D30,'FERC 2023'!$EA$3:$EN$221,9,0),"")</f>
        <v>219215</v>
      </c>
      <c r="AC30" s="72">
        <f>IFERROR(VLOOKUP($D30,'FERC 2021'!$EA$3:$EN$221,10,0),"")</f>
        <v>13212534</v>
      </c>
      <c r="AD30" s="72">
        <f>IFERROR(VLOOKUP($D30,'FERC 2022'!$EA$3:$EN$220,10,0),"")</f>
        <v>13307291</v>
      </c>
      <c r="AE30" s="72">
        <f>IFERROR(VLOOKUP($D30,'FERC 2023'!$EA$3:$EN$221,10,0),"")</f>
        <v>12908072</v>
      </c>
      <c r="AF30" s="72">
        <f>IFERROR(VLOOKUP($D30,'FERC 2021'!$EA$3:$EN$221,11,0),"")</f>
        <v>13505496.700507615</v>
      </c>
      <c r="AG30" s="72">
        <f>IFERROR(VLOOKUP($D30,'FERC 2022'!$EA$3:$EN$220,11,0),"")</f>
        <v>13586500.263959391</v>
      </c>
      <c r="AH30" s="72">
        <f>IFERROR(VLOOKUP($D30,'FERC 2023'!$EA$3:$EN$221,11,0),"")</f>
        <v>13126498.730964467</v>
      </c>
      <c r="AI30" s="72">
        <f>IFERROR(VLOOKUP($D30,'FERC 2021'!$EA$3:$EN$221,12,0),"")</f>
        <v>149579477.514</v>
      </c>
      <c r="AJ30" s="72">
        <f>IFERROR(VLOOKUP($D30,'FERC 2022'!$EA$3:$EN$220,12,0),"")</f>
        <v>151372277.19799998</v>
      </c>
      <c r="AK30" s="72">
        <f>IFERROR(VLOOKUP($D30,'FERC 2023'!$EA$3:$EN$221,12,0),"")</f>
        <v>135365457.69</v>
      </c>
      <c r="AL30" s="72">
        <f>VLOOKUP($D30,'FERC 2021'!$EA$3:$EN$221,13,0)</f>
        <v>1274761.5869999998</v>
      </c>
      <c r="AM30" s="72">
        <f>VLOOKUP($D30,'FERC 2022'!$EA$3:$EN$220,13,0)</f>
        <v>1200489.6669999999</v>
      </c>
      <c r="AN30" s="72">
        <f>VLOOKUP($D30,'FERC 2023'!$EA$3:$EN$221,13,0)</f>
        <v>1204660.2239999999</v>
      </c>
      <c r="AO30" s="72">
        <f>IFERROR(VLOOKUP($D30,'FERC 2021'!$EA$3:$EN$221,14,0),"")</f>
        <v>29</v>
      </c>
      <c r="AP30" s="72">
        <f>IFERROR(VLOOKUP($D30,'FERC 2022'!$EA$3:$EN$220,14,0),"")</f>
        <v>29</v>
      </c>
      <c r="AQ30" s="72">
        <f>IFERROR(VLOOKUP($D30,'FERC 2023'!$EA$3:$EN$221,14,0),"")</f>
        <v>21</v>
      </c>
    </row>
    <row r="31" spans="1:43" ht="15.75" hidden="1" customHeight="1">
      <c r="A31" s="7" t="s">
        <v>291</v>
      </c>
      <c r="B31" s="7" t="s">
        <v>292</v>
      </c>
      <c r="C31" s="311" t="str">
        <f>'BD DEA'!P31</f>
        <v/>
      </c>
      <c r="D31" s="44" t="str">
        <f t="shared" si="0"/>
        <v>C000318</v>
      </c>
      <c r="E31" s="72">
        <f>IFERROR(VLOOKUP($D31,'FERC 2021'!$EA$3:$EN$221,2,0),"")</f>
        <v>3819234151.4326339</v>
      </c>
      <c r="F31" s="72">
        <f>IFERROR(VLOOKUP($D31,'FERC 2022'!$EA$3:$EN$220,2,0),"")</f>
        <v>3757197310.0776978</v>
      </c>
      <c r="G31" s="72">
        <f>IFERROR(VLOOKUP($D31,'FERC 2023'!$EA$3:$EN$221,2,0),"")</f>
        <v>3846591938.6111007</v>
      </c>
      <c r="H31" s="72">
        <f>IFERROR(VLOOKUP($D31,'FERC 2021'!$EA$3:$EN$225,3,0),"")</f>
        <v>214173074.97758222</v>
      </c>
      <c r="I31" s="72">
        <f>IFERROR(VLOOKUP($D31,'FERC 2022'!$EA$3:$EN$229,3,0),"")</f>
        <v>202530601.75646567</v>
      </c>
      <c r="J31" s="72">
        <f>IFERROR(VLOOKUP($D31,'FERC 2023'!$EA$3:$EN$229,3,0),"")</f>
        <v>204523661.45100653</v>
      </c>
      <c r="K31" s="72">
        <f>IFERROR(VLOOKUP($D31,'FERC 2021'!$EA$3:$EN$229,4,0),"")</f>
        <v>87214147.505491987</v>
      </c>
      <c r="L31" s="72">
        <f>IFERROR(VLOOKUP($D31,'FERC 2022'!$EA$3:$EN$220,4,0),"")</f>
        <v>95036034.756585866</v>
      </c>
      <c r="M31" s="72">
        <f>IFERROR(VLOOKUP($D31,'FERC 2023'!$EA$3:$EN$221,4,0),"")</f>
        <v>85370486.825898841</v>
      </c>
      <c r="N31" s="72">
        <f>IFERROR(VLOOKUP($D31,'FERC 2021'!$EA$3:$EN$221,5,0),"")</f>
        <v>68022667.737172648</v>
      </c>
      <c r="O31" s="72">
        <f>IFERROR(VLOOKUP($D31,'FERC 2022'!$EA$3:$EN$220,5,0),"")</f>
        <v>79999816.057976738</v>
      </c>
      <c r="P31" s="72">
        <f>IFERROR(VLOOKUP($D31,'FERC 2023'!$EA$3:$EN$221,5,0),"")</f>
        <v>73194191.178214654</v>
      </c>
      <c r="Q31" s="72">
        <f>IFERROR(VLOOKUP($D31,'FERC 2021'!$EA$3:$EN$221,6,0),"")</f>
        <v>26123330.177353613</v>
      </c>
      <c r="R31" s="72">
        <f>IFERROR(VLOOKUP($D31,'FERC 2022'!$EA$3:$EN$220,6,0),"")</f>
        <v>38662892.94893755</v>
      </c>
      <c r="S31" s="72">
        <f>IFERROR(VLOOKUP($D31,'FERC 2023'!$EA$3:$EN$221,6,0),"")</f>
        <v>65286581.244011223</v>
      </c>
      <c r="T31" s="72">
        <f>IFERROR(VLOOKUP($D31,'FERC 2021'!$EA$3:$EN$221,7,0),"")</f>
        <v>3072</v>
      </c>
      <c r="U31" s="72">
        <f>IFERROR(VLOOKUP($D31,'FERC 2022'!$EA$3:$EN$220,7,0),"")</f>
        <v>3021</v>
      </c>
      <c r="V31" s="72">
        <f>IFERROR(VLOOKUP($D31,'FERC 2023'!$EA$3:$EN$221,7,0),"")</f>
        <v>2890</v>
      </c>
      <c r="W31" s="72">
        <f>IFERROR(VLOOKUP($D31,'FERC 2021'!$EA$3:$EN$221,8,0),"")</f>
        <v>581453</v>
      </c>
      <c r="X31" s="72">
        <f>IFERROR(VLOOKUP($D31,'FERC 2022'!$EA$3:$EN$220,8,0),"")</f>
        <v>585024</v>
      </c>
      <c r="Y31" s="72">
        <f>IFERROR(VLOOKUP($D31,'FERC 2023'!$EA$3:$EN$221,8,0),"")</f>
        <v>588329</v>
      </c>
      <c r="Z31" s="72">
        <f>IFERROR(VLOOKUP($D31,'FERC 2021'!$EA$3:$EN$222,9,0),"")</f>
        <v>411818</v>
      </c>
      <c r="AA31" s="72">
        <f>IFERROR(VLOOKUP($D31,'FERC 2022'!$EA$3:$EN$220,9,0),"")</f>
        <v>320658</v>
      </c>
      <c r="AB31" s="72">
        <f>IFERROR(VLOOKUP($D31,'FERC 2023'!$EA$3:$EN$221,9,0),"")</f>
        <v>222209</v>
      </c>
      <c r="AC31" s="72">
        <f>IFERROR(VLOOKUP($D31,'FERC 2021'!$EA$3:$EN$221,10,0),"")</f>
        <v>14211216</v>
      </c>
      <c r="AD31" s="72">
        <f>IFERROR(VLOOKUP($D31,'FERC 2022'!$EA$3:$EN$220,10,0),"")</f>
        <v>14409325</v>
      </c>
      <c r="AE31" s="72">
        <f>IFERROR(VLOOKUP($D31,'FERC 2023'!$EA$3:$EN$221,10,0),"")</f>
        <v>13676377</v>
      </c>
      <c r="AF31" s="72">
        <f>IFERROR(VLOOKUP($D31,'FERC 2021'!$EA$3:$EN$221,11,0),"")</f>
        <v>14622471.020304568</v>
      </c>
      <c r="AG31" s="72">
        <f>IFERROR(VLOOKUP($D31,'FERC 2022'!$EA$3:$EN$220,11,0),"")</f>
        <v>14729177.675126903</v>
      </c>
      <c r="AH31" s="72">
        <f>IFERROR(VLOOKUP($D31,'FERC 2023'!$EA$3:$EN$221,11,0),"")</f>
        <v>13897510.142131981</v>
      </c>
      <c r="AI31" s="72">
        <f>IFERROR(VLOOKUP($D31,'FERC 2021'!$EA$3:$EN$221,12,0),"")</f>
        <v>107260053.457</v>
      </c>
      <c r="AJ31" s="72">
        <f>IFERROR(VLOOKUP($D31,'FERC 2022'!$EA$3:$EN$220,12,0),"")</f>
        <v>99727871.231999993</v>
      </c>
      <c r="AK31" s="72">
        <f>IFERROR(VLOOKUP($D31,'FERC 2023'!$EA$3:$EN$221,12,0),"")</f>
        <v>122907811.39</v>
      </c>
      <c r="AL31" s="72">
        <f>VLOOKUP($D31,'FERC 2021'!$EA$3:$EN$221,13,0)</f>
        <v>883227.10699999996</v>
      </c>
      <c r="AM31" s="72">
        <f>VLOOKUP($D31,'FERC 2022'!$EA$3:$EN$220,13,0)</f>
        <v>879876.09600000002</v>
      </c>
      <c r="AN31" s="72">
        <f>VLOOKUP($D31,'FERC 2023'!$EA$3:$EN$221,13,0)</f>
        <v>857783.68200000003</v>
      </c>
      <c r="AO31" s="72">
        <f>IFERROR(VLOOKUP($D31,'FERC 2021'!$EA$3:$EN$221,14,0),"")</f>
        <v>591576</v>
      </c>
      <c r="AP31" s="72">
        <f>IFERROR(VLOOKUP($D31,'FERC 2022'!$EA$3:$EN$220,14,0),"")</f>
        <v>594000</v>
      </c>
      <c r="AQ31" s="72">
        <f>IFERROR(VLOOKUP($D31,'FERC 2023'!$EA$3:$EN$221,14,0),"")</f>
        <v>597204</v>
      </c>
    </row>
    <row r="32" spans="1:43" ht="15.75" hidden="1" customHeight="1">
      <c r="A32" s="7" t="s">
        <v>294</v>
      </c>
      <c r="B32" s="7" t="s">
        <v>295</v>
      </c>
      <c r="C32" s="311" t="str">
        <f>'BD DEA'!P32</f>
        <v/>
      </c>
      <c r="D32" s="44" t="str">
        <f t="shared" si="0"/>
        <v>C000319</v>
      </c>
      <c r="E32" s="72" t="str">
        <f>IFERROR(VLOOKUP($D32,'FERC 2021'!$EA$3:$EN$221,2,0),"")</f>
        <v/>
      </c>
      <c r="F32" s="72" t="str">
        <f>IFERROR(VLOOKUP($D32,'FERC 2022'!$EA$3:$EN$220,2,0),"")</f>
        <v/>
      </c>
      <c r="G32" s="72" t="str">
        <f>IFERROR(VLOOKUP($D32,'FERC 2023'!$EA$3:$EN$221,2,0),"")</f>
        <v/>
      </c>
      <c r="H32" s="72" t="str">
        <f>IFERROR(VLOOKUP($D32,'FERC 2021'!$EA$3:$EN$225,3,0),"")</f>
        <v/>
      </c>
      <c r="I32" s="72" t="str">
        <f>IFERROR(VLOOKUP($D32,'FERC 2022'!$EA$3:$EN$229,3,0),"")</f>
        <v/>
      </c>
      <c r="J32" s="72" t="str">
        <f>IFERROR(VLOOKUP($D32,'FERC 2023'!$EA$3:$EN$229,3,0),"")</f>
        <v/>
      </c>
      <c r="K32" s="72" t="str">
        <f>IFERROR(VLOOKUP($D32,'FERC 2021'!$EA$3:$EN$229,4,0),"")</f>
        <v/>
      </c>
      <c r="L32" s="72" t="str">
        <f>IFERROR(VLOOKUP($D32,'FERC 2022'!$EA$3:$EN$220,4,0),"")</f>
        <v/>
      </c>
      <c r="M32" s="72" t="str">
        <f>IFERROR(VLOOKUP($D32,'FERC 2023'!$EA$3:$EN$221,4,0),"")</f>
        <v/>
      </c>
      <c r="N32" s="72" t="str">
        <f>IFERROR(VLOOKUP($D32,'FERC 2021'!$EA$3:$EN$221,5,0),"")</f>
        <v/>
      </c>
      <c r="O32" s="72" t="str">
        <f>IFERROR(VLOOKUP($D32,'FERC 2022'!$EA$3:$EN$220,5,0),"")</f>
        <v/>
      </c>
      <c r="P32" s="72" t="str">
        <f>IFERROR(VLOOKUP($D32,'FERC 2023'!$EA$3:$EN$221,5,0),"")</f>
        <v/>
      </c>
      <c r="Q32" s="72" t="str">
        <f>IFERROR(VLOOKUP($D32,'FERC 2021'!$EA$3:$EN$221,6,0),"")</f>
        <v/>
      </c>
      <c r="R32" s="72" t="str">
        <f>IFERROR(VLOOKUP($D32,'FERC 2022'!$EA$3:$EN$220,6,0),"")</f>
        <v/>
      </c>
      <c r="S32" s="72" t="str">
        <f>IFERROR(VLOOKUP($D32,'FERC 2023'!$EA$3:$EN$221,6,0),"")</f>
        <v/>
      </c>
      <c r="T32" s="72" t="str">
        <f>IFERROR(VLOOKUP($D32,'FERC 2021'!$EA$3:$EN$221,7,0),"")</f>
        <v/>
      </c>
      <c r="U32" s="72" t="str">
        <f>IFERROR(VLOOKUP($D32,'FERC 2022'!$EA$3:$EN$220,7,0),"")</f>
        <v/>
      </c>
      <c r="V32" s="72" t="str">
        <f>IFERROR(VLOOKUP($D32,'FERC 2023'!$EA$3:$EN$221,7,0),"")</f>
        <v/>
      </c>
      <c r="W32" s="72" t="str">
        <f>IFERROR(VLOOKUP($D32,'FERC 2021'!$EA$3:$EN$221,8,0),"")</f>
        <v/>
      </c>
      <c r="X32" s="72" t="str">
        <f>IFERROR(VLOOKUP($D32,'FERC 2022'!$EA$3:$EN$220,8,0),"")</f>
        <v/>
      </c>
      <c r="Y32" s="72" t="str">
        <f>IFERROR(VLOOKUP($D32,'FERC 2023'!$EA$3:$EN$221,8,0),"")</f>
        <v/>
      </c>
      <c r="Z32" s="72" t="str">
        <f>IFERROR(VLOOKUP($D32,'FERC 2021'!$EA$3:$EN$222,9,0),"")</f>
        <v/>
      </c>
      <c r="AA32" s="72" t="str">
        <f>IFERROR(VLOOKUP($D32,'FERC 2022'!$EA$3:$EN$220,9,0),"")</f>
        <v/>
      </c>
      <c r="AB32" s="72" t="str">
        <f>IFERROR(VLOOKUP($D32,'FERC 2023'!$EA$3:$EN$221,9,0),"")</f>
        <v/>
      </c>
      <c r="AC32" s="72" t="str">
        <f>IFERROR(VLOOKUP($D32,'FERC 2021'!$EA$3:$EN$221,10,0),"")</f>
        <v/>
      </c>
      <c r="AD32" s="72" t="str">
        <f>IFERROR(VLOOKUP($D32,'FERC 2022'!$EA$3:$EN$220,10,0),"")</f>
        <v/>
      </c>
      <c r="AE32" s="72" t="str">
        <f>IFERROR(VLOOKUP($D32,'FERC 2023'!$EA$3:$EN$221,10,0),"")</f>
        <v/>
      </c>
      <c r="AF32" s="72" t="str">
        <f>IFERROR(VLOOKUP($D32,'FERC 2021'!$EA$3:$EN$221,11,0),"")</f>
        <v/>
      </c>
      <c r="AG32" s="72" t="str">
        <f>IFERROR(VLOOKUP($D32,'FERC 2022'!$EA$3:$EN$220,11,0),"")</f>
        <v/>
      </c>
      <c r="AH32" s="72" t="str">
        <f>IFERROR(VLOOKUP($D32,'FERC 2023'!$EA$3:$EN$221,11,0),"")</f>
        <v/>
      </c>
      <c r="AI32" s="72" t="str">
        <f>IFERROR(VLOOKUP($D32,'FERC 2021'!$EA$3:$EN$221,12,0),"")</f>
        <v/>
      </c>
      <c r="AJ32" s="72" t="str">
        <f>IFERROR(VLOOKUP($D32,'FERC 2022'!$EA$3:$EN$220,12,0),"")</f>
        <v/>
      </c>
      <c r="AK32" s="72" t="str">
        <f>IFERROR(VLOOKUP($D32,'FERC 2023'!$EA$3:$EN$221,12,0),"")</f>
        <v/>
      </c>
      <c r="AL32" s="72" t="str">
        <f>VLOOKUP($D32,'FERC 2021'!$EA$3:$EN$221,13,0)</f>
        <v/>
      </c>
      <c r="AM32" s="72" t="str">
        <f>VLOOKUP($D32,'FERC 2022'!$EA$3:$EN$220,13,0)</f>
        <v/>
      </c>
      <c r="AN32" s="72" t="str">
        <f>VLOOKUP($D32,'FERC 2023'!$EA$3:$EN$221,13,0)</f>
        <v/>
      </c>
      <c r="AO32" s="72" t="str">
        <f>IFERROR(VLOOKUP($D32,'FERC 2021'!$EA$3:$EN$221,14,0),"")</f>
        <v/>
      </c>
      <c r="AP32" s="72" t="str">
        <f>IFERROR(VLOOKUP($D32,'FERC 2022'!$EA$3:$EN$220,14,0),"")</f>
        <v/>
      </c>
      <c r="AQ32" s="72" t="str">
        <f>IFERROR(VLOOKUP($D32,'FERC 2023'!$EA$3:$EN$221,14,0),"")</f>
        <v/>
      </c>
    </row>
    <row r="33" spans="1:43" ht="15.75" hidden="1" customHeight="1">
      <c r="A33" s="7" t="s">
        <v>297</v>
      </c>
      <c r="B33" s="7" t="s">
        <v>298</v>
      </c>
      <c r="C33" s="311" t="str">
        <f>'BD DEA'!P33</f>
        <v/>
      </c>
      <c r="D33" s="44" t="str">
        <f t="shared" si="0"/>
        <v>C000367</v>
      </c>
      <c r="E33" s="72" t="str">
        <f>IFERROR(VLOOKUP($D33,'FERC 2021'!$EA$3:$EN$221,2,0),"")</f>
        <v/>
      </c>
      <c r="F33" s="72" t="str">
        <f>IFERROR(VLOOKUP($D33,'FERC 2022'!$EA$3:$EN$220,2,0),"")</f>
        <v/>
      </c>
      <c r="G33" s="72" t="str">
        <f>IFERROR(VLOOKUP($D33,'FERC 2023'!$EA$3:$EN$221,2,0),"")</f>
        <v/>
      </c>
      <c r="H33" s="72" t="str">
        <f>IFERROR(VLOOKUP($D33,'FERC 2021'!$EA$3:$EN$225,3,0),"")</f>
        <v/>
      </c>
      <c r="I33" s="72" t="str">
        <f>IFERROR(VLOOKUP($D33,'FERC 2022'!$EA$3:$EN$229,3,0),"")</f>
        <v/>
      </c>
      <c r="J33" s="72" t="str">
        <f>IFERROR(VLOOKUP($D33,'FERC 2023'!$EA$3:$EN$229,3,0),"")</f>
        <v/>
      </c>
      <c r="K33" s="72" t="str">
        <f>IFERROR(VLOOKUP($D33,'FERC 2021'!$EA$3:$EN$229,4,0),"")</f>
        <v/>
      </c>
      <c r="L33" s="72" t="str">
        <f>IFERROR(VLOOKUP($D33,'FERC 2022'!$EA$3:$EN$220,4,0),"")</f>
        <v/>
      </c>
      <c r="M33" s="72" t="str">
        <f>IFERROR(VLOOKUP($D33,'FERC 2023'!$EA$3:$EN$221,4,0),"")</f>
        <v/>
      </c>
      <c r="N33" s="72" t="str">
        <f>IFERROR(VLOOKUP($D33,'FERC 2021'!$EA$3:$EN$221,5,0),"")</f>
        <v/>
      </c>
      <c r="O33" s="72" t="str">
        <f>IFERROR(VLOOKUP($D33,'FERC 2022'!$EA$3:$EN$220,5,0),"")</f>
        <v/>
      </c>
      <c r="P33" s="72" t="str">
        <f>IFERROR(VLOOKUP($D33,'FERC 2023'!$EA$3:$EN$221,5,0),"")</f>
        <v/>
      </c>
      <c r="Q33" s="72" t="str">
        <f>IFERROR(VLOOKUP($D33,'FERC 2021'!$EA$3:$EN$221,6,0),"")</f>
        <v/>
      </c>
      <c r="R33" s="72" t="str">
        <f>IFERROR(VLOOKUP($D33,'FERC 2022'!$EA$3:$EN$220,6,0),"")</f>
        <v/>
      </c>
      <c r="S33" s="72" t="str">
        <f>IFERROR(VLOOKUP($D33,'FERC 2023'!$EA$3:$EN$221,6,0),"")</f>
        <v/>
      </c>
      <c r="T33" s="72" t="str">
        <f>IFERROR(VLOOKUP($D33,'FERC 2021'!$EA$3:$EN$221,7,0),"")</f>
        <v/>
      </c>
      <c r="U33" s="72" t="str">
        <f>IFERROR(VLOOKUP($D33,'FERC 2022'!$EA$3:$EN$220,7,0),"")</f>
        <v/>
      </c>
      <c r="V33" s="72" t="str">
        <f>IFERROR(VLOOKUP($D33,'FERC 2023'!$EA$3:$EN$221,7,0),"")</f>
        <v/>
      </c>
      <c r="W33" s="72" t="str">
        <f>IFERROR(VLOOKUP($D33,'FERC 2021'!$EA$3:$EN$221,8,0),"")</f>
        <v/>
      </c>
      <c r="X33" s="72" t="str">
        <f>IFERROR(VLOOKUP($D33,'FERC 2022'!$EA$3:$EN$220,8,0),"")</f>
        <v/>
      </c>
      <c r="Y33" s="72" t="str">
        <f>IFERROR(VLOOKUP($D33,'FERC 2023'!$EA$3:$EN$221,8,0),"")</f>
        <v/>
      </c>
      <c r="Z33" s="72" t="str">
        <f>IFERROR(VLOOKUP($D33,'FERC 2021'!$EA$3:$EN$222,9,0),"")</f>
        <v/>
      </c>
      <c r="AA33" s="72" t="str">
        <f>IFERROR(VLOOKUP($D33,'FERC 2022'!$EA$3:$EN$220,9,0),"")</f>
        <v/>
      </c>
      <c r="AB33" s="72" t="str">
        <f>IFERROR(VLOOKUP($D33,'FERC 2023'!$EA$3:$EN$221,9,0),"")</f>
        <v/>
      </c>
      <c r="AC33" s="72" t="str">
        <f>IFERROR(VLOOKUP($D33,'FERC 2021'!$EA$3:$EN$221,10,0),"")</f>
        <v/>
      </c>
      <c r="AD33" s="72" t="str">
        <f>IFERROR(VLOOKUP($D33,'FERC 2022'!$EA$3:$EN$220,10,0),"")</f>
        <v/>
      </c>
      <c r="AE33" s="72" t="str">
        <f>IFERROR(VLOOKUP($D33,'FERC 2023'!$EA$3:$EN$221,10,0),"")</f>
        <v/>
      </c>
      <c r="AF33" s="72" t="str">
        <f>IFERROR(VLOOKUP($D33,'FERC 2021'!$EA$3:$EN$221,11,0),"")</f>
        <v/>
      </c>
      <c r="AG33" s="72" t="str">
        <f>IFERROR(VLOOKUP($D33,'FERC 2022'!$EA$3:$EN$220,11,0),"")</f>
        <v/>
      </c>
      <c r="AH33" s="72" t="str">
        <f>IFERROR(VLOOKUP($D33,'FERC 2023'!$EA$3:$EN$221,11,0),"")</f>
        <v/>
      </c>
      <c r="AI33" s="72" t="str">
        <f>IFERROR(VLOOKUP($D33,'FERC 2021'!$EA$3:$EN$221,12,0),"")</f>
        <v/>
      </c>
      <c r="AJ33" s="72" t="str">
        <f>IFERROR(VLOOKUP($D33,'FERC 2022'!$EA$3:$EN$220,12,0),"")</f>
        <v/>
      </c>
      <c r="AK33" s="72" t="str">
        <f>IFERROR(VLOOKUP($D33,'FERC 2023'!$EA$3:$EN$221,12,0),"")</f>
        <v/>
      </c>
      <c r="AL33" s="72" t="str">
        <f>VLOOKUP($D33,'FERC 2021'!$EA$3:$EN$221,13,0)</f>
        <v/>
      </c>
      <c r="AM33" s="72" t="str">
        <f>VLOOKUP($D33,'FERC 2022'!$EA$3:$EN$220,13,0)</f>
        <v/>
      </c>
      <c r="AN33" s="72" t="e">
        <f>VLOOKUP($D33,'FERC 2023'!$EA$3:$EN$221,13,0)</f>
        <v>#N/A</v>
      </c>
      <c r="AO33" s="72" t="str">
        <f>IFERROR(VLOOKUP($D33,'FERC 2021'!$EA$3:$EN$221,14,0),"")</f>
        <v/>
      </c>
      <c r="AP33" s="72" t="str">
        <f>IFERROR(VLOOKUP($D33,'FERC 2022'!$EA$3:$EN$220,14,0),"")</f>
        <v/>
      </c>
      <c r="AQ33" s="72" t="str">
        <f>IFERROR(VLOOKUP($D33,'FERC 2023'!$EA$3:$EN$221,14,0),"")</f>
        <v/>
      </c>
    </row>
    <row r="34" spans="1:43" ht="15.75" hidden="1" customHeight="1">
      <c r="A34" s="7" t="s">
        <v>300</v>
      </c>
      <c r="B34" s="7" t="s">
        <v>301</v>
      </c>
      <c r="C34" s="311" t="str">
        <f>'BD DEA'!P34</f>
        <v/>
      </c>
      <c r="D34" s="44" t="str">
        <f t="shared" si="0"/>
        <v>C000379</v>
      </c>
      <c r="E34" s="72">
        <f>IFERROR(VLOOKUP($D34,'FERC 2021'!$EA$3:$EN$221,2,0),"")</f>
        <v>3110131435.8236098</v>
      </c>
      <c r="F34" s="72">
        <f>IFERROR(VLOOKUP($D34,'FERC 2022'!$EA$3:$EN$220,2,0),"")</f>
        <v>3285836061.0558367</v>
      </c>
      <c r="G34" s="72">
        <f>IFERROR(VLOOKUP($D34,'FERC 2023'!$EA$3:$EN$221,2,0),"")</f>
        <v>3414309041.0251937</v>
      </c>
      <c r="H34" s="72">
        <f>IFERROR(VLOOKUP($D34,'FERC 2021'!$EA$3:$EN$225,3,0),"")</f>
        <v>132872178.19215243</v>
      </c>
      <c r="I34" s="72">
        <f>IFERROR(VLOOKUP($D34,'FERC 2022'!$EA$3:$EN$229,3,0),"")</f>
        <v>132700476.36117183</v>
      </c>
      <c r="J34" s="72">
        <f>IFERROR(VLOOKUP($D34,'FERC 2023'!$EA$3:$EN$229,3,0),"")</f>
        <v>129601414.2780389</v>
      </c>
      <c r="K34" s="72">
        <f>IFERROR(VLOOKUP($D34,'FERC 2021'!$EA$3:$EN$229,4,0),"")</f>
        <v>45501780.992453024</v>
      </c>
      <c r="L34" s="72">
        <f>IFERROR(VLOOKUP($D34,'FERC 2022'!$EA$3:$EN$220,4,0),"")</f>
        <v>57231092.754759438</v>
      </c>
      <c r="M34" s="72">
        <f>IFERROR(VLOOKUP($D34,'FERC 2023'!$EA$3:$EN$221,4,0),"")</f>
        <v>58833858.258031361</v>
      </c>
      <c r="N34" s="72">
        <f>IFERROR(VLOOKUP($D34,'FERC 2021'!$EA$3:$EN$221,5,0),"")</f>
        <v>61530388.367397144</v>
      </c>
      <c r="O34" s="72">
        <f>IFERROR(VLOOKUP($D34,'FERC 2022'!$EA$3:$EN$220,5,0),"")</f>
        <v>49754277.988205127</v>
      </c>
      <c r="P34" s="72">
        <f>IFERROR(VLOOKUP($D34,'FERC 2023'!$EA$3:$EN$221,5,0),"")</f>
        <v>51953432.70581314</v>
      </c>
      <c r="Q34" s="72">
        <f>IFERROR(VLOOKUP($D34,'FERC 2021'!$EA$3:$EN$221,6,0),"")</f>
        <v>66143561.452666447</v>
      </c>
      <c r="R34" s="72">
        <f>IFERROR(VLOOKUP($D34,'FERC 2022'!$EA$3:$EN$220,6,0),"")</f>
        <v>69694781.875150025</v>
      </c>
      <c r="S34" s="72">
        <f>IFERROR(VLOOKUP($D34,'FERC 2023'!$EA$3:$EN$221,6,0),"")</f>
        <v>66264687.196849361</v>
      </c>
      <c r="T34" s="72">
        <f>IFERROR(VLOOKUP($D34,'FERC 2021'!$EA$3:$EN$221,7,0),"")</f>
        <v>1889</v>
      </c>
      <c r="U34" s="72">
        <f>IFERROR(VLOOKUP($D34,'FERC 2022'!$EA$3:$EN$220,7,0),"")</f>
        <v>1860</v>
      </c>
      <c r="V34" s="72">
        <f>IFERROR(VLOOKUP($D34,'FERC 2023'!$EA$3:$EN$221,7,0),"")</f>
        <v>1809</v>
      </c>
      <c r="W34" s="72">
        <f>IFERROR(VLOOKUP($D34,'FERC 2021'!$EA$3:$EN$221,8,0),"")</f>
        <v>402518</v>
      </c>
      <c r="X34" s="72">
        <f>IFERROR(VLOOKUP($D34,'FERC 2022'!$EA$3:$EN$220,8,0),"")</f>
        <v>408216</v>
      </c>
      <c r="Y34" s="72">
        <f>IFERROR(VLOOKUP($D34,'FERC 2023'!$EA$3:$EN$221,8,0),"")</f>
        <v>413831</v>
      </c>
      <c r="Z34" s="72">
        <f>IFERROR(VLOOKUP($D34,'FERC 2021'!$EA$3:$EN$222,9,0),"")</f>
        <v>492745</v>
      </c>
      <c r="AA34" s="72">
        <f>IFERROR(VLOOKUP($D34,'FERC 2022'!$EA$3:$EN$220,9,0),"")</f>
        <v>447173</v>
      </c>
      <c r="AB34" s="72">
        <f>IFERROR(VLOOKUP($D34,'FERC 2023'!$EA$3:$EN$221,9,0),"")</f>
        <v>457044</v>
      </c>
      <c r="AC34" s="72">
        <f>IFERROR(VLOOKUP($D34,'FERC 2021'!$EA$3:$EN$221,10,0),"")</f>
        <v>9234848</v>
      </c>
      <c r="AD34" s="72">
        <f>IFERROR(VLOOKUP($D34,'FERC 2022'!$EA$3:$EN$220,10,0),"")</f>
        <v>9517690</v>
      </c>
      <c r="AE34" s="72">
        <f>IFERROR(VLOOKUP($D34,'FERC 2023'!$EA$3:$EN$221,10,0),"")</f>
        <v>9307869</v>
      </c>
      <c r="AF34" s="72">
        <f>IFERROR(VLOOKUP($D34,'FERC 2021'!$EA$3:$EN$221,11,0),"")</f>
        <v>9689228.2081218269</v>
      </c>
      <c r="AG34" s="72">
        <f>IFERROR(VLOOKUP($D34,'FERC 2022'!$EA$3:$EN$220,11,0),"")</f>
        <v>9916977.4263959397</v>
      </c>
      <c r="AH34" s="72">
        <f>IFERROR(VLOOKUP($D34,'FERC 2023'!$EA$3:$EN$221,11,0),"")</f>
        <v>9711286.233502537</v>
      </c>
      <c r="AI34" s="72">
        <f>IFERROR(VLOOKUP($D34,'FERC 2021'!$EA$3:$EN$221,12,0),"")</f>
        <v>79698564</v>
      </c>
      <c r="AJ34" s="72">
        <f>IFERROR(VLOOKUP($D34,'FERC 2022'!$EA$3:$EN$220,12,0),"")</f>
        <v>67355640</v>
      </c>
      <c r="AK34" s="72">
        <f>IFERROR(VLOOKUP($D34,'FERC 2023'!$EA$3:$EN$221,12,0),"")</f>
        <v>67454453</v>
      </c>
      <c r="AL34" s="72">
        <f>VLOOKUP($D34,'FERC 2021'!$EA$3:$EN$221,13,0)</f>
        <v>1195478.46</v>
      </c>
      <c r="AM34" s="72">
        <f>VLOOKUP($D34,'FERC 2022'!$EA$3:$EN$220,13,0)</f>
        <v>534762.96000000008</v>
      </c>
      <c r="AN34" s="72">
        <f>VLOOKUP($D34,'FERC 2023'!$EA$3:$EN$221,13,0)</f>
        <v>422107.62</v>
      </c>
      <c r="AO34" s="72">
        <f>IFERROR(VLOOKUP($D34,'FERC 2021'!$EA$3:$EN$221,14,0),"")</f>
        <v>141412</v>
      </c>
      <c r="AP34" s="72">
        <f>IFERROR(VLOOKUP($D34,'FERC 2022'!$EA$3:$EN$220,14,0),"")</f>
        <v>143296</v>
      </c>
      <c r="AQ34" s="72">
        <f>IFERROR(VLOOKUP($D34,'FERC 2023'!$EA$3:$EN$221,14,0),"")</f>
        <v>145956</v>
      </c>
    </row>
    <row r="35" spans="1:43" ht="15.75" hidden="1" customHeight="1">
      <c r="A35" s="7" t="s">
        <v>303</v>
      </c>
      <c r="B35" s="7" t="s">
        <v>304</v>
      </c>
      <c r="C35" s="311" t="str">
        <f>'BD DEA'!P35</f>
        <v/>
      </c>
      <c r="D35" s="44" t="str">
        <f t="shared" si="0"/>
        <v>C000388</v>
      </c>
      <c r="E35" s="72">
        <f>IFERROR(VLOOKUP($D35,'FERC 2021'!$EA$3:$EN$221,2,0),"")</f>
        <v>45521246495.888542</v>
      </c>
      <c r="F35" s="72">
        <f>IFERROR(VLOOKUP($D35,'FERC 2022'!$EA$3:$EN$220,2,0),"")</f>
        <v>47953396653.0252</v>
      </c>
      <c r="G35" s="72">
        <f>IFERROR(VLOOKUP($D35,'FERC 2023'!$EA$3:$EN$221,2,0),"")</f>
        <v>51539128320.150589</v>
      </c>
      <c r="H35" s="72">
        <f>IFERROR(VLOOKUP($D35,'FERC 2021'!$EA$3:$EN$225,3,0),"")</f>
        <v>2079012148.0361733</v>
      </c>
      <c r="I35" s="72">
        <f>IFERROR(VLOOKUP($D35,'FERC 2022'!$EA$3:$EN$229,3,0),"")</f>
        <v>2102516296.4329171</v>
      </c>
      <c r="J35" s="72">
        <f>IFERROR(VLOOKUP($D35,'FERC 2023'!$EA$3:$EN$229,3,0),"")</f>
        <v>2148946947.7295866</v>
      </c>
      <c r="K35" s="72">
        <f>IFERROR(VLOOKUP($D35,'FERC 2021'!$EA$3:$EN$229,4,0),"")</f>
        <v>3687002146.4648471</v>
      </c>
      <c r="L35" s="72">
        <f>IFERROR(VLOOKUP($D35,'FERC 2022'!$EA$3:$EN$220,4,0),"")</f>
        <v>3065938840.2241316</v>
      </c>
      <c r="M35" s="72">
        <f>IFERROR(VLOOKUP($D35,'FERC 2023'!$EA$3:$EN$221,4,0),"")</f>
        <v>3411494201.2832608</v>
      </c>
      <c r="N35" s="72">
        <f>IFERROR(VLOOKUP($D35,'FERC 2021'!$EA$3:$EN$221,5,0),"")</f>
        <v>918651380.89674532</v>
      </c>
      <c r="O35" s="72">
        <f>IFERROR(VLOOKUP($D35,'FERC 2022'!$EA$3:$EN$220,5,0),"")</f>
        <v>954113109.94053757</v>
      </c>
      <c r="P35" s="72">
        <f>IFERROR(VLOOKUP($D35,'FERC 2023'!$EA$3:$EN$221,5,0),"")</f>
        <v>1115862733.5374668</v>
      </c>
      <c r="Q35" s="72">
        <f>IFERROR(VLOOKUP($D35,'FERC 2021'!$EA$3:$EN$221,6,0),"")</f>
        <v>2503830327.6219239</v>
      </c>
      <c r="R35" s="72">
        <f>IFERROR(VLOOKUP($D35,'FERC 2022'!$EA$3:$EN$220,6,0),"")</f>
        <v>2392246867.4494395</v>
      </c>
      <c r="S35" s="72">
        <f>IFERROR(VLOOKUP($D35,'FERC 2023'!$EA$3:$EN$221,6,0),"")</f>
        <v>2781924855.9846373</v>
      </c>
      <c r="T35" s="72">
        <f>IFERROR(VLOOKUP($D35,'FERC 2021'!$EA$3:$EN$221,7,0),"")</f>
        <v>11748</v>
      </c>
      <c r="U35" s="72">
        <f>IFERROR(VLOOKUP($D35,'FERC 2022'!$EA$3:$EN$220,7,0),"")</f>
        <v>12289</v>
      </c>
      <c r="V35" s="72">
        <f>IFERROR(VLOOKUP($D35,'FERC 2023'!$EA$3:$EN$221,7,0),"")</f>
        <v>17066</v>
      </c>
      <c r="W35" s="72">
        <f>IFERROR(VLOOKUP($D35,'FERC 2021'!$EA$3:$EN$221,8,0),"")</f>
        <v>5623301</v>
      </c>
      <c r="X35" s="72">
        <f>IFERROR(VLOOKUP($D35,'FERC 2022'!$EA$3:$EN$220,8,0),"")</f>
        <v>5604442</v>
      </c>
      <c r="Y35" s="72">
        <f>IFERROR(VLOOKUP($D35,'FERC 2023'!$EA$3:$EN$221,8,0),"")</f>
        <v>5649612</v>
      </c>
      <c r="Z35" s="72">
        <f>IFERROR(VLOOKUP($D35,'FERC 2021'!$EA$3:$EN$222,9,0),"")</f>
        <v>33719679</v>
      </c>
      <c r="AA35" s="72">
        <f>IFERROR(VLOOKUP($D35,'FERC 2022'!$EA$3:$EN$220,9,0),"")</f>
        <v>26016645</v>
      </c>
      <c r="AB35" s="72">
        <f>IFERROR(VLOOKUP($D35,'FERC 2023'!$EA$3:$EN$221,9,0),"")</f>
        <v>31377333</v>
      </c>
      <c r="AC35" s="72">
        <f>IFERROR(VLOOKUP($D35,'FERC 2021'!$EA$3:$EN$221,10,0),"")</f>
        <v>78857062</v>
      </c>
      <c r="AD35" s="72">
        <f>IFERROR(VLOOKUP($D35,'FERC 2022'!$EA$3:$EN$220,10,0),"")</f>
        <v>78038776</v>
      </c>
      <c r="AE35" s="72">
        <f>IFERROR(VLOOKUP($D35,'FERC 2023'!$EA$3:$EN$221,10,0),"")</f>
        <v>73203173</v>
      </c>
      <c r="AF35" s="72">
        <f>IFERROR(VLOOKUP($D35,'FERC 2021'!$EA$3:$EN$221,11,0),"")</f>
        <v>112320249.1319797</v>
      </c>
      <c r="AG35" s="72">
        <f>IFERROR(VLOOKUP($D35,'FERC 2022'!$EA$3:$EN$220,11,0),"")</f>
        <v>103739331.78680202</v>
      </c>
      <c r="AH35" s="72">
        <f>IFERROR(VLOOKUP($D35,'FERC 2023'!$EA$3:$EN$221,11,0),"")</f>
        <v>104190881.85279188</v>
      </c>
      <c r="AI35" s="72">
        <f>IFERROR(VLOOKUP($D35,'FERC 2021'!$EA$3:$EN$221,12,0),"")</f>
        <v>1227004278.2</v>
      </c>
      <c r="AJ35" s="72">
        <f>IFERROR(VLOOKUP($D35,'FERC 2022'!$EA$3:$EN$220,12,0),"")</f>
        <v>1433616263.6000001</v>
      </c>
      <c r="AK35" s="72">
        <f>IFERROR(VLOOKUP($D35,'FERC 2023'!$EA$3:$EN$221,12,0),"")</f>
        <v>1445735710.8</v>
      </c>
      <c r="AL35" s="72">
        <f>VLOOKUP($D35,'FERC 2021'!$EA$3:$EN$221,13,0)</f>
        <v>10330003.936999999</v>
      </c>
      <c r="AM35" s="72">
        <f>VLOOKUP($D35,'FERC 2022'!$EA$3:$EN$220,13,0)</f>
        <v>9964697.8760000002</v>
      </c>
      <c r="AN35" s="72">
        <f>VLOOKUP($D35,'FERC 2023'!$EA$3:$EN$221,13,0)</f>
        <v>12553437.864</v>
      </c>
      <c r="AO35" s="72">
        <f>IFERROR(VLOOKUP($D35,'FERC 2021'!$EA$3:$EN$221,14,0),"")</f>
        <v>5571340</v>
      </c>
      <c r="AP35" s="72">
        <f>IFERROR(VLOOKUP($D35,'FERC 2022'!$EA$3:$EN$220,14,0),"")</f>
        <v>5619685</v>
      </c>
      <c r="AQ35" s="72">
        <f>IFERROR(VLOOKUP($D35,'FERC 2023'!$EA$3:$EN$221,14,0),"")</f>
        <v>5670961</v>
      </c>
    </row>
    <row r="36" spans="1:43" ht="15.75" customHeight="1">
      <c r="A36" s="7" t="s">
        <v>306</v>
      </c>
      <c r="B36" s="7" t="s">
        <v>307</v>
      </c>
      <c r="C36" s="311">
        <f>'BD DEA'!P36</f>
        <v>1</v>
      </c>
      <c r="D36" s="44" t="str">
        <f t="shared" si="0"/>
        <v>C000415</v>
      </c>
      <c r="E36" s="72">
        <f>IFERROR(VLOOKUP($D36,'FERC 2021'!$EA$3:$EN$221,2,0),"")</f>
        <v>12592028044.276638</v>
      </c>
      <c r="F36" s="72">
        <f>IFERROR(VLOOKUP($D36,'FERC 2022'!$EA$3:$EN$220,2,0),"")</f>
        <v>13530907240.71431</v>
      </c>
      <c r="G36" s="72">
        <f>IFERROR(VLOOKUP($D36,'FERC 2023'!$EA$3:$EN$221,2,0),"")</f>
        <v>14758079192.328794</v>
      </c>
      <c r="H36" s="72">
        <f>IFERROR(VLOOKUP($D36,'FERC 2021'!$EA$3:$EN$225,3,0),"")</f>
        <v>615645430.59353459</v>
      </c>
      <c r="I36" s="72">
        <f>IFERROR(VLOOKUP($D36,'FERC 2022'!$EA$3:$EN$229,3,0),"")</f>
        <v>639591853.20519555</v>
      </c>
      <c r="J36" s="72">
        <f>IFERROR(VLOOKUP($D36,'FERC 2023'!$EA$3:$EN$229,3,0),"")</f>
        <v>660131516.59193254</v>
      </c>
      <c r="K36" s="72">
        <f>IFERROR(VLOOKUP($D36,'FERC 2021'!$EA$3:$EN$229,4,0),"")</f>
        <v>380712696.32444245</v>
      </c>
      <c r="L36" s="72">
        <f>IFERROR(VLOOKUP($D36,'FERC 2022'!$EA$3:$EN$220,4,0),"")</f>
        <v>360015330.08975446</v>
      </c>
      <c r="M36" s="72">
        <f>IFERROR(VLOOKUP($D36,'FERC 2023'!$EA$3:$EN$221,4,0),"")</f>
        <v>433565316.44329911</v>
      </c>
      <c r="N36" s="72">
        <f>IFERROR(VLOOKUP($D36,'FERC 2021'!$EA$3:$EN$221,5,0),"")</f>
        <v>398871540.0378238</v>
      </c>
      <c r="O36" s="72">
        <f>IFERROR(VLOOKUP($D36,'FERC 2022'!$EA$3:$EN$220,5,0),"")</f>
        <v>404989832.71067309</v>
      </c>
      <c r="P36" s="72">
        <f>IFERROR(VLOOKUP($D36,'FERC 2023'!$EA$3:$EN$221,5,0),"")</f>
        <v>364960983.66605806</v>
      </c>
      <c r="Q36" s="72">
        <f>IFERROR(VLOOKUP($D36,'FERC 2021'!$EA$3:$EN$221,6,0),"")</f>
        <v>193902153.47744545</v>
      </c>
      <c r="R36" s="72">
        <f>IFERROR(VLOOKUP($D36,'FERC 2022'!$EA$3:$EN$220,6,0),"")</f>
        <v>147860171.55397627</v>
      </c>
      <c r="S36" s="72">
        <f>IFERROR(VLOOKUP($D36,'FERC 2023'!$EA$3:$EN$221,6,0),"")</f>
        <v>119360852.7312275</v>
      </c>
      <c r="T36" s="72">
        <f>IFERROR(VLOOKUP($D36,'FERC 2021'!$EA$3:$EN$221,7,0),"")</f>
        <v>10992</v>
      </c>
      <c r="U36" s="72">
        <f>IFERROR(VLOOKUP($D36,'FERC 2022'!$EA$3:$EN$220,7,0),"")</f>
        <v>10933</v>
      </c>
      <c r="V36" s="72">
        <f>IFERROR(VLOOKUP($D36,'FERC 2023'!$EA$3:$EN$221,7,0),"")</f>
        <v>10340</v>
      </c>
      <c r="W36" s="72">
        <f>IFERROR(VLOOKUP($D36,'FERC 2021'!$EA$3:$EN$221,8,0),"")</f>
        <v>2244945</v>
      </c>
      <c r="X36" s="72">
        <f>IFERROR(VLOOKUP($D36,'FERC 2022'!$EA$3:$EN$220,8,0),"")</f>
        <v>2257415</v>
      </c>
      <c r="Y36" s="72">
        <f>IFERROR(VLOOKUP($D36,'FERC 2023'!$EA$3:$EN$221,8,0),"")</f>
        <v>2266460</v>
      </c>
      <c r="Z36" s="72">
        <f>IFERROR(VLOOKUP($D36,'FERC 2021'!$EA$3:$EN$222,9,0),"")</f>
        <v>1859971</v>
      </c>
      <c r="AA36" s="72">
        <f>IFERROR(VLOOKUP($D36,'FERC 2022'!$EA$3:$EN$220,9,0),"")</f>
        <v>1601862</v>
      </c>
      <c r="AB36" s="72">
        <f>IFERROR(VLOOKUP($D36,'FERC 2023'!$EA$3:$EN$221,9,0),"")</f>
        <v>1162820</v>
      </c>
      <c r="AC36" s="72">
        <f>IFERROR(VLOOKUP($D36,'FERC 2021'!$EA$3:$EN$221,10,0),"")</f>
        <v>41481966</v>
      </c>
      <c r="AD36" s="72">
        <f>IFERROR(VLOOKUP($D36,'FERC 2022'!$EA$3:$EN$220,10,0),"")</f>
        <v>40897642</v>
      </c>
      <c r="AE36" s="72">
        <f>IFERROR(VLOOKUP($D36,'FERC 2023'!$EA$3:$EN$221,10,0),"")</f>
        <v>39121948</v>
      </c>
      <c r="AF36" s="72">
        <f>IFERROR(VLOOKUP($D36,'FERC 2021'!$EA$3:$EN$221,11,0),"")</f>
        <v>43277013.649746194</v>
      </c>
      <c r="AG36" s="72">
        <f>IFERROR(VLOOKUP($D36,'FERC 2022'!$EA$3:$EN$220,11,0),"")</f>
        <v>42398767.045685276</v>
      </c>
      <c r="AH36" s="72">
        <f>IFERROR(VLOOKUP($D36,'FERC 2023'!$EA$3:$EN$221,11,0),"")</f>
        <v>40168154.604060911</v>
      </c>
      <c r="AI36" s="72">
        <f>IFERROR(VLOOKUP($D36,'FERC 2021'!$EA$3:$EN$221,12,0),"")</f>
        <v>304416786.94499999</v>
      </c>
      <c r="AJ36" s="72">
        <f>IFERROR(VLOOKUP($D36,'FERC 2022'!$EA$3:$EN$220,12,0),"")</f>
        <v>329930231.90999997</v>
      </c>
      <c r="AK36" s="72">
        <f>IFERROR(VLOOKUP($D36,'FERC 2023'!$EA$3:$EN$221,12,0),"")</f>
        <v>355478385.77999997</v>
      </c>
      <c r="AL36" s="72">
        <f>VLOOKUP($D36,'FERC 2021'!$EA$3:$EN$221,13,0)</f>
        <v>3549258.0449999999</v>
      </c>
      <c r="AM36" s="72">
        <f>VLOOKUP($D36,'FERC 2022'!$EA$3:$EN$220,13,0)</f>
        <v>2819511.3350000004</v>
      </c>
      <c r="AN36" s="72">
        <f>VLOOKUP($D36,'FERC 2023'!$EA$3:$EN$221,13,0)</f>
        <v>3902844.12</v>
      </c>
      <c r="AO36" s="72">
        <f>IFERROR(VLOOKUP($D36,'FERC 2021'!$EA$3:$EN$221,14,0),"")</f>
        <v>2568600</v>
      </c>
      <c r="AP36" s="72">
        <f>IFERROR(VLOOKUP($D36,'FERC 2022'!$EA$3:$EN$220,14,0),"")</f>
        <v>2580064</v>
      </c>
      <c r="AQ36" s="72">
        <f>IFERROR(VLOOKUP($D36,'FERC 2023'!$EA$3:$EN$221,14,0),"")</f>
        <v>2585342</v>
      </c>
    </row>
    <row r="37" spans="1:43" ht="15.75" hidden="1" customHeight="1">
      <c r="A37" s="7" t="s">
        <v>309</v>
      </c>
      <c r="B37" s="7" t="s">
        <v>310</v>
      </c>
      <c r="C37" s="311" t="str">
        <f>'BD DEA'!P37</f>
        <v/>
      </c>
      <c r="D37" s="44" t="str">
        <f t="shared" si="0"/>
        <v>C000447</v>
      </c>
      <c r="E37" s="72">
        <f>IFERROR(VLOOKUP($D37,'FERC 2021'!$EA$3:$EN$221,2,0),"")</f>
        <v>2571588104.392436</v>
      </c>
      <c r="F37" s="72">
        <f>IFERROR(VLOOKUP($D37,'FERC 2022'!$EA$3:$EN$220,2,0),"")</f>
        <v>2480961678.5168762</v>
      </c>
      <c r="G37" s="72">
        <f>IFERROR(VLOOKUP($D37,'FERC 2023'!$EA$3:$EN$221,2,0),"")</f>
        <v>2648944543.7838364</v>
      </c>
      <c r="H37" s="72">
        <f>IFERROR(VLOOKUP($D37,'FERC 2021'!$EA$3:$EN$225,3,0),"")</f>
        <v>139957358.46168742</v>
      </c>
      <c r="I37" s="72">
        <f>IFERROR(VLOOKUP($D37,'FERC 2022'!$EA$3:$EN$229,3,0),"")</f>
        <v>144618826.51602894</v>
      </c>
      <c r="J37" s="72">
        <f>IFERROR(VLOOKUP($D37,'FERC 2023'!$EA$3:$EN$229,3,0),"")</f>
        <v>146799609.3909201</v>
      </c>
      <c r="K37" s="72">
        <f>IFERROR(VLOOKUP($D37,'FERC 2021'!$EA$3:$EN$229,4,0),"")</f>
        <v>40586739.032013215</v>
      </c>
      <c r="L37" s="72">
        <f>IFERROR(VLOOKUP($D37,'FERC 2022'!$EA$3:$EN$220,4,0),"")</f>
        <v>34891730.964469448</v>
      </c>
      <c r="M37" s="72">
        <f>IFERROR(VLOOKUP($D37,'FERC 2023'!$EA$3:$EN$221,4,0),"")</f>
        <v>38681997.486299038</v>
      </c>
      <c r="N37" s="72">
        <f>IFERROR(VLOOKUP($D37,'FERC 2021'!$EA$3:$EN$221,5,0),"")</f>
        <v>46108541.057972357</v>
      </c>
      <c r="O37" s="72">
        <f>IFERROR(VLOOKUP($D37,'FERC 2022'!$EA$3:$EN$220,5,0),"")</f>
        <v>42592458.723496273</v>
      </c>
      <c r="P37" s="72">
        <f>IFERROR(VLOOKUP($D37,'FERC 2023'!$EA$3:$EN$221,5,0),"")</f>
        <v>42074947.624713749</v>
      </c>
      <c r="Q37" s="72">
        <f>IFERROR(VLOOKUP($D37,'FERC 2021'!$EA$3:$EN$221,6,0),"")</f>
        <v>30303938.880140506</v>
      </c>
      <c r="R37" s="72">
        <f>IFERROR(VLOOKUP($D37,'FERC 2022'!$EA$3:$EN$220,6,0),"")</f>
        <v>27100485.413134594</v>
      </c>
      <c r="S37" s="72">
        <f>IFERROR(VLOOKUP($D37,'FERC 2023'!$EA$3:$EN$221,6,0),"")</f>
        <v>34833579.157352127</v>
      </c>
      <c r="T37" s="72">
        <f>IFERROR(VLOOKUP($D37,'FERC 2021'!$EA$3:$EN$221,7,0),"")</f>
        <v>2649</v>
      </c>
      <c r="U37" s="72">
        <f>IFERROR(VLOOKUP($D37,'FERC 2022'!$EA$3:$EN$220,7,0),"")</f>
        <v>2695</v>
      </c>
      <c r="V37" s="72">
        <f>IFERROR(VLOOKUP($D37,'FERC 2023'!$EA$3:$EN$221,7,0),"")</f>
        <v>2759</v>
      </c>
      <c r="W37" s="72">
        <f>IFERROR(VLOOKUP($D37,'FERC 2021'!$EA$3:$EN$221,8,0),"")</f>
        <v>291377</v>
      </c>
      <c r="X37" s="72">
        <f>IFERROR(VLOOKUP($D37,'FERC 2022'!$EA$3:$EN$220,8,0),"")</f>
        <v>292622</v>
      </c>
      <c r="Y37" s="72">
        <f>IFERROR(VLOOKUP($D37,'FERC 2023'!$EA$3:$EN$221,8,0),"")</f>
        <v>294514</v>
      </c>
      <c r="Z37" s="72">
        <f>IFERROR(VLOOKUP($D37,'FERC 2021'!$EA$3:$EN$222,9,0),"")</f>
        <v>633205</v>
      </c>
      <c r="AA37" s="72">
        <f>IFERROR(VLOOKUP($D37,'FERC 2022'!$EA$3:$EN$220,9,0),"")</f>
        <v>667925</v>
      </c>
      <c r="AB37" s="72">
        <f>IFERROR(VLOOKUP($D37,'FERC 2023'!$EA$3:$EN$221,9,0),"")</f>
        <v>523908</v>
      </c>
      <c r="AC37" s="72">
        <f>IFERROR(VLOOKUP($D37,'FERC 2021'!$EA$3:$EN$221,10,0),"")</f>
        <v>8512528</v>
      </c>
      <c r="AD37" s="72">
        <f>IFERROR(VLOOKUP($D37,'FERC 2022'!$EA$3:$EN$220,10,0),"")</f>
        <v>8864195</v>
      </c>
      <c r="AE37" s="72">
        <f>IFERROR(VLOOKUP($D37,'FERC 2023'!$EA$3:$EN$221,10,0),"")</f>
        <v>8848376</v>
      </c>
      <c r="AF37" s="72">
        <f>IFERROR(VLOOKUP($D37,'FERC 2021'!$EA$3:$EN$221,11,0),"")</f>
        <v>9101880.4467005078</v>
      </c>
      <c r="AG37" s="72">
        <f>IFERROR(VLOOKUP($D37,'FERC 2022'!$EA$3:$EN$220,11,0),"")</f>
        <v>9485503.7309644669</v>
      </c>
      <c r="AH37" s="72">
        <f>IFERROR(VLOOKUP($D37,'FERC 2023'!$EA$3:$EN$221,11,0),"")</f>
        <v>9326902.8324873094</v>
      </c>
      <c r="AI37" s="72">
        <f>IFERROR(VLOOKUP($D37,'FERC 2021'!$EA$3:$EN$221,12,0),"")</f>
        <v>804200.5199999999</v>
      </c>
      <c r="AJ37" s="72">
        <f>IFERROR(VLOOKUP($D37,'FERC 2022'!$EA$3:$EN$220,12,0),"")</f>
        <v>48458203.199999996</v>
      </c>
      <c r="AK37" s="72">
        <f>IFERROR(VLOOKUP($D37,'FERC 2023'!$EA$3:$EN$221,12,0),"")</f>
        <v>43116849.600000001</v>
      </c>
      <c r="AL37" s="72">
        <f>VLOOKUP($D37,'FERC 2021'!$EA$3:$EN$221,13,0)</f>
        <v>917837.54999999993</v>
      </c>
      <c r="AM37" s="72">
        <f>VLOOKUP($D37,'FERC 2022'!$EA$3:$EN$220,13,0)</f>
        <v>611579.98</v>
      </c>
      <c r="AN37" s="72">
        <f>VLOOKUP($D37,'FERC 2023'!$EA$3:$EN$221,13,0)</f>
        <v>801078.08000000007</v>
      </c>
      <c r="AO37" s="72">
        <f>IFERROR(VLOOKUP($D37,'FERC 2021'!$EA$3:$EN$221,14,0),"")</f>
        <v>291376</v>
      </c>
      <c r="AP37" s="72">
        <f>IFERROR(VLOOKUP($D37,'FERC 2022'!$EA$3:$EN$220,14,0),"")</f>
        <v>292770</v>
      </c>
      <c r="AQ37" s="72">
        <f>IFERROR(VLOOKUP($D37,'FERC 2023'!$EA$3:$EN$221,14,0),"")</f>
        <v>294505</v>
      </c>
    </row>
    <row r="38" spans="1:43" ht="15.75" customHeight="1">
      <c r="A38" s="7" t="s">
        <v>312</v>
      </c>
      <c r="B38" s="7" t="s">
        <v>313</v>
      </c>
      <c r="C38" s="311">
        <f>'BD DEA'!P38</f>
        <v>1</v>
      </c>
      <c r="D38" s="44" t="str">
        <f t="shared" si="0"/>
        <v>C000465</v>
      </c>
      <c r="E38" s="72">
        <f>IFERROR(VLOOKUP($D38,'FERC 2021'!$EA$3:$EN$221,2,0),"")</f>
        <v>2196193254.2041192</v>
      </c>
      <c r="F38" s="72">
        <f>IFERROR(VLOOKUP($D38,'FERC 2022'!$EA$3:$EN$220,2,0),"")</f>
        <v>2312626674.7169514</v>
      </c>
      <c r="G38" s="72">
        <f>IFERROR(VLOOKUP($D38,'FERC 2023'!$EA$3:$EN$221,2,0),"")</f>
        <v>2506583115.7469397</v>
      </c>
      <c r="H38" s="72">
        <f>IFERROR(VLOOKUP($D38,'FERC 2021'!$EA$3:$EN$225,3,0),"")</f>
        <v>110998482.784127</v>
      </c>
      <c r="I38" s="72">
        <f>IFERROR(VLOOKUP($D38,'FERC 2022'!$EA$3:$EN$229,3,0),"")</f>
        <v>126806855.05173108</v>
      </c>
      <c r="J38" s="72">
        <f>IFERROR(VLOOKUP($D38,'FERC 2023'!$EA$3:$EN$229,3,0),"")</f>
        <v>85273866.055562273</v>
      </c>
      <c r="K38" s="72">
        <f>IFERROR(VLOOKUP($D38,'FERC 2021'!$EA$3:$EN$229,4,0),"")</f>
        <v>31655727.432948116</v>
      </c>
      <c r="L38" s="72">
        <f>IFERROR(VLOOKUP($D38,'FERC 2022'!$EA$3:$EN$220,4,0),"")</f>
        <v>28814303.933716409</v>
      </c>
      <c r="M38" s="72">
        <f>IFERROR(VLOOKUP($D38,'FERC 2023'!$EA$3:$EN$221,4,0),"")</f>
        <v>30662642.631659396</v>
      </c>
      <c r="N38" s="72">
        <f>IFERROR(VLOOKUP($D38,'FERC 2021'!$EA$3:$EN$221,5,0),"")</f>
        <v>28046228.104326084</v>
      </c>
      <c r="O38" s="72">
        <f>IFERROR(VLOOKUP($D38,'FERC 2022'!$EA$3:$EN$220,5,0),"")</f>
        <v>23497989.595156696</v>
      </c>
      <c r="P38" s="72">
        <f>IFERROR(VLOOKUP($D38,'FERC 2023'!$EA$3:$EN$221,5,0),"")</f>
        <v>25926627.917201549</v>
      </c>
      <c r="Q38" s="72">
        <f>IFERROR(VLOOKUP($D38,'FERC 2021'!$EA$3:$EN$221,6,0),"")</f>
        <v>30220760.58746976</v>
      </c>
      <c r="R38" s="72">
        <f>IFERROR(VLOOKUP($D38,'FERC 2022'!$EA$3:$EN$220,6,0),"")</f>
        <v>23646400.27465719</v>
      </c>
      <c r="S38" s="72">
        <f>IFERROR(VLOOKUP($D38,'FERC 2023'!$EA$3:$EN$221,6,0),"")</f>
        <v>21272177.084122386</v>
      </c>
      <c r="T38" s="72">
        <f>IFERROR(VLOOKUP($D38,'FERC 2021'!$EA$3:$EN$221,7,0),"")</f>
        <v>2051</v>
      </c>
      <c r="U38" s="72">
        <f>IFERROR(VLOOKUP($D38,'FERC 2022'!$EA$3:$EN$220,7,0),"")</f>
        <v>2201</v>
      </c>
      <c r="V38" s="72">
        <f>IFERROR(VLOOKUP($D38,'FERC 2023'!$EA$3:$EN$221,7,0),"")</f>
        <v>2384</v>
      </c>
      <c r="W38" s="72">
        <f>IFERROR(VLOOKUP($D38,'FERC 2021'!$EA$3:$EN$221,8,0),"")</f>
        <v>445670</v>
      </c>
      <c r="X38" s="72">
        <f>IFERROR(VLOOKUP($D38,'FERC 2022'!$EA$3:$EN$220,8,0),"")</f>
        <v>452119</v>
      </c>
      <c r="Y38" s="72">
        <f>IFERROR(VLOOKUP($D38,'FERC 2023'!$EA$3:$EN$221,8,0),"")</f>
        <v>456346</v>
      </c>
      <c r="Z38" s="72">
        <f>IFERROR(VLOOKUP($D38,'FERC 2021'!$EA$3:$EN$222,9,0),"")</f>
        <v>453096</v>
      </c>
      <c r="AA38" s="72">
        <f>IFERROR(VLOOKUP($D38,'FERC 2022'!$EA$3:$EN$220,9,0),"")</f>
        <v>526578</v>
      </c>
      <c r="AB38" s="72">
        <f>IFERROR(VLOOKUP($D38,'FERC 2023'!$EA$3:$EN$221,9,0),"")</f>
        <v>513839</v>
      </c>
      <c r="AC38" s="72">
        <f>IFERROR(VLOOKUP($D38,'FERC 2021'!$EA$3:$EN$221,10,0),"")</f>
        <v>8124136</v>
      </c>
      <c r="AD38" s="72">
        <f>IFERROR(VLOOKUP($D38,'FERC 2022'!$EA$3:$EN$220,10,0),"")</f>
        <v>8384535</v>
      </c>
      <c r="AE38" s="72">
        <f>IFERROR(VLOOKUP($D38,'FERC 2023'!$EA$3:$EN$221,10,0),"")</f>
        <v>8624092</v>
      </c>
      <c r="AF38" s="72">
        <f>IFERROR(VLOOKUP($D38,'FERC 2021'!$EA$3:$EN$221,11,0),"")</f>
        <v>8527321.3197969534</v>
      </c>
      <c r="AG38" s="72">
        <f>IFERROR(VLOOKUP($D38,'FERC 2022'!$EA$3:$EN$220,11,0),"")</f>
        <v>8858184.7614213191</v>
      </c>
      <c r="AH38" s="72">
        <f>IFERROR(VLOOKUP($D38,'FERC 2023'!$EA$3:$EN$221,11,0),"")</f>
        <v>9064422.4568527918</v>
      </c>
      <c r="AI38" s="72">
        <f>IFERROR(VLOOKUP($D38,'FERC 2021'!$EA$3:$EN$221,12,0),"")</f>
        <v>69630143.789999992</v>
      </c>
      <c r="AJ38" s="72">
        <f>IFERROR(VLOOKUP($D38,'FERC 2022'!$EA$3:$EN$220,12,0),"")</f>
        <v>49804976.921000004</v>
      </c>
      <c r="AK38" s="72">
        <f>IFERROR(VLOOKUP($D38,'FERC 2023'!$EA$3:$EN$221,12,0),"")</f>
        <v>36401807.728</v>
      </c>
      <c r="AL38" s="72">
        <f>VLOOKUP($D38,'FERC 2021'!$EA$3:$EN$221,13,0)</f>
        <v>576696.98</v>
      </c>
      <c r="AM38" s="72">
        <f>VLOOKUP($D38,'FERC 2022'!$EA$3:$EN$220,13,0)</f>
        <v>526718.63500000001</v>
      </c>
      <c r="AN38" s="72">
        <f>VLOOKUP($D38,'FERC 2023'!$EA$3:$EN$221,13,0)</f>
        <v>520234.43999999994</v>
      </c>
      <c r="AO38" s="72">
        <f>IFERROR(VLOOKUP($D38,'FERC 2021'!$EA$3:$EN$221,14,0),"")</f>
        <v>118000</v>
      </c>
      <c r="AP38" s="72">
        <f>IFERROR(VLOOKUP($D38,'FERC 2022'!$EA$3:$EN$220,14,0),"")</f>
        <v>121099</v>
      </c>
      <c r="AQ38" s="72">
        <f>IFERROR(VLOOKUP($D38,'FERC 2023'!$EA$3:$EN$221,14,0),"")</f>
        <v>120081</v>
      </c>
    </row>
    <row r="39" spans="1:43" ht="15.75" customHeight="1">
      <c r="A39" s="7" t="s">
        <v>315</v>
      </c>
      <c r="B39" s="7" t="s">
        <v>316</v>
      </c>
      <c r="C39" s="311">
        <f>'BD DEA'!P39</f>
        <v>1</v>
      </c>
      <c r="D39" s="44" t="str">
        <f t="shared" si="0"/>
        <v>C000500</v>
      </c>
      <c r="E39" s="72">
        <f>IFERROR(VLOOKUP($D39,'FERC 2021'!$EA$3:$EN$221,2,0),"")</f>
        <v>2279019260.5681224</v>
      </c>
      <c r="F39" s="72">
        <f>IFERROR(VLOOKUP($D39,'FERC 2022'!$EA$3:$EN$220,2,0),"")</f>
        <v>2376083635.4533548</v>
      </c>
      <c r="G39" s="72">
        <f>IFERROR(VLOOKUP($D39,'FERC 2023'!$EA$3:$EN$221,2,0),"")</f>
        <v>2506679789.0873852</v>
      </c>
      <c r="H39" s="72">
        <f>IFERROR(VLOOKUP($D39,'FERC 2021'!$EA$3:$EN$225,3,0),"")</f>
        <v>151247885.35274944</v>
      </c>
      <c r="I39" s="72">
        <f>IFERROR(VLOOKUP($D39,'FERC 2022'!$EA$3:$EN$229,3,0),"")</f>
        <v>113666533.88720934</v>
      </c>
      <c r="J39" s="72">
        <f>IFERROR(VLOOKUP($D39,'FERC 2023'!$EA$3:$EN$229,3,0),"")</f>
        <v>116208802.52579498</v>
      </c>
      <c r="K39" s="72">
        <f>IFERROR(VLOOKUP($D39,'FERC 2021'!$EA$3:$EN$229,4,0),"")</f>
        <v>35321453.390601203</v>
      </c>
      <c r="L39" s="72">
        <f>IFERROR(VLOOKUP($D39,'FERC 2022'!$EA$3:$EN$220,4,0),"")</f>
        <v>43827816.416381322</v>
      </c>
      <c r="M39" s="72">
        <f>IFERROR(VLOOKUP($D39,'FERC 2023'!$EA$3:$EN$221,4,0),"")</f>
        <v>30739694.676790789</v>
      </c>
      <c r="N39" s="72">
        <f>IFERROR(VLOOKUP($D39,'FERC 2021'!$EA$3:$EN$221,5,0),"")</f>
        <v>28124293.995168459</v>
      </c>
      <c r="O39" s="72">
        <f>IFERROR(VLOOKUP($D39,'FERC 2022'!$EA$3:$EN$220,5,0),"")</f>
        <v>30083228.703701314</v>
      </c>
      <c r="P39" s="72">
        <f>IFERROR(VLOOKUP($D39,'FERC 2023'!$EA$3:$EN$221,5,0),"")</f>
        <v>42499792.029388838</v>
      </c>
      <c r="Q39" s="72">
        <f>IFERROR(VLOOKUP($D39,'FERC 2021'!$EA$3:$EN$221,6,0),"")</f>
        <v>10521959.292858742</v>
      </c>
      <c r="R39" s="72">
        <f>IFERROR(VLOOKUP($D39,'FERC 2022'!$EA$3:$EN$220,6,0),"")</f>
        <v>5640547.7191806883</v>
      </c>
      <c r="S39" s="72">
        <f>IFERROR(VLOOKUP($D39,'FERC 2023'!$EA$3:$EN$221,6,0),"")</f>
        <v>13249985.742035847</v>
      </c>
      <c r="T39" s="72">
        <f>IFERROR(VLOOKUP($D39,'FERC 2021'!$EA$3:$EN$221,7,0),"")</f>
        <v>2181</v>
      </c>
      <c r="U39" s="72">
        <f>IFERROR(VLOOKUP($D39,'FERC 2022'!$EA$3:$EN$220,7,0),"")</f>
        <v>2177</v>
      </c>
      <c r="V39" s="72">
        <f>IFERROR(VLOOKUP($D39,'FERC 2023'!$EA$3:$EN$221,7,0),"")</f>
        <v>2112</v>
      </c>
      <c r="W39" s="72">
        <f>IFERROR(VLOOKUP($D39,'FERC 2021'!$EA$3:$EN$221,8,0),"")</f>
        <v>454904</v>
      </c>
      <c r="X39" s="72">
        <f>IFERROR(VLOOKUP($D39,'FERC 2022'!$EA$3:$EN$220,8,0),"")</f>
        <v>458957</v>
      </c>
      <c r="Y39" s="72">
        <f>IFERROR(VLOOKUP($D39,'FERC 2023'!$EA$3:$EN$221,8,0),"")</f>
        <v>463138</v>
      </c>
      <c r="Z39" s="72">
        <f>IFERROR(VLOOKUP($D39,'FERC 2021'!$EA$3:$EN$222,9,0),"")</f>
        <v>387086</v>
      </c>
      <c r="AA39" s="72">
        <f>IFERROR(VLOOKUP($D39,'FERC 2022'!$EA$3:$EN$220,9,0),"")</f>
        <v>383605</v>
      </c>
      <c r="AB39" s="72">
        <f>IFERROR(VLOOKUP($D39,'FERC 2023'!$EA$3:$EN$221,9,0),"")</f>
        <v>371066</v>
      </c>
      <c r="AC39" s="72">
        <f>IFERROR(VLOOKUP($D39,'FERC 2021'!$EA$3:$EN$221,10,0),"")</f>
        <v>11046096</v>
      </c>
      <c r="AD39" s="72">
        <f>IFERROR(VLOOKUP($D39,'FERC 2022'!$EA$3:$EN$220,10,0),"")</f>
        <v>11064640</v>
      </c>
      <c r="AE39" s="72">
        <f>IFERROR(VLOOKUP($D39,'FERC 2023'!$EA$3:$EN$221,10,0),"")</f>
        <v>10817248</v>
      </c>
      <c r="AF39" s="72">
        <f>IFERROR(VLOOKUP($D39,'FERC 2021'!$EA$3:$EN$221,11,0),"")</f>
        <v>11397197.015228426</v>
      </c>
      <c r="AG39" s="72">
        <f>IFERROR(VLOOKUP($D39,'FERC 2022'!$EA$3:$EN$220,11,0),"")</f>
        <v>11411737.010152284</v>
      </c>
      <c r="AH39" s="72">
        <f>IFERROR(VLOOKUP($D39,'FERC 2023'!$EA$3:$EN$221,11,0),"")</f>
        <v>11155926.152284265</v>
      </c>
      <c r="AI39" s="72">
        <f>IFERROR(VLOOKUP($D39,'FERC 2021'!$EA$3:$EN$221,12,0),"")</f>
        <v>43215880</v>
      </c>
      <c r="AJ39" s="72">
        <f>IFERROR(VLOOKUP($D39,'FERC 2022'!$EA$3:$EN$220,12,0),"")</f>
        <v>44059872</v>
      </c>
      <c r="AK39" s="72">
        <f>IFERROR(VLOOKUP($D39,'FERC 2023'!$EA$3:$EN$221,12,0),"")</f>
        <v>34272212</v>
      </c>
      <c r="AL39" s="72">
        <f>VLOOKUP($D39,'FERC 2021'!$EA$3:$EN$221,13,0)</f>
        <v>664159.84</v>
      </c>
      <c r="AM39" s="72">
        <f>VLOOKUP($D39,'FERC 2022'!$EA$3:$EN$220,13,0)</f>
        <v>665487.65</v>
      </c>
      <c r="AN39" s="72">
        <f>VLOOKUP($D39,'FERC 2023'!$EA$3:$EN$221,13,0)</f>
        <v>393667.3</v>
      </c>
      <c r="AO39" s="72">
        <f>IFERROR(VLOOKUP($D39,'FERC 2021'!$EA$3:$EN$221,14,0),"")</f>
        <v>461548</v>
      </c>
      <c r="AP39" s="72">
        <f>IFERROR(VLOOKUP($D39,'FERC 2022'!$EA$3:$EN$220,14,0),"")</f>
        <v>465462</v>
      </c>
      <c r="AQ39" s="72">
        <f>IFERROR(VLOOKUP($D39,'FERC 2023'!$EA$3:$EN$221,14,0),"")</f>
        <v>470298</v>
      </c>
    </row>
    <row r="40" spans="1:43" ht="15.75" hidden="1" customHeight="1">
      <c r="A40" s="7" t="s">
        <v>318</v>
      </c>
      <c r="B40" s="7" t="s">
        <v>319</v>
      </c>
      <c r="C40" s="311" t="str">
        <f>'BD DEA'!P40</f>
        <v/>
      </c>
      <c r="D40" s="44" t="str">
        <f t="shared" si="0"/>
        <v>C000501</v>
      </c>
      <c r="E40" s="72">
        <f>IFERROR(VLOOKUP($D40,'FERC 2021'!$EA$3:$EN$221,2,0),"")</f>
        <v>290502556.9518491</v>
      </c>
      <c r="F40" s="72">
        <f>IFERROR(VLOOKUP($D40,'FERC 2022'!$EA$3:$EN$220,2,0),"")</f>
        <v>286657630.07733864</v>
      </c>
      <c r="G40" s="72">
        <f>IFERROR(VLOOKUP($D40,'FERC 2023'!$EA$3:$EN$221,2,0),"")</f>
        <v>303135285.74216551</v>
      </c>
      <c r="H40" s="72">
        <f>IFERROR(VLOOKUP($D40,'FERC 2021'!$EA$3:$EN$225,3,0),"")</f>
        <v>23712288.25781136</v>
      </c>
      <c r="I40" s="72">
        <f>IFERROR(VLOOKUP($D40,'FERC 2022'!$EA$3:$EN$229,3,0),"")</f>
        <v>23300139.570637368</v>
      </c>
      <c r="J40" s="72">
        <f>IFERROR(VLOOKUP($D40,'FERC 2023'!$EA$3:$EN$229,3,0),"")</f>
        <v>23654444.014030714</v>
      </c>
      <c r="K40" s="72">
        <f>IFERROR(VLOOKUP($D40,'FERC 2021'!$EA$3:$EN$229,4,0),"")</f>
        <v>15403674.560845425</v>
      </c>
      <c r="L40" s="72">
        <f>IFERROR(VLOOKUP($D40,'FERC 2022'!$EA$3:$EN$220,4,0),"")</f>
        <v>17215337.025235076</v>
      </c>
      <c r="M40" s="72">
        <f>IFERROR(VLOOKUP($D40,'FERC 2023'!$EA$3:$EN$221,4,0),"")</f>
        <v>16763025.542540623</v>
      </c>
      <c r="N40" s="72">
        <f>IFERROR(VLOOKUP($D40,'FERC 2021'!$EA$3:$EN$221,5,0),"")</f>
        <v>8213889.3118475825</v>
      </c>
      <c r="O40" s="72">
        <f>IFERROR(VLOOKUP($D40,'FERC 2022'!$EA$3:$EN$220,5,0),"")</f>
        <v>8157740.0774483122</v>
      </c>
      <c r="P40" s="72">
        <f>IFERROR(VLOOKUP($D40,'FERC 2023'!$EA$3:$EN$221,5,0),"")</f>
        <v>8599778.8612294812</v>
      </c>
      <c r="Q40" s="72">
        <f>IFERROR(VLOOKUP($D40,'FERC 2021'!$EA$3:$EN$221,6,0),"")</f>
        <v>7922482.4053926989</v>
      </c>
      <c r="R40" s="72">
        <f>IFERROR(VLOOKUP($D40,'FERC 2022'!$EA$3:$EN$220,6,0),"")</f>
        <v>8642707.9183230456</v>
      </c>
      <c r="S40" s="72">
        <f>IFERROR(VLOOKUP($D40,'FERC 2023'!$EA$3:$EN$221,6,0),"")</f>
        <v>7677553.6092558317</v>
      </c>
      <c r="T40" s="72">
        <f>IFERROR(VLOOKUP($D40,'FERC 2021'!$EA$3:$EN$221,7,0),"")</f>
        <v>163</v>
      </c>
      <c r="U40" s="72">
        <f>IFERROR(VLOOKUP($D40,'FERC 2022'!$EA$3:$EN$220,7,0),"")</f>
        <v>167</v>
      </c>
      <c r="V40" s="72">
        <f>IFERROR(VLOOKUP($D40,'FERC 2023'!$EA$3:$EN$221,7,0),"")</f>
        <v>123</v>
      </c>
      <c r="W40" s="72">
        <f>IFERROR(VLOOKUP($D40,'FERC 2021'!$EA$3:$EN$221,8,0),"")</f>
        <v>53018</v>
      </c>
      <c r="X40" s="72">
        <f>IFERROR(VLOOKUP($D40,'FERC 2022'!$EA$3:$EN$220,8,0),"")</f>
        <v>53268</v>
      </c>
      <c r="Y40" s="72">
        <f>IFERROR(VLOOKUP($D40,'FERC 2023'!$EA$3:$EN$221,8,0),"")</f>
        <v>53484</v>
      </c>
      <c r="Z40" s="72">
        <f>IFERROR(VLOOKUP($D40,'FERC 2021'!$EA$3:$EN$222,9,0),"")</f>
        <v>26170</v>
      </c>
      <c r="AA40" s="72">
        <f>IFERROR(VLOOKUP($D40,'FERC 2022'!$EA$3:$EN$220,9,0),"")</f>
        <v>59865</v>
      </c>
      <c r="AB40" s="72">
        <f>IFERROR(VLOOKUP($D40,'FERC 2023'!$EA$3:$EN$221,9,0),"")</f>
        <v>52769</v>
      </c>
      <c r="AC40" s="72">
        <f>IFERROR(VLOOKUP($D40,'FERC 2021'!$EA$3:$EN$221,10,0),"")</f>
        <v>753204</v>
      </c>
      <c r="AD40" s="72">
        <f>IFERROR(VLOOKUP($D40,'FERC 2022'!$EA$3:$EN$220,10,0),"")</f>
        <v>710770</v>
      </c>
      <c r="AE40" s="72">
        <f>IFERROR(VLOOKUP($D40,'FERC 2023'!$EA$3:$EN$221,10,0),"")</f>
        <v>661429</v>
      </c>
      <c r="AF40" s="72">
        <f>IFERROR(VLOOKUP($D40,'FERC 2021'!$EA$3:$EN$221,11,0),"")</f>
        <v>779192.46192893398</v>
      </c>
      <c r="AG40" s="72">
        <f>IFERROR(VLOOKUP($D40,'FERC 2022'!$EA$3:$EN$220,11,0),"")</f>
        <v>770109.4517766498</v>
      </c>
      <c r="AH40" s="72">
        <f>IFERROR(VLOOKUP($D40,'FERC 2023'!$EA$3:$EN$221,11,0),"")</f>
        <v>713114.95431472082</v>
      </c>
      <c r="AI40" s="72">
        <f>IFERROR(VLOOKUP($D40,'FERC 2021'!$EA$3:$EN$221,12,0),"")</f>
        <v>7883776.5999999996</v>
      </c>
      <c r="AJ40" s="72">
        <f>IFERROR(VLOOKUP($D40,'FERC 2022'!$EA$3:$EN$220,12,0),"")</f>
        <v>10898632.799999999</v>
      </c>
      <c r="AK40" s="72">
        <f>IFERROR(VLOOKUP($D40,'FERC 2023'!$EA$3:$EN$221,12,0),"")</f>
        <v>7519850.3999999994</v>
      </c>
      <c r="AL40" s="72">
        <f>VLOOKUP($D40,'FERC 2021'!$EA$3:$EN$221,13,0)</f>
        <v>78466.64</v>
      </c>
      <c r="AM40" s="72">
        <f>VLOOKUP($D40,'FERC 2022'!$EA$3:$EN$220,13,0)</f>
        <v>123049.08</v>
      </c>
      <c r="AN40" s="72">
        <f>VLOOKUP($D40,'FERC 2023'!$EA$3:$EN$221,13,0)</f>
        <v>84504.72</v>
      </c>
      <c r="AO40" s="72">
        <f>IFERROR(VLOOKUP($D40,'FERC 2021'!$EA$3:$EN$221,14,0),"")</f>
        <v>58194</v>
      </c>
      <c r="AP40" s="72">
        <f>IFERROR(VLOOKUP($D40,'FERC 2022'!$EA$3:$EN$220,14,0),"")</f>
        <v>58671</v>
      </c>
      <c r="AQ40" s="72">
        <f>IFERROR(VLOOKUP($D40,'FERC 2023'!$EA$3:$EN$221,14,0),"")</f>
        <v>58885</v>
      </c>
    </row>
    <row r="41" spans="1:43" ht="15.75" hidden="1" customHeight="1">
      <c r="A41" s="7" t="s">
        <v>321</v>
      </c>
      <c r="B41" s="7" t="s">
        <v>322</v>
      </c>
      <c r="C41" s="311" t="str">
        <f>'BD DEA'!P41</f>
        <v/>
      </c>
      <c r="D41" s="44" t="str">
        <f t="shared" si="0"/>
        <v>C000502</v>
      </c>
      <c r="E41" s="72" t="str">
        <f>IFERROR(VLOOKUP($D41,'FERC 2021'!$EA$3:$EN$221,2,0),"")</f>
        <v/>
      </c>
      <c r="F41" s="72" t="str">
        <f>IFERROR(VLOOKUP($D41,'FERC 2022'!$EA$3:$EN$220,2,0),"")</f>
        <v/>
      </c>
      <c r="G41" s="72" t="str">
        <f>IFERROR(VLOOKUP($D41,'FERC 2023'!$EA$3:$EN$221,2,0),"")</f>
        <v/>
      </c>
      <c r="H41" s="72" t="str">
        <f>IFERROR(VLOOKUP($D41,'FERC 2021'!$EA$3:$EN$225,3,0),"")</f>
        <v/>
      </c>
      <c r="I41" s="72" t="str">
        <f>IFERROR(VLOOKUP($D41,'FERC 2022'!$EA$3:$EN$229,3,0),"")</f>
        <v/>
      </c>
      <c r="J41" s="72" t="str">
        <f>IFERROR(VLOOKUP($D41,'FERC 2023'!$EA$3:$EN$229,3,0),"")</f>
        <v/>
      </c>
      <c r="K41" s="72" t="str">
        <f>IFERROR(VLOOKUP($D41,'FERC 2021'!$EA$3:$EN$229,4,0),"")</f>
        <v/>
      </c>
      <c r="L41" s="72" t="str">
        <f>IFERROR(VLOOKUP($D41,'FERC 2022'!$EA$3:$EN$220,4,0),"")</f>
        <v/>
      </c>
      <c r="M41" s="72" t="str">
        <f>IFERROR(VLOOKUP($D41,'FERC 2023'!$EA$3:$EN$221,4,0),"")</f>
        <v/>
      </c>
      <c r="N41" s="72" t="str">
        <f>IFERROR(VLOOKUP($D41,'FERC 2021'!$EA$3:$EN$221,5,0),"")</f>
        <v/>
      </c>
      <c r="O41" s="72" t="str">
        <f>IFERROR(VLOOKUP($D41,'FERC 2022'!$EA$3:$EN$220,5,0),"")</f>
        <v/>
      </c>
      <c r="P41" s="72" t="str">
        <f>IFERROR(VLOOKUP($D41,'FERC 2023'!$EA$3:$EN$221,5,0),"")</f>
        <v/>
      </c>
      <c r="Q41" s="72" t="str">
        <f>IFERROR(VLOOKUP($D41,'FERC 2021'!$EA$3:$EN$221,6,0),"")</f>
        <v/>
      </c>
      <c r="R41" s="72" t="str">
        <f>IFERROR(VLOOKUP($D41,'FERC 2022'!$EA$3:$EN$220,6,0),"")</f>
        <v/>
      </c>
      <c r="S41" s="72" t="str">
        <f>IFERROR(VLOOKUP($D41,'FERC 2023'!$EA$3:$EN$221,6,0),"")</f>
        <v/>
      </c>
      <c r="T41" s="72" t="str">
        <f>IFERROR(VLOOKUP($D41,'FERC 2021'!$EA$3:$EN$221,7,0),"")</f>
        <v/>
      </c>
      <c r="U41" s="72" t="str">
        <f>IFERROR(VLOOKUP($D41,'FERC 2022'!$EA$3:$EN$220,7,0),"")</f>
        <v/>
      </c>
      <c r="V41" s="72" t="str">
        <f>IFERROR(VLOOKUP($D41,'FERC 2023'!$EA$3:$EN$221,7,0),"")</f>
        <v/>
      </c>
      <c r="W41" s="72" t="str">
        <f>IFERROR(VLOOKUP($D41,'FERC 2021'!$EA$3:$EN$221,8,0),"")</f>
        <v/>
      </c>
      <c r="X41" s="72" t="str">
        <f>IFERROR(VLOOKUP($D41,'FERC 2022'!$EA$3:$EN$220,8,0),"")</f>
        <v/>
      </c>
      <c r="Y41" s="72" t="str">
        <f>IFERROR(VLOOKUP($D41,'FERC 2023'!$EA$3:$EN$221,8,0),"")</f>
        <v/>
      </c>
      <c r="Z41" s="72" t="str">
        <f>IFERROR(VLOOKUP($D41,'FERC 2021'!$EA$3:$EN$222,9,0),"")</f>
        <v/>
      </c>
      <c r="AA41" s="72" t="str">
        <f>IFERROR(VLOOKUP($D41,'FERC 2022'!$EA$3:$EN$220,9,0),"")</f>
        <v/>
      </c>
      <c r="AB41" s="72" t="str">
        <f>IFERROR(VLOOKUP($D41,'FERC 2023'!$EA$3:$EN$221,9,0),"")</f>
        <v/>
      </c>
      <c r="AC41" s="72" t="str">
        <f>IFERROR(VLOOKUP($D41,'FERC 2021'!$EA$3:$EN$221,10,0),"")</f>
        <v/>
      </c>
      <c r="AD41" s="72" t="str">
        <f>IFERROR(VLOOKUP($D41,'FERC 2022'!$EA$3:$EN$220,10,0),"")</f>
        <v/>
      </c>
      <c r="AE41" s="72" t="str">
        <f>IFERROR(VLOOKUP($D41,'FERC 2023'!$EA$3:$EN$221,10,0),"")</f>
        <v/>
      </c>
      <c r="AF41" s="72" t="str">
        <f>IFERROR(VLOOKUP($D41,'FERC 2021'!$EA$3:$EN$221,11,0),"")</f>
        <v/>
      </c>
      <c r="AG41" s="72" t="str">
        <f>IFERROR(VLOOKUP($D41,'FERC 2022'!$EA$3:$EN$220,11,0),"")</f>
        <v/>
      </c>
      <c r="AH41" s="72" t="str">
        <f>IFERROR(VLOOKUP($D41,'FERC 2023'!$EA$3:$EN$221,11,0),"")</f>
        <v/>
      </c>
      <c r="AI41" s="72" t="str">
        <f>IFERROR(VLOOKUP($D41,'FERC 2021'!$EA$3:$EN$221,12,0),"")</f>
        <v/>
      </c>
      <c r="AJ41" s="72" t="str">
        <f>IFERROR(VLOOKUP($D41,'FERC 2022'!$EA$3:$EN$220,12,0),"")</f>
        <v/>
      </c>
      <c r="AK41" s="72" t="str">
        <f>IFERROR(VLOOKUP($D41,'FERC 2023'!$EA$3:$EN$221,12,0),"")</f>
        <v/>
      </c>
      <c r="AL41" s="72" t="str">
        <f>VLOOKUP($D41,'FERC 2021'!$EA$3:$EN$221,13,0)</f>
        <v/>
      </c>
      <c r="AM41" s="72" t="str">
        <f>VLOOKUP($D41,'FERC 2022'!$EA$3:$EN$220,13,0)</f>
        <v/>
      </c>
      <c r="AN41" s="72" t="str">
        <f>VLOOKUP($D41,'FERC 2023'!$EA$3:$EN$221,13,0)</f>
        <v/>
      </c>
      <c r="AO41" s="72" t="str">
        <f>IFERROR(VLOOKUP($D41,'FERC 2021'!$EA$3:$EN$221,14,0),"")</f>
        <v/>
      </c>
      <c r="AP41" s="72" t="str">
        <f>IFERROR(VLOOKUP($D41,'FERC 2022'!$EA$3:$EN$220,14,0),"")</f>
        <v/>
      </c>
      <c r="AQ41" s="72" t="str">
        <f>IFERROR(VLOOKUP($D41,'FERC 2023'!$EA$3:$EN$221,14,0),"")</f>
        <v/>
      </c>
    </row>
    <row r="42" spans="1:43" ht="15.75" customHeight="1">
      <c r="A42" s="7" t="s">
        <v>324</v>
      </c>
      <c r="B42" s="7" t="s">
        <v>325</v>
      </c>
      <c r="C42" s="311">
        <f>'BD DEA'!P42</f>
        <v>1</v>
      </c>
      <c r="D42" s="44" t="str">
        <f t="shared" si="0"/>
        <v>C000507</v>
      </c>
      <c r="E42" s="72">
        <f>IFERROR(VLOOKUP($D42,'FERC 2021'!$EA$3:$EN$221,2,0),"")</f>
        <v>1458497231.5783799</v>
      </c>
      <c r="F42" s="72">
        <f>IFERROR(VLOOKUP($D42,'FERC 2022'!$EA$3:$EN$220,2,0),"")</f>
        <v>1488170510.2515066</v>
      </c>
      <c r="G42" s="72">
        <f>IFERROR(VLOOKUP($D42,'FERC 2023'!$EA$3:$EN$221,2,0),"")</f>
        <v>1518806729.7260408</v>
      </c>
      <c r="H42" s="72">
        <f>IFERROR(VLOOKUP($D42,'FERC 2021'!$EA$3:$EN$225,3,0),"")</f>
        <v>66722167.279471293</v>
      </c>
      <c r="I42" s="72">
        <f>IFERROR(VLOOKUP($D42,'FERC 2022'!$EA$3:$EN$229,3,0),"")</f>
        <v>64736460.922276191</v>
      </c>
      <c r="J42" s="72">
        <f>IFERROR(VLOOKUP($D42,'FERC 2023'!$EA$3:$EN$229,3,0),"")</f>
        <v>65152599.891995393</v>
      </c>
      <c r="K42" s="72">
        <f>IFERROR(VLOOKUP($D42,'FERC 2021'!$EA$3:$EN$229,4,0),"")</f>
        <v>62327870.597072497</v>
      </c>
      <c r="L42" s="72">
        <f>IFERROR(VLOOKUP($D42,'FERC 2022'!$EA$3:$EN$220,4,0),"")</f>
        <v>63717842.518706284</v>
      </c>
      <c r="M42" s="72">
        <f>IFERROR(VLOOKUP($D42,'FERC 2023'!$EA$3:$EN$221,4,0),"")</f>
        <v>66196925.94267343</v>
      </c>
      <c r="N42" s="72">
        <f>IFERROR(VLOOKUP($D42,'FERC 2021'!$EA$3:$EN$221,5,0),"")</f>
        <v>74278526.553828791</v>
      </c>
      <c r="O42" s="72">
        <f>IFERROR(VLOOKUP($D42,'FERC 2022'!$EA$3:$EN$220,5,0),"")</f>
        <v>59761881.594590269</v>
      </c>
      <c r="P42" s="72">
        <f>IFERROR(VLOOKUP($D42,'FERC 2023'!$EA$3:$EN$221,5,0),"")</f>
        <v>60272898.297622569</v>
      </c>
      <c r="Q42" s="72">
        <f>IFERROR(VLOOKUP($D42,'FERC 2021'!$EA$3:$EN$221,6,0),"")</f>
        <v>70119177.883634165</v>
      </c>
      <c r="R42" s="72">
        <f>IFERROR(VLOOKUP($D42,'FERC 2022'!$EA$3:$EN$220,6,0),"")</f>
        <v>53689343.795738205</v>
      </c>
      <c r="S42" s="72">
        <f>IFERROR(VLOOKUP($D42,'FERC 2023'!$EA$3:$EN$221,6,0),"")</f>
        <v>48064326.195533857</v>
      </c>
      <c r="T42" s="72">
        <f>IFERROR(VLOOKUP($D42,'FERC 2021'!$EA$3:$EN$221,7,0),"")</f>
        <v>1518</v>
      </c>
      <c r="U42" s="72">
        <f>IFERROR(VLOOKUP($D42,'FERC 2022'!$EA$3:$EN$220,7,0),"")</f>
        <v>1454</v>
      </c>
      <c r="V42" s="72">
        <f>IFERROR(VLOOKUP($D42,'FERC 2023'!$EA$3:$EN$221,7,0),"")</f>
        <v>1379</v>
      </c>
      <c r="W42" s="72">
        <f>IFERROR(VLOOKUP($D42,'FERC 2021'!$EA$3:$EN$221,8,0),"")</f>
        <v>238801</v>
      </c>
      <c r="X42" s="72">
        <f>IFERROR(VLOOKUP($D42,'FERC 2022'!$EA$3:$EN$220,8,0),"")</f>
        <v>240211</v>
      </c>
      <c r="Y42" s="72">
        <f>IFERROR(VLOOKUP($D42,'FERC 2023'!$EA$3:$EN$221,8,0),"")</f>
        <v>242334</v>
      </c>
      <c r="Z42" s="72">
        <f>IFERROR(VLOOKUP($D42,'FERC 2021'!$EA$3:$EN$222,9,0),"")</f>
        <v>18770</v>
      </c>
      <c r="AA42" s="72">
        <f>IFERROR(VLOOKUP($D42,'FERC 2022'!$EA$3:$EN$220,9,0),"")</f>
        <v>61741</v>
      </c>
      <c r="AB42" s="72">
        <f>IFERROR(VLOOKUP($D42,'FERC 2023'!$EA$3:$EN$221,9,0),"")</f>
        <v>56157</v>
      </c>
      <c r="AC42" s="72">
        <f>IFERROR(VLOOKUP($D42,'FERC 2021'!$EA$3:$EN$221,10,0),"")</f>
        <v>4045812</v>
      </c>
      <c r="AD42" s="72">
        <f>IFERROR(VLOOKUP($D42,'FERC 2022'!$EA$3:$EN$220,10,0),"")</f>
        <v>4020986</v>
      </c>
      <c r="AE42" s="72">
        <f>IFERROR(VLOOKUP($D42,'FERC 2023'!$EA$3:$EN$221,10,0),"")</f>
        <v>3924743</v>
      </c>
      <c r="AF42" s="72">
        <f>IFERROR(VLOOKUP($D42,'FERC 2021'!$EA$3:$EN$221,11,0),"")</f>
        <v>4061433.9644670049</v>
      </c>
      <c r="AG42" s="72">
        <f>IFERROR(VLOOKUP($D42,'FERC 2022'!$EA$3:$EN$220,11,0),"")</f>
        <v>4079830.5532994922</v>
      </c>
      <c r="AH42" s="72">
        <f>IFERROR(VLOOKUP($D42,'FERC 2023'!$EA$3:$EN$221,11,0),"")</f>
        <v>3978283.1015228424</v>
      </c>
      <c r="AI42" s="72">
        <f>IFERROR(VLOOKUP($D42,'FERC 2021'!$EA$3:$EN$221,12,0),"")</f>
        <v>25659167.449999999</v>
      </c>
      <c r="AJ42" s="72">
        <f>IFERROR(VLOOKUP($D42,'FERC 2022'!$EA$3:$EN$220,12,0),"")</f>
        <v>23571184.796999998</v>
      </c>
      <c r="AK42" s="72">
        <f>IFERROR(VLOOKUP($D42,'FERC 2023'!$EA$3:$EN$221,12,0),"")</f>
        <v>26707630.139999997</v>
      </c>
      <c r="AL42" s="72">
        <f>VLOOKUP($D42,'FERC 2021'!$EA$3:$EN$221,13,0)</f>
        <v>306381.68299999996</v>
      </c>
      <c r="AM42" s="72">
        <f>VLOOKUP($D42,'FERC 2022'!$EA$3:$EN$220,13,0)</f>
        <v>240211</v>
      </c>
      <c r="AN42" s="72">
        <f>VLOOKUP($D42,'FERC 2023'!$EA$3:$EN$221,13,0)</f>
        <v>361319.99400000001</v>
      </c>
      <c r="AO42" s="72">
        <f>IFERROR(VLOOKUP($D42,'FERC 2021'!$EA$3:$EN$221,14,0),"")</f>
        <v>231251</v>
      </c>
      <c r="AP42" s="72">
        <f>IFERROR(VLOOKUP($D42,'FERC 2022'!$EA$3:$EN$220,14,0),"")</f>
        <v>240752</v>
      </c>
      <c r="AQ42" s="72">
        <f>IFERROR(VLOOKUP($D42,'FERC 2023'!$EA$3:$EN$221,14,0),"")</f>
        <v>240626</v>
      </c>
    </row>
    <row r="43" spans="1:43" ht="15.75" customHeight="1">
      <c r="A43" s="7" t="s">
        <v>327</v>
      </c>
      <c r="B43" s="7" t="s">
        <v>328</v>
      </c>
      <c r="C43" s="311">
        <f>'BD DEA'!P43</f>
        <v>1</v>
      </c>
      <c r="D43" s="44" t="str">
        <f t="shared" si="0"/>
        <v>C000509</v>
      </c>
      <c r="E43" s="72">
        <f>IFERROR(VLOOKUP($D43,'FERC 2021'!$EA$3:$EN$221,2,0),"")</f>
        <v>494508575.85573846</v>
      </c>
      <c r="F43" s="72">
        <f>IFERROR(VLOOKUP($D43,'FERC 2022'!$EA$3:$EN$220,2,0),"")</f>
        <v>497764476.19975239</v>
      </c>
      <c r="G43" s="72">
        <f>IFERROR(VLOOKUP($D43,'FERC 2023'!$EA$3:$EN$221,2,0),"")</f>
        <v>494883688.8836503</v>
      </c>
      <c r="H43" s="72">
        <f>IFERROR(VLOOKUP($D43,'FERC 2021'!$EA$3:$EN$225,3,0),"")</f>
        <v>19536752.43566915</v>
      </c>
      <c r="I43" s="72">
        <f>IFERROR(VLOOKUP($D43,'FERC 2022'!$EA$3:$EN$229,3,0),"")</f>
        <v>19270410.748040266</v>
      </c>
      <c r="J43" s="72">
        <f>IFERROR(VLOOKUP($D43,'FERC 2023'!$EA$3:$EN$229,3,0),"")</f>
        <v>18379393.033509776</v>
      </c>
      <c r="K43" s="72">
        <f>IFERROR(VLOOKUP($D43,'FERC 2021'!$EA$3:$EN$229,4,0),"")</f>
        <v>23899687.431323413</v>
      </c>
      <c r="L43" s="72">
        <f>IFERROR(VLOOKUP($D43,'FERC 2022'!$EA$3:$EN$220,4,0),"")</f>
        <v>25191039.872481421</v>
      </c>
      <c r="M43" s="72">
        <f>IFERROR(VLOOKUP($D43,'FERC 2023'!$EA$3:$EN$221,4,0),"")</f>
        <v>24230103.371715251</v>
      </c>
      <c r="N43" s="72">
        <f>IFERROR(VLOOKUP($D43,'FERC 2021'!$EA$3:$EN$221,5,0),"")</f>
        <v>18190619.091641255</v>
      </c>
      <c r="O43" s="72">
        <f>IFERROR(VLOOKUP($D43,'FERC 2022'!$EA$3:$EN$220,5,0),"")</f>
        <v>19176320.112889141</v>
      </c>
      <c r="P43" s="72">
        <f>IFERROR(VLOOKUP($D43,'FERC 2023'!$EA$3:$EN$221,5,0),"")</f>
        <v>19952479.182763293</v>
      </c>
      <c r="Q43" s="72">
        <f>IFERROR(VLOOKUP($D43,'FERC 2021'!$EA$3:$EN$221,6,0),"")</f>
        <v>22647628.357585073</v>
      </c>
      <c r="R43" s="72">
        <f>IFERROR(VLOOKUP($D43,'FERC 2022'!$EA$3:$EN$220,6,0),"")</f>
        <v>17502550.133478664</v>
      </c>
      <c r="S43" s="72">
        <f>IFERROR(VLOOKUP($D43,'FERC 2023'!$EA$3:$EN$221,6,0),"")</f>
        <v>10033509.755822144</v>
      </c>
      <c r="T43" s="72">
        <f>IFERROR(VLOOKUP($D43,'FERC 2021'!$EA$3:$EN$221,7,0),"")</f>
        <v>424</v>
      </c>
      <c r="U43" s="72">
        <f>IFERROR(VLOOKUP($D43,'FERC 2022'!$EA$3:$EN$220,7,0),"")</f>
        <v>405</v>
      </c>
      <c r="V43" s="72">
        <f>IFERROR(VLOOKUP($D43,'FERC 2023'!$EA$3:$EN$221,7,0),"")</f>
        <v>382</v>
      </c>
      <c r="W43" s="72">
        <f>IFERROR(VLOOKUP($D43,'FERC 2021'!$EA$3:$EN$221,8,0),"")</f>
        <v>74275</v>
      </c>
      <c r="X43" s="72">
        <f>IFERROR(VLOOKUP($D43,'FERC 2022'!$EA$3:$EN$220,8,0),"")</f>
        <v>74786</v>
      </c>
      <c r="Y43" s="72">
        <f>IFERROR(VLOOKUP($D43,'FERC 2023'!$EA$3:$EN$221,8,0),"")</f>
        <v>75487</v>
      </c>
      <c r="Z43" s="72">
        <f>IFERROR(VLOOKUP($D43,'FERC 2021'!$EA$3:$EN$222,9,0),"")</f>
        <v>37309</v>
      </c>
      <c r="AA43" s="72">
        <f>IFERROR(VLOOKUP($D43,'FERC 2022'!$EA$3:$EN$220,9,0),"")</f>
        <v>7700</v>
      </c>
      <c r="AB43" s="72">
        <f>IFERROR(VLOOKUP($D43,'FERC 2023'!$EA$3:$EN$221,9,0),"")</f>
        <v>16275</v>
      </c>
      <c r="AC43" s="72">
        <f>IFERROR(VLOOKUP($D43,'FERC 2021'!$EA$3:$EN$221,10,0),"")</f>
        <v>1495589</v>
      </c>
      <c r="AD43" s="72">
        <f>IFERROR(VLOOKUP($D43,'FERC 2022'!$EA$3:$EN$220,10,0),"")</f>
        <v>1532334</v>
      </c>
      <c r="AE43" s="72">
        <f>IFERROR(VLOOKUP($D43,'FERC 2023'!$EA$3:$EN$221,10,0),"")</f>
        <v>1460324</v>
      </c>
      <c r="AF43" s="72">
        <f>IFERROR(VLOOKUP($D43,'FERC 2021'!$EA$3:$EN$221,11,0),"")</f>
        <v>1532898</v>
      </c>
      <c r="AG43" s="72">
        <f>IFERROR(VLOOKUP($D43,'FERC 2022'!$EA$3:$EN$220,11,0),"")</f>
        <v>1540034</v>
      </c>
      <c r="AH43" s="72">
        <f>IFERROR(VLOOKUP($D43,'FERC 2023'!$EA$3:$EN$221,11,0),"")</f>
        <v>1476599</v>
      </c>
      <c r="AI43" s="72">
        <f>IFERROR(VLOOKUP($D43,'FERC 2021'!$EA$3:$EN$221,12,0),"")</f>
        <v>8010558.75</v>
      </c>
      <c r="AJ43" s="72">
        <f>IFERROR(VLOOKUP($D43,'FERC 2022'!$EA$3:$EN$220,12,0),"")</f>
        <v>6901476.4380000001</v>
      </c>
      <c r="AK43" s="72">
        <f>IFERROR(VLOOKUP($D43,'FERC 2023'!$EA$3:$EN$221,12,0),"")</f>
        <v>8924073.1400000006</v>
      </c>
      <c r="AL43" s="72">
        <f>VLOOKUP($D43,'FERC 2021'!$EA$3:$EN$221,13,0)</f>
        <v>66773.225000000006</v>
      </c>
      <c r="AM43" s="72">
        <f>VLOOKUP($D43,'FERC 2022'!$EA$3:$EN$220,13,0)</f>
        <v>62969.811999999998</v>
      </c>
      <c r="AN43" s="72">
        <f>VLOOKUP($D43,'FERC 2023'!$EA$3:$EN$221,13,0)</f>
        <v>69070.604999999996</v>
      </c>
      <c r="AO43" s="72">
        <f>IFERROR(VLOOKUP($D43,'FERC 2021'!$EA$3:$EN$221,14,0),"")</f>
        <v>71442</v>
      </c>
      <c r="AP43" s="72">
        <f>IFERROR(VLOOKUP($D43,'FERC 2022'!$EA$3:$EN$220,14,0),"")</f>
        <v>73609</v>
      </c>
      <c r="AQ43" s="72">
        <f>IFERROR(VLOOKUP($D43,'FERC 2023'!$EA$3:$EN$221,14,0),"")</f>
        <v>75074</v>
      </c>
    </row>
    <row r="44" spans="1:43" ht="15.75" hidden="1" customHeight="1">
      <c r="A44" s="7" t="s">
        <v>330</v>
      </c>
      <c r="B44" s="7" t="s">
        <v>331</v>
      </c>
      <c r="C44" s="311" t="str">
        <f>'BD DEA'!P44</f>
        <v/>
      </c>
      <c r="D44" s="44" t="str">
        <f t="shared" si="0"/>
        <v>C000522</v>
      </c>
      <c r="E44" s="72" t="str">
        <f>IFERROR(VLOOKUP($D44,'FERC 2021'!$EA$3:$EN$221,2,0),"")</f>
        <v/>
      </c>
      <c r="F44" s="72" t="str">
        <f>IFERROR(VLOOKUP($D44,'FERC 2022'!$EA$3:$EN$220,2,0),"")</f>
        <v/>
      </c>
      <c r="G44" s="72" t="str">
        <f>IFERROR(VLOOKUP($D44,'FERC 2023'!$EA$3:$EN$221,2,0),"")</f>
        <v/>
      </c>
      <c r="H44" s="72" t="str">
        <f>IFERROR(VLOOKUP($D44,'FERC 2021'!$EA$3:$EN$225,3,0),"")</f>
        <v/>
      </c>
      <c r="I44" s="72" t="str">
        <f>IFERROR(VLOOKUP($D44,'FERC 2022'!$EA$3:$EN$229,3,0),"")</f>
        <v/>
      </c>
      <c r="J44" s="72" t="str">
        <f>IFERROR(VLOOKUP($D44,'FERC 2023'!$EA$3:$EN$229,3,0),"")</f>
        <v/>
      </c>
      <c r="K44" s="72" t="str">
        <f>IFERROR(VLOOKUP($D44,'FERC 2021'!$EA$3:$EN$229,4,0),"")</f>
        <v/>
      </c>
      <c r="L44" s="72" t="str">
        <f>IFERROR(VLOOKUP($D44,'FERC 2022'!$EA$3:$EN$220,4,0),"")</f>
        <v/>
      </c>
      <c r="M44" s="72" t="str">
        <f>IFERROR(VLOOKUP($D44,'FERC 2023'!$EA$3:$EN$221,4,0),"")</f>
        <v/>
      </c>
      <c r="N44" s="72" t="str">
        <f>IFERROR(VLOOKUP($D44,'FERC 2021'!$EA$3:$EN$221,5,0),"")</f>
        <v/>
      </c>
      <c r="O44" s="72" t="str">
        <f>IFERROR(VLOOKUP($D44,'FERC 2022'!$EA$3:$EN$220,5,0),"")</f>
        <v/>
      </c>
      <c r="P44" s="72" t="str">
        <f>IFERROR(VLOOKUP($D44,'FERC 2023'!$EA$3:$EN$221,5,0),"")</f>
        <v/>
      </c>
      <c r="Q44" s="72" t="str">
        <f>IFERROR(VLOOKUP($D44,'FERC 2021'!$EA$3:$EN$221,6,0),"")</f>
        <v/>
      </c>
      <c r="R44" s="72" t="str">
        <f>IFERROR(VLOOKUP($D44,'FERC 2022'!$EA$3:$EN$220,6,0),"")</f>
        <v/>
      </c>
      <c r="S44" s="72" t="str">
        <f>IFERROR(VLOOKUP($D44,'FERC 2023'!$EA$3:$EN$221,6,0),"")</f>
        <v/>
      </c>
      <c r="T44" s="72" t="str">
        <f>IFERROR(VLOOKUP($D44,'FERC 2021'!$EA$3:$EN$221,7,0),"")</f>
        <v/>
      </c>
      <c r="U44" s="72" t="str">
        <f>IFERROR(VLOOKUP($D44,'FERC 2022'!$EA$3:$EN$220,7,0),"")</f>
        <v/>
      </c>
      <c r="V44" s="72" t="str">
        <f>IFERROR(VLOOKUP($D44,'FERC 2023'!$EA$3:$EN$221,7,0),"")</f>
        <v/>
      </c>
      <c r="W44" s="72" t="str">
        <f>IFERROR(VLOOKUP($D44,'FERC 2021'!$EA$3:$EN$221,8,0),"")</f>
        <v/>
      </c>
      <c r="X44" s="72" t="str">
        <f>IFERROR(VLOOKUP($D44,'FERC 2022'!$EA$3:$EN$220,8,0),"")</f>
        <v/>
      </c>
      <c r="Y44" s="72" t="str">
        <f>IFERROR(VLOOKUP($D44,'FERC 2023'!$EA$3:$EN$221,8,0),"")</f>
        <v/>
      </c>
      <c r="Z44" s="72" t="str">
        <f>IFERROR(VLOOKUP($D44,'FERC 2021'!$EA$3:$EN$222,9,0),"")</f>
        <v/>
      </c>
      <c r="AA44" s="72" t="str">
        <f>IFERROR(VLOOKUP($D44,'FERC 2022'!$EA$3:$EN$220,9,0),"")</f>
        <v/>
      </c>
      <c r="AB44" s="72" t="str">
        <f>IFERROR(VLOOKUP($D44,'FERC 2023'!$EA$3:$EN$221,9,0),"")</f>
        <v/>
      </c>
      <c r="AC44" s="72" t="str">
        <f>IFERROR(VLOOKUP($D44,'FERC 2021'!$EA$3:$EN$221,10,0),"")</f>
        <v/>
      </c>
      <c r="AD44" s="72" t="str">
        <f>IFERROR(VLOOKUP($D44,'FERC 2022'!$EA$3:$EN$220,10,0),"")</f>
        <v/>
      </c>
      <c r="AE44" s="72" t="str">
        <f>IFERROR(VLOOKUP($D44,'FERC 2023'!$EA$3:$EN$221,10,0),"")</f>
        <v/>
      </c>
      <c r="AF44" s="72" t="str">
        <f>IFERROR(VLOOKUP($D44,'FERC 2021'!$EA$3:$EN$221,11,0),"")</f>
        <v/>
      </c>
      <c r="AG44" s="72" t="str">
        <f>IFERROR(VLOOKUP($D44,'FERC 2022'!$EA$3:$EN$220,11,0),"")</f>
        <v/>
      </c>
      <c r="AH44" s="72" t="str">
        <f>IFERROR(VLOOKUP($D44,'FERC 2023'!$EA$3:$EN$221,11,0),"")</f>
        <v/>
      </c>
      <c r="AI44" s="72" t="str">
        <f>IFERROR(VLOOKUP($D44,'FERC 2021'!$EA$3:$EN$221,12,0),"")</f>
        <v/>
      </c>
      <c r="AJ44" s="72" t="str">
        <f>IFERROR(VLOOKUP($D44,'FERC 2022'!$EA$3:$EN$220,12,0),"")</f>
        <v/>
      </c>
      <c r="AK44" s="72" t="str">
        <f>IFERROR(VLOOKUP($D44,'FERC 2023'!$EA$3:$EN$221,12,0),"")</f>
        <v/>
      </c>
      <c r="AL44" s="72" t="str">
        <f>VLOOKUP($D44,'FERC 2021'!$EA$3:$EN$221,13,0)</f>
        <v/>
      </c>
      <c r="AM44" s="72" t="str">
        <f>VLOOKUP($D44,'FERC 2022'!$EA$3:$EN$220,13,0)</f>
        <v/>
      </c>
      <c r="AN44" s="72" t="str">
        <f>VLOOKUP($D44,'FERC 2023'!$EA$3:$EN$221,13,0)</f>
        <v/>
      </c>
      <c r="AO44" s="72" t="str">
        <f>IFERROR(VLOOKUP($D44,'FERC 2021'!$EA$3:$EN$221,14,0),"")</f>
        <v/>
      </c>
      <c r="AP44" s="72" t="str">
        <f>IFERROR(VLOOKUP($D44,'FERC 2022'!$EA$3:$EN$220,14,0),"")</f>
        <v/>
      </c>
      <c r="AQ44" s="72" t="str">
        <f>IFERROR(VLOOKUP($D44,'FERC 2023'!$EA$3:$EN$221,14,0),"")</f>
        <v/>
      </c>
    </row>
    <row r="45" spans="1:43" ht="15.75" hidden="1" customHeight="1">
      <c r="A45" s="7" t="s">
        <v>333</v>
      </c>
      <c r="B45" s="7" t="s">
        <v>334</v>
      </c>
      <c r="C45" s="311" t="str">
        <f>'BD DEA'!P45</f>
        <v/>
      </c>
      <c r="D45" s="44" t="str">
        <f t="shared" si="0"/>
        <v>C000523</v>
      </c>
      <c r="E45" s="72" t="str">
        <f>IFERROR(VLOOKUP($D45,'FERC 2021'!$EA$3:$EN$221,2,0),"")</f>
        <v/>
      </c>
      <c r="F45" s="72" t="str">
        <f>IFERROR(VLOOKUP($D45,'FERC 2022'!$EA$3:$EN$220,2,0),"")</f>
        <v/>
      </c>
      <c r="G45" s="72" t="str">
        <f>IFERROR(VLOOKUP($D45,'FERC 2023'!$EA$3:$EN$221,2,0),"")</f>
        <v/>
      </c>
      <c r="H45" s="72" t="str">
        <f>IFERROR(VLOOKUP($D45,'FERC 2021'!$EA$3:$EN$225,3,0),"")</f>
        <v/>
      </c>
      <c r="I45" s="72" t="str">
        <f>IFERROR(VLOOKUP($D45,'FERC 2022'!$EA$3:$EN$229,3,0),"")</f>
        <v/>
      </c>
      <c r="J45" s="72" t="str">
        <f>IFERROR(VLOOKUP($D45,'FERC 2023'!$EA$3:$EN$229,3,0),"")</f>
        <v/>
      </c>
      <c r="K45" s="72" t="str">
        <f>IFERROR(VLOOKUP($D45,'FERC 2021'!$EA$3:$EN$229,4,0),"")</f>
        <v/>
      </c>
      <c r="L45" s="72" t="str">
        <f>IFERROR(VLOOKUP($D45,'FERC 2022'!$EA$3:$EN$220,4,0),"")</f>
        <v/>
      </c>
      <c r="M45" s="72" t="str">
        <f>IFERROR(VLOOKUP($D45,'FERC 2023'!$EA$3:$EN$221,4,0),"")</f>
        <v/>
      </c>
      <c r="N45" s="72" t="str">
        <f>IFERROR(VLOOKUP($D45,'FERC 2021'!$EA$3:$EN$221,5,0),"")</f>
        <v/>
      </c>
      <c r="O45" s="72" t="str">
        <f>IFERROR(VLOOKUP($D45,'FERC 2022'!$EA$3:$EN$220,5,0),"")</f>
        <v/>
      </c>
      <c r="P45" s="72" t="str">
        <f>IFERROR(VLOOKUP($D45,'FERC 2023'!$EA$3:$EN$221,5,0),"")</f>
        <v/>
      </c>
      <c r="Q45" s="72" t="str">
        <f>IFERROR(VLOOKUP($D45,'FERC 2021'!$EA$3:$EN$221,6,0),"")</f>
        <v/>
      </c>
      <c r="R45" s="72" t="str">
        <f>IFERROR(VLOOKUP($D45,'FERC 2022'!$EA$3:$EN$220,6,0),"")</f>
        <v/>
      </c>
      <c r="S45" s="72" t="str">
        <f>IFERROR(VLOOKUP($D45,'FERC 2023'!$EA$3:$EN$221,6,0),"")</f>
        <v/>
      </c>
      <c r="T45" s="72" t="str">
        <f>IFERROR(VLOOKUP($D45,'FERC 2021'!$EA$3:$EN$221,7,0),"")</f>
        <v/>
      </c>
      <c r="U45" s="72" t="str">
        <f>IFERROR(VLOOKUP($D45,'FERC 2022'!$EA$3:$EN$220,7,0),"")</f>
        <v/>
      </c>
      <c r="V45" s="72" t="str">
        <f>IFERROR(VLOOKUP($D45,'FERC 2023'!$EA$3:$EN$221,7,0),"")</f>
        <v/>
      </c>
      <c r="W45" s="72" t="str">
        <f>IFERROR(VLOOKUP($D45,'FERC 2021'!$EA$3:$EN$221,8,0),"")</f>
        <v/>
      </c>
      <c r="X45" s="72" t="str">
        <f>IFERROR(VLOOKUP($D45,'FERC 2022'!$EA$3:$EN$220,8,0),"")</f>
        <v/>
      </c>
      <c r="Y45" s="72" t="str">
        <f>IFERROR(VLOOKUP($D45,'FERC 2023'!$EA$3:$EN$221,8,0),"")</f>
        <v/>
      </c>
      <c r="Z45" s="72" t="str">
        <f>IFERROR(VLOOKUP($D45,'FERC 2021'!$EA$3:$EN$222,9,0),"")</f>
        <v/>
      </c>
      <c r="AA45" s="72" t="str">
        <f>IFERROR(VLOOKUP($D45,'FERC 2022'!$EA$3:$EN$220,9,0),"")</f>
        <v/>
      </c>
      <c r="AB45" s="72" t="str">
        <f>IFERROR(VLOOKUP($D45,'FERC 2023'!$EA$3:$EN$221,9,0),"")</f>
        <v/>
      </c>
      <c r="AC45" s="72" t="str">
        <f>IFERROR(VLOOKUP($D45,'FERC 2021'!$EA$3:$EN$221,10,0),"")</f>
        <v/>
      </c>
      <c r="AD45" s="72" t="str">
        <f>IFERROR(VLOOKUP($D45,'FERC 2022'!$EA$3:$EN$220,10,0),"")</f>
        <v/>
      </c>
      <c r="AE45" s="72" t="str">
        <f>IFERROR(VLOOKUP($D45,'FERC 2023'!$EA$3:$EN$221,10,0),"")</f>
        <v/>
      </c>
      <c r="AF45" s="72" t="str">
        <f>IFERROR(VLOOKUP($D45,'FERC 2021'!$EA$3:$EN$221,11,0),"")</f>
        <v/>
      </c>
      <c r="AG45" s="72" t="str">
        <f>IFERROR(VLOOKUP($D45,'FERC 2022'!$EA$3:$EN$220,11,0),"")</f>
        <v/>
      </c>
      <c r="AH45" s="72" t="str">
        <f>IFERROR(VLOOKUP($D45,'FERC 2023'!$EA$3:$EN$221,11,0),"")</f>
        <v/>
      </c>
      <c r="AI45" s="72" t="str">
        <f>IFERROR(VLOOKUP($D45,'FERC 2021'!$EA$3:$EN$221,12,0),"")</f>
        <v/>
      </c>
      <c r="AJ45" s="72" t="str">
        <f>IFERROR(VLOOKUP($D45,'FERC 2022'!$EA$3:$EN$220,12,0),"")</f>
        <v/>
      </c>
      <c r="AK45" s="72" t="str">
        <f>IFERROR(VLOOKUP($D45,'FERC 2023'!$EA$3:$EN$221,12,0),"")</f>
        <v/>
      </c>
      <c r="AL45" s="72" t="str">
        <f>VLOOKUP($D45,'FERC 2021'!$EA$3:$EN$221,13,0)</f>
        <v/>
      </c>
      <c r="AM45" s="72" t="str">
        <f>VLOOKUP($D45,'FERC 2022'!$EA$3:$EN$220,13,0)</f>
        <v/>
      </c>
      <c r="AN45" s="72" t="str">
        <f>VLOOKUP($D45,'FERC 2023'!$EA$3:$EN$221,13,0)</f>
        <v/>
      </c>
      <c r="AO45" s="72" t="str">
        <f>IFERROR(VLOOKUP($D45,'FERC 2021'!$EA$3:$EN$221,14,0),"")</f>
        <v/>
      </c>
      <c r="AP45" s="72" t="str">
        <f>IFERROR(VLOOKUP($D45,'FERC 2022'!$EA$3:$EN$220,14,0),"")</f>
        <v/>
      </c>
      <c r="AQ45" s="72" t="str">
        <f>IFERROR(VLOOKUP($D45,'FERC 2023'!$EA$3:$EN$221,14,0),"")</f>
        <v/>
      </c>
    </row>
    <row r="46" spans="1:43" ht="15.75" hidden="1" customHeight="1">
      <c r="A46" s="7" t="s">
        <v>336</v>
      </c>
      <c r="B46" s="7" t="s">
        <v>337</v>
      </c>
      <c r="C46" s="311" t="str">
        <f>'BD DEA'!P46</f>
        <v/>
      </c>
      <c r="D46" s="44" t="str">
        <f t="shared" si="0"/>
        <v>C000524</v>
      </c>
      <c r="E46" s="72" t="str">
        <f>IFERROR(VLOOKUP($D46,'FERC 2021'!$EA$3:$EN$221,2,0),"")</f>
        <v/>
      </c>
      <c r="F46" s="72" t="str">
        <f>IFERROR(VLOOKUP($D46,'FERC 2022'!$EA$3:$EN$220,2,0),"")</f>
        <v/>
      </c>
      <c r="G46" s="72" t="str">
        <f>IFERROR(VLOOKUP($D46,'FERC 2023'!$EA$3:$EN$221,2,0),"")</f>
        <v/>
      </c>
      <c r="H46" s="72" t="str">
        <f>IFERROR(VLOOKUP($D46,'FERC 2021'!$EA$3:$EN$225,3,0),"")</f>
        <v/>
      </c>
      <c r="I46" s="72" t="str">
        <f>IFERROR(VLOOKUP($D46,'FERC 2022'!$EA$3:$EN$229,3,0),"")</f>
        <v/>
      </c>
      <c r="J46" s="72" t="str">
        <f>IFERROR(VLOOKUP($D46,'FERC 2023'!$EA$3:$EN$229,3,0),"")</f>
        <v/>
      </c>
      <c r="K46" s="72" t="str">
        <f>IFERROR(VLOOKUP($D46,'FERC 2021'!$EA$3:$EN$229,4,0),"")</f>
        <v/>
      </c>
      <c r="L46" s="72" t="str">
        <f>IFERROR(VLOOKUP($D46,'FERC 2022'!$EA$3:$EN$220,4,0),"")</f>
        <v/>
      </c>
      <c r="M46" s="72" t="str">
        <f>IFERROR(VLOOKUP($D46,'FERC 2023'!$EA$3:$EN$221,4,0),"")</f>
        <v/>
      </c>
      <c r="N46" s="72" t="str">
        <f>IFERROR(VLOOKUP($D46,'FERC 2021'!$EA$3:$EN$221,5,0),"")</f>
        <v/>
      </c>
      <c r="O46" s="72" t="str">
        <f>IFERROR(VLOOKUP($D46,'FERC 2022'!$EA$3:$EN$220,5,0),"")</f>
        <v/>
      </c>
      <c r="P46" s="72" t="str">
        <f>IFERROR(VLOOKUP($D46,'FERC 2023'!$EA$3:$EN$221,5,0),"")</f>
        <v/>
      </c>
      <c r="Q46" s="72" t="str">
        <f>IFERROR(VLOOKUP($D46,'FERC 2021'!$EA$3:$EN$221,6,0),"")</f>
        <v/>
      </c>
      <c r="R46" s="72" t="str">
        <f>IFERROR(VLOOKUP($D46,'FERC 2022'!$EA$3:$EN$220,6,0),"")</f>
        <v/>
      </c>
      <c r="S46" s="72" t="str">
        <f>IFERROR(VLOOKUP($D46,'FERC 2023'!$EA$3:$EN$221,6,0),"")</f>
        <v/>
      </c>
      <c r="T46" s="72" t="str">
        <f>IFERROR(VLOOKUP($D46,'FERC 2021'!$EA$3:$EN$221,7,0),"")</f>
        <v/>
      </c>
      <c r="U46" s="72" t="str">
        <f>IFERROR(VLOOKUP($D46,'FERC 2022'!$EA$3:$EN$220,7,0),"")</f>
        <v/>
      </c>
      <c r="V46" s="72" t="str">
        <f>IFERROR(VLOOKUP($D46,'FERC 2023'!$EA$3:$EN$221,7,0),"")</f>
        <v/>
      </c>
      <c r="W46" s="72" t="str">
        <f>IFERROR(VLOOKUP($D46,'FERC 2021'!$EA$3:$EN$221,8,0),"")</f>
        <v/>
      </c>
      <c r="X46" s="72" t="str">
        <f>IFERROR(VLOOKUP($D46,'FERC 2022'!$EA$3:$EN$220,8,0),"")</f>
        <v/>
      </c>
      <c r="Y46" s="72" t="str">
        <f>IFERROR(VLOOKUP($D46,'FERC 2023'!$EA$3:$EN$221,8,0),"")</f>
        <v/>
      </c>
      <c r="Z46" s="72" t="str">
        <f>IFERROR(VLOOKUP($D46,'FERC 2021'!$EA$3:$EN$222,9,0),"")</f>
        <v/>
      </c>
      <c r="AA46" s="72" t="str">
        <f>IFERROR(VLOOKUP($D46,'FERC 2022'!$EA$3:$EN$220,9,0),"")</f>
        <v/>
      </c>
      <c r="AB46" s="72" t="str">
        <f>IFERROR(VLOOKUP($D46,'FERC 2023'!$EA$3:$EN$221,9,0),"")</f>
        <v/>
      </c>
      <c r="AC46" s="72" t="str">
        <f>IFERROR(VLOOKUP($D46,'FERC 2021'!$EA$3:$EN$221,10,0),"")</f>
        <v/>
      </c>
      <c r="AD46" s="72" t="str">
        <f>IFERROR(VLOOKUP($D46,'FERC 2022'!$EA$3:$EN$220,10,0),"")</f>
        <v/>
      </c>
      <c r="AE46" s="72" t="str">
        <f>IFERROR(VLOOKUP($D46,'FERC 2023'!$EA$3:$EN$221,10,0),"")</f>
        <v/>
      </c>
      <c r="AF46" s="72" t="str">
        <f>IFERROR(VLOOKUP($D46,'FERC 2021'!$EA$3:$EN$221,11,0),"")</f>
        <v/>
      </c>
      <c r="AG46" s="72" t="str">
        <f>IFERROR(VLOOKUP($D46,'FERC 2022'!$EA$3:$EN$220,11,0),"")</f>
        <v/>
      </c>
      <c r="AH46" s="72" t="str">
        <f>IFERROR(VLOOKUP($D46,'FERC 2023'!$EA$3:$EN$221,11,0),"")</f>
        <v/>
      </c>
      <c r="AI46" s="72" t="str">
        <f>IFERROR(VLOOKUP($D46,'FERC 2021'!$EA$3:$EN$221,12,0),"")</f>
        <v/>
      </c>
      <c r="AJ46" s="72" t="str">
        <f>IFERROR(VLOOKUP($D46,'FERC 2022'!$EA$3:$EN$220,12,0),"")</f>
        <v/>
      </c>
      <c r="AK46" s="72" t="str">
        <f>IFERROR(VLOOKUP($D46,'FERC 2023'!$EA$3:$EN$221,12,0),"")</f>
        <v/>
      </c>
      <c r="AL46" s="72" t="str">
        <f>VLOOKUP($D46,'FERC 2021'!$EA$3:$EN$221,13,0)</f>
        <v/>
      </c>
      <c r="AM46" s="72" t="str">
        <f>VLOOKUP($D46,'FERC 2022'!$EA$3:$EN$220,13,0)</f>
        <v/>
      </c>
      <c r="AN46" s="72" t="str">
        <f>VLOOKUP($D46,'FERC 2023'!$EA$3:$EN$221,13,0)</f>
        <v/>
      </c>
      <c r="AO46" s="72" t="str">
        <f>IFERROR(VLOOKUP($D46,'FERC 2021'!$EA$3:$EN$221,14,0),"")</f>
        <v/>
      </c>
      <c r="AP46" s="72" t="str">
        <f>IFERROR(VLOOKUP($D46,'FERC 2022'!$EA$3:$EN$220,14,0),"")</f>
        <v/>
      </c>
      <c r="AQ46" s="72" t="str">
        <f>IFERROR(VLOOKUP($D46,'FERC 2023'!$EA$3:$EN$221,14,0),"")</f>
        <v/>
      </c>
    </row>
    <row r="47" spans="1:43" ht="15.75" hidden="1" customHeight="1">
      <c r="A47" s="7" t="s">
        <v>339</v>
      </c>
      <c r="B47" s="7" t="s">
        <v>340</v>
      </c>
      <c r="C47" s="311" t="str">
        <f>'BD DEA'!P47</f>
        <v/>
      </c>
      <c r="D47" s="44" t="str">
        <f t="shared" si="0"/>
        <v>C000525</v>
      </c>
      <c r="E47" s="72" t="str">
        <f>IFERROR(VLOOKUP($D47,'FERC 2021'!$EA$3:$EN$221,2,0),"")</f>
        <v/>
      </c>
      <c r="F47" s="72" t="str">
        <f>IFERROR(VLOOKUP($D47,'FERC 2022'!$EA$3:$EN$220,2,0),"")</f>
        <v/>
      </c>
      <c r="G47" s="72" t="str">
        <f>IFERROR(VLOOKUP($D47,'FERC 2023'!$EA$3:$EN$221,2,0),"")</f>
        <v/>
      </c>
      <c r="H47" s="72" t="str">
        <f>IFERROR(VLOOKUP($D47,'FERC 2021'!$EA$3:$EN$225,3,0),"")</f>
        <v/>
      </c>
      <c r="I47" s="72" t="str">
        <f>IFERROR(VLOOKUP($D47,'FERC 2022'!$EA$3:$EN$229,3,0),"")</f>
        <v/>
      </c>
      <c r="J47" s="72" t="str">
        <f>IFERROR(VLOOKUP($D47,'FERC 2023'!$EA$3:$EN$229,3,0),"")</f>
        <v/>
      </c>
      <c r="K47" s="72" t="str">
        <f>IFERROR(VLOOKUP($D47,'FERC 2021'!$EA$3:$EN$229,4,0),"")</f>
        <v/>
      </c>
      <c r="L47" s="72" t="str">
        <f>IFERROR(VLOOKUP($D47,'FERC 2022'!$EA$3:$EN$220,4,0),"")</f>
        <v/>
      </c>
      <c r="M47" s="72" t="str">
        <f>IFERROR(VLOOKUP($D47,'FERC 2023'!$EA$3:$EN$221,4,0),"")</f>
        <v/>
      </c>
      <c r="N47" s="72" t="str">
        <f>IFERROR(VLOOKUP($D47,'FERC 2021'!$EA$3:$EN$221,5,0),"")</f>
        <v/>
      </c>
      <c r="O47" s="72" t="str">
        <f>IFERROR(VLOOKUP($D47,'FERC 2022'!$EA$3:$EN$220,5,0),"")</f>
        <v/>
      </c>
      <c r="P47" s="72" t="str">
        <f>IFERROR(VLOOKUP($D47,'FERC 2023'!$EA$3:$EN$221,5,0),"")</f>
        <v/>
      </c>
      <c r="Q47" s="72" t="str">
        <f>IFERROR(VLOOKUP($D47,'FERC 2021'!$EA$3:$EN$221,6,0),"")</f>
        <v/>
      </c>
      <c r="R47" s="72" t="str">
        <f>IFERROR(VLOOKUP($D47,'FERC 2022'!$EA$3:$EN$220,6,0),"")</f>
        <v/>
      </c>
      <c r="S47" s="72" t="str">
        <f>IFERROR(VLOOKUP($D47,'FERC 2023'!$EA$3:$EN$221,6,0),"")</f>
        <v/>
      </c>
      <c r="T47" s="72" t="str">
        <f>IFERROR(VLOOKUP($D47,'FERC 2021'!$EA$3:$EN$221,7,0),"")</f>
        <v/>
      </c>
      <c r="U47" s="72" t="str">
        <f>IFERROR(VLOOKUP($D47,'FERC 2022'!$EA$3:$EN$220,7,0),"")</f>
        <v/>
      </c>
      <c r="V47" s="72" t="str">
        <f>IFERROR(VLOOKUP($D47,'FERC 2023'!$EA$3:$EN$221,7,0),"")</f>
        <v/>
      </c>
      <c r="W47" s="72" t="str">
        <f>IFERROR(VLOOKUP($D47,'FERC 2021'!$EA$3:$EN$221,8,0),"")</f>
        <v/>
      </c>
      <c r="X47" s="72" t="str">
        <f>IFERROR(VLOOKUP($D47,'FERC 2022'!$EA$3:$EN$220,8,0),"")</f>
        <v/>
      </c>
      <c r="Y47" s="72" t="str">
        <f>IFERROR(VLOOKUP($D47,'FERC 2023'!$EA$3:$EN$221,8,0),"")</f>
        <v/>
      </c>
      <c r="Z47" s="72" t="str">
        <f>IFERROR(VLOOKUP($D47,'FERC 2021'!$EA$3:$EN$222,9,0),"")</f>
        <v/>
      </c>
      <c r="AA47" s="72" t="str">
        <f>IFERROR(VLOOKUP($D47,'FERC 2022'!$EA$3:$EN$220,9,0),"")</f>
        <v/>
      </c>
      <c r="AB47" s="72" t="str">
        <f>IFERROR(VLOOKUP($D47,'FERC 2023'!$EA$3:$EN$221,9,0),"")</f>
        <v/>
      </c>
      <c r="AC47" s="72" t="str">
        <f>IFERROR(VLOOKUP($D47,'FERC 2021'!$EA$3:$EN$221,10,0),"")</f>
        <v/>
      </c>
      <c r="AD47" s="72" t="str">
        <f>IFERROR(VLOOKUP($D47,'FERC 2022'!$EA$3:$EN$220,10,0),"")</f>
        <v/>
      </c>
      <c r="AE47" s="72" t="str">
        <f>IFERROR(VLOOKUP($D47,'FERC 2023'!$EA$3:$EN$221,10,0),"")</f>
        <v/>
      </c>
      <c r="AF47" s="72" t="str">
        <f>IFERROR(VLOOKUP($D47,'FERC 2021'!$EA$3:$EN$221,11,0),"")</f>
        <v/>
      </c>
      <c r="AG47" s="72" t="str">
        <f>IFERROR(VLOOKUP($D47,'FERC 2022'!$EA$3:$EN$220,11,0),"")</f>
        <v/>
      </c>
      <c r="AH47" s="72" t="str">
        <f>IFERROR(VLOOKUP($D47,'FERC 2023'!$EA$3:$EN$221,11,0),"")</f>
        <v/>
      </c>
      <c r="AI47" s="72" t="str">
        <f>IFERROR(VLOOKUP($D47,'FERC 2021'!$EA$3:$EN$221,12,0),"")</f>
        <v/>
      </c>
      <c r="AJ47" s="72" t="str">
        <f>IFERROR(VLOOKUP($D47,'FERC 2022'!$EA$3:$EN$220,12,0),"")</f>
        <v/>
      </c>
      <c r="AK47" s="72" t="str">
        <f>IFERROR(VLOOKUP($D47,'FERC 2023'!$EA$3:$EN$221,12,0),"")</f>
        <v/>
      </c>
      <c r="AL47" s="72" t="str">
        <f>VLOOKUP($D47,'FERC 2021'!$EA$3:$EN$221,13,0)</f>
        <v/>
      </c>
      <c r="AM47" s="72" t="str">
        <f>VLOOKUP($D47,'FERC 2022'!$EA$3:$EN$220,13,0)</f>
        <v/>
      </c>
      <c r="AN47" s="72" t="str">
        <f>VLOOKUP($D47,'FERC 2023'!$EA$3:$EN$221,13,0)</f>
        <v/>
      </c>
      <c r="AO47" s="72" t="str">
        <f>IFERROR(VLOOKUP($D47,'FERC 2021'!$EA$3:$EN$221,14,0),"")</f>
        <v/>
      </c>
      <c r="AP47" s="72" t="str">
        <f>IFERROR(VLOOKUP($D47,'FERC 2022'!$EA$3:$EN$220,14,0),"")</f>
        <v/>
      </c>
      <c r="AQ47" s="72" t="str">
        <f>IFERROR(VLOOKUP($D47,'FERC 2023'!$EA$3:$EN$221,14,0),"")</f>
        <v/>
      </c>
    </row>
    <row r="48" spans="1:43" ht="15.75" hidden="1" customHeight="1">
      <c r="A48" s="7" t="s">
        <v>342</v>
      </c>
      <c r="B48" s="7" t="s">
        <v>343</v>
      </c>
      <c r="C48" s="311" t="str">
        <f>'BD DEA'!P48</f>
        <v/>
      </c>
      <c r="D48" s="44" t="str">
        <f t="shared" si="0"/>
        <v>C000526</v>
      </c>
      <c r="E48" s="72" t="str">
        <f>IFERROR(VLOOKUP($D48,'FERC 2021'!$EA$3:$EN$221,2,0),"")</f>
        <v/>
      </c>
      <c r="F48" s="72" t="str">
        <f>IFERROR(VLOOKUP($D48,'FERC 2022'!$EA$3:$EN$220,2,0),"")</f>
        <v/>
      </c>
      <c r="G48" s="72" t="str">
        <f>IFERROR(VLOOKUP($D48,'FERC 2023'!$EA$3:$EN$221,2,0),"")</f>
        <v/>
      </c>
      <c r="H48" s="72" t="str">
        <f>IFERROR(VLOOKUP($D48,'FERC 2021'!$EA$3:$EN$225,3,0),"")</f>
        <v/>
      </c>
      <c r="I48" s="72" t="str">
        <f>IFERROR(VLOOKUP($D48,'FERC 2022'!$EA$3:$EN$229,3,0),"")</f>
        <v/>
      </c>
      <c r="J48" s="72" t="str">
        <f>IFERROR(VLOOKUP($D48,'FERC 2023'!$EA$3:$EN$229,3,0),"")</f>
        <v/>
      </c>
      <c r="K48" s="72" t="str">
        <f>IFERROR(VLOOKUP($D48,'FERC 2021'!$EA$3:$EN$229,4,0),"")</f>
        <v/>
      </c>
      <c r="L48" s="72" t="str">
        <f>IFERROR(VLOOKUP($D48,'FERC 2022'!$EA$3:$EN$220,4,0),"")</f>
        <v/>
      </c>
      <c r="M48" s="72" t="str">
        <f>IFERROR(VLOOKUP($D48,'FERC 2023'!$EA$3:$EN$221,4,0),"")</f>
        <v/>
      </c>
      <c r="N48" s="72" t="str">
        <f>IFERROR(VLOOKUP($D48,'FERC 2021'!$EA$3:$EN$221,5,0),"")</f>
        <v/>
      </c>
      <c r="O48" s="72" t="str">
        <f>IFERROR(VLOOKUP($D48,'FERC 2022'!$EA$3:$EN$220,5,0),"")</f>
        <v/>
      </c>
      <c r="P48" s="72" t="str">
        <f>IFERROR(VLOOKUP($D48,'FERC 2023'!$EA$3:$EN$221,5,0),"")</f>
        <v/>
      </c>
      <c r="Q48" s="72" t="str">
        <f>IFERROR(VLOOKUP($D48,'FERC 2021'!$EA$3:$EN$221,6,0),"")</f>
        <v/>
      </c>
      <c r="R48" s="72" t="str">
        <f>IFERROR(VLOOKUP($D48,'FERC 2022'!$EA$3:$EN$220,6,0),"")</f>
        <v/>
      </c>
      <c r="S48" s="72" t="str">
        <f>IFERROR(VLOOKUP($D48,'FERC 2023'!$EA$3:$EN$221,6,0),"")</f>
        <v/>
      </c>
      <c r="T48" s="72" t="str">
        <f>IFERROR(VLOOKUP($D48,'FERC 2021'!$EA$3:$EN$221,7,0),"")</f>
        <v/>
      </c>
      <c r="U48" s="72" t="str">
        <f>IFERROR(VLOOKUP($D48,'FERC 2022'!$EA$3:$EN$220,7,0),"")</f>
        <v/>
      </c>
      <c r="V48" s="72" t="str">
        <f>IFERROR(VLOOKUP($D48,'FERC 2023'!$EA$3:$EN$221,7,0),"")</f>
        <v/>
      </c>
      <c r="W48" s="72" t="str">
        <f>IFERROR(VLOOKUP($D48,'FERC 2021'!$EA$3:$EN$221,8,0),"")</f>
        <v/>
      </c>
      <c r="X48" s="72" t="str">
        <f>IFERROR(VLOOKUP($D48,'FERC 2022'!$EA$3:$EN$220,8,0),"")</f>
        <v/>
      </c>
      <c r="Y48" s="72" t="str">
        <f>IFERROR(VLOOKUP($D48,'FERC 2023'!$EA$3:$EN$221,8,0),"")</f>
        <v/>
      </c>
      <c r="Z48" s="72" t="str">
        <f>IFERROR(VLOOKUP($D48,'FERC 2021'!$EA$3:$EN$222,9,0),"")</f>
        <v/>
      </c>
      <c r="AA48" s="72" t="str">
        <f>IFERROR(VLOOKUP($D48,'FERC 2022'!$EA$3:$EN$220,9,0),"")</f>
        <v/>
      </c>
      <c r="AB48" s="72" t="str">
        <f>IFERROR(VLOOKUP($D48,'FERC 2023'!$EA$3:$EN$221,9,0),"")</f>
        <v/>
      </c>
      <c r="AC48" s="72" t="str">
        <f>IFERROR(VLOOKUP($D48,'FERC 2021'!$EA$3:$EN$221,10,0),"")</f>
        <v/>
      </c>
      <c r="AD48" s="72" t="str">
        <f>IFERROR(VLOOKUP($D48,'FERC 2022'!$EA$3:$EN$220,10,0),"")</f>
        <v/>
      </c>
      <c r="AE48" s="72" t="str">
        <f>IFERROR(VLOOKUP($D48,'FERC 2023'!$EA$3:$EN$221,10,0),"")</f>
        <v/>
      </c>
      <c r="AF48" s="72" t="str">
        <f>IFERROR(VLOOKUP($D48,'FERC 2021'!$EA$3:$EN$221,11,0),"")</f>
        <v/>
      </c>
      <c r="AG48" s="72" t="str">
        <f>IFERROR(VLOOKUP($D48,'FERC 2022'!$EA$3:$EN$220,11,0),"")</f>
        <v/>
      </c>
      <c r="AH48" s="72" t="str">
        <f>IFERROR(VLOOKUP($D48,'FERC 2023'!$EA$3:$EN$221,11,0),"")</f>
        <v/>
      </c>
      <c r="AI48" s="72" t="str">
        <f>IFERROR(VLOOKUP($D48,'FERC 2021'!$EA$3:$EN$221,12,0),"")</f>
        <v/>
      </c>
      <c r="AJ48" s="72" t="str">
        <f>IFERROR(VLOOKUP($D48,'FERC 2022'!$EA$3:$EN$220,12,0),"")</f>
        <v/>
      </c>
      <c r="AK48" s="72" t="str">
        <f>IFERROR(VLOOKUP($D48,'FERC 2023'!$EA$3:$EN$221,12,0),"")</f>
        <v/>
      </c>
      <c r="AL48" s="72" t="str">
        <f>VLOOKUP($D48,'FERC 2021'!$EA$3:$EN$221,13,0)</f>
        <v/>
      </c>
      <c r="AM48" s="72" t="str">
        <f>VLOOKUP($D48,'FERC 2022'!$EA$3:$EN$220,13,0)</f>
        <v/>
      </c>
      <c r="AN48" s="72" t="str">
        <f>VLOOKUP($D48,'FERC 2023'!$EA$3:$EN$221,13,0)</f>
        <v/>
      </c>
      <c r="AO48" s="72" t="str">
        <f>IFERROR(VLOOKUP($D48,'FERC 2021'!$EA$3:$EN$221,14,0),"")</f>
        <v/>
      </c>
      <c r="AP48" s="72" t="str">
        <f>IFERROR(VLOOKUP($D48,'FERC 2022'!$EA$3:$EN$220,14,0),"")</f>
        <v/>
      </c>
      <c r="AQ48" s="72" t="str">
        <f>IFERROR(VLOOKUP($D48,'FERC 2023'!$EA$3:$EN$221,14,0),"")</f>
        <v/>
      </c>
    </row>
    <row r="49" spans="1:43" ht="15.75" hidden="1" customHeight="1">
      <c r="A49" s="7" t="s">
        <v>345</v>
      </c>
      <c r="B49" s="7" t="s">
        <v>346</v>
      </c>
      <c r="C49" s="311" t="str">
        <f>'BD DEA'!P49</f>
        <v/>
      </c>
      <c r="D49" s="44" t="str">
        <f t="shared" si="0"/>
        <v>C000527</v>
      </c>
      <c r="E49" s="72" t="str">
        <f>IFERROR(VLOOKUP($D49,'FERC 2021'!$EA$3:$EN$221,2,0),"")</f>
        <v/>
      </c>
      <c r="F49" s="72" t="str">
        <f>IFERROR(VLOOKUP($D49,'FERC 2022'!$EA$3:$EN$220,2,0),"")</f>
        <v/>
      </c>
      <c r="G49" s="72" t="str">
        <f>IFERROR(VLOOKUP($D49,'FERC 2023'!$EA$3:$EN$221,2,0),"")</f>
        <v/>
      </c>
      <c r="H49" s="72" t="str">
        <f>IFERROR(VLOOKUP($D49,'FERC 2021'!$EA$3:$EN$225,3,0),"")</f>
        <v/>
      </c>
      <c r="I49" s="72" t="str">
        <f>IFERROR(VLOOKUP($D49,'FERC 2022'!$EA$3:$EN$229,3,0),"")</f>
        <v/>
      </c>
      <c r="J49" s="72" t="str">
        <f>IFERROR(VLOOKUP($D49,'FERC 2023'!$EA$3:$EN$229,3,0),"")</f>
        <v/>
      </c>
      <c r="K49" s="72" t="str">
        <f>IFERROR(VLOOKUP($D49,'FERC 2021'!$EA$3:$EN$229,4,0),"")</f>
        <v/>
      </c>
      <c r="L49" s="72" t="str">
        <f>IFERROR(VLOOKUP($D49,'FERC 2022'!$EA$3:$EN$220,4,0),"")</f>
        <v/>
      </c>
      <c r="M49" s="72" t="str">
        <f>IFERROR(VLOOKUP($D49,'FERC 2023'!$EA$3:$EN$221,4,0),"")</f>
        <v/>
      </c>
      <c r="N49" s="72" t="str">
        <f>IFERROR(VLOOKUP($D49,'FERC 2021'!$EA$3:$EN$221,5,0),"")</f>
        <v/>
      </c>
      <c r="O49" s="72" t="str">
        <f>IFERROR(VLOOKUP($D49,'FERC 2022'!$EA$3:$EN$220,5,0),"")</f>
        <v/>
      </c>
      <c r="P49" s="72" t="str">
        <f>IFERROR(VLOOKUP($D49,'FERC 2023'!$EA$3:$EN$221,5,0),"")</f>
        <v/>
      </c>
      <c r="Q49" s="72" t="str">
        <f>IFERROR(VLOOKUP($D49,'FERC 2021'!$EA$3:$EN$221,6,0),"")</f>
        <v/>
      </c>
      <c r="R49" s="72" t="str">
        <f>IFERROR(VLOOKUP($D49,'FERC 2022'!$EA$3:$EN$220,6,0),"")</f>
        <v/>
      </c>
      <c r="S49" s="72" t="str">
        <f>IFERROR(VLOOKUP($D49,'FERC 2023'!$EA$3:$EN$221,6,0),"")</f>
        <v/>
      </c>
      <c r="T49" s="72" t="str">
        <f>IFERROR(VLOOKUP($D49,'FERC 2021'!$EA$3:$EN$221,7,0),"")</f>
        <v/>
      </c>
      <c r="U49" s="72" t="str">
        <f>IFERROR(VLOOKUP($D49,'FERC 2022'!$EA$3:$EN$220,7,0),"")</f>
        <v/>
      </c>
      <c r="V49" s="72" t="str">
        <f>IFERROR(VLOOKUP($D49,'FERC 2023'!$EA$3:$EN$221,7,0),"")</f>
        <v/>
      </c>
      <c r="W49" s="72" t="str">
        <f>IFERROR(VLOOKUP($D49,'FERC 2021'!$EA$3:$EN$221,8,0),"")</f>
        <v/>
      </c>
      <c r="X49" s="72" t="str">
        <f>IFERROR(VLOOKUP($D49,'FERC 2022'!$EA$3:$EN$220,8,0),"")</f>
        <v/>
      </c>
      <c r="Y49" s="72" t="str">
        <f>IFERROR(VLOOKUP($D49,'FERC 2023'!$EA$3:$EN$221,8,0),"")</f>
        <v/>
      </c>
      <c r="Z49" s="72" t="str">
        <f>IFERROR(VLOOKUP($D49,'FERC 2021'!$EA$3:$EN$222,9,0),"")</f>
        <v/>
      </c>
      <c r="AA49" s="72" t="str">
        <f>IFERROR(VLOOKUP($D49,'FERC 2022'!$EA$3:$EN$220,9,0),"")</f>
        <v/>
      </c>
      <c r="AB49" s="72" t="str">
        <f>IFERROR(VLOOKUP($D49,'FERC 2023'!$EA$3:$EN$221,9,0),"")</f>
        <v/>
      </c>
      <c r="AC49" s="72" t="str">
        <f>IFERROR(VLOOKUP($D49,'FERC 2021'!$EA$3:$EN$221,10,0),"")</f>
        <v/>
      </c>
      <c r="AD49" s="72" t="str">
        <f>IFERROR(VLOOKUP($D49,'FERC 2022'!$EA$3:$EN$220,10,0),"")</f>
        <v/>
      </c>
      <c r="AE49" s="72" t="str">
        <f>IFERROR(VLOOKUP($D49,'FERC 2023'!$EA$3:$EN$221,10,0),"")</f>
        <v/>
      </c>
      <c r="AF49" s="72" t="str">
        <f>IFERROR(VLOOKUP($D49,'FERC 2021'!$EA$3:$EN$221,11,0),"")</f>
        <v/>
      </c>
      <c r="AG49" s="72" t="str">
        <f>IFERROR(VLOOKUP($D49,'FERC 2022'!$EA$3:$EN$220,11,0),"")</f>
        <v/>
      </c>
      <c r="AH49" s="72" t="str">
        <f>IFERROR(VLOOKUP($D49,'FERC 2023'!$EA$3:$EN$221,11,0),"")</f>
        <v/>
      </c>
      <c r="AI49" s="72" t="str">
        <f>IFERROR(VLOOKUP($D49,'FERC 2021'!$EA$3:$EN$221,12,0),"")</f>
        <v/>
      </c>
      <c r="AJ49" s="72" t="str">
        <f>IFERROR(VLOOKUP($D49,'FERC 2022'!$EA$3:$EN$220,12,0),"")</f>
        <v/>
      </c>
      <c r="AK49" s="72" t="str">
        <f>IFERROR(VLOOKUP($D49,'FERC 2023'!$EA$3:$EN$221,12,0),"")</f>
        <v/>
      </c>
      <c r="AL49" s="72" t="str">
        <f>VLOOKUP($D49,'FERC 2021'!$EA$3:$EN$221,13,0)</f>
        <v/>
      </c>
      <c r="AM49" s="72" t="str">
        <f>VLOOKUP($D49,'FERC 2022'!$EA$3:$EN$220,13,0)</f>
        <v/>
      </c>
      <c r="AN49" s="72" t="str">
        <f>VLOOKUP($D49,'FERC 2023'!$EA$3:$EN$221,13,0)</f>
        <v/>
      </c>
      <c r="AO49" s="72" t="str">
        <f>IFERROR(VLOOKUP($D49,'FERC 2021'!$EA$3:$EN$221,14,0),"")</f>
        <v/>
      </c>
      <c r="AP49" s="72" t="str">
        <f>IFERROR(VLOOKUP($D49,'FERC 2022'!$EA$3:$EN$220,14,0),"")</f>
        <v/>
      </c>
      <c r="AQ49" s="72" t="str">
        <f>IFERROR(VLOOKUP($D49,'FERC 2023'!$EA$3:$EN$221,14,0),"")</f>
        <v/>
      </c>
    </row>
    <row r="50" spans="1:43" ht="15.75" hidden="1" customHeight="1">
      <c r="A50" s="7" t="s">
        <v>348</v>
      </c>
      <c r="B50" s="7" t="s">
        <v>349</v>
      </c>
      <c r="C50" s="311" t="str">
        <f>'BD DEA'!P50</f>
        <v/>
      </c>
      <c r="D50" s="44" t="str">
        <f t="shared" si="0"/>
        <v>C000530</v>
      </c>
      <c r="E50" s="72">
        <f>IFERROR(VLOOKUP($D50,'FERC 2021'!$EA$3:$EN$221,2,0),"")</f>
        <v>6344368658.9311075</v>
      </c>
      <c r="F50" s="72">
        <f>IFERROR(VLOOKUP($D50,'FERC 2022'!$EA$3:$EN$220,2,0),"")</f>
        <v>6775149894.1229649</v>
      </c>
      <c r="G50" s="72">
        <f>IFERROR(VLOOKUP($D50,'FERC 2023'!$EA$3:$EN$221,2,0),"")</f>
        <v>6997364765.2774334</v>
      </c>
      <c r="H50" s="72">
        <f>IFERROR(VLOOKUP($D50,'FERC 2021'!$EA$3:$EN$225,3,0),"")</f>
        <v>290047756.86581987</v>
      </c>
      <c r="I50" s="72">
        <f>IFERROR(VLOOKUP($D50,'FERC 2022'!$EA$3:$EN$229,3,0),"")</f>
        <v>321566155.46921861</v>
      </c>
      <c r="J50" s="72">
        <f>IFERROR(VLOOKUP($D50,'FERC 2023'!$EA$3:$EN$229,3,0),"")</f>
        <v>300767997.29374856</v>
      </c>
      <c r="K50" s="72">
        <f>IFERROR(VLOOKUP($D50,'FERC 2021'!$EA$3:$EN$229,4,0),"")</f>
        <v>191246716.45675236</v>
      </c>
      <c r="L50" s="72">
        <f>IFERROR(VLOOKUP($D50,'FERC 2022'!$EA$3:$EN$220,4,0),"")</f>
        <v>207444854.30457732</v>
      </c>
      <c r="M50" s="72">
        <f>IFERROR(VLOOKUP($D50,'FERC 2023'!$EA$3:$EN$221,4,0),"")</f>
        <v>183460089.20532399</v>
      </c>
      <c r="N50" s="72">
        <f>IFERROR(VLOOKUP($D50,'FERC 2021'!$EA$3:$EN$221,5,0),"")</f>
        <v>61753785.142498814</v>
      </c>
      <c r="O50" s="72">
        <f>IFERROR(VLOOKUP($D50,'FERC 2022'!$EA$3:$EN$220,5,0),"")</f>
        <v>65518071.574656986</v>
      </c>
      <c r="P50" s="72">
        <f>IFERROR(VLOOKUP($D50,'FERC 2023'!$EA$3:$EN$221,5,0),"")</f>
        <v>67245363.886687204</v>
      </c>
      <c r="Q50" s="72">
        <f>IFERROR(VLOOKUP($D50,'FERC 2021'!$EA$3:$EN$221,6,0),"")</f>
        <v>34918146.468075506</v>
      </c>
      <c r="R50" s="72">
        <f>IFERROR(VLOOKUP($D50,'FERC 2022'!$EA$3:$EN$220,6,0),"")</f>
        <v>28238951.998520922</v>
      </c>
      <c r="S50" s="72">
        <f>IFERROR(VLOOKUP($D50,'FERC 2023'!$EA$3:$EN$221,6,0),"")</f>
        <v>20548983.869310927</v>
      </c>
      <c r="T50" s="72">
        <f>IFERROR(VLOOKUP($D50,'FERC 2021'!$EA$3:$EN$221,7,0),"")</f>
        <v>5975</v>
      </c>
      <c r="U50" s="72">
        <f>IFERROR(VLOOKUP($D50,'FERC 2022'!$EA$3:$EN$220,7,0),"")</f>
        <v>7395</v>
      </c>
      <c r="V50" s="72">
        <f>IFERROR(VLOOKUP($D50,'FERC 2023'!$EA$3:$EN$221,7,0),"")</f>
        <v>6004</v>
      </c>
      <c r="W50" s="72">
        <f>IFERROR(VLOOKUP($D50,'FERC 2021'!$EA$3:$EN$221,8,0),"")</f>
        <v>964457</v>
      </c>
      <c r="X50" s="72">
        <f>IFERROR(VLOOKUP($D50,'FERC 2022'!$EA$3:$EN$220,8,0),"")</f>
        <v>963764</v>
      </c>
      <c r="Y50" s="72">
        <f>IFERROR(VLOOKUP($D50,'FERC 2023'!$EA$3:$EN$221,8,0),"")</f>
        <v>965525</v>
      </c>
      <c r="Z50" s="72">
        <f>IFERROR(VLOOKUP($D50,'FERC 2021'!$EA$3:$EN$222,9,0),"")</f>
        <v>2146304</v>
      </c>
      <c r="AA50" s="72">
        <f>IFERROR(VLOOKUP($D50,'FERC 2022'!$EA$3:$EN$220,9,0),"")</f>
        <v>2043880</v>
      </c>
      <c r="AB50" s="72">
        <f>IFERROR(VLOOKUP($D50,'FERC 2023'!$EA$3:$EN$221,9,0),"")</f>
        <v>1863095</v>
      </c>
      <c r="AC50" s="72">
        <f>IFERROR(VLOOKUP($D50,'FERC 2021'!$EA$3:$EN$221,10,0),"")</f>
        <v>26845286</v>
      </c>
      <c r="AD50" s="72">
        <f>IFERROR(VLOOKUP($D50,'FERC 2022'!$EA$3:$EN$220,10,0),"")</f>
        <v>26916714</v>
      </c>
      <c r="AE50" s="72">
        <f>IFERROR(VLOOKUP($D50,'FERC 2023'!$EA$3:$EN$221,10,0),"")</f>
        <v>25367677</v>
      </c>
      <c r="AF50" s="72">
        <f>IFERROR(VLOOKUP($D50,'FERC 2021'!$EA$3:$EN$221,11,0),"")</f>
        <v>28885491.421319798</v>
      </c>
      <c r="AG50" s="72">
        <f>IFERROR(VLOOKUP($D50,'FERC 2022'!$EA$3:$EN$220,11,0),"")</f>
        <v>28886053.04568528</v>
      </c>
      <c r="AH50" s="72">
        <f>IFERROR(VLOOKUP($D50,'FERC 2023'!$EA$3:$EN$221,11,0),"")</f>
        <v>27152991.182741117</v>
      </c>
      <c r="AI50" s="72">
        <f>IFERROR(VLOOKUP($D50,'FERC 2021'!$EA$3:$EN$221,12,0),"")</f>
        <v>338813744.10000002</v>
      </c>
      <c r="AJ50" s="72">
        <f>IFERROR(VLOOKUP($D50,'FERC 2022'!$EA$3:$EN$220,12,0),"")</f>
        <v>453547338.40000004</v>
      </c>
      <c r="AK50" s="72">
        <f>IFERROR(VLOOKUP($D50,'FERC 2023'!$EA$3:$EN$221,12,0),"")</f>
        <v>344306215</v>
      </c>
      <c r="AL50" s="72">
        <f>VLOOKUP($D50,'FERC 2021'!$EA$3:$EN$221,13,0)</f>
        <v>1636683.5290000001</v>
      </c>
      <c r="AM50" s="72">
        <f>VLOOKUP($D50,'FERC 2022'!$EA$3:$EN$220,13,0)</f>
        <v>2130882.2039999999</v>
      </c>
      <c r="AN50" s="72">
        <f>VLOOKUP($D50,'FERC 2023'!$EA$3:$EN$221,13,0)</f>
        <v>1588288.625</v>
      </c>
      <c r="AO50" s="72">
        <f>IFERROR(VLOOKUP($D50,'FERC 2021'!$EA$3:$EN$221,14,0),"")</f>
        <v>542651</v>
      </c>
      <c r="AP50" s="72">
        <f>IFERROR(VLOOKUP($D50,'FERC 2022'!$EA$3:$EN$220,14,0),"")</f>
        <v>566911</v>
      </c>
      <c r="AQ50" s="72">
        <f>IFERROR(VLOOKUP($D50,'FERC 2023'!$EA$3:$EN$221,14,0),"")</f>
        <v>569091</v>
      </c>
    </row>
    <row r="51" spans="1:43" ht="15.75" hidden="1" customHeight="1">
      <c r="A51" s="7" t="s">
        <v>351</v>
      </c>
      <c r="B51" s="7" t="s">
        <v>352</v>
      </c>
      <c r="C51" s="311" t="str">
        <f>'BD DEA'!P51</f>
        <v/>
      </c>
      <c r="D51" s="44" t="str">
        <f t="shared" si="0"/>
        <v>C000532</v>
      </c>
      <c r="E51" s="72">
        <f>IFERROR(VLOOKUP($D51,'FERC 2021'!$EA$3:$EN$221,2,0),"")</f>
        <v>3281840623.991643</v>
      </c>
      <c r="F51" s="72">
        <f>IFERROR(VLOOKUP($D51,'FERC 2022'!$EA$3:$EN$220,2,0),"")</f>
        <v>3432253886.3171015</v>
      </c>
      <c r="G51" s="72">
        <f>IFERROR(VLOOKUP($D51,'FERC 2023'!$EA$3:$EN$221,2,0),"")</f>
        <v>3703027269.6112895</v>
      </c>
      <c r="H51" s="72">
        <f>IFERROR(VLOOKUP($D51,'FERC 2021'!$EA$3:$EN$225,3,0),"")</f>
        <v>188504290.38142189</v>
      </c>
      <c r="I51" s="72">
        <f>IFERROR(VLOOKUP($D51,'FERC 2022'!$EA$3:$EN$229,3,0),"")</f>
        <v>220985881.29765946</v>
      </c>
      <c r="J51" s="72">
        <f>IFERROR(VLOOKUP($D51,'FERC 2023'!$EA$3:$EN$229,3,0),"")</f>
        <v>218076362.90136507</v>
      </c>
      <c r="K51" s="72">
        <f>IFERROR(VLOOKUP($D51,'FERC 2021'!$EA$3:$EN$229,4,0),"")</f>
        <v>86105982.188704222</v>
      </c>
      <c r="L51" s="72">
        <f>IFERROR(VLOOKUP($D51,'FERC 2022'!$EA$3:$EN$220,4,0),"")</f>
        <v>90580422.492863193</v>
      </c>
      <c r="M51" s="72">
        <f>IFERROR(VLOOKUP($D51,'FERC 2023'!$EA$3:$EN$221,4,0),"")</f>
        <v>92651154.602612123</v>
      </c>
      <c r="N51" s="72">
        <f>IFERROR(VLOOKUP($D51,'FERC 2021'!$EA$3:$EN$221,5,0),"")</f>
        <v>31019314.936029699</v>
      </c>
      <c r="O51" s="72">
        <f>IFERROR(VLOOKUP($D51,'FERC 2022'!$EA$3:$EN$220,5,0),"")</f>
        <v>27479819.393630415</v>
      </c>
      <c r="P51" s="72">
        <f>IFERROR(VLOOKUP($D51,'FERC 2023'!$EA$3:$EN$221,5,0),"")</f>
        <v>64834188.201882653</v>
      </c>
      <c r="Q51" s="72">
        <f>IFERROR(VLOOKUP($D51,'FERC 2021'!$EA$3:$EN$221,6,0),"")</f>
        <v>19437674.71210894</v>
      </c>
      <c r="R51" s="72">
        <f>IFERROR(VLOOKUP($D51,'FERC 2022'!$EA$3:$EN$220,6,0),"")</f>
        <v>16195293.98875057</v>
      </c>
      <c r="S51" s="72">
        <f>IFERROR(VLOOKUP($D51,'FERC 2023'!$EA$3:$EN$221,6,0),"")</f>
        <v>20241475.24372948</v>
      </c>
      <c r="T51" s="72">
        <f>IFERROR(VLOOKUP($D51,'FERC 2021'!$EA$3:$EN$221,7,0),"")</f>
        <v>4012</v>
      </c>
      <c r="U51" s="72">
        <f>IFERROR(VLOOKUP($D51,'FERC 2022'!$EA$3:$EN$220,7,0),"")</f>
        <v>3850</v>
      </c>
      <c r="V51" s="72">
        <f>IFERROR(VLOOKUP($D51,'FERC 2023'!$EA$3:$EN$221,7,0),"")</f>
        <v>3970</v>
      </c>
      <c r="W51" s="72">
        <f>IFERROR(VLOOKUP($D51,'FERC 2021'!$EA$3:$EN$221,8,0),"")</f>
        <v>604564</v>
      </c>
      <c r="X51" s="72">
        <f>IFERROR(VLOOKUP($D51,'FERC 2022'!$EA$3:$EN$220,8,0),"")</f>
        <v>607743</v>
      </c>
      <c r="Y51" s="72">
        <f>IFERROR(VLOOKUP($D51,'FERC 2023'!$EA$3:$EN$221,8,0),"")</f>
        <v>610654</v>
      </c>
      <c r="Z51" s="72">
        <f>IFERROR(VLOOKUP($D51,'FERC 2021'!$EA$3:$EN$222,9,0),"")</f>
        <v>1385569</v>
      </c>
      <c r="AA51" s="72">
        <f>IFERROR(VLOOKUP($D51,'FERC 2022'!$EA$3:$EN$220,9,0),"")</f>
        <v>1469180</v>
      </c>
      <c r="AB51" s="72">
        <f>IFERROR(VLOOKUP($D51,'FERC 2023'!$EA$3:$EN$221,9,0),"")</f>
        <v>1198260</v>
      </c>
      <c r="AC51" s="72">
        <f>IFERROR(VLOOKUP($D51,'FERC 2021'!$EA$3:$EN$221,10,0),"")</f>
        <v>17494044</v>
      </c>
      <c r="AD51" s="72">
        <f>IFERROR(VLOOKUP($D51,'FERC 2022'!$EA$3:$EN$220,10,0),"")</f>
        <v>17795101</v>
      </c>
      <c r="AE51" s="72">
        <f>IFERROR(VLOOKUP($D51,'FERC 2023'!$EA$3:$EN$221,10,0),"")</f>
        <v>17503941</v>
      </c>
      <c r="AF51" s="72">
        <f>IFERROR(VLOOKUP($D51,'FERC 2021'!$EA$3:$EN$221,11,0),"")</f>
        <v>18767891.812182739</v>
      </c>
      <c r="AG51" s="72">
        <f>IFERROR(VLOOKUP($D51,'FERC 2022'!$EA$3:$EN$220,11,0),"")</f>
        <v>19143681.167512693</v>
      </c>
      <c r="AH51" s="72">
        <f>IFERROR(VLOOKUP($D51,'FERC 2023'!$EA$3:$EN$221,11,0),"")</f>
        <v>18612926.329949237</v>
      </c>
      <c r="AI51" s="72">
        <f>IFERROR(VLOOKUP($D51,'FERC 2021'!$EA$3:$EN$221,12,0),"")</f>
        <v>89717297.600000009</v>
      </c>
      <c r="AJ51" s="72">
        <f>IFERROR(VLOOKUP($D51,'FERC 2022'!$EA$3:$EN$220,12,0),"")</f>
        <v>73354580.100000009</v>
      </c>
      <c r="AK51" s="72">
        <f>IFERROR(VLOOKUP($D51,'FERC 2023'!$EA$3:$EN$221,12,0),"")</f>
        <v>57767868.399999999</v>
      </c>
      <c r="AL51" s="72">
        <f>VLOOKUP($D51,'FERC 2021'!$EA$3:$EN$221,13,0)</f>
        <v>681948.19199999992</v>
      </c>
      <c r="AM51" s="72">
        <f>VLOOKUP($D51,'FERC 2022'!$EA$3:$EN$220,13,0)</f>
        <v>636914.66399999999</v>
      </c>
      <c r="AN51" s="72">
        <f>VLOOKUP($D51,'FERC 2023'!$EA$3:$EN$221,13,0)</f>
        <v>517834.592</v>
      </c>
      <c r="AO51" s="72">
        <f>IFERROR(VLOOKUP($D51,'FERC 2021'!$EA$3:$EN$221,14,0),"")</f>
        <v>480920</v>
      </c>
      <c r="AP51" s="72">
        <f>IFERROR(VLOOKUP($D51,'FERC 2022'!$EA$3:$EN$220,14,0),"")</f>
        <v>492662</v>
      </c>
      <c r="AQ51" s="72">
        <f>IFERROR(VLOOKUP($D51,'FERC 2023'!$EA$3:$EN$221,14,0),"")</f>
        <v>490649</v>
      </c>
    </row>
    <row r="52" spans="1:43" ht="15.75" customHeight="1">
      <c r="A52" s="7" t="s">
        <v>354</v>
      </c>
      <c r="B52" s="7" t="s">
        <v>355</v>
      </c>
      <c r="C52" s="311">
        <f>'BD DEA'!P52</f>
        <v>1</v>
      </c>
      <c r="D52" s="44" t="str">
        <f t="shared" si="0"/>
        <v>C000533</v>
      </c>
      <c r="E52" s="72">
        <f>IFERROR(VLOOKUP($D52,'FERC 2021'!$EA$3:$EN$221,2,0),"")</f>
        <v>1522295618.534353</v>
      </c>
      <c r="F52" s="72">
        <f>IFERROR(VLOOKUP($D52,'FERC 2022'!$EA$3:$EN$220,2,0),"")</f>
        <v>1567688684.3155982</v>
      </c>
      <c r="G52" s="72">
        <f>IFERROR(VLOOKUP($D52,'FERC 2023'!$EA$3:$EN$221,2,0),"")</f>
        <v>1647951647.5844753</v>
      </c>
      <c r="H52" s="72">
        <f>IFERROR(VLOOKUP($D52,'FERC 2021'!$EA$3:$EN$225,3,0),"")</f>
        <v>36607573.807998776</v>
      </c>
      <c r="I52" s="72">
        <f>IFERROR(VLOOKUP($D52,'FERC 2022'!$EA$3:$EN$229,3,0),"")</f>
        <v>36022910.837427415</v>
      </c>
      <c r="J52" s="72">
        <f>IFERROR(VLOOKUP($D52,'FERC 2023'!$EA$3:$EN$229,3,0),"")</f>
        <v>36035098.730601192</v>
      </c>
      <c r="K52" s="72">
        <f>IFERROR(VLOOKUP($D52,'FERC 2021'!$EA$3:$EN$229,4,0),"")</f>
        <v>47428953.876380064</v>
      </c>
      <c r="L52" s="72">
        <f>IFERROR(VLOOKUP($D52,'FERC 2022'!$EA$3:$EN$220,4,0),"")</f>
        <v>44277409.708150916</v>
      </c>
      <c r="M52" s="72">
        <f>IFERROR(VLOOKUP($D52,'FERC 2023'!$EA$3:$EN$221,4,0),"")</f>
        <v>42003656.563943453</v>
      </c>
      <c r="N52" s="72">
        <f>IFERROR(VLOOKUP($D52,'FERC 2021'!$EA$3:$EN$221,5,0),"")</f>
        <v>10455457.759973453</v>
      </c>
      <c r="O52" s="72">
        <f>IFERROR(VLOOKUP($D52,'FERC 2022'!$EA$3:$EN$220,5,0),"")</f>
        <v>12833198.54735725</v>
      </c>
      <c r="P52" s="72">
        <f>IFERROR(VLOOKUP($D52,'FERC 2023'!$EA$3:$EN$221,5,0),"")</f>
        <v>9086228.7915797308</v>
      </c>
      <c r="Q52" s="72">
        <f>IFERROR(VLOOKUP($D52,'FERC 2021'!$EA$3:$EN$221,6,0),"")</f>
        <v>8255758.3796044942</v>
      </c>
      <c r="R52" s="72">
        <f>IFERROR(VLOOKUP($D52,'FERC 2022'!$EA$3:$EN$220,6,0),"")</f>
        <v>6351096.4336958397</v>
      </c>
      <c r="S52" s="72">
        <f>IFERROR(VLOOKUP($D52,'FERC 2023'!$EA$3:$EN$221,6,0),"")</f>
        <v>5763828.343159942</v>
      </c>
      <c r="T52" s="72">
        <f>IFERROR(VLOOKUP($D52,'FERC 2021'!$EA$3:$EN$221,7,0),"")</f>
        <v>1067</v>
      </c>
      <c r="U52" s="72">
        <f>IFERROR(VLOOKUP($D52,'FERC 2022'!$EA$3:$EN$220,7,0),"")</f>
        <v>1359</v>
      </c>
      <c r="V52" s="72">
        <f>IFERROR(VLOOKUP($D52,'FERC 2023'!$EA$3:$EN$221,7,0),"")</f>
        <v>1085</v>
      </c>
      <c r="W52" s="72">
        <f>IFERROR(VLOOKUP($D52,'FERC 2021'!$EA$3:$EN$221,8,0),"")</f>
        <v>165428</v>
      </c>
      <c r="X52" s="72">
        <f>IFERROR(VLOOKUP($D52,'FERC 2022'!$EA$3:$EN$220,8,0),"")</f>
        <v>164194</v>
      </c>
      <c r="Y52" s="72">
        <f>IFERROR(VLOOKUP($D52,'FERC 2023'!$EA$3:$EN$221,8,0),"")</f>
        <v>162746</v>
      </c>
      <c r="Z52" s="72">
        <f>IFERROR(VLOOKUP($D52,'FERC 2021'!$EA$3:$EN$222,9,0),"")</f>
        <v>598550</v>
      </c>
      <c r="AA52" s="72">
        <f>IFERROR(VLOOKUP($D52,'FERC 2022'!$EA$3:$EN$220,9,0),"")</f>
        <v>431301</v>
      </c>
      <c r="AB52" s="72">
        <f>IFERROR(VLOOKUP($D52,'FERC 2023'!$EA$3:$EN$221,9,0),"")</f>
        <v>355290</v>
      </c>
      <c r="AC52" s="72">
        <f>IFERROR(VLOOKUP($D52,'FERC 2021'!$EA$3:$EN$221,10,0),"")</f>
        <v>5093309</v>
      </c>
      <c r="AD52" s="72">
        <f>IFERROR(VLOOKUP($D52,'FERC 2022'!$EA$3:$EN$220,10,0),"")</f>
        <v>5391298</v>
      </c>
      <c r="AE52" s="72">
        <f>IFERROR(VLOOKUP($D52,'FERC 2023'!$EA$3:$EN$221,10,0),"")</f>
        <v>5168345</v>
      </c>
      <c r="AF52" s="72">
        <f>IFERROR(VLOOKUP($D52,'FERC 2021'!$EA$3:$EN$221,11,0),"")</f>
        <v>5678344.4568527918</v>
      </c>
      <c r="AG52" s="72">
        <f>IFERROR(VLOOKUP($D52,'FERC 2022'!$EA$3:$EN$220,11,0),"")</f>
        <v>5813302.4416243657</v>
      </c>
      <c r="AH52" s="72">
        <f>IFERROR(VLOOKUP($D52,'FERC 2023'!$EA$3:$EN$221,11,0),"")</f>
        <v>5515743.2030456848</v>
      </c>
      <c r="AI52" s="72">
        <f>IFERROR(VLOOKUP($D52,'FERC 2021'!$EA$3:$EN$221,12,0),"")</f>
        <v>67031425.600000001</v>
      </c>
      <c r="AJ52" s="72">
        <f>IFERROR(VLOOKUP($D52,'FERC 2022'!$EA$3:$EN$220,12,0),"")</f>
        <v>80553576.400000006</v>
      </c>
      <c r="AK52" s="72">
        <f>IFERROR(VLOOKUP($D52,'FERC 2023'!$EA$3:$EN$221,12,0),"")</f>
        <v>53999122.800000004</v>
      </c>
      <c r="AL52" s="72">
        <f>VLOOKUP($D52,'FERC 2021'!$EA$3:$EN$221,13,0)</f>
        <v>438053.34400000004</v>
      </c>
      <c r="AM52" s="72">
        <f>VLOOKUP($D52,'FERC 2022'!$EA$3:$EN$220,13,0)</f>
        <v>465818.37800000003</v>
      </c>
      <c r="AN52" s="72">
        <f>VLOOKUP($D52,'FERC 2023'!$EA$3:$EN$221,13,0)</f>
        <v>381964.86200000002</v>
      </c>
      <c r="AO52" s="72">
        <f>IFERROR(VLOOKUP($D52,'FERC 2021'!$EA$3:$EN$221,14,0),"")</f>
        <v>167676</v>
      </c>
      <c r="AP52" s="72">
        <f>IFERROR(VLOOKUP($D52,'FERC 2022'!$EA$3:$EN$220,14,0),"")</f>
        <v>170506</v>
      </c>
      <c r="AQ52" s="72">
        <f>IFERROR(VLOOKUP($D52,'FERC 2023'!$EA$3:$EN$221,14,0),"")</f>
        <v>168243</v>
      </c>
    </row>
    <row r="53" spans="1:43" ht="15.75" customHeight="1">
      <c r="A53" s="7" t="s">
        <v>357</v>
      </c>
      <c r="B53" s="7" t="s">
        <v>358</v>
      </c>
      <c r="C53" s="311">
        <f>'BD DEA'!P53</f>
        <v>1</v>
      </c>
      <c r="D53" s="44" t="str">
        <f t="shared" si="0"/>
        <v>C000534</v>
      </c>
      <c r="E53" s="72">
        <f>IFERROR(VLOOKUP($D53,'FERC 2021'!$EA$3:$EN$221,2,0),"")</f>
        <v>282189691.27067786</v>
      </c>
      <c r="F53" s="72">
        <f>IFERROR(VLOOKUP($D53,'FERC 2022'!$EA$3:$EN$220,2,0),"")</f>
        <v>289177636.97314632</v>
      </c>
      <c r="G53" s="72">
        <f>IFERROR(VLOOKUP($D53,'FERC 2023'!$EA$3:$EN$221,2,0),"")</f>
        <v>331113176.37956136</v>
      </c>
      <c r="H53" s="72">
        <f>IFERROR(VLOOKUP($D53,'FERC 2021'!$EA$3:$EN$225,3,0),"")</f>
        <v>10100766.30127902</v>
      </c>
      <c r="I53" s="72">
        <f>IFERROR(VLOOKUP($D53,'FERC 2022'!$EA$3:$EN$229,3,0),"")</f>
        <v>10053877.865020847</v>
      </c>
      <c r="J53" s="72">
        <f>IFERROR(VLOOKUP($D53,'FERC 2023'!$EA$3:$EN$229,3,0),"")</f>
        <v>9975686.7914377544</v>
      </c>
      <c r="K53" s="72">
        <f>IFERROR(VLOOKUP($D53,'FERC 2021'!$EA$3:$EN$229,4,0),"")</f>
        <v>11281358.083298704</v>
      </c>
      <c r="L53" s="72">
        <f>IFERROR(VLOOKUP($D53,'FERC 2022'!$EA$3:$EN$220,4,0),"")</f>
        <v>12975125.01329663</v>
      </c>
      <c r="M53" s="72">
        <f>IFERROR(VLOOKUP($D53,'FERC 2023'!$EA$3:$EN$221,4,0),"")</f>
        <v>8712441.2373640835</v>
      </c>
      <c r="N53" s="72">
        <f>IFERROR(VLOOKUP($D53,'FERC 2021'!$EA$3:$EN$221,5,0),"")</f>
        <v>1961893.8433741711</v>
      </c>
      <c r="O53" s="72">
        <f>IFERROR(VLOOKUP($D53,'FERC 2022'!$EA$3:$EN$220,5,0),"")</f>
        <v>1643840.1223333362</v>
      </c>
      <c r="P53" s="72">
        <f>IFERROR(VLOOKUP($D53,'FERC 2023'!$EA$3:$EN$221,5,0),"")</f>
        <v>1635276.3990873927</v>
      </c>
      <c r="Q53" s="72">
        <f>IFERROR(VLOOKUP($D53,'FERC 2021'!$EA$3:$EN$221,6,0),"")</f>
        <v>2628841.4700019588</v>
      </c>
      <c r="R53" s="72">
        <f>IFERROR(VLOOKUP($D53,'FERC 2022'!$EA$3:$EN$220,6,0),"")</f>
        <v>2418486.0457026577</v>
      </c>
      <c r="S53" s="72">
        <f>IFERROR(VLOOKUP($D53,'FERC 2023'!$EA$3:$EN$221,6,0),"")</f>
        <v>2249912.1513818763</v>
      </c>
      <c r="T53" s="72">
        <f>IFERROR(VLOOKUP($D53,'FERC 2021'!$EA$3:$EN$221,7,0),"")</f>
        <v>337</v>
      </c>
      <c r="U53" s="72">
        <f>IFERROR(VLOOKUP($D53,'FERC 2022'!$EA$3:$EN$220,7,0),"")</f>
        <v>498</v>
      </c>
      <c r="V53" s="72">
        <f>IFERROR(VLOOKUP($D53,'FERC 2023'!$EA$3:$EN$221,7,0),"")</f>
        <v>393</v>
      </c>
      <c r="W53" s="72">
        <f>IFERROR(VLOOKUP($D53,'FERC 2021'!$EA$3:$EN$221,8,0),"")</f>
        <v>48597</v>
      </c>
      <c r="X53" s="72">
        <f>IFERROR(VLOOKUP($D53,'FERC 2022'!$EA$3:$EN$220,8,0),"")</f>
        <v>48820</v>
      </c>
      <c r="Y53" s="72">
        <f>IFERROR(VLOOKUP($D53,'FERC 2023'!$EA$3:$EN$221,8,0),"")</f>
        <v>49139</v>
      </c>
      <c r="Z53" s="72">
        <f>IFERROR(VLOOKUP($D53,'FERC 2021'!$EA$3:$EN$222,9,0),"")</f>
        <v>48633</v>
      </c>
      <c r="AA53" s="72">
        <f>IFERROR(VLOOKUP($D53,'FERC 2022'!$EA$3:$EN$220,9,0),"")</f>
        <v>72100</v>
      </c>
      <c r="AB53" s="72">
        <f>IFERROR(VLOOKUP($D53,'FERC 2023'!$EA$3:$EN$221,9,0),"")</f>
        <v>49401</v>
      </c>
      <c r="AC53" s="72">
        <f>IFERROR(VLOOKUP($D53,'FERC 2021'!$EA$3:$EN$221,10,0),"")</f>
        <v>1626549</v>
      </c>
      <c r="AD53" s="72">
        <f>IFERROR(VLOOKUP($D53,'FERC 2022'!$EA$3:$EN$220,10,0),"")</f>
        <v>1866778</v>
      </c>
      <c r="AE53" s="72">
        <f>IFERROR(VLOOKUP($D53,'FERC 2023'!$EA$3:$EN$221,10,0),"")</f>
        <v>1892831</v>
      </c>
      <c r="AF53" s="72">
        <f>IFERROR(VLOOKUP($D53,'FERC 2021'!$EA$3:$EN$221,11,0),"")</f>
        <v>1675182</v>
      </c>
      <c r="AG53" s="72">
        <f>IFERROR(VLOOKUP($D53,'FERC 2022'!$EA$3:$EN$220,11,0),"")</f>
        <v>1938878</v>
      </c>
      <c r="AH53" s="72">
        <f>IFERROR(VLOOKUP($D53,'FERC 2023'!$EA$3:$EN$221,11,0),"")</f>
        <v>1942232</v>
      </c>
      <c r="AI53" s="72">
        <f>IFERROR(VLOOKUP($D53,'FERC 2021'!$EA$3:$EN$221,12,0),"")</f>
        <v>10963483.199999999</v>
      </c>
      <c r="AJ53" s="72">
        <f>IFERROR(VLOOKUP($D53,'FERC 2022'!$EA$3:$EN$220,12,0),"")</f>
        <v>14187092.000000002</v>
      </c>
      <c r="AK53" s="72">
        <f>IFERROR(VLOOKUP($D53,'FERC 2023'!$EA$3:$EN$221,12,0),"")</f>
        <v>9410118.5</v>
      </c>
      <c r="AL53" s="72">
        <f>VLOOKUP($D53,'FERC 2021'!$EA$3:$EN$221,13,0)</f>
        <v>62592.936000000002</v>
      </c>
      <c r="AM53" s="72">
        <f>VLOOKUP($D53,'FERC 2022'!$EA$3:$EN$220,13,0)</f>
        <v>97102.98000000001</v>
      </c>
      <c r="AN53" s="72">
        <f>VLOOKUP($D53,'FERC 2023'!$EA$3:$EN$221,13,0)</f>
        <v>101914.28599999999</v>
      </c>
      <c r="AO53" s="72">
        <f>IFERROR(VLOOKUP($D53,'FERC 2021'!$EA$3:$EN$221,14,0),"")</f>
        <v>48878</v>
      </c>
      <c r="AP53" s="72">
        <f>IFERROR(VLOOKUP($D53,'FERC 2022'!$EA$3:$EN$220,14,0),"")</f>
        <v>51032</v>
      </c>
      <c r="AQ53" s="72">
        <f>IFERROR(VLOOKUP($D53,'FERC 2023'!$EA$3:$EN$221,14,0),"")</f>
        <v>51307</v>
      </c>
    </row>
    <row r="54" spans="1:43" ht="15.75" customHeight="1">
      <c r="A54" s="7" t="s">
        <v>360</v>
      </c>
      <c r="B54" s="7" t="s">
        <v>361</v>
      </c>
      <c r="C54" s="311">
        <f>'BD DEA'!P54</f>
        <v>1</v>
      </c>
      <c r="D54" s="44" t="str">
        <f t="shared" si="0"/>
        <v>C000535</v>
      </c>
      <c r="E54" s="72">
        <f>IFERROR(VLOOKUP($D54,'FERC 2021'!$EA$3:$EN$221,2,0),"")</f>
        <v>7675142199.078701</v>
      </c>
      <c r="F54" s="72">
        <f>IFERROR(VLOOKUP($D54,'FERC 2022'!$EA$3:$EN$220,2,0),"")</f>
        <v>7953947943.7845249</v>
      </c>
      <c r="G54" s="72">
        <f>IFERROR(VLOOKUP($D54,'FERC 2023'!$EA$3:$EN$221,2,0),"")</f>
        <v>8430553853.9570627</v>
      </c>
      <c r="H54" s="72">
        <f>IFERROR(VLOOKUP($D54,'FERC 2021'!$EA$3:$EN$225,3,0),"")</f>
        <v>418982550.81236744</v>
      </c>
      <c r="I54" s="72">
        <f>IFERROR(VLOOKUP($D54,'FERC 2022'!$EA$3:$EN$229,3,0),"")</f>
        <v>414326225.56082731</v>
      </c>
      <c r="J54" s="72">
        <f>IFERROR(VLOOKUP($D54,'FERC 2023'!$EA$3:$EN$229,3,0),"")</f>
        <v>420580474.67303151</v>
      </c>
      <c r="K54" s="72">
        <f>IFERROR(VLOOKUP($D54,'FERC 2021'!$EA$3:$EN$229,4,0),"")</f>
        <v>212887721.61428896</v>
      </c>
      <c r="L54" s="72">
        <f>IFERROR(VLOOKUP($D54,'FERC 2022'!$EA$3:$EN$220,4,0),"")</f>
        <v>225141164.85085937</v>
      </c>
      <c r="M54" s="72">
        <f>IFERROR(VLOOKUP($D54,'FERC 2023'!$EA$3:$EN$221,4,0),"")</f>
        <v>248931892.57739007</v>
      </c>
      <c r="N54" s="72">
        <f>IFERROR(VLOOKUP($D54,'FERC 2021'!$EA$3:$EN$221,5,0),"")</f>
        <v>143253254.53829613</v>
      </c>
      <c r="O54" s="72">
        <f>IFERROR(VLOOKUP($D54,'FERC 2022'!$EA$3:$EN$220,5,0),"")</f>
        <v>147419347.54689363</v>
      </c>
      <c r="P54" s="72">
        <f>IFERROR(VLOOKUP($D54,'FERC 2023'!$EA$3:$EN$221,5,0),"")</f>
        <v>240418600.45383239</v>
      </c>
      <c r="Q54" s="72">
        <f>IFERROR(VLOOKUP($D54,'FERC 2021'!$EA$3:$EN$221,6,0),"")</f>
        <v>32859255.08156123</v>
      </c>
      <c r="R54" s="72">
        <f>IFERROR(VLOOKUP($D54,'FERC 2022'!$EA$3:$EN$220,6,0),"")</f>
        <v>30955884.88805595</v>
      </c>
      <c r="S54" s="72">
        <f>IFERROR(VLOOKUP($D54,'FERC 2023'!$EA$3:$EN$221,6,0),"")</f>
        <v>26667279.765714005</v>
      </c>
      <c r="T54" s="72">
        <f>IFERROR(VLOOKUP($D54,'FERC 2021'!$EA$3:$EN$221,7,0),"")</f>
        <v>2712</v>
      </c>
      <c r="U54" s="72">
        <f>IFERROR(VLOOKUP($D54,'FERC 2022'!$EA$3:$EN$220,7,0),"")</f>
        <v>3872</v>
      </c>
      <c r="V54" s="72">
        <f>IFERROR(VLOOKUP($D54,'FERC 2023'!$EA$3:$EN$221,7,0),"")</f>
        <v>3606</v>
      </c>
      <c r="W54" s="72">
        <f>IFERROR(VLOOKUP($D54,'FERC 2021'!$EA$3:$EN$221,8,0),"")</f>
        <v>1511447</v>
      </c>
      <c r="X54" s="72">
        <f>IFERROR(VLOOKUP($D54,'FERC 2022'!$EA$3:$EN$220,8,0),"")</f>
        <v>1519060</v>
      </c>
      <c r="Y54" s="72">
        <f>IFERROR(VLOOKUP($D54,'FERC 2023'!$EA$3:$EN$221,8,0),"")</f>
        <v>1523797</v>
      </c>
      <c r="Z54" s="72">
        <f>IFERROR(VLOOKUP($D54,'FERC 2021'!$EA$3:$EN$222,9,0),"")</f>
        <v>610162</v>
      </c>
      <c r="AA54" s="72">
        <f>IFERROR(VLOOKUP($D54,'FERC 2022'!$EA$3:$EN$220,9,0),"")</f>
        <v>665308</v>
      </c>
      <c r="AB54" s="72">
        <f>IFERROR(VLOOKUP($D54,'FERC 2023'!$EA$3:$EN$221,9,0),"")</f>
        <v>424705</v>
      </c>
      <c r="AC54" s="72">
        <f>IFERROR(VLOOKUP($D54,'FERC 2021'!$EA$3:$EN$221,10,0),"")</f>
        <v>44016009</v>
      </c>
      <c r="AD54" s="72">
        <f>IFERROR(VLOOKUP($D54,'FERC 2022'!$EA$3:$EN$220,10,0),"")</f>
        <v>44642493</v>
      </c>
      <c r="AE54" s="72">
        <f>IFERROR(VLOOKUP($D54,'FERC 2023'!$EA$3:$EN$221,10,0),"")</f>
        <v>44317733</v>
      </c>
      <c r="AF54" s="72">
        <f>IFERROR(VLOOKUP($D54,'FERC 2021'!$EA$3:$EN$221,11,0),"")</f>
        <v>44587768.045685276</v>
      </c>
      <c r="AG54" s="72">
        <f>IFERROR(VLOOKUP($D54,'FERC 2022'!$EA$3:$EN$220,11,0),"")</f>
        <v>45265931.025380708</v>
      </c>
      <c r="AH54" s="72">
        <f>IFERROR(VLOOKUP($D54,'FERC 2023'!$EA$3:$EN$221,11,0),"")</f>
        <v>44705684.90862944</v>
      </c>
      <c r="AI54" s="72">
        <f>IFERROR(VLOOKUP($D54,'FERC 2021'!$EA$3:$EN$221,12,0),"")</f>
        <v>259062015.80000001</v>
      </c>
      <c r="AJ54" s="72">
        <f>IFERROR(VLOOKUP($D54,'FERC 2022'!$EA$3:$EN$220,12,0),"")</f>
        <v>272519364</v>
      </c>
      <c r="AK54" s="72">
        <f>IFERROR(VLOOKUP($D54,'FERC 2023'!$EA$3:$EN$221,12,0),"")</f>
        <v>224912437.19999999</v>
      </c>
      <c r="AL54" s="72">
        <f>VLOOKUP($D54,'FERC 2021'!$EA$3:$EN$221,13,0)</f>
        <v>2061613.7080000001</v>
      </c>
      <c r="AM54" s="72">
        <f>VLOOKUP($D54,'FERC 2022'!$EA$3:$EN$220,13,0)</f>
        <v>2637088.16</v>
      </c>
      <c r="AN54" s="72">
        <f>VLOOKUP($D54,'FERC 2023'!$EA$3:$EN$221,13,0)</f>
        <v>1883413.0919999999</v>
      </c>
      <c r="AO54" s="72">
        <f>IFERROR(VLOOKUP($D54,'FERC 2021'!$EA$3:$EN$221,14,0),"")</f>
        <v>1523835</v>
      </c>
      <c r="AP54" s="72">
        <f>IFERROR(VLOOKUP($D54,'FERC 2022'!$EA$3:$EN$220,14,0),"")</f>
        <v>1557997</v>
      </c>
      <c r="AQ54" s="72">
        <f>IFERROR(VLOOKUP($D54,'FERC 2023'!$EA$3:$EN$221,14,0),"")</f>
        <v>1563822</v>
      </c>
    </row>
    <row r="55" spans="1:43" ht="15.75" customHeight="1">
      <c r="A55" s="7" t="s">
        <v>363</v>
      </c>
      <c r="B55" s="7" t="s">
        <v>364</v>
      </c>
      <c r="C55" s="311">
        <f>'BD DEA'!P55</f>
        <v>1</v>
      </c>
      <c r="D55" s="44" t="str">
        <f t="shared" si="0"/>
        <v>C000536</v>
      </c>
      <c r="E55" s="72" t="str">
        <f>IFERROR(VLOOKUP($D55,'FERC 2021'!$EA$3:$EN$221,2,0),"")</f>
        <v/>
      </c>
      <c r="F55" s="72">
        <f>IFERROR(VLOOKUP($D55,'FERC 2022'!$EA$3:$EN$220,2,0),"")</f>
        <v>3700733675.3101287</v>
      </c>
      <c r="G55" s="72">
        <f>IFERROR(VLOOKUP($D55,'FERC 2023'!$EA$3:$EN$221,2,0),"")</f>
        <v>3954955156.1414118</v>
      </c>
      <c r="H55" s="72" t="str">
        <f>IFERROR(VLOOKUP($D55,'FERC 2021'!$EA$3:$EN$225,3,0),"")</f>
        <v/>
      </c>
      <c r="I55" s="72">
        <f>IFERROR(VLOOKUP($D55,'FERC 2022'!$EA$3:$EN$229,3,0),"")</f>
        <v>167927131.9214547</v>
      </c>
      <c r="J55" s="72">
        <f>IFERROR(VLOOKUP($D55,'FERC 2023'!$EA$3:$EN$229,3,0),"")</f>
        <v>173168833.02048042</v>
      </c>
      <c r="K55" s="72" t="str">
        <f>IFERROR(VLOOKUP($D55,'FERC 2021'!$EA$3:$EN$229,4,0),"")</f>
        <v/>
      </c>
      <c r="L55" s="72">
        <f>IFERROR(VLOOKUP($D55,'FERC 2022'!$EA$3:$EN$220,4,0),"")</f>
        <v>92868410.445353583</v>
      </c>
      <c r="M55" s="72">
        <f>IFERROR(VLOOKUP($D55,'FERC 2023'!$EA$3:$EN$221,4,0),"")</f>
        <v>84876188.930457309</v>
      </c>
      <c r="N55" s="72" t="str">
        <f>IFERROR(VLOOKUP($D55,'FERC 2021'!$EA$3:$EN$221,5,0),"")</f>
        <v/>
      </c>
      <c r="O55" s="72">
        <f>IFERROR(VLOOKUP($D55,'FERC 2022'!$EA$3:$EN$220,5,0),"")</f>
        <v>64339695.04832577</v>
      </c>
      <c r="P55" s="72">
        <f>IFERROR(VLOOKUP($D55,'FERC 2023'!$EA$3:$EN$221,5,0),"")</f>
        <v>56200169.481038414</v>
      </c>
      <c r="Q55" s="72" t="str">
        <f>IFERROR(VLOOKUP($D55,'FERC 2021'!$EA$3:$EN$221,6,0),"")</f>
        <v/>
      </c>
      <c r="R55" s="72">
        <f>IFERROR(VLOOKUP($D55,'FERC 2022'!$EA$3:$EN$220,6,0),"")</f>
        <v>19363037.209668852</v>
      </c>
      <c r="S55" s="72">
        <f>IFERROR(VLOOKUP($D55,'FERC 2023'!$EA$3:$EN$221,6,0),"")</f>
        <v>13693570.467500493</v>
      </c>
      <c r="T55" s="72" t="str">
        <f>IFERROR(VLOOKUP($D55,'FERC 2021'!$EA$3:$EN$221,7,0),"")</f>
        <v/>
      </c>
      <c r="U55" s="72">
        <f>IFERROR(VLOOKUP($D55,'FERC 2022'!$EA$3:$EN$220,7,0),"")</f>
        <v>4285</v>
      </c>
      <c r="V55" s="72">
        <f>IFERROR(VLOOKUP($D55,'FERC 2023'!$EA$3:$EN$221,7,0),"")</f>
        <v>4287</v>
      </c>
      <c r="W55" s="72" t="str">
        <f>IFERROR(VLOOKUP($D55,'FERC 2021'!$EA$3:$EN$221,8,0),"")</f>
        <v/>
      </c>
      <c r="X55" s="72">
        <f>IFERROR(VLOOKUP($D55,'FERC 2022'!$EA$3:$EN$220,8,0),"")</f>
        <v>572735</v>
      </c>
      <c r="Y55" s="72">
        <f>IFERROR(VLOOKUP($D55,'FERC 2023'!$EA$3:$EN$221,8,0),"")</f>
        <v>575846</v>
      </c>
      <c r="Z55" s="72" t="str">
        <f>IFERROR(VLOOKUP($D55,'FERC 2021'!$EA$3:$EN$222,9,0),"")</f>
        <v/>
      </c>
      <c r="AA55" s="72">
        <f>IFERROR(VLOOKUP($D55,'FERC 2022'!$EA$3:$EN$220,9,0),"")</f>
        <v>1173775</v>
      </c>
      <c r="AB55" s="72">
        <f>IFERROR(VLOOKUP($D55,'FERC 2023'!$EA$3:$EN$221,9,0),"")</f>
        <v>1160400</v>
      </c>
      <c r="AC55" s="72" t="str">
        <f>IFERROR(VLOOKUP($D55,'FERC 2021'!$EA$3:$EN$221,10,0),"")</f>
        <v/>
      </c>
      <c r="AD55" s="72">
        <f>IFERROR(VLOOKUP($D55,'FERC 2022'!$EA$3:$EN$220,10,0),"")</f>
        <v>19140765</v>
      </c>
      <c r="AE55" s="72">
        <f>IFERROR(VLOOKUP($D55,'FERC 2023'!$EA$3:$EN$221,10,0),"")</f>
        <v>18515197</v>
      </c>
      <c r="AF55" s="72" t="str">
        <f>IFERROR(VLOOKUP($D55,'FERC 2021'!$EA$3:$EN$221,11,0),"")</f>
        <v/>
      </c>
      <c r="AG55" s="72">
        <f>IFERROR(VLOOKUP($D55,'FERC 2022'!$EA$3:$EN$220,11,0),"")</f>
        <v>20305065.802030455</v>
      </c>
      <c r="AH55" s="72">
        <f>IFERROR(VLOOKUP($D55,'FERC 2023'!$EA$3:$EN$221,11,0),"")</f>
        <v>19668496.700507615</v>
      </c>
      <c r="AI55" s="72" t="str">
        <f>IFERROR(VLOOKUP($D55,'FERC 2021'!$EA$3:$EN$221,12,0),"")</f>
        <v/>
      </c>
      <c r="AJ55" s="72">
        <f>IFERROR(VLOOKUP($D55,'FERC 2022'!$EA$3:$EN$220,12,0),"")</f>
        <v>62886303</v>
      </c>
      <c r="AK55" s="72">
        <f>IFERROR(VLOOKUP($D55,'FERC 2023'!$EA$3:$EN$221,12,0),"")</f>
        <v>61500352.799999997</v>
      </c>
      <c r="AL55" s="72" t="str">
        <f>VLOOKUP($D55,'FERC 2021'!$EA$3:$EN$221,13,0)</f>
        <v/>
      </c>
      <c r="AM55" s="72">
        <f>VLOOKUP($D55,'FERC 2022'!$EA$3:$EN$220,13,0)</f>
        <v>780065.07000000007</v>
      </c>
      <c r="AN55" s="72">
        <f>VLOOKUP($D55,'FERC 2023'!$EA$3:$EN$221,13,0)</f>
        <v>1137295.8500000001</v>
      </c>
      <c r="AO55" s="72" t="str">
        <f>IFERROR(VLOOKUP($D55,'FERC 2021'!$EA$3:$EN$221,14,0),"")</f>
        <v/>
      </c>
      <c r="AP55" s="72">
        <f>IFERROR(VLOOKUP($D55,'FERC 2022'!$EA$3:$EN$220,14,0),"")</f>
        <v>601904</v>
      </c>
      <c r="AQ55" s="72">
        <f>IFERROR(VLOOKUP($D55,'FERC 2023'!$EA$3:$EN$221,14,0),"")</f>
        <v>606221</v>
      </c>
    </row>
    <row r="56" spans="1:43" ht="15.75" hidden="1" customHeight="1">
      <c r="A56" s="7" t="s">
        <v>366</v>
      </c>
      <c r="B56" s="7" t="s">
        <v>367</v>
      </c>
      <c r="C56" s="311" t="str">
        <f>'BD DEA'!P56</f>
        <v/>
      </c>
      <c r="D56" s="44" t="str">
        <f t="shared" si="0"/>
        <v>C000537</v>
      </c>
      <c r="E56" s="72">
        <f>IFERROR(VLOOKUP($D56,'FERC 2021'!$EA$3:$EN$221,2,0),"")</f>
        <v>3324494799.3075376</v>
      </c>
      <c r="F56" s="72">
        <f>IFERROR(VLOOKUP($D56,'FERC 2022'!$EA$3:$EN$220,2,0),"")</f>
        <v>3380286701.1643262</v>
      </c>
      <c r="G56" s="72">
        <f>IFERROR(VLOOKUP($D56,'FERC 2023'!$EA$3:$EN$221,2,0),"")</f>
        <v>3489356649.1337848</v>
      </c>
      <c r="H56" s="72">
        <f>IFERROR(VLOOKUP($D56,'FERC 2021'!$EA$3:$EN$225,3,0),"")</f>
        <v>140814149.44856626</v>
      </c>
      <c r="I56" s="72">
        <f>IFERROR(VLOOKUP($D56,'FERC 2022'!$EA$3:$EN$229,3,0),"")</f>
        <v>158268984.13191843</v>
      </c>
      <c r="J56" s="72">
        <f>IFERROR(VLOOKUP($D56,'FERC 2023'!$EA$3:$EN$229,3,0),"")</f>
        <v>167426503.4157775</v>
      </c>
      <c r="K56" s="72">
        <f>IFERROR(VLOOKUP($D56,'FERC 2021'!$EA$3:$EN$229,4,0),"")</f>
        <v>96780549.153644308</v>
      </c>
      <c r="L56" s="72">
        <f>IFERROR(VLOOKUP($D56,'FERC 2022'!$EA$3:$EN$220,4,0),"")</f>
        <v>99986704.579169065</v>
      </c>
      <c r="M56" s="72">
        <f>IFERROR(VLOOKUP($D56,'FERC 2023'!$EA$3:$EN$221,4,0),"")</f>
        <v>92930569.936613202</v>
      </c>
      <c r="N56" s="72">
        <f>IFERROR(VLOOKUP($D56,'FERC 2021'!$EA$3:$EN$221,5,0),"")</f>
        <v>49853834.650202647</v>
      </c>
      <c r="O56" s="72">
        <f>IFERROR(VLOOKUP($D56,'FERC 2022'!$EA$3:$EN$220,5,0),"")</f>
        <v>54014883.315710336</v>
      </c>
      <c r="P56" s="72">
        <f>IFERROR(VLOOKUP($D56,'FERC 2023'!$EA$3:$EN$221,5,0),"")</f>
        <v>51793802.287045009</v>
      </c>
      <c r="Q56" s="72">
        <f>IFERROR(VLOOKUP($D56,'FERC 2021'!$EA$3:$EN$221,6,0),"")</f>
        <v>27896400.276861731</v>
      </c>
      <c r="R56" s="72">
        <f>IFERROR(VLOOKUP($D56,'FERC 2022'!$EA$3:$EN$220,6,0),"")</f>
        <v>26590917.356347512</v>
      </c>
      <c r="S56" s="72">
        <f>IFERROR(VLOOKUP($D56,'FERC 2023'!$EA$3:$EN$221,6,0),"")</f>
        <v>22709414.42867114</v>
      </c>
      <c r="T56" s="72">
        <f>IFERROR(VLOOKUP($D56,'FERC 2021'!$EA$3:$EN$221,7,0),"")</f>
        <v>4563</v>
      </c>
      <c r="U56" s="72">
        <f>IFERROR(VLOOKUP($D56,'FERC 2022'!$EA$3:$EN$220,7,0),"")</f>
        <v>4918</v>
      </c>
      <c r="V56" s="72">
        <f>IFERROR(VLOOKUP($D56,'FERC 2023'!$EA$3:$EN$221,7,0),"")</f>
        <v>4886</v>
      </c>
      <c r="W56" s="72">
        <f>IFERROR(VLOOKUP($D56,'FERC 2021'!$EA$3:$EN$221,8,0),"")</f>
        <v>546238</v>
      </c>
      <c r="X56" s="72">
        <f>IFERROR(VLOOKUP($D56,'FERC 2022'!$EA$3:$EN$220,8,0),"")</f>
        <v>549651</v>
      </c>
      <c r="Y56" s="72">
        <f>IFERROR(VLOOKUP($D56,'FERC 2023'!$EA$3:$EN$221,8,0),"")</f>
        <v>552060</v>
      </c>
      <c r="Z56" s="72">
        <f>IFERROR(VLOOKUP($D56,'FERC 2021'!$EA$3:$EN$222,9,0),"")</f>
        <v>455091</v>
      </c>
      <c r="AA56" s="72">
        <f>IFERROR(VLOOKUP($D56,'FERC 2022'!$EA$3:$EN$220,9,0),"")</f>
        <v>598009</v>
      </c>
      <c r="AB56" s="72">
        <f>IFERROR(VLOOKUP($D56,'FERC 2023'!$EA$3:$EN$221,9,0),"")</f>
        <v>1284490</v>
      </c>
      <c r="AC56" s="72">
        <f>IFERROR(VLOOKUP($D56,'FERC 2021'!$EA$3:$EN$221,10,0),"")</f>
        <v>16452381</v>
      </c>
      <c r="AD56" s="72">
        <f>IFERROR(VLOOKUP($D56,'FERC 2022'!$EA$3:$EN$220,10,0),"")</f>
        <v>17518835</v>
      </c>
      <c r="AE56" s="72">
        <f>IFERROR(VLOOKUP($D56,'FERC 2023'!$EA$3:$EN$221,10,0),"")</f>
        <v>16894653</v>
      </c>
      <c r="AF56" s="72">
        <f>IFERROR(VLOOKUP($D56,'FERC 2021'!$EA$3:$EN$221,11,0),"")</f>
        <v>16792057.964467004</v>
      </c>
      <c r="AG56" s="72">
        <f>IFERROR(VLOOKUP($D56,'FERC 2022'!$EA$3:$EN$220,11,0),"")</f>
        <v>18010982.817258883</v>
      </c>
      <c r="AH56" s="72">
        <f>IFERROR(VLOOKUP($D56,'FERC 2023'!$EA$3:$EN$221,11,0),"")</f>
        <v>18089791.883248731</v>
      </c>
      <c r="AI56" s="72">
        <f>IFERROR(VLOOKUP($D56,'FERC 2021'!$EA$3:$EN$221,12,0),"")</f>
        <v>78658272</v>
      </c>
      <c r="AJ56" s="72">
        <f>IFERROR(VLOOKUP($D56,'FERC 2022'!$EA$3:$EN$220,12,0),"")</f>
        <v>127793857.5</v>
      </c>
      <c r="AK56" s="72">
        <f>IFERROR(VLOOKUP($D56,'FERC 2023'!$EA$3:$EN$221,12,0),"")</f>
        <v>107706906</v>
      </c>
      <c r="AL56" s="72">
        <f>VLOOKUP($D56,'FERC 2021'!$EA$3:$EN$221,13,0)</f>
        <v>938983.12200000009</v>
      </c>
      <c r="AM56" s="72">
        <f>VLOOKUP($D56,'FERC 2022'!$EA$3:$EN$220,13,0)</f>
        <v>974531.223</v>
      </c>
      <c r="AN56" s="72">
        <f>VLOOKUP($D56,'FERC 2023'!$EA$3:$EN$221,13,0)</f>
        <v>1152701.28</v>
      </c>
      <c r="AO56" s="72">
        <f>IFERROR(VLOOKUP($D56,'FERC 2021'!$EA$3:$EN$221,14,0),"")</f>
        <v>114638</v>
      </c>
      <c r="AP56" s="72">
        <f>IFERROR(VLOOKUP($D56,'FERC 2022'!$EA$3:$EN$220,14,0),"")</f>
        <v>121700</v>
      </c>
      <c r="AQ56" s="72">
        <f>IFERROR(VLOOKUP($D56,'FERC 2023'!$EA$3:$EN$221,14,0),"")</f>
        <v>124199</v>
      </c>
    </row>
    <row r="57" spans="1:43" ht="15.75" hidden="1" customHeight="1">
      <c r="A57" s="7" t="s">
        <v>369</v>
      </c>
      <c r="B57" s="7" t="s">
        <v>370</v>
      </c>
      <c r="C57" s="311" t="str">
        <f>'BD DEA'!P57</f>
        <v/>
      </c>
      <c r="D57" s="44" t="str">
        <f t="shared" si="0"/>
        <v>C000538</v>
      </c>
      <c r="E57" s="72">
        <f>IFERROR(VLOOKUP($D57,'FERC 2021'!$EA$3:$EN$221,2,0),"")</f>
        <v>285210941.18278807</v>
      </c>
      <c r="F57" s="72">
        <f>IFERROR(VLOOKUP($D57,'FERC 2022'!$EA$3:$EN$220,2,0),"")</f>
        <v>296804130.42391801</v>
      </c>
      <c r="G57" s="72">
        <f>IFERROR(VLOOKUP($D57,'FERC 2023'!$EA$3:$EN$221,2,0),"")</f>
        <v>310101571.41099757</v>
      </c>
      <c r="H57" s="72">
        <f>IFERROR(VLOOKUP($D57,'FERC 2021'!$EA$3:$EN$225,3,0),"")</f>
        <v>8133328.9388411846</v>
      </c>
      <c r="I57" s="72">
        <f>IFERROR(VLOOKUP($D57,'FERC 2022'!$EA$3:$EN$229,3,0),"")</f>
        <v>21272459.973233692</v>
      </c>
      <c r="J57" s="72">
        <f>IFERROR(VLOOKUP($D57,'FERC 2023'!$EA$3:$EN$229,3,0),"")</f>
        <v>21435184.193530515</v>
      </c>
      <c r="K57" s="72">
        <f>IFERROR(VLOOKUP($D57,'FERC 2021'!$EA$3:$EN$229,4,0),"")</f>
        <v>15941184.136529109</v>
      </c>
      <c r="L57" s="72">
        <f>IFERROR(VLOOKUP($D57,'FERC 2022'!$EA$3:$EN$220,4,0),"")</f>
        <v>18611994.381098513</v>
      </c>
      <c r="M57" s="72">
        <f>IFERROR(VLOOKUP($D57,'FERC 2023'!$EA$3:$EN$221,4,0),"")</f>
        <v>13192526.749958843</v>
      </c>
      <c r="N57" s="72">
        <f>IFERROR(VLOOKUP($D57,'FERC 2021'!$EA$3:$EN$221,5,0),"")</f>
        <v>4278611.6636694483</v>
      </c>
      <c r="O57" s="72">
        <f>IFERROR(VLOOKUP($D57,'FERC 2022'!$EA$3:$EN$220,5,0),"")</f>
        <v>3097302.6266795234</v>
      </c>
      <c r="P57" s="72">
        <f>IFERROR(VLOOKUP($D57,'FERC 2023'!$EA$3:$EN$221,5,0),"")</f>
        <v>3214288.8588334452</v>
      </c>
      <c r="Q57" s="72">
        <f>IFERROR(VLOOKUP($D57,'FERC 2021'!$EA$3:$EN$221,6,0),"")</f>
        <v>1838479.0921242801</v>
      </c>
      <c r="R57" s="72">
        <f>IFERROR(VLOOKUP($D57,'FERC 2022'!$EA$3:$EN$220,6,0),"")</f>
        <v>8883194.826658858</v>
      </c>
      <c r="S57" s="72">
        <f>IFERROR(VLOOKUP($D57,'FERC 2023'!$EA$3:$EN$221,6,0),"")</f>
        <v>783599.10409026174</v>
      </c>
      <c r="T57" s="72">
        <f>IFERROR(VLOOKUP($D57,'FERC 2021'!$EA$3:$EN$221,7,0),"")</f>
        <v>663</v>
      </c>
      <c r="U57" s="72">
        <f>IFERROR(VLOOKUP($D57,'FERC 2022'!$EA$3:$EN$220,7,0),"")</f>
        <v>736</v>
      </c>
      <c r="V57" s="72">
        <f>IFERROR(VLOOKUP($D57,'FERC 2023'!$EA$3:$EN$221,7,0),"")</f>
        <v>690</v>
      </c>
      <c r="W57" s="72">
        <f>IFERROR(VLOOKUP($D57,'FERC 2021'!$EA$3:$EN$221,8,0),"")</f>
        <v>41695</v>
      </c>
      <c r="X57" s="72">
        <f>IFERROR(VLOOKUP($D57,'FERC 2022'!$EA$3:$EN$220,8,0),"")</f>
        <v>41563</v>
      </c>
      <c r="Y57" s="72">
        <f>IFERROR(VLOOKUP($D57,'FERC 2023'!$EA$3:$EN$221,8,0),"")</f>
        <v>41403</v>
      </c>
      <c r="Z57" s="72">
        <f>IFERROR(VLOOKUP($D57,'FERC 2021'!$EA$3:$EN$222,9,0),"")</f>
        <v>208547</v>
      </c>
      <c r="AA57" s="72">
        <f>IFERROR(VLOOKUP($D57,'FERC 2022'!$EA$3:$EN$220,9,0),"")</f>
        <v>134011</v>
      </c>
      <c r="AB57" s="72">
        <f>IFERROR(VLOOKUP($D57,'FERC 2023'!$EA$3:$EN$221,9,0),"")</f>
        <v>78614</v>
      </c>
      <c r="AC57" s="72">
        <f>IFERROR(VLOOKUP($D57,'FERC 2021'!$EA$3:$EN$221,10,0),"")</f>
        <v>4660041</v>
      </c>
      <c r="AD57" s="72">
        <f>IFERROR(VLOOKUP($D57,'FERC 2022'!$EA$3:$EN$220,10,0),"")</f>
        <v>4823931</v>
      </c>
      <c r="AE57" s="72">
        <f>IFERROR(VLOOKUP($D57,'FERC 2023'!$EA$3:$EN$221,10,0),"")</f>
        <v>4805178</v>
      </c>
      <c r="AF57" s="72">
        <f>IFERROR(VLOOKUP($D57,'FERC 2021'!$EA$3:$EN$221,11,0),"")</f>
        <v>4862444.1522842636</v>
      </c>
      <c r="AG57" s="72">
        <f>IFERROR(VLOOKUP($D57,'FERC 2022'!$EA$3:$EN$220,11,0),"")</f>
        <v>4953507.4771573599</v>
      </c>
      <c r="AH57" s="72">
        <f>IFERROR(VLOOKUP($D57,'FERC 2023'!$EA$3:$EN$221,11,0),"")</f>
        <v>4879070.9441624368</v>
      </c>
      <c r="AI57" s="72">
        <f>IFERROR(VLOOKUP($D57,'FERC 2021'!$EA$3:$EN$221,12,0),"")</f>
        <v>35961937.5</v>
      </c>
      <c r="AJ57" s="72">
        <f>IFERROR(VLOOKUP($D57,'FERC 2022'!$EA$3:$EN$220,12,0),"")</f>
        <v>38591245.5</v>
      </c>
      <c r="AK57" s="72">
        <f>IFERROR(VLOOKUP($D57,'FERC 2023'!$EA$3:$EN$221,12,0),"")</f>
        <v>24585101.399999999</v>
      </c>
      <c r="AL57" s="72">
        <f>VLOOKUP($D57,'FERC 2021'!$EA$3:$EN$221,13,0)</f>
        <v>106238.86</v>
      </c>
      <c r="AM57" s="72">
        <f>VLOOKUP($D57,'FERC 2022'!$EA$3:$EN$220,13,0)</f>
        <v>133999.11200000002</v>
      </c>
      <c r="AN57" s="72">
        <f>VLOOKUP($D57,'FERC 2023'!$EA$3:$EN$221,13,0)</f>
        <v>92949.735000000001</v>
      </c>
      <c r="AO57" s="72">
        <f>IFERROR(VLOOKUP($D57,'FERC 2021'!$EA$3:$EN$221,14,0),"")</f>
        <v>42029</v>
      </c>
      <c r="AP57" s="72">
        <f>IFERROR(VLOOKUP($D57,'FERC 2022'!$EA$3:$EN$220,14,0),"")</f>
        <v>42940</v>
      </c>
      <c r="AQ57" s="72">
        <f>IFERROR(VLOOKUP($D57,'FERC 2023'!$EA$3:$EN$221,14,0),"")</f>
        <v>42291</v>
      </c>
    </row>
    <row r="58" spans="1:43" ht="15.75" customHeight="1">
      <c r="A58" s="7" t="s">
        <v>372</v>
      </c>
      <c r="B58" s="7" t="s">
        <v>373</v>
      </c>
      <c r="C58" s="311">
        <f>'BD DEA'!P58</f>
        <v>1</v>
      </c>
      <c r="D58" s="44" t="str">
        <f t="shared" si="0"/>
        <v>C000542</v>
      </c>
      <c r="E58" s="72">
        <f>IFERROR(VLOOKUP($D58,'FERC 2021'!$EA$3:$EN$221,2,0),"")</f>
        <v>3739259318.0707455</v>
      </c>
      <c r="F58" s="72">
        <f>IFERROR(VLOOKUP($D58,'FERC 2022'!$EA$3:$EN$220,2,0),"")</f>
        <v>4102265129.0578384</v>
      </c>
      <c r="G58" s="72">
        <f>IFERROR(VLOOKUP($D58,'FERC 2023'!$EA$3:$EN$221,2,0),"")</f>
        <v>4591843733.7689819</v>
      </c>
      <c r="H58" s="72">
        <f>IFERROR(VLOOKUP($D58,'FERC 2021'!$EA$3:$EN$225,3,0),"")</f>
        <v>129070554.99774925</v>
      </c>
      <c r="I58" s="72">
        <f>IFERROR(VLOOKUP($D58,'FERC 2022'!$EA$3:$EN$229,3,0),"")</f>
        <v>131781676.79754241</v>
      </c>
      <c r="J58" s="72">
        <f>IFERROR(VLOOKUP($D58,'FERC 2023'!$EA$3:$EN$229,3,0),"")</f>
        <v>133088439.58706759</v>
      </c>
      <c r="K58" s="72">
        <f>IFERROR(VLOOKUP($D58,'FERC 2021'!$EA$3:$EN$229,4,0),"")</f>
        <v>76754685.745559558</v>
      </c>
      <c r="L58" s="72">
        <f>IFERROR(VLOOKUP($D58,'FERC 2022'!$EA$3:$EN$220,4,0),"")</f>
        <v>73885655.060759068</v>
      </c>
      <c r="M58" s="72">
        <f>IFERROR(VLOOKUP($D58,'FERC 2023'!$EA$3:$EN$221,4,0),"")</f>
        <v>68978432.423544779</v>
      </c>
      <c r="N58" s="72">
        <f>IFERROR(VLOOKUP($D58,'FERC 2021'!$EA$3:$EN$221,5,0),"")</f>
        <v>22354307.510332257</v>
      </c>
      <c r="O58" s="72">
        <f>IFERROR(VLOOKUP($D58,'FERC 2022'!$EA$3:$EN$220,5,0),"")</f>
        <v>23532727.869332269</v>
      </c>
      <c r="P58" s="72">
        <f>IFERROR(VLOOKUP($D58,'FERC 2023'!$EA$3:$EN$221,5,0),"")</f>
        <v>21683295.788124837</v>
      </c>
      <c r="Q58" s="72">
        <f>IFERROR(VLOOKUP($D58,'FERC 2021'!$EA$3:$EN$221,6,0),"")</f>
        <v>66538354.002337478</v>
      </c>
      <c r="R58" s="72">
        <f>IFERROR(VLOOKUP($D58,'FERC 2022'!$EA$3:$EN$220,6,0),"")</f>
        <v>73863256.092376292</v>
      </c>
      <c r="S58" s="72">
        <f>IFERROR(VLOOKUP($D58,'FERC 2023'!$EA$3:$EN$221,6,0),"")</f>
        <v>82210879.981764972</v>
      </c>
      <c r="T58" s="72">
        <f>IFERROR(VLOOKUP($D58,'FERC 2021'!$EA$3:$EN$221,7,0),"")</f>
        <v>5684</v>
      </c>
      <c r="U58" s="72">
        <f>IFERROR(VLOOKUP($D58,'FERC 2022'!$EA$3:$EN$220,7,0),"")</f>
        <v>2980</v>
      </c>
      <c r="V58" s="72">
        <f>IFERROR(VLOOKUP($D58,'FERC 2023'!$EA$3:$EN$221,7,0),"")</f>
        <v>3050</v>
      </c>
      <c r="W58" s="72">
        <f>IFERROR(VLOOKUP($D58,'FERC 2021'!$EA$3:$EN$221,8,0),"")</f>
        <v>481135</v>
      </c>
      <c r="X58" s="72">
        <f>IFERROR(VLOOKUP($D58,'FERC 2022'!$EA$3:$EN$220,8,0),"")</f>
        <v>484589</v>
      </c>
      <c r="Y58" s="72">
        <f>IFERROR(VLOOKUP($D58,'FERC 2023'!$EA$3:$EN$221,8,0),"")</f>
        <v>487082</v>
      </c>
      <c r="Z58" s="72">
        <f>IFERROR(VLOOKUP($D58,'FERC 2021'!$EA$3:$EN$222,9,0),"")</f>
        <v>890707</v>
      </c>
      <c r="AA58" s="72">
        <f>IFERROR(VLOOKUP($D58,'FERC 2022'!$EA$3:$EN$220,9,0),"")</f>
        <v>1271195</v>
      </c>
      <c r="AB58" s="72">
        <f>IFERROR(VLOOKUP($D58,'FERC 2023'!$EA$3:$EN$221,9,0),"")</f>
        <v>401844</v>
      </c>
      <c r="AC58" s="72">
        <f>IFERROR(VLOOKUP($D58,'FERC 2021'!$EA$3:$EN$221,10,0),"")</f>
        <v>15607008</v>
      </c>
      <c r="AD58" s="72">
        <f>IFERROR(VLOOKUP($D58,'FERC 2022'!$EA$3:$EN$220,10,0),"")</f>
        <v>15170142</v>
      </c>
      <c r="AE58" s="72">
        <f>IFERROR(VLOOKUP($D58,'FERC 2023'!$EA$3:$EN$221,10,0),"")</f>
        <v>14776345</v>
      </c>
      <c r="AF58" s="72">
        <f>IFERROR(VLOOKUP($D58,'FERC 2021'!$EA$3:$EN$221,11,0),"")</f>
        <v>16495816.746192893</v>
      </c>
      <c r="AG58" s="72">
        <f>IFERROR(VLOOKUP($D58,'FERC 2022'!$EA$3:$EN$220,11,0),"")</f>
        <v>16440575.989847716</v>
      </c>
      <c r="AH58" s="72">
        <f>IFERROR(VLOOKUP($D58,'FERC 2023'!$EA$3:$EN$221,11,0),"")</f>
        <v>15178175.888324874</v>
      </c>
      <c r="AI58" s="72">
        <f>IFERROR(VLOOKUP($D58,'FERC 2021'!$EA$3:$EN$221,12,0),"")</f>
        <v>84198625</v>
      </c>
      <c r="AJ58" s="72">
        <f>IFERROR(VLOOKUP($D58,'FERC 2022'!$EA$3:$EN$220,12,0),"")</f>
        <v>69296227</v>
      </c>
      <c r="AK58" s="72">
        <f>IFERROR(VLOOKUP($D58,'FERC 2023'!$EA$3:$EN$221,12,0),"")</f>
        <v>72575218</v>
      </c>
      <c r="AL58" s="72">
        <f>VLOOKUP($D58,'FERC 2021'!$EA$3:$EN$221,13,0)</f>
        <v>746721.52</v>
      </c>
      <c r="AM58" s="72">
        <f>VLOOKUP($D58,'FERC 2022'!$EA$3:$EN$220,13,0)</f>
        <v>696838.98199999996</v>
      </c>
      <c r="AN58" s="72">
        <f>VLOOKUP($D58,'FERC 2023'!$EA$3:$EN$221,13,0)</f>
        <v>555273.48</v>
      </c>
      <c r="AO58" s="72">
        <f>IFERROR(VLOOKUP($D58,'FERC 2021'!$EA$3:$EN$221,14,0),"")</f>
        <v>481658</v>
      </c>
      <c r="AP58" s="72">
        <f>IFERROR(VLOOKUP($D58,'FERC 2022'!$EA$3:$EN$220,14,0),"")</f>
        <v>484446</v>
      </c>
      <c r="AQ58" s="72">
        <f>IFERROR(VLOOKUP($D58,'FERC 2023'!$EA$3:$EN$221,14,0),"")</f>
        <v>487327</v>
      </c>
    </row>
    <row r="59" spans="1:43" ht="15.75" customHeight="1">
      <c r="A59" s="7" t="s">
        <v>375</v>
      </c>
      <c r="B59" s="7" t="s">
        <v>376</v>
      </c>
      <c r="C59" s="311">
        <f>'BD DEA'!P59</f>
        <v>1</v>
      </c>
      <c r="D59" s="44" t="str">
        <f t="shared" si="0"/>
        <v>C000553</v>
      </c>
      <c r="E59" s="72">
        <f>IFERROR(VLOOKUP($D59,'FERC 2021'!$EA$3:$EN$221,2,0),"")</f>
        <v>2094408799.7599933</v>
      </c>
      <c r="F59" s="72">
        <f>IFERROR(VLOOKUP($D59,'FERC 2022'!$EA$3:$EN$220,2,0),"")</f>
        <v>2220014891.129899</v>
      </c>
      <c r="G59" s="72">
        <f>IFERROR(VLOOKUP($D59,'FERC 2023'!$EA$3:$EN$221,2,0),"")</f>
        <v>2301750529.3714409</v>
      </c>
      <c r="H59" s="72">
        <f>IFERROR(VLOOKUP($D59,'FERC 2021'!$EA$3:$EN$225,3,0),"")</f>
        <v>68391780.188857228</v>
      </c>
      <c r="I59" s="72">
        <f>IFERROR(VLOOKUP($D59,'FERC 2022'!$EA$3:$EN$229,3,0),"")</f>
        <v>68606377.569740579</v>
      </c>
      <c r="J59" s="72">
        <f>IFERROR(VLOOKUP($D59,'FERC 2023'!$EA$3:$EN$229,3,0),"")</f>
        <v>57041961.738153197</v>
      </c>
      <c r="K59" s="72">
        <f>IFERROR(VLOOKUP($D59,'FERC 2021'!$EA$3:$EN$229,4,0),"")</f>
        <v>53391881.373329885</v>
      </c>
      <c r="L59" s="72">
        <f>IFERROR(VLOOKUP($D59,'FERC 2022'!$EA$3:$EN$220,4,0),"")</f>
        <v>53695928.124046601</v>
      </c>
      <c r="M59" s="72">
        <f>IFERROR(VLOOKUP($D59,'FERC 2023'!$EA$3:$EN$221,4,0),"")</f>
        <v>47161925.184056178</v>
      </c>
      <c r="N59" s="72">
        <f>IFERROR(VLOOKUP($D59,'FERC 2021'!$EA$3:$EN$221,5,0),"")</f>
        <v>37979618.267437719</v>
      </c>
      <c r="O59" s="72">
        <f>IFERROR(VLOOKUP($D59,'FERC 2022'!$EA$3:$EN$220,5,0),"")</f>
        <v>35686046.304104462</v>
      </c>
      <c r="P59" s="72">
        <f>IFERROR(VLOOKUP($D59,'FERC 2023'!$EA$3:$EN$221,5,0),"")</f>
        <v>31849209.888319645</v>
      </c>
      <c r="Q59" s="72">
        <f>IFERROR(VLOOKUP($D59,'FERC 2021'!$EA$3:$EN$221,6,0),"")</f>
        <v>33644640.508482702</v>
      </c>
      <c r="R59" s="72">
        <f>IFERROR(VLOOKUP($D59,'FERC 2022'!$EA$3:$EN$220,6,0),"")</f>
        <v>30011114.530461974</v>
      </c>
      <c r="S59" s="72">
        <f>IFERROR(VLOOKUP($D59,'FERC 2023'!$EA$3:$EN$221,6,0),"")</f>
        <v>30977999.158174086</v>
      </c>
      <c r="T59" s="72">
        <f>IFERROR(VLOOKUP($D59,'FERC 2021'!$EA$3:$EN$221,7,0),"")</f>
        <v>2540</v>
      </c>
      <c r="U59" s="72">
        <f>IFERROR(VLOOKUP($D59,'FERC 2022'!$EA$3:$EN$220,7,0),"")</f>
        <v>2572</v>
      </c>
      <c r="V59" s="72">
        <f>IFERROR(VLOOKUP($D59,'FERC 2023'!$EA$3:$EN$221,7,0),"")</f>
        <v>2639</v>
      </c>
      <c r="W59" s="72">
        <f>IFERROR(VLOOKUP($D59,'FERC 2021'!$EA$3:$EN$221,8,0),"")</f>
        <v>427175</v>
      </c>
      <c r="X59" s="72">
        <f>IFERROR(VLOOKUP($D59,'FERC 2022'!$EA$3:$EN$220,8,0),"")</f>
        <v>430408</v>
      </c>
      <c r="Y59" s="72">
        <f>IFERROR(VLOOKUP($D59,'FERC 2023'!$EA$3:$EN$221,8,0),"")</f>
        <v>434134</v>
      </c>
      <c r="Z59" s="72">
        <f>IFERROR(VLOOKUP($D59,'FERC 2021'!$EA$3:$EN$222,9,0),"")</f>
        <v>500466</v>
      </c>
      <c r="AA59" s="72">
        <f>IFERROR(VLOOKUP($D59,'FERC 2022'!$EA$3:$EN$220,9,0),"")</f>
        <v>552735</v>
      </c>
      <c r="AB59" s="72">
        <f>IFERROR(VLOOKUP($D59,'FERC 2023'!$EA$3:$EN$221,9,0),"")</f>
        <v>485823</v>
      </c>
      <c r="AC59" s="72">
        <f>IFERROR(VLOOKUP($D59,'FERC 2021'!$EA$3:$EN$221,10,0),"")</f>
        <v>11289417</v>
      </c>
      <c r="AD59" s="72">
        <f>IFERROR(VLOOKUP($D59,'FERC 2022'!$EA$3:$EN$220,10,0),"")</f>
        <v>11354702</v>
      </c>
      <c r="AE59" s="72">
        <f>IFERROR(VLOOKUP($D59,'FERC 2023'!$EA$3:$EN$221,10,0),"")</f>
        <v>10858895</v>
      </c>
      <c r="AF59" s="72">
        <f>IFERROR(VLOOKUP($D59,'FERC 2021'!$EA$3:$EN$221,11,0),"")</f>
        <v>11769395.223350253</v>
      </c>
      <c r="AG59" s="72">
        <f>IFERROR(VLOOKUP($D59,'FERC 2022'!$EA$3:$EN$220,11,0),"")</f>
        <v>11880969.05076142</v>
      </c>
      <c r="AH59" s="72">
        <f>IFERROR(VLOOKUP($D59,'FERC 2023'!$EA$3:$EN$221,11,0),"")</f>
        <v>11322857.944162436</v>
      </c>
      <c r="AI59" s="72">
        <f>IFERROR(VLOOKUP($D59,'FERC 2021'!$EA$3:$EN$221,12,0),"")</f>
        <v>33734009.75</v>
      </c>
      <c r="AJ59" s="72">
        <f>IFERROR(VLOOKUP($D59,'FERC 2022'!$EA$3:$EN$220,12,0),"")</f>
        <v>33571824</v>
      </c>
      <c r="AK59" s="72">
        <f>IFERROR(VLOOKUP($D59,'FERC 2023'!$EA$3:$EN$221,12,0),"")</f>
        <v>29904018.188000001</v>
      </c>
      <c r="AL59" s="72">
        <f>VLOOKUP($D59,'FERC 2021'!$EA$3:$EN$221,13,0)</f>
        <v>404961.89999999997</v>
      </c>
      <c r="AM59" s="72">
        <f>VLOOKUP($D59,'FERC 2022'!$EA$3:$EN$220,13,0)</f>
        <v>528541.02399999998</v>
      </c>
      <c r="AN59" s="72">
        <f>VLOOKUP($D59,'FERC 2023'!$EA$3:$EN$221,13,0)</f>
        <v>639479.38199999998</v>
      </c>
      <c r="AO59" s="72">
        <f>IFERROR(VLOOKUP($D59,'FERC 2021'!$EA$3:$EN$221,14,0),"")</f>
        <v>47258</v>
      </c>
      <c r="AP59" s="72">
        <f>IFERROR(VLOOKUP($D59,'FERC 2022'!$EA$3:$EN$220,14,0),"")</f>
        <v>50469</v>
      </c>
      <c r="AQ59" s="72">
        <f>IFERROR(VLOOKUP($D59,'FERC 2023'!$EA$3:$EN$221,14,0),"")</f>
        <v>162912</v>
      </c>
    </row>
    <row r="60" spans="1:43" ht="15.75" customHeight="1">
      <c r="A60" s="7" t="s">
        <v>378</v>
      </c>
      <c r="B60" s="7" t="s">
        <v>379</v>
      </c>
      <c r="C60" s="311">
        <f>'BD DEA'!P60</f>
        <v>1</v>
      </c>
      <c r="D60" s="44" t="str">
        <f t="shared" si="0"/>
        <v>C000555</v>
      </c>
      <c r="E60" s="72">
        <f>IFERROR(VLOOKUP($D60,'FERC 2021'!$EA$3:$EN$221,2,0),"")</f>
        <v>4348034970.5238523</v>
      </c>
      <c r="F60" s="72">
        <f>IFERROR(VLOOKUP($D60,'FERC 2022'!$EA$3:$EN$220,2,0),"")</f>
        <v>4393738010.1654596</v>
      </c>
      <c r="G60" s="72">
        <f>IFERROR(VLOOKUP($D60,'FERC 2023'!$EA$3:$EN$221,2,0),"")</f>
        <v>4455089921.7067919</v>
      </c>
      <c r="H60" s="72">
        <f>IFERROR(VLOOKUP($D60,'FERC 2021'!$EA$3:$EN$225,3,0),"")</f>
        <v>143105899.10758406</v>
      </c>
      <c r="I60" s="72">
        <f>IFERROR(VLOOKUP($D60,'FERC 2022'!$EA$3:$EN$229,3,0),"")</f>
        <v>137788464.26258603</v>
      </c>
      <c r="J60" s="72">
        <f>IFERROR(VLOOKUP($D60,'FERC 2023'!$EA$3:$EN$229,3,0),"")</f>
        <v>103269043.76111773</v>
      </c>
      <c r="K60" s="72">
        <f>IFERROR(VLOOKUP($D60,'FERC 2021'!$EA$3:$EN$229,4,0),"")</f>
        <v>76265865.705615759</v>
      </c>
      <c r="L60" s="72">
        <f>IFERROR(VLOOKUP($D60,'FERC 2022'!$EA$3:$EN$220,4,0),"")</f>
        <v>74921997.572170228</v>
      </c>
      <c r="M60" s="72">
        <f>IFERROR(VLOOKUP($D60,'FERC 2023'!$EA$3:$EN$221,4,0),"")</f>
        <v>57321637.614593938</v>
      </c>
      <c r="N60" s="72">
        <f>IFERROR(VLOOKUP($D60,'FERC 2021'!$EA$3:$EN$221,5,0),"")</f>
        <v>75287525.282346398</v>
      </c>
      <c r="O60" s="72">
        <f>IFERROR(VLOOKUP($D60,'FERC 2022'!$EA$3:$EN$220,5,0),"")</f>
        <v>67342077.985696688</v>
      </c>
      <c r="P60" s="72">
        <f>IFERROR(VLOOKUP($D60,'FERC 2023'!$EA$3:$EN$221,5,0),"")</f>
        <v>59243588.082325533</v>
      </c>
      <c r="Q60" s="72">
        <f>IFERROR(VLOOKUP($D60,'FERC 2021'!$EA$3:$EN$221,6,0),"")</f>
        <v>46659507.972837918</v>
      </c>
      <c r="R60" s="72">
        <f>IFERROR(VLOOKUP($D60,'FERC 2022'!$EA$3:$EN$220,6,0),"")</f>
        <v>40284762.581135318</v>
      </c>
      <c r="S60" s="72">
        <f>IFERROR(VLOOKUP($D60,'FERC 2023'!$EA$3:$EN$221,6,0),"")</f>
        <v>42020482.551980063</v>
      </c>
      <c r="T60" s="72">
        <f>IFERROR(VLOOKUP($D60,'FERC 2021'!$EA$3:$EN$221,7,0),"")</f>
        <v>3824</v>
      </c>
      <c r="U60" s="72">
        <f>IFERROR(VLOOKUP($D60,'FERC 2022'!$EA$3:$EN$220,7,0),"")</f>
        <v>4429</v>
      </c>
      <c r="V60" s="72">
        <f>IFERROR(VLOOKUP($D60,'FERC 2023'!$EA$3:$EN$221,7,0),"")</f>
        <v>3561</v>
      </c>
      <c r="W60" s="72">
        <f>IFERROR(VLOOKUP($D60,'FERC 2021'!$EA$3:$EN$221,8,0),"")</f>
        <v>565168</v>
      </c>
      <c r="X60" s="72">
        <f>IFERROR(VLOOKUP($D60,'FERC 2022'!$EA$3:$EN$220,8,0),"")</f>
        <v>566751</v>
      </c>
      <c r="Y60" s="72">
        <f>IFERROR(VLOOKUP($D60,'FERC 2023'!$EA$3:$EN$221,8,0),"")</f>
        <v>569628</v>
      </c>
      <c r="Z60" s="72">
        <f>IFERROR(VLOOKUP($D60,'FERC 2021'!$EA$3:$EN$222,9,0),"")</f>
        <v>1172464</v>
      </c>
      <c r="AA60" s="72">
        <f>IFERROR(VLOOKUP($D60,'FERC 2022'!$EA$3:$EN$220,9,0),"")</f>
        <v>1178128</v>
      </c>
      <c r="AB60" s="72">
        <f>IFERROR(VLOOKUP($D60,'FERC 2023'!$EA$3:$EN$221,9,0),"")</f>
        <v>1055826</v>
      </c>
      <c r="AC60" s="72">
        <f>IFERROR(VLOOKUP($D60,'FERC 2021'!$EA$3:$EN$221,10,0),"")</f>
        <v>18139175</v>
      </c>
      <c r="AD60" s="72">
        <f>IFERROR(VLOOKUP($D60,'FERC 2022'!$EA$3:$EN$220,10,0),"")</f>
        <v>18456876</v>
      </c>
      <c r="AE60" s="72">
        <f>IFERROR(VLOOKUP($D60,'FERC 2023'!$EA$3:$EN$221,10,0),"")</f>
        <v>17419210</v>
      </c>
      <c r="AF60" s="72">
        <f>IFERROR(VLOOKUP($D60,'FERC 2021'!$EA$3:$EN$221,11,0),"")</f>
        <v>19286136.639593907</v>
      </c>
      <c r="AG60" s="72">
        <f>IFERROR(VLOOKUP($D60,'FERC 2022'!$EA$3:$EN$220,11,0),"")</f>
        <v>19613240.172588833</v>
      </c>
      <c r="AH60" s="72">
        <f>IFERROR(VLOOKUP($D60,'FERC 2023'!$EA$3:$EN$221,11,0),"")</f>
        <v>18460773.299492385</v>
      </c>
      <c r="AI60" s="72">
        <f>IFERROR(VLOOKUP($D60,'FERC 2021'!$EA$3:$EN$221,12,0),"")</f>
        <v>44795215.68</v>
      </c>
      <c r="AJ60" s="72">
        <f>IFERROR(VLOOKUP($D60,'FERC 2022'!$EA$3:$EN$220,12,0),"")</f>
        <v>44506956.030000001</v>
      </c>
      <c r="AK60" s="72">
        <f>IFERROR(VLOOKUP($D60,'FERC 2023'!$EA$3:$EN$221,12,0),"")</f>
        <v>42488552.520000003</v>
      </c>
      <c r="AL60" s="72">
        <f>VLOOKUP($D60,'FERC 2021'!$EA$3:$EN$221,13,0)</f>
        <v>512042.20800000004</v>
      </c>
      <c r="AM60" s="72">
        <f>VLOOKUP($D60,'FERC 2022'!$EA$3:$EN$220,13,0)</f>
        <v>646662.89100000006</v>
      </c>
      <c r="AN60" s="72">
        <f>VLOOKUP($D60,'FERC 2023'!$EA$3:$EN$221,13,0)</f>
        <v>765580.03200000001</v>
      </c>
      <c r="AO60" s="72">
        <f>IFERROR(VLOOKUP($D60,'FERC 2021'!$EA$3:$EN$221,14,0),"")</f>
        <v>40821</v>
      </c>
      <c r="AP60" s="72">
        <f>IFERROR(VLOOKUP($D60,'FERC 2022'!$EA$3:$EN$220,14,0),"")</f>
        <v>42524</v>
      </c>
      <c r="AQ60" s="72">
        <f>IFERROR(VLOOKUP($D60,'FERC 2023'!$EA$3:$EN$221,14,0),"")</f>
        <v>233530</v>
      </c>
    </row>
    <row r="61" spans="1:43" ht="15.75" customHeight="1">
      <c r="A61" s="7" t="s">
        <v>381</v>
      </c>
      <c r="B61" s="7" t="s">
        <v>382</v>
      </c>
      <c r="C61" s="311">
        <f>'BD DEA'!P61</f>
        <v>1</v>
      </c>
      <c r="D61" s="44" t="str">
        <f t="shared" si="0"/>
        <v>C000602</v>
      </c>
      <c r="E61" s="72">
        <f>IFERROR(VLOOKUP($D61,'FERC 2021'!$EA$3:$EN$221,2,0),"")</f>
        <v>3142564188.012713</v>
      </c>
      <c r="F61" s="72">
        <f>IFERROR(VLOOKUP($D61,'FERC 2022'!$EA$3:$EN$220,2,0),"")</f>
        <v>3215147674.0714397</v>
      </c>
      <c r="G61" s="72">
        <f>IFERROR(VLOOKUP($D61,'FERC 2023'!$EA$3:$EN$221,2,0),"")</f>
        <v>3372200761.897161</v>
      </c>
      <c r="H61" s="72">
        <f>IFERROR(VLOOKUP($D61,'FERC 2021'!$EA$3:$EN$225,3,0),"")</f>
        <v>100782479.50971948</v>
      </c>
      <c r="I61" s="72">
        <f>IFERROR(VLOOKUP($D61,'FERC 2022'!$EA$3:$EN$229,3,0),"")</f>
        <v>107207193.99084415</v>
      </c>
      <c r="J61" s="72">
        <f>IFERROR(VLOOKUP($D61,'FERC 2023'!$EA$3:$EN$229,3,0),"")</f>
        <v>139412008.51244515</v>
      </c>
      <c r="K61" s="72">
        <f>IFERROR(VLOOKUP($D61,'FERC 2021'!$EA$3:$EN$229,4,0),"")</f>
        <v>55607913.290185407</v>
      </c>
      <c r="L61" s="72">
        <f>IFERROR(VLOOKUP($D61,'FERC 2022'!$EA$3:$EN$220,4,0),"")</f>
        <v>59739295.691368356</v>
      </c>
      <c r="M61" s="72">
        <f>IFERROR(VLOOKUP($D61,'FERC 2023'!$EA$3:$EN$221,4,0),"")</f>
        <v>64645012.716810331</v>
      </c>
      <c r="N61" s="72">
        <f>IFERROR(VLOOKUP($D61,'FERC 2021'!$EA$3:$EN$221,5,0),"")</f>
        <v>31123145.243449416</v>
      </c>
      <c r="O61" s="72">
        <f>IFERROR(VLOOKUP($D61,'FERC 2022'!$EA$3:$EN$220,5,0),"")</f>
        <v>42101289.452041723</v>
      </c>
      <c r="P61" s="72">
        <f>IFERROR(VLOOKUP($D61,'FERC 2023'!$EA$3:$EN$221,5,0),"")</f>
        <v>72132070.622058868</v>
      </c>
      <c r="Q61" s="72">
        <f>IFERROR(VLOOKUP($D61,'FERC 2021'!$EA$3:$EN$221,6,0),"")</f>
        <v>39605527.023371279</v>
      </c>
      <c r="R61" s="72">
        <f>IFERROR(VLOOKUP($D61,'FERC 2022'!$EA$3:$EN$220,6,0),"")</f>
        <v>42112625.63443774</v>
      </c>
      <c r="S61" s="72">
        <f>IFERROR(VLOOKUP($D61,'FERC 2023'!$EA$3:$EN$221,6,0),"")</f>
        <v>51893422.86376258</v>
      </c>
      <c r="T61" s="72">
        <f>IFERROR(VLOOKUP($D61,'FERC 2021'!$EA$3:$EN$221,7,0),"")</f>
        <v>3317</v>
      </c>
      <c r="U61" s="72">
        <f>IFERROR(VLOOKUP($D61,'FERC 2022'!$EA$3:$EN$220,7,0),"")</f>
        <v>3348</v>
      </c>
      <c r="V61" s="72">
        <f>IFERROR(VLOOKUP($D61,'FERC 2023'!$EA$3:$EN$221,7,0),"")</f>
        <v>3241</v>
      </c>
      <c r="W61" s="72">
        <f>IFERROR(VLOOKUP($D61,'FERC 2021'!$EA$3:$EN$221,8,0),"")</f>
        <v>534193</v>
      </c>
      <c r="X61" s="72">
        <f>IFERROR(VLOOKUP($D61,'FERC 2022'!$EA$3:$EN$220,8,0),"")</f>
        <v>536318</v>
      </c>
      <c r="Y61" s="72">
        <f>IFERROR(VLOOKUP($D61,'FERC 2023'!$EA$3:$EN$221,8,0),"")</f>
        <v>539128</v>
      </c>
      <c r="Z61" s="72">
        <f>IFERROR(VLOOKUP($D61,'FERC 2021'!$EA$3:$EN$222,9,0),"")</f>
        <v>133745</v>
      </c>
      <c r="AA61" s="72">
        <f>IFERROR(VLOOKUP($D61,'FERC 2022'!$EA$3:$EN$220,9,0),"")</f>
        <v>169068</v>
      </c>
      <c r="AB61" s="72">
        <f>IFERROR(VLOOKUP($D61,'FERC 2023'!$EA$3:$EN$221,9,0),"")</f>
        <v>93237</v>
      </c>
      <c r="AC61" s="72">
        <f>IFERROR(VLOOKUP($D61,'FERC 2021'!$EA$3:$EN$221,10,0),"")</f>
        <v>3720682</v>
      </c>
      <c r="AD61" s="72">
        <f>IFERROR(VLOOKUP($D61,'FERC 2022'!$EA$3:$EN$220,10,0),"")</f>
        <v>4101251</v>
      </c>
      <c r="AE61" s="72">
        <f>IFERROR(VLOOKUP($D61,'FERC 2023'!$EA$3:$EN$221,10,0),"")</f>
        <v>2672415</v>
      </c>
      <c r="AF61" s="72">
        <f>IFERROR(VLOOKUP($D61,'FERC 2021'!$EA$3:$EN$221,11,0),"")</f>
        <v>-366885.45685279189</v>
      </c>
      <c r="AG61" s="72">
        <f>IFERROR(VLOOKUP($D61,'FERC 2022'!$EA$3:$EN$220,11,0),"")</f>
        <v>4262075.3045685282</v>
      </c>
      <c r="AH61" s="72">
        <f>IFERROR(VLOOKUP($D61,'FERC 2023'!$EA$3:$EN$221,11,0),"")</f>
        <v>2758502.3604060914</v>
      </c>
      <c r="AI61" s="72">
        <f>IFERROR(VLOOKUP($D61,'FERC 2021'!$EA$3:$EN$221,12,0),"")</f>
        <v>57687502.07</v>
      </c>
      <c r="AJ61" s="72">
        <f>IFERROR(VLOOKUP($D61,'FERC 2022'!$EA$3:$EN$220,12,0),"")</f>
        <v>58378214.299999997</v>
      </c>
      <c r="AK61" s="72">
        <f>IFERROR(VLOOKUP($D61,'FERC 2023'!$EA$3:$EN$221,12,0),"")</f>
        <v>51864113.600000001</v>
      </c>
      <c r="AL61" s="72">
        <f>VLOOKUP($D61,'FERC 2021'!$EA$3:$EN$221,13,0)</f>
        <v>528851.06999999995</v>
      </c>
      <c r="AM61" s="72">
        <f>VLOOKUP($D61,'FERC 2022'!$EA$3:$EN$220,13,0)</f>
        <v>563133.9</v>
      </c>
      <c r="AN61" s="72">
        <f>VLOOKUP($D61,'FERC 2023'!$EA$3:$EN$221,13,0)</f>
        <v>533736.72</v>
      </c>
      <c r="AO61" s="72">
        <f>IFERROR(VLOOKUP($D61,'FERC 2021'!$EA$3:$EN$221,14,0),"")</f>
        <v>342852</v>
      </c>
      <c r="AP61" s="72">
        <f>IFERROR(VLOOKUP($D61,'FERC 2022'!$EA$3:$EN$220,14,0),"")</f>
        <v>421500</v>
      </c>
      <c r="AQ61" s="72">
        <f>IFERROR(VLOOKUP($D61,'FERC 2023'!$EA$3:$EN$221,14,0),"")</f>
        <v>488889</v>
      </c>
    </row>
    <row r="62" spans="1:43" ht="15.75" hidden="1" customHeight="1">
      <c r="A62" s="7" t="s">
        <v>384</v>
      </c>
      <c r="B62" s="7" t="s">
        <v>385</v>
      </c>
      <c r="C62" s="311" t="str">
        <f>'BD DEA'!P62</f>
        <v/>
      </c>
      <c r="D62" s="44" t="str">
        <f t="shared" si="0"/>
        <v>C000615</v>
      </c>
      <c r="E62" s="72" t="str">
        <f>IFERROR(VLOOKUP($D62,'FERC 2021'!$EA$3:$EN$221,2,0),"")</f>
        <v/>
      </c>
      <c r="F62" s="72" t="str">
        <f>IFERROR(VLOOKUP($D62,'FERC 2022'!$EA$3:$EN$220,2,0),"")</f>
        <v/>
      </c>
      <c r="G62" s="72" t="str">
        <f>IFERROR(VLOOKUP($D62,'FERC 2023'!$EA$3:$EN$221,2,0),"")</f>
        <v/>
      </c>
      <c r="H62" s="72" t="str">
        <f>IFERROR(VLOOKUP($D62,'FERC 2021'!$EA$3:$EN$225,3,0),"")</f>
        <v/>
      </c>
      <c r="I62" s="72" t="str">
        <f>IFERROR(VLOOKUP($D62,'FERC 2022'!$EA$3:$EN$229,3,0),"")</f>
        <v/>
      </c>
      <c r="J62" s="72" t="str">
        <f>IFERROR(VLOOKUP($D62,'FERC 2023'!$EA$3:$EN$229,3,0),"")</f>
        <v/>
      </c>
      <c r="K62" s="72" t="str">
        <f>IFERROR(VLOOKUP($D62,'FERC 2021'!$EA$3:$EN$229,4,0),"")</f>
        <v/>
      </c>
      <c r="L62" s="72" t="str">
        <f>IFERROR(VLOOKUP($D62,'FERC 2022'!$EA$3:$EN$220,4,0),"")</f>
        <v/>
      </c>
      <c r="M62" s="72" t="str">
        <f>IFERROR(VLOOKUP($D62,'FERC 2023'!$EA$3:$EN$221,4,0),"")</f>
        <v/>
      </c>
      <c r="N62" s="72" t="str">
        <f>IFERROR(VLOOKUP($D62,'FERC 2021'!$EA$3:$EN$221,5,0),"")</f>
        <v/>
      </c>
      <c r="O62" s="72" t="str">
        <f>IFERROR(VLOOKUP($D62,'FERC 2022'!$EA$3:$EN$220,5,0),"")</f>
        <v/>
      </c>
      <c r="P62" s="72" t="str">
        <f>IFERROR(VLOOKUP($D62,'FERC 2023'!$EA$3:$EN$221,5,0),"")</f>
        <v/>
      </c>
      <c r="Q62" s="72" t="str">
        <f>IFERROR(VLOOKUP($D62,'FERC 2021'!$EA$3:$EN$221,6,0),"")</f>
        <v/>
      </c>
      <c r="R62" s="72" t="str">
        <f>IFERROR(VLOOKUP($D62,'FERC 2022'!$EA$3:$EN$220,6,0),"")</f>
        <v/>
      </c>
      <c r="S62" s="72" t="str">
        <f>IFERROR(VLOOKUP($D62,'FERC 2023'!$EA$3:$EN$221,6,0),"")</f>
        <v/>
      </c>
      <c r="T62" s="72" t="str">
        <f>IFERROR(VLOOKUP($D62,'FERC 2021'!$EA$3:$EN$221,7,0),"")</f>
        <v/>
      </c>
      <c r="U62" s="72" t="str">
        <f>IFERROR(VLOOKUP($D62,'FERC 2022'!$EA$3:$EN$220,7,0),"")</f>
        <v/>
      </c>
      <c r="V62" s="72" t="str">
        <f>IFERROR(VLOOKUP($D62,'FERC 2023'!$EA$3:$EN$221,7,0),"")</f>
        <v/>
      </c>
      <c r="W62" s="72" t="str">
        <f>IFERROR(VLOOKUP($D62,'FERC 2021'!$EA$3:$EN$221,8,0),"")</f>
        <v/>
      </c>
      <c r="X62" s="72" t="str">
        <f>IFERROR(VLOOKUP($D62,'FERC 2022'!$EA$3:$EN$220,8,0),"")</f>
        <v/>
      </c>
      <c r="Y62" s="72" t="str">
        <f>IFERROR(VLOOKUP($D62,'FERC 2023'!$EA$3:$EN$221,8,0),"")</f>
        <v/>
      </c>
      <c r="Z62" s="72" t="str">
        <f>IFERROR(VLOOKUP($D62,'FERC 2021'!$EA$3:$EN$222,9,0),"")</f>
        <v/>
      </c>
      <c r="AA62" s="72" t="str">
        <f>IFERROR(VLOOKUP($D62,'FERC 2022'!$EA$3:$EN$220,9,0),"")</f>
        <v/>
      </c>
      <c r="AB62" s="72" t="str">
        <f>IFERROR(VLOOKUP($D62,'FERC 2023'!$EA$3:$EN$221,9,0),"")</f>
        <v/>
      </c>
      <c r="AC62" s="72" t="str">
        <f>IFERROR(VLOOKUP($D62,'FERC 2021'!$EA$3:$EN$221,10,0),"")</f>
        <v/>
      </c>
      <c r="AD62" s="72" t="str">
        <f>IFERROR(VLOOKUP($D62,'FERC 2022'!$EA$3:$EN$220,10,0),"")</f>
        <v/>
      </c>
      <c r="AE62" s="72" t="str">
        <f>IFERROR(VLOOKUP($D62,'FERC 2023'!$EA$3:$EN$221,10,0),"")</f>
        <v/>
      </c>
      <c r="AF62" s="72" t="str">
        <f>IFERROR(VLOOKUP($D62,'FERC 2021'!$EA$3:$EN$221,11,0),"")</f>
        <v/>
      </c>
      <c r="AG62" s="72" t="str">
        <f>IFERROR(VLOOKUP($D62,'FERC 2022'!$EA$3:$EN$220,11,0),"")</f>
        <v/>
      </c>
      <c r="AH62" s="72" t="str">
        <f>IFERROR(VLOOKUP($D62,'FERC 2023'!$EA$3:$EN$221,11,0),"")</f>
        <v/>
      </c>
      <c r="AI62" s="72" t="str">
        <f>IFERROR(VLOOKUP($D62,'FERC 2021'!$EA$3:$EN$221,12,0),"")</f>
        <v/>
      </c>
      <c r="AJ62" s="72" t="str">
        <f>IFERROR(VLOOKUP($D62,'FERC 2022'!$EA$3:$EN$220,12,0),"")</f>
        <v/>
      </c>
      <c r="AK62" s="72" t="str">
        <f>IFERROR(VLOOKUP($D62,'FERC 2023'!$EA$3:$EN$221,12,0),"")</f>
        <v/>
      </c>
      <c r="AL62" s="72" t="str">
        <f>VLOOKUP($D62,'FERC 2021'!$EA$3:$EN$221,13,0)</f>
        <v/>
      </c>
      <c r="AM62" s="72" t="str">
        <f>VLOOKUP($D62,'FERC 2022'!$EA$3:$EN$220,13,0)</f>
        <v/>
      </c>
      <c r="AN62" s="72" t="str">
        <f>VLOOKUP($D62,'FERC 2023'!$EA$3:$EN$221,13,0)</f>
        <v/>
      </c>
      <c r="AO62" s="72" t="str">
        <f>IFERROR(VLOOKUP($D62,'FERC 2021'!$EA$3:$EN$221,14,0),"")</f>
        <v/>
      </c>
      <c r="AP62" s="72" t="str">
        <f>IFERROR(VLOOKUP($D62,'FERC 2022'!$EA$3:$EN$220,14,0),"")</f>
        <v/>
      </c>
      <c r="AQ62" s="72" t="str">
        <f>IFERROR(VLOOKUP($D62,'FERC 2023'!$EA$3:$EN$221,14,0),"")</f>
        <v/>
      </c>
    </row>
    <row r="63" spans="1:43" ht="15.75" hidden="1" customHeight="1">
      <c r="A63" s="7" t="s">
        <v>387</v>
      </c>
      <c r="B63" s="7" t="s">
        <v>388</v>
      </c>
      <c r="C63" s="311" t="str">
        <f>'BD DEA'!P63</f>
        <v/>
      </c>
      <c r="D63" s="44" t="str">
        <f t="shared" si="0"/>
        <v>C000616</v>
      </c>
      <c r="E63" s="72" t="str">
        <f>IFERROR(VLOOKUP($D63,'FERC 2021'!$EA$3:$EN$221,2,0),"")</f>
        <v/>
      </c>
      <c r="F63" s="72" t="str">
        <f>IFERROR(VLOOKUP($D63,'FERC 2022'!$EA$3:$EN$220,2,0),"")</f>
        <v/>
      </c>
      <c r="G63" s="72" t="str">
        <f>IFERROR(VLOOKUP($D63,'FERC 2023'!$EA$3:$EN$221,2,0),"")</f>
        <v/>
      </c>
      <c r="H63" s="72" t="str">
        <f>IFERROR(VLOOKUP($D63,'FERC 2021'!$EA$3:$EN$225,3,0),"")</f>
        <v/>
      </c>
      <c r="I63" s="72" t="str">
        <f>IFERROR(VLOOKUP($D63,'FERC 2022'!$EA$3:$EN$229,3,0),"")</f>
        <v/>
      </c>
      <c r="J63" s="72" t="str">
        <f>IFERROR(VLOOKUP($D63,'FERC 2023'!$EA$3:$EN$229,3,0),"")</f>
        <v/>
      </c>
      <c r="K63" s="72" t="str">
        <f>IFERROR(VLOOKUP($D63,'FERC 2021'!$EA$3:$EN$229,4,0),"")</f>
        <v/>
      </c>
      <c r="L63" s="72" t="str">
        <f>IFERROR(VLOOKUP($D63,'FERC 2022'!$EA$3:$EN$220,4,0),"")</f>
        <v/>
      </c>
      <c r="M63" s="72" t="str">
        <f>IFERROR(VLOOKUP($D63,'FERC 2023'!$EA$3:$EN$221,4,0),"")</f>
        <v/>
      </c>
      <c r="N63" s="72" t="str">
        <f>IFERROR(VLOOKUP($D63,'FERC 2021'!$EA$3:$EN$221,5,0),"")</f>
        <v/>
      </c>
      <c r="O63" s="72" t="str">
        <f>IFERROR(VLOOKUP($D63,'FERC 2022'!$EA$3:$EN$220,5,0),"")</f>
        <v/>
      </c>
      <c r="P63" s="72" t="str">
        <f>IFERROR(VLOOKUP($D63,'FERC 2023'!$EA$3:$EN$221,5,0),"")</f>
        <v/>
      </c>
      <c r="Q63" s="72" t="str">
        <f>IFERROR(VLOOKUP($D63,'FERC 2021'!$EA$3:$EN$221,6,0),"")</f>
        <v/>
      </c>
      <c r="R63" s="72" t="str">
        <f>IFERROR(VLOOKUP($D63,'FERC 2022'!$EA$3:$EN$220,6,0),"")</f>
        <v/>
      </c>
      <c r="S63" s="72" t="str">
        <f>IFERROR(VLOOKUP($D63,'FERC 2023'!$EA$3:$EN$221,6,0),"")</f>
        <v/>
      </c>
      <c r="T63" s="72" t="str">
        <f>IFERROR(VLOOKUP($D63,'FERC 2021'!$EA$3:$EN$221,7,0),"")</f>
        <v/>
      </c>
      <c r="U63" s="72" t="str">
        <f>IFERROR(VLOOKUP($D63,'FERC 2022'!$EA$3:$EN$220,7,0),"")</f>
        <v/>
      </c>
      <c r="V63" s="72" t="str">
        <f>IFERROR(VLOOKUP($D63,'FERC 2023'!$EA$3:$EN$221,7,0),"")</f>
        <v/>
      </c>
      <c r="W63" s="72" t="str">
        <f>IFERROR(VLOOKUP($D63,'FERC 2021'!$EA$3:$EN$221,8,0),"")</f>
        <v/>
      </c>
      <c r="X63" s="72" t="str">
        <f>IFERROR(VLOOKUP($D63,'FERC 2022'!$EA$3:$EN$220,8,0),"")</f>
        <v/>
      </c>
      <c r="Y63" s="72" t="str">
        <f>IFERROR(VLOOKUP($D63,'FERC 2023'!$EA$3:$EN$221,8,0),"")</f>
        <v/>
      </c>
      <c r="Z63" s="72" t="str">
        <f>IFERROR(VLOOKUP($D63,'FERC 2021'!$EA$3:$EN$222,9,0),"")</f>
        <v/>
      </c>
      <c r="AA63" s="72" t="str">
        <f>IFERROR(VLOOKUP($D63,'FERC 2022'!$EA$3:$EN$220,9,0),"")</f>
        <v/>
      </c>
      <c r="AB63" s="72" t="str">
        <f>IFERROR(VLOOKUP($D63,'FERC 2023'!$EA$3:$EN$221,9,0),"")</f>
        <v/>
      </c>
      <c r="AC63" s="72" t="str">
        <f>IFERROR(VLOOKUP($D63,'FERC 2021'!$EA$3:$EN$221,10,0),"")</f>
        <v/>
      </c>
      <c r="AD63" s="72" t="str">
        <f>IFERROR(VLOOKUP($D63,'FERC 2022'!$EA$3:$EN$220,10,0),"")</f>
        <v/>
      </c>
      <c r="AE63" s="72" t="str">
        <f>IFERROR(VLOOKUP($D63,'FERC 2023'!$EA$3:$EN$221,10,0),"")</f>
        <v/>
      </c>
      <c r="AF63" s="72" t="str">
        <f>IFERROR(VLOOKUP($D63,'FERC 2021'!$EA$3:$EN$221,11,0),"")</f>
        <v/>
      </c>
      <c r="AG63" s="72" t="str">
        <f>IFERROR(VLOOKUP($D63,'FERC 2022'!$EA$3:$EN$220,11,0),"")</f>
        <v/>
      </c>
      <c r="AH63" s="72" t="str">
        <f>IFERROR(VLOOKUP($D63,'FERC 2023'!$EA$3:$EN$221,11,0),"")</f>
        <v/>
      </c>
      <c r="AI63" s="72" t="str">
        <f>IFERROR(VLOOKUP($D63,'FERC 2021'!$EA$3:$EN$221,12,0),"")</f>
        <v/>
      </c>
      <c r="AJ63" s="72" t="str">
        <f>IFERROR(VLOOKUP($D63,'FERC 2022'!$EA$3:$EN$220,12,0),"")</f>
        <v/>
      </c>
      <c r="AK63" s="72" t="str">
        <f>IFERROR(VLOOKUP($D63,'FERC 2023'!$EA$3:$EN$221,12,0),"")</f>
        <v/>
      </c>
      <c r="AL63" s="72" t="str">
        <f>VLOOKUP($D63,'FERC 2021'!$EA$3:$EN$221,13,0)</f>
        <v/>
      </c>
      <c r="AM63" s="72" t="str">
        <f>VLOOKUP($D63,'FERC 2022'!$EA$3:$EN$220,13,0)</f>
        <v/>
      </c>
      <c r="AN63" s="72" t="str">
        <f>VLOOKUP($D63,'FERC 2023'!$EA$3:$EN$221,13,0)</f>
        <v/>
      </c>
      <c r="AO63" s="72" t="str">
        <f>IFERROR(VLOOKUP($D63,'FERC 2021'!$EA$3:$EN$221,14,0),"")</f>
        <v/>
      </c>
      <c r="AP63" s="72" t="str">
        <f>IFERROR(VLOOKUP($D63,'FERC 2022'!$EA$3:$EN$220,14,0),"")</f>
        <v/>
      </c>
      <c r="AQ63" s="72" t="str">
        <f>IFERROR(VLOOKUP($D63,'FERC 2023'!$EA$3:$EN$221,14,0),"")</f>
        <v/>
      </c>
    </row>
    <row r="64" spans="1:43" ht="15.75" hidden="1" customHeight="1">
      <c r="A64" s="7" t="s">
        <v>390</v>
      </c>
      <c r="B64" s="7" t="s">
        <v>391</v>
      </c>
      <c r="C64" s="311" t="str">
        <f>'BD DEA'!P64</f>
        <v/>
      </c>
      <c r="D64" s="44" t="str">
        <f t="shared" si="0"/>
        <v>C000617</v>
      </c>
      <c r="E64" s="72">
        <f>IFERROR(VLOOKUP($D64,'FERC 2021'!$EA$3:$EN$221,2,0),"")</f>
        <v>2637812397.7866955</v>
      </c>
      <c r="F64" s="72">
        <f>IFERROR(VLOOKUP($D64,'FERC 2022'!$EA$3:$EN$220,2,0),"")</f>
        <v>2141147088.4743643</v>
      </c>
      <c r="G64" s="72">
        <f>IFERROR(VLOOKUP($D64,'FERC 2023'!$EA$3:$EN$221,2,0),"")</f>
        <v>3023108524.1473746</v>
      </c>
      <c r="H64" s="72">
        <f>IFERROR(VLOOKUP($D64,'FERC 2021'!$EA$3:$EN$225,3,0),"")</f>
        <v>68070705.807886004</v>
      </c>
      <c r="I64" s="72">
        <f>IFERROR(VLOOKUP($D64,'FERC 2022'!$EA$3:$EN$229,3,0),"")</f>
        <v>83906820.281138211</v>
      </c>
      <c r="J64" s="72">
        <f>IFERROR(VLOOKUP($D64,'FERC 2023'!$EA$3:$EN$229,3,0),"")</f>
        <v>106664966.55017239</v>
      </c>
      <c r="K64" s="72">
        <f>IFERROR(VLOOKUP($D64,'FERC 2021'!$EA$3:$EN$229,4,0),"")</f>
        <v>118501489.46894631</v>
      </c>
      <c r="L64" s="72">
        <f>IFERROR(VLOOKUP($D64,'FERC 2022'!$EA$3:$EN$220,4,0),"")</f>
        <v>112423506.73932493</v>
      </c>
      <c r="M64" s="72">
        <f>IFERROR(VLOOKUP($D64,'FERC 2023'!$EA$3:$EN$221,4,0),"")</f>
        <v>111339885.15200017</v>
      </c>
      <c r="N64" s="72">
        <f>IFERROR(VLOOKUP($D64,'FERC 2021'!$EA$3:$EN$221,5,0),"")</f>
        <v>110221679.92848364</v>
      </c>
      <c r="O64" s="72">
        <f>IFERROR(VLOOKUP($D64,'FERC 2022'!$EA$3:$EN$220,5,0),"")</f>
        <v>128139515.50573638</v>
      </c>
      <c r="P64" s="72">
        <f>IFERROR(VLOOKUP($D64,'FERC 2023'!$EA$3:$EN$221,5,0),"")</f>
        <v>139851503.36154675</v>
      </c>
      <c r="Q64" s="72">
        <f>IFERROR(VLOOKUP($D64,'FERC 2021'!$EA$3:$EN$221,6,0),"")</f>
        <v>34396555.521611921</v>
      </c>
      <c r="R64" s="72">
        <f>IFERROR(VLOOKUP($D64,'FERC 2022'!$EA$3:$EN$220,6,0),"")</f>
        <v>45486124.088585384</v>
      </c>
      <c r="S64" s="72">
        <f>IFERROR(VLOOKUP($D64,'FERC 2023'!$EA$3:$EN$221,6,0),"")</f>
        <v>47724990.064526938</v>
      </c>
      <c r="T64" s="72">
        <f>IFERROR(VLOOKUP($D64,'FERC 2021'!$EA$3:$EN$221,7,0),"")</f>
        <v>1561</v>
      </c>
      <c r="U64" s="72">
        <f>IFERROR(VLOOKUP($D64,'FERC 2022'!$EA$3:$EN$220,7,0),"")</f>
        <v>1532</v>
      </c>
      <c r="V64" s="72">
        <f>IFERROR(VLOOKUP($D64,'FERC 2023'!$EA$3:$EN$221,7,0),"")</f>
        <v>1502</v>
      </c>
      <c r="W64" s="72">
        <f>IFERROR(VLOOKUP($D64,'FERC 2021'!$EA$3:$EN$221,8,0),"")</f>
        <v>388685</v>
      </c>
      <c r="X64" s="72">
        <f>IFERROR(VLOOKUP($D64,'FERC 2022'!$EA$3:$EN$220,8,0),"")</f>
        <v>390454</v>
      </c>
      <c r="Y64" s="72">
        <f>IFERROR(VLOOKUP($D64,'FERC 2023'!$EA$3:$EN$221,8,0),"")</f>
        <v>391614</v>
      </c>
      <c r="Z64" s="72">
        <f>IFERROR(VLOOKUP($D64,'FERC 2021'!$EA$3:$EN$222,9,0),"")</f>
        <v>467474</v>
      </c>
      <c r="AA64" s="72">
        <f>IFERROR(VLOOKUP($D64,'FERC 2022'!$EA$3:$EN$220,9,0),"")</f>
        <v>393990</v>
      </c>
      <c r="AB64" s="72">
        <f>IFERROR(VLOOKUP($D64,'FERC 2023'!$EA$3:$EN$221,9,0),"")</f>
        <v>261475</v>
      </c>
      <c r="AC64" s="72">
        <f>IFERROR(VLOOKUP($D64,'FERC 2021'!$EA$3:$EN$221,10,0),"")</f>
        <v>6983377</v>
      </c>
      <c r="AD64" s="72">
        <f>IFERROR(VLOOKUP($D64,'FERC 2022'!$EA$3:$EN$220,10,0),"")</f>
        <v>7024457</v>
      </c>
      <c r="AE64" s="72">
        <f>IFERROR(VLOOKUP($D64,'FERC 2023'!$EA$3:$EN$221,10,0),"")</f>
        <v>6925428</v>
      </c>
      <c r="AF64" s="72">
        <f>IFERROR(VLOOKUP($D64,'FERC 2021'!$EA$3:$EN$221,11,0),"")</f>
        <v>7447788.2284263959</v>
      </c>
      <c r="AG64" s="72">
        <f>IFERROR(VLOOKUP($D64,'FERC 2022'!$EA$3:$EN$220,11,0),"")</f>
        <v>7414678.0862944163</v>
      </c>
      <c r="AH64" s="72">
        <f>IFERROR(VLOOKUP($D64,'FERC 2023'!$EA$3:$EN$221,11,0),"")</f>
        <v>7182831.8020304572</v>
      </c>
      <c r="AI64" s="72">
        <f>IFERROR(VLOOKUP($D64,'FERC 2021'!$EA$3:$EN$221,12,0),"")</f>
        <v>47341833</v>
      </c>
      <c r="AJ64" s="72">
        <f>IFERROR(VLOOKUP($D64,'FERC 2022'!$EA$3:$EN$220,12,0),"")</f>
        <v>31740005.660000004</v>
      </c>
      <c r="AK64" s="72">
        <f>IFERROR(VLOOKUP($D64,'FERC 2023'!$EA$3:$EN$221,12,0),"")</f>
        <v>28482086.220000003</v>
      </c>
      <c r="AL64" s="72">
        <f>VLOOKUP($D64,'FERC 2021'!$EA$3:$EN$221,13,0)</f>
        <v>532498.45000000007</v>
      </c>
      <c r="AM64" s="72">
        <f>VLOOKUP($D64,'FERC 2022'!$EA$3:$EN$220,13,0)</f>
        <v>460735.72</v>
      </c>
      <c r="AN64" s="72">
        <f>VLOOKUP($D64,'FERC 2023'!$EA$3:$EN$221,13,0)</f>
        <v>328955.76</v>
      </c>
      <c r="AO64" s="72">
        <f>IFERROR(VLOOKUP($D64,'FERC 2021'!$EA$3:$EN$221,14,0),"")</f>
        <v>677</v>
      </c>
      <c r="AP64" s="72">
        <f>IFERROR(VLOOKUP($D64,'FERC 2022'!$EA$3:$EN$220,14,0),"")</f>
        <v>114</v>
      </c>
      <c r="AQ64" s="72">
        <f>IFERROR(VLOOKUP($D64,'FERC 2023'!$EA$3:$EN$221,14,0),"")</f>
        <v>146762</v>
      </c>
    </row>
    <row r="65" spans="1:43" ht="15.75" hidden="1" customHeight="1">
      <c r="A65" s="7" t="s">
        <v>393</v>
      </c>
      <c r="B65" s="7" t="s">
        <v>394</v>
      </c>
      <c r="C65" s="311" t="str">
        <f>'BD DEA'!P65</f>
        <v/>
      </c>
      <c r="D65" s="44" t="str">
        <f t="shared" si="0"/>
        <v>C000618</v>
      </c>
      <c r="E65" s="72">
        <f>IFERROR(VLOOKUP($D65,'FERC 2021'!$EA$3:$EN$221,2,0),"")</f>
        <v>5328549395.3398952</v>
      </c>
      <c r="F65" s="72">
        <f>IFERROR(VLOOKUP($D65,'FERC 2022'!$EA$3:$EN$220,2,0),"")</f>
        <v>5621480505.8085289</v>
      </c>
      <c r="G65" s="72">
        <f>IFERROR(VLOOKUP($D65,'FERC 2023'!$EA$3:$EN$221,2,0),"")</f>
        <v>5904723304.7387342</v>
      </c>
      <c r="H65" s="72">
        <f>IFERROR(VLOOKUP($D65,'FERC 2021'!$EA$3:$EN$225,3,0),"")</f>
        <v>209897281.87390041</v>
      </c>
      <c r="I65" s="72">
        <f>IFERROR(VLOOKUP($D65,'FERC 2022'!$EA$3:$EN$229,3,0),"")</f>
        <v>228430561.48358425</v>
      </c>
      <c r="J65" s="72">
        <f>IFERROR(VLOOKUP($D65,'FERC 2023'!$EA$3:$EN$229,3,0),"")</f>
        <v>264214831.11305287</v>
      </c>
      <c r="K65" s="72">
        <f>IFERROR(VLOOKUP($D65,'FERC 2021'!$EA$3:$EN$229,4,0),"")</f>
        <v>311113352.82747805</v>
      </c>
      <c r="L65" s="72">
        <f>IFERROR(VLOOKUP($D65,'FERC 2022'!$EA$3:$EN$220,4,0),"")</f>
        <v>282110938.92505515</v>
      </c>
      <c r="M65" s="72">
        <f>IFERROR(VLOOKUP($D65,'FERC 2023'!$EA$3:$EN$221,4,0),"")</f>
        <v>321750130.7581417</v>
      </c>
      <c r="N65" s="72">
        <f>IFERROR(VLOOKUP($D65,'FERC 2021'!$EA$3:$EN$221,5,0),"")</f>
        <v>224513917.4887155</v>
      </c>
      <c r="O65" s="72">
        <f>IFERROR(VLOOKUP($D65,'FERC 2022'!$EA$3:$EN$220,5,0),"")</f>
        <v>234058009.81176141</v>
      </c>
      <c r="P65" s="72">
        <f>IFERROR(VLOOKUP($D65,'FERC 2023'!$EA$3:$EN$221,5,0),"")</f>
        <v>271211731.14595884</v>
      </c>
      <c r="Q65" s="72">
        <f>IFERROR(VLOOKUP($D65,'FERC 2021'!$EA$3:$EN$221,6,0),"")</f>
        <v>139746062.02339557</v>
      </c>
      <c r="R65" s="72">
        <f>IFERROR(VLOOKUP($D65,'FERC 2022'!$EA$3:$EN$220,6,0),"")</f>
        <v>130583869.77701458</v>
      </c>
      <c r="S65" s="72">
        <f>IFERROR(VLOOKUP($D65,'FERC 2023'!$EA$3:$EN$221,6,0),"")</f>
        <v>96830396.421936423</v>
      </c>
      <c r="T65" s="72">
        <f>IFERROR(VLOOKUP($D65,'FERC 2021'!$EA$3:$EN$221,7,0),"")</f>
        <v>3044</v>
      </c>
      <c r="U65" s="72">
        <f>IFERROR(VLOOKUP($D65,'FERC 2022'!$EA$3:$EN$220,7,0),"")</f>
        <v>3033</v>
      </c>
      <c r="V65" s="72">
        <f>IFERROR(VLOOKUP($D65,'FERC 2023'!$EA$3:$EN$221,7,0),"")</f>
        <v>2860</v>
      </c>
      <c r="W65" s="72">
        <f>IFERROR(VLOOKUP($D65,'FERC 2021'!$EA$3:$EN$221,8,0),"")</f>
        <v>913611</v>
      </c>
      <c r="X65" s="72">
        <f>IFERROR(VLOOKUP($D65,'FERC 2022'!$EA$3:$EN$220,8,0),"")</f>
        <v>916521</v>
      </c>
      <c r="Y65" s="72">
        <f>IFERROR(VLOOKUP($D65,'FERC 2023'!$EA$3:$EN$221,8,0),"")</f>
        <v>919140</v>
      </c>
      <c r="Z65" s="72">
        <f>IFERROR(VLOOKUP($D65,'FERC 2021'!$EA$3:$EN$222,9,0),"")</f>
        <v>882426</v>
      </c>
      <c r="AA65" s="72">
        <f>IFERROR(VLOOKUP($D65,'FERC 2022'!$EA$3:$EN$220,9,0),"")</f>
        <v>959978</v>
      </c>
      <c r="AB65" s="72">
        <f>IFERROR(VLOOKUP($D65,'FERC 2023'!$EA$3:$EN$221,9,0),"")</f>
        <v>743264</v>
      </c>
      <c r="AC65" s="72">
        <f>IFERROR(VLOOKUP($D65,'FERC 2021'!$EA$3:$EN$221,10,0),"")</f>
        <v>15394940</v>
      </c>
      <c r="AD65" s="72">
        <f>IFERROR(VLOOKUP($D65,'FERC 2022'!$EA$3:$EN$220,10,0),"")</f>
        <v>15452380</v>
      </c>
      <c r="AE65" s="72">
        <f>IFERROR(VLOOKUP($D65,'FERC 2023'!$EA$3:$EN$221,10,0),"")</f>
        <v>15211635</v>
      </c>
      <c r="AF65" s="72">
        <f>IFERROR(VLOOKUP($D65,'FERC 2021'!$EA$3:$EN$221,11,0),"")</f>
        <v>16262928.218274111</v>
      </c>
      <c r="AG65" s="72">
        <f>IFERROR(VLOOKUP($D65,'FERC 2022'!$EA$3:$EN$220,11,0),"")</f>
        <v>16396416.685279187</v>
      </c>
      <c r="AH65" s="72">
        <f>IFERROR(VLOOKUP($D65,'FERC 2023'!$EA$3:$EN$221,11,0),"")</f>
        <v>15933565.329949239</v>
      </c>
      <c r="AI65" s="72">
        <f>IFERROR(VLOOKUP($D65,'FERC 2021'!$EA$3:$EN$221,12,0),"")</f>
        <v>161160980.40000001</v>
      </c>
      <c r="AJ65" s="72">
        <f>IFERROR(VLOOKUP($D65,'FERC 2022'!$EA$3:$EN$220,12,0),"")</f>
        <v>149328766.53</v>
      </c>
      <c r="AK65" s="72">
        <f>IFERROR(VLOOKUP($D65,'FERC 2023'!$EA$3:$EN$221,12,0),"")</f>
        <v>139047499.19999999</v>
      </c>
      <c r="AL65" s="72">
        <f>VLOOKUP($D65,'FERC 2021'!$EA$3:$EN$221,13,0)</f>
        <v>1973399.7600000002</v>
      </c>
      <c r="AM65" s="72">
        <f>VLOOKUP($D65,'FERC 2022'!$EA$3:$EN$220,13,0)</f>
        <v>2089667.88</v>
      </c>
      <c r="AN65" s="72">
        <f>VLOOKUP($D65,'FERC 2023'!$EA$3:$EN$221,13,0)</f>
        <v>1709600.4000000001</v>
      </c>
      <c r="AO65" s="72">
        <f>IFERROR(VLOOKUP($D65,'FERC 2021'!$EA$3:$EN$221,14,0),"")</f>
        <v>960</v>
      </c>
      <c r="AP65" s="72">
        <f>IFERROR(VLOOKUP($D65,'FERC 2022'!$EA$3:$EN$220,14,0),"")</f>
        <v>1655</v>
      </c>
      <c r="AQ65" s="72">
        <f>IFERROR(VLOOKUP($D65,'FERC 2023'!$EA$3:$EN$221,14,0),"")</f>
        <v>138826</v>
      </c>
    </row>
    <row r="66" spans="1:43" ht="15.75" hidden="1" customHeight="1">
      <c r="A66" s="7" t="s">
        <v>396</v>
      </c>
      <c r="B66" s="7" t="s">
        <v>397</v>
      </c>
      <c r="C66" s="311" t="str">
        <f>'BD DEA'!P66</f>
        <v/>
      </c>
      <c r="D66" s="44" t="str">
        <f t="shared" si="0"/>
        <v>C000620</v>
      </c>
      <c r="E66" s="72">
        <f>IFERROR(VLOOKUP($D66,'FERC 2021'!$EA$3:$EN$221,2,0),"")</f>
        <v>3086113728.8777981</v>
      </c>
      <c r="F66" s="72">
        <f>IFERROR(VLOOKUP($D66,'FERC 2022'!$EA$3:$EN$220,2,0),"")</f>
        <v>3164859308.9249945</v>
      </c>
      <c r="G66" s="72">
        <f>IFERROR(VLOOKUP($D66,'FERC 2023'!$EA$3:$EN$221,2,0),"")</f>
        <v>3592332777.2116466</v>
      </c>
      <c r="H66" s="72">
        <f>IFERROR(VLOOKUP($D66,'FERC 2021'!$EA$3:$EN$225,3,0),"")</f>
        <v>185400067.21448001</v>
      </c>
      <c r="I66" s="72">
        <f>IFERROR(VLOOKUP($D66,'FERC 2022'!$EA$3:$EN$229,3,0),"")</f>
        <v>183558117.62919235</v>
      </c>
      <c r="J66" s="72">
        <f>IFERROR(VLOOKUP($D66,'FERC 2023'!$EA$3:$EN$229,3,0),"")</f>
        <v>193609453.03104579</v>
      </c>
      <c r="K66" s="72">
        <f>IFERROR(VLOOKUP($D66,'FERC 2021'!$EA$3:$EN$229,4,0),"")</f>
        <v>57868202.394136742</v>
      </c>
      <c r="L66" s="72">
        <f>IFERROR(VLOOKUP($D66,'FERC 2022'!$EA$3:$EN$220,4,0),"")</f>
        <v>62506085.129457451</v>
      </c>
      <c r="M66" s="72">
        <f>IFERROR(VLOOKUP($D66,'FERC 2023'!$EA$3:$EN$221,4,0),"")</f>
        <v>56478122.392370008</v>
      </c>
      <c r="N66" s="72">
        <f>IFERROR(VLOOKUP($D66,'FERC 2021'!$EA$3:$EN$221,5,0),"")</f>
        <v>74301970.724886894</v>
      </c>
      <c r="O66" s="72">
        <f>IFERROR(VLOOKUP($D66,'FERC 2022'!$EA$3:$EN$220,5,0),"")</f>
        <v>75828759.219768614</v>
      </c>
      <c r="P66" s="72">
        <f>IFERROR(VLOOKUP($D66,'FERC 2023'!$EA$3:$EN$221,5,0),"")</f>
        <v>75530175.569456145</v>
      </c>
      <c r="Q66" s="72">
        <f>IFERROR(VLOOKUP($D66,'FERC 2021'!$EA$3:$EN$221,6,0),"")</f>
        <v>91801185.333642349</v>
      </c>
      <c r="R66" s="72">
        <f>IFERROR(VLOOKUP($D66,'FERC 2022'!$EA$3:$EN$220,6,0),"")</f>
        <v>87654983.481560498</v>
      </c>
      <c r="S66" s="72">
        <f>IFERROR(VLOOKUP($D66,'FERC 2023'!$EA$3:$EN$221,6,0),"")</f>
        <v>88607250.963708133</v>
      </c>
      <c r="T66" s="72">
        <f>IFERROR(VLOOKUP($D66,'FERC 2021'!$EA$3:$EN$221,7,0),"")</f>
        <v>3751</v>
      </c>
      <c r="U66" s="72">
        <f>IFERROR(VLOOKUP($D66,'FERC 2022'!$EA$3:$EN$220,7,0),"")</f>
        <v>3568</v>
      </c>
      <c r="V66" s="72">
        <f>IFERROR(VLOOKUP($D66,'FERC 2023'!$EA$3:$EN$221,7,0),"")</f>
        <v>3615</v>
      </c>
      <c r="W66" s="72">
        <f>IFERROR(VLOOKUP($D66,'FERC 2021'!$EA$3:$EN$221,8,0),"")</f>
        <v>596393</v>
      </c>
      <c r="X66" s="72">
        <f>IFERROR(VLOOKUP($D66,'FERC 2022'!$EA$3:$EN$220,8,0),"")</f>
        <v>611597</v>
      </c>
      <c r="Y66" s="72">
        <f>IFERROR(VLOOKUP($D66,'FERC 2023'!$EA$3:$EN$221,8,0),"")</f>
        <v>625440</v>
      </c>
      <c r="Z66" s="72">
        <f>IFERROR(VLOOKUP($D66,'FERC 2021'!$EA$3:$EN$222,9,0),"")</f>
        <v>1076855</v>
      </c>
      <c r="AA66" s="72">
        <f>IFERROR(VLOOKUP($D66,'FERC 2022'!$EA$3:$EN$220,9,0),"")</f>
        <v>1238736</v>
      </c>
      <c r="AB66" s="72">
        <f>IFERROR(VLOOKUP($D66,'FERC 2023'!$EA$3:$EN$221,9,0),"")</f>
        <v>1207582</v>
      </c>
      <c r="AC66" s="72">
        <f>IFERROR(VLOOKUP($D66,'FERC 2021'!$EA$3:$EN$221,10,0),"")</f>
        <v>15405799</v>
      </c>
      <c r="AD66" s="72">
        <f>IFERROR(VLOOKUP($D66,'FERC 2022'!$EA$3:$EN$220,10,0),"")</f>
        <v>15822455</v>
      </c>
      <c r="AE66" s="72">
        <f>IFERROR(VLOOKUP($D66,'FERC 2023'!$EA$3:$EN$221,10,0),"")</f>
        <v>15514992</v>
      </c>
      <c r="AF66" s="72">
        <f>IFERROR(VLOOKUP($D66,'FERC 2021'!$EA$3:$EN$221,11,0),"")</f>
        <v>16462261.781725889</v>
      </c>
      <c r="AG66" s="72">
        <f>IFERROR(VLOOKUP($D66,'FERC 2022'!$EA$3:$EN$220,11,0),"")</f>
        <v>17041117.923857868</v>
      </c>
      <c r="AH66" s="72">
        <f>IFERROR(VLOOKUP($D66,'FERC 2023'!$EA$3:$EN$221,11,0),"")</f>
        <v>16690668.238578681</v>
      </c>
      <c r="AI66" s="72">
        <f>IFERROR(VLOOKUP($D66,'FERC 2021'!$EA$3:$EN$221,12,0),"")</f>
        <v>71424025.680000007</v>
      </c>
      <c r="AJ66" s="72">
        <f>IFERROR(VLOOKUP($D66,'FERC 2022'!$EA$3:$EN$220,12,0),"")</f>
        <v>92767032.960000008</v>
      </c>
      <c r="AK66" s="72">
        <f>IFERROR(VLOOKUP($D66,'FERC 2023'!$EA$3:$EN$221,12,0),"")</f>
        <v>74871422.399999991</v>
      </c>
      <c r="AL66" s="72">
        <f>VLOOKUP($D66,'FERC 2021'!$EA$3:$EN$221,13,0)</f>
        <v>811094.4800000001</v>
      </c>
      <c r="AM66" s="72">
        <f>VLOOKUP($D66,'FERC 2022'!$EA$3:$EN$220,13,0)</f>
        <v>715568.49</v>
      </c>
      <c r="AN66" s="72">
        <f>VLOOKUP($D66,'FERC 2023'!$EA$3:$EN$221,13,0)</f>
        <v>669220.80000000005</v>
      </c>
      <c r="AO66" s="72">
        <f>IFERROR(VLOOKUP($D66,'FERC 2021'!$EA$3:$EN$221,14,0),"")</f>
        <v>576216</v>
      </c>
      <c r="AP66" s="72">
        <f>IFERROR(VLOOKUP($D66,'FERC 2022'!$EA$3:$EN$220,14,0),"")</f>
        <v>591216</v>
      </c>
      <c r="AQ66" s="72">
        <f>IFERROR(VLOOKUP($D66,'FERC 2023'!$EA$3:$EN$221,14,0),"")</f>
        <v>604900</v>
      </c>
    </row>
    <row r="67" spans="1:43" ht="15.75" hidden="1" customHeight="1">
      <c r="A67" s="7" t="s">
        <v>399</v>
      </c>
      <c r="B67" s="7" t="s">
        <v>400</v>
      </c>
      <c r="C67" s="311" t="str">
        <f>'BD DEA'!P67</f>
        <v/>
      </c>
      <c r="D67" s="44" t="str">
        <f t="shared" si="0"/>
        <v>C000622</v>
      </c>
      <c r="E67" s="72" t="str">
        <f>IFERROR(VLOOKUP($D67,'FERC 2021'!$EA$3:$EN$221,2,0),"")</f>
        <v/>
      </c>
      <c r="F67" s="72" t="str">
        <f>IFERROR(VLOOKUP($D67,'FERC 2022'!$EA$3:$EN$220,2,0),"")</f>
        <v/>
      </c>
      <c r="G67" s="72" t="str">
        <f>IFERROR(VLOOKUP($D67,'FERC 2023'!$EA$3:$EN$221,2,0),"")</f>
        <v/>
      </c>
      <c r="H67" s="72" t="str">
        <f>IFERROR(VLOOKUP($D67,'FERC 2021'!$EA$3:$EN$225,3,0),"")</f>
        <v/>
      </c>
      <c r="I67" s="72" t="str">
        <f>IFERROR(VLOOKUP($D67,'FERC 2022'!$EA$3:$EN$229,3,0),"")</f>
        <v/>
      </c>
      <c r="J67" s="72" t="str">
        <f>IFERROR(VLOOKUP($D67,'FERC 2023'!$EA$3:$EN$229,3,0),"")</f>
        <v/>
      </c>
      <c r="K67" s="72" t="str">
        <f>IFERROR(VLOOKUP($D67,'FERC 2021'!$EA$3:$EN$229,4,0),"")</f>
        <v/>
      </c>
      <c r="L67" s="72" t="str">
        <f>IFERROR(VLOOKUP($D67,'FERC 2022'!$EA$3:$EN$220,4,0),"")</f>
        <v/>
      </c>
      <c r="M67" s="72" t="str">
        <f>IFERROR(VLOOKUP($D67,'FERC 2023'!$EA$3:$EN$221,4,0),"")</f>
        <v/>
      </c>
      <c r="N67" s="72" t="str">
        <f>IFERROR(VLOOKUP($D67,'FERC 2021'!$EA$3:$EN$221,5,0),"")</f>
        <v/>
      </c>
      <c r="O67" s="72" t="str">
        <f>IFERROR(VLOOKUP($D67,'FERC 2022'!$EA$3:$EN$220,5,0),"")</f>
        <v/>
      </c>
      <c r="P67" s="72" t="str">
        <f>IFERROR(VLOOKUP($D67,'FERC 2023'!$EA$3:$EN$221,5,0),"")</f>
        <v/>
      </c>
      <c r="Q67" s="72" t="str">
        <f>IFERROR(VLOOKUP($D67,'FERC 2021'!$EA$3:$EN$221,6,0),"")</f>
        <v/>
      </c>
      <c r="R67" s="72" t="str">
        <f>IFERROR(VLOOKUP($D67,'FERC 2022'!$EA$3:$EN$220,6,0),"")</f>
        <v/>
      </c>
      <c r="S67" s="72" t="str">
        <f>IFERROR(VLOOKUP($D67,'FERC 2023'!$EA$3:$EN$221,6,0),"")</f>
        <v/>
      </c>
      <c r="T67" s="72" t="str">
        <f>IFERROR(VLOOKUP($D67,'FERC 2021'!$EA$3:$EN$221,7,0),"")</f>
        <v/>
      </c>
      <c r="U67" s="72" t="str">
        <f>IFERROR(VLOOKUP($D67,'FERC 2022'!$EA$3:$EN$220,7,0),"")</f>
        <v/>
      </c>
      <c r="V67" s="72" t="str">
        <f>IFERROR(VLOOKUP($D67,'FERC 2023'!$EA$3:$EN$221,7,0),"")</f>
        <v/>
      </c>
      <c r="W67" s="72" t="str">
        <f>IFERROR(VLOOKUP($D67,'FERC 2021'!$EA$3:$EN$221,8,0),"")</f>
        <v/>
      </c>
      <c r="X67" s="72" t="str">
        <f>IFERROR(VLOOKUP($D67,'FERC 2022'!$EA$3:$EN$220,8,0),"")</f>
        <v/>
      </c>
      <c r="Y67" s="72" t="str">
        <f>IFERROR(VLOOKUP($D67,'FERC 2023'!$EA$3:$EN$221,8,0),"")</f>
        <v/>
      </c>
      <c r="Z67" s="72" t="str">
        <f>IFERROR(VLOOKUP($D67,'FERC 2021'!$EA$3:$EN$222,9,0),"")</f>
        <v/>
      </c>
      <c r="AA67" s="72" t="str">
        <f>IFERROR(VLOOKUP($D67,'FERC 2022'!$EA$3:$EN$220,9,0),"")</f>
        <v/>
      </c>
      <c r="AB67" s="72" t="str">
        <f>IFERROR(VLOOKUP($D67,'FERC 2023'!$EA$3:$EN$221,9,0),"")</f>
        <v/>
      </c>
      <c r="AC67" s="72" t="str">
        <f>IFERROR(VLOOKUP($D67,'FERC 2021'!$EA$3:$EN$221,10,0),"")</f>
        <v/>
      </c>
      <c r="AD67" s="72" t="str">
        <f>IFERROR(VLOOKUP($D67,'FERC 2022'!$EA$3:$EN$220,10,0),"")</f>
        <v/>
      </c>
      <c r="AE67" s="72" t="str">
        <f>IFERROR(VLOOKUP($D67,'FERC 2023'!$EA$3:$EN$221,10,0),"")</f>
        <v/>
      </c>
      <c r="AF67" s="72" t="str">
        <f>IFERROR(VLOOKUP($D67,'FERC 2021'!$EA$3:$EN$221,11,0),"")</f>
        <v/>
      </c>
      <c r="AG67" s="72" t="str">
        <f>IFERROR(VLOOKUP($D67,'FERC 2022'!$EA$3:$EN$220,11,0),"")</f>
        <v/>
      </c>
      <c r="AH67" s="72" t="str">
        <f>IFERROR(VLOOKUP($D67,'FERC 2023'!$EA$3:$EN$221,11,0),"")</f>
        <v/>
      </c>
      <c r="AI67" s="72" t="str">
        <f>IFERROR(VLOOKUP($D67,'FERC 2021'!$EA$3:$EN$221,12,0),"")</f>
        <v/>
      </c>
      <c r="AJ67" s="72" t="str">
        <f>IFERROR(VLOOKUP($D67,'FERC 2022'!$EA$3:$EN$220,12,0),"")</f>
        <v/>
      </c>
      <c r="AK67" s="72" t="str">
        <f>IFERROR(VLOOKUP($D67,'FERC 2023'!$EA$3:$EN$221,12,0),"")</f>
        <v/>
      </c>
      <c r="AL67" s="72" t="str">
        <f>VLOOKUP($D67,'FERC 2021'!$EA$3:$EN$221,13,0)</f>
        <v/>
      </c>
      <c r="AM67" s="72" t="str">
        <f>VLOOKUP($D67,'FERC 2022'!$EA$3:$EN$220,13,0)</f>
        <v/>
      </c>
      <c r="AN67" s="72" t="str">
        <f>VLOOKUP($D67,'FERC 2023'!$EA$3:$EN$221,13,0)</f>
        <v/>
      </c>
      <c r="AO67" s="72" t="str">
        <f>IFERROR(VLOOKUP($D67,'FERC 2021'!$EA$3:$EN$221,14,0),"")</f>
        <v/>
      </c>
      <c r="AP67" s="72" t="str">
        <f>IFERROR(VLOOKUP($D67,'FERC 2022'!$EA$3:$EN$220,14,0),"")</f>
        <v/>
      </c>
      <c r="AQ67" s="72" t="str">
        <f>IFERROR(VLOOKUP($D67,'FERC 2023'!$EA$3:$EN$221,14,0),"")</f>
        <v/>
      </c>
    </row>
    <row r="68" spans="1:43" ht="15.75" customHeight="1">
      <c r="A68" s="7" t="s">
        <v>402</v>
      </c>
      <c r="B68" s="7" t="s">
        <v>403</v>
      </c>
      <c r="C68" s="311">
        <f>'BD DEA'!P68</f>
        <v>1</v>
      </c>
      <c r="D68" s="44" t="str">
        <f t="shared" si="0"/>
        <v>C000685</v>
      </c>
      <c r="E68" s="72">
        <f>IFERROR(VLOOKUP($D68,'FERC 2021'!$EA$3:$EN$221,2,0),"")</f>
        <v>9115110088.2408047</v>
      </c>
      <c r="F68" s="72">
        <f>IFERROR(VLOOKUP($D68,'FERC 2022'!$EA$3:$EN$220,2,0),"")</f>
        <v>9793242696.9129868</v>
      </c>
      <c r="G68" s="72">
        <f>IFERROR(VLOOKUP($D68,'FERC 2023'!$EA$3:$EN$221,2,0),"")</f>
        <v>11174701809.067621</v>
      </c>
      <c r="H68" s="72">
        <f>IFERROR(VLOOKUP($D68,'FERC 2021'!$EA$3:$EN$225,3,0),"")</f>
        <v>423513765.0912863</v>
      </c>
      <c r="I68" s="72">
        <f>IFERROR(VLOOKUP($D68,'FERC 2022'!$EA$3:$EN$229,3,0),"")</f>
        <v>434916110.11252081</v>
      </c>
      <c r="J68" s="72">
        <f>IFERROR(VLOOKUP($D68,'FERC 2023'!$EA$3:$EN$229,3,0),"")</f>
        <v>449320999.86304092</v>
      </c>
      <c r="K68" s="72">
        <f>IFERROR(VLOOKUP($D68,'FERC 2021'!$EA$3:$EN$229,4,0),"")</f>
        <v>321656488.79204887</v>
      </c>
      <c r="L68" s="72">
        <f>IFERROR(VLOOKUP($D68,'FERC 2022'!$EA$3:$EN$220,4,0),"")</f>
        <v>348861861.74611402</v>
      </c>
      <c r="M68" s="72">
        <f>IFERROR(VLOOKUP($D68,'FERC 2023'!$EA$3:$EN$221,4,0),"")</f>
        <v>360963469.59465772</v>
      </c>
      <c r="N68" s="72">
        <f>IFERROR(VLOOKUP($D68,'FERC 2021'!$EA$3:$EN$221,5,0),"")</f>
        <v>333945269.43239033</v>
      </c>
      <c r="O68" s="72">
        <f>IFERROR(VLOOKUP($D68,'FERC 2022'!$EA$3:$EN$220,5,0),"")</f>
        <v>311164054.07946974</v>
      </c>
      <c r="P68" s="72">
        <f>IFERROR(VLOOKUP($D68,'FERC 2023'!$EA$3:$EN$221,5,0),"")</f>
        <v>381675506.51326972</v>
      </c>
      <c r="Q68" s="72">
        <f>IFERROR(VLOOKUP($D68,'FERC 2021'!$EA$3:$EN$221,6,0),"")</f>
        <v>599576392.44812644</v>
      </c>
      <c r="R68" s="72">
        <f>IFERROR(VLOOKUP($D68,'FERC 2022'!$EA$3:$EN$220,6,0),"")</f>
        <v>561244583.0540185</v>
      </c>
      <c r="S68" s="72">
        <f>IFERROR(VLOOKUP($D68,'FERC 2023'!$EA$3:$EN$221,6,0),"")</f>
        <v>520929360.76742101</v>
      </c>
      <c r="T68" s="72">
        <f>IFERROR(VLOOKUP($D68,'FERC 2021'!$EA$3:$EN$221,7,0),"")</f>
        <v>3860</v>
      </c>
      <c r="U68" s="72">
        <f>IFERROR(VLOOKUP($D68,'FERC 2022'!$EA$3:$EN$220,7,0),"")</f>
        <v>4816</v>
      </c>
      <c r="V68" s="72">
        <f>IFERROR(VLOOKUP($D68,'FERC 2023'!$EA$3:$EN$221,7,0),"")</f>
        <v>4572</v>
      </c>
      <c r="W68" s="72">
        <f>IFERROR(VLOOKUP($D68,'FERC 2021'!$EA$3:$EN$221,8,0),"")</f>
        <v>1387773</v>
      </c>
      <c r="X68" s="72">
        <f>IFERROR(VLOOKUP($D68,'FERC 2022'!$EA$3:$EN$220,8,0),"")</f>
        <v>914421</v>
      </c>
      <c r="Y68" s="72">
        <f>IFERROR(VLOOKUP($D68,'FERC 2023'!$EA$3:$EN$221,8,0),"")</f>
        <v>512632</v>
      </c>
      <c r="Z68" s="72">
        <f>IFERROR(VLOOKUP($D68,'FERC 2021'!$EA$3:$EN$222,9,0),"")</f>
        <v>354640</v>
      </c>
      <c r="AA68" s="72">
        <f>IFERROR(VLOOKUP($D68,'FERC 2022'!$EA$3:$EN$220,9,0),"")</f>
        <v>94140</v>
      </c>
      <c r="AB68" s="72">
        <f>IFERROR(VLOOKUP($D68,'FERC 2023'!$EA$3:$EN$221,9,0),"")</f>
        <v>822459</v>
      </c>
      <c r="AC68" s="72">
        <f>IFERROR(VLOOKUP($D68,'FERC 2021'!$EA$3:$EN$221,10,0),"")</f>
        <v>11298500</v>
      </c>
      <c r="AD68" s="72">
        <f>IFERROR(VLOOKUP($D68,'FERC 2022'!$EA$3:$EN$220,10,0),"")</f>
        <v>7800012</v>
      </c>
      <c r="AE68" s="72">
        <f>IFERROR(VLOOKUP($D68,'FERC 2023'!$EA$3:$EN$221,10,0),"")</f>
        <v>4619469</v>
      </c>
      <c r="AF68" s="72">
        <f>IFERROR(VLOOKUP($D68,'FERC 2021'!$EA$3:$EN$221,11,0),"")</f>
        <v>11513112.395939086</v>
      </c>
      <c r="AG68" s="72">
        <f>IFERROR(VLOOKUP($D68,'FERC 2022'!$EA$3:$EN$220,11,0),"")</f>
        <v>7720784.2385786809</v>
      </c>
      <c r="AH68" s="72">
        <f>IFERROR(VLOOKUP($D68,'FERC 2023'!$EA$3:$EN$221,11,0),"")</f>
        <v>5302012.8578680195</v>
      </c>
      <c r="AI68" s="72">
        <f>IFERROR(VLOOKUP($D68,'FERC 2021'!$EA$3:$EN$221,12,0),"")</f>
        <v>99420057.719999999</v>
      </c>
      <c r="AJ68" s="72">
        <f>IFERROR(VLOOKUP($D68,'FERC 2022'!$EA$3:$EN$220,12,0),"")</f>
        <v>64366094.189999998</v>
      </c>
      <c r="AK68" s="72">
        <f>IFERROR(VLOOKUP($D68,'FERC 2023'!$EA$3:$EN$221,12,0),"")</f>
        <v>36186692.880000003</v>
      </c>
      <c r="AL68" s="72">
        <f>VLOOKUP($D68,'FERC 2021'!$EA$3:$EN$221,13,0)</f>
        <v>929807.91</v>
      </c>
      <c r="AM68" s="72">
        <f>VLOOKUP($D68,'FERC 2022'!$EA$3:$EN$220,13,0)</f>
        <v>540422.81099999999</v>
      </c>
      <c r="AN68" s="72">
        <f>VLOOKUP($D68,'FERC 2023'!$EA$3:$EN$221,13,0)</f>
        <v>300914.984</v>
      </c>
      <c r="AO68" s="72">
        <f>IFERROR(VLOOKUP($D68,'FERC 2021'!$EA$3:$EN$221,14,0),"")</f>
        <v>1500420</v>
      </c>
      <c r="AP68" s="72">
        <f>IFERROR(VLOOKUP($D68,'FERC 2022'!$EA$3:$EN$220,14,0),"")</f>
        <v>1506841</v>
      </c>
      <c r="AQ68" s="72">
        <f>IFERROR(VLOOKUP($D68,'FERC 2023'!$EA$3:$EN$221,14,0),"")</f>
        <v>1516422</v>
      </c>
    </row>
    <row r="69" spans="1:43" ht="15.75" hidden="1" customHeight="1">
      <c r="A69" s="7" t="s">
        <v>405</v>
      </c>
      <c r="B69" s="7" t="s">
        <v>406</v>
      </c>
      <c r="C69" s="311" t="str">
        <f>'BD DEA'!P69</f>
        <v/>
      </c>
      <c r="D69" s="44" t="str">
        <f t="shared" si="0"/>
        <v>C000691</v>
      </c>
      <c r="E69" s="72">
        <f>IFERROR(VLOOKUP($D69,'FERC 2021'!$EA$3:$EN$221,2,0),"")</f>
        <v>3506117889.9021621</v>
      </c>
      <c r="F69" s="72">
        <f>IFERROR(VLOOKUP($D69,'FERC 2022'!$EA$3:$EN$220,2,0),"")</f>
        <v>3688322460.8353724</v>
      </c>
      <c r="G69" s="72">
        <f>IFERROR(VLOOKUP($D69,'FERC 2023'!$EA$3:$EN$221,2,0),"")</f>
        <v>3829296261.7641392</v>
      </c>
      <c r="H69" s="72">
        <f>IFERROR(VLOOKUP($D69,'FERC 2021'!$EA$3:$EN$225,3,0),"")</f>
        <v>180669129.51148823</v>
      </c>
      <c r="I69" s="72">
        <f>IFERROR(VLOOKUP($D69,'FERC 2022'!$EA$3:$EN$229,3,0),"")</f>
        <v>189013561.78200102</v>
      </c>
      <c r="J69" s="72">
        <f>IFERROR(VLOOKUP($D69,'FERC 2023'!$EA$3:$EN$229,3,0),"")</f>
        <v>213577274.42011556</v>
      </c>
      <c r="K69" s="72">
        <f>IFERROR(VLOOKUP($D69,'FERC 2021'!$EA$3:$EN$229,4,0),"")</f>
        <v>33433250.56607493</v>
      </c>
      <c r="L69" s="72">
        <f>IFERROR(VLOOKUP($D69,'FERC 2022'!$EA$3:$EN$220,4,0),"")</f>
        <v>36403775.337761663</v>
      </c>
      <c r="M69" s="72">
        <f>IFERROR(VLOOKUP($D69,'FERC 2023'!$EA$3:$EN$221,4,0),"")</f>
        <v>37306561.268080622</v>
      </c>
      <c r="N69" s="72">
        <f>IFERROR(VLOOKUP($D69,'FERC 2021'!$EA$3:$EN$221,5,0),"")</f>
        <v>40242222.42061808</v>
      </c>
      <c r="O69" s="72">
        <f>IFERROR(VLOOKUP($D69,'FERC 2022'!$EA$3:$EN$220,5,0),"")</f>
        <v>39403198.049552821</v>
      </c>
      <c r="P69" s="72">
        <f>IFERROR(VLOOKUP($D69,'FERC 2023'!$EA$3:$EN$221,5,0),"")</f>
        <v>41549222.789739743</v>
      </c>
      <c r="Q69" s="72">
        <f>IFERROR(VLOOKUP($D69,'FERC 2021'!$EA$3:$EN$221,6,0),"")</f>
        <v>21797662.014012333</v>
      </c>
      <c r="R69" s="72">
        <f>IFERROR(VLOOKUP($D69,'FERC 2022'!$EA$3:$EN$220,6,0),"")</f>
        <v>22929924.486577328</v>
      </c>
      <c r="S69" s="72">
        <f>IFERROR(VLOOKUP($D69,'FERC 2023'!$EA$3:$EN$221,6,0),"")</f>
        <v>21165125.358388945</v>
      </c>
      <c r="T69" s="72">
        <f>IFERROR(VLOOKUP($D69,'FERC 2021'!$EA$3:$EN$221,7,0),"")</f>
        <v>2680</v>
      </c>
      <c r="U69" s="72">
        <f>IFERROR(VLOOKUP($D69,'FERC 2022'!$EA$3:$EN$220,7,0),"")</f>
        <v>2800</v>
      </c>
      <c r="V69" s="72">
        <f>IFERROR(VLOOKUP($D69,'FERC 2023'!$EA$3:$EN$221,7,0),"")</f>
        <v>2926</v>
      </c>
      <c r="W69" s="72">
        <f>IFERROR(VLOOKUP($D69,'FERC 2021'!$EA$3:$EN$221,8,0),"")</f>
        <v>485273</v>
      </c>
      <c r="X69" s="72">
        <f>IFERROR(VLOOKUP($D69,'FERC 2022'!$EA$3:$EN$220,8,0),"")</f>
        <v>490671</v>
      </c>
      <c r="Y69" s="72">
        <f>IFERROR(VLOOKUP($D69,'FERC 2023'!$EA$3:$EN$221,8,0),"")</f>
        <v>495176</v>
      </c>
      <c r="Z69" s="72">
        <f>IFERROR(VLOOKUP($D69,'FERC 2021'!$EA$3:$EN$222,9,0),"")</f>
        <v>373960</v>
      </c>
      <c r="AA69" s="72">
        <f>IFERROR(VLOOKUP($D69,'FERC 2022'!$EA$3:$EN$220,9,0),"")</f>
        <v>403080</v>
      </c>
      <c r="AB69" s="72">
        <f>IFERROR(VLOOKUP($D69,'FERC 2023'!$EA$3:$EN$221,9,0),"")</f>
        <v>397611</v>
      </c>
      <c r="AC69" s="72">
        <f>IFERROR(VLOOKUP($D69,'FERC 2021'!$EA$3:$EN$221,10,0),"")</f>
        <v>11185445</v>
      </c>
      <c r="AD69" s="72">
        <f>IFERROR(VLOOKUP($D69,'FERC 2022'!$EA$3:$EN$220,10,0),"")</f>
        <v>11168665</v>
      </c>
      <c r="AE69" s="72">
        <f>IFERROR(VLOOKUP($D69,'FERC 2023'!$EA$3:$EN$221,10,0),"")</f>
        <v>11057022</v>
      </c>
      <c r="AF69" s="72">
        <f>IFERROR(VLOOKUP($D69,'FERC 2021'!$EA$3:$EN$221,11,0),"")</f>
        <v>11487099.472081218</v>
      </c>
      <c r="AG69" s="72">
        <f>IFERROR(VLOOKUP($D69,'FERC 2022'!$EA$3:$EN$220,11,0),"")</f>
        <v>11489936.421319798</v>
      </c>
      <c r="AH69" s="72">
        <f>IFERROR(VLOOKUP($D69,'FERC 2023'!$EA$3:$EN$221,11,0),"")</f>
        <v>11362003.111675126</v>
      </c>
      <c r="AI69" s="72">
        <f>IFERROR(VLOOKUP($D69,'FERC 2021'!$EA$3:$EN$221,12,0),"")</f>
        <v>39210058.399999999</v>
      </c>
      <c r="AJ69" s="72">
        <f>IFERROR(VLOOKUP($D69,'FERC 2022'!$EA$3:$EN$220,12,0),"")</f>
        <v>40627558.799999997</v>
      </c>
      <c r="AK69" s="72">
        <f>IFERROR(VLOOKUP($D69,'FERC 2023'!$EA$3:$EN$221,12,0),"")</f>
        <v>28076479.200000003</v>
      </c>
      <c r="AL69" s="72">
        <f>VLOOKUP($D69,'FERC 2021'!$EA$3:$EN$221,13,0)</f>
        <v>359102.02</v>
      </c>
      <c r="AM69" s="72">
        <f>VLOOKUP($D69,'FERC 2022'!$EA$3:$EN$220,13,0)</f>
        <v>426883.77</v>
      </c>
      <c r="AN69" s="72">
        <f>VLOOKUP($D69,'FERC 2023'!$EA$3:$EN$221,13,0)</f>
        <v>386237.28</v>
      </c>
      <c r="AO69" s="72">
        <f>IFERROR(VLOOKUP($D69,'FERC 2021'!$EA$3:$EN$221,14,0),"")</f>
        <v>487961</v>
      </c>
      <c r="AP69" s="72">
        <f>IFERROR(VLOOKUP($D69,'FERC 2022'!$EA$3:$EN$220,14,0),"")</f>
        <v>492344</v>
      </c>
      <c r="AQ69" s="72">
        <f>IFERROR(VLOOKUP($D69,'FERC 2023'!$EA$3:$EN$221,14,0),"")</f>
        <v>497668</v>
      </c>
    </row>
    <row r="70" spans="1:43" ht="15.75" customHeight="1">
      <c r="A70" s="7" t="s">
        <v>408</v>
      </c>
      <c r="B70" s="7" t="s">
        <v>409</v>
      </c>
      <c r="C70" s="311">
        <f>'BD DEA'!P70</f>
        <v>1</v>
      </c>
      <c r="D70" s="44" t="str">
        <f t="shared" si="0"/>
        <v>C000692</v>
      </c>
      <c r="E70" s="72">
        <f>IFERROR(VLOOKUP($D70,'FERC 2021'!$EA$3:$EN$221,2,0),"")</f>
        <v>4536502379.600565</v>
      </c>
      <c r="F70" s="72">
        <f>IFERROR(VLOOKUP($D70,'FERC 2022'!$EA$3:$EN$220,2,0),"")</f>
        <v>4688788456.1435318</v>
      </c>
      <c r="G70" s="72">
        <f>IFERROR(VLOOKUP($D70,'FERC 2023'!$EA$3:$EN$221,2,0),"")</f>
        <v>4762675783.1159887</v>
      </c>
      <c r="H70" s="72">
        <f>IFERROR(VLOOKUP($D70,'FERC 2021'!$EA$3:$EN$225,3,0),"")</f>
        <v>192029717.1388739</v>
      </c>
      <c r="I70" s="72">
        <f>IFERROR(VLOOKUP($D70,'FERC 2022'!$EA$3:$EN$229,3,0),"")</f>
        <v>192502051.36715499</v>
      </c>
      <c r="J70" s="72">
        <f>IFERROR(VLOOKUP($D70,'FERC 2023'!$EA$3:$EN$229,3,0),"")</f>
        <v>188623647.85000157</v>
      </c>
      <c r="K70" s="72">
        <f>IFERROR(VLOOKUP($D70,'FERC 2021'!$EA$3:$EN$229,4,0),"")</f>
        <v>39008154.522289179</v>
      </c>
      <c r="L70" s="72">
        <f>IFERROR(VLOOKUP($D70,'FERC 2022'!$EA$3:$EN$220,4,0),"")</f>
        <v>42731731.66140788</v>
      </c>
      <c r="M70" s="72">
        <f>IFERROR(VLOOKUP($D70,'FERC 2023'!$EA$3:$EN$221,4,0),"")</f>
        <v>42056346.461558551</v>
      </c>
      <c r="N70" s="72">
        <f>IFERROR(VLOOKUP($D70,'FERC 2021'!$EA$3:$EN$221,5,0),"")</f>
        <v>49507206.831376888</v>
      </c>
      <c r="O70" s="72">
        <f>IFERROR(VLOOKUP($D70,'FERC 2022'!$EA$3:$EN$220,5,0),"")</f>
        <v>43481614.915320314</v>
      </c>
      <c r="P70" s="72">
        <f>IFERROR(VLOOKUP($D70,'FERC 2023'!$EA$3:$EN$221,5,0),"")</f>
        <v>46025713.465427071</v>
      </c>
      <c r="Q70" s="72">
        <f>IFERROR(VLOOKUP($D70,'FERC 2021'!$EA$3:$EN$221,6,0),"")</f>
        <v>18980383.916927204</v>
      </c>
      <c r="R70" s="72">
        <f>IFERROR(VLOOKUP($D70,'FERC 2022'!$EA$3:$EN$220,6,0),"")</f>
        <v>17413473.20624128</v>
      </c>
      <c r="S70" s="72">
        <f>IFERROR(VLOOKUP($D70,'FERC 2023'!$EA$3:$EN$221,6,0),"")</f>
        <v>14769768.538284818</v>
      </c>
      <c r="T70" s="72">
        <f>IFERROR(VLOOKUP($D70,'FERC 2021'!$EA$3:$EN$221,7,0),"")</f>
        <v>2892</v>
      </c>
      <c r="U70" s="72">
        <f>IFERROR(VLOOKUP($D70,'FERC 2022'!$EA$3:$EN$220,7,0),"")</f>
        <v>2895</v>
      </c>
      <c r="V70" s="72">
        <f>IFERROR(VLOOKUP($D70,'FERC 2023'!$EA$3:$EN$221,7,0),"")</f>
        <v>2940</v>
      </c>
      <c r="W70" s="72">
        <f>IFERROR(VLOOKUP($D70,'FERC 2021'!$EA$3:$EN$221,8,0),"")</f>
        <v>496007</v>
      </c>
      <c r="X70" s="72">
        <f>IFERROR(VLOOKUP($D70,'FERC 2022'!$EA$3:$EN$220,8,0),"")</f>
        <v>498046</v>
      </c>
      <c r="Y70" s="72">
        <f>IFERROR(VLOOKUP($D70,'FERC 2023'!$EA$3:$EN$221,8,0),"")</f>
        <v>500042</v>
      </c>
      <c r="Z70" s="72">
        <f>IFERROR(VLOOKUP($D70,'FERC 2021'!$EA$3:$EN$222,9,0),"")</f>
        <v>170593</v>
      </c>
      <c r="AA70" s="72">
        <f>IFERROR(VLOOKUP($D70,'FERC 2022'!$EA$3:$EN$220,9,0),"")</f>
        <v>257297</v>
      </c>
      <c r="AB70" s="72">
        <f>IFERROR(VLOOKUP($D70,'FERC 2023'!$EA$3:$EN$221,9,0),"")</f>
        <v>196727</v>
      </c>
      <c r="AC70" s="72">
        <f>IFERROR(VLOOKUP($D70,'FERC 2021'!$EA$3:$EN$221,10,0),"")</f>
        <v>14317920</v>
      </c>
      <c r="AD70" s="72">
        <f>IFERROR(VLOOKUP($D70,'FERC 2022'!$EA$3:$EN$220,10,0),"")</f>
        <v>14303266</v>
      </c>
      <c r="AE70" s="72">
        <f>IFERROR(VLOOKUP($D70,'FERC 2023'!$EA$3:$EN$221,10,0),"")</f>
        <v>13940034</v>
      </c>
      <c r="AF70" s="72">
        <f>IFERROR(VLOOKUP($D70,'FERC 2021'!$EA$3:$EN$221,11,0),"")</f>
        <v>14444011.852791877</v>
      </c>
      <c r="AG70" s="72">
        <f>IFERROR(VLOOKUP($D70,'FERC 2022'!$EA$3:$EN$220,11,0),"")</f>
        <v>14510819.101522842</v>
      </c>
      <c r="AH70" s="72">
        <f>IFERROR(VLOOKUP($D70,'FERC 2023'!$EA$3:$EN$221,11,0),"")</f>
        <v>14085023.182741117</v>
      </c>
      <c r="AI70" s="72">
        <f>IFERROR(VLOOKUP($D70,'FERC 2021'!$EA$3:$EN$221,12,0),"")</f>
        <v>36754118.699999996</v>
      </c>
      <c r="AJ70" s="72">
        <f>IFERROR(VLOOKUP($D70,'FERC 2022'!$EA$3:$EN$220,12,0),"")</f>
        <v>34165955.599999994</v>
      </c>
      <c r="AK70" s="72">
        <f>IFERROR(VLOOKUP($D70,'FERC 2023'!$EA$3:$EN$221,12,0),"")</f>
        <v>44103704.399999999</v>
      </c>
      <c r="AL70" s="72">
        <f>VLOOKUP($D70,'FERC 2021'!$EA$3:$EN$221,13,0)</f>
        <v>406725.74</v>
      </c>
      <c r="AM70" s="72">
        <f>VLOOKUP($D70,'FERC 2022'!$EA$3:$EN$220,13,0)</f>
        <v>368554.04</v>
      </c>
      <c r="AN70" s="72">
        <f>VLOOKUP($D70,'FERC 2023'!$EA$3:$EN$221,13,0)</f>
        <v>500042</v>
      </c>
      <c r="AO70" s="72">
        <f>IFERROR(VLOOKUP($D70,'FERC 2021'!$EA$3:$EN$221,14,0),"")</f>
        <v>488360</v>
      </c>
      <c r="AP70" s="72">
        <f>IFERROR(VLOOKUP($D70,'FERC 2022'!$EA$3:$EN$220,14,0),"")</f>
        <v>488270</v>
      </c>
      <c r="AQ70" s="72">
        <f>IFERROR(VLOOKUP($D70,'FERC 2023'!$EA$3:$EN$221,14,0),"")</f>
        <v>490211</v>
      </c>
    </row>
    <row r="71" spans="1:43" ht="15.75" hidden="1" customHeight="1">
      <c r="A71" s="7" t="s">
        <v>411</v>
      </c>
      <c r="B71" s="7" t="s">
        <v>412</v>
      </c>
      <c r="C71" s="311" t="str">
        <f>'BD DEA'!P71</f>
        <v/>
      </c>
      <c r="D71" s="44" t="str">
        <f t="shared" si="0"/>
        <v>C000744</v>
      </c>
      <c r="E71" s="72">
        <f>IFERROR(VLOOKUP($D71,'FERC 2021'!$EA$3:$EN$221,2,0),"")</f>
        <v>10174697762.840155</v>
      </c>
      <c r="F71" s="72">
        <f>IFERROR(VLOOKUP($D71,'FERC 2022'!$EA$3:$EN$220,2,0),"")</f>
        <v>10690161452.233152</v>
      </c>
      <c r="G71" s="72">
        <f>IFERROR(VLOOKUP($D71,'FERC 2023'!$EA$3:$EN$221,2,0),"")</f>
        <v>11167778879.033146</v>
      </c>
      <c r="H71" s="72">
        <f>IFERROR(VLOOKUP($D71,'FERC 2021'!$EA$3:$EN$225,3,0),"")</f>
        <v>343767900.59492046</v>
      </c>
      <c r="I71" s="72">
        <f>IFERROR(VLOOKUP($D71,'FERC 2022'!$EA$3:$EN$229,3,0),"")</f>
        <v>419004450.14766103</v>
      </c>
      <c r="J71" s="72">
        <f>IFERROR(VLOOKUP($D71,'FERC 2023'!$EA$3:$EN$229,3,0),"")</f>
        <v>468775997.84964502</v>
      </c>
      <c r="K71" s="72">
        <f>IFERROR(VLOOKUP($D71,'FERC 2021'!$EA$3:$EN$229,4,0),"")</f>
        <v>165219327.44510409</v>
      </c>
      <c r="L71" s="72">
        <f>IFERROR(VLOOKUP($D71,'FERC 2022'!$EA$3:$EN$220,4,0),"")</f>
        <v>150325289.96882746</v>
      </c>
      <c r="M71" s="72">
        <f>IFERROR(VLOOKUP($D71,'FERC 2023'!$EA$3:$EN$221,4,0),"")</f>
        <v>155814932.61288208</v>
      </c>
      <c r="N71" s="72">
        <f>IFERROR(VLOOKUP($D71,'FERC 2021'!$EA$3:$EN$221,5,0),"")</f>
        <v>185671612.65417135</v>
      </c>
      <c r="O71" s="72">
        <f>IFERROR(VLOOKUP($D71,'FERC 2022'!$EA$3:$EN$220,5,0),"")</f>
        <v>163400477.97440884</v>
      </c>
      <c r="P71" s="72">
        <f>IFERROR(VLOOKUP($D71,'FERC 2023'!$EA$3:$EN$221,5,0),"")</f>
        <v>160259575.0749301</v>
      </c>
      <c r="Q71" s="72">
        <f>IFERROR(VLOOKUP($D71,'FERC 2021'!$EA$3:$EN$221,6,0),"")</f>
        <v>90464530.385137007</v>
      </c>
      <c r="R71" s="72">
        <f>IFERROR(VLOOKUP($D71,'FERC 2022'!$EA$3:$EN$220,6,0),"")</f>
        <v>97696678.353179142</v>
      </c>
      <c r="S71" s="72">
        <f>IFERROR(VLOOKUP($D71,'FERC 2023'!$EA$3:$EN$221,6,0),"")</f>
        <v>79784477.838262796</v>
      </c>
      <c r="T71" s="72">
        <f>IFERROR(VLOOKUP($D71,'FERC 2021'!$EA$3:$EN$221,7,0),"")</f>
        <v>6974</v>
      </c>
      <c r="U71" s="72">
        <f>IFERROR(VLOOKUP($D71,'FERC 2022'!$EA$3:$EN$220,7,0),"")</f>
        <v>7167</v>
      </c>
      <c r="V71" s="72">
        <f>IFERROR(VLOOKUP($D71,'FERC 2023'!$EA$3:$EN$221,7,0),"")</f>
        <v>7423</v>
      </c>
      <c r="W71" s="72">
        <f>IFERROR(VLOOKUP($D71,'FERC 2021'!$EA$3:$EN$221,8,0),"")</f>
        <v>1244270</v>
      </c>
      <c r="X71" s="72">
        <f>IFERROR(VLOOKUP($D71,'FERC 2022'!$EA$3:$EN$220,8,0),"")</f>
        <v>1250565</v>
      </c>
      <c r="Y71" s="72">
        <f>IFERROR(VLOOKUP($D71,'FERC 2023'!$EA$3:$EN$221,8,0),"")</f>
        <v>1254169</v>
      </c>
      <c r="Z71" s="72">
        <f>IFERROR(VLOOKUP($D71,'FERC 2021'!$EA$3:$EN$222,9,0),"")</f>
        <v>1454147</v>
      </c>
      <c r="AA71" s="72">
        <f>IFERROR(VLOOKUP($D71,'FERC 2022'!$EA$3:$EN$220,9,0),"")</f>
        <v>1402100</v>
      </c>
      <c r="AB71" s="72">
        <f>IFERROR(VLOOKUP($D71,'FERC 2023'!$EA$3:$EN$221,9,0),"")</f>
        <v>1367421</v>
      </c>
      <c r="AC71" s="72">
        <f>IFERROR(VLOOKUP($D71,'FERC 2021'!$EA$3:$EN$221,10,0),"")</f>
        <v>31120872</v>
      </c>
      <c r="AD71" s="72">
        <f>IFERROR(VLOOKUP($D71,'FERC 2022'!$EA$3:$EN$220,10,0),"")</f>
        <v>31866242</v>
      </c>
      <c r="AE71" s="72">
        <f>IFERROR(VLOOKUP($D71,'FERC 2023'!$EA$3:$EN$221,10,0),"")</f>
        <v>30302136</v>
      </c>
      <c r="AF71" s="72">
        <f>IFERROR(VLOOKUP($D71,'FERC 2021'!$EA$3:$EN$221,11,0),"")</f>
        <v>32461942.345177665</v>
      </c>
      <c r="AG71" s="72">
        <f>IFERROR(VLOOKUP($D71,'FERC 2022'!$EA$3:$EN$220,11,0),"")</f>
        <v>33151929.862944163</v>
      </c>
      <c r="AH71" s="72">
        <f>IFERROR(VLOOKUP($D71,'FERC 2023'!$EA$3:$EN$221,11,0),"")</f>
        <v>31606432.766497463</v>
      </c>
      <c r="AI71" s="72">
        <f>IFERROR(VLOOKUP($D71,'FERC 2021'!$EA$3:$EN$221,12,0),"")</f>
        <v>111984300</v>
      </c>
      <c r="AJ71" s="72">
        <f>IFERROR(VLOOKUP($D71,'FERC 2022'!$EA$3:$EN$220,12,0),"")</f>
        <v>115051980</v>
      </c>
      <c r="AK71" s="72">
        <f>IFERROR(VLOOKUP($D71,'FERC 2023'!$EA$3:$EN$221,12,0),"")</f>
        <v>116637717</v>
      </c>
      <c r="AL71" s="72">
        <f>VLOOKUP($D71,'FERC 2021'!$EA$3:$EN$221,13,0)</f>
        <v>1269155.3999999999</v>
      </c>
      <c r="AM71" s="72">
        <f>VLOOKUP($D71,'FERC 2022'!$EA$3:$EN$220,13,0)</f>
        <v>1150519.8</v>
      </c>
      <c r="AN71" s="72">
        <f>VLOOKUP($D71,'FERC 2023'!$EA$3:$EN$221,13,0)</f>
        <v>1479919.42</v>
      </c>
      <c r="AO71" s="72">
        <f>IFERROR(VLOOKUP($D71,'FERC 2021'!$EA$3:$EN$221,14,0),"")</f>
        <v>1235211</v>
      </c>
      <c r="AP71" s="72">
        <f>IFERROR(VLOOKUP($D71,'FERC 2022'!$EA$3:$EN$220,14,0),"")</f>
        <v>1243182</v>
      </c>
      <c r="AQ71" s="72">
        <f>IFERROR(VLOOKUP($D71,'FERC 2023'!$EA$3:$EN$221,14,0),"")</f>
        <v>1250842</v>
      </c>
    </row>
    <row r="72" spans="1:43" ht="15.75" customHeight="1">
      <c r="A72" s="7" t="s">
        <v>414</v>
      </c>
      <c r="B72" s="7" t="s">
        <v>415</v>
      </c>
      <c r="C72" s="311">
        <f>'BD DEA'!P72</f>
        <v>1</v>
      </c>
      <c r="D72" s="44" t="str">
        <f t="shared" si="0"/>
        <v>C000746</v>
      </c>
      <c r="E72" s="72">
        <f>IFERROR(VLOOKUP($D72,'FERC 2021'!$EA$3:$EN$221,2,0),"")</f>
        <v>9945711234.364006</v>
      </c>
      <c r="F72" s="72">
        <f>IFERROR(VLOOKUP($D72,'FERC 2022'!$EA$3:$EN$220,2,0),"")</f>
        <v>10368180797.698093</v>
      </c>
      <c r="G72" s="72">
        <f>IFERROR(VLOOKUP($D72,'FERC 2023'!$EA$3:$EN$221,2,0),"")</f>
        <v>10792540948.054882</v>
      </c>
      <c r="H72" s="72">
        <f>IFERROR(VLOOKUP($D72,'FERC 2021'!$EA$3:$EN$225,3,0),"")</f>
        <v>495990901.92130613</v>
      </c>
      <c r="I72" s="72">
        <f>IFERROR(VLOOKUP($D72,'FERC 2022'!$EA$3:$EN$229,3,0),"")</f>
        <v>480266036.8006146</v>
      </c>
      <c r="J72" s="72">
        <f>IFERROR(VLOOKUP($D72,'FERC 2023'!$EA$3:$EN$229,3,0),"")</f>
        <v>477930621.30498886</v>
      </c>
      <c r="K72" s="72">
        <f>IFERROR(VLOOKUP($D72,'FERC 2021'!$EA$3:$EN$229,4,0),"")</f>
        <v>286112821.37092912</v>
      </c>
      <c r="L72" s="72">
        <f>IFERROR(VLOOKUP($D72,'FERC 2022'!$EA$3:$EN$220,4,0),"")</f>
        <v>270048427.86113465</v>
      </c>
      <c r="M72" s="72">
        <f>IFERROR(VLOOKUP($D72,'FERC 2023'!$EA$3:$EN$221,4,0),"")</f>
        <v>279746653.98460752</v>
      </c>
      <c r="N72" s="72">
        <f>IFERROR(VLOOKUP($D72,'FERC 2021'!$EA$3:$EN$221,5,0),"")</f>
        <v>93898784.732892901</v>
      </c>
      <c r="O72" s="72">
        <f>IFERROR(VLOOKUP($D72,'FERC 2022'!$EA$3:$EN$220,5,0),"")</f>
        <v>121871062.94405888</v>
      </c>
      <c r="P72" s="72">
        <f>IFERROR(VLOOKUP($D72,'FERC 2023'!$EA$3:$EN$221,5,0),"")</f>
        <v>143102189.11532155</v>
      </c>
      <c r="Q72" s="72">
        <f>IFERROR(VLOOKUP($D72,'FERC 2021'!$EA$3:$EN$221,6,0),"")</f>
        <v>112884544.43311349</v>
      </c>
      <c r="R72" s="72">
        <f>IFERROR(VLOOKUP($D72,'FERC 2022'!$EA$3:$EN$220,6,0),"")</f>
        <v>95564144.76788342</v>
      </c>
      <c r="S72" s="72">
        <f>IFERROR(VLOOKUP($D72,'FERC 2023'!$EA$3:$EN$221,6,0),"")</f>
        <v>66437065.598132946</v>
      </c>
      <c r="T72" s="72">
        <f>IFERROR(VLOOKUP($D72,'FERC 2021'!$EA$3:$EN$221,7,0),"")</f>
        <v>1913</v>
      </c>
      <c r="U72" s="72">
        <f>IFERROR(VLOOKUP($D72,'FERC 2022'!$EA$3:$EN$220,7,0),"")</f>
        <v>2766</v>
      </c>
      <c r="V72" s="72">
        <f>IFERROR(VLOOKUP($D72,'FERC 2023'!$EA$3:$EN$221,7,0),"")</f>
        <v>2281</v>
      </c>
      <c r="W72" s="72">
        <f>IFERROR(VLOOKUP($D72,'FERC 2021'!$EA$3:$EN$221,8,0),"")</f>
        <v>1228564</v>
      </c>
      <c r="X72" s="72">
        <f>IFERROR(VLOOKUP($D72,'FERC 2022'!$EA$3:$EN$220,8,0),"")</f>
        <v>1229379</v>
      </c>
      <c r="Y72" s="72">
        <f>IFERROR(VLOOKUP($D72,'FERC 2023'!$EA$3:$EN$221,8,0),"")</f>
        <v>1226027</v>
      </c>
      <c r="Z72" s="72">
        <f>IFERROR(VLOOKUP($D72,'FERC 2021'!$EA$3:$EN$222,9,0),"")</f>
        <v>346127</v>
      </c>
      <c r="AA72" s="72">
        <f>IFERROR(VLOOKUP($D72,'FERC 2022'!$EA$3:$EN$220,9,0),"")</f>
        <v>551630</v>
      </c>
      <c r="AB72" s="72">
        <f>IFERROR(VLOOKUP($D72,'FERC 2023'!$EA$3:$EN$221,9,0),"")</f>
        <v>255232</v>
      </c>
      <c r="AC72" s="72">
        <f>IFERROR(VLOOKUP($D72,'FERC 2021'!$EA$3:$EN$221,10,0),"")</f>
        <v>7849350</v>
      </c>
      <c r="AD72" s="72">
        <f>IFERROR(VLOOKUP($D72,'FERC 2022'!$EA$3:$EN$220,10,0),"")</f>
        <v>9679706</v>
      </c>
      <c r="AE72" s="72">
        <f>IFERROR(VLOOKUP($D72,'FERC 2023'!$EA$3:$EN$221,10,0),"")</f>
        <v>9176361</v>
      </c>
      <c r="AF72" s="72">
        <f>IFERROR(VLOOKUP($D72,'FERC 2021'!$EA$3:$EN$221,11,0),"")</f>
        <v>8191759.6497461926</v>
      </c>
      <c r="AG72" s="72">
        <f>IFERROR(VLOOKUP($D72,'FERC 2022'!$EA$3:$EN$220,11,0),"")</f>
        <v>10226700.162436549</v>
      </c>
      <c r="AH72" s="72">
        <f>IFERROR(VLOOKUP($D72,'FERC 2023'!$EA$3:$EN$221,11,0),"")</f>
        <v>9411557.736040609</v>
      </c>
      <c r="AI72" s="72">
        <f>IFERROR(VLOOKUP($D72,'FERC 2021'!$EA$3:$EN$221,12,0),"")</f>
        <v>144724839.19999999</v>
      </c>
      <c r="AJ72" s="72">
        <f>IFERROR(VLOOKUP($D72,'FERC 2022'!$EA$3:$EN$220,12,0),"")</f>
        <v>141255647.09999999</v>
      </c>
      <c r="AK72" s="72">
        <f>IFERROR(VLOOKUP($D72,'FERC 2023'!$EA$3:$EN$221,12,0),"")</f>
        <v>139644475.30000001</v>
      </c>
      <c r="AL72" s="72">
        <f>VLOOKUP($D72,'FERC 2021'!$EA$3:$EN$221,13,0)</f>
        <v>1363706.04</v>
      </c>
      <c r="AM72" s="72">
        <f>VLOOKUP($D72,'FERC 2022'!$EA$3:$EN$220,13,0)</f>
        <v>1253966.58</v>
      </c>
      <c r="AN72" s="72">
        <f>VLOOKUP($D72,'FERC 2023'!$EA$3:$EN$221,13,0)</f>
        <v>1630615.9100000001</v>
      </c>
      <c r="AO72" s="72">
        <f>IFERROR(VLOOKUP($D72,'FERC 2021'!$EA$3:$EN$221,14,0),"")</f>
        <v>1221970</v>
      </c>
      <c r="AP72" s="72">
        <f>IFERROR(VLOOKUP($D72,'FERC 2022'!$EA$3:$EN$220,14,0),"")</f>
        <v>1222097</v>
      </c>
      <c r="AQ72" s="72">
        <f>IFERROR(VLOOKUP($D72,'FERC 2023'!$EA$3:$EN$221,14,0),"")</f>
        <v>1220592</v>
      </c>
    </row>
    <row r="73" spans="1:43" ht="15.75" hidden="1" customHeight="1">
      <c r="A73" s="7" t="s">
        <v>417</v>
      </c>
      <c r="B73" s="7" t="s">
        <v>418</v>
      </c>
      <c r="C73" s="311" t="str">
        <f>'BD DEA'!P73</f>
        <v/>
      </c>
      <c r="D73" s="44" t="str">
        <f t="shared" si="0"/>
        <v>C000771</v>
      </c>
      <c r="E73" s="72" t="str">
        <f>IFERROR(VLOOKUP($D73,'FERC 2021'!$EA$3:$EN$221,2,0),"")</f>
        <v/>
      </c>
      <c r="F73" s="72" t="str">
        <f>IFERROR(VLOOKUP($D73,'FERC 2022'!$EA$3:$EN$220,2,0),"")</f>
        <v/>
      </c>
      <c r="G73" s="72" t="str">
        <f>IFERROR(VLOOKUP($D73,'FERC 2023'!$EA$3:$EN$221,2,0),"")</f>
        <v/>
      </c>
      <c r="H73" s="72" t="str">
        <f>IFERROR(VLOOKUP($D73,'FERC 2021'!$EA$3:$EN$225,3,0),"")</f>
        <v/>
      </c>
      <c r="I73" s="72" t="str">
        <f>IFERROR(VLOOKUP($D73,'FERC 2022'!$EA$3:$EN$229,3,0),"")</f>
        <v/>
      </c>
      <c r="J73" s="72" t="str">
        <f>IFERROR(VLOOKUP($D73,'FERC 2023'!$EA$3:$EN$229,3,0),"")</f>
        <v/>
      </c>
      <c r="K73" s="72" t="str">
        <f>IFERROR(VLOOKUP($D73,'FERC 2021'!$EA$3:$EN$229,4,0),"")</f>
        <v/>
      </c>
      <c r="L73" s="72" t="str">
        <f>IFERROR(VLOOKUP($D73,'FERC 2022'!$EA$3:$EN$220,4,0),"")</f>
        <v/>
      </c>
      <c r="M73" s="72" t="str">
        <f>IFERROR(VLOOKUP($D73,'FERC 2023'!$EA$3:$EN$221,4,0),"")</f>
        <v/>
      </c>
      <c r="N73" s="72" t="str">
        <f>IFERROR(VLOOKUP($D73,'FERC 2021'!$EA$3:$EN$221,5,0),"")</f>
        <v/>
      </c>
      <c r="O73" s="72" t="str">
        <f>IFERROR(VLOOKUP($D73,'FERC 2022'!$EA$3:$EN$220,5,0),"")</f>
        <v/>
      </c>
      <c r="P73" s="72" t="str">
        <f>IFERROR(VLOOKUP($D73,'FERC 2023'!$EA$3:$EN$221,5,0),"")</f>
        <v/>
      </c>
      <c r="Q73" s="72" t="str">
        <f>IFERROR(VLOOKUP($D73,'FERC 2021'!$EA$3:$EN$221,6,0),"")</f>
        <v/>
      </c>
      <c r="R73" s="72" t="str">
        <f>IFERROR(VLOOKUP($D73,'FERC 2022'!$EA$3:$EN$220,6,0),"")</f>
        <v/>
      </c>
      <c r="S73" s="72" t="str">
        <f>IFERROR(VLOOKUP($D73,'FERC 2023'!$EA$3:$EN$221,6,0),"")</f>
        <v/>
      </c>
      <c r="T73" s="72" t="str">
        <f>IFERROR(VLOOKUP($D73,'FERC 2021'!$EA$3:$EN$221,7,0),"")</f>
        <v/>
      </c>
      <c r="U73" s="72" t="str">
        <f>IFERROR(VLOOKUP($D73,'FERC 2022'!$EA$3:$EN$220,7,0),"")</f>
        <v/>
      </c>
      <c r="V73" s="72" t="str">
        <f>IFERROR(VLOOKUP($D73,'FERC 2023'!$EA$3:$EN$221,7,0),"")</f>
        <v/>
      </c>
      <c r="W73" s="72" t="str">
        <f>IFERROR(VLOOKUP($D73,'FERC 2021'!$EA$3:$EN$221,8,0),"")</f>
        <v/>
      </c>
      <c r="X73" s="72" t="str">
        <f>IFERROR(VLOOKUP($D73,'FERC 2022'!$EA$3:$EN$220,8,0),"")</f>
        <v/>
      </c>
      <c r="Y73" s="72" t="str">
        <f>IFERROR(VLOOKUP($D73,'FERC 2023'!$EA$3:$EN$221,8,0),"")</f>
        <v/>
      </c>
      <c r="Z73" s="72" t="str">
        <f>IFERROR(VLOOKUP($D73,'FERC 2021'!$EA$3:$EN$222,9,0),"")</f>
        <v/>
      </c>
      <c r="AA73" s="72" t="str">
        <f>IFERROR(VLOOKUP($D73,'FERC 2022'!$EA$3:$EN$220,9,0),"")</f>
        <v/>
      </c>
      <c r="AB73" s="72" t="str">
        <f>IFERROR(VLOOKUP($D73,'FERC 2023'!$EA$3:$EN$221,9,0),"")</f>
        <v/>
      </c>
      <c r="AC73" s="72" t="str">
        <f>IFERROR(VLOOKUP($D73,'FERC 2021'!$EA$3:$EN$221,10,0),"")</f>
        <v/>
      </c>
      <c r="AD73" s="72" t="str">
        <f>IFERROR(VLOOKUP($D73,'FERC 2022'!$EA$3:$EN$220,10,0),"")</f>
        <v/>
      </c>
      <c r="AE73" s="72" t="str">
        <f>IFERROR(VLOOKUP($D73,'FERC 2023'!$EA$3:$EN$221,10,0),"")</f>
        <v/>
      </c>
      <c r="AF73" s="72" t="str">
        <f>IFERROR(VLOOKUP($D73,'FERC 2021'!$EA$3:$EN$221,11,0),"")</f>
        <v/>
      </c>
      <c r="AG73" s="72" t="str">
        <f>IFERROR(VLOOKUP($D73,'FERC 2022'!$EA$3:$EN$220,11,0),"")</f>
        <v/>
      </c>
      <c r="AH73" s="72" t="str">
        <f>IFERROR(VLOOKUP($D73,'FERC 2023'!$EA$3:$EN$221,11,0),"")</f>
        <v/>
      </c>
      <c r="AI73" s="72" t="str">
        <f>IFERROR(VLOOKUP($D73,'FERC 2021'!$EA$3:$EN$221,12,0),"")</f>
        <v/>
      </c>
      <c r="AJ73" s="72" t="str">
        <f>IFERROR(VLOOKUP($D73,'FERC 2022'!$EA$3:$EN$220,12,0),"")</f>
        <v/>
      </c>
      <c r="AK73" s="72" t="str">
        <f>IFERROR(VLOOKUP($D73,'FERC 2023'!$EA$3:$EN$221,12,0),"")</f>
        <v/>
      </c>
      <c r="AL73" s="72" t="str">
        <f>VLOOKUP($D73,'FERC 2021'!$EA$3:$EN$221,13,0)</f>
        <v/>
      </c>
      <c r="AM73" s="72" t="str">
        <f>VLOOKUP($D73,'FERC 2022'!$EA$3:$EN$220,13,0)</f>
        <v/>
      </c>
      <c r="AN73" s="72" t="str">
        <f>VLOOKUP($D73,'FERC 2023'!$EA$3:$EN$221,13,0)</f>
        <v/>
      </c>
      <c r="AO73" s="72" t="str">
        <f>IFERROR(VLOOKUP($D73,'FERC 2021'!$EA$3:$EN$221,14,0),"")</f>
        <v/>
      </c>
      <c r="AP73" s="72" t="str">
        <f>IFERROR(VLOOKUP($D73,'FERC 2022'!$EA$3:$EN$220,14,0),"")</f>
        <v/>
      </c>
      <c r="AQ73" s="72" t="str">
        <f>IFERROR(VLOOKUP($D73,'FERC 2023'!$EA$3:$EN$221,14,0),"")</f>
        <v/>
      </c>
    </row>
    <row r="74" spans="1:43" ht="15.75" hidden="1" customHeight="1">
      <c r="A74" s="7" t="s">
        <v>420</v>
      </c>
      <c r="B74" s="7" t="s">
        <v>421</v>
      </c>
      <c r="C74" s="311" t="str">
        <f>'BD DEA'!P74</f>
        <v/>
      </c>
      <c r="D74" s="44" t="str">
        <f t="shared" si="0"/>
        <v>C000772</v>
      </c>
      <c r="E74" s="72">
        <f>IFERROR(VLOOKUP($D74,'FERC 2021'!$EA$3:$EN$221,2,0),"")</f>
        <v>2226885460.4183893</v>
      </c>
      <c r="F74" s="72">
        <f>IFERROR(VLOOKUP($D74,'FERC 2022'!$EA$3:$EN$220,2,0),"")</f>
        <v>2789990375.3428445</v>
      </c>
      <c r="G74" s="72">
        <f>IFERROR(VLOOKUP($D74,'FERC 2023'!$EA$3:$EN$221,2,0),"")</f>
        <v>3255455869.6382241</v>
      </c>
      <c r="H74" s="72">
        <f>IFERROR(VLOOKUP($D74,'FERC 2021'!$EA$3:$EN$225,3,0),"")</f>
        <v>122926867.94964053</v>
      </c>
      <c r="I74" s="72">
        <f>IFERROR(VLOOKUP($D74,'FERC 2022'!$EA$3:$EN$229,3,0),"")</f>
        <v>118029364.67479672</v>
      </c>
      <c r="J74" s="72">
        <f>IFERROR(VLOOKUP($D74,'FERC 2023'!$EA$3:$EN$229,3,0),"")</f>
        <v>132051102.85738152</v>
      </c>
      <c r="K74" s="72">
        <f>IFERROR(VLOOKUP($D74,'FERC 2021'!$EA$3:$EN$229,4,0),"")</f>
        <v>39451743.02044557</v>
      </c>
      <c r="L74" s="72">
        <f>IFERROR(VLOOKUP($D74,'FERC 2022'!$EA$3:$EN$220,4,0),"")</f>
        <v>37463969.935663752</v>
      </c>
      <c r="M74" s="72">
        <f>IFERROR(VLOOKUP($D74,'FERC 2023'!$EA$3:$EN$221,4,0),"")</f>
        <v>41916297.574934952</v>
      </c>
      <c r="N74" s="72">
        <f>IFERROR(VLOOKUP($D74,'FERC 2021'!$EA$3:$EN$221,5,0),"")</f>
        <v>32421335.588127453</v>
      </c>
      <c r="O74" s="72">
        <f>IFERROR(VLOOKUP($D74,'FERC 2022'!$EA$3:$EN$220,5,0),"")</f>
        <v>31392191.000311621</v>
      </c>
      <c r="P74" s="72">
        <f>IFERROR(VLOOKUP($D74,'FERC 2023'!$EA$3:$EN$221,5,0),"")</f>
        <v>29278775.971972417</v>
      </c>
      <c r="Q74" s="72">
        <f>IFERROR(VLOOKUP($D74,'FERC 2021'!$EA$3:$EN$221,6,0),"")</f>
        <v>24646371.146414131</v>
      </c>
      <c r="R74" s="72">
        <f>IFERROR(VLOOKUP($D74,'FERC 2022'!$EA$3:$EN$220,6,0),"")</f>
        <v>21130501.239608873</v>
      </c>
      <c r="S74" s="72">
        <f>IFERROR(VLOOKUP($D74,'FERC 2023'!$EA$3:$EN$221,6,0),"")</f>
        <v>16974821.691913933</v>
      </c>
      <c r="T74" s="72">
        <f>IFERROR(VLOOKUP($D74,'FERC 2021'!$EA$3:$EN$221,7,0),"")</f>
        <v>2740</v>
      </c>
      <c r="U74" s="72">
        <f>IFERROR(VLOOKUP($D74,'FERC 2022'!$EA$3:$EN$220,7,0),"")</f>
        <v>2710</v>
      </c>
      <c r="V74" s="72">
        <f>IFERROR(VLOOKUP($D74,'FERC 2023'!$EA$3:$EN$221,7,0),"")</f>
        <v>2865</v>
      </c>
      <c r="W74" s="72">
        <f>IFERROR(VLOOKUP($D74,'FERC 2021'!$EA$3:$EN$221,8,0),"")</f>
        <v>391918</v>
      </c>
      <c r="X74" s="72">
        <f>IFERROR(VLOOKUP($D74,'FERC 2022'!$EA$3:$EN$220,8,0),"")</f>
        <v>394011</v>
      </c>
      <c r="Y74" s="72">
        <f>IFERROR(VLOOKUP($D74,'FERC 2023'!$EA$3:$EN$221,8,0),"")</f>
        <v>395750</v>
      </c>
      <c r="Z74" s="72">
        <f>IFERROR(VLOOKUP($D74,'FERC 2021'!$EA$3:$EN$222,9,0),"")</f>
        <v>1118377</v>
      </c>
      <c r="AA74" s="72">
        <f>IFERROR(VLOOKUP($D74,'FERC 2022'!$EA$3:$EN$220,9,0),"")</f>
        <v>314789</v>
      </c>
      <c r="AB74" s="72">
        <f>IFERROR(VLOOKUP($D74,'FERC 2023'!$EA$3:$EN$221,9,0),"")</f>
        <v>574703</v>
      </c>
      <c r="AC74" s="72">
        <f>IFERROR(VLOOKUP($D74,'FERC 2021'!$EA$3:$EN$221,10,0),"")</f>
        <v>9618791</v>
      </c>
      <c r="AD74" s="72">
        <f>IFERROR(VLOOKUP($D74,'FERC 2022'!$EA$3:$EN$220,10,0),"")</f>
        <v>9848879</v>
      </c>
      <c r="AE74" s="72">
        <f>IFERROR(VLOOKUP($D74,'FERC 2023'!$EA$3:$EN$221,10,0),"")</f>
        <v>9681511</v>
      </c>
      <c r="AF74" s="72">
        <f>IFERROR(VLOOKUP($D74,'FERC 2021'!$EA$3:$EN$221,11,0),"")</f>
        <v>10622650.431472082</v>
      </c>
      <c r="AG74" s="72">
        <f>IFERROR(VLOOKUP($D74,'FERC 2022'!$EA$3:$EN$220,11,0),"")</f>
        <v>10036719.147208123</v>
      </c>
      <c r="AH74" s="72">
        <f>IFERROR(VLOOKUP($D74,'FERC 2023'!$EA$3:$EN$221,11,0),"")</f>
        <v>10148789.055837564</v>
      </c>
      <c r="AI74" s="72">
        <f>IFERROR(VLOOKUP($D74,'FERC 2021'!$EA$3:$EN$221,12,0),"")</f>
        <v>39481819.32</v>
      </c>
      <c r="AJ74" s="72">
        <f>IFERROR(VLOOKUP($D74,'FERC 2022'!$EA$3:$EN$220,12,0),"")</f>
        <v>41891249.519999996</v>
      </c>
      <c r="AK74" s="72">
        <f>IFERROR(VLOOKUP($D74,'FERC 2023'!$EA$3:$EN$221,12,0),"")</f>
        <v>38276940</v>
      </c>
      <c r="AL74" s="72">
        <f>VLOOKUP($D74,'FERC 2021'!$EA$3:$EN$221,13,0)</f>
        <v>659989.91200000001</v>
      </c>
      <c r="AM74" s="72">
        <f>VLOOKUP($D74,'FERC 2022'!$EA$3:$EN$220,13,0)</f>
        <v>538219.02600000007</v>
      </c>
      <c r="AN74" s="72">
        <f>VLOOKUP($D74,'FERC 2023'!$EA$3:$EN$221,13,0)</f>
        <v>497457.74999999994</v>
      </c>
      <c r="AO74" s="72">
        <f>IFERROR(VLOOKUP($D74,'FERC 2021'!$EA$3:$EN$221,14,0),"")</f>
        <v>391865</v>
      </c>
      <c r="AP74" s="72">
        <f>IFERROR(VLOOKUP($D74,'FERC 2022'!$EA$3:$EN$220,14,0),"")</f>
        <v>393977</v>
      </c>
      <c r="AQ74" s="72">
        <f>IFERROR(VLOOKUP($D74,'FERC 2023'!$EA$3:$EN$221,14,0),"")</f>
        <v>403116</v>
      </c>
    </row>
    <row r="75" spans="1:43" ht="15.75" customHeight="1">
      <c r="A75" s="7" t="s">
        <v>423</v>
      </c>
      <c r="B75" s="7" t="s">
        <v>424</v>
      </c>
      <c r="C75" s="311">
        <f>'BD DEA'!P75</f>
        <v>1</v>
      </c>
      <c r="D75" s="44" t="str">
        <f t="shared" si="0"/>
        <v>C000822</v>
      </c>
      <c r="E75" s="72">
        <f>IFERROR(VLOOKUP($D75,'FERC 2021'!$EA$3:$EN$221,2,0),"")</f>
        <v>6936794490.2288113</v>
      </c>
      <c r="F75" s="72">
        <f>IFERROR(VLOOKUP($D75,'FERC 2022'!$EA$3:$EN$220,2,0),"")</f>
        <v>7289932464.4922199</v>
      </c>
      <c r="G75" s="72">
        <f>IFERROR(VLOOKUP($D75,'FERC 2023'!$EA$3:$EN$221,2,0),"")</f>
        <v>7810857964.5207977</v>
      </c>
      <c r="H75" s="72">
        <f>IFERROR(VLOOKUP($D75,'FERC 2021'!$EA$3:$EN$225,3,0),"")</f>
        <v>416919611.33552951</v>
      </c>
      <c r="I75" s="72">
        <f>IFERROR(VLOOKUP($D75,'FERC 2022'!$EA$3:$EN$229,3,0),"")</f>
        <v>421190380.83432919</v>
      </c>
      <c r="J75" s="72">
        <f>IFERROR(VLOOKUP($D75,'FERC 2023'!$EA$3:$EN$229,3,0),"")</f>
        <v>471363734.75396729</v>
      </c>
      <c r="K75" s="72">
        <f>IFERROR(VLOOKUP($D75,'FERC 2021'!$EA$3:$EN$229,4,0),"")</f>
        <v>135681575.25560692</v>
      </c>
      <c r="L75" s="72">
        <f>IFERROR(VLOOKUP($D75,'FERC 2022'!$EA$3:$EN$220,4,0),"")</f>
        <v>136076733.88021523</v>
      </c>
      <c r="M75" s="72">
        <f>IFERROR(VLOOKUP($D75,'FERC 2023'!$EA$3:$EN$221,4,0),"")</f>
        <v>120903233.7433531</v>
      </c>
      <c r="N75" s="72">
        <f>IFERROR(VLOOKUP($D75,'FERC 2021'!$EA$3:$EN$221,5,0),"")</f>
        <v>226241595.84965003</v>
      </c>
      <c r="O75" s="72">
        <f>IFERROR(VLOOKUP($D75,'FERC 2022'!$EA$3:$EN$220,5,0),"")</f>
        <v>217550208.3659853</v>
      </c>
      <c r="P75" s="72">
        <f>IFERROR(VLOOKUP($D75,'FERC 2023'!$EA$3:$EN$221,5,0),"")</f>
        <v>202060236.41933006</v>
      </c>
      <c r="Q75" s="72">
        <f>IFERROR(VLOOKUP($D75,'FERC 2021'!$EA$3:$EN$221,6,0),"")</f>
        <v>111709788.61553128</v>
      </c>
      <c r="R75" s="72">
        <f>IFERROR(VLOOKUP($D75,'FERC 2022'!$EA$3:$EN$220,6,0),"")</f>
        <v>105827501.45876375</v>
      </c>
      <c r="S75" s="72">
        <f>IFERROR(VLOOKUP($D75,'FERC 2023'!$EA$3:$EN$221,6,0),"")</f>
        <v>107600424.74471022</v>
      </c>
      <c r="T75" s="72">
        <f>IFERROR(VLOOKUP($D75,'FERC 2021'!$EA$3:$EN$221,7,0),"")</f>
        <v>6910</v>
      </c>
      <c r="U75" s="72">
        <f>IFERROR(VLOOKUP($D75,'FERC 2022'!$EA$3:$EN$220,7,0),"")</f>
        <v>6768</v>
      </c>
      <c r="V75" s="72">
        <f>IFERROR(VLOOKUP($D75,'FERC 2023'!$EA$3:$EN$221,7,0),"")</f>
        <v>6819</v>
      </c>
      <c r="W75" s="72">
        <f>IFERROR(VLOOKUP($D75,'FERC 2021'!$EA$3:$EN$221,8,0),"")</f>
        <v>1535807</v>
      </c>
      <c r="X75" s="72">
        <f>IFERROR(VLOOKUP($D75,'FERC 2022'!$EA$3:$EN$220,8,0),"")</f>
        <v>1551784</v>
      </c>
      <c r="Y75" s="72">
        <f>IFERROR(VLOOKUP($D75,'FERC 2023'!$EA$3:$EN$221,8,0),"")</f>
        <v>1569509</v>
      </c>
      <c r="Z75" s="72">
        <f>IFERROR(VLOOKUP($D75,'FERC 2021'!$EA$3:$EN$222,9,0),"")</f>
        <v>1212251</v>
      </c>
      <c r="AA75" s="72">
        <f>IFERROR(VLOOKUP($D75,'FERC 2022'!$EA$3:$EN$220,9,0),"")</f>
        <v>1622725</v>
      </c>
      <c r="AB75" s="72">
        <f>IFERROR(VLOOKUP($D75,'FERC 2023'!$EA$3:$EN$221,9,0),"")</f>
        <v>522739</v>
      </c>
      <c r="AC75" s="72">
        <f>IFERROR(VLOOKUP($D75,'FERC 2021'!$EA$3:$EN$221,10,0),"")</f>
        <v>28932674</v>
      </c>
      <c r="AD75" s="72">
        <f>IFERROR(VLOOKUP($D75,'FERC 2022'!$EA$3:$EN$220,10,0),"")</f>
        <v>28793711</v>
      </c>
      <c r="AE75" s="72">
        <f>IFERROR(VLOOKUP($D75,'FERC 2023'!$EA$3:$EN$221,10,0),"")</f>
        <v>28039983</v>
      </c>
      <c r="AF75" s="72">
        <f>IFERROR(VLOOKUP($D75,'FERC 2021'!$EA$3:$EN$221,11,0),"")</f>
        <v>30036559.304568529</v>
      </c>
      <c r="AG75" s="72">
        <f>IFERROR(VLOOKUP($D75,'FERC 2022'!$EA$3:$EN$220,11,0),"")</f>
        <v>30303464.984771572</v>
      </c>
      <c r="AH75" s="72">
        <f>IFERROR(VLOOKUP($D75,'FERC 2023'!$EA$3:$EN$221,11,0),"")</f>
        <v>28446972.192893401</v>
      </c>
      <c r="AI75" s="72">
        <f>IFERROR(VLOOKUP($D75,'FERC 2021'!$EA$3:$EN$221,12,0),"")</f>
        <v>200522640.95499998</v>
      </c>
      <c r="AJ75" s="72">
        <f>IFERROR(VLOOKUP($D75,'FERC 2022'!$EA$3:$EN$220,12,0),"")</f>
        <v>173498761.90399998</v>
      </c>
      <c r="AK75" s="72">
        <f>IFERROR(VLOOKUP($D75,'FERC 2023'!$EA$3:$EN$221,12,0),"")</f>
        <v>163542837.80000001</v>
      </c>
      <c r="AL75" s="72">
        <f>VLOOKUP($D75,'FERC 2021'!$EA$3:$EN$221,13,0)</f>
        <v>1835289.365</v>
      </c>
      <c r="AM75" s="72">
        <f>VLOOKUP($D75,'FERC 2022'!$EA$3:$EN$220,13,0)</f>
        <v>1817139.064</v>
      </c>
      <c r="AN75" s="72">
        <f>VLOOKUP($D75,'FERC 2023'!$EA$3:$EN$221,13,0)</f>
        <v>1600899.18</v>
      </c>
      <c r="AO75" s="72">
        <f>IFERROR(VLOOKUP($D75,'FERC 2021'!$EA$3:$EN$221,14,0),"")</f>
        <v>1387453</v>
      </c>
      <c r="AP75" s="72">
        <f>IFERROR(VLOOKUP($D75,'FERC 2022'!$EA$3:$EN$220,14,0),"")</f>
        <v>1408934</v>
      </c>
      <c r="AQ75" s="72">
        <f>IFERROR(VLOOKUP($D75,'FERC 2023'!$EA$3:$EN$221,14,0),"")</f>
        <v>1432396</v>
      </c>
    </row>
    <row r="76" spans="1:43" ht="15.75" hidden="1" customHeight="1">
      <c r="A76" s="7" t="s">
        <v>426</v>
      </c>
      <c r="B76" s="7" t="s">
        <v>427</v>
      </c>
      <c r="C76" s="311" t="str">
        <f>'BD DEA'!P76</f>
        <v/>
      </c>
      <c r="D76" s="44" t="str">
        <f t="shared" si="0"/>
        <v>C000823</v>
      </c>
      <c r="E76" s="72">
        <f>IFERROR(VLOOKUP($D76,'FERC 2021'!$EA$3:$EN$221,2,0),"")</f>
        <v>2420574404.7701335</v>
      </c>
      <c r="F76" s="72">
        <f>IFERROR(VLOOKUP($D76,'FERC 2022'!$EA$3:$EN$220,2,0),"")</f>
        <v>2567616883.1181479</v>
      </c>
      <c r="G76" s="72">
        <f>IFERROR(VLOOKUP($D76,'FERC 2023'!$EA$3:$EN$221,2,0),"")</f>
        <v>2785488743.4011679</v>
      </c>
      <c r="H76" s="72">
        <f>IFERROR(VLOOKUP($D76,'FERC 2021'!$EA$3:$EN$225,3,0),"")</f>
        <v>63897243.014503635</v>
      </c>
      <c r="I76" s="72">
        <f>IFERROR(VLOOKUP($D76,'FERC 2022'!$EA$3:$EN$229,3,0),"")</f>
        <v>63800255.605802856</v>
      </c>
      <c r="J76" s="72">
        <f>IFERROR(VLOOKUP($D76,'FERC 2023'!$EA$3:$EN$229,3,0),"")</f>
        <v>77044860.38403371</v>
      </c>
      <c r="K76" s="72">
        <f>IFERROR(VLOOKUP($D76,'FERC 2021'!$EA$3:$EN$229,4,0),"")</f>
        <v>36886433.4876315</v>
      </c>
      <c r="L76" s="72">
        <f>IFERROR(VLOOKUP($D76,'FERC 2022'!$EA$3:$EN$220,4,0),"")</f>
        <v>38997688.533892713</v>
      </c>
      <c r="M76" s="72">
        <f>IFERROR(VLOOKUP($D76,'FERC 2023'!$EA$3:$EN$221,4,0),"")</f>
        <v>47975408.833641455</v>
      </c>
      <c r="N76" s="72">
        <f>IFERROR(VLOOKUP($D76,'FERC 2021'!$EA$3:$EN$221,5,0),"")</f>
        <v>27050069.919699654</v>
      </c>
      <c r="O76" s="72">
        <f>IFERROR(VLOOKUP($D76,'FERC 2022'!$EA$3:$EN$220,5,0),"")</f>
        <v>27680960.088835139</v>
      </c>
      <c r="P76" s="72">
        <f>IFERROR(VLOOKUP($D76,'FERC 2023'!$EA$3:$EN$221,5,0),"")</f>
        <v>30277880.07742691</v>
      </c>
      <c r="Q76" s="72">
        <f>IFERROR(VLOOKUP($D76,'FERC 2021'!$EA$3:$EN$221,6,0),"")</f>
        <v>19867143.313179914</v>
      </c>
      <c r="R76" s="72">
        <f>IFERROR(VLOOKUP($D76,'FERC 2022'!$EA$3:$EN$220,6,0),"")</f>
        <v>22014497.507153153</v>
      </c>
      <c r="S76" s="72">
        <f>IFERROR(VLOOKUP($D76,'FERC 2023'!$EA$3:$EN$221,6,0),"")</f>
        <v>25139238.561741769</v>
      </c>
      <c r="T76" s="72">
        <f>IFERROR(VLOOKUP($D76,'FERC 2021'!$EA$3:$EN$221,7,0),"")</f>
        <v>1329</v>
      </c>
      <c r="U76" s="72">
        <f>IFERROR(VLOOKUP($D76,'FERC 2022'!$EA$3:$EN$220,7,0),"")</f>
        <v>1362</v>
      </c>
      <c r="V76" s="72">
        <f>IFERROR(VLOOKUP($D76,'FERC 2023'!$EA$3:$EN$221,7,0),"")</f>
        <v>1425</v>
      </c>
      <c r="W76" s="72">
        <f>IFERROR(VLOOKUP($D76,'FERC 2021'!$EA$3:$EN$221,8,0),"")</f>
        <v>265235</v>
      </c>
      <c r="X76" s="72">
        <f>IFERROR(VLOOKUP($D76,'FERC 2022'!$EA$3:$EN$220,8,0),"")</f>
        <v>266952</v>
      </c>
      <c r="Y76" s="72">
        <f>IFERROR(VLOOKUP($D76,'FERC 2023'!$EA$3:$EN$221,8,0),"")</f>
        <v>268830</v>
      </c>
      <c r="Z76" s="72">
        <f>IFERROR(VLOOKUP($D76,'FERC 2021'!$EA$3:$EN$222,9,0),"")</f>
        <v>476953</v>
      </c>
      <c r="AA76" s="72">
        <f>IFERROR(VLOOKUP($D76,'FERC 2022'!$EA$3:$EN$220,9,0),"")</f>
        <v>527543</v>
      </c>
      <c r="AB76" s="72">
        <f>IFERROR(VLOOKUP($D76,'FERC 2023'!$EA$3:$EN$221,9,0),"")</f>
        <v>529673</v>
      </c>
      <c r="AC76" s="72">
        <f>IFERROR(VLOOKUP($D76,'FERC 2021'!$EA$3:$EN$221,10,0),"")</f>
        <v>6788131</v>
      </c>
      <c r="AD76" s="72">
        <f>IFERROR(VLOOKUP($D76,'FERC 2022'!$EA$3:$EN$220,10,0),"")</f>
        <v>6966794</v>
      </c>
      <c r="AE76" s="72">
        <f>IFERROR(VLOOKUP($D76,'FERC 2023'!$EA$3:$EN$221,10,0),"")</f>
        <v>6888194</v>
      </c>
      <c r="AF76" s="72">
        <f>IFERROR(VLOOKUP($D76,'FERC 2021'!$EA$3:$EN$221,11,0),"")</f>
        <v>7265084</v>
      </c>
      <c r="AG76" s="72">
        <f>IFERROR(VLOOKUP($D76,'FERC 2022'!$EA$3:$EN$220,11,0),"")</f>
        <v>7494337</v>
      </c>
      <c r="AH76" s="72">
        <f>IFERROR(VLOOKUP($D76,'FERC 2023'!$EA$3:$EN$221,11,0),"")</f>
        <v>7417867</v>
      </c>
      <c r="AI76" s="72">
        <f>IFERROR(VLOOKUP($D76,'FERC 2021'!$EA$3:$EN$221,12,0),"")</f>
        <v>46938372.714999996</v>
      </c>
      <c r="AJ76" s="72">
        <f>IFERROR(VLOOKUP($D76,'FERC 2022'!$EA$3:$EN$220,12,0),"")</f>
        <v>56547641.303999998</v>
      </c>
      <c r="AK76" s="72">
        <f>IFERROR(VLOOKUP($D76,'FERC 2023'!$EA$3:$EN$221,12,0),"")</f>
        <v>43948328.399999999</v>
      </c>
      <c r="AL76" s="72">
        <f>VLOOKUP($D76,'FERC 2021'!$EA$3:$EN$221,13,0)</f>
        <v>560176.32000000007</v>
      </c>
      <c r="AM76" s="72">
        <f>VLOOKUP($D76,'FERC 2022'!$EA$3:$EN$220,13,0)</f>
        <v>526429.34400000004</v>
      </c>
      <c r="AN76" s="72">
        <f>VLOOKUP($D76,'FERC 2023'!$EA$3:$EN$221,13,0)</f>
        <v>427439.7</v>
      </c>
      <c r="AO76" s="72">
        <f>IFERROR(VLOOKUP($D76,'FERC 2021'!$EA$3:$EN$221,14,0),"")</f>
        <v>9121</v>
      </c>
      <c r="AP76" s="72">
        <f>IFERROR(VLOOKUP($D76,'FERC 2022'!$EA$3:$EN$220,14,0),"")</f>
        <v>9141</v>
      </c>
      <c r="AQ76" s="72">
        <f>IFERROR(VLOOKUP($D76,'FERC 2023'!$EA$3:$EN$221,14,0),"")</f>
        <v>9151</v>
      </c>
    </row>
    <row r="77" spans="1:43" ht="15.75" customHeight="1">
      <c r="A77" s="7" t="s">
        <v>429</v>
      </c>
      <c r="B77" s="7" t="s">
        <v>430</v>
      </c>
      <c r="C77" s="311">
        <f>'BD DEA'!P77</f>
        <v>1</v>
      </c>
      <c r="D77" s="44" t="str">
        <f t="shared" si="0"/>
        <v>C000824</v>
      </c>
      <c r="E77" s="72">
        <f>IFERROR(VLOOKUP($D77,'FERC 2021'!$EA$3:$EN$221,2,0),"")</f>
        <v>7205147490.9248257</v>
      </c>
      <c r="F77" s="72">
        <f>IFERROR(VLOOKUP($D77,'FERC 2022'!$EA$3:$EN$220,2,0),"")</f>
        <v>7642524002.5431442</v>
      </c>
      <c r="G77" s="72">
        <f>IFERROR(VLOOKUP($D77,'FERC 2023'!$EA$3:$EN$221,2,0),"")</f>
        <v>8101787242.0995474</v>
      </c>
      <c r="H77" s="72">
        <f>IFERROR(VLOOKUP($D77,'FERC 2021'!$EA$3:$EN$225,3,0),"")</f>
        <v>155832702.14667544</v>
      </c>
      <c r="I77" s="72">
        <f>IFERROR(VLOOKUP($D77,'FERC 2022'!$EA$3:$EN$229,3,0),"")</f>
        <v>182350675.04516977</v>
      </c>
      <c r="J77" s="72">
        <f>IFERROR(VLOOKUP($D77,'FERC 2023'!$EA$3:$EN$229,3,0),"")</f>
        <v>284982833.0416193</v>
      </c>
      <c r="K77" s="72">
        <f>IFERROR(VLOOKUP($D77,'FERC 2021'!$EA$3:$EN$229,4,0),"")</f>
        <v>139251681.81004313</v>
      </c>
      <c r="L77" s="72">
        <f>IFERROR(VLOOKUP($D77,'FERC 2022'!$EA$3:$EN$220,4,0),"")</f>
        <v>135433809.88384888</v>
      </c>
      <c r="M77" s="72">
        <f>IFERROR(VLOOKUP($D77,'FERC 2023'!$EA$3:$EN$221,4,0),"")</f>
        <v>128574541.86257501</v>
      </c>
      <c r="N77" s="72">
        <f>IFERROR(VLOOKUP($D77,'FERC 2021'!$EA$3:$EN$221,5,0),"")</f>
        <v>238232297.78347719</v>
      </c>
      <c r="O77" s="72">
        <f>IFERROR(VLOOKUP($D77,'FERC 2022'!$EA$3:$EN$220,5,0),"")</f>
        <v>231167951.39061913</v>
      </c>
      <c r="P77" s="72">
        <f>IFERROR(VLOOKUP($D77,'FERC 2023'!$EA$3:$EN$221,5,0),"")</f>
        <v>188049856.10218948</v>
      </c>
      <c r="Q77" s="72">
        <f>IFERROR(VLOOKUP($D77,'FERC 2021'!$EA$3:$EN$221,6,0),"")</f>
        <v>83997732.918463081</v>
      </c>
      <c r="R77" s="72">
        <f>IFERROR(VLOOKUP($D77,'FERC 2022'!$EA$3:$EN$220,6,0),"")</f>
        <v>87165401.291972235</v>
      </c>
      <c r="S77" s="72">
        <f>IFERROR(VLOOKUP($D77,'FERC 2023'!$EA$3:$EN$221,6,0),"")</f>
        <v>88892885.367321134</v>
      </c>
      <c r="T77" s="72">
        <f>IFERROR(VLOOKUP($D77,'FERC 2021'!$EA$3:$EN$221,7,0),"")</f>
        <v>7548</v>
      </c>
      <c r="U77" s="72">
        <f>IFERROR(VLOOKUP($D77,'FERC 2022'!$EA$3:$EN$220,7,0),"")</f>
        <v>7882</v>
      </c>
      <c r="V77" s="72">
        <f>IFERROR(VLOOKUP($D77,'FERC 2023'!$EA$3:$EN$221,7,0),"")</f>
        <v>7806</v>
      </c>
      <c r="W77" s="72">
        <f>IFERROR(VLOOKUP($D77,'FERC 2021'!$EA$3:$EN$221,8,0),"")</f>
        <v>1522746</v>
      </c>
      <c r="X77" s="72">
        <f>IFERROR(VLOOKUP($D77,'FERC 2022'!$EA$3:$EN$220,8,0),"")</f>
        <v>1538707</v>
      </c>
      <c r="Y77" s="72">
        <f>IFERROR(VLOOKUP($D77,'FERC 2023'!$EA$3:$EN$221,8,0),"")</f>
        <v>1556301</v>
      </c>
      <c r="Z77" s="72">
        <f>IFERROR(VLOOKUP($D77,'FERC 2021'!$EA$3:$EN$222,9,0),"")</f>
        <v>1773712</v>
      </c>
      <c r="AA77" s="72">
        <f>IFERROR(VLOOKUP($D77,'FERC 2022'!$EA$3:$EN$220,9,0),"")</f>
        <v>1564326</v>
      </c>
      <c r="AB77" s="72">
        <f>IFERROR(VLOOKUP($D77,'FERC 2023'!$EA$3:$EN$221,9,0),"")</f>
        <v>203846</v>
      </c>
      <c r="AC77" s="72">
        <f>IFERROR(VLOOKUP($D77,'FERC 2021'!$EA$3:$EN$221,10,0),"")</f>
        <v>33135807</v>
      </c>
      <c r="AD77" s="72">
        <f>IFERROR(VLOOKUP($D77,'FERC 2022'!$EA$3:$EN$220,10,0),"")</f>
        <v>33396282</v>
      </c>
      <c r="AE77" s="72">
        <f>IFERROR(VLOOKUP($D77,'FERC 2023'!$EA$3:$EN$221,10,0),"")</f>
        <v>33101611</v>
      </c>
      <c r="AF77" s="72">
        <f>IFERROR(VLOOKUP($D77,'FERC 2021'!$EA$3:$EN$221,11,0),"")</f>
        <v>34670479.304568529</v>
      </c>
      <c r="AG77" s="72">
        <f>IFERROR(VLOOKUP($D77,'FERC 2022'!$EA$3:$EN$220,11,0),"")</f>
        <v>34714555.659898475</v>
      </c>
      <c r="AH77" s="72">
        <f>IFERROR(VLOOKUP($D77,'FERC 2023'!$EA$3:$EN$221,11,0),"")</f>
        <v>33078191.878172591</v>
      </c>
      <c r="AI77" s="72">
        <f>IFERROR(VLOOKUP($D77,'FERC 2021'!$EA$3:$EN$221,12,0),"")</f>
        <v>140503773.41999999</v>
      </c>
      <c r="AJ77" s="72">
        <f>IFERROR(VLOOKUP($D77,'FERC 2022'!$EA$3:$EN$220,12,0),"")</f>
        <v>138466704.22300002</v>
      </c>
      <c r="AK77" s="72">
        <f>IFERROR(VLOOKUP($D77,'FERC 2023'!$EA$3:$EN$221,12,0),"")</f>
        <v>129888881.45999999</v>
      </c>
      <c r="AL77" s="72">
        <f>VLOOKUP($D77,'FERC 2021'!$EA$3:$EN$221,13,0)</f>
        <v>1586701.3320000002</v>
      </c>
      <c r="AM77" s="72">
        <f>VLOOKUP($D77,'FERC 2022'!$EA$3:$EN$220,13,0)</f>
        <v>1666419.6809999999</v>
      </c>
      <c r="AN77" s="72">
        <f>VLOOKUP($D77,'FERC 2023'!$EA$3:$EN$221,13,0)</f>
        <v>1649679.06</v>
      </c>
      <c r="AO77" s="72">
        <f>IFERROR(VLOOKUP($D77,'FERC 2021'!$EA$3:$EN$221,14,0),"")</f>
        <v>1356531</v>
      </c>
      <c r="AP77" s="72">
        <f>IFERROR(VLOOKUP($D77,'FERC 2022'!$EA$3:$EN$220,14,0),"")</f>
        <v>1380908</v>
      </c>
      <c r="AQ77" s="72">
        <f>IFERROR(VLOOKUP($D77,'FERC 2023'!$EA$3:$EN$221,14,0),"")</f>
        <v>1387709</v>
      </c>
    </row>
    <row r="78" spans="1:43" ht="15.75" customHeight="1">
      <c r="A78" s="7" t="s">
        <v>432</v>
      </c>
      <c r="B78" s="7" t="s">
        <v>433</v>
      </c>
      <c r="C78" s="311">
        <f>'BD DEA'!P78</f>
        <v>1</v>
      </c>
      <c r="D78" s="44" t="str">
        <f t="shared" si="0"/>
        <v>C000825</v>
      </c>
      <c r="E78" s="72">
        <f>IFERROR(VLOOKUP($D78,'FERC 2021'!$EA$3:$EN$221,2,0),"")</f>
        <v>3930611865.7523808</v>
      </c>
      <c r="F78" s="72">
        <f>IFERROR(VLOOKUP($D78,'FERC 2022'!$EA$3:$EN$220,2,0),"")</f>
        <v>4277449714.5399375</v>
      </c>
      <c r="G78" s="72">
        <f>IFERROR(VLOOKUP($D78,'FERC 2023'!$EA$3:$EN$221,2,0),"")</f>
        <v>4596256754.8150311</v>
      </c>
      <c r="H78" s="72">
        <f>IFERROR(VLOOKUP($D78,'FERC 2021'!$EA$3:$EN$225,3,0),"")</f>
        <v>104345094.09651569</v>
      </c>
      <c r="I78" s="72">
        <f>IFERROR(VLOOKUP($D78,'FERC 2022'!$EA$3:$EN$229,3,0),"")</f>
        <v>106851238.66636637</v>
      </c>
      <c r="J78" s="72">
        <f>IFERROR(VLOOKUP($D78,'FERC 2023'!$EA$3:$EN$229,3,0),"")</f>
        <v>121418620.54677482</v>
      </c>
      <c r="K78" s="72">
        <f>IFERROR(VLOOKUP($D78,'FERC 2021'!$EA$3:$EN$229,4,0),"")</f>
        <v>49933120.392782032</v>
      </c>
      <c r="L78" s="72">
        <f>IFERROR(VLOOKUP($D78,'FERC 2022'!$EA$3:$EN$220,4,0),"")</f>
        <v>46020463.741389856</v>
      </c>
      <c r="M78" s="72">
        <f>IFERROR(VLOOKUP($D78,'FERC 2023'!$EA$3:$EN$221,4,0),"")</f>
        <v>43856710.597126126</v>
      </c>
      <c r="N78" s="72">
        <f>IFERROR(VLOOKUP($D78,'FERC 2021'!$EA$3:$EN$221,5,0),"")</f>
        <v>51669309.180153459</v>
      </c>
      <c r="O78" s="72">
        <f>IFERROR(VLOOKUP($D78,'FERC 2022'!$EA$3:$EN$220,5,0),"")</f>
        <v>56973803.038121924</v>
      </c>
      <c r="P78" s="72">
        <f>IFERROR(VLOOKUP($D78,'FERC 2023'!$EA$3:$EN$221,5,0),"")</f>
        <v>56263790.48400531</v>
      </c>
      <c r="Q78" s="72">
        <f>IFERROR(VLOOKUP($D78,'FERC 2021'!$EA$3:$EN$221,6,0),"")</f>
        <v>28689904.297825713</v>
      </c>
      <c r="R78" s="72">
        <f>IFERROR(VLOOKUP($D78,'FERC 2022'!$EA$3:$EN$220,6,0),"")</f>
        <v>34814970.068265364</v>
      </c>
      <c r="S78" s="72">
        <f>IFERROR(VLOOKUP($D78,'FERC 2023'!$EA$3:$EN$221,6,0),"")</f>
        <v>42051423.059158526</v>
      </c>
      <c r="T78" s="72">
        <f>IFERROR(VLOOKUP($D78,'FERC 2021'!$EA$3:$EN$221,7,0),"")</f>
        <v>4018</v>
      </c>
      <c r="U78" s="72">
        <f>IFERROR(VLOOKUP($D78,'FERC 2022'!$EA$3:$EN$220,7,0),"")</f>
        <v>4255</v>
      </c>
      <c r="V78" s="72">
        <f>IFERROR(VLOOKUP($D78,'FERC 2023'!$EA$3:$EN$221,7,0),"")</f>
        <v>4325</v>
      </c>
      <c r="W78" s="72">
        <f>IFERROR(VLOOKUP($D78,'FERC 2021'!$EA$3:$EN$221,8,0),"")</f>
        <v>400214</v>
      </c>
      <c r="X78" s="72">
        <f>IFERROR(VLOOKUP($D78,'FERC 2022'!$EA$3:$EN$220,8,0),"")</f>
        <v>403682</v>
      </c>
      <c r="Y78" s="72">
        <f>IFERROR(VLOOKUP($D78,'FERC 2023'!$EA$3:$EN$221,8,0),"")</f>
        <v>406432</v>
      </c>
      <c r="Z78" s="72">
        <f>IFERROR(VLOOKUP($D78,'FERC 2021'!$EA$3:$EN$222,9,0),"")</f>
        <v>130381</v>
      </c>
      <c r="AA78" s="72">
        <f>IFERROR(VLOOKUP($D78,'FERC 2022'!$EA$3:$EN$220,9,0),"")</f>
        <v>793034</v>
      </c>
      <c r="AB78" s="72">
        <f>IFERROR(VLOOKUP($D78,'FERC 2023'!$EA$3:$EN$221,9,0),"")</f>
        <v>873690</v>
      </c>
      <c r="AC78" s="72">
        <f>IFERROR(VLOOKUP($D78,'FERC 2021'!$EA$3:$EN$221,10,0),"")</f>
        <v>20859917</v>
      </c>
      <c r="AD78" s="72">
        <f>IFERROR(VLOOKUP($D78,'FERC 2022'!$EA$3:$EN$220,10,0),"")</f>
        <v>22611571</v>
      </c>
      <c r="AE78" s="72">
        <f>IFERROR(VLOOKUP($D78,'FERC 2023'!$EA$3:$EN$221,10,0),"")</f>
        <v>23434361</v>
      </c>
      <c r="AF78" s="72">
        <f>IFERROR(VLOOKUP($D78,'FERC 2021'!$EA$3:$EN$221,11,0),"")</f>
        <v>20863056.045685276</v>
      </c>
      <c r="AG78" s="72">
        <f>IFERROR(VLOOKUP($D78,'FERC 2022'!$EA$3:$EN$220,11,0),"")</f>
        <v>23309463.944162436</v>
      </c>
      <c r="AH78" s="72">
        <f>IFERROR(VLOOKUP($D78,'FERC 2023'!$EA$3:$EN$221,11,0),"")</f>
        <v>24219293.060913704</v>
      </c>
      <c r="AI78" s="72">
        <f>IFERROR(VLOOKUP($D78,'FERC 2021'!$EA$3:$EN$221,12,0),"")</f>
        <v>51447109.486000001</v>
      </c>
      <c r="AJ78" s="72">
        <f>IFERROR(VLOOKUP($D78,'FERC 2022'!$EA$3:$EN$220,12,0),"")</f>
        <v>42959434.758000001</v>
      </c>
      <c r="AK78" s="72">
        <f>IFERROR(VLOOKUP($D78,'FERC 2023'!$EA$3:$EN$221,12,0),"")</f>
        <v>47312749.119999997</v>
      </c>
      <c r="AL78" s="72">
        <f>VLOOKUP($D78,'FERC 2021'!$EA$3:$EN$221,13,0)</f>
        <v>729590.12199999997</v>
      </c>
      <c r="AM78" s="72">
        <f>VLOOKUP($D78,'FERC 2022'!$EA$3:$EN$220,13,0)</f>
        <v>375827.94200000004</v>
      </c>
      <c r="AN78" s="72">
        <f>VLOOKUP($D78,'FERC 2023'!$EA$3:$EN$221,13,0)</f>
        <v>564940.48</v>
      </c>
      <c r="AO78" s="72">
        <f>IFERROR(VLOOKUP($D78,'FERC 2021'!$EA$3:$EN$221,14,0),"")</f>
        <v>4551</v>
      </c>
      <c r="AP78" s="72">
        <f>IFERROR(VLOOKUP($D78,'FERC 2022'!$EA$3:$EN$220,14,0),"")</f>
        <v>7871</v>
      </c>
      <c r="AQ78" s="72">
        <f>IFERROR(VLOOKUP($D78,'FERC 2023'!$EA$3:$EN$221,14,0),"")</f>
        <v>7999</v>
      </c>
    </row>
    <row r="79" spans="1:43" ht="15.75" customHeight="1">
      <c r="A79" s="7" t="s">
        <v>435</v>
      </c>
      <c r="B79" s="7" t="s">
        <v>436</v>
      </c>
      <c r="C79" s="311">
        <f>'BD DEA'!P79</f>
        <v>1</v>
      </c>
      <c r="D79" s="44" t="str">
        <f t="shared" si="0"/>
        <v>C000851</v>
      </c>
      <c r="E79" s="72">
        <f>IFERROR(VLOOKUP($D79,'FERC 2021'!$EA$3:$EN$221,2,0),"")</f>
        <v>3225175299.9186759</v>
      </c>
      <c r="F79" s="72">
        <f>IFERROR(VLOOKUP($D79,'FERC 2022'!$EA$3:$EN$220,2,0),"")</f>
        <v>3269771356.9528408</v>
      </c>
      <c r="G79" s="72">
        <f>IFERROR(VLOOKUP($D79,'FERC 2023'!$EA$3:$EN$221,2,0),"")</f>
        <v>3501395372.8001318</v>
      </c>
      <c r="H79" s="72">
        <f>IFERROR(VLOOKUP($D79,'FERC 2021'!$EA$3:$EN$225,3,0),"")</f>
        <v>166142082.21005145</v>
      </c>
      <c r="I79" s="72">
        <f>IFERROR(VLOOKUP($D79,'FERC 2022'!$EA$3:$EN$229,3,0),"")</f>
        <v>197995429.43426433</v>
      </c>
      <c r="J79" s="72">
        <f>IFERROR(VLOOKUP($D79,'FERC 2023'!$EA$3:$EN$229,3,0),"")</f>
        <v>217017618.76423824</v>
      </c>
      <c r="K79" s="72">
        <f>IFERROR(VLOOKUP($D79,'FERC 2021'!$EA$3:$EN$229,4,0),"")</f>
        <v>58351971.479012407</v>
      </c>
      <c r="L79" s="72">
        <f>IFERROR(VLOOKUP($D79,'FERC 2022'!$EA$3:$EN$220,4,0),"")</f>
        <v>70935332.5240352</v>
      </c>
      <c r="M79" s="72">
        <f>IFERROR(VLOOKUP($D79,'FERC 2023'!$EA$3:$EN$221,4,0),"")</f>
        <v>78042922.632807046</v>
      </c>
      <c r="N79" s="72">
        <f>IFERROR(VLOOKUP($D79,'FERC 2021'!$EA$3:$EN$221,5,0),"")</f>
        <v>43297127.322431944</v>
      </c>
      <c r="O79" s="72">
        <f>IFERROR(VLOOKUP($D79,'FERC 2022'!$EA$3:$EN$220,5,0),"")</f>
        <v>47407412.418550529</v>
      </c>
      <c r="P79" s="72">
        <f>IFERROR(VLOOKUP($D79,'FERC 2023'!$EA$3:$EN$221,5,0),"")</f>
        <v>47093185.064778753</v>
      </c>
      <c r="Q79" s="72">
        <f>IFERROR(VLOOKUP($D79,'FERC 2021'!$EA$3:$EN$221,6,0),"")</f>
        <v>50188297.894005187</v>
      </c>
      <c r="R79" s="72">
        <f>IFERROR(VLOOKUP($D79,'FERC 2022'!$EA$3:$EN$220,6,0),"")</f>
        <v>50915813.161378421</v>
      </c>
      <c r="S79" s="72">
        <f>IFERROR(VLOOKUP($D79,'FERC 2023'!$EA$3:$EN$221,6,0),"")</f>
        <v>61357746.872694984</v>
      </c>
      <c r="T79" s="72">
        <f>IFERROR(VLOOKUP($D79,'FERC 2021'!$EA$3:$EN$221,7,0),"")</f>
        <v>3704</v>
      </c>
      <c r="U79" s="72">
        <f>IFERROR(VLOOKUP($D79,'FERC 2022'!$EA$3:$EN$220,7,0),"")</f>
        <v>3950</v>
      </c>
      <c r="V79" s="72">
        <f>IFERROR(VLOOKUP($D79,'FERC 2023'!$EA$3:$EN$221,7,0),"")</f>
        <v>4153</v>
      </c>
      <c r="W79" s="72">
        <f>IFERROR(VLOOKUP($D79,'FERC 2021'!$EA$3:$EN$221,8,0),"")</f>
        <v>481816</v>
      </c>
      <c r="X79" s="72">
        <f>IFERROR(VLOOKUP($D79,'FERC 2022'!$EA$3:$EN$220,8,0),"")</f>
        <v>493592</v>
      </c>
      <c r="Y79" s="72">
        <f>IFERROR(VLOOKUP($D79,'FERC 2023'!$EA$3:$EN$221,8,0),"")</f>
        <v>506334</v>
      </c>
      <c r="Z79" s="72">
        <f>IFERROR(VLOOKUP($D79,'FERC 2021'!$EA$3:$EN$222,9,0),"")</f>
        <v>795226</v>
      </c>
      <c r="AA79" s="72">
        <f>IFERROR(VLOOKUP($D79,'FERC 2022'!$EA$3:$EN$220,9,0),"")</f>
        <v>756787</v>
      </c>
      <c r="AB79" s="72">
        <f>IFERROR(VLOOKUP($D79,'FERC 2023'!$EA$3:$EN$221,9,0),"")</f>
        <v>732751</v>
      </c>
      <c r="AC79" s="72">
        <f>IFERROR(VLOOKUP($D79,'FERC 2021'!$EA$3:$EN$221,10,0),"")</f>
        <v>19679424</v>
      </c>
      <c r="AD79" s="72">
        <f>IFERROR(VLOOKUP($D79,'FERC 2022'!$EA$3:$EN$220,10,0),"")</f>
        <v>21265553</v>
      </c>
      <c r="AE79" s="72">
        <f>IFERROR(VLOOKUP($D79,'FERC 2023'!$EA$3:$EN$221,10,0),"")</f>
        <v>21164484</v>
      </c>
      <c r="AF79" s="72">
        <f>IFERROR(VLOOKUP($D79,'FERC 2021'!$EA$3:$EN$221,11,0),"")</f>
        <v>20438525.492385786</v>
      </c>
      <c r="AG79" s="72">
        <f>IFERROR(VLOOKUP($D79,'FERC 2022'!$EA$3:$EN$220,11,0),"")</f>
        <v>22005708.59390863</v>
      </c>
      <c r="AH79" s="72">
        <f>IFERROR(VLOOKUP($D79,'FERC 2023'!$EA$3:$EN$221,11,0),"")</f>
        <v>21890193.36040609</v>
      </c>
      <c r="AI79" s="72">
        <f>IFERROR(VLOOKUP($D79,'FERC 2021'!$EA$3:$EN$221,12,0),"")</f>
        <v>134956661.60000002</v>
      </c>
      <c r="AJ79" s="72">
        <f>IFERROR(VLOOKUP($D79,'FERC 2022'!$EA$3:$EN$220,12,0),"")</f>
        <v>178334789.59999999</v>
      </c>
      <c r="AK79" s="72">
        <f>IFERROR(VLOOKUP($D79,'FERC 2023'!$EA$3:$EN$221,12,0),"")</f>
        <v>156457206</v>
      </c>
      <c r="AL79" s="72">
        <f>VLOOKUP($D79,'FERC 2021'!$EA$3:$EN$221,13,0)</f>
        <v>1594329.1440000001</v>
      </c>
      <c r="AM79" s="72">
        <f>VLOOKUP($D79,'FERC 2022'!$EA$3:$EN$220,13,0)</f>
        <v>1231018.4480000001</v>
      </c>
      <c r="AN79" s="72">
        <f>VLOOKUP($D79,'FERC 2023'!$EA$3:$EN$221,13,0)</f>
        <v>1202543.25</v>
      </c>
      <c r="AO79" s="72">
        <f>IFERROR(VLOOKUP($D79,'FERC 2021'!$EA$3:$EN$221,14,0),"")</f>
        <v>542799</v>
      </c>
      <c r="AP79" s="72">
        <f>IFERROR(VLOOKUP($D79,'FERC 2022'!$EA$3:$EN$220,14,0),"")</f>
        <v>500080</v>
      </c>
      <c r="AQ79" s="72">
        <f>IFERROR(VLOOKUP($D79,'FERC 2023'!$EA$3:$EN$221,14,0),"")</f>
        <v>576694</v>
      </c>
    </row>
    <row r="80" spans="1:43" ht="15.75" hidden="1" customHeight="1">
      <c r="A80" s="7" t="s">
        <v>438</v>
      </c>
      <c r="B80" s="7" t="s">
        <v>439</v>
      </c>
      <c r="C80" s="311" t="str">
        <f>'BD DEA'!P80</f>
        <v/>
      </c>
      <c r="D80" s="44" t="str">
        <f t="shared" si="0"/>
        <v>C000852</v>
      </c>
      <c r="E80" s="72" t="str">
        <f>IFERROR(VLOOKUP($D80,'FERC 2021'!$EA$3:$EN$221,2,0),"")</f>
        <v/>
      </c>
      <c r="F80" s="72" t="str">
        <f>IFERROR(VLOOKUP($D80,'FERC 2022'!$EA$3:$EN$220,2,0),"")</f>
        <v/>
      </c>
      <c r="G80" s="72" t="str">
        <f>IFERROR(VLOOKUP($D80,'FERC 2023'!$EA$3:$EN$221,2,0),"")</f>
        <v/>
      </c>
      <c r="H80" s="72" t="str">
        <f>IFERROR(VLOOKUP($D80,'FERC 2021'!$EA$3:$EN$225,3,0),"")</f>
        <v/>
      </c>
      <c r="I80" s="72" t="str">
        <f>IFERROR(VLOOKUP($D80,'FERC 2022'!$EA$3:$EN$229,3,0),"")</f>
        <v/>
      </c>
      <c r="J80" s="72" t="str">
        <f>IFERROR(VLOOKUP($D80,'FERC 2023'!$EA$3:$EN$229,3,0),"")</f>
        <v/>
      </c>
      <c r="K80" s="72" t="str">
        <f>IFERROR(VLOOKUP($D80,'FERC 2021'!$EA$3:$EN$229,4,0),"")</f>
        <v/>
      </c>
      <c r="L80" s="72" t="str">
        <f>IFERROR(VLOOKUP($D80,'FERC 2022'!$EA$3:$EN$220,4,0),"")</f>
        <v/>
      </c>
      <c r="M80" s="72" t="str">
        <f>IFERROR(VLOOKUP($D80,'FERC 2023'!$EA$3:$EN$221,4,0),"")</f>
        <v/>
      </c>
      <c r="N80" s="72" t="str">
        <f>IFERROR(VLOOKUP($D80,'FERC 2021'!$EA$3:$EN$221,5,0),"")</f>
        <v/>
      </c>
      <c r="O80" s="72" t="str">
        <f>IFERROR(VLOOKUP($D80,'FERC 2022'!$EA$3:$EN$220,5,0),"")</f>
        <v/>
      </c>
      <c r="P80" s="72" t="str">
        <f>IFERROR(VLOOKUP($D80,'FERC 2023'!$EA$3:$EN$221,5,0),"")</f>
        <v/>
      </c>
      <c r="Q80" s="72" t="str">
        <f>IFERROR(VLOOKUP($D80,'FERC 2021'!$EA$3:$EN$221,6,0),"")</f>
        <v/>
      </c>
      <c r="R80" s="72" t="str">
        <f>IFERROR(VLOOKUP($D80,'FERC 2022'!$EA$3:$EN$220,6,0),"")</f>
        <v/>
      </c>
      <c r="S80" s="72" t="str">
        <f>IFERROR(VLOOKUP($D80,'FERC 2023'!$EA$3:$EN$221,6,0),"")</f>
        <v/>
      </c>
      <c r="T80" s="72" t="str">
        <f>IFERROR(VLOOKUP($D80,'FERC 2021'!$EA$3:$EN$221,7,0),"")</f>
        <v/>
      </c>
      <c r="U80" s="72" t="str">
        <f>IFERROR(VLOOKUP($D80,'FERC 2022'!$EA$3:$EN$220,7,0),"")</f>
        <v/>
      </c>
      <c r="V80" s="72" t="str">
        <f>IFERROR(VLOOKUP($D80,'FERC 2023'!$EA$3:$EN$221,7,0),"")</f>
        <v/>
      </c>
      <c r="W80" s="72" t="str">
        <f>IFERROR(VLOOKUP($D80,'FERC 2021'!$EA$3:$EN$221,8,0),"")</f>
        <v/>
      </c>
      <c r="X80" s="72" t="str">
        <f>IFERROR(VLOOKUP($D80,'FERC 2022'!$EA$3:$EN$220,8,0),"")</f>
        <v/>
      </c>
      <c r="Y80" s="72" t="str">
        <f>IFERROR(VLOOKUP($D80,'FERC 2023'!$EA$3:$EN$221,8,0),"")</f>
        <v/>
      </c>
      <c r="Z80" s="72" t="str">
        <f>IFERROR(VLOOKUP($D80,'FERC 2021'!$EA$3:$EN$222,9,0),"")</f>
        <v/>
      </c>
      <c r="AA80" s="72" t="str">
        <f>IFERROR(VLOOKUP($D80,'FERC 2022'!$EA$3:$EN$220,9,0),"")</f>
        <v/>
      </c>
      <c r="AB80" s="72" t="str">
        <f>IFERROR(VLOOKUP($D80,'FERC 2023'!$EA$3:$EN$221,9,0),"")</f>
        <v/>
      </c>
      <c r="AC80" s="72" t="str">
        <f>IFERROR(VLOOKUP($D80,'FERC 2021'!$EA$3:$EN$221,10,0),"")</f>
        <v/>
      </c>
      <c r="AD80" s="72" t="str">
        <f>IFERROR(VLOOKUP($D80,'FERC 2022'!$EA$3:$EN$220,10,0),"")</f>
        <v/>
      </c>
      <c r="AE80" s="72" t="str">
        <f>IFERROR(VLOOKUP($D80,'FERC 2023'!$EA$3:$EN$221,10,0),"")</f>
        <v/>
      </c>
      <c r="AF80" s="72" t="str">
        <f>IFERROR(VLOOKUP($D80,'FERC 2021'!$EA$3:$EN$221,11,0),"")</f>
        <v/>
      </c>
      <c r="AG80" s="72" t="str">
        <f>IFERROR(VLOOKUP($D80,'FERC 2022'!$EA$3:$EN$220,11,0),"")</f>
        <v/>
      </c>
      <c r="AH80" s="72" t="str">
        <f>IFERROR(VLOOKUP($D80,'FERC 2023'!$EA$3:$EN$221,11,0),"")</f>
        <v/>
      </c>
      <c r="AI80" s="72" t="str">
        <f>IFERROR(VLOOKUP($D80,'FERC 2021'!$EA$3:$EN$221,12,0),"")</f>
        <v/>
      </c>
      <c r="AJ80" s="72" t="str">
        <f>IFERROR(VLOOKUP($D80,'FERC 2022'!$EA$3:$EN$220,12,0),"")</f>
        <v/>
      </c>
      <c r="AK80" s="72" t="str">
        <f>IFERROR(VLOOKUP($D80,'FERC 2023'!$EA$3:$EN$221,12,0),"")</f>
        <v/>
      </c>
      <c r="AL80" s="72" t="str">
        <f>VLOOKUP($D80,'FERC 2021'!$EA$3:$EN$221,13,0)</f>
        <v/>
      </c>
      <c r="AM80" s="72" t="str">
        <f>VLOOKUP($D80,'FERC 2022'!$EA$3:$EN$220,13,0)</f>
        <v/>
      </c>
      <c r="AN80" s="72" t="str">
        <f>VLOOKUP($D80,'FERC 2023'!$EA$3:$EN$221,13,0)</f>
        <v/>
      </c>
      <c r="AO80" s="72" t="str">
        <f>IFERROR(VLOOKUP($D80,'FERC 2021'!$EA$3:$EN$221,14,0),"")</f>
        <v/>
      </c>
      <c r="AP80" s="72" t="str">
        <f>IFERROR(VLOOKUP($D80,'FERC 2022'!$EA$3:$EN$220,14,0),"")</f>
        <v/>
      </c>
      <c r="AQ80" s="72" t="str">
        <f>IFERROR(VLOOKUP($D80,'FERC 2023'!$EA$3:$EN$221,14,0),"")</f>
        <v/>
      </c>
    </row>
    <row r="81" spans="1:43" ht="15.75" hidden="1" customHeight="1">
      <c r="A81" s="7" t="s">
        <v>441</v>
      </c>
      <c r="B81" s="7" t="s">
        <v>442</v>
      </c>
      <c r="C81" s="311" t="str">
        <f>'BD DEA'!P81</f>
        <v/>
      </c>
      <c r="D81" s="44" t="str">
        <f t="shared" si="0"/>
        <v>C000862</v>
      </c>
      <c r="E81" s="72" t="str">
        <f>IFERROR(VLOOKUP($D81,'FERC 2021'!$EA$3:$EN$221,2,0),"")</f>
        <v/>
      </c>
      <c r="F81" s="72" t="str">
        <f>IFERROR(VLOOKUP($D81,'FERC 2022'!$EA$3:$EN$220,2,0),"")</f>
        <v/>
      </c>
      <c r="G81" s="72" t="str">
        <f>IFERROR(VLOOKUP($D81,'FERC 2023'!$EA$3:$EN$221,2,0),"")</f>
        <v/>
      </c>
      <c r="H81" s="72" t="str">
        <f>IFERROR(VLOOKUP($D81,'FERC 2021'!$EA$3:$EN$225,3,0),"")</f>
        <v/>
      </c>
      <c r="I81" s="72" t="str">
        <f>IFERROR(VLOOKUP($D81,'FERC 2022'!$EA$3:$EN$229,3,0),"")</f>
        <v/>
      </c>
      <c r="J81" s="72" t="str">
        <f>IFERROR(VLOOKUP($D81,'FERC 2023'!$EA$3:$EN$229,3,0),"")</f>
        <v/>
      </c>
      <c r="K81" s="72" t="str">
        <f>IFERROR(VLOOKUP($D81,'FERC 2021'!$EA$3:$EN$229,4,0),"")</f>
        <v/>
      </c>
      <c r="L81" s="72" t="str">
        <f>IFERROR(VLOOKUP($D81,'FERC 2022'!$EA$3:$EN$220,4,0),"")</f>
        <v/>
      </c>
      <c r="M81" s="72" t="str">
        <f>IFERROR(VLOOKUP($D81,'FERC 2023'!$EA$3:$EN$221,4,0),"")</f>
        <v/>
      </c>
      <c r="N81" s="72" t="str">
        <f>IFERROR(VLOOKUP($D81,'FERC 2021'!$EA$3:$EN$221,5,0),"")</f>
        <v/>
      </c>
      <c r="O81" s="72" t="str">
        <f>IFERROR(VLOOKUP($D81,'FERC 2022'!$EA$3:$EN$220,5,0),"")</f>
        <v/>
      </c>
      <c r="P81" s="72" t="str">
        <f>IFERROR(VLOOKUP($D81,'FERC 2023'!$EA$3:$EN$221,5,0),"")</f>
        <v/>
      </c>
      <c r="Q81" s="72" t="str">
        <f>IFERROR(VLOOKUP($D81,'FERC 2021'!$EA$3:$EN$221,6,0),"")</f>
        <v/>
      </c>
      <c r="R81" s="72" t="str">
        <f>IFERROR(VLOOKUP($D81,'FERC 2022'!$EA$3:$EN$220,6,0),"")</f>
        <v/>
      </c>
      <c r="S81" s="72" t="str">
        <f>IFERROR(VLOOKUP($D81,'FERC 2023'!$EA$3:$EN$221,6,0),"")</f>
        <v/>
      </c>
      <c r="T81" s="72" t="str">
        <f>IFERROR(VLOOKUP($D81,'FERC 2021'!$EA$3:$EN$221,7,0),"")</f>
        <v/>
      </c>
      <c r="U81" s="72" t="str">
        <f>IFERROR(VLOOKUP($D81,'FERC 2022'!$EA$3:$EN$220,7,0),"")</f>
        <v/>
      </c>
      <c r="V81" s="72" t="str">
        <f>IFERROR(VLOOKUP($D81,'FERC 2023'!$EA$3:$EN$221,7,0),"")</f>
        <v/>
      </c>
      <c r="W81" s="72" t="str">
        <f>IFERROR(VLOOKUP($D81,'FERC 2021'!$EA$3:$EN$221,8,0),"")</f>
        <v/>
      </c>
      <c r="X81" s="72" t="str">
        <f>IFERROR(VLOOKUP($D81,'FERC 2022'!$EA$3:$EN$220,8,0),"")</f>
        <v/>
      </c>
      <c r="Y81" s="72" t="str">
        <f>IFERROR(VLOOKUP($D81,'FERC 2023'!$EA$3:$EN$221,8,0),"")</f>
        <v/>
      </c>
      <c r="Z81" s="72" t="str">
        <f>IFERROR(VLOOKUP($D81,'FERC 2021'!$EA$3:$EN$222,9,0),"")</f>
        <v/>
      </c>
      <c r="AA81" s="72" t="str">
        <f>IFERROR(VLOOKUP($D81,'FERC 2022'!$EA$3:$EN$220,9,0),"")</f>
        <v/>
      </c>
      <c r="AB81" s="72" t="str">
        <f>IFERROR(VLOOKUP($D81,'FERC 2023'!$EA$3:$EN$221,9,0),"")</f>
        <v/>
      </c>
      <c r="AC81" s="72" t="str">
        <f>IFERROR(VLOOKUP($D81,'FERC 2021'!$EA$3:$EN$221,10,0),"")</f>
        <v/>
      </c>
      <c r="AD81" s="72" t="str">
        <f>IFERROR(VLOOKUP($D81,'FERC 2022'!$EA$3:$EN$220,10,0),"")</f>
        <v/>
      </c>
      <c r="AE81" s="72" t="str">
        <f>IFERROR(VLOOKUP($D81,'FERC 2023'!$EA$3:$EN$221,10,0),"")</f>
        <v/>
      </c>
      <c r="AF81" s="72" t="str">
        <f>IFERROR(VLOOKUP($D81,'FERC 2021'!$EA$3:$EN$221,11,0),"")</f>
        <v/>
      </c>
      <c r="AG81" s="72" t="str">
        <f>IFERROR(VLOOKUP($D81,'FERC 2022'!$EA$3:$EN$220,11,0),"")</f>
        <v/>
      </c>
      <c r="AH81" s="72" t="str">
        <f>IFERROR(VLOOKUP($D81,'FERC 2023'!$EA$3:$EN$221,11,0),"")</f>
        <v/>
      </c>
      <c r="AI81" s="72" t="str">
        <f>IFERROR(VLOOKUP($D81,'FERC 2021'!$EA$3:$EN$221,12,0),"")</f>
        <v/>
      </c>
      <c r="AJ81" s="72" t="str">
        <f>IFERROR(VLOOKUP($D81,'FERC 2022'!$EA$3:$EN$220,12,0),"")</f>
        <v/>
      </c>
      <c r="AK81" s="72" t="str">
        <f>IFERROR(VLOOKUP($D81,'FERC 2023'!$EA$3:$EN$221,12,0),"")</f>
        <v/>
      </c>
      <c r="AL81" s="72" t="str">
        <f>VLOOKUP($D81,'FERC 2021'!$EA$3:$EN$221,13,0)</f>
        <v/>
      </c>
      <c r="AM81" s="72" t="str">
        <f>VLOOKUP($D81,'FERC 2022'!$EA$3:$EN$220,13,0)</f>
        <v/>
      </c>
      <c r="AN81" s="72" t="str">
        <f>VLOOKUP($D81,'FERC 2023'!$EA$3:$EN$221,13,0)</f>
        <v/>
      </c>
      <c r="AO81" s="72" t="str">
        <f>IFERROR(VLOOKUP($D81,'FERC 2021'!$EA$3:$EN$221,14,0),"")</f>
        <v/>
      </c>
      <c r="AP81" s="72" t="str">
        <f>IFERROR(VLOOKUP($D81,'FERC 2022'!$EA$3:$EN$220,14,0),"")</f>
        <v/>
      </c>
      <c r="AQ81" s="72" t="str">
        <f>IFERROR(VLOOKUP($D81,'FERC 2023'!$EA$3:$EN$221,14,0),"")</f>
        <v/>
      </c>
    </row>
    <row r="82" spans="1:43" ht="15.75" customHeight="1">
      <c r="A82" s="7" t="s">
        <v>444</v>
      </c>
      <c r="B82" s="7" t="s">
        <v>445</v>
      </c>
      <c r="C82" s="311">
        <f>'BD DEA'!P82</f>
        <v>1</v>
      </c>
      <c r="D82" s="44" t="str">
        <f t="shared" si="0"/>
        <v>C000905</v>
      </c>
      <c r="E82" s="72">
        <f>IFERROR(VLOOKUP($D82,'FERC 2021'!$EA$3:$EN$221,2,0),"")</f>
        <v>3789077907.1867023</v>
      </c>
      <c r="F82" s="72">
        <f>IFERROR(VLOOKUP($D82,'FERC 2022'!$EA$3:$EN$220,2,0),"")</f>
        <v>3712390576.7622705</v>
      </c>
      <c r="G82" s="72">
        <f>IFERROR(VLOOKUP($D82,'FERC 2023'!$EA$3:$EN$221,2,0),"")</f>
        <v>3822023758.6734467</v>
      </c>
      <c r="H82" s="72">
        <f>IFERROR(VLOOKUP($D82,'FERC 2021'!$EA$3:$EN$225,3,0),"")</f>
        <v>303227045.9791953</v>
      </c>
      <c r="I82" s="72">
        <f>IFERROR(VLOOKUP($D82,'FERC 2022'!$EA$3:$EN$229,3,0),"")</f>
        <v>282455206.90802276</v>
      </c>
      <c r="J82" s="72">
        <f>IFERROR(VLOOKUP($D82,'FERC 2023'!$EA$3:$EN$229,3,0),"")</f>
        <v>283623593.68303549</v>
      </c>
      <c r="K82" s="72">
        <f>IFERROR(VLOOKUP($D82,'FERC 2021'!$EA$3:$EN$229,4,0),"")</f>
        <v>90153046.92215459</v>
      </c>
      <c r="L82" s="72">
        <f>IFERROR(VLOOKUP($D82,'FERC 2022'!$EA$3:$EN$220,4,0),"")</f>
        <v>119946181.07525672</v>
      </c>
      <c r="M82" s="72">
        <f>IFERROR(VLOOKUP($D82,'FERC 2023'!$EA$3:$EN$221,4,0),"")</f>
        <v>91601733.844511896</v>
      </c>
      <c r="N82" s="72">
        <f>IFERROR(VLOOKUP($D82,'FERC 2021'!$EA$3:$EN$221,5,0),"")</f>
        <v>71459664.125750795</v>
      </c>
      <c r="O82" s="72">
        <f>IFERROR(VLOOKUP($D82,'FERC 2022'!$EA$3:$EN$220,5,0),"")</f>
        <v>81834898.820692807</v>
      </c>
      <c r="P82" s="72">
        <f>IFERROR(VLOOKUP($D82,'FERC 2023'!$EA$3:$EN$221,5,0),"")</f>
        <v>79986381.248106122</v>
      </c>
      <c r="Q82" s="72">
        <f>IFERROR(VLOOKUP($D82,'FERC 2021'!$EA$3:$EN$221,6,0),"")</f>
        <v>4127665.2128800536</v>
      </c>
      <c r="R82" s="72">
        <f>IFERROR(VLOOKUP($D82,'FERC 2022'!$EA$3:$EN$220,6,0),"")</f>
        <v>20574993.475226499</v>
      </c>
      <c r="S82" s="72">
        <f>IFERROR(VLOOKUP($D82,'FERC 2023'!$EA$3:$EN$221,6,0),"")</f>
        <v>43152048.633674502</v>
      </c>
      <c r="T82" s="72">
        <f>IFERROR(VLOOKUP($D82,'FERC 2021'!$EA$3:$EN$221,7,0),"")</f>
        <v>3940</v>
      </c>
      <c r="U82" s="72">
        <f>IFERROR(VLOOKUP($D82,'FERC 2022'!$EA$3:$EN$220,7,0),"")</f>
        <v>3827</v>
      </c>
      <c r="V82" s="72">
        <f>IFERROR(VLOOKUP($D82,'FERC 2023'!$EA$3:$EN$221,7,0),"")</f>
        <v>3706</v>
      </c>
      <c r="W82" s="72">
        <f>IFERROR(VLOOKUP($D82,'FERC 2021'!$EA$3:$EN$221,8,0),"")</f>
        <v>733766</v>
      </c>
      <c r="X82" s="72">
        <f>IFERROR(VLOOKUP($D82,'FERC 2022'!$EA$3:$EN$220,8,0),"")</f>
        <v>735514</v>
      </c>
      <c r="Y82" s="72">
        <f>IFERROR(VLOOKUP($D82,'FERC 2023'!$EA$3:$EN$221,8,0),"")</f>
        <v>737360</v>
      </c>
      <c r="Z82" s="72">
        <f>IFERROR(VLOOKUP($D82,'FERC 2021'!$EA$3:$EN$222,9,0),"")</f>
        <v>368647</v>
      </c>
      <c r="AA82" s="72">
        <f>IFERROR(VLOOKUP($D82,'FERC 2022'!$EA$3:$EN$220,9,0),"")</f>
        <v>328285</v>
      </c>
      <c r="AB82" s="72">
        <f>IFERROR(VLOOKUP($D82,'FERC 2023'!$EA$3:$EN$221,9,0),"")</f>
        <v>245067</v>
      </c>
      <c r="AC82" s="72">
        <f>IFERROR(VLOOKUP($D82,'FERC 2021'!$EA$3:$EN$221,10,0),"")</f>
        <v>19276547</v>
      </c>
      <c r="AD82" s="72">
        <f>IFERROR(VLOOKUP($D82,'FERC 2022'!$EA$3:$EN$220,10,0),"")</f>
        <v>19575926</v>
      </c>
      <c r="AE82" s="72">
        <f>IFERROR(VLOOKUP($D82,'FERC 2023'!$EA$3:$EN$221,10,0),"")</f>
        <v>18676603</v>
      </c>
      <c r="AF82" s="72">
        <f>IFERROR(VLOOKUP($D82,'FERC 2021'!$EA$3:$EN$221,11,0),"")</f>
        <v>19644474.730964467</v>
      </c>
      <c r="AG82" s="72">
        <f>IFERROR(VLOOKUP($D82,'FERC 2022'!$EA$3:$EN$220,11,0),"")</f>
        <v>19903352.269035533</v>
      </c>
      <c r="AH82" s="72">
        <f>IFERROR(VLOOKUP($D82,'FERC 2023'!$EA$3:$EN$221,11,0),"")</f>
        <v>18920692.456852794</v>
      </c>
      <c r="AI82" s="72">
        <f>IFERROR(VLOOKUP($D82,'FERC 2021'!$EA$3:$EN$221,12,0),"")</f>
        <v>111674782.60399999</v>
      </c>
      <c r="AJ82" s="72">
        <f>IFERROR(VLOOKUP($D82,'FERC 2022'!$EA$3:$EN$220,12,0),"")</f>
        <v>117285062.44000001</v>
      </c>
      <c r="AK82" s="72">
        <f>IFERROR(VLOOKUP($D82,'FERC 2023'!$EA$3:$EN$221,12,0),"")</f>
        <v>118066083.2</v>
      </c>
      <c r="AL82" s="72">
        <f>VLOOKUP($D82,'FERC 2021'!$EA$3:$EN$221,13,0)</f>
        <v>1018467.208</v>
      </c>
      <c r="AM82" s="72">
        <f>VLOOKUP($D82,'FERC 2022'!$EA$3:$EN$220,13,0)</f>
        <v>1084147.6359999999</v>
      </c>
      <c r="AN82" s="72">
        <f>VLOOKUP($D82,'FERC 2023'!$EA$3:$EN$221,13,0)</f>
        <v>1040414.9600000001</v>
      </c>
      <c r="AO82" s="72">
        <f>IFERROR(VLOOKUP($D82,'FERC 2021'!$EA$3:$EN$221,14,0),"")</f>
        <v>743624</v>
      </c>
      <c r="AP82" s="72">
        <f>IFERROR(VLOOKUP($D82,'FERC 2022'!$EA$3:$EN$220,14,0),"")</f>
        <v>746875</v>
      </c>
      <c r="AQ82" s="72">
        <f>IFERROR(VLOOKUP($D82,'FERC 2023'!$EA$3:$EN$221,14,0),"")</f>
        <v>749703</v>
      </c>
    </row>
    <row r="83" spans="1:43" ht="15.75" hidden="1" customHeight="1">
      <c r="A83" s="7" t="s">
        <v>447</v>
      </c>
      <c r="B83" s="7" t="s">
        <v>448</v>
      </c>
      <c r="C83" s="311" t="str">
        <f>'BD DEA'!P83</f>
        <v/>
      </c>
      <c r="D83" s="44" t="str">
        <f t="shared" si="0"/>
        <v>C000906</v>
      </c>
      <c r="E83" s="72">
        <f>IFERROR(VLOOKUP($D83,'FERC 2021'!$EA$3:$EN$221,2,0),"")</f>
        <v>3171236355.2054253</v>
      </c>
      <c r="F83" s="72">
        <f>IFERROR(VLOOKUP($D83,'FERC 2022'!$EA$3:$EN$220,2,0),"")</f>
        <v>3076938420.8623614</v>
      </c>
      <c r="G83" s="72">
        <f>IFERROR(VLOOKUP($D83,'FERC 2023'!$EA$3:$EN$221,2,0),"")</f>
        <v>3204284642.3641109</v>
      </c>
      <c r="H83" s="72">
        <f>IFERROR(VLOOKUP($D83,'FERC 2021'!$EA$3:$EN$225,3,0),"")</f>
        <v>155634802.16148302</v>
      </c>
      <c r="I83" s="72">
        <f>IFERROR(VLOOKUP($D83,'FERC 2022'!$EA$3:$EN$229,3,0),"")</f>
        <v>156451626.62314281</v>
      </c>
      <c r="J83" s="72">
        <f>IFERROR(VLOOKUP($D83,'FERC 2023'!$EA$3:$EN$229,3,0),"")</f>
        <v>163690257.9040699</v>
      </c>
      <c r="K83" s="72">
        <f>IFERROR(VLOOKUP($D83,'FERC 2021'!$EA$3:$EN$229,4,0),"")</f>
        <v>73824218.482600898</v>
      </c>
      <c r="L83" s="72">
        <f>IFERROR(VLOOKUP($D83,'FERC 2022'!$EA$3:$EN$220,4,0),"")</f>
        <v>84111860.297032803</v>
      </c>
      <c r="M83" s="72">
        <f>IFERROR(VLOOKUP($D83,'FERC 2023'!$EA$3:$EN$221,4,0),"")</f>
        <v>75939753.92479822</v>
      </c>
      <c r="N83" s="72">
        <f>IFERROR(VLOOKUP($D83,'FERC 2021'!$EA$3:$EN$221,5,0),"")</f>
        <v>26228511.262705524</v>
      </c>
      <c r="O83" s="72">
        <f>IFERROR(VLOOKUP($D83,'FERC 2022'!$EA$3:$EN$220,5,0),"")</f>
        <v>23823103.462877214</v>
      </c>
      <c r="P83" s="72">
        <f>IFERROR(VLOOKUP($D83,'FERC 2023'!$EA$3:$EN$221,5,0),"")</f>
        <v>18713453.324093126</v>
      </c>
      <c r="Q83" s="72">
        <f>IFERROR(VLOOKUP($D83,'FERC 2021'!$EA$3:$EN$221,6,0),"")</f>
        <v>1298118.9595144258</v>
      </c>
      <c r="R83" s="72">
        <f>IFERROR(VLOOKUP($D83,'FERC 2022'!$EA$3:$EN$220,6,0),"")</f>
        <v>9494027.6420521736</v>
      </c>
      <c r="S83" s="72">
        <f>IFERROR(VLOOKUP($D83,'FERC 2023'!$EA$3:$EN$221,6,0),"")</f>
        <v>22192379.931171428</v>
      </c>
      <c r="T83" s="72">
        <f>IFERROR(VLOOKUP($D83,'FERC 2021'!$EA$3:$EN$221,7,0),"")</f>
        <v>2158</v>
      </c>
      <c r="U83" s="72">
        <f>IFERROR(VLOOKUP($D83,'FERC 2022'!$EA$3:$EN$220,7,0),"")</f>
        <v>2124</v>
      </c>
      <c r="V83" s="72">
        <f>IFERROR(VLOOKUP($D83,'FERC 2023'!$EA$3:$EN$221,7,0),"")</f>
        <v>2051</v>
      </c>
      <c r="W83" s="72">
        <f>IFERROR(VLOOKUP($D83,'FERC 2021'!$EA$3:$EN$221,8,0),"")</f>
        <v>395034</v>
      </c>
      <c r="X83" s="72">
        <f>IFERROR(VLOOKUP($D83,'FERC 2022'!$EA$3:$EN$220,8,0),"")</f>
        <v>395816</v>
      </c>
      <c r="Y83" s="72">
        <f>IFERROR(VLOOKUP($D83,'FERC 2023'!$EA$3:$EN$221,8,0),"")</f>
        <v>396731</v>
      </c>
      <c r="Z83" s="72">
        <f>IFERROR(VLOOKUP($D83,'FERC 2021'!$EA$3:$EN$222,9,0),"")</f>
        <v>419733</v>
      </c>
      <c r="AA83" s="72">
        <f>IFERROR(VLOOKUP($D83,'FERC 2022'!$EA$3:$EN$220,9,0),"")</f>
        <v>618740</v>
      </c>
      <c r="AB83" s="72">
        <f>IFERROR(VLOOKUP($D83,'FERC 2023'!$EA$3:$EN$221,9,0),"")</f>
        <v>593680</v>
      </c>
      <c r="AC83" s="72">
        <f>IFERROR(VLOOKUP($D83,'FERC 2021'!$EA$3:$EN$221,10,0),"")</f>
        <v>12267497</v>
      </c>
      <c r="AD83" s="72">
        <f>IFERROR(VLOOKUP($D83,'FERC 2022'!$EA$3:$EN$220,10,0),"")</f>
        <v>12290613</v>
      </c>
      <c r="AE83" s="72">
        <f>IFERROR(VLOOKUP($D83,'FERC 2023'!$EA$3:$EN$221,10,0),"")</f>
        <v>12109678</v>
      </c>
      <c r="AF83" s="72">
        <f>IFERROR(VLOOKUP($D83,'FERC 2021'!$EA$3:$EN$221,11,0),"")</f>
        <v>12642633.0964467</v>
      </c>
      <c r="AG83" s="72">
        <f>IFERROR(VLOOKUP($D83,'FERC 2022'!$EA$3:$EN$220,11,0),"")</f>
        <v>12866357.243654823</v>
      </c>
      <c r="AH83" s="72">
        <f>IFERROR(VLOOKUP($D83,'FERC 2023'!$EA$3:$EN$221,11,0),"")</f>
        <v>12670192.832487309</v>
      </c>
      <c r="AI83" s="72">
        <f>IFERROR(VLOOKUP($D83,'FERC 2021'!$EA$3:$EN$221,12,0),"")</f>
        <v>145446778.39199999</v>
      </c>
      <c r="AJ83" s="72">
        <f>IFERROR(VLOOKUP($D83,'FERC 2022'!$EA$3:$EN$220,12,0),"")</f>
        <v>161357163.11199999</v>
      </c>
      <c r="AK83" s="72">
        <f>IFERROR(VLOOKUP($D83,'FERC 2023'!$EA$3:$EN$221,12,0),"")</f>
        <v>141724215.13</v>
      </c>
      <c r="AL83" s="72">
        <f>VLOOKUP($D83,'FERC 2021'!$EA$3:$EN$221,13,0)</f>
        <v>899492.41800000006</v>
      </c>
      <c r="AM83" s="72">
        <f>VLOOKUP($D83,'FERC 2022'!$EA$3:$EN$220,13,0)</f>
        <v>1010518.248</v>
      </c>
      <c r="AN83" s="72">
        <f>VLOOKUP($D83,'FERC 2023'!$EA$3:$EN$221,13,0)</f>
        <v>1019598.6699999999</v>
      </c>
      <c r="AO83" s="72">
        <f>IFERROR(VLOOKUP($D83,'FERC 2021'!$EA$3:$EN$221,14,0),"")</f>
        <v>87420</v>
      </c>
      <c r="AP83" s="72">
        <f>IFERROR(VLOOKUP($D83,'FERC 2022'!$EA$3:$EN$220,14,0),"")</f>
        <v>91638</v>
      </c>
      <c r="AQ83" s="72">
        <f>IFERROR(VLOOKUP($D83,'FERC 2023'!$EA$3:$EN$221,14,0),"")</f>
        <v>99132</v>
      </c>
    </row>
    <row r="84" spans="1:43" ht="15.75" hidden="1" customHeight="1">
      <c r="A84" s="7" t="s">
        <v>450</v>
      </c>
      <c r="B84" s="7" t="s">
        <v>451</v>
      </c>
      <c r="C84" s="311" t="str">
        <f>'BD DEA'!P84</f>
        <v/>
      </c>
      <c r="D84" s="44" t="str">
        <f t="shared" si="0"/>
        <v>C000911</v>
      </c>
      <c r="E84" s="72" t="str">
        <f>IFERROR(VLOOKUP($D84,'FERC 2021'!$EA$3:$EN$221,2,0),"")</f>
        <v/>
      </c>
      <c r="F84" s="72" t="str">
        <f>IFERROR(VLOOKUP($D84,'FERC 2022'!$EA$3:$EN$220,2,0),"")</f>
        <v/>
      </c>
      <c r="G84" s="72" t="str">
        <f>IFERROR(VLOOKUP($D84,'FERC 2023'!$EA$3:$EN$221,2,0),"")</f>
        <v/>
      </c>
      <c r="H84" s="72" t="str">
        <f>IFERROR(VLOOKUP($D84,'FERC 2021'!$EA$3:$EN$225,3,0),"")</f>
        <v/>
      </c>
      <c r="I84" s="72" t="str">
        <f>IFERROR(VLOOKUP($D84,'FERC 2022'!$EA$3:$EN$229,3,0),"")</f>
        <v/>
      </c>
      <c r="J84" s="72" t="str">
        <f>IFERROR(VLOOKUP($D84,'FERC 2023'!$EA$3:$EN$229,3,0),"")</f>
        <v/>
      </c>
      <c r="K84" s="72" t="str">
        <f>IFERROR(VLOOKUP($D84,'FERC 2021'!$EA$3:$EN$229,4,0),"")</f>
        <v/>
      </c>
      <c r="L84" s="72" t="str">
        <f>IFERROR(VLOOKUP($D84,'FERC 2022'!$EA$3:$EN$220,4,0),"")</f>
        <v/>
      </c>
      <c r="M84" s="72" t="str">
        <f>IFERROR(VLOOKUP($D84,'FERC 2023'!$EA$3:$EN$221,4,0),"")</f>
        <v/>
      </c>
      <c r="N84" s="72" t="str">
        <f>IFERROR(VLOOKUP($D84,'FERC 2021'!$EA$3:$EN$221,5,0),"")</f>
        <v/>
      </c>
      <c r="O84" s="72" t="str">
        <f>IFERROR(VLOOKUP($D84,'FERC 2022'!$EA$3:$EN$220,5,0),"")</f>
        <v/>
      </c>
      <c r="P84" s="72" t="str">
        <f>IFERROR(VLOOKUP($D84,'FERC 2023'!$EA$3:$EN$221,5,0),"")</f>
        <v/>
      </c>
      <c r="Q84" s="72" t="str">
        <f>IFERROR(VLOOKUP($D84,'FERC 2021'!$EA$3:$EN$221,6,0),"")</f>
        <v/>
      </c>
      <c r="R84" s="72" t="str">
        <f>IFERROR(VLOOKUP($D84,'FERC 2022'!$EA$3:$EN$220,6,0),"")</f>
        <v/>
      </c>
      <c r="S84" s="72" t="str">
        <f>IFERROR(VLOOKUP($D84,'FERC 2023'!$EA$3:$EN$221,6,0),"")</f>
        <v/>
      </c>
      <c r="T84" s="72" t="str">
        <f>IFERROR(VLOOKUP($D84,'FERC 2021'!$EA$3:$EN$221,7,0),"")</f>
        <v/>
      </c>
      <c r="U84" s="72" t="str">
        <f>IFERROR(VLOOKUP($D84,'FERC 2022'!$EA$3:$EN$220,7,0),"")</f>
        <v/>
      </c>
      <c r="V84" s="72" t="str">
        <f>IFERROR(VLOOKUP($D84,'FERC 2023'!$EA$3:$EN$221,7,0),"")</f>
        <v/>
      </c>
      <c r="W84" s="72" t="str">
        <f>IFERROR(VLOOKUP($D84,'FERC 2021'!$EA$3:$EN$221,8,0),"")</f>
        <v/>
      </c>
      <c r="X84" s="72" t="str">
        <f>IFERROR(VLOOKUP($D84,'FERC 2022'!$EA$3:$EN$220,8,0),"")</f>
        <v/>
      </c>
      <c r="Y84" s="72" t="str">
        <f>IFERROR(VLOOKUP($D84,'FERC 2023'!$EA$3:$EN$221,8,0),"")</f>
        <v/>
      </c>
      <c r="Z84" s="72" t="str">
        <f>IFERROR(VLOOKUP($D84,'FERC 2021'!$EA$3:$EN$222,9,0),"")</f>
        <v/>
      </c>
      <c r="AA84" s="72" t="str">
        <f>IFERROR(VLOOKUP($D84,'FERC 2022'!$EA$3:$EN$220,9,0),"")</f>
        <v/>
      </c>
      <c r="AB84" s="72" t="str">
        <f>IFERROR(VLOOKUP($D84,'FERC 2023'!$EA$3:$EN$221,9,0),"")</f>
        <v/>
      </c>
      <c r="AC84" s="72" t="str">
        <f>IFERROR(VLOOKUP($D84,'FERC 2021'!$EA$3:$EN$221,10,0),"")</f>
        <v/>
      </c>
      <c r="AD84" s="72" t="str">
        <f>IFERROR(VLOOKUP($D84,'FERC 2022'!$EA$3:$EN$220,10,0),"")</f>
        <v/>
      </c>
      <c r="AE84" s="72" t="str">
        <f>IFERROR(VLOOKUP($D84,'FERC 2023'!$EA$3:$EN$221,10,0),"")</f>
        <v/>
      </c>
      <c r="AF84" s="72" t="str">
        <f>IFERROR(VLOOKUP($D84,'FERC 2021'!$EA$3:$EN$221,11,0),"")</f>
        <v/>
      </c>
      <c r="AG84" s="72" t="str">
        <f>IFERROR(VLOOKUP($D84,'FERC 2022'!$EA$3:$EN$220,11,0),"")</f>
        <v/>
      </c>
      <c r="AH84" s="72" t="str">
        <f>IFERROR(VLOOKUP($D84,'FERC 2023'!$EA$3:$EN$221,11,0),"")</f>
        <v/>
      </c>
      <c r="AI84" s="72" t="str">
        <f>IFERROR(VLOOKUP($D84,'FERC 2021'!$EA$3:$EN$221,12,0),"")</f>
        <v/>
      </c>
      <c r="AJ84" s="72" t="str">
        <f>IFERROR(VLOOKUP($D84,'FERC 2022'!$EA$3:$EN$220,12,0),"")</f>
        <v/>
      </c>
      <c r="AK84" s="72" t="str">
        <f>IFERROR(VLOOKUP($D84,'FERC 2023'!$EA$3:$EN$221,12,0),"")</f>
        <v/>
      </c>
      <c r="AL84" s="72" t="str">
        <f>VLOOKUP($D84,'FERC 2021'!$EA$3:$EN$221,13,0)</f>
        <v/>
      </c>
      <c r="AM84" s="72" t="str">
        <f>VLOOKUP($D84,'FERC 2022'!$EA$3:$EN$220,13,0)</f>
        <v/>
      </c>
      <c r="AN84" s="72" t="str">
        <f>VLOOKUP($D84,'FERC 2023'!$EA$3:$EN$221,13,0)</f>
        <v/>
      </c>
      <c r="AO84" s="72" t="str">
        <f>IFERROR(VLOOKUP($D84,'FERC 2021'!$EA$3:$EN$221,14,0),"")</f>
        <v/>
      </c>
      <c r="AP84" s="72" t="str">
        <f>IFERROR(VLOOKUP($D84,'FERC 2022'!$EA$3:$EN$220,14,0),"")</f>
        <v/>
      </c>
      <c r="AQ84" s="72" t="str">
        <f>IFERROR(VLOOKUP($D84,'FERC 2023'!$EA$3:$EN$221,14,0),"")</f>
        <v/>
      </c>
    </row>
    <row r="85" spans="1:43" ht="15.75" hidden="1" customHeight="1">
      <c r="A85" s="7" t="s">
        <v>453</v>
      </c>
      <c r="B85" s="7" t="s">
        <v>454</v>
      </c>
      <c r="C85" s="311" t="str">
        <f>'BD DEA'!P85</f>
        <v/>
      </c>
      <c r="D85" s="44" t="str">
        <f t="shared" si="0"/>
        <v>C000913</v>
      </c>
      <c r="E85" s="72">
        <f>IFERROR(VLOOKUP($D85,'FERC 2021'!$EA$3:$EN$221,2,0),"")</f>
        <v>2937123992.6839256</v>
      </c>
      <c r="F85" s="72">
        <f>IFERROR(VLOOKUP($D85,'FERC 2022'!$EA$3:$EN$220,2,0),"")</f>
        <v>2917384519.6571627</v>
      </c>
      <c r="G85" s="72">
        <f>IFERROR(VLOOKUP($D85,'FERC 2023'!$EA$3:$EN$221,2,0),"")</f>
        <v>2960651676.3819242</v>
      </c>
      <c r="H85" s="72">
        <f>IFERROR(VLOOKUP($D85,'FERC 2021'!$EA$3:$EN$225,3,0),"")</f>
        <v>155021701.64784583</v>
      </c>
      <c r="I85" s="72">
        <f>IFERROR(VLOOKUP($D85,'FERC 2022'!$EA$3:$EN$229,3,0),"")</f>
        <v>154164628.69153148</v>
      </c>
      <c r="J85" s="72">
        <f>IFERROR(VLOOKUP($D85,'FERC 2023'!$EA$3:$EN$229,3,0),"")</f>
        <v>155311334.60015255</v>
      </c>
      <c r="K85" s="72">
        <f>IFERROR(VLOOKUP($D85,'FERC 2021'!$EA$3:$EN$229,4,0),"")</f>
        <v>51283016.455794796</v>
      </c>
      <c r="L85" s="72">
        <f>IFERROR(VLOOKUP($D85,'FERC 2022'!$EA$3:$EN$220,4,0),"")</f>
        <v>62125819.441413149</v>
      </c>
      <c r="M85" s="72">
        <f>IFERROR(VLOOKUP($D85,'FERC 2023'!$EA$3:$EN$221,4,0),"")</f>
        <v>53080761.651248224</v>
      </c>
      <c r="N85" s="72">
        <f>IFERROR(VLOOKUP($D85,'FERC 2021'!$EA$3:$EN$221,5,0),"")</f>
        <v>19362045.729732584</v>
      </c>
      <c r="O85" s="72">
        <f>IFERROR(VLOOKUP($D85,'FERC 2022'!$EA$3:$EN$220,5,0),"")</f>
        <v>26515218.352515042</v>
      </c>
      <c r="P85" s="72">
        <f>IFERROR(VLOOKUP($D85,'FERC 2023'!$EA$3:$EN$221,5,0),"")</f>
        <v>24613983.59133625</v>
      </c>
      <c r="Q85" s="72">
        <f>IFERROR(VLOOKUP($D85,'FERC 2021'!$EA$3:$EN$221,6,0),"")</f>
        <v>426928.04999688908</v>
      </c>
      <c r="R85" s="72">
        <f>IFERROR(VLOOKUP($D85,'FERC 2022'!$EA$3:$EN$220,6,0),"")</f>
        <v>6410487.2150832051</v>
      </c>
      <c r="S85" s="72">
        <f>IFERROR(VLOOKUP($D85,'FERC 2023'!$EA$3:$EN$221,6,0),"")</f>
        <v>10318894.970735228</v>
      </c>
      <c r="T85" s="72">
        <f>IFERROR(VLOOKUP($D85,'FERC 2021'!$EA$3:$EN$221,7,0),"")</f>
        <v>2924</v>
      </c>
      <c r="U85" s="72">
        <f>IFERROR(VLOOKUP($D85,'FERC 2022'!$EA$3:$EN$220,7,0),"")</f>
        <v>3514</v>
      </c>
      <c r="V85" s="72">
        <f>IFERROR(VLOOKUP($D85,'FERC 2023'!$EA$3:$EN$221,7,0),"")</f>
        <v>3103</v>
      </c>
      <c r="W85" s="72">
        <f>IFERROR(VLOOKUP($D85,'FERC 2021'!$EA$3:$EN$221,8,0),"")</f>
        <v>429682</v>
      </c>
      <c r="X85" s="72">
        <f>IFERROR(VLOOKUP($D85,'FERC 2022'!$EA$3:$EN$220,8,0),"")</f>
        <v>436094</v>
      </c>
      <c r="Y85" s="72">
        <f>IFERROR(VLOOKUP($D85,'FERC 2023'!$EA$3:$EN$221,8,0),"")</f>
        <v>441662</v>
      </c>
      <c r="Z85" s="72">
        <f>IFERROR(VLOOKUP($D85,'FERC 2021'!$EA$3:$EN$222,9,0),"")</f>
        <v>154823</v>
      </c>
      <c r="AA85" s="72">
        <f>IFERROR(VLOOKUP($D85,'FERC 2022'!$EA$3:$EN$220,9,0),"")</f>
        <v>219115</v>
      </c>
      <c r="AB85" s="72">
        <f>IFERROR(VLOOKUP($D85,'FERC 2023'!$EA$3:$EN$221,9,0),"")</f>
        <v>200092</v>
      </c>
      <c r="AC85" s="72">
        <f>IFERROR(VLOOKUP($D85,'FERC 2021'!$EA$3:$EN$221,10,0),"")</f>
        <v>10463192</v>
      </c>
      <c r="AD85" s="72">
        <f>IFERROR(VLOOKUP($D85,'FERC 2022'!$EA$3:$EN$220,10,0),"")</f>
        <v>10698800</v>
      </c>
      <c r="AE85" s="72">
        <f>IFERROR(VLOOKUP($D85,'FERC 2023'!$EA$3:$EN$221,10,0),"")</f>
        <v>10188875</v>
      </c>
      <c r="AF85" s="72">
        <f>IFERROR(VLOOKUP($D85,'FERC 2021'!$EA$3:$EN$221,11,0),"")</f>
        <v>10598392.715736041</v>
      </c>
      <c r="AG85" s="72">
        <f>IFERROR(VLOOKUP($D85,'FERC 2022'!$EA$3:$EN$220,11,0),"")</f>
        <v>10898158.218274111</v>
      </c>
      <c r="AH85" s="72">
        <f>IFERROR(VLOOKUP($D85,'FERC 2023'!$EA$3:$EN$221,11,0),"")</f>
        <v>10384593.365482233</v>
      </c>
      <c r="AI85" s="72">
        <f>IFERROR(VLOOKUP($D85,'FERC 2021'!$EA$3:$EN$221,12,0),"")</f>
        <v>56241506.661999993</v>
      </c>
      <c r="AJ85" s="72">
        <f>IFERROR(VLOOKUP($D85,'FERC 2022'!$EA$3:$EN$220,12,0),"")</f>
        <v>58340655.32</v>
      </c>
      <c r="AK85" s="72">
        <f>IFERROR(VLOOKUP($D85,'FERC 2023'!$EA$3:$EN$221,12,0),"")</f>
        <v>54368592.199999996</v>
      </c>
      <c r="AL85" s="72">
        <f>VLOOKUP($D85,'FERC 2021'!$EA$3:$EN$221,13,0)</f>
        <v>458470.69399999996</v>
      </c>
      <c r="AM85" s="72">
        <f>VLOOKUP($D85,'FERC 2022'!$EA$3:$EN$220,13,0)</f>
        <v>512846.54399999999</v>
      </c>
      <c r="AN85" s="72">
        <f>VLOOKUP($D85,'FERC 2023'!$EA$3:$EN$221,13,0)</f>
        <v>463303.43799999997</v>
      </c>
      <c r="AO85" s="72">
        <f>IFERROR(VLOOKUP($D85,'FERC 2021'!$EA$3:$EN$221,14,0),"")</f>
        <v>31919</v>
      </c>
      <c r="AP85" s="72">
        <f>IFERROR(VLOOKUP($D85,'FERC 2022'!$EA$3:$EN$220,14,0),"")</f>
        <v>35136</v>
      </c>
      <c r="AQ85" s="72">
        <f>IFERROR(VLOOKUP($D85,'FERC 2023'!$EA$3:$EN$221,14,0),"")</f>
        <v>41761</v>
      </c>
    </row>
    <row r="86" spans="1:43" ht="15.75" hidden="1" customHeight="1">
      <c r="A86" s="7" t="s">
        <v>456</v>
      </c>
      <c r="B86" s="7" t="s">
        <v>457</v>
      </c>
      <c r="C86" s="311" t="str">
        <f>'BD DEA'!P86</f>
        <v/>
      </c>
      <c r="D86" s="44" t="str">
        <f t="shared" si="0"/>
        <v>C000945</v>
      </c>
      <c r="E86" s="72">
        <f>IFERROR(VLOOKUP($D86,'FERC 2021'!$EA$3:$EN$221,2,0),"")</f>
        <v>421295303.51516229</v>
      </c>
      <c r="F86" s="72" t="str">
        <f>IFERROR(VLOOKUP($D86,'FERC 2022'!$EA$3:$EN$220,2,0),"")</f>
        <v/>
      </c>
      <c r="G86" s="72" t="str">
        <f>IFERROR(VLOOKUP($D86,'FERC 2023'!$EA$3:$EN$221,2,0),"")</f>
        <v/>
      </c>
      <c r="H86" s="72">
        <f>IFERROR(VLOOKUP($D86,'FERC 2021'!$EA$3:$EN$225,3,0),"")</f>
        <v>5368872.7195836436</v>
      </c>
      <c r="I86" s="72" t="str">
        <f>IFERROR(VLOOKUP($D86,'FERC 2022'!$EA$3:$EN$229,3,0),"")</f>
        <v/>
      </c>
      <c r="J86" s="72" t="str">
        <f>IFERROR(VLOOKUP($D86,'FERC 2023'!$EA$3:$EN$229,3,0),"")</f>
        <v/>
      </c>
      <c r="K86" s="72">
        <f>IFERROR(VLOOKUP($D86,'FERC 2021'!$EA$3:$EN$229,4,0),"")</f>
        <v>9396952.4827982578</v>
      </c>
      <c r="L86" s="72" t="str">
        <f>IFERROR(VLOOKUP($D86,'FERC 2022'!$EA$3:$EN$220,4,0),"")</f>
        <v/>
      </c>
      <c r="M86" s="72" t="str">
        <f>IFERROR(VLOOKUP($D86,'FERC 2023'!$EA$3:$EN$221,4,0),"")</f>
        <v/>
      </c>
      <c r="N86" s="72">
        <f>IFERROR(VLOOKUP($D86,'FERC 2021'!$EA$3:$EN$221,5,0),"")</f>
        <v>5187527.5172473677</v>
      </c>
      <c r="O86" s="72" t="str">
        <f>IFERROR(VLOOKUP($D86,'FERC 2022'!$EA$3:$EN$220,5,0),"")</f>
        <v/>
      </c>
      <c r="P86" s="72" t="str">
        <f>IFERROR(VLOOKUP($D86,'FERC 2023'!$EA$3:$EN$221,5,0),"")</f>
        <v/>
      </c>
      <c r="Q86" s="72">
        <f>IFERROR(VLOOKUP($D86,'FERC 2021'!$EA$3:$EN$221,6,0),"")</f>
        <v>11958173.350501757</v>
      </c>
      <c r="R86" s="72" t="str">
        <f>IFERROR(VLOOKUP($D86,'FERC 2022'!$EA$3:$EN$220,6,0),"")</f>
        <v/>
      </c>
      <c r="S86" s="72" t="str">
        <f>IFERROR(VLOOKUP($D86,'FERC 2023'!$EA$3:$EN$221,6,0),"")</f>
        <v/>
      </c>
      <c r="T86" s="72">
        <f>IFERROR(VLOOKUP($D86,'FERC 2021'!$EA$3:$EN$221,7,0),"")</f>
        <v>128.5</v>
      </c>
      <c r="U86" s="72" t="str">
        <f>IFERROR(VLOOKUP($D86,'FERC 2022'!$EA$3:$EN$220,7,0),"")</f>
        <v/>
      </c>
      <c r="V86" s="72" t="str">
        <f>IFERROR(VLOOKUP($D86,'FERC 2023'!$EA$3:$EN$221,7,0),"")</f>
        <v/>
      </c>
      <c r="W86" s="72">
        <f>IFERROR(VLOOKUP($D86,'FERC 2021'!$EA$3:$EN$221,8,0),"")</f>
        <v>49336</v>
      </c>
      <c r="X86" s="72" t="str">
        <f>IFERROR(VLOOKUP($D86,'FERC 2022'!$EA$3:$EN$220,8,0),"")</f>
        <v/>
      </c>
      <c r="Y86" s="72" t="str">
        <f>IFERROR(VLOOKUP($D86,'FERC 2023'!$EA$3:$EN$221,8,0),"")</f>
        <v/>
      </c>
      <c r="Z86" s="72">
        <f>IFERROR(VLOOKUP($D86,'FERC 2021'!$EA$3:$EN$222,9,0),"")</f>
        <v>37734</v>
      </c>
      <c r="AA86" s="72" t="str">
        <f>IFERROR(VLOOKUP($D86,'FERC 2022'!$EA$3:$EN$220,9,0),"")</f>
        <v/>
      </c>
      <c r="AB86" s="72" t="str">
        <f>IFERROR(VLOOKUP($D86,'FERC 2023'!$EA$3:$EN$221,9,0),"")</f>
        <v/>
      </c>
      <c r="AC86" s="72">
        <f>IFERROR(VLOOKUP($D86,'FERC 2021'!$EA$3:$EN$221,10,0),"")</f>
        <v>549362</v>
      </c>
      <c r="AD86" s="72" t="str">
        <f>IFERROR(VLOOKUP($D86,'FERC 2022'!$EA$3:$EN$220,10,0),"")</f>
        <v/>
      </c>
      <c r="AE86" s="72" t="str">
        <f>IFERROR(VLOOKUP($D86,'FERC 2023'!$EA$3:$EN$221,10,0),"")</f>
        <v/>
      </c>
      <c r="AF86" s="72">
        <f>IFERROR(VLOOKUP($D86,'FERC 2021'!$EA$3:$EN$221,11,0),"")</f>
        <v>587032.92385786807</v>
      </c>
      <c r="AG86" s="72" t="str">
        <f>IFERROR(VLOOKUP($D86,'FERC 2022'!$EA$3:$EN$220,11,0),"")</f>
        <v/>
      </c>
      <c r="AH86" s="72" t="str">
        <f>IFERROR(VLOOKUP($D86,'FERC 2023'!$EA$3:$EN$221,11,0),"")</f>
        <v/>
      </c>
      <c r="AI86" s="72">
        <f>IFERROR(VLOOKUP($D86,'FERC 2021'!$EA$3:$EN$221,12,0),"")</f>
        <v>34620057.920000002</v>
      </c>
      <c r="AJ86" s="72" t="str">
        <f>IFERROR(VLOOKUP($D86,'FERC 2022'!$EA$3:$EN$220,12,0),"")</f>
        <v/>
      </c>
      <c r="AK86" s="72" t="str">
        <f>IFERROR(VLOOKUP($D86,'FERC 2023'!$EA$3:$EN$221,12,0),"")</f>
        <v/>
      </c>
      <c r="AL86" s="72">
        <f>VLOOKUP($D86,'FERC 2021'!$EA$3:$EN$221,13,0)</f>
        <v>226797.59200000003</v>
      </c>
      <c r="AM86" s="72" t="str">
        <f>VLOOKUP($D86,'FERC 2022'!$EA$3:$EN$220,13,0)</f>
        <v/>
      </c>
      <c r="AN86" s="72" t="str">
        <f>VLOOKUP($D86,'FERC 2023'!$EA$3:$EN$221,13,0)</f>
        <v/>
      </c>
      <c r="AO86" s="72">
        <f>IFERROR(VLOOKUP($D86,'FERC 2021'!$EA$3:$EN$221,14,0),"")</f>
        <v>14551</v>
      </c>
      <c r="AP86" s="72" t="str">
        <f>IFERROR(VLOOKUP($D86,'FERC 2022'!$EA$3:$EN$220,14,0),"")</f>
        <v/>
      </c>
      <c r="AQ86" s="72" t="str">
        <f>IFERROR(VLOOKUP($D86,'FERC 2023'!$EA$3:$EN$221,14,0),"")</f>
        <v/>
      </c>
    </row>
    <row r="87" spans="1:43" ht="15.75" hidden="1" customHeight="1">
      <c r="A87" s="7" t="s">
        <v>459</v>
      </c>
      <c r="B87" s="7" t="s">
        <v>460</v>
      </c>
      <c r="C87" s="311" t="str">
        <f>'BD DEA'!P87</f>
        <v/>
      </c>
      <c r="D87" s="44" t="str">
        <f t="shared" si="0"/>
        <v>C001009</v>
      </c>
      <c r="E87" s="72">
        <f>IFERROR(VLOOKUP($D87,'FERC 2021'!$EA$3:$EN$221,2,0),"")</f>
        <v>1470632832.9544764</v>
      </c>
      <c r="F87" s="72">
        <f>IFERROR(VLOOKUP($D87,'FERC 2022'!$EA$3:$EN$220,2,0),"")</f>
        <v>1608396615.8086689</v>
      </c>
      <c r="G87" s="72">
        <f>IFERROR(VLOOKUP($D87,'FERC 2023'!$EA$3:$EN$221,2,0),"")</f>
        <v>1783421295.8773065</v>
      </c>
      <c r="H87" s="72">
        <f>IFERROR(VLOOKUP($D87,'FERC 2021'!$EA$3:$EN$225,3,0),"")</f>
        <v>38868266.710053854</v>
      </c>
      <c r="I87" s="72">
        <f>IFERROR(VLOOKUP($D87,'FERC 2022'!$EA$3:$EN$229,3,0),"")</f>
        <v>39058080.067683257</v>
      </c>
      <c r="J87" s="72">
        <f>IFERROR(VLOOKUP($D87,'FERC 2023'!$EA$3:$EN$229,3,0),"")</f>
        <v>39269845.830901667</v>
      </c>
      <c r="K87" s="72">
        <f>IFERROR(VLOOKUP($D87,'FERC 2021'!$EA$3:$EN$229,4,0),"")</f>
        <v>23177942.145662803</v>
      </c>
      <c r="L87" s="72">
        <f>IFERROR(VLOOKUP($D87,'FERC 2022'!$EA$3:$EN$220,4,0),"")</f>
        <v>23623649.680447124</v>
      </c>
      <c r="M87" s="72">
        <f>IFERROR(VLOOKUP($D87,'FERC 2023'!$EA$3:$EN$221,4,0),"")</f>
        <v>23895003.869340342</v>
      </c>
      <c r="N87" s="72">
        <f>IFERROR(VLOOKUP($D87,'FERC 2021'!$EA$3:$EN$221,5,0),"")</f>
        <v>16533652.142856069</v>
      </c>
      <c r="O87" s="72">
        <f>IFERROR(VLOOKUP($D87,'FERC 2022'!$EA$3:$EN$220,5,0),"")</f>
        <v>15427850.367816763</v>
      </c>
      <c r="P87" s="72">
        <f>IFERROR(VLOOKUP($D87,'FERC 2023'!$EA$3:$EN$221,5,0),"")</f>
        <v>15864672.14411059</v>
      </c>
      <c r="Q87" s="72">
        <f>IFERROR(VLOOKUP($D87,'FERC 2021'!$EA$3:$EN$221,6,0),"")</f>
        <v>12164445.957199764</v>
      </c>
      <c r="R87" s="72">
        <f>IFERROR(VLOOKUP($D87,'FERC 2022'!$EA$3:$EN$220,6,0),"")</f>
        <v>11466277.162760174</v>
      </c>
      <c r="S87" s="72">
        <f>IFERROR(VLOOKUP($D87,'FERC 2023'!$EA$3:$EN$221,6,0),"")</f>
        <v>13863276.085698111</v>
      </c>
      <c r="T87" s="72">
        <f>IFERROR(VLOOKUP($D87,'FERC 2021'!$EA$3:$EN$221,7,0),"")</f>
        <v>1123</v>
      </c>
      <c r="U87" s="72">
        <f>IFERROR(VLOOKUP($D87,'FERC 2022'!$EA$3:$EN$220,7,0),"")</f>
        <v>1142</v>
      </c>
      <c r="V87" s="72">
        <f>IFERROR(VLOOKUP($D87,'FERC 2023'!$EA$3:$EN$221,7,0),"")</f>
        <v>1136</v>
      </c>
      <c r="W87" s="72">
        <f>IFERROR(VLOOKUP($D87,'FERC 2021'!$EA$3:$EN$221,8,0),"")</f>
        <v>153433</v>
      </c>
      <c r="X87" s="72">
        <f>IFERROR(VLOOKUP($D87,'FERC 2022'!$EA$3:$EN$220,8,0),"")</f>
        <v>154505</v>
      </c>
      <c r="Y87" s="72">
        <f>IFERROR(VLOOKUP($D87,'FERC 2023'!$EA$3:$EN$221,8,0),"")</f>
        <v>155182</v>
      </c>
      <c r="Z87" s="72">
        <f>IFERROR(VLOOKUP($D87,'FERC 2021'!$EA$3:$EN$222,9,0),"")</f>
        <v>284267</v>
      </c>
      <c r="AA87" s="72">
        <f>IFERROR(VLOOKUP($D87,'FERC 2022'!$EA$3:$EN$220,9,0),"")</f>
        <v>235486</v>
      </c>
      <c r="AB87" s="72">
        <f>IFERROR(VLOOKUP($D87,'FERC 2023'!$EA$3:$EN$221,9,0),"")</f>
        <v>235653</v>
      </c>
      <c r="AC87" s="72">
        <f>IFERROR(VLOOKUP($D87,'FERC 2021'!$EA$3:$EN$221,10,0),"")</f>
        <v>4644664</v>
      </c>
      <c r="AD87" s="72">
        <f>IFERROR(VLOOKUP($D87,'FERC 2022'!$EA$3:$EN$220,10,0),"")</f>
        <v>4591751</v>
      </c>
      <c r="AE87" s="72">
        <f>IFERROR(VLOOKUP($D87,'FERC 2023'!$EA$3:$EN$221,10,0),"")</f>
        <v>4394490</v>
      </c>
      <c r="AF87" s="72">
        <f>IFERROR(VLOOKUP($D87,'FERC 2021'!$EA$3:$EN$221,11,0),"")</f>
        <v>4906737.746192893</v>
      </c>
      <c r="AG87" s="72">
        <f>IFERROR(VLOOKUP($D87,'FERC 2022'!$EA$3:$EN$220,11,0),"")</f>
        <v>4813792.3705583755</v>
      </c>
      <c r="AH87" s="72">
        <f>IFERROR(VLOOKUP($D87,'FERC 2023'!$EA$3:$EN$221,11,0),"")</f>
        <v>4622371.9340101527</v>
      </c>
      <c r="AI87" s="72">
        <f>IFERROR(VLOOKUP($D87,'FERC 2021'!$EA$3:$EN$221,12,0),"")</f>
        <v>10694280.1</v>
      </c>
      <c r="AJ87" s="72">
        <f>IFERROR(VLOOKUP($D87,'FERC 2022'!$EA$3:$EN$220,12,0),"")</f>
        <v>15975817</v>
      </c>
      <c r="AK87" s="72">
        <f>IFERROR(VLOOKUP($D87,'FERC 2023'!$EA$3:$EN$221,12,0),"")</f>
        <v>12383523.6</v>
      </c>
      <c r="AL87" s="72">
        <f>VLOOKUP($D87,'FERC 2021'!$EA$3:$EN$221,13,0)</f>
        <v>133486.71</v>
      </c>
      <c r="AM87" s="72">
        <f>VLOOKUP($D87,'FERC 2022'!$EA$3:$EN$220,13,0)</f>
        <v>281199.10000000003</v>
      </c>
      <c r="AN87" s="72">
        <f>VLOOKUP($D87,'FERC 2023'!$EA$3:$EN$221,13,0)</f>
        <v>243635.74000000002</v>
      </c>
      <c r="AO87" s="72">
        <f>IFERROR(VLOOKUP($D87,'FERC 2021'!$EA$3:$EN$221,14,0),"")</f>
        <v>154349</v>
      </c>
      <c r="AP87" s="72">
        <f>IFERROR(VLOOKUP($D87,'FERC 2022'!$EA$3:$EN$220,14,0),"")</f>
        <v>155523</v>
      </c>
      <c r="AQ87" s="72">
        <f>IFERROR(VLOOKUP($D87,'FERC 2023'!$EA$3:$EN$221,14,0),"")</f>
        <v>156277</v>
      </c>
    </row>
    <row r="88" spans="1:43" ht="15.75" customHeight="1">
      <c r="A88" s="7" t="s">
        <v>462</v>
      </c>
      <c r="B88" s="7" t="s">
        <v>463</v>
      </c>
      <c r="C88" s="311">
        <f>'BD DEA'!P88</f>
        <v>1</v>
      </c>
      <c r="D88" s="44" t="str">
        <f t="shared" si="0"/>
        <v>C001016</v>
      </c>
      <c r="E88" s="72">
        <f>IFERROR(VLOOKUP($D88,'FERC 2021'!$EA$3:$EN$221,2,0),"")</f>
        <v>10070207336.241898</v>
      </c>
      <c r="F88" s="72">
        <f>IFERROR(VLOOKUP($D88,'FERC 2022'!$EA$3:$EN$220,2,0),"")</f>
        <v>10137538814.072603</v>
      </c>
      <c r="G88" s="72">
        <f>IFERROR(VLOOKUP($D88,'FERC 2023'!$EA$3:$EN$221,2,0),"")</f>
        <v>12855157964.664246</v>
      </c>
      <c r="H88" s="72">
        <f>IFERROR(VLOOKUP($D88,'FERC 2021'!$EA$3:$EN$225,3,0),"")</f>
        <v>304697534.94083846</v>
      </c>
      <c r="I88" s="72">
        <f>IFERROR(VLOOKUP($D88,'FERC 2022'!$EA$3:$EN$229,3,0),"")</f>
        <v>298220707.86075878</v>
      </c>
      <c r="J88" s="72">
        <f>IFERROR(VLOOKUP($D88,'FERC 2023'!$EA$3:$EN$229,3,0),"")</f>
        <v>298213362.33620965</v>
      </c>
      <c r="K88" s="72">
        <f>IFERROR(VLOOKUP($D88,'FERC 2021'!$EA$3:$EN$229,4,0),"")</f>
        <v>256523505.60864925</v>
      </c>
      <c r="L88" s="72">
        <f>IFERROR(VLOOKUP($D88,'FERC 2022'!$EA$3:$EN$220,4,0),"")</f>
        <v>245390819.72224006</v>
      </c>
      <c r="M88" s="72">
        <f>IFERROR(VLOOKUP($D88,'FERC 2023'!$EA$3:$EN$221,4,0),"")</f>
        <v>267696919.88007647</v>
      </c>
      <c r="N88" s="72">
        <f>IFERROR(VLOOKUP($D88,'FERC 2021'!$EA$3:$EN$221,5,0),"")</f>
        <v>344152219.84056842</v>
      </c>
      <c r="O88" s="72">
        <f>IFERROR(VLOOKUP($D88,'FERC 2022'!$EA$3:$EN$220,5,0),"")</f>
        <v>342976549.25434595</v>
      </c>
      <c r="P88" s="72">
        <f>IFERROR(VLOOKUP($D88,'FERC 2023'!$EA$3:$EN$221,5,0),"")</f>
        <v>409657706.68779439</v>
      </c>
      <c r="Q88" s="72">
        <f>IFERROR(VLOOKUP($D88,'FERC 2021'!$EA$3:$EN$221,6,0),"")</f>
        <v>229812814.3289752</v>
      </c>
      <c r="R88" s="72">
        <f>IFERROR(VLOOKUP($D88,'FERC 2022'!$EA$3:$EN$220,6,0),"")</f>
        <v>166749273.52971745</v>
      </c>
      <c r="S88" s="72">
        <f>IFERROR(VLOOKUP($D88,'FERC 2023'!$EA$3:$EN$221,6,0),"")</f>
        <v>184142375.70218602</v>
      </c>
      <c r="T88" s="72">
        <f>IFERROR(VLOOKUP($D88,'FERC 2021'!$EA$3:$EN$221,7,0),"")</f>
        <v>4958</v>
      </c>
      <c r="U88" s="72">
        <f>IFERROR(VLOOKUP($D88,'FERC 2022'!$EA$3:$EN$220,7,0),"")</f>
        <v>4800</v>
      </c>
      <c r="V88" s="72">
        <f>IFERROR(VLOOKUP($D88,'FERC 2023'!$EA$3:$EN$221,7,0),"")</f>
        <v>4523</v>
      </c>
      <c r="W88" s="72">
        <f>IFERROR(VLOOKUP($D88,'FERC 2021'!$EA$3:$EN$221,8,0),"")</f>
        <v>1272140</v>
      </c>
      <c r="X88" s="72">
        <f>IFERROR(VLOOKUP($D88,'FERC 2022'!$EA$3:$EN$220,8,0),"")</f>
        <v>1276343</v>
      </c>
      <c r="Y88" s="72">
        <f>IFERROR(VLOOKUP($D88,'FERC 2023'!$EA$3:$EN$221,8,0),"")</f>
        <v>1281684</v>
      </c>
      <c r="Z88" s="72">
        <f>IFERROR(VLOOKUP($D88,'FERC 2021'!$EA$3:$EN$222,9,0),"")</f>
        <v>375369</v>
      </c>
      <c r="AA88" s="72">
        <f>IFERROR(VLOOKUP($D88,'FERC 2022'!$EA$3:$EN$220,9,0),"")</f>
        <v>474991</v>
      </c>
      <c r="AB88" s="72">
        <f>IFERROR(VLOOKUP($D88,'FERC 2023'!$EA$3:$EN$221,9,0),"")</f>
        <v>118439</v>
      </c>
      <c r="AC88" s="72">
        <f>IFERROR(VLOOKUP($D88,'FERC 2021'!$EA$3:$EN$221,10,0),"")</f>
        <v>20501333</v>
      </c>
      <c r="AD88" s="72">
        <f>IFERROR(VLOOKUP($D88,'FERC 2022'!$EA$3:$EN$220,10,0),"")</f>
        <v>20559555</v>
      </c>
      <c r="AE88" s="72">
        <f>IFERROR(VLOOKUP($D88,'FERC 2023'!$EA$3:$EN$221,10,0),"")</f>
        <v>19576769</v>
      </c>
      <c r="AF88" s="72">
        <f>IFERROR(VLOOKUP($D88,'FERC 2021'!$EA$3:$EN$221,11,0),"")</f>
        <v>20758387.695431471</v>
      </c>
      <c r="AG88" s="72">
        <f>IFERROR(VLOOKUP($D88,'FERC 2022'!$EA$3:$EN$220,11,0),"")</f>
        <v>20894329.974619292</v>
      </c>
      <c r="AH88" s="72">
        <f>IFERROR(VLOOKUP($D88,'FERC 2023'!$EA$3:$EN$221,11,0),"")</f>
        <v>19570337.918781728</v>
      </c>
      <c r="AI88" s="72">
        <f>IFERROR(VLOOKUP($D88,'FERC 2021'!$EA$3:$EN$221,12,0),"")</f>
        <v>96677551.439999998</v>
      </c>
      <c r="AJ88" s="72">
        <f>IFERROR(VLOOKUP($D88,'FERC 2022'!$EA$3:$EN$220,12,0),"")</f>
        <v>93683576.200000003</v>
      </c>
      <c r="AK88" s="72">
        <f>IFERROR(VLOOKUP($D88,'FERC 2023'!$EA$3:$EN$221,12,0),"")</f>
        <v>96895310.399999991</v>
      </c>
      <c r="AL88" s="72">
        <f>VLOOKUP($D88,'FERC 2021'!$EA$3:$EN$221,13,0)</f>
        <v>1247969.3400000001</v>
      </c>
      <c r="AM88" s="72">
        <f>VLOOKUP($D88,'FERC 2022'!$EA$3:$EN$220,13,0)</f>
        <v>1158919.4440000001</v>
      </c>
      <c r="AN88" s="72">
        <f>VLOOKUP($D88,'FERC 2023'!$EA$3:$EN$221,13,0)</f>
        <v>1133008.656</v>
      </c>
      <c r="AO88" s="72">
        <f>IFERROR(VLOOKUP($D88,'FERC 2021'!$EA$3:$EN$221,14,0),"")</f>
        <v>1285586</v>
      </c>
      <c r="AP88" s="72">
        <f>IFERROR(VLOOKUP($D88,'FERC 2022'!$EA$3:$EN$220,14,0),"")</f>
        <v>1287645</v>
      </c>
      <c r="AQ88" s="72">
        <f>IFERROR(VLOOKUP($D88,'FERC 2023'!$EA$3:$EN$221,14,0),"")</f>
        <v>1307812</v>
      </c>
    </row>
    <row r="89" spans="1:43" ht="15.75" customHeight="1">
      <c r="A89" s="7" t="s">
        <v>465</v>
      </c>
      <c r="B89" s="7" t="s">
        <v>466</v>
      </c>
      <c r="C89" s="311">
        <f>'BD DEA'!P89</f>
        <v>1</v>
      </c>
      <c r="D89" s="44" t="str">
        <f t="shared" si="0"/>
        <v>C001017</v>
      </c>
      <c r="E89" s="72">
        <f>IFERROR(VLOOKUP($D89,'FERC 2021'!$EA$3:$EN$221,2,0),"")</f>
        <v>4006716480.2208328</v>
      </c>
      <c r="F89" s="72">
        <f>IFERROR(VLOOKUP($D89,'FERC 2022'!$EA$3:$EN$220,2,0),"")</f>
        <v>4337338598.0608425</v>
      </c>
      <c r="G89" s="72">
        <f>IFERROR(VLOOKUP($D89,'FERC 2023'!$EA$3:$EN$221,2,0),"")</f>
        <v>4849436157.4262171</v>
      </c>
      <c r="H89" s="72">
        <f>IFERROR(VLOOKUP($D89,'FERC 2021'!$EA$3:$EN$225,3,0),"")</f>
        <v>115930270.33656877</v>
      </c>
      <c r="I89" s="72">
        <f>IFERROR(VLOOKUP($D89,'FERC 2022'!$EA$3:$EN$229,3,0),"")</f>
        <v>116123418.29670051</v>
      </c>
      <c r="J89" s="72">
        <f>IFERROR(VLOOKUP($D89,'FERC 2023'!$EA$3:$EN$229,3,0),"")</f>
        <v>121021568.00407855</v>
      </c>
      <c r="K89" s="72">
        <f>IFERROR(VLOOKUP($D89,'FERC 2021'!$EA$3:$EN$229,4,0),"")</f>
        <v>118883859.82840994</v>
      </c>
      <c r="L89" s="72">
        <f>IFERROR(VLOOKUP($D89,'FERC 2022'!$EA$3:$EN$220,4,0),"")</f>
        <v>113448073.29023927</v>
      </c>
      <c r="M89" s="72">
        <f>IFERROR(VLOOKUP($D89,'FERC 2023'!$EA$3:$EN$221,4,0),"")</f>
        <v>119793107.80222613</v>
      </c>
      <c r="N89" s="72">
        <f>IFERROR(VLOOKUP($D89,'FERC 2021'!$EA$3:$EN$221,5,0),"")</f>
        <v>82638677.763761386</v>
      </c>
      <c r="O89" s="72">
        <f>IFERROR(VLOOKUP($D89,'FERC 2022'!$EA$3:$EN$220,5,0),"")</f>
        <v>75671183.675077453</v>
      </c>
      <c r="P89" s="72">
        <f>IFERROR(VLOOKUP($D89,'FERC 2023'!$EA$3:$EN$221,5,0),"")</f>
        <v>81512089.619220614</v>
      </c>
      <c r="Q89" s="72">
        <f>IFERROR(VLOOKUP($D89,'FERC 2021'!$EA$3:$EN$221,6,0),"")</f>
        <v>84559342.202463195</v>
      </c>
      <c r="R89" s="72">
        <f>IFERROR(VLOOKUP($D89,'FERC 2022'!$EA$3:$EN$220,6,0),"")</f>
        <v>77691536.349100024</v>
      </c>
      <c r="S89" s="72">
        <f>IFERROR(VLOOKUP($D89,'FERC 2023'!$EA$3:$EN$221,6,0),"")</f>
        <v>98496657.326246902</v>
      </c>
      <c r="T89" s="72">
        <f>IFERROR(VLOOKUP($D89,'FERC 2021'!$EA$3:$EN$221,7,0),"")</f>
        <v>1729</v>
      </c>
      <c r="U89" s="72">
        <f>IFERROR(VLOOKUP($D89,'FERC 2022'!$EA$3:$EN$220,7,0),"")</f>
        <v>1693</v>
      </c>
      <c r="V89" s="72">
        <f>IFERROR(VLOOKUP($D89,'FERC 2023'!$EA$3:$EN$221,7,0),"")</f>
        <v>1613</v>
      </c>
      <c r="W89" s="72">
        <f>IFERROR(VLOOKUP($D89,'FERC 2021'!$EA$3:$EN$221,8,0),"")</f>
        <v>530021</v>
      </c>
      <c r="X89" s="72">
        <f>IFERROR(VLOOKUP($D89,'FERC 2022'!$EA$3:$EN$220,8,0),"")</f>
        <v>533947</v>
      </c>
      <c r="Y89" s="72">
        <f>IFERROR(VLOOKUP($D89,'FERC 2023'!$EA$3:$EN$221,8,0),"")</f>
        <v>537247</v>
      </c>
      <c r="Z89" s="72">
        <f>IFERROR(VLOOKUP($D89,'FERC 2021'!$EA$3:$EN$222,9,0),"")</f>
        <v>340847</v>
      </c>
      <c r="AA89" s="72">
        <f>IFERROR(VLOOKUP($D89,'FERC 2022'!$EA$3:$EN$220,9,0),"")</f>
        <v>327879</v>
      </c>
      <c r="AB89" s="72">
        <f>IFERROR(VLOOKUP($D89,'FERC 2023'!$EA$3:$EN$221,9,0),"")</f>
        <v>308658</v>
      </c>
      <c r="AC89" s="72">
        <f>IFERROR(VLOOKUP($D89,'FERC 2021'!$EA$3:$EN$221,10,0),"")</f>
        <v>7781825</v>
      </c>
      <c r="AD89" s="72">
        <f>IFERROR(VLOOKUP($D89,'FERC 2022'!$EA$3:$EN$220,10,0),"")</f>
        <v>7764145</v>
      </c>
      <c r="AE89" s="72">
        <f>IFERROR(VLOOKUP($D89,'FERC 2023'!$EA$3:$EN$221,10,0),"")</f>
        <v>7589586</v>
      </c>
      <c r="AF89" s="72">
        <f>IFERROR(VLOOKUP($D89,'FERC 2021'!$EA$3:$EN$221,11,0),"")</f>
        <v>8111429.8578680204</v>
      </c>
      <c r="AG89" s="72">
        <f>IFERROR(VLOOKUP($D89,'FERC 2022'!$EA$3:$EN$220,11,0),"")</f>
        <v>8080743.6345177665</v>
      </c>
      <c r="AH89" s="72">
        <f>IFERROR(VLOOKUP($D89,'FERC 2023'!$EA$3:$EN$221,11,0),"")</f>
        <v>7886670.4873096449</v>
      </c>
      <c r="AI89" s="72">
        <f>IFERROR(VLOOKUP($D89,'FERC 2021'!$EA$3:$EN$221,12,0),"")</f>
        <v>51295962.401000001</v>
      </c>
      <c r="AJ89" s="72">
        <f>IFERROR(VLOOKUP($D89,'FERC 2022'!$EA$3:$EN$220,12,0),"")</f>
        <v>42075023.600000001</v>
      </c>
      <c r="AK89" s="72">
        <f>IFERROR(VLOOKUP($D89,'FERC 2023'!$EA$3:$EN$221,12,0),"")</f>
        <v>44967573.899999999</v>
      </c>
      <c r="AL89" s="72">
        <f>VLOOKUP($D89,'FERC 2021'!$EA$3:$EN$221,13,0)</f>
        <v>565002.38600000006</v>
      </c>
      <c r="AM89" s="72">
        <f>VLOOKUP($D89,'FERC 2022'!$EA$3:$EN$220,13,0)</f>
        <v>770485.52100000007</v>
      </c>
      <c r="AN89" s="72">
        <f>VLOOKUP($D89,'FERC 2023'!$EA$3:$EN$221,13,0)</f>
        <v>808019.48800000001</v>
      </c>
      <c r="AO89" s="72">
        <f>IFERROR(VLOOKUP($D89,'FERC 2021'!$EA$3:$EN$221,14,0),"")</f>
        <v>575606</v>
      </c>
      <c r="AP89" s="72">
        <f>IFERROR(VLOOKUP($D89,'FERC 2022'!$EA$3:$EN$220,14,0),"")</f>
        <v>568010</v>
      </c>
      <c r="AQ89" s="72">
        <f>IFERROR(VLOOKUP($D89,'FERC 2023'!$EA$3:$EN$221,14,0),"")</f>
        <v>577958</v>
      </c>
    </row>
    <row r="90" spans="1:43" ht="15.75" hidden="1" customHeight="1">
      <c r="A90" s="7" t="s">
        <v>468</v>
      </c>
      <c r="B90" s="7" t="s">
        <v>469</v>
      </c>
      <c r="C90" s="311" t="str">
        <f>'BD DEA'!P90</f>
        <v/>
      </c>
      <c r="D90" s="44" t="str">
        <f t="shared" si="0"/>
        <v>C001025</v>
      </c>
      <c r="E90" s="72">
        <f>IFERROR(VLOOKUP($D90,'FERC 2021'!$EA$3:$EN$221,2,0),"")</f>
        <v>1841032647.4275877</v>
      </c>
      <c r="F90" s="72">
        <f>IFERROR(VLOOKUP($D90,'FERC 2022'!$EA$3:$EN$220,2,0),"")</f>
        <v>1898860200.6031864</v>
      </c>
      <c r="G90" s="72">
        <f>IFERROR(VLOOKUP($D90,'FERC 2023'!$EA$3:$EN$221,2,0),"")</f>
        <v>1979965630.2302616</v>
      </c>
      <c r="H90" s="72">
        <f>IFERROR(VLOOKUP($D90,'FERC 2021'!$EA$3:$EN$225,3,0),"")</f>
        <v>72066510.477981612</v>
      </c>
      <c r="I90" s="72">
        <f>IFERROR(VLOOKUP($D90,'FERC 2022'!$EA$3:$EN$229,3,0),"")</f>
        <v>73201442.548865661</v>
      </c>
      <c r="J90" s="72">
        <f>IFERROR(VLOOKUP($D90,'FERC 2023'!$EA$3:$EN$229,3,0),"")</f>
        <v>74979146.571899876</v>
      </c>
      <c r="K90" s="72">
        <f>IFERROR(VLOOKUP($D90,'FERC 2021'!$EA$3:$EN$229,4,0),"")</f>
        <v>96849260.162133425</v>
      </c>
      <c r="L90" s="72">
        <f>IFERROR(VLOOKUP($D90,'FERC 2022'!$EA$3:$EN$220,4,0),"")</f>
        <v>93997622.451861799</v>
      </c>
      <c r="M90" s="72">
        <f>IFERROR(VLOOKUP($D90,'FERC 2023'!$EA$3:$EN$221,4,0),"")</f>
        <v>89824945.12449494</v>
      </c>
      <c r="N90" s="72">
        <f>IFERROR(VLOOKUP($D90,'FERC 2021'!$EA$3:$EN$221,5,0),"")</f>
        <v>99743432.905298352</v>
      </c>
      <c r="O90" s="72">
        <f>IFERROR(VLOOKUP($D90,'FERC 2022'!$EA$3:$EN$220,5,0),"")</f>
        <v>105829619.84711258</v>
      </c>
      <c r="P90" s="72">
        <f>IFERROR(VLOOKUP($D90,'FERC 2023'!$EA$3:$EN$221,5,0),"")</f>
        <v>99875738.557721943</v>
      </c>
      <c r="Q90" s="72">
        <f>IFERROR(VLOOKUP($D90,'FERC 2021'!$EA$3:$EN$221,6,0),"")</f>
        <v>73446739.815223426</v>
      </c>
      <c r="R90" s="72">
        <f>IFERROR(VLOOKUP($D90,'FERC 2022'!$EA$3:$EN$220,6,0),"")</f>
        <v>68435685.083564937</v>
      </c>
      <c r="S90" s="72">
        <f>IFERROR(VLOOKUP($D90,'FERC 2023'!$EA$3:$EN$221,6,0),"")</f>
        <v>75477852.199103042</v>
      </c>
      <c r="T90" s="72">
        <f>IFERROR(VLOOKUP($D90,'FERC 2021'!$EA$3:$EN$221,7,0),"")</f>
        <v>1148</v>
      </c>
      <c r="U90" s="72">
        <f>IFERROR(VLOOKUP($D90,'FERC 2022'!$EA$3:$EN$220,7,0),"")</f>
        <v>1109</v>
      </c>
      <c r="V90" s="72">
        <f>IFERROR(VLOOKUP($D90,'FERC 2023'!$EA$3:$EN$221,7,0),"")</f>
        <v>1046</v>
      </c>
      <c r="W90" s="72">
        <f>IFERROR(VLOOKUP($D90,'FERC 2021'!$EA$3:$EN$221,8,0),"")</f>
        <v>249492</v>
      </c>
      <c r="X90" s="72">
        <f>IFERROR(VLOOKUP($D90,'FERC 2022'!$EA$3:$EN$220,8,0),"")</f>
        <v>272264</v>
      </c>
      <c r="Y90" s="72">
        <f>IFERROR(VLOOKUP($D90,'FERC 2023'!$EA$3:$EN$221,8,0),"")</f>
        <v>282134</v>
      </c>
      <c r="Z90" s="72">
        <f>IFERROR(VLOOKUP($D90,'FERC 2021'!$EA$3:$EN$222,9,0),"")</f>
        <v>260977</v>
      </c>
      <c r="AA90" s="72">
        <f>IFERROR(VLOOKUP($D90,'FERC 2022'!$EA$3:$EN$220,9,0),"")</f>
        <v>140262</v>
      </c>
      <c r="AB90" s="72">
        <f>IFERROR(VLOOKUP($D90,'FERC 2023'!$EA$3:$EN$221,9,0),"")</f>
        <v>237475</v>
      </c>
      <c r="AC90" s="72">
        <f>IFERROR(VLOOKUP($D90,'FERC 2021'!$EA$3:$EN$221,10,0),"")</f>
        <v>2665685</v>
      </c>
      <c r="AD90" s="72">
        <f>IFERROR(VLOOKUP($D90,'FERC 2022'!$EA$3:$EN$220,10,0),"")</f>
        <v>2855688</v>
      </c>
      <c r="AE90" s="72">
        <f>IFERROR(VLOOKUP($D90,'FERC 2023'!$EA$3:$EN$221,10,0),"")</f>
        <v>2869805</v>
      </c>
      <c r="AF90" s="72">
        <f>IFERROR(VLOOKUP($D90,'FERC 2021'!$EA$3:$EN$221,11,0),"")</f>
        <v>2925808.8578680204</v>
      </c>
      <c r="AG90" s="72">
        <f>IFERROR(VLOOKUP($D90,'FERC 2022'!$EA$3:$EN$220,11,0),"")</f>
        <v>2995220.9086294416</v>
      </c>
      <c r="AH90" s="72">
        <f>IFERROR(VLOOKUP($D90,'FERC 2023'!$EA$3:$EN$221,11,0),"")</f>
        <v>3106892.6954314723</v>
      </c>
      <c r="AI90" s="72">
        <f>IFERROR(VLOOKUP($D90,'FERC 2021'!$EA$3:$EN$221,12,0),"")</f>
        <v>56709531.600000001</v>
      </c>
      <c r="AJ90" s="72">
        <f>IFERROR(VLOOKUP($D90,'FERC 2022'!$EA$3:$EN$220,12,0),"")</f>
        <v>46883860.799999997</v>
      </c>
      <c r="AK90" s="72">
        <f>IFERROR(VLOOKUP($D90,'FERC 2023'!$EA$3:$EN$221,12,0),"")</f>
        <v>42489380.399999999</v>
      </c>
      <c r="AL90" s="72">
        <f>VLOOKUP($D90,'FERC 2021'!$EA$3:$EN$221,13,0)</f>
        <v>449085.60000000003</v>
      </c>
      <c r="AM90" s="72">
        <f>VLOOKUP($D90,'FERC 2022'!$EA$3:$EN$220,13,0)</f>
        <v>517301.6</v>
      </c>
      <c r="AN90" s="72">
        <f>VLOOKUP($D90,'FERC 2023'!$EA$3:$EN$221,13,0)</f>
        <v>423201</v>
      </c>
      <c r="AO90" s="72">
        <f>IFERROR(VLOOKUP($D90,'FERC 2021'!$EA$3:$EN$221,14,0),"")</f>
        <v>150776</v>
      </c>
      <c r="AP90" s="72">
        <f>IFERROR(VLOOKUP($D90,'FERC 2022'!$EA$3:$EN$220,14,0),"")</f>
        <v>156290</v>
      </c>
      <c r="AQ90" s="72">
        <f>IFERROR(VLOOKUP($D90,'FERC 2023'!$EA$3:$EN$221,14,0),"")</f>
        <v>165121</v>
      </c>
    </row>
    <row r="91" spans="1:43" ht="15.75" customHeight="1">
      <c r="A91" s="7" t="s">
        <v>471</v>
      </c>
      <c r="B91" s="7" t="s">
        <v>472</v>
      </c>
      <c r="C91" s="311">
        <f>'BD DEA'!P91</f>
        <v>1</v>
      </c>
      <c r="D91" s="44" t="str">
        <f t="shared" si="0"/>
        <v>C001030</v>
      </c>
      <c r="E91" s="72">
        <f>IFERROR(VLOOKUP($D91,'FERC 2021'!$EA$3:$EN$221,2,0),"")</f>
        <v>24921915043.614304</v>
      </c>
      <c r="F91" s="72">
        <f>IFERROR(VLOOKUP($D91,'FERC 2022'!$EA$3:$EN$220,2,0),"")</f>
        <v>28856261845.988396</v>
      </c>
      <c r="G91" s="72">
        <f>IFERROR(VLOOKUP($D91,'FERC 2023'!$EA$3:$EN$221,2,0),"")</f>
        <v>31382382143.471264</v>
      </c>
      <c r="H91" s="72">
        <f>IFERROR(VLOOKUP($D91,'FERC 2021'!$EA$3:$EN$225,3,0),"")</f>
        <v>1264536393.6041541</v>
      </c>
      <c r="I91" s="72">
        <f>IFERROR(VLOOKUP($D91,'FERC 2022'!$EA$3:$EN$229,3,0),"")</f>
        <v>1405344493.7213678</v>
      </c>
      <c r="J91" s="72">
        <f>IFERROR(VLOOKUP($D91,'FERC 2023'!$EA$3:$EN$229,3,0),"")</f>
        <v>1485497290.4990187</v>
      </c>
      <c r="K91" s="72">
        <f>IFERROR(VLOOKUP($D91,'FERC 2021'!$EA$3:$EN$229,4,0),"")</f>
        <v>341006546.93857968</v>
      </c>
      <c r="L91" s="72">
        <f>IFERROR(VLOOKUP($D91,'FERC 2022'!$EA$3:$EN$220,4,0),"")</f>
        <v>298956561.50539517</v>
      </c>
      <c r="M91" s="72">
        <f>IFERROR(VLOOKUP($D91,'FERC 2023'!$EA$3:$EN$221,4,0),"")</f>
        <v>297446135.1854881</v>
      </c>
      <c r="N91" s="72">
        <f>IFERROR(VLOOKUP($D91,'FERC 2021'!$EA$3:$EN$221,5,0),"")</f>
        <v>152424803.4265798</v>
      </c>
      <c r="O91" s="72">
        <f>IFERROR(VLOOKUP($D91,'FERC 2022'!$EA$3:$EN$220,5,0),"")</f>
        <v>186586728.7342104</v>
      </c>
      <c r="P91" s="72">
        <f>IFERROR(VLOOKUP($D91,'FERC 2023'!$EA$3:$EN$221,5,0),"")</f>
        <v>182122332.95709488</v>
      </c>
      <c r="Q91" s="72">
        <f>IFERROR(VLOOKUP($D91,'FERC 2021'!$EA$3:$EN$221,6,0),"")</f>
        <v>334999405.60256886</v>
      </c>
      <c r="R91" s="72">
        <f>IFERROR(VLOOKUP($D91,'FERC 2022'!$EA$3:$EN$220,6,0),"")</f>
        <v>213912052.37729993</v>
      </c>
      <c r="S91" s="72">
        <f>IFERROR(VLOOKUP($D91,'FERC 2023'!$EA$3:$EN$221,6,0),"")</f>
        <v>235953594.95769498</v>
      </c>
      <c r="T91" s="72">
        <f>IFERROR(VLOOKUP($D91,'FERC 2021'!$EA$3:$EN$221,7,0),"")</f>
        <v>24042</v>
      </c>
      <c r="U91" s="72">
        <f>IFERROR(VLOOKUP($D91,'FERC 2022'!$EA$3:$EN$220,7,0),"")</f>
        <v>26429</v>
      </c>
      <c r="V91" s="72">
        <f>IFERROR(VLOOKUP($D91,'FERC 2023'!$EA$3:$EN$221,7,0),"")</f>
        <v>28461</v>
      </c>
      <c r="W91" s="72">
        <f>IFERROR(VLOOKUP($D91,'FERC 2021'!$EA$3:$EN$221,8,0),"")</f>
        <v>5214263</v>
      </c>
      <c r="X91" s="72">
        <f>IFERROR(VLOOKUP($D91,'FERC 2022'!$EA$3:$EN$220,8,0),"")</f>
        <v>5775848</v>
      </c>
      <c r="Y91" s="72">
        <f>IFERROR(VLOOKUP($D91,'FERC 2023'!$EA$3:$EN$221,8,0),"")</f>
        <v>5845161</v>
      </c>
      <c r="Z91" s="72">
        <f>IFERROR(VLOOKUP($D91,'FERC 2021'!$EA$3:$EN$222,9,0),"")</f>
        <v>7831437</v>
      </c>
      <c r="AA91" s="72">
        <f>IFERROR(VLOOKUP($D91,'FERC 2022'!$EA$3:$EN$220,9,0),"")</f>
        <v>10605579</v>
      </c>
      <c r="AB91" s="72">
        <f>IFERROR(VLOOKUP($D91,'FERC 2023'!$EA$3:$EN$221,9,0),"")</f>
        <v>10323742</v>
      </c>
      <c r="AC91" s="72">
        <f>IFERROR(VLOOKUP($D91,'FERC 2021'!$EA$3:$EN$221,10,0),"")</f>
        <v>112176554</v>
      </c>
      <c r="AD91" s="72">
        <f>IFERROR(VLOOKUP($D91,'FERC 2022'!$EA$3:$EN$220,10,0),"")</f>
        <v>126449896</v>
      </c>
      <c r="AE91" s="72">
        <f>IFERROR(VLOOKUP($D91,'FERC 2023'!$EA$3:$EN$221,10,0),"")</f>
        <v>127903793</v>
      </c>
      <c r="AF91" s="72">
        <f>IFERROR(VLOOKUP($D91,'FERC 2021'!$EA$3:$EN$221,11,0),"")</f>
        <v>119846708.60913706</v>
      </c>
      <c r="AG91" s="72">
        <f>IFERROR(VLOOKUP($D91,'FERC 2022'!$EA$3:$EN$220,11,0),"")</f>
        <v>136850258.69035533</v>
      </c>
      <c r="AH91" s="72">
        <f>IFERROR(VLOOKUP($D91,'FERC 2023'!$EA$3:$EN$221,11,0),"")</f>
        <v>138032880.38071066</v>
      </c>
      <c r="AI91" s="72">
        <f>IFERROR(VLOOKUP($D91,'FERC 2021'!$EA$3:$EN$221,12,0),"")</f>
        <v>233859695.55000001</v>
      </c>
      <c r="AJ91" s="72">
        <f>IFERROR(VLOOKUP($D91,'FERC 2022'!$EA$3:$EN$220,12,0),"")</f>
        <v>277645013.36000001</v>
      </c>
      <c r="AK91" s="72">
        <f>IFERROR(VLOOKUP($D91,'FERC 2023'!$EA$3:$EN$221,12,0),"")</f>
        <v>290329146.87</v>
      </c>
      <c r="AL91" s="72">
        <f>VLOOKUP($D91,'FERC 2021'!$EA$3:$EN$221,13,0)</f>
        <v>3024272.5399999996</v>
      </c>
      <c r="AM91" s="72">
        <f>VLOOKUP($D91,'FERC 2022'!$EA$3:$EN$220,13,0)</f>
        <v>6411191.2800000003</v>
      </c>
      <c r="AN91" s="72">
        <f>VLOOKUP($D91,'FERC 2023'!$EA$3:$EN$221,13,0)</f>
        <v>3740903.04</v>
      </c>
      <c r="AO91" s="72">
        <f>IFERROR(VLOOKUP($D91,'FERC 2021'!$EA$3:$EN$221,14,0),"")</f>
        <v>5308644</v>
      </c>
      <c r="AP91" s="72">
        <f>IFERROR(VLOOKUP($D91,'FERC 2022'!$EA$3:$EN$220,14,0),"")</f>
        <v>5860987</v>
      </c>
      <c r="AQ91" s="72">
        <f>IFERROR(VLOOKUP($D91,'FERC 2023'!$EA$3:$EN$221,14,0),"")</f>
        <v>5979540</v>
      </c>
    </row>
    <row r="92" spans="1:43" ht="15.75" hidden="1" customHeight="1">
      <c r="A92" s="7" t="s">
        <v>474</v>
      </c>
      <c r="B92" s="7" t="s">
        <v>475</v>
      </c>
      <c r="C92" s="311" t="str">
        <f>'BD DEA'!P92</f>
        <v/>
      </c>
      <c r="D92" s="44" t="str">
        <f t="shared" si="0"/>
        <v>C001111</v>
      </c>
      <c r="E92" s="72">
        <f>IFERROR(VLOOKUP($D92,'FERC 2021'!$EA$3:$EN$221,2,0),"")</f>
        <v>8878635712.3898067</v>
      </c>
      <c r="F92" s="72">
        <f>IFERROR(VLOOKUP($D92,'FERC 2022'!$EA$3:$EN$220,2,0),"")</f>
        <v>9200263624.4431973</v>
      </c>
      <c r="G92" s="72">
        <f>IFERROR(VLOOKUP($D92,'FERC 2023'!$EA$3:$EN$221,2,0),"")</f>
        <v>9359945863.5167408</v>
      </c>
      <c r="H92" s="72">
        <f>IFERROR(VLOOKUP($D92,'FERC 2021'!$EA$3:$EN$225,3,0),"")</f>
        <v>500781918.0666014</v>
      </c>
      <c r="I92" s="72">
        <f>IFERROR(VLOOKUP($D92,'FERC 2022'!$EA$3:$EN$229,3,0),"")</f>
        <v>494922405.67410988</v>
      </c>
      <c r="J92" s="72">
        <f>IFERROR(VLOOKUP($D92,'FERC 2023'!$EA$3:$EN$229,3,0),"")</f>
        <v>487753959.84396642</v>
      </c>
      <c r="K92" s="72">
        <f>IFERROR(VLOOKUP($D92,'FERC 2021'!$EA$3:$EN$229,4,0),"")</f>
        <v>260363065.16901618</v>
      </c>
      <c r="L92" s="72">
        <f>IFERROR(VLOOKUP($D92,'FERC 2022'!$EA$3:$EN$220,4,0),"")</f>
        <v>249302948.33384535</v>
      </c>
      <c r="M92" s="72">
        <f>IFERROR(VLOOKUP($D92,'FERC 2023'!$EA$3:$EN$221,4,0),"")</f>
        <v>233133802.3037346</v>
      </c>
      <c r="N92" s="72">
        <f>IFERROR(VLOOKUP($D92,'FERC 2021'!$EA$3:$EN$221,5,0),"")</f>
        <v>74936260.871467993</v>
      </c>
      <c r="O92" s="72">
        <f>IFERROR(VLOOKUP($D92,'FERC 2022'!$EA$3:$EN$220,5,0),"")</f>
        <v>80632769.906436548</v>
      </c>
      <c r="P92" s="72">
        <f>IFERROR(VLOOKUP($D92,'FERC 2023'!$EA$3:$EN$221,5,0),"")</f>
        <v>86362892.715886086</v>
      </c>
      <c r="Q92" s="72">
        <f>IFERROR(VLOOKUP($D92,'FERC 2021'!$EA$3:$EN$221,6,0),"")</f>
        <v>196379591.39341795</v>
      </c>
      <c r="R92" s="72">
        <f>IFERROR(VLOOKUP($D92,'FERC 2022'!$EA$3:$EN$220,6,0),"")</f>
        <v>181496834.35391009</v>
      </c>
      <c r="S92" s="72">
        <f>IFERROR(VLOOKUP($D92,'FERC 2023'!$EA$3:$EN$221,6,0),"")</f>
        <v>191716207.38569146</v>
      </c>
      <c r="T92" s="72">
        <f>IFERROR(VLOOKUP($D92,'FERC 2021'!$EA$3:$EN$221,7,0),"")</f>
        <v>6486</v>
      </c>
      <c r="U92" s="72">
        <f>IFERROR(VLOOKUP($D92,'FERC 2022'!$EA$3:$EN$220,7,0),"")</f>
        <v>6520</v>
      </c>
      <c r="V92" s="72">
        <f>IFERROR(VLOOKUP($D92,'FERC 2023'!$EA$3:$EN$221,7,0),"")</f>
        <v>6406</v>
      </c>
      <c r="W92" s="72">
        <f>IFERROR(VLOOKUP($D92,'FERC 2021'!$EA$3:$EN$221,8,0),"")</f>
        <v>1320806</v>
      </c>
      <c r="X92" s="72">
        <f>IFERROR(VLOOKUP($D92,'FERC 2022'!$EA$3:$EN$220,8,0),"")</f>
        <v>1329040</v>
      </c>
      <c r="Y92" s="72">
        <f>IFERROR(VLOOKUP($D92,'FERC 2023'!$EA$3:$EN$221,8,0),"")</f>
        <v>1336794</v>
      </c>
      <c r="Z92" s="72">
        <f>IFERROR(VLOOKUP($D92,'FERC 2021'!$EA$3:$EN$222,9,0),"")</f>
        <v>1907700</v>
      </c>
      <c r="AA92" s="72">
        <f>IFERROR(VLOOKUP($D92,'FERC 2022'!$EA$3:$EN$220,9,0),"")</f>
        <v>1851248</v>
      </c>
      <c r="AB92" s="72">
        <f>IFERROR(VLOOKUP($D92,'FERC 2023'!$EA$3:$EN$221,9,0),"")</f>
        <v>1792040</v>
      </c>
      <c r="AC92" s="72">
        <f>IFERROR(VLOOKUP($D92,'FERC 2021'!$EA$3:$EN$221,10,0),"")</f>
        <v>29090943</v>
      </c>
      <c r="AD92" s="72">
        <f>IFERROR(VLOOKUP($D92,'FERC 2022'!$EA$3:$EN$220,10,0),"")</f>
        <v>29218902</v>
      </c>
      <c r="AE92" s="72">
        <f>IFERROR(VLOOKUP($D92,'FERC 2023'!$EA$3:$EN$221,10,0),"")</f>
        <v>27712371</v>
      </c>
      <c r="AF92" s="72">
        <f>IFERROR(VLOOKUP($D92,'FERC 2021'!$EA$3:$EN$221,11,0),"")</f>
        <v>30998643</v>
      </c>
      <c r="AG92" s="72">
        <f>IFERROR(VLOOKUP($D92,'FERC 2022'!$EA$3:$EN$220,11,0),"")</f>
        <v>31070150</v>
      </c>
      <c r="AH92" s="72">
        <f>IFERROR(VLOOKUP($D92,'FERC 2023'!$EA$3:$EN$221,11,0),"")</f>
        <v>29504411</v>
      </c>
      <c r="AI92" s="72">
        <f>IFERROR(VLOOKUP($D92,'FERC 2021'!$EA$3:$EN$221,12,0),"")</f>
        <v>101370539.69399999</v>
      </c>
      <c r="AJ92" s="72">
        <f>IFERROR(VLOOKUP($D92,'FERC 2022'!$EA$3:$EN$220,12,0),"")</f>
        <v>110881807.2</v>
      </c>
      <c r="AK92" s="72">
        <f>IFERROR(VLOOKUP($D92,'FERC 2023'!$EA$3:$EN$221,12,0),"")</f>
        <v>80795829.359999999</v>
      </c>
      <c r="AL92" s="72">
        <f>VLOOKUP($D92,'FERC 2021'!$EA$3:$EN$221,13,0)</f>
        <v>1343259.7019999998</v>
      </c>
      <c r="AM92" s="72">
        <f>VLOOKUP($D92,'FERC 2022'!$EA$3:$EN$220,13,0)</f>
        <v>1545673.52</v>
      </c>
      <c r="AN92" s="72">
        <f>VLOOKUP($D92,'FERC 2023'!$EA$3:$EN$221,13,0)</f>
        <v>1285995.828</v>
      </c>
      <c r="AO92" s="72">
        <f>IFERROR(VLOOKUP($D92,'FERC 2021'!$EA$3:$EN$221,14,0),"")</f>
        <v>1350574</v>
      </c>
      <c r="AP92" s="72">
        <f>IFERROR(VLOOKUP($D92,'FERC 2022'!$EA$3:$EN$220,14,0),"")</f>
        <v>1354452</v>
      </c>
      <c r="AQ92" s="72">
        <f>IFERROR(VLOOKUP($D92,'FERC 2023'!$EA$3:$EN$221,14,0),"")</f>
        <v>1361774</v>
      </c>
    </row>
    <row r="93" spans="1:43" ht="15.75" hidden="1" customHeight="1">
      <c r="A93" s="7" t="s">
        <v>477</v>
      </c>
      <c r="B93" s="7" t="s">
        <v>478</v>
      </c>
      <c r="C93" s="311" t="str">
        <f>'BD DEA'!P93</f>
        <v/>
      </c>
      <c r="D93" s="44" t="str">
        <f t="shared" si="0"/>
        <v>C001130</v>
      </c>
      <c r="E93" s="72" t="str">
        <f>IFERROR(VLOOKUP($D93,'FERC 2021'!$EA$3:$EN$221,2,0),"")</f>
        <v/>
      </c>
      <c r="F93" s="72">
        <f>IFERROR(VLOOKUP($D93,'FERC 2022'!$EA$3:$EN$220,2,0),"")</f>
        <v>2212482988.8138423</v>
      </c>
      <c r="G93" s="72">
        <f>IFERROR(VLOOKUP($D93,'FERC 2023'!$EA$3:$EN$221,2,0),"")</f>
        <v>2264128453.9202142</v>
      </c>
      <c r="H93" s="72" t="str">
        <f>IFERROR(VLOOKUP($D93,'FERC 2021'!$EA$3:$EN$225,3,0),"")</f>
        <v/>
      </c>
      <c r="I93" s="72">
        <f>IFERROR(VLOOKUP($D93,'FERC 2022'!$EA$3:$EN$229,3,0),"")</f>
        <v>88712430.460381731</v>
      </c>
      <c r="J93" s="72">
        <f>IFERROR(VLOOKUP($D93,'FERC 2023'!$EA$3:$EN$229,3,0),"")</f>
        <v>85857091.722232342</v>
      </c>
      <c r="K93" s="72" t="str">
        <f>IFERROR(VLOOKUP($D93,'FERC 2021'!$EA$3:$EN$229,4,0),"")</f>
        <v/>
      </c>
      <c r="L93" s="72">
        <f>IFERROR(VLOOKUP($D93,'FERC 2022'!$EA$3:$EN$220,4,0),"")</f>
        <v>24871448.796786465</v>
      </c>
      <c r="M93" s="72">
        <f>IFERROR(VLOOKUP($D93,'FERC 2023'!$EA$3:$EN$221,4,0),"")</f>
        <v>25535613.088618178</v>
      </c>
      <c r="N93" s="72" t="str">
        <f>IFERROR(VLOOKUP($D93,'FERC 2021'!$EA$3:$EN$221,5,0),"")</f>
        <v/>
      </c>
      <c r="O93" s="72">
        <f>IFERROR(VLOOKUP($D93,'FERC 2022'!$EA$3:$EN$220,5,0),"")</f>
        <v>17262480.717916273</v>
      </c>
      <c r="P93" s="72">
        <f>IFERROR(VLOOKUP($D93,'FERC 2023'!$EA$3:$EN$221,5,0),"")</f>
        <v>17619468.304888431</v>
      </c>
      <c r="Q93" s="72" t="str">
        <f>IFERROR(VLOOKUP($D93,'FERC 2021'!$EA$3:$EN$221,6,0),"")</f>
        <v/>
      </c>
      <c r="R93" s="72">
        <f>IFERROR(VLOOKUP($D93,'FERC 2022'!$EA$3:$EN$220,6,0),"")</f>
        <v>36211421.03527391</v>
      </c>
      <c r="S93" s="72">
        <f>IFERROR(VLOOKUP($D93,'FERC 2023'!$EA$3:$EN$221,6,0),"")</f>
        <v>25530930.552037243</v>
      </c>
      <c r="T93" s="72" t="str">
        <f>IFERROR(VLOOKUP($D93,'FERC 2021'!$EA$3:$EN$221,7,0),"")</f>
        <v/>
      </c>
      <c r="U93" s="72">
        <f>IFERROR(VLOOKUP($D93,'FERC 2022'!$EA$3:$EN$220,7,0),"")</f>
        <v>1249</v>
      </c>
      <c r="V93" s="72">
        <f>IFERROR(VLOOKUP($D93,'FERC 2023'!$EA$3:$EN$221,7,0),"")</f>
        <v>1120</v>
      </c>
      <c r="W93" s="72" t="str">
        <f>IFERROR(VLOOKUP($D93,'FERC 2021'!$EA$3:$EN$221,8,0),"")</f>
        <v/>
      </c>
      <c r="X93" s="72">
        <f>IFERROR(VLOOKUP($D93,'FERC 2022'!$EA$3:$EN$220,8,0),"")</f>
        <v>181327</v>
      </c>
      <c r="Y93" s="72">
        <f>IFERROR(VLOOKUP($D93,'FERC 2023'!$EA$3:$EN$221,8,0),"")</f>
        <v>183991</v>
      </c>
      <c r="Z93" s="72" t="str">
        <f>IFERROR(VLOOKUP($D93,'FERC 2021'!$EA$3:$EN$222,9,0),"")</f>
        <v/>
      </c>
      <c r="AA93" s="72">
        <f>IFERROR(VLOOKUP($D93,'FERC 2022'!$EA$3:$EN$220,9,0),"")</f>
        <v>43848</v>
      </c>
      <c r="AB93" s="72">
        <f>IFERROR(VLOOKUP($D93,'FERC 2023'!$EA$3:$EN$221,9,0),"")</f>
        <v>160409</v>
      </c>
      <c r="AC93" s="72" t="str">
        <f>IFERROR(VLOOKUP($D93,'FERC 2021'!$EA$3:$EN$221,10,0),"")</f>
        <v/>
      </c>
      <c r="AD93" s="72">
        <f>IFERROR(VLOOKUP($D93,'FERC 2022'!$EA$3:$EN$220,10,0),"")</f>
        <v>4930327</v>
      </c>
      <c r="AE93" s="72">
        <f>IFERROR(VLOOKUP($D93,'FERC 2023'!$EA$3:$EN$221,10,0),"")</f>
        <v>4705027</v>
      </c>
      <c r="AF93" s="72" t="str">
        <f>IFERROR(VLOOKUP($D93,'FERC 2021'!$EA$3:$EN$221,11,0),"")</f>
        <v/>
      </c>
      <c r="AG93" s="72">
        <f>IFERROR(VLOOKUP($D93,'FERC 2022'!$EA$3:$EN$220,11,0),"")</f>
        <v>4955650.7918781731</v>
      </c>
      <c r="AH93" s="72">
        <f>IFERROR(VLOOKUP($D93,'FERC 2023'!$EA$3:$EN$221,11,0),"")</f>
        <v>4848795.3197969543</v>
      </c>
      <c r="AI93" s="72" t="str">
        <f>IFERROR(VLOOKUP($D93,'FERC 2021'!$EA$3:$EN$221,12,0),"")</f>
        <v/>
      </c>
      <c r="AJ93" s="72">
        <f>IFERROR(VLOOKUP($D93,'FERC 2022'!$EA$3:$EN$220,12,0),"")</f>
        <v>17351180.629999999</v>
      </c>
      <c r="AK93" s="72">
        <f>IFERROR(VLOOKUP($D93,'FERC 2023'!$EA$3:$EN$221,12,0),"")</f>
        <v>15701791.940000001</v>
      </c>
      <c r="AL93" s="72" t="str">
        <f>VLOOKUP($D93,'FERC 2021'!$EA$3:$EN$221,13,0)</f>
        <v/>
      </c>
      <c r="AM93" s="72">
        <f>VLOOKUP($D93,'FERC 2022'!$EA$3:$EN$220,13,0)</f>
        <v>476164.70199999999</v>
      </c>
      <c r="AN93" s="72">
        <f>VLOOKUP($D93,'FERC 2023'!$EA$3:$EN$221,13,0)</f>
        <v>480032.51899999997</v>
      </c>
      <c r="AO93" s="72" t="str">
        <f>IFERROR(VLOOKUP($D93,'FERC 2021'!$EA$3:$EN$221,14,0),"")</f>
        <v/>
      </c>
      <c r="AP93" s="72">
        <f>IFERROR(VLOOKUP($D93,'FERC 2022'!$EA$3:$EN$220,14,0),"")</f>
        <v>5391</v>
      </c>
      <c r="AQ93" s="72">
        <f>IFERROR(VLOOKUP($D93,'FERC 2023'!$EA$3:$EN$221,14,0),"")</f>
        <v>5655</v>
      </c>
    </row>
    <row r="94" spans="1:43" ht="15.75" hidden="1" customHeight="1">
      <c r="A94" s="7" t="s">
        <v>480</v>
      </c>
      <c r="B94" s="7" t="s">
        <v>481</v>
      </c>
      <c r="C94" s="311" t="str">
        <f>'BD DEA'!P94</f>
        <v/>
      </c>
      <c r="D94" s="44" t="str">
        <f t="shared" si="0"/>
        <v>C001132</v>
      </c>
      <c r="E94" s="72">
        <f>IFERROR(VLOOKUP($D94,'FERC 2021'!$EA$3:$EN$221,2,0),"")</f>
        <v>7031321683.5351839</v>
      </c>
      <c r="F94" s="72">
        <f>IFERROR(VLOOKUP($D94,'FERC 2022'!$EA$3:$EN$220,2,0),"")</f>
        <v>7501829819.5685968</v>
      </c>
      <c r="G94" s="72">
        <f>IFERROR(VLOOKUP($D94,'FERC 2023'!$EA$3:$EN$221,2,0),"")</f>
        <v>7892040808.5046396</v>
      </c>
      <c r="H94" s="72">
        <f>IFERROR(VLOOKUP($D94,'FERC 2021'!$EA$3:$EN$225,3,0),"")</f>
        <v>411372384.70264852</v>
      </c>
      <c r="I94" s="72">
        <f>IFERROR(VLOOKUP($D94,'FERC 2022'!$EA$3:$EN$229,3,0),"")</f>
        <v>428839506.94339275</v>
      </c>
      <c r="J94" s="72">
        <f>IFERROR(VLOOKUP($D94,'FERC 2023'!$EA$3:$EN$229,3,0),"")</f>
        <v>426484609.13297659</v>
      </c>
      <c r="K94" s="72">
        <f>IFERROR(VLOOKUP($D94,'FERC 2021'!$EA$3:$EN$229,4,0),"")</f>
        <v>183797647.28096703</v>
      </c>
      <c r="L94" s="72">
        <f>IFERROR(VLOOKUP($D94,'FERC 2022'!$EA$3:$EN$220,4,0),"")</f>
        <v>208648053.96507046</v>
      </c>
      <c r="M94" s="72">
        <f>IFERROR(VLOOKUP($D94,'FERC 2023'!$EA$3:$EN$221,4,0),"")</f>
        <v>203627863.43409726</v>
      </c>
      <c r="N94" s="72">
        <f>IFERROR(VLOOKUP($D94,'FERC 2021'!$EA$3:$EN$221,5,0),"")</f>
        <v>106829718.77119327</v>
      </c>
      <c r="O94" s="72">
        <f>IFERROR(VLOOKUP($D94,'FERC 2022'!$EA$3:$EN$220,5,0),"")</f>
        <v>106000183.77697566</v>
      </c>
      <c r="P94" s="72">
        <f>IFERROR(VLOOKUP($D94,'FERC 2023'!$EA$3:$EN$221,5,0),"")</f>
        <v>106956560.5846692</v>
      </c>
      <c r="Q94" s="72">
        <f>IFERROR(VLOOKUP($D94,'FERC 2021'!$EA$3:$EN$221,6,0),"")</f>
        <v>151755281.94042414</v>
      </c>
      <c r="R94" s="72">
        <f>IFERROR(VLOOKUP($D94,'FERC 2022'!$EA$3:$EN$220,6,0),"")</f>
        <v>136178123.16880348</v>
      </c>
      <c r="S94" s="72">
        <f>IFERROR(VLOOKUP($D94,'FERC 2023'!$EA$3:$EN$221,6,0),"")</f>
        <v>127172285.23165579</v>
      </c>
      <c r="T94" s="72">
        <f>IFERROR(VLOOKUP($D94,'FERC 2021'!$EA$3:$EN$221,7,0),"")</f>
        <v>4447</v>
      </c>
      <c r="U94" s="72">
        <f>IFERROR(VLOOKUP($D94,'FERC 2022'!$EA$3:$EN$220,7,0),"")</f>
        <v>4255</v>
      </c>
      <c r="V94" s="72">
        <f>IFERROR(VLOOKUP($D94,'FERC 2023'!$EA$3:$EN$221,7,0),"")</f>
        <v>4498</v>
      </c>
      <c r="W94" s="72">
        <f>IFERROR(VLOOKUP($D94,'FERC 2021'!$EA$3:$EN$221,8,0),"")</f>
        <v>912249</v>
      </c>
      <c r="X94" s="72">
        <f>IFERROR(VLOOKUP($D94,'FERC 2022'!$EA$3:$EN$220,8,0),"")</f>
        <v>922487</v>
      </c>
      <c r="Y94" s="72">
        <f>IFERROR(VLOOKUP($D94,'FERC 2023'!$EA$3:$EN$221,8,0),"")</f>
        <v>928904</v>
      </c>
      <c r="Z94" s="72">
        <f>IFERROR(VLOOKUP($D94,'FERC 2021'!$EA$3:$EN$222,9,0),"")</f>
        <v>1004193</v>
      </c>
      <c r="AA94" s="72">
        <f>IFERROR(VLOOKUP($D94,'FERC 2022'!$EA$3:$EN$220,9,0),"")</f>
        <v>1209951</v>
      </c>
      <c r="AB94" s="72">
        <f>IFERROR(VLOOKUP($D94,'FERC 2023'!$EA$3:$EN$221,9,0),"")</f>
        <v>1060068</v>
      </c>
      <c r="AC94" s="72">
        <f>IFERROR(VLOOKUP($D94,'FERC 2021'!$EA$3:$EN$221,10,0),"")</f>
        <v>18296054</v>
      </c>
      <c r="AD94" s="72">
        <f>IFERROR(VLOOKUP($D94,'FERC 2022'!$EA$3:$EN$220,10,0),"")</f>
        <v>18905061</v>
      </c>
      <c r="AE94" s="72">
        <f>IFERROR(VLOOKUP($D94,'FERC 2023'!$EA$3:$EN$221,10,0),"")</f>
        <v>19131728</v>
      </c>
      <c r="AF94" s="72">
        <f>IFERROR(VLOOKUP($D94,'FERC 2021'!$EA$3:$EN$221,11,0),"")</f>
        <v>19201506.248730965</v>
      </c>
      <c r="AG94" s="72">
        <f>IFERROR(VLOOKUP($D94,'FERC 2022'!$EA$3:$EN$220,11,0),"")</f>
        <v>20012292.152284265</v>
      </c>
      <c r="AH94" s="72">
        <f>IFERROR(VLOOKUP($D94,'FERC 2023'!$EA$3:$EN$221,11,0),"")</f>
        <v>20072964.035532996</v>
      </c>
      <c r="AI94" s="72">
        <f>IFERROR(VLOOKUP($D94,'FERC 2021'!$EA$3:$EN$221,12,0),"")</f>
        <v>108557631</v>
      </c>
      <c r="AJ94" s="72">
        <f>IFERROR(VLOOKUP($D94,'FERC 2022'!$EA$3:$EN$220,12,0),"")</f>
        <v>107930979</v>
      </c>
      <c r="AK94" s="72">
        <f>IFERROR(VLOOKUP($D94,'FERC 2023'!$EA$3:$EN$221,12,0),"")</f>
        <v>101250536</v>
      </c>
      <c r="AL94" s="72">
        <f>VLOOKUP($D94,'FERC 2021'!$EA$3:$EN$221,13,0)</f>
        <v>1523455.8299999998</v>
      </c>
      <c r="AM94" s="72">
        <f>VLOOKUP($D94,'FERC 2022'!$EA$3:$EN$220,13,0)</f>
        <v>1023960.5700000001</v>
      </c>
      <c r="AN94" s="72">
        <f>VLOOKUP($D94,'FERC 2023'!$EA$3:$EN$221,13,0)</f>
        <v>603787.6</v>
      </c>
      <c r="AO94" s="72">
        <f>IFERROR(VLOOKUP($D94,'FERC 2021'!$EA$3:$EN$221,14,0),"")</f>
        <v>912209</v>
      </c>
      <c r="AP94" s="72">
        <f>IFERROR(VLOOKUP($D94,'FERC 2022'!$EA$3:$EN$220,14,0),"")</f>
        <v>922478</v>
      </c>
      <c r="AQ94" s="72">
        <f>IFERROR(VLOOKUP($D94,'FERC 2023'!$EA$3:$EN$221,14,0),"")</f>
        <v>928861</v>
      </c>
    </row>
    <row r="95" spans="1:43" ht="15.75" customHeight="1">
      <c r="A95" s="7" t="s">
        <v>483</v>
      </c>
      <c r="B95" s="7" t="s">
        <v>484</v>
      </c>
      <c r="C95" s="311">
        <f>'BD DEA'!P95</f>
        <v>1</v>
      </c>
      <c r="D95" s="44" t="str">
        <f t="shared" si="0"/>
        <v>C001143</v>
      </c>
      <c r="E95" s="72">
        <f>IFERROR(VLOOKUP($D95,'FERC 2021'!$EA$3:$EN$221,2,0),"")</f>
        <v>4980819748.1416073</v>
      </c>
      <c r="F95" s="72">
        <f>IFERROR(VLOOKUP($D95,'FERC 2022'!$EA$3:$EN$220,2,0),"")</f>
        <v>5039932530.9203596</v>
      </c>
      <c r="G95" s="72">
        <f>IFERROR(VLOOKUP($D95,'FERC 2023'!$EA$3:$EN$221,2,0),"")</f>
        <v>5502185754.9121771</v>
      </c>
      <c r="H95" s="72">
        <f>IFERROR(VLOOKUP($D95,'FERC 2021'!$EA$3:$EN$225,3,0),"")</f>
        <v>141064517.0335449</v>
      </c>
      <c r="I95" s="72">
        <f>IFERROR(VLOOKUP($D95,'FERC 2022'!$EA$3:$EN$229,3,0),"")</f>
        <v>145957351.7175335</v>
      </c>
      <c r="J95" s="72">
        <f>IFERROR(VLOOKUP($D95,'FERC 2023'!$EA$3:$EN$229,3,0),"")</f>
        <v>154275602.42097262</v>
      </c>
      <c r="K95" s="72">
        <f>IFERROR(VLOOKUP($D95,'FERC 2021'!$EA$3:$EN$229,4,0),"")</f>
        <v>96431924.280610085</v>
      </c>
      <c r="L95" s="72">
        <f>IFERROR(VLOOKUP($D95,'FERC 2022'!$EA$3:$EN$220,4,0),"")</f>
        <v>106564814.61868447</v>
      </c>
      <c r="M95" s="72">
        <f>IFERROR(VLOOKUP($D95,'FERC 2023'!$EA$3:$EN$221,4,0),"")</f>
        <v>83412620.155233979</v>
      </c>
      <c r="N95" s="72">
        <f>IFERROR(VLOOKUP($D95,'FERC 2021'!$EA$3:$EN$221,5,0),"")</f>
        <v>98672194.106086716</v>
      </c>
      <c r="O95" s="72">
        <f>IFERROR(VLOOKUP($D95,'FERC 2022'!$EA$3:$EN$220,5,0),"")</f>
        <v>83614012.482783988</v>
      </c>
      <c r="P95" s="72">
        <f>IFERROR(VLOOKUP($D95,'FERC 2023'!$EA$3:$EN$221,5,0),"")</f>
        <v>81533327.948177114</v>
      </c>
      <c r="Q95" s="72">
        <f>IFERROR(VLOOKUP($D95,'FERC 2021'!$EA$3:$EN$221,6,0),"")</f>
        <v>13659663.477179956</v>
      </c>
      <c r="R95" s="72">
        <f>IFERROR(VLOOKUP($D95,'FERC 2022'!$EA$3:$EN$220,6,0),"")</f>
        <v>15691469.61764716</v>
      </c>
      <c r="S95" s="72">
        <f>IFERROR(VLOOKUP($D95,'FERC 2023'!$EA$3:$EN$221,6,0),"")</f>
        <v>19122854.047282528</v>
      </c>
      <c r="T95" s="72">
        <f>IFERROR(VLOOKUP($D95,'FERC 2021'!$EA$3:$EN$221,7,0),"")</f>
        <v>5236</v>
      </c>
      <c r="U95" s="72">
        <f>IFERROR(VLOOKUP($D95,'FERC 2022'!$EA$3:$EN$220,7,0),"")</f>
        <v>5386</v>
      </c>
      <c r="V95" s="72">
        <f>IFERROR(VLOOKUP($D95,'FERC 2023'!$EA$3:$EN$221,7,0),"")</f>
        <v>5851</v>
      </c>
      <c r="W95" s="72">
        <f>IFERROR(VLOOKUP($D95,'FERC 2021'!$EA$3:$EN$221,8,0),"")</f>
        <v>804317</v>
      </c>
      <c r="X95" s="72">
        <f>IFERROR(VLOOKUP($D95,'FERC 2022'!$EA$3:$EN$220,8,0),"")</f>
        <v>813022</v>
      </c>
      <c r="Y95" s="72">
        <f>IFERROR(VLOOKUP($D95,'FERC 2023'!$EA$3:$EN$221,8,0),"")</f>
        <v>820673</v>
      </c>
      <c r="Z95" s="72">
        <f>IFERROR(VLOOKUP($D95,'FERC 2021'!$EA$3:$EN$222,9,0),"")</f>
        <v>767328</v>
      </c>
      <c r="AA95" s="72">
        <f>IFERROR(VLOOKUP($D95,'FERC 2022'!$EA$3:$EN$220,9,0),"")</f>
        <v>803531</v>
      </c>
      <c r="AB95" s="72">
        <f>IFERROR(VLOOKUP($D95,'FERC 2023'!$EA$3:$EN$221,9,0),"")</f>
        <v>747135</v>
      </c>
      <c r="AC95" s="72">
        <f>IFERROR(VLOOKUP($D95,'FERC 2021'!$EA$3:$EN$221,10,0),"")</f>
        <v>28074100</v>
      </c>
      <c r="AD95" s="72">
        <f>IFERROR(VLOOKUP($D95,'FERC 2022'!$EA$3:$EN$220,10,0),"")</f>
        <v>29289655</v>
      </c>
      <c r="AE95" s="72">
        <f>IFERROR(VLOOKUP($D95,'FERC 2023'!$EA$3:$EN$221,10,0),"")</f>
        <v>29675158</v>
      </c>
      <c r="AF95" s="72">
        <f>IFERROR(VLOOKUP($D95,'FERC 2021'!$EA$3:$EN$221,11,0),"")</f>
        <v>28597601.157360405</v>
      </c>
      <c r="AG95" s="72">
        <f>IFERROR(VLOOKUP($D95,'FERC 2022'!$EA$3:$EN$220,11,0),"")</f>
        <v>29819624.741116751</v>
      </c>
      <c r="AH95" s="72">
        <f>IFERROR(VLOOKUP($D95,'FERC 2023'!$EA$3:$EN$221,11,0),"")</f>
        <v>30191897.553299494</v>
      </c>
      <c r="AI95" s="72">
        <f>IFERROR(VLOOKUP($D95,'FERC 2021'!$EA$3:$EN$221,12,0),"")</f>
        <v>65149677</v>
      </c>
      <c r="AJ95" s="72">
        <f>IFERROR(VLOOKUP($D95,'FERC 2022'!$EA$3:$EN$220,12,0),"")</f>
        <v>65854782</v>
      </c>
      <c r="AK95" s="72">
        <f>IFERROR(VLOOKUP($D95,'FERC 2023'!$EA$3:$EN$221,12,0),"")</f>
        <v>48419707</v>
      </c>
      <c r="AL95" s="72">
        <f>VLOOKUP($D95,'FERC 2021'!$EA$3:$EN$221,13,0)</f>
        <v>756057.98</v>
      </c>
      <c r="AM95" s="72">
        <f>VLOOKUP($D95,'FERC 2022'!$EA$3:$EN$220,13,0)</f>
        <v>772370.89999999991</v>
      </c>
      <c r="AN95" s="72">
        <f>VLOOKUP($D95,'FERC 2023'!$EA$3:$EN$221,13,0)</f>
        <v>681158.59</v>
      </c>
      <c r="AO95" s="72">
        <f>IFERROR(VLOOKUP($D95,'FERC 2021'!$EA$3:$EN$221,14,0),"")</f>
        <v>714963</v>
      </c>
      <c r="AP95" s="72">
        <f>IFERROR(VLOOKUP($D95,'FERC 2022'!$EA$3:$EN$220,14,0),"")</f>
        <v>722813</v>
      </c>
      <c r="AQ95" s="72">
        <f>IFERROR(VLOOKUP($D95,'FERC 2023'!$EA$3:$EN$221,14,0),"")</f>
        <v>731635</v>
      </c>
    </row>
    <row r="96" spans="1:43" ht="15.75" hidden="1" customHeight="1">
      <c r="A96" s="7" t="s">
        <v>486</v>
      </c>
      <c r="B96" s="7" t="s">
        <v>487</v>
      </c>
      <c r="C96" s="311" t="str">
        <f>'BD DEA'!P96</f>
        <v/>
      </c>
      <c r="D96" s="44" t="str">
        <f t="shared" si="0"/>
        <v>C001153</v>
      </c>
      <c r="E96" s="72" t="str">
        <f>IFERROR(VLOOKUP($D96,'FERC 2021'!$EA$3:$EN$221,2,0),"")</f>
        <v/>
      </c>
      <c r="F96" s="72" t="str">
        <f>IFERROR(VLOOKUP($D96,'FERC 2022'!$EA$3:$EN$220,2,0),"")</f>
        <v/>
      </c>
      <c r="G96" s="72" t="str">
        <f>IFERROR(VLOOKUP($D96,'FERC 2023'!$EA$3:$EN$221,2,0),"")</f>
        <v/>
      </c>
      <c r="H96" s="72" t="str">
        <f>IFERROR(VLOOKUP($D96,'FERC 2021'!$EA$3:$EN$225,3,0),"")</f>
        <v/>
      </c>
      <c r="I96" s="72" t="str">
        <f>IFERROR(VLOOKUP($D96,'FERC 2022'!$EA$3:$EN$229,3,0),"")</f>
        <v/>
      </c>
      <c r="J96" s="72" t="str">
        <f>IFERROR(VLOOKUP($D96,'FERC 2023'!$EA$3:$EN$229,3,0),"")</f>
        <v/>
      </c>
      <c r="K96" s="72" t="str">
        <f>IFERROR(VLOOKUP($D96,'FERC 2021'!$EA$3:$EN$229,4,0),"")</f>
        <v/>
      </c>
      <c r="L96" s="72" t="str">
        <f>IFERROR(VLOOKUP($D96,'FERC 2022'!$EA$3:$EN$220,4,0),"")</f>
        <v/>
      </c>
      <c r="M96" s="72" t="str">
        <f>IFERROR(VLOOKUP($D96,'FERC 2023'!$EA$3:$EN$221,4,0),"")</f>
        <v/>
      </c>
      <c r="N96" s="72" t="str">
        <f>IFERROR(VLOOKUP($D96,'FERC 2021'!$EA$3:$EN$221,5,0),"")</f>
        <v/>
      </c>
      <c r="O96" s="72" t="str">
        <f>IFERROR(VLOOKUP($D96,'FERC 2022'!$EA$3:$EN$220,5,0),"")</f>
        <v/>
      </c>
      <c r="P96" s="72" t="str">
        <f>IFERROR(VLOOKUP($D96,'FERC 2023'!$EA$3:$EN$221,5,0),"")</f>
        <v/>
      </c>
      <c r="Q96" s="72" t="str">
        <f>IFERROR(VLOOKUP($D96,'FERC 2021'!$EA$3:$EN$221,6,0),"")</f>
        <v/>
      </c>
      <c r="R96" s="72" t="str">
        <f>IFERROR(VLOOKUP($D96,'FERC 2022'!$EA$3:$EN$220,6,0),"")</f>
        <v/>
      </c>
      <c r="S96" s="72" t="str">
        <f>IFERROR(VLOOKUP($D96,'FERC 2023'!$EA$3:$EN$221,6,0),"")</f>
        <v/>
      </c>
      <c r="T96" s="72" t="str">
        <f>IFERROR(VLOOKUP($D96,'FERC 2021'!$EA$3:$EN$221,7,0),"")</f>
        <v/>
      </c>
      <c r="U96" s="72" t="str">
        <f>IFERROR(VLOOKUP($D96,'FERC 2022'!$EA$3:$EN$220,7,0),"")</f>
        <v/>
      </c>
      <c r="V96" s="72" t="str">
        <f>IFERROR(VLOOKUP($D96,'FERC 2023'!$EA$3:$EN$221,7,0),"")</f>
        <v/>
      </c>
      <c r="W96" s="72" t="str">
        <f>IFERROR(VLOOKUP($D96,'FERC 2021'!$EA$3:$EN$221,8,0),"")</f>
        <v/>
      </c>
      <c r="X96" s="72" t="str">
        <f>IFERROR(VLOOKUP($D96,'FERC 2022'!$EA$3:$EN$220,8,0),"")</f>
        <v/>
      </c>
      <c r="Y96" s="72" t="str">
        <f>IFERROR(VLOOKUP($D96,'FERC 2023'!$EA$3:$EN$221,8,0),"")</f>
        <v/>
      </c>
      <c r="Z96" s="72" t="str">
        <f>IFERROR(VLOOKUP($D96,'FERC 2021'!$EA$3:$EN$222,9,0),"")</f>
        <v/>
      </c>
      <c r="AA96" s="72" t="str">
        <f>IFERROR(VLOOKUP($D96,'FERC 2022'!$EA$3:$EN$220,9,0),"")</f>
        <v/>
      </c>
      <c r="AB96" s="72" t="str">
        <f>IFERROR(VLOOKUP($D96,'FERC 2023'!$EA$3:$EN$221,9,0),"")</f>
        <v/>
      </c>
      <c r="AC96" s="72" t="str">
        <f>IFERROR(VLOOKUP($D96,'FERC 2021'!$EA$3:$EN$221,10,0),"")</f>
        <v/>
      </c>
      <c r="AD96" s="72" t="str">
        <f>IFERROR(VLOOKUP($D96,'FERC 2022'!$EA$3:$EN$220,10,0),"")</f>
        <v/>
      </c>
      <c r="AE96" s="72" t="str">
        <f>IFERROR(VLOOKUP($D96,'FERC 2023'!$EA$3:$EN$221,10,0),"")</f>
        <v/>
      </c>
      <c r="AF96" s="72" t="str">
        <f>IFERROR(VLOOKUP($D96,'FERC 2021'!$EA$3:$EN$221,11,0),"")</f>
        <v/>
      </c>
      <c r="AG96" s="72" t="str">
        <f>IFERROR(VLOOKUP($D96,'FERC 2022'!$EA$3:$EN$220,11,0),"")</f>
        <v/>
      </c>
      <c r="AH96" s="72" t="str">
        <f>IFERROR(VLOOKUP($D96,'FERC 2023'!$EA$3:$EN$221,11,0),"")</f>
        <v/>
      </c>
      <c r="AI96" s="72" t="str">
        <f>IFERROR(VLOOKUP($D96,'FERC 2021'!$EA$3:$EN$221,12,0),"")</f>
        <v/>
      </c>
      <c r="AJ96" s="72" t="str">
        <f>IFERROR(VLOOKUP($D96,'FERC 2022'!$EA$3:$EN$220,12,0),"")</f>
        <v/>
      </c>
      <c r="AK96" s="72" t="str">
        <f>IFERROR(VLOOKUP($D96,'FERC 2023'!$EA$3:$EN$221,12,0),"")</f>
        <v/>
      </c>
      <c r="AL96" s="72" t="str">
        <f>VLOOKUP($D96,'FERC 2021'!$EA$3:$EN$221,13,0)</f>
        <v/>
      </c>
      <c r="AM96" s="72" t="str">
        <f>VLOOKUP($D96,'FERC 2022'!$EA$3:$EN$220,13,0)</f>
        <v/>
      </c>
      <c r="AN96" s="72" t="str">
        <f>VLOOKUP($D96,'FERC 2023'!$EA$3:$EN$221,13,0)</f>
        <v/>
      </c>
      <c r="AO96" s="72" t="str">
        <f>IFERROR(VLOOKUP($D96,'FERC 2021'!$EA$3:$EN$221,14,0),"")</f>
        <v/>
      </c>
      <c r="AP96" s="72" t="str">
        <f>IFERROR(VLOOKUP($D96,'FERC 2022'!$EA$3:$EN$220,14,0),"")</f>
        <v/>
      </c>
      <c r="AQ96" s="72" t="str">
        <f>IFERROR(VLOOKUP($D96,'FERC 2023'!$EA$3:$EN$221,14,0),"")</f>
        <v/>
      </c>
    </row>
    <row r="97" spans="1:43" ht="15.75" hidden="1" customHeight="1">
      <c r="A97" s="7" t="s">
        <v>490</v>
      </c>
      <c r="B97" s="7" t="s">
        <v>491</v>
      </c>
      <c r="C97" s="311" t="str">
        <f>'BD DEA'!P97</f>
        <v/>
      </c>
      <c r="D97" s="44" t="str">
        <f t="shared" si="0"/>
        <v>C001181</v>
      </c>
      <c r="E97" s="72">
        <f>IFERROR(VLOOKUP($D97,'FERC 2021'!$EA$3:$EN$221,2,0),"")</f>
        <v>3439394550.6445537</v>
      </c>
      <c r="F97" s="72">
        <f>IFERROR(VLOOKUP($D97,'FERC 2022'!$EA$3:$EN$220,2,0),"")</f>
        <v>3733353422.8845439</v>
      </c>
      <c r="G97" s="72">
        <f>IFERROR(VLOOKUP($D97,'FERC 2023'!$EA$3:$EN$221,2,0),"")</f>
        <v>3898767122.7232342</v>
      </c>
      <c r="H97" s="72">
        <f>IFERROR(VLOOKUP($D97,'FERC 2021'!$EA$3:$EN$225,3,0),"")</f>
        <v>276009492.99990124</v>
      </c>
      <c r="I97" s="72">
        <f>IFERROR(VLOOKUP($D97,'FERC 2022'!$EA$3:$EN$229,3,0),"")</f>
        <v>289869611.97354054</v>
      </c>
      <c r="J97" s="72">
        <f>IFERROR(VLOOKUP($D97,'FERC 2023'!$EA$3:$EN$229,3,0),"")</f>
        <v>287695598.65832108</v>
      </c>
      <c r="K97" s="72">
        <f>IFERROR(VLOOKUP($D97,'FERC 2021'!$EA$3:$EN$229,4,0),"")</f>
        <v>52888948.372411057</v>
      </c>
      <c r="L97" s="72">
        <f>IFERROR(VLOOKUP($D97,'FERC 2022'!$EA$3:$EN$220,4,0),"")</f>
        <v>52908065.12035583</v>
      </c>
      <c r="M97" s="72">
        <f>IFERROR(VLOOKUP($D97,'FERC 2023'!$EA$3:$EN$221,4,0),"")</f>
        <v>53070008.363673642</v>
      </c>
      <c r="N97" s="72">
        <f>IFERROR(VLOOKUP($D97,'FERC 2021'!$EA$3:$EN$221,5,0),"")</f>
        <v>49462209.040228412</v>
      </c>
      <c r="O97" s="72">
        <f>IFERROR(VLOOKUP($D97,'FERC 2022'!$EA$3:$EN$220,5,0),"")</f>
        <v>52778983.997125044</v>
      </c>
      <c r="P97" s="72">
        <f>IFERROR(VLOOKUP($D97,'FERC 2023'!$EA$3:$EN$221,5,0),"")</f>
        <v>36875549.626111522</v>
      </c>
      <c r="Q97" s="72">
        <f>IFERROR(VLOOKUP($D97,'FERC 2021'!$EA$3:$EN$221,6,0),"")</f>
        <v>50581748.401111968</v>
      </c>
      <c r="R97" s="72">
        <f>IFERROR(VLOOKUP($D97,'FERC 2022'!$EA$3:$EN$220,6,0),"")</f>
        <v>59918736.134111531</v>
      </c>
      <c r="S97" s="72">
        <f>IFERROR(VLOOKUP($D97,'FERC 2023'!$EA$3:$EN$221,6,0),"")</f>
        <v>14621405.403669292</v>
      </c>
      <c r="T97" s="72">
        <f>IFERROR(VLOOKUP($D97,'FERC 2021'!$EA$3:$EN$221,7,0),"")</f>
        <v>3421</v>
      </c>
      <c r="U97" s="72">
        <f>IFERROR(VLOOKUP($D97,'FERC 2022'!$EA$3:$EN$220,7,0),"")</f>
        <v>3408</v>
      </c>
      <c r="V97" s="72">
        <f>IFERROR(VLOOKUP($D97,'FERC 2023'!$EA$3:$EN$221,7,0),"")</f>
        <v>3599</v>
      </c>
      <c r="W97" s="72">
        <f>IFERROR(VLOOKUP($D97,'FERC 2021'!$EA$3:$EN$221,8,0),"")</f>
        <v>570019</v>
      </c>
      <c r="X97" s="72">
        <f>IFERROR(VLOOKUP($D97,'FERC 2022'!$EA$3:$EN$220,8,0),"")</f>
        <v>575307</v>
      </c>
      <c r="Y97" s="72">
        <f>IFERROR(VLOOKUP($D97,'FERC 2023'!$EA$3:$EN$221,8,0),"")</f>
        <v>579983</v>
      </c>
      <c r="Z97" s="72">
        <f>IFERROR(VLOOKUP($D97,'FERC 2021'!$EA$3:$EN$222,9,0),"")</f>
        <v>812030</v>
      </c>
      <c r="AA97" s="72">
        <f>IFERROR(VLOOKUP($D97,'FERC 2022'!$EA$3:$EN$220,9,0),"")</f>
        <v>245812</v>
      </c>
      <c r="AB97" s="72">
        <f>IFERROR(VLOOKUP($D97,'FERC 2023'!$EA$3:$EN$221,9,0),"")</f>
        <v>514332</v>
      </c>
      <c r="AC97" s="72">
        <f>IFERROR(VLOOKUP($D97,'FERC 2021'!$EA$3:$EN$221,10,0),"")</f>
        <v>14542037</v>
      </c>
      <c r="AD97" s="72">
        <f>IFERROR(VLOOKUP($D97,'FERC 2022'!$EA$3:$EN$220,10,0),"")</f>
        <v>14968687</v>
      </c>
      <c r="AE97" s="72">
        <f>IFERROR(VLOOKUP($D97,'FERC 2023'!$EA$3:$EN$221,10,0),"")</f>
        <v>14588054</v>
      </c>
      <c r="AF97" s="72">
        <f>IFERROR(VLOOKUP($D97,'FERC 2021'!$EA$3:$EN$221,11,0),"")</f>
        <v>15269961.284263959</v>
      </c>
      <c r="AG97" s="72">
        <f>IFERROR(VLOOKUP($D97,'FERC 2022'!$EA$3:$EN$220,11,0),"")</f>
        <v>15126915.675126903</v>
      </c>
      <c r="AH97" s="72">
        <f>IFERROR(VLOOKUP($D97,'FERC 2023'!$EA$3:$EN$221,11,0),"")</f>
        <v>15027008.411167514</v>
      </c>
      <c r="AI97" s="72">
        <f>IFERROR(VLOOKUP($D97,'FERC 2021'!$EA$3:$EN$221,12,0),"")</f>
        <v>50560685.300000004</v>
      </c>
      <c r="AJ97" s="72">
        <f>IFERROR(VLOOKUP($D97,'FERC 2022'!$EA$3:$EN$220,12,0),"")</f>
        <v>48855070.439999998</v>
      </c>
      <c r="AK97" s="72">
        <f>IFERROR(VLOOKUP($D97,'FERC 2023'!$EA$3:$EN$221,12,0),"")</f>
        <v>45285072.640000001</v>
      </c>
      <c r="AL97" s="72">
        <f>VLOOKUP($D97,'FERC 2021'!$EA$3:$EN$221,13,0)</f>
        <v>760405.34600000002</v>
      </c>
      <c r="AM97" s="72">
        <f>VLOOKUP($D97,'FERC 2022'!$EA$3:$EN$220,13,0)</f>
        <v>561499.63199999998</v>
      </c>
      <c r="AN97" s="72">
        <f>VLOOKUP($D97,'FERC 2023'!$EA$3:$EN$221,13,0)</f>
        <v>799216.57399999991</v>
      </c>
      <c r="AO97" s="72">
        <f>IFERROR(VLOOKUP($D97,'FERC 2021'!$EA$3:$EN$221,14,0),"")</f>
        <v>279348</v>
      </c>
      <c r="AP97" s="72">
        <f>IFERROR(VLOOKUP($D97,'FERC 2022'!$EA$3:$EN$220,14,0),"")</f>
        <v>282594</v>
      </c>
      <c r="AQ97" s="72">
        <f>IFERROR(VLOOKUP($D97,'FERC 2023'!$EA$3:$EN$221,14,0),"")</f>
        <v>286098</v>
      </c>
    </row>
    <row r="98" spans="1:43" ht="15.75" hidden="1" customHeight="1">
      <c r="A98" s="7" t="s">
        <v>493</v>
      </c>
      <c r="B98" s="7" t="s">
        <v>494</v>
      </c>
      <c r="C98" s="311" t="str">
        <f>'BD DEA'!P98</f>
        <v/>
      </c>
      <c r="D98" s="44" t="str">
        <f t="shared" si="0"/>
        <v>C001182</v>
      </c>
      <c r="E98" s="72" t="str">
        <f>IFERROR(VLOOKUP($D98,'FERC 2021'!$EA$3:$EN$221,2,0),"")</f>
        <v/>
      </c>
      <c r="F98" s="72">
        <f>IFERROR(VLOOKUP($D98,'FERC 2022'!$EA$3:$EN$220,2,0),"")</f>
        <v>2646380658.2576818</v>
      </c>
      <c r="G98" s="72">
        <f>IFERROR(VLOOKUP($D98,'FERC 2023'!$EA$3:$EN$221,2,0),"")</f>
        <v>2797832067.9518366</v>
      </c>
      <c r="H98" s="72" t="str">
        <f>IFERROR(VLOOKUP($D98,'FERC 2021'!$EA$3:$EN$225,3,0),"")</f>
        <v/>
      </c>
      <c r="I98" s="72">
        <f>IFERROR(VLOOKUP($D98,'FERC 2022'!$EA$3:$EN$229,3,0),"")</f>
        <v>128057646.89008832</v>
      </c>
      <c r="J98" s="72">
        <f>IFERROR(VLOOKUP($D98,'FERC 2023'!$EA$3:$EN$229,3,0),"")</f>
        <v>127222910.62929279</v>
      </c>
      <c r="K98" s="72" t="str">
        <f>IFERROR(VLOOKUP($D98,'FERC 2021'!$EA$3:$EN$229,4,0),"")</f>
        <v/>
      </c>
      <c r="L98" s="72">
        <f>IFERROR(VLOOKUP($D98,'FERC 2022'!$EA$3:$EN$220,4,0),"")</f>
        <v>34781998.389655657</v>
      </c>
      <c r="M98" s="72">
        <f>IFERROR(VLOOKUP($D98,'FERC 2023'!$EA$3:$EN$221,4,0),"")</f>
        <v>32778820.241719805</v>
      </c>
      <c r="N98" s="72" t="str">
        <f>IFERROR(VLOOKUP($D98,'FERC 2021'!$EA$3:$EN$221,5,0),"")</f>
        <v/>
      </c>
      <c r="O98" s="72">
        <f>IFERROR(VLOOKUP($D98,'FERC 2022'!$EA$3:$EN$220,5,0),"")</f>
        <v>62928124.151096806</v>
      </c>
      <c r="P98" s="72">
        <f>IFERROR(VLOOKUP($D98,'FERC 2023'!$EA$3:$EN$221,5,0),"")</f>
        <v>50298205.524748541</v>
      </c>
      <c r="Q98" s="72" t="str">
        <f>IFERROR(VLOOKUP($D98,'FERC 2021'!$EA$3:$EN$221,6,0),"")</f>
        <v/>
      </c>
      <c r="R98" s="72">
        <f>IFERROR(VLOOKUP($D98,'FERC 2022'!$EA$3:$EN$220,6,0),"")</f>
        <v>90121364.468666568</v>
      </c>
      <c r="S98" s="72">
        <f>IFERROR(VLOOKUP($D98,'FERC 2023'!$EA$3:$EN$221,6,0),"")</f>
        <v>28095567.902664859</v>
      </c>
      <c r="T98" s="72" t="str">
        <f>IFERROR(VLOOKUP($D98,'FERC 2021'!$EA$3:$EN$221,7,0),"")</f>
        <v/>
      </c>
      <c r="U98" s="72">
        <f>IFERROR(VLOOKUP($D98,'FERC 2022'!$EA$3:$EN$220,7,0),"")</f>
        <v>1923</v>
      </c>
      <c r="V98" s="72">
        <f>IFERROR(VLOOKUP($D98,'FERC 2023'!$EA$3:$EN$221,7,0),"")</f>
        <v>2009</v>
      </c>
      <c r="W98" s="72" t="str">
        <f>IFERROR(VLOOKUP($D98,'FERC 2021'!$EA$3:$EN$221,8,0),"")</f>
        <v/>
      </c>
      <c r="X98" s="72">
        <f>IFERROR(VLOOKUP($D98,'FERC 2022'!$EA$3:$EN$220,8,0),"")</f>
        <v>340302</v>
      </c>
      <c r="Y98" s="72">
        <f>IFERROR(VLOOKUP($D98,'FERC 2023'!$EA$3:$EN$221,8,0),"")</f>
        <v>343882</v>
      </c>
      <c r="Z98" s="72" t="str">
        <f>IFERROR(VLOOKUP($D98,'FERC 2021'!$EA$3:$EN$222,9,0),"")</f>
        <v/>
      </c>
      <c r="AA98" s="72">
        <f>IFERROR(VLOOKUP($D98,'FERC 2022'!$EA$3:$EN$220,9,0),"")</f>
        <v>486803</v>
      </c>
      <c r="AB98" s="72">
        <f>IFERROR(VLOOKUP($D98,'FERC 2023'!$EA$3:$EN$221,9,0),"")</f>
        <v>200638</v>
      </c>
      <c r="AC98" s="72" t="str">
        <f>IFERROR(VLOOKUP($D98,'FERC 2021'!$EA$3:$EN$221,10,0),"")</f>
        <v/>
      </c>
      <c r="AD98" s="72">
        <f>IFERROR(VLOOKUP($D98,'FERC 2022'!$EA$3:$EN$220,10,0),"")</f>
        <v>8666707</v>
      </c>
      <c r="AE98" s="72">
        <f>IFERROR(VLOOKUP($D98,'FERC 2023'!$EA$3:$EN$221,10,0),"")</f>
        <v>8460486</v>
      </c>
      <c r="AF98" s="72" t="str">
        <f>IFERROR(VLOOKUP($D98,'FERC 2021'!$EA$3:$EN$221,11,0),"")</f>
        <v/>
      </c>
      <c r="AG98" s="72">
        <f>IFERROR(VLOOKUP($D98,'FERC 2022'!$EA$3:$EN$220,11,0),"")</f>
        <v>9147445.6598984767</v>
      </c>
      <c r="AH98" s="72">
        <f>IFERROR(VLOOKUP($D98,'FERC 2023'!$EA$3:$EN$221,11,0),"")</f>
        <v>8656343.736040609</v>
      </c>
      <c r="AI98" s="72" t="str">
        <f>IFERROR(VLOOKUP($D98,'FERC 2021'!$EA$3:$EN$221,12,0),"")</f>
        <v/>
      </c>
      <c r="AJ98" s="72">
        <f>IFERROR(VLOOKUP($D98,'FERC 2022'!$EA$3:$EN$220,12,0),"")</f>
        <v>42323359.740000002</v>
      </c>
      <c r="AK98" s="72">
        <f>IFERROR(VLOOKUP($D98,'FERC 2023'!$EA$3:$EN$221,12,0),"")</f>
        <v>40956346.199999996</v>
      </c>
      <c r="AL98" s="72" t="str">
        <f>VLOOKUP($D98,'FERC 2021'!$EA$3:$EN$221,13,0)</f>
        <v/>
      </c>
      <c r="AM98" s="72">
        <f>VLOOKUP($D98,'FERC 2022'!$EA$3:$EN$220,13,0)</f>
        <v>471318.27</v>
      </c>
      <c r="AN98" s="72">
        <f>VLOOKUP($D98,'FERC 2023'!$EA$3:$EN$221,13,0)</f>
        <v>539206.97600000002</v>
      </c>
      <c r="AO98" s="72" t="str">
        <f>IFERROR(VLOOKUP($D98,'FERC 2021'!$EA$3:$EN$221,14,0),"")</f>
        <v/>
      </c>
      <c r="AP98" s="72">
        <f>IFERROR(VLOOKUP($D98,'FERC 2022'!$EA$3:$EN$220,14,0),"")</f>
        <v>340139</v>
      </c>
      <c r="AQ98" s="72">
        <f>IFERROR(VLOOKUP($D98,'FERC 2023'!$EA$3:$EN$221,14,0),"")</f>
        <v>347803</v>
      </c>
    </row>
    <row r="99" spans="1:43" ht="15.75" hidden="1" customHeight="1">
      <c r="A99" s="7" t="s">
        <v>496</v>
      </c>
      <c r="B99" s="7" t="s">
        <v>497</v>
      </c>
      <c r="C99" s="311" t="str">
        <f>'BD DEA'!P99</f>
        <v/>
      </c>
      <c r="D99" s="44" t="str">
        <f t="shared" si="0"/>
        <v>C001183</v>
      </c>
      <c r="E99" s="72" t="str">
        <f>IFERROR(VLOOKUP($D99,'FERC 2021'!$EA$3:$EN$221,2,0),"")</f>
        <v/>
      </c>
      <c r="F99" s="72" t="str">
        <f>IFERROR(VLOOKUP($D99,'FERC 2022'!$EA$3:$EN$220,2,0),"")</f>
        <v/>
      </c>
      <c r="G99" s="72" t="str">
        <f>IFERROR(VLOOKUP($D99,'FERC 2023'!$EA$3:$EN$221,2,0),"")</f>
        <v/>
      </c>
      <c r="H99" s="72" t="str">
        <f>IFERROR(VLOOKUP($D99,'FERC 2021'!$EA$3:$EN$225,3,0),"")</f>
        <v/>
      </c>
      <c r="I99" s="72" t="str">
        <f>IFERROR(VLOOKUP($D99,'FERC 2022'!$EA$3:$EN$229,3,0),"")</f>
        <v/>
      </c>
      <c r="J99" s="72" t="str">
        <f>IFERROR(VLOOKUP($D99,'FERC 2023'!$EA$3:$EN$229,3,0),"")</f>
        <v/>
      </c>
      <c r="K99" s="72" t="str">
        <f>IFERROR(VLOOKUP($D99,'FERC 2021'!$EA$3:$EN$229,4,0),"")</f>
        <v/>
      </c>
      <c r="L99" s="72" t="str">
        <f>IFERROR(VLOOKUP($D99,'FERC 2022'!$EA$3:$EN$220,4,0),"")</f>
        <v/>
      </c>
      <c r="M99" s="72" t="str">
        <f>IFERROR(VLOOKUP($D99,'FERC 2023'!$EA$3:$EN$221,4,0),"")</f>
        <v/>
      </c>
      <c r="N99" s="72" t="str">
        <f>IFERROR(VLOOKUP($D99,'FERC 2021'!$EA$3:$EN$221,5,0),"")</f>
        <v/>
      </c>
      <c r="O99" s="72" t="str">
        <f>IFERROR(VLOOKUP($D99,'FERC 2022'!$EA$3:$EN$220,5,0),"")</f>
        <v/>
      </c>
      <c r="P99" s="72" t="str">
        <f>IFERROR(VLOOKUP($D99,'FERC 2023'!$EA$3:$EN$221,5,0),"")</f>
        <v/>
      </c>
      <c r="Q99" s="72" t="str">
        <f>IFERROR(VLOOKUP($D99,'FERC 2021'!$EA$3:$EN$221,6,0),"")</f>
        <v/>
      </c>
      <c r="R99" s="72" t="str">
        <f>IFERROR(VLOOKUP($D99,'FERC 2022'!$EA$3:$EN$220,6,0),"")</f>
        <v/>
      </c>
      <c r="S99" s="72" t="str">
        <f>IFERROR(VLOOKUP($D99,'FERC 2023'!$EA$3:$EN$221,6,0),"")</f>
        <v/>
      </c>
      <c r="T99" s="72" t="str">
        <f>IFERROR(VLOOKUP($D99,'FERC 2021'!$EA$3:$EN$221,7,0),"")</f>
        <v/>
      </c>
      <c r="U99" s="72" t="str">
        <f>IFERROR(VLOOKUP($D99,'FERC 2022'!$EA$3:$EN$220,7,0),"")</f>
        <v/>
      </c>
      <c r="V99" s="72" t="str">
        <f>IFERROR(VLOOKUP($D99,'FERC 2023'!$EA$3:$EN$221,7,0),"")</f>
        <v/>
      </c>
      <c r="W99" s="72" t="str">
        <f>IFERROR(VLOOKUP($D99,'FERC 2021'!$EA$3:$EN$221,8,0),"")</f>
        <v/>
      </c>
      <c r="X99" s="72" t="str">
        <f>IFERROR(VLOOKUP($D99,'FERC 2022'!$EA$3:$EN$220,8,0),"")</f>
        <v/>
      </c>
      <c r="Y99" s="72" t="str">
        <f>IFERROR(VLOOKUP($D99,'FERC 2023'!$EA$3:$EN$221,8,0),"")</f>
        <v/>
      </c>
      <c r="Z99" s="72" t="str">
        <f>IFERROR(VLOOKUP($D99,'FERC 2021'!$EA$3:$EN$222,9,0),"")</f>
        <v/>
      </c>
      <c r="AA99" s="72" t="str">
        <f>IFERROR(VLOOKUP($D99,'FERC 2022'!$EA$3:$EN$220,9,0),"")</f>
        <v/>
      </c>
      <c r="AB99" s="72" t="str">
        <f>IFERROR(VLOOKUP($D99,'FERC 2023'!$EA$3:$EN$221,9,0),"")</f>
        <v/>
      </c>
      <c r="AC99" s="72" t="str">
        <f>IFERROR(VLOOKUP($D99,'FERC 2021'!$EA$3:$EN$221,10,0),"")</f>
        <v/>
      </c>
      <c r="AD99" s="72" t="str">
        <f>IFERROR(VLOOKUP($D99,'FERC 2022'!$EA$3:$EN$220,10,0),"")</f>
        <v/>
      </c>
      <c r="AE99" s="72" t="str">
        <f>IFERROR(VLOOKUP($D99,'FERC 2023'!$EA$3:$EN$221,10,0),"")</f>
        <v/>
      </c>
      <c r="AF99" s="72" t="str">
        <f>IFERROR(VLOOKUP($D99,'FERC 2021'!$EA$3:$EN$221,11,0),"")</f>
        <v/>
      </c>
      <c r="AG99" s="72" t="str">
        <f>IFERROR(VLOOKUP($D99,'FERC 2022'!$EA$3:$EN$220,11,0),"")</f>
        <v/>
      </c>
      <c r="AH99" s="72" t="str">
        <f>IFERROR(VLOOKUP($D99,'FERC 2023'!$EA$3:$EN$221,11,0),"")</f>
        <v/>
      </c>
      <c r="AI99" s="72" t="str">
        <f>IFERROR(VLOOKUP($D99,'FERC 2021'!$EA$3:$EN$221,12,0),"")</f>
        <v/>
      </c>
      <c r="AJ99" s="72" t="str">
        <f>IFERROR(VLOOKUP($D99,'FERC 2022'!$EA$3:$EN$220,12,0),"")</f>
        <v/>
      </c>
      <c r="AK99" s="72" t="str">
        <f>IFERROR(VLOOKUP($D99,'FERC 2023'!$EA$3:$EN$221,12,0),"")</f>
        <v/>
      </c>
      <c r="AL99" s="72" t="str">
        <f>VLOOKUP($D99,'FERC 2021'!$EA$3:$EN$221,13,0)</f>
        <v/>
      </c>
      <c r="AM99" s="72" t="str">
        <f>VLOOKUP($D99,'FERC 2022'!$EA$3:$EN$220,13,0)</f>
        <v/>
      </c>
      <c r="AN99" s="72" t="str">
        <f>VLOOKUP($D99,'FERC 2023'!$EA$3:$EN$221,13,0)</f>
        <v/>
      </c>
      <c r="AO99" s="72" t="str">
        <f>IFERROR(VLOOKUP($D99,'FERC 2021'!$EA$3:$EN$221,14,0),"")</f>
        <v/>
      </c>
      <c r="AP99" s="72" t="str">
        <f>IFERROR(VLOOKUP($D99,'FERC 2022'!$EA$3:$EN$220,14,0),"")</f>
        <v/>
      </c>
      <c r="AQ99" s="72" t="str">
        <f>IFERROR(VLOOKUP($D99,'FERC 2023'!$EA$3:$EN$221,14,0),"")</f>
        <v/>
      </c>
    </row>
    <row r="100" spans="1:43" ht="15.75" hidden="1" customHeight="1">
      <c r="A100" s="7" t="s">
        <v>499</v>
      </c>
      <c r="B100" s="7" t="s">
        <v>500</v>
      </c>
      <c r="C100" s="311" t="str">
        <f>'BD DEA'!P100</f>
        <v/>
      </c>
      <c r="D100" s="44" t="str">
        <f t="shared" si="0"/>
        <v>C001184</v>
      </c>
      <c r="E100" s="72">
        <f>IFERROR(VLOOKUP($D100,'FERC 2021'!$EA$3:$EN$221,2,0),"")</f>
        <v>2635920580.4548526</v>
      </c>
      <c r="F100" s="72">
        <f>IFERROR(VLOOKUP($D100,'FERC 2022'!$EA$3:$EN$220,2,0),"")</f>
        <v>2828003874.0378461</v>
      </c>
      <c r="G100" s="72">
        <f>IFERROR(VLOOKUP($D100,'FERC 2023'!$EA$3:$EN$221,2,0),"")</f>
        <v>2965820907.7914419</v>
      </c>
      <c r="H100" s="72">
        <f>IFERROR(VLOOKUP($D100,'FERC 2021'!$EA$3:$EN$225,3,0),"")</f>
        <v>138476049.38679117</v>
      </c>
      <c r="I100" s="72">
        <f>IFERROR(VLOOKUP($D100,'FERC 2022'!$EA$3:$EN$229,3,0),"")</f>
        <v>141615943.6729365</v>
      </c>
      <c r="J100" s="72">
        <f>IFERROR(VLOOKUP($D100,'FERC 2023'!$EA$3:$EN$229,3,0),"")</f>
        <v>141492017.4944458</v>
      </c>
      <c r="K100" s="72">
        <f>IFERROR(VLOOKUP($D100,'FERC 2021'!$EA$3:$EN$229,4,0),"")</f>
        <v>30361994.267470069</v>
      </c>
      <c r="L100" s="72">
        <f>IFERROR(VLOOKUP($D100,'FERC 2022'!$EA$3:$EN$220,4,0),"")</f>
        <v>34454655.242252782</v>
      </c>
      <c r="M100" s="72">
        <f>IFERROR(VLOOKUP($D100,'FERC 2023'!$EA$3:$EN$221,4,0),"")</f>
        <v>35741820.59411671</v>
      </c>
      <c r="N100" s="72">
        <f>IFERROR(VLOOKUP($D100,'FERC 2021'!$EA$3:$EN$221,5,0),"")</f>
        <v>44615889.233669072</v>
      </c>
      <c r="O100" s="72">
        <f>IFERROR(VLOOKUP($D100,'FERC 2022'!$EA$3:$EN$220,5,0),"")</f>
        <v>51798514.613334686</v>
      </c>
      <c r="P100" s="72">
        <f>IFERROR(VLOOKUP($D100,'FERC 2023'!$EA$3:$EN$221,5,0),"")</f>
        <v>66865052.984816842</v>
      </c>
      <c r="Q100" s="72">
        <f>IFERROR(VLOOKUP($D100,'FERC 2021'!$EA$3:$EN$221,6,0),"")</f>
        <v>32670418.967394397</v>
      </c>
      <c r="R100" s="72">
        <f>IFERROR(VLOOKUP($D100,'FERC 2022'!$EA$3:$EN$220,6,0),"")</f>
        <v>34107552.25435292</v>
      </c>
      <c r="S100" s="72">
        <f>IFERROR(VLOOKUP($D100,'FERC 2023'!$EA$3:$EN$221,6,0),"")</f>
        <v>35840372.39048063</v>
      </c>
      <c r="T100" s="72">
        <f>IFERROR(VLOOKUP($D100,'FERC 2021'!$EA$3:$EN$221,7,0),"")</f>
        <v>2637</v>
      </c>
      <c r="U100" s="72">
        <f>IFERROR(VLOOKUP($D100,'FERC 2022'!$EA$3:$EN$220,7,0),"")</f>
        <v>2457</v>
      </c>
      <c r="V100" s="72">
        <f>IFERROR(VLOOKUP($D100,'FERC 2023'!$EA$3:$EN$221,7,0),"")</f>
        <v>2784</v>
      </c>
      <c r="W100" s="72">
        <f>IFERROR(VLOOKUP($D100,'FERC 2021'!$EA$3:$EN$221,8,0),"")</f>
        <v>438395</v>
      </c>
      <c r="X100" s="72">
        <f>IFERROR(VLOOKUP($D100,'FERC 2022'!$EA$3:$EN$220,8,0),"")</f>
        <v>442784</v>
      </c>
      <c r="Y100" s="72">
        <f>IFERROR(VLOOKUP($D100,'FERC 2023'!$EA$3:$EN$221,8,0),"")</f>
        <v>446794</v>
      </c>
      <c r="Z100" s="72">
        <f>IFERROR(VLOOKUP($D100,'FERC 2021'!$EA$3:$EN$222,9,0),"")</f>
        <v>828976</v>
      </c>
      <c r="AA100" s="72">
        <f>IFERROR(VLOOKUP($D100,'FERC 2022'!$EA$3:$EN$220,9,0),"")</f>
        <v>879638</v>
      </c>
      <c r="AB100" s="72">
        <f>IFERROR(VLOOKUP($D100,'FERC 2023'!$EA$3:$EN$221,9,0),"")</f>
        <v>757682</v>
      </c>
      <c r="AC100" s="72">
        <f>IFERROR(VLOOKUP($D100,'FERC 2021'!$EA$3:$EN$221,10,0),"")</f>
        <v>8717747</v>
      </c>
      <c r="AD100" s="72">
        <f>IFERROR(VLOOKUP($D100,'FERC 2022'!$EA$3:$EN$220,10,0),"")</f>
        <v>8809737</v>
      </c>
      <c r="AE100" s="72">
        <f>IFERROR(VLOOKUP($D100,'FERC 2023'!$EA$3:$EN$221,10,0),"")</f>
        <v>8953686</v>
      </c>
      <c r="AF100" s="72">
        <f>IFERROR(VLOOKUP($D100,'FERC 2021'!$EA$3:$EN$221,11,0),"")</f>
        <v>9444172.1878172588</v>
      </c>
      <c r="AG100" s="72">
        <f>IFERROR(VLOOKUP($D100,'FERC 2022'!$EA$3:$EN$220,11,0),"")</f>
        <v>9599586.248730965</v>
      </c>
      <c r="AH100" s="72">
        <f>IFERROR(VLOOKUP($D100,'FERC 2023'!$EA$3:$EN$221,11,0),"")</f>
        <v>9622723.7563451789</v>
      </c>
      <c r="AI100" s="72" t="str">
        <f>IFERROR(VLOOKUP($D100,'FERC 2021'!$EA$3:$EN$221,12,0),"")</f>
        <v/>
      </c>
      <c r="AJ100" s="72" t="str">
        <f>IFERROR(VLOOKUP($D100,'FERC 2022'!$EA$3:$EN$220,12,0),"")</f>
        <v/>
      </c>
      <c r="AK100" s="72">
        <f>IFERROR(VLOOKUP($D100,'FERC 2023'!$EA$3:$EN$221,12,0),"")</f>
        <v>27643144.779999997</v>
      </c>
      <c r="AL100" s="72">
        <f>VLOOKUP($D100,'FERC 2021'!$EA$3:$EN$221,13,0)</f>
        <v>398939.45</v>
      </c>
      <c r="AM100" s="72">
        <f>VLOOKUP($D100,'FERC 2022'!$EA$3:$EN$220,13,0)</f>
        <v>354227.20000000001</v>
      </c>
      <c r="AN100" s="72">
        <f>VLOOKUP($D100,'FERC 2023'!$EA$3:$EN$221,13,0)</f>
        <v>436070.94400000002</v>
      </c>
      <c r="AO100" s="72">
        <f>IFERROR(VLOOKUP($D100,'FERC 2021'!$EA$3:$EN$221,14,0),"")</f>
        <v>471110</v>
      </c>
      <c r="AP100" s="72">
        <f>IFERROR(VLOOKUP($D100,'FERC 2022'!$EA$3:$EN$220,14,0),"")</f>
        <v>483319</v>
      </c>
      <c r="AQ100" s="72">
        <f>IFERROR(VLOOKUP($D100,'FERC 2023'!$EA$3:$EN$221,14,0),"")</f>
        <v>494637</v>
      </c>
    </row>
    <row r="101" spans="1:43" ht="15.75" customHeight="1">
      <c r="A101" s="7" t="s">
        <v>502</v>
      </c>
      <c r="B101" s="7" t="s">
        <v>503</v>
      </c>
      <c r="C101" s="311">
        <f>'BD DEA'!P101</f>
        <v>1</v>
      </c>
      <c r="D101" s="44" t="str">
        <f t="shared" si="0"/>
        <v>C001187</v>
      </c>
      <c r="E101" s="72">
        <f>IFERROR(VLOOKUP($D101,'FERC 2021'!$EA$3:$EN$221,2,0),"")</f>
        <v>1036378900.7695559</v>
      </c>
      <c r="F101" s="72">
        <f>IFERROR(VLOOKUP($D101,'FERC 2022'!$EA$3:$EN$220,2,0),"")</f>
        <v>1039150157.3453959</v>
      </c>
      <c r="G101" s="72">
        <f>IFERROR(VLOOKUP($D101,'FERC 2023'!$EA$3:$EN$221,2,0),"")</f>
        <v>1063714631.2135445</v>
      </c>
      <c r="H101" s="72">
        <f>IFERROR(VLOOKUP($D101,'FERC 2021'!$EA$3:$EN$225,3,0),"")</f>
        <v>32444718.610019375</v>
      </c>
      <c r="I101" s="72">
        <f>IFERROR(VLOOKUP($D101,'FERC 2022'!$EA$3:$EN$229,3,0),"")</f>
        <v>35168665.570243724</v>
      </c>
      <c r="J101" s="72">
        <f>IFERROR(VLOOKUP($D101,'FERC 2023'!$EA$3:$EN$229,3,0),"")</f>
        <v>37915265.378267862</v>
      </c>
      <c r="K101" s="72">
        <f>IFERROR(VLOOKUP($D101,'FERC 2021'!$EA$3:$EN$229,4,0),"")</f>
        <v>7745414.7844370874</v>
      </c>
      <c r="L101" s="72">
        <f>IFERROR(VLOOKUP($D101,'FERC 2022'!$EA$3:$EN$220,4,0),"")</f>
        <v>7745113.0657008924</v>
      </c>
      <c r="M101" s="72">
        <f>IFERROR(VLOOKUP($D101,'FERC 2023'!$EA$3:$EN$221,4,0),"")</f>
        <v>7972604.1833654875</v>
      </c>
      <c r="N101" s="72">
        <f>IFERROR(VLOOKUP($D101,'FERC 2021'!$EA$3:$EN$221,5,0),"")</f>
        <v>8861360.0115290806</v>
      </c>
      <c r="O101" s="72">
        <f>IFERROR(VLOOKUP($D101,'FERC 2022'!$EA$3:$EN$220,5,0),"")</f>
        <v>9542373.0536740199</v>
      </c>
      <c r="P101" s="72">
        <f>IFERROR(VLOOKUP($D101,'FERC 2023'!$EA$3:$EN$221,5,0),"")</f>
        <v>10040265.991024137</v>
      </c>
      <c r="Q101" s="72">
        <f>IFERROR(VLOOKUP($D101,'FERC 2021'!$EA$3:$EN$221,6,0),"")</f>
        <v>4407832.7887376267</v>
      </c>
      <c r="R101" s="72">
        <f>IFERROR(VLOOKUP($D101,'FERC 2022'!$EA$3:$EN$220,6,0),"")</f>
        <v>4071214.4453177168</v>
      </c>
      <c r="S101" s="72">
        <f>IFERROR(VLOOKUP($D101,'FERC 2023'!$EA$3:$EN$221,6,0),"")</f>
        <v>4691672.1472257208</v>
      </c>
      <c r="T101" s="72">
        <f>IFERROR(VLOOKUP($D101,'FERC 2021'!$EA$3:$EN$221,7,0),"")</f>
        <v>527</v>
      </c>
      <c r="U101" s="72">
        <f>IFERROR(VLOOKUP($D101,'FERC 2022'!$EA$3:$EN$220,7,0),"")</f>
        <v>492</v>
      </c>
      <c r="V101" s="72">
        <f>IFERROR(VLOOKUP($D101,'FERC 2023'!$EA$3:$EN$221,7,0),"")</f>
        <v>530</v>
      </c>
      <c r="W101" s="72">
        <f>IFERROR(VLOOKUP($D101,'FERC 2021'!$EA$3:$EN$221,8,0),"")</f>
        <v>100088</v>
      </c>
      <c r="X101" s="72">
        <f>IFERROR(VLOOKUP($D101,'FERC 2022'!$EA$3:$EN$220,8,0),"")</f>
        <v>101855</v>
      </c>
      <c r="Y101" s="72">
        <f>IFERROR(VLOOKUP($D101,'FERC 2023'!$EA$3:$EN$221,8,0),"")</f>
        <v>103504</v>
      </c>
      <c r="Z101" s="72">
        <f>IFERROR(VLOOKUP($D101,'FERC 2021'!$EA$3:$EN$222,9,0),"")</f>
        <v>166772</v>
      </c>
      <c r="AA101" s="72">
        <f>IFERROR(VLOOKUP($D101,'FERC 2022'!$EA$3:$EN$220,9,0),"")</f>
        <v>49444</v>
      </c>
      <c r="AB101" s="72">
        <f>IFERROR(VLOOKUP($D101,'FERC 2023'!$EA$3:$EN$221,9,0),"")</f>
        <v>16645</v>
      </c>
      <c r="AC101" s="72">
        <f>IFERROR(VLOOKUP($D101,'FERC 2021'!$EA$3:$EN$221,10,0),"")</f>
        <v>1840841</v>
      </c>
      <c r="AD101" s="72">
        <f>IFERROR(VLOOKUP($D101,'FERC 2022'!$EA$3:$EN$220,10,0),"")</f>
        <v>1847495</v>
      </c>
      <c r="AE101" s="72">
        <f>IFERROR(VLOOKUP($D101,'FERC 2023'!$EA$3:$EN$221,10,0),"")</f>
        <v>1832424</v>
      </c>
      <c r="AF101" s="72">
        <f>IFERROR(VLOOKUP($D101,'FERC 2021'!$EA$3:$EN$221,11,0),"")</f>
        <v>2002981.2284263959</v>
      </c>
      <c r="AG101" s="72">
        <f>IFERROR(VLOOKUP($D101,'FERC 2022'!$EA$3:$EN$220,11,0),"")</f>
        <v>1893516.4720812184</v>
      </c>
      <c r="AH101" s="72">
        <f>IFERROR(VLOOKUP($D101,'FERC 2023'!$EA$3:$EN$221,11,0),"")</f>
        <v>1843968.7715736041</v>
      </c>
      <c r="AI101" s="72">
        <f>IFERROR(VLOOKUP($D101,'FERC 2021'!$EA$3:$EN$221,12,0),"")</f>
        <v>4849263.6000000006</v>
      </c>
      <c r="AJ101" s="72">
        <f>IFERROR(VLOOKUP($D101,'FERC 2022'!$EA$3:$EN$220,12,0),"")</f>
        <v>7863206</v>
      </c>
      <c r="AK101" s="72">
        <f>IFERROR(VLOOKUP($D101,'FERC 2023'!$EA$3:$EN$221,12,0),"")</f>
        <v>4563491.3600000003</v>
      </c>
      <c r="AL101" s="72">
        <f>VLOOKUP($D101,'FERC 2021'!$EA$3:$EN$221,13,0)</f>
        <v>105092.40000000001</v>
      </c>
      <c r="AM101" s="72">
        <f>VLOOKUP($D101,'FERC 2022'!$EA$3:$EN$220,13,0)</f>
        <v>134448.6</v>
      </c>
      <c r="AN101" s="72">
        <f>VLOOKUP($D101,'FERC 2023'!$EA$3:$EN$221,13,0)</f>
        <v>80319.104000000007</v>
      </c>
      <c r="AO101" s="72">
        <f>IFERROR(VLOOKUP($D101,'FERC 2021'!$EA$3:$EN$221,14,0),"")</f>
        <v>104742</v>
      </c>
      <c r="AP101" s="72">
        <f>IFERROR(VLOOKUP($D101,'FERC 2022'!$EA$3:$EN$220,14,0),"")</f>
        <v>108476</v>
      </c>
      <c r="AQ101" s="72">
        <f>IFERROR(VLOOKUP($D101,'FERC 2023'!$EA$3:$EN$221,14,0),"")</f>
        <v>111788</v>
      </c>
    </row>
    <row r="102" spans="1:43" ht="15.75" hidden="1" customHeight="1">
      <c r="A102" s="7" t="s">
        <v>505</v>
      </c>
      <c r="B102" s="7" t="s">
        <v>506</v>
      </c>
      <c r="C102" s="311" t="str">
        <f>'BD DEA'!P102</f>
        <v/>
      </c>
      <c r="D102" s="44" t="str">
        <f t="shared" si="0"/>
        <v>C001188</v>
      </c>
      <c r="E102" s="72" t="str">
        <f>IFERROR(VLOOKUP($D102,'FERC 2021'!$EA$3:$EN$221,2,0),"")</f>
        <v/>
      </c>
      <c r="F102" s="72" t="str">
        <f>IFERROR(VLOOKUP($D102,'FERC 2022'!$EA$3:$EN$220,2,0),"")</f>
        <v/>
      </c>
      <c r="G102" s="72" t="str">
        <f>IFERROR(VLOOKUP($D102,'FERC 2023'!$EA$3:$EN$221,2,0),"")</f>
        <v/>
      </c>
      <c r="H102" s="72" t="str">
        <f>IFERROR(VLOOKUP($D102,'FERC 2021'!$EA$3:$EN$225,3,0),"")</f>
        <v/>
      </c>
      <c r="I102" s="72" t="str">
        <f>IFERROR(VLOOKUP($D102,'FERC 2022'!$EA$3:$EN$229,3,0),"")</f>
        <v/>
      </c>
      <c r="J102" s="72" t="str">
        <f>IFERROR(VLOOKUP($D102,'FERC 2023'!$EA$3:$EN$229,3,0),"")</f>
        <v/>
      </c>
      <c r="K102" s="72" t="str">
        <f>IFERROR(VLOOKUP($D102,'FERC 2021'!$EA$3:$EN$229,4,0),"")</f>
        <v/>
      </c>
      <c r="L102" s="72" t="str">
        <f>IFERROR(VLOOKUP($D102,'FERC 2022'!$EA$3:$EN$220,4,0),"")</f>
        <v/>
      </c>
      <c r="M102" s="72" t="str">
        <f>IFERROR(VLOOKUP($D102,'FERC 2023'!$EA$3:$EN$221,4,0),"")</f>
        <v/>
      </c>
      <c r="N102" s="72" t="str">
        <f>IFERROR(VLOOKUP($D102,'FERC 2021'!$EA$3:$EN$221,5,0),"")</f>
        <v/>
      </c>
      <c r="O102" s="72" t="str">
        <f>IFERROR(VLOOKUP($D102,'FERC 2022'!$EA$3:$EN$220,5,0),"")</f>
        <v/>
      </c>
      <c r="P102" s="72" t="str">
        <f>IFERROR(VLOOKUP($D102,'FERC 2023'!$EA$3:$EN$221,5,0),"")</f>
        <v/>
      </c>
      <c r="Q102" s="72" t="str">
        <f>IFERROR(VLOOKUP($D102,'FERC 2021'!$EA$3:$EN$221,6,0),"")</f>
        <v/>
      </c>
      <c r="R102" s="72" t="str">
        <f>IFERROR(VLOOKUP($D102,'FERC 2022'!$EA$3:$EN$220,6,0),"")</f>
        <v/>
      </c>
      <c r="S102" s="72" t="str">
        <f>IFERROR(VLOOKUP($D102,'FERC 2023'!$EA$3:$EN$221,6,0),"")</f>
        <v/>
      </c>
      <c r="T102" s="72" t="str">
        <f>IFERROR(VLOOKUP($D102,'FERC 2021'!$EA$3:$EN$221,7,0),"")</f>
        <v/>
      </c>
      <c r="U102" s="72" t="str">
        <f>IFERROR(VLOOKUP($D102,'FERC 2022'!$EA$3:$EN$220,7,0),"")</f>
        <v/>
      </c>
      <c r="V102" s="72" t="str">
        <f>IFERROR(VLOOKUP($D102,'FERC 2023'!$EA$3:$EN$221,7,0),"")</f>
        <v/>
      </c>
      <c r="W102" s="72" t="str">
        <f>IFERROR(VLOOKUP($D102,'FERC 2021'!$EA$3:$EN$221,8,0),"")</f>
        <v/>
      </c>
      <c r="X102" s="72" t="str">
        <f>IFERROR(VLOOKUP($D102,'FERC 2022'!$EA$3:$EN$220,8,0),"")</f>
        <v/>
      </c>
      <c r="Y102" s="72" t="str">
        <f>IFERROR(VLOOKUP($D102,'FERC 2023'!$EA$3:$EN$221,8,0),"")</f>
        <v/>
      </c>
      <c r="Z102" s="72" t="str">
        <f>IFERROR(VLOOKUP($D102,'FERC 2021'!$EA$3:$EN$222,9,0),"")</f>
        <v/>
      </c>
      <c r="AA102" s="72" t="str">
        <f>IFERROR(VLOOKUP($D102,'FERC 2022'!$EA$3:$EN$220,9,0),"")</f>
        <v/>
      </c>
      <c r="AB102" s="72" t="str">
        <f>IFERROR(VLOOKUP($D102,'FERC 2023'!$EA$3:$EN$221,9,0),"")</f>
        <v/>
      </c>
      <c r="AC102" s="72" t="str">
        <f>IFERROR(VLOOKUP($D102,'FERC 2021'!$EA$3:$EN$221,10,0),"")</f>
        <v/>
      </c>
      <c r="AD102" s="72" t="str">
        <f>IFERROR(VLOOKUP($D102,'FERC 2022'!$EA$3:$EN$220,10,0),"")</f>
        <v/>
      </c>
      <c r="AE102" s="72" t="str">
        <f>IFERROR(VLOOKUP($D102,'FERC 2023'!$EA$3:$EN$221,10,0),"")</f>
        <v/>
      </c>
      <c r="AF102" s="72" t="str">
        <f>IFERROR(VLOOKUP($D102,'FERC 2021'!$EA$3:$EN$221,11,0),"")</f>
        <v/>
      </c>
      <c r="AG102" s="72" t="str">
        <f>IFERROR(VLOOKUP($D102,'FERC 2022'!$EA$3:$EN$220,11,0),"")</f>
        <v/>
      </c>
      <c r="AH102" s="72" t="str">
        <f>IFERROR(VLOOKUP($D102,'FERC 2023'!$EA$3:$EN$221,11,0),"")</f>
        <v/>
      </c>
      <c r="AI102" s="72" t="str">
        <f>IFERROR(VLOOKUP($D102,'FERC 2021'!$EA$3:$EN$221,12,0),"")</f>
        <v/>
      </c>
      <c r="AJ102" s="72" t="str">
        <f>IFERROR(VLOOKUP($D102,'FERC 2022'!$EA$3:$EN$220,12,0),"")</f>
        <v/>
      </c>
      <c r="AK102" s="72" t="str">
        <f>IFERROR(VLOOKUP($D102,'FERC 2023'!$EA$3:$EN$221,12,0),"")</f>
        <v/>
      </c>
      <c r="AL102" s="72" t="str">
        <f>VLOOKUP($D102,'FERC 2021'!$EA$3:$EN$221,13,0)</f>
        <v/>
      </c>
      <c r="AM102" s="72" t="str">
        <f>VLOOKUP($D102,'FERC 2022'!$EA$3:$EN$220,13,0)</f>
        <v/>
      </c>
      <c r="AN102" s="72" t="str">
        <f>VLOOKUP($D102,'FERC 2023'!$EA$3:$EN$221,13,0)</f>
        <v/>
      </c>
      <c r="AO102" s="72" t="str">
        <f>IFERROR(VLOOKUP($D102,'FERC 2021'!$EA$3:$EN$221,14,0),"")</f>
        <v/>
      </c>
      <c r="AP102" s="72" t="str">
        <f>IFERROR(VLOOKUP($D102,'FERC 2022'!$EA$3:$EN$220,14,0),"")</f>
        <v/>
      </c>
      <c r="AQ102" s="72" t="str">
        <f>IFERROR(VLOOKUP($D102,'FERC 2023'!$EA$3:$EN$221,14,0),"")</f>
        <v/>
      </c>
    </row>
    <row r="103" spans="1:43" ht="15.75" customHeight="1">
      <c r="A103" s="7" t="s">
        <v>508</v>
      </c>
      <c r="B103" s="7" t="s">
        <v>509</v>
      </c>
      <c r="C103" s="311">
        <f>'BD DEA'!P103</f>
        <v>1</v>
      </c>
      <c r="D103" s="44" t="str">
        <f t="shared" si="0"/>
        <v>C001194</v>
      </c>
      <c r="E103" s="72">
        <f>IFERROR(VLOOKUP($D103,'FERC 2021'!$EA$3:$EN$221,2,0),"")</f>
        <v>13484947830.353767</v>
      </c>
      <c r="F103" s="72">
        <f>IFERROR(VLOOKUP($D103,'FERC 2022'!$EA$3:$EN$220,2,0),"")</f>
        <v>14078235260.889616</v>
      </c>
      <c r="G103" s="72">
        <f>IFERROR(VLOOKUP($D103,'FERC 2023'!$EA$3:$EN$221,2,0),"")</f>
        <v>15040262801.584486</v>
      </c>
      <c r="H103" s="72">
        <f>IFERROR(VLOOKUP($D103,'FERC 2021'!$EA$3:$EN$225,3,0),"")</f>
        <v>459889384.75057089</v>
      </c>
      <c r="I103" s="72">
        <f>IFERROR(VLOOKUP($D103,'FERC 2022'!$EA$3:$EN$229,3,0),"")</f>
        <v>519863629.1829173</v>
      </c>
      <c r="J103" s="72">
        <f>IFERROR(VLOOKUP($D103,'FERC 2023'!$EA$3:$EN$229,3,0),"")</f>
        <v>631849776.76262856</v>
      </c>
      <c r="K103" s="72">
        <f>IFERROR(VLOOKUP($D103,'FERC 2021'!$EA$3:$EN$229,4,0),"")</f>
        <v>204337271.74733689</v>
      </c>
      <c r="L103" s="72">
        <f>IFERROR(VLOOKUP($D103,'FERC 2022'!$EA$3:$EN$220,4,0),"")</f>
        <v>193434915.25003573</v>
      </c>
      <c r="M103" s="72">
        <f>IFERROR(VLOOKUP($D103,'FERC 2023'!$EA$3:$EN$221,4,0),"")</f>
        <v>213043140.45324975</v>
      </c>
      <c r="N103" s="72">
        <f>IFERROR(VLOOKUP($D103,'FERC 2021'!$EA$3:$EN$221,5,0),"")</f>
        <v>568898867.49885571</v>
      </c>
      <c r="O103" s="72">
        <f>IFERROR(VLOOKUP($D103,'FERC 2022'!$EA$3:$EN$220,5,0),"")</f>
        <v>603247691.96373534</v>
      </c>
      <c r="P103" s="72">
        <f>IFERROR(VLOOKUP($D103,'FERC 2023'!$EA$3:$EN$221,5,0),"")</f>
        <v>566934015.74815071</v>
      </c>
      <c r="Q103" s="72">
        <f>IFERROR(VLOOKUP($D103,'FERC 2021'!$EA$3:$EN$221,6,0),"")</f>
        <v>41761769.767589822</v>
      </c>
      <c r="R103" s="72">
        <f>IFERROR(VLOOKUP($D103,'FERC 2022'!$EA$3:$EN$220,6,0),"")</f>
        <v>45578792.155856229</v>
      </c>
      <c r="S103" s="72">
        <f>IFERROR(VLOOKUP($D103,'FERC 2023'!$EA$3:$EN$221,6,0),"")</f>
        <v>114371465.78130732</v>
      </c>
      <c r="T103" s="72">
        <f>IFERROR(VLOOKUP($D103,'FERC 2021'!$EA$3:$EN$221,7,0),"")</f>
        <v>10064</v>
      </c>
      <c r="U103" s="72">
        <f>IFERROR(VLOOKUP($D103,'FERC 2022'!$EA$3:$EN$220,7,0),"")</f>
        <v>10147</v>
      </c>
      <c r="V103" s="72">
        <f>IFERROR(VLOOKUP($D103,'FERC 2023'!$EA$3:$EN$221,7,0),"")</f>
        <v>9561</v>
      </c>
      <c r="W103" s="72">
        <f>IFERROR(VLOOKUP($D103,'FERC 2021'!$EA$3:$EN$221,8,0),"")</f>
        <v>2323747</v>
      </c>
      <c r="X103" s="72">
        <f>IFERROR(VLOOKUP($D103,'FERC 2022'!$EA$3:$EN$220,8,0),"")</f>
        <v>2346606</v>
      </c>
      <c r="Y103" s="72">
        <f>IFERROR(VLOOKUP($D103,'FERC 2023'!$EA$3:$EN$221,8,0),"")</f>
        <v>2369557</v>
      </c>
      <c r="Z103" s="72">
        <f>IFERROR(VLOOKUP($D103,'FERC 2021'!$EA$3:$EN$222,9,0),"")</f>
        <v>1183263</v>
      </c>
      <c r="AA103" s="72">
        <f>IFERROR(VLOOKUP($D103,'FERC 2022'!$EA$3:$EN$220,9,0),"")</f>
        <v>1023650</v>
      </c>
      <c r="AB103" s="72">
        <f>IFERROR(VLOOKUP($D103,'FERC 2023'!$EA$3:$EN$221,9,0),"")</f>
        <v>2059882</v>
      </c>
      <c r="AC103" s="72">
        <f>IFERROR(VLOOKUP($D103,'FERC 2021'!$EA$3:$EN$221,10,0),"")</f>
        <v>40171106</v>
      </c>
      <c r="AD103" s="72">
        <f>IFERROR(VLOOKUP($D103,'FERC 2022'!$EA$3:$EN$220,10,0),"")</f>
        <v>40823934</v>
      </c>
      <c r="AE103" s="72">
        <f>IFERROR(VLOOKUP($D103,'FERC 2023'!$EA$3:$EN$221,10,0),"")</f>
        <v>39092838</v>
      </c>
      <c r="AF103" s="72">
        <f>IFERROR(VLOOKUP($D103,'FERC 2021'!$EA$3:$EN$221,11,0),"")</f>
        <v>41352223.649746194</v>
      </c>
      <c r="AG103" s="72">
        <f>IFERROR(VLOOKUP($D103,'FERC 2022'!$EA$3:$EN$220,11,0),"")</f>
        <v>41845191.50761421</v>
      </c>
      <c r="AH103" s="72">
        <f>IFERROR(VLOOKUP($D103,'FERC 2023'!$EA$3:$EN$221,11,0),"")</f>
        <v>41150570.126903556</v>
      </c>
      <c r="AI103" s="72">
        <f>IFERROR(VLOOKUP($D103,'FERC 2021'!$EA$3:$EN$221,12,0),"")</f>
        <v>96412263.030000001</v>
      </c>
      <c r="AJ103" s="72">
        <f>IFERROR(VLOOKUP($D103,'FERC 2022'!$EA$3:$EN$220,12,0),"")</f>
        <v>79643807.640000001</v>
      </c>
      <c r="AK103" s="72">
        <f>IFERROR(VLOOKUP($D103,'FERC 2023'!$EA$3:$EN$221,12,0),"")</f>
        <v>84474707.049999997</v>
      </c>
      <c r="AL103" s="72">
        <f>VLOOKUP($D103,'FERC 2021'!$EA$3:$EN$221,13,0)</f>
        <v>1533673.02</v>
      </c>
      <c r="AM103" s="72">
        <f>VLOOKUP($D103,'FERC 2022'!$EA$3:$EN$220,13,0)</f>
        <v>1290633.3</v>
      </c>
      <c r="AN103" s="72">
        <f>VLOOKUP($D103,'FERC 2023'!$EA$3:$EN$221,13,0)</f>
        <v>1350647.49</v>
      </c>
      <c r="AO103" s="72">
        <f>IFERROR(VLOOKUP($D103,'FERC 2021'!$EA$3:$EN$221,14,0),"")</f>
        <v>106047</v>
      </c>
      <c r="AP103" s="72">
        <f>IFERROR(VLOOKUP($D103,'FERC 2022'!$EA$3:$EN$220,14,0),"")</f>
        <v>517817</v>
      </c>
      <c r="AQ103" s="72">
        <f>IFERROR(VLOOKUP($D103,'FERC 2023'!$EA$3:$EN$221,14,0),"")</f>
        <v>1580555</v>
      </c>
    </row>
    <row r="104" spans="1:43" ht="15.75" customHeight="1">
      <c r="A104" s="7" t="s">
        <v>511</v>
      </c>
      <c r="B104" s="7" t="s">
        <v>512</v>
      </c>
      <c r="C104" s="311">
        <f>'BD DEA'!P104</f>
        <v>1</v>
      </c>
      <c r="D104" s="44" t="str">
        <f t="shared" si="0"/>
        <v>C001218</v>
      </c>
      <c r="E104" s="72">
        <f>IFERROR(VLOOKUP($D104,'FERC 2021'!$EA$3:$EN$221,2,0),"")</f>
        <v>2607334128.662075</v>
      </c>
      <c r="F104" s="72">
        <f>IFERROR(VLOOKUP($D104,'FERC 2022'!$EA$3:$EN$220,2,0),"")</f>
        <v>2683717627.5678825</v>
      </c>
      <c r="G104" s="72">
        <f>IFERROR(VLOOKUP($D104,'FERC 2023'!$EA$3:$EN$221,2,0),"")</f>
        <v>2791481512.4531589</v>
      </c>
      <c r="H104" s="72">
        <f>IFERROR(VLOOKUP($D104,'FERC 2021'!$EA$3:$EN$225,3,0),"")</f>
        <v>100111044.1275135</v>
      </c>
      <c r="I104" s="72">
        <f>IFERROR(VLOOKUP($D104,'FERC 2022'!$EA$3:$EN$229,3,0),"")</f>
        <v>89981672.880006894</v>
      </c>
      <c r="J104" s="72">
        <f>IFERROR(VLOOKUP($D104,'FERC 2023'!$EA$3:$EN$229,3,0),"")</f>
        <v>92368605.604013726</v>
      </c>
      <c r="K104" s="72">
        <f>IFERROR(VLOOKUP($D104,'FERC 2021'!$EA$3:$EN$229,4,0),"")</f>
        <v>32626445.374529719</v>
      </c>
      <c r="L104" s="72">
        <f>IFERROR(VLOOKUP($D104,'FERC 2022'!$EA$3:$EN$220,4,0),"")</f>
        <v>30569079.718625434</v>
      </c>
      <c r="M104" s="72">
        <f>IFERROR(VLOOKUP($D104,'FERC 2023'!$EA$3:$EN$221,4,0),"")</f>
        <v>33254248.383408997</v>
      </c>
      <c r="N104" s="72">
        <f>IFERROR(VLOOKUP($D104,'FERC 2021'!$EA$3:$EN$221,5,0),"")</f>
        <v>32086138.9648927</v>
      </c>
      <c r="O104" s="72">
        <f>IFERROR(VLOOKUP($D104,'FERC 2022'!$EA$3:$EN$220,5,0),"")</f>
        <v>34540892.131646991</v>
      </c>
      <c r="P104" s="72">
        <f>IFERROR(VLOOKUP($D104,'FERC 2023'!$EA$3:$EN$221,5,0),"")</f>
        <v>35904888.707569994</v>
      </c>
      <c r="Q104" s="72">
        <f>IFERROR(VLOOKUP($D104,'FERC 2021'!$EA$3:$EN$221,6,0),"")</f>
        <v>48122770.516738705</v>
      </c>
      <c r="R104" s="72">
        <f>IFERROR(VLOOKUP($D104,'FERC 2022'!$EA$3:$EN$220,6,0),"")</f>
        <v>46484829.256129079</v>
      </c>
      <c r="S104" s="72">
        <f>IFERROR(VLOOKUP($D104,'FERC 2023'!$EA$3:$EN$221,6,0),"")</f>
        <v>60719487.528858036</v>
      </c>
      <c r="T104" s="72">
        <f>IFERROR(VLOOKUP($D104,'FERC 2021'!$EA$3:$EN$221,7,0),"")</f>
        <v>1968</v>
      </c>
      <c r="U104" s="72">
        <f>IFERROR(VLOOKUP($D104,'FERC 2022'!$EA$3:$EN$220,7,0),"")</f>
        <v>2139</v>
      </c>
      <c r="V104" s="72">
        <f>IFERROR(VLOOKUP($D104,'FERC 2023'!$EA$3:$EN$221,7,0),"")</f>
        <v>2162</v>
      </c>
      <c r="W104" s="72">
        <f>IFERROR(VLOOKUP($D104,'FERC 2021'!$EA$3:$EN$221,8,0),"")</f>
        <v>540035</v>
      </c>
      <c r="X104" s="72">
        <f>IFERROR(VLOOKUP($D104,'FERC 2022'!$EA$3:$EN$220,8,0),"")</f>
        <v>543676</v>
      </c>
      <c r="Y104" s="72">
        <f>IFERROR(VLOOKUP($D104,'FERC 2023'!$EA$3:$EN$221,8,0),"")</f>
        <v>548047</v>
      </c>
      <c r="Z104" s="72">
        <f>IFERROR(VLOOKUP($D104,'FERC 2021'!$EA$3:$EN$222,9,0),"")</f>
        <v>1080102</v>
      </c>
      <c r="AA104" s="72">
        <f>IFERROR(VLOOKUP($D104,'FERC 2022'!$EA$3:$EN$220,9,0),"")</f>
        <v>2059785</v>
      </c>
      <c r="AB104" s="72">
        <f>IFERROR(VLOOKUP($D104,'FERC 2023'!$EA$3:$EN$221,9,0),"")</f>
        <v>2041062</v>
      </c>
      <c r="AC104" s="72">
        <f>IFERROR(VLOOKUP($D104,'FERC 2021'!$EA$3:$EN$221,10,0),"")</f>
        <v>9163032</v>
      </c>
      <c r="AD104" s="72">
        <f>IFERROR(VLOOKUP($D104,'FERC 2022'!$EA$3:$EN$220,10,0),"")</f>
        <v>9517034</v>
      </c>
      <c r="AE104" s="72">
        <f>IFERROR(VLOOKUP($D104,'FERC 2023'!$EA$3:$EN$221,10,0),"")</f>
        <v>9667019</v>
      </c>
      <c r="AF104" s="72">
        <f>IFERROR(VLOOKUP($D104,'FERC 2021'!$EA$3:$EN$221,11,0),"")</f>
        <v>10160171.375634518</v>
      </c>
      <c r="AG104" s="72">
        <f>IFERROR(VLOOKUP($D104,'FERC 2022'!$EA$3:$EN$220,11,0),"")</f>
        <v>11463926.121827412</v>
      </c>
      <c r="AH104" s="72">
        <f>IFERROR(VLOOKUP($D104,'FERC 2023'!$EA$3:$EN$221,11,0),"")</f>
        <v>11638226.319796953</v>
      </c>
      <c r="AI104" s="72">
        <f>IFERROR(VLOOKUP($D104,'FERC 2021'!$EA$3:$EN$221,12,0),"")</f>
        <v>46561817.700000003</v>
      </c>
      <c r="AJ104" s="72">
        <f>IFERROR(VLOOKUP($D104,'FERC 2022'!$EA$3:$EN$220,12,0),"")</f>
        <v>55090689.079999998</v>
      </c>
      <c r="AK104" s="72">
        <f>IFERROR(VLOOKUP($D104,'FERC 2023'!$EA$3:$EN$221,12,0),"")</f>
        <v>50513491.990000002</v>
      </c>
      <c r="AL104" s="72">
        <f>VLOOKUP($D104,'FERC 2021'!$EA$3:$EN$221,13,0)</f>
        <v>441748.62999999995</v>
      </c>
      <c r="AM104" s="72">
        <f>VLOOKUP($D104,'FERC 2022'!$EA$3:$EN$220,13,0)</f>
        <v>467017.68400000001</v>
      </c>
      <c r="AN104" s="72">
        <f>VLOOKUP($D104,'FERC 2023'!$EA$3:$EN$221,13,0)</f>
        <v>463099.71499999997</v>
      </c>
      <c r="AO104" s="72">
        <f>IFERROR(VLOOKUP($D104,'FERC 2021'!$EA$3:$EN$221,14,0),"")</f>
        <v>34895</v>
      </c>
      <c r="AP104" s="72">
        <f>IFERROR(VLOOKUP($D104,'FERC 2022'!$EA$3:$EN$220,14,0),"")</f>
        <v>35363</v>
      </c>
      <c r="AQ104" s="72">
        <f>IFERROR(VLOOKUP($D104,'FERC 2023'!$EA$3:$EN$221,14,0),"")</f>
        <v>35858</v>
      </c>
    </row>
    <row r="105" spans="1:43" ht="15.75" hidden="1" customHeight="1">
      <c r="A105" s="7" t="s">
        <v>514</v>
      </c>
      <c r="B105" s="7" t="s">
        <v>515</v>
      </c>
      <c r="C105" s="311" t="str">
        <f>'BD DEA'!P105</f>
        <v/>
      </c>
      <c r="D105" s="44" t="str">
        <f t="shared" si="0"/>
        <v>C001221</v>
      </c>
      <c r="E105" s="72">
        <f>IFERROR(VLOOKUP($D105,'FERC 2021'!$EA$3:$EN$221,2,0),"")</f>
        <v>215838830.97592288</v>
      </c>
      <c r="F105" s="72">
        <f>IFERROR(VLOOKUP($D105,'FERC 2022'!$EA$3:$EN$220,2,0),"")</f>
        <v>219510757.09973219</v>
      </c>
      <c r="G105" s="72">
        <f>IFERROR(VLOOKUP($D105,'FERC 2023'!$EA$3:$EN$221,2,0),"")</f>
        <v>224861487.66700506</v>
      </c>
      <c r="H105" s="72">
        <f>IFERROR(VLOOKUP($D105,'FERC 2021'!$EA$3:$EN$225,3,0),"")</f>
        <v>12445519.498722017</v>
      </c>
      <c r="I105" s="72">
        <f>IFERROR(VLOOKUP($D105,'FERC 2022'!$EA$3:$EN$229,3,0),"")</f>
        <v>12936665.396210156</v>
      </c>
      <c r="J105" s="72">
        <f>IFERROR(VLOOKUP($D105,'FERC 2023'!$EA$3:$EN$229,3,0),"")</f>
        <v>14699968.273494894</v>
      </c>
      <c r="K105" s="72">
        <f>IFERROR(VLOOKUP($D105,'FERC 2021'!$EA$3:$EN$229,4,0),"")</f>
        <v>4750215.7190196468</v>
      </c>
      <c r="L105" s="72">
        <f>IFERROR(VLOOKUP($D105,'FERC 2022'!$EA$3:$EN$220,4,0),"")</f>
        <v>4878973.8849588856</v>
      </c>
      <c r="M105" s="72">
        <f>IFERROR(VLOOKUP($D105,'FERC 2023'!$EA$3:$EN$221,4,0),"")</f>
        <v>4957457.7476775432</v>
      </c>
      <c r="N105" s="72">
        <f>IFERROR(VLOOKUP($D105,'FERC 2021'!$EA$3:$EN$221,5,0),"")</f>
        <v>12993752.409031603</v>
      </c>
      <c r="O105" s="72">
        <f>IFERROR(VLOOKUP($D105,'FERC 2022'!$EA$3:$EN$220,5,0),"")</f>
        <v>11964765.142999923</v>
      </c>
      <c r="P105" s="72">
        <f>IFERROR(VLOOKUP($D105,'FERC 2023'!$EA$3:$EN$221,5,0),"")</f>
        <v>13653468.238411084</v>
      </c>
      <c r="Q105" s="72">
        <f>IFERROR(VLOOKUP($D105,'FERC 2021'!$EA$3:$EN$221,6,0),"")</f>
        <v>3521119.5740030105</v>
      </c>
      <c r="R105" s="72">
        <f>IFERROR(VLOOKUP($D105,'FERC 2022'!$EA$3:$EN$220,6,0),"")</f>
        <v>3697725.4443336222</v>
      </c>
      <c r="S105" s="72">
        <f>IFERROR(VLOOKUP($D105,'FERC 2023'!$EA$3:$EN$221,6,0),"")</f>
        <v>4094406.9049127637</v>
      </c>
      <c r="T105" s="72">
        <f>IFERROR(VLOOKUP($D105,'FERC 2021'!$EA$3:$EN$221,7,0),"")</f>
        <v>94</v>
      </c>
      <c r="U105" s="72">
        <f>IFERROR(VLOOKUP($D105,'FERC 2022'!$EA$3:$EN$220,7,0),"")</f>
        <v>95</v>
      </c>
      <c r="V105" s="72">
        <f>IFERROR(VLOOKUP($D105,'FERC 2023'!$EA$3:$EN$221,7,0),"")</f>
        <v>90</v>
      </c>
      <c r="W105" s="72">
        <f>IFERROR(VLOOKUP($D105,'FERC 2021'!$EA$3:$EN$221,8,0),"")</f>
        <v>30544</v>
      </c>
      <c r="X105" s="72">
        <f>IFERROR(VLOOKUP($D105,'FERC 2022'!$EA$3:$EN$220,8,0),"")</f>
        <v>30607</v>
      </c>
      <c r="Y105" s="72">
        <f>IFERROR(VLOOKUP($D105,'FERC 2023'!$EA$3:$EN$221,8,0),"")</f>
        <v>30736</v>
      </c>
      <c r="Z105" s="72">
        <f>IFERROR(VLOOKUP($D105,'FERC 2021'!$EA$3:$EN$222,9,0),"")</f>
        <v>14851</v>
      </c>
      <c r="AA105" s="72">
        <f>IFERROR(VLOOKUP($D105,'FERC 2022'!$EA$3:$EN$220,9,0),"")</f>
        <v>22654</v>
      </c>
      <c r="AB105" s="72">
        <f>IFERROR(VLOOKUP($D105,'FERC 2023'!$EA$3:$EN$221,9,0),"")</f>
        <v>35353</v>
      </c>
      <c r="AC105" s="72">
        <f>IFERROR(VLOOKUP($D105,'FERC 2021'!$EA$3:$EN$221,10,0),"")</f>
        <v>173300</v>
      </c>
      <c r="AD105" s="72">
        <f>IFERROR(VLOOKUP($D105,'FERC 2022'!$EA$3:$EN$220,10,0),"")</f>
        <v>165799</v>
      </c>
      <c r="AE105" s="72">
        <f>IFERROR(VLOOKUP($D105,'FERC 2023'!$EA$3:$EN$221,10,0),"")</f>
        <v>78218</v>
      </c>
      <c r="AF105" s="72">
        <f>IFERROR(VLOOKUP($D105,'FERC 2021'!$EA$3:$EN$221,11,0),"")</f>
        <v>187442.02538071066</v>
      </c>
      <c r="AG105" s="72">
        <f>IFERROR(VLOOKUP($D105,'FERC 2022'!$EA$3:$EN$220,11,0),"")</f>
        <v>187684.71065989847</v>
      </c>
      <c r="AH105" s="72">
        <f>IFERROR(VLOOKUP($D105,'FERC 2023'!$EA$3:$EN$221,11,0),"")</f>
        <v>112855.91878172589</v>
      </c>
      <c r="AI105" s="72">
        <f>IFERROR(VLOOKUP($D105,'FERC 2021'!$EA$3:$EN$221,12,0),"")</f>
        <v>2354942.4</v>
      </c>
      <c r="AJ105" s="72">
        <f>IFERROR(VLOOKUP($D105,'FERC 2022'!$EA$3:$EN$220,12,0),"")</f>
        <v>2186564.08</v>
      </c>
      <c r="AK105" s="72">
        <f>IFERROR(VLOOKUP($D105,'FERC 2023'!$EA$3:$EN$221,12,0),"")</f>
        <v>2777458.6399999997</v>
      </c>
      <c r="AL105" s="72">
        <f>VLOOKUP($D105,'FERC 2021'!$EA$3:$EN$221,13,0)</f>
        <v>85370.48</v>
      </c>
      <c r="AM105" s="72">
        <f>VLOOKUP($D105,'FERC 2022'!$EA$3:$EN$220,13,0)</f>
        <v>33545.272000000004</v>
      </c>
      <c r="AN105" s="72">
        <f>VLOOKUP($D105,'FERC 2023'!$EA$3:$EN$221,13,0)</f>
        <v>75210.991999999998</v>
      </c>
      <c r="AO105" s="72">
        <f>IFERROR(VLOOKUP($D105,'FERC 2021'!$EA$3:$EN$221,14,0),"")</f>
        <v>30671</v>
      </c>
      <c r="AP105" s="72">
        <f>IFERROR(VLOOKUP($D105,'FERC 2022'!$EA$3:$EN$220,14,0),"")</f>
        <v>30859</v>
      </c>
      <c r="AQ105" s="72">
        <f>IFERROR(VLOOKUP($D105,'FERC 2023'!$EA$3:$EN$221,14,0),"")</f>
        <v>30942</v>
      </c>
    </row>
    <row r="106" spans="1:43" ht="15.75" customHeight="1">
      <c r="A106" s="7" t="s">
        <v>517</v>
      </c>
      <c r="B106" s="7" t="s">
        <v>518</v>
      </c>
      <c r="C106" s="311">
        <f>'BD DEA'!P106</f>
        <v>1</v>
      </c>
      <c r="D106" s="44" t="str">
        <f t="shared" si="0"/>
        <v>C001222</v>
      </c>
      <c r="E106" s="72">
        <f>IFERROR(VLOOKUP($D106,'FERC 2021'!$EA$3:$EN$221,2,0),"")</f>
        <v>529111061.90410191</v>
      </c>
      <c r="F106" s="72">
        <f>IFERROR(VLOOKUP($D106,'FERC 2022'!$EA$3:$EN$220,2,0),"")</f>
        <v>532655992.67413384</v>
      </c>
      <c r="G106" s="72">
        <f>IFERROR(VLOOKUP($D106,'FERC 2023'!$EA$3:$EN$221,2,0),"")</f>
        <v>537269879.2447933</v>
      </c>
      <c r="H106" s="72">
        <f>IFERROR(VLOOKUP($D106,'FERC 2021'!$EA$3:$EN$225,3,0),"")</f>
        <v>29951009.434211466</v>
      </c>
      <c r="I106" s="72">
        <f>IFERROR(VLOOKUP($D106,'FERC 2022'!$EA$3:$EN$229,3,0),"")</f>
        <v>29196331.259845119</v>
      </c>
      <c r="J106" s="72">
        <f>IFERROR(VLOOKUP($D106,'FERC 2023'!$EA$3:$EN$229,3,0),"")</f>
        <v>33970097.380276419</v>
      </c>
      <c r="K106" s="72">
        <f>IFERROR(VLOOKUP($D106,'FERC 2021'!$EA$3:$EN$229,4,0),"")</f>
        <v>10545494.0440017</v>
      </c>
      <c r="L106" s="72">
        <f>IFERROR(VLOOKUP($D106,'FERC 2022'!$EA$3:$EN$220,4,0),"")</f>
        <v>10237995.290142864</v>
      </c>
      <c r="M106" s="72">
        <f>IFERROR(VLOOKUP($D106,'FERC 2023'!$EA$3:$EN$221,4,0),"")</f>
        <v>10127972.214492718</v>
      </c>
      <c r="N106" s="72">
        <f>IFERROR(VLOOKUP($D106,'FERC 2021'!$EA$3:$EN$221,5,0),"")</f>
        <v>14846424.753476541</v>
      </c>
      <c r="O106" s="72">
        <f>IFERROR(VLOOKUP($D106,'FERC 2022'!$EA$3:$EN$220,5,0),"")</f>
        <v>11975143.255310606</v>
      </c>
      <c r="P106" s="72">
        <f>IFERROR(VLOOKUP($D106,'FERC 2023'!$EA$3:$EN$221,5,0),"")</f>
        <v>12993045.031317964</v>
      </c>
      <c r="Q106" s="72">
        <f>IFERROR(VLOOKUP($D106,'FERC 2021'!$EA$3:$EN$221,6,0),"")</f>
        <v>4569801.4150150726</v>
      </c>
      <c r="R106" s="72">
        <f>IFERROR(VLOOKUP($D106,'FERC 2022'!$EA$3:$EN$220,6,0),"")</f>
        <v>4458795.9677958237</v>
      </c>
      <c r="S106" s="72">
        <f>IFERROR(VLOOKUP($D106,'FERC 2023'!$EA$3:$EN$221,6,0),"")</f>
        <v>4022714.0278626955</v>
      </c>
      <c r="T106" s="72">
        <f>IFERROR(VLOOKUP($D106,'FERC 2021'!$EA$3:$EN$221,7,0),"")</f>
        <v>301</v>
      </c>
      <c r="U106" s="72">
        <f>IFERROR(VLOOKUP($D106,'FERC 2022'!$EA$3:$EN$220,7,0),"")</f>
        <v>293</v>
      </c>
      <c r="V106" s="72">
        <f>IFERROR(VLOOKUP($D106,'FERC 2023'!$EA$3:$EN$221,7,0),"")</f>
        <v>252</v>
      </c>
      <c r="W106" s="72">
        <f>IFERROR(VLOOKUP($D106,'FERC 2021'!$EA$3:$EN$221,8,0),"")</f>
        <v>80339</v>
      </c>
      <c r="X106" s="72">
        <f>IFERROR(VLOOKUP($D106,'FERC 2022'!$EA$3:$EN$220,8,0),"")</f>
        <v>80799</v>
      </c>
      <c r="Y106" s="72">
        <f>IFERROR(VLOOKUP($D106,'FERC 2023'!$EA$3:$EN$221,8,0),"")</f>
        <v>80854</v>
      </c>
      <c r="Z106" s="72">
        <f>IFERROR(VLOOKUP($D106,'FERC 2021'!$EA$3:$EN$222,9,0),"")</f>
        <v>51265</v>
      </c>
      <c r="AA106" s="72">
        <f>IFERROR(VLOOKUP($D106,'FERC 2022'!$EA$3:$EN$220,9,0),"")</f>
        <v>39985</v>
      </c>
      <c r="AB106" s="72">
        <f>IFERROR(VLOOKUP($D106,'FERC 2023'!$EA$3:$EN$221,9,0),"")</f>
        <v>24002</v>
      </c>
      <c r="AC106" s="72">
        <f>IFERROR(VLOOKUP($D106,'FERC 2021'!$EA$3:$EN$221,10,0),"")</f>
        <v>700021</v>
      </c>
      <c r="AD106" s="72">
        <f>IFERROR(VLOOKUP($D106,'FERC 2022'!$EA$3:$EN$220,10,0),"")</f>
        <v>683298</v>
      </c>
      <c r="AE106" s="72">
        <f>IFERROR(VLOOKUP($D106,'FERC 2023'!$EA$3:$EN$221,10,0),"")</f>
        <v>564102</v>
      </c>
      <c r="AF106" s="72">
        <f>IFERROR(VLOOKUP($D106,'FERC 2021'!$EA$3:$EN$221,11,0),"")</f>
        <v>749765.79187817255</v>
      </c>
      <c r="AG106" s="72">
        <f>IFERROR(VLOOKUP($D106,'FERC 2022'!$EA$3:$EN$220,11,0),"")</f>
        <v>721855.33502538071</v>
      </c>
      <c r="AH106" s="72">
        <f>IFERROR(VLOOKUP($D106,'FERC 2023'!$EA$3:$EN$221,11,0),"")</f>
        <v>586640.77664974623</v>
      </c>
      <c r="AI106" s="72">
        <f>IFERROR(VLOOKUP($D106,'FERC 2021'!$EA$3:$EN$221,12,0),"")</f>
        <v>8254832.25</v>
      </c>
      <c r="AJ106" s="72">
        <f>IFERROR(VLOOKUP($D106,'FERC 2022'!$EA$3:$EN$220,12,0),"")</f>
        <v>5719761.2100000009</v>
      </c>
      <c r="AK106" s="72">
        <f>IFERROR(VLOOKUP($D106,'FERC 2023'!$EA$3:$EN$221,12,0),"")</f>
        <v>7352862.7599999998</v>
      </c>
      <c r="AL106" s="72">
        <f>VLOOKUP($D106,'FERC 2021'!$EA$3:$EN$221,13,0)</f>
        <v>106529.51400000001</v>
      </c>
      <c r="AM106" s="72">
        <f>VLOOKUP($D106,'FERC 2022'!$EA$3:$EN$220,13,0)</f>
        <v>113118.59999999999</v>
      </c>
      <c r="AN106" s="72">
        <f>VLOOKUP($D106,'FERC 2023'!$EA$3:$EN$221,13,0)</f>
        <v>125081.13799999999</v>
      </c>
      <c r="AO106" s="72">
        <f>IFERROR(VLOOKUP($D106,'FERC 2021'!$EA$3:$EN$221,14,0),"")</f>
        <v>79605</v>
      </c>
      <c r="AP106" s="72">
        <f>IFERROR(VLOOKUP($D106,'FERC 2022'!$EA$3:$EN$220,14,0),"")</f>
        <v>79583</v>
      </c>
      <c r="AQ106" s="72">
        <f>IFERROR(VLOOKUP($D106,'FERC 2023'!$EA$3:$EN$221,14,0),"")</f>
        <v>80084</v>
      </c>
    </row>
    <row r="107" spans="1:43" ht="15.75" hidden="1" customHeight="1">
      <c r="A107" s="7" t="s">
        <v>520</v>
      </c>
      <c r="B107" s="7" t="s">
        <v>521</v>
      </c>
      <c r="C107" s="311" t="str">
        <f>'BD DEA'!P107</f>
        <v/>
      </c>
      <c r="D107" s="44" t="str">
        <f t="shared" si="0"/>
        <v>C001230</v>
      </c>
      <c r="E107" s="72">
        <f>IFERROR(VLOOKUP($D107,'FERC 2021'!$EA$3:$EN$221,2,0),"")</f>
        <v>12936090714.836647</v>
      </c>
      <c r="F107" s="72">
        <f>IFERROR(VLOOKUP($D107,'FERC 2022'!$EA$3:$EN$220,2,0),"")</f>
        <v>13592619834.450871</v>
      </c>
      <c r="G107" s="72">
        <f>IFERROR(VLOOKUP($D107,'FERC 2023'!$EA$3:$EN$221,2,0),"")</f>
        <v>14011809641.115278</v>
      </c>
      <c r="H107" s="72">
        <f>IFERROR(VLOOKUP($D107,'FERC 2021'!$EA$3:$EN$225,3,0),"")</f>
        <v>503047521.45080209</v>
      </c>
      <c r="I107" s="72">
        <f>IFERROR(VLOOKUP($D107,'FERC 2022'!$EA$3:$EN$229,3,0),"")</f>
        <v>509238090.89048797</v>
      </c>
      <c r="J107" s="72">
        <f>IFERROR(VLOOKUP($D107,'FERC 2023'!$EA$3:$EN$229,3,0),"")</f>
        <v>506729943.62878799</v>
      </c>
      <c r="K107" s="72">
        <f>IFERROR(VLOOKUP($D107,'FERC 2021'!$EA$3:$EN$229,4,0),"")</f>
        <v>266110352.60836267</v>
      </c>
      <c r="L107" s="72">
        <f>IFERROR(VLOOKUP($D107,'FERC 2022'!$EA$3:$EN$220,4,0),"")</f>
        <v>228956120.68193996</v>
      </c>
      <c r="M107" s="72">
        <f>IFERROR(VLOOKUP($D107,'FERC 2023'!$EA$3:$EN$221,4,0),"")</f>
        <v>189698266.97427139</v>
      </c>
      <c r="N107" s="72">
        <f>IFERROR(VLOOKUP($D107,'FERC 2021'!$EA$3:$EN$221,5,0),"")</f>
        <v>174558094.46445367</v>
      </c>
      <c r="O107" s="72">
        <f>IFERROR(VLOOKUP($D107,'FERC 2022'!$EA$3:$EN$220,5,0),"")</f>
        <v>190873465.51199386</v>
      </c>
      <c r="P107" s="72">
        <f>IFERROR(VLOOKUP($D107,'FERC 2023'!$EA$3:$EN$221,5,0),"")</f>
        <v>212718068.26583377</v>
      </c>
      <c r="Q107" s="72">
        <f>IFERROR(VLOOKUP($D107,'FERC 2021'!$EA$3:$EN$221,6,0),"")</f>
        <v>118963955.19832399</v>
      </c>
      <c r="R107" s="72">
        <f>IFERROR(VLOOKUP($D107,'FERC 2022'!$EA$3:$EN$220,6,0),"")</f>
        <v>115802964.55396982</v>
      </c>
      <c r="S107" s="72">
        <f>IFERROR(VLOOKUP($D107,'FERC 2023'!$EA$3:$EN$221,6,0),"")</f>
        <v>99530537.360799134</v>
      </c>
      <c r="T107" s="72">
        <f>IFERROR(VLOOKUP($D107,'FERC 2021'!$EA$3:$EN$221,7,0),"")</f>
        <v>7313</v>
      </c>
      <c r="U107" s="72">
        <f>IFERROR(VLOOKUP($D107,'FERC 2022'!$EA$3:$EN$220,7,0),"")</f>
        <v>7303</v>
      </c>
      <c r="V107" s="72">
        <f>IFERROR(VLOOKUP($D107,'FERC 2023'!$EA$3:$EN$221,7,0),"")</f>
        <v>6898</v>
      </c>
      <c r="W107" s="72">
        <f>IFERROR(VLOOKUP($D107,'FERC 2021'!$EA$3:$EN$221,8,0),"")</f>
        <v>1466295</v>
      </c>
      <c r="X107" s="72">
        <f>IFERROR(VLOOKUP($D107,'FERC 2022'!$EA$3:$EN$220,8,0),"")</f>
        <v>1472801</v>
      </c>
      <c r="Y107" s="72">
        <f>IFERROR(VLOOKUP($D107,'FERC 2023'!$EA$3:$EN$221,8,0),"")</f>
        <v>1472479</v>
      </c>
      <c r="Z107" s="72">
        <f>IFERROR(VLOOKUP($D107,'FERC 2021'!$EA$3:$EN$222,9,0),"")</f>
        <v>2319804</v>
      </c>
      <c r="AA107" s="72">
        <f>IFERROR(VLOOKUP($D107,'FERC 2022'!$EA$3:$EN$220,9,0),"")</f>
        <v>2333309</v>
      </c>
      <c r="AB107" s="72">
        <f>IFERROR(VLOOKUP($D107,'FERC 2023'!$EA$3:$EN$221,9,0),"")</f>
        <v>2272991</v>
      </c>
      <c r="AC107" s="72">
        <f>IFERROR(VLOOKUP($D107,'FERC 2021'!$EA$3:$EN$221,10,0),"")</f>
        <v>36997804</v>
      </c>
      <c r="AD107" s="72">
        <f>IFERROR(VLOOKUP($D107,'FERC 2022'!$EA$3:$EN$220,10,0),"")</f>
        <v>37585536</v>
      </c>
      <c r="AE107" s="72">
        <f>IFERROR(VLOOKUP($D107,'FERC 2023'!$EA$3:$EN$221,10,0),"")</f>
        <v>35696472</v>
      </c>
      <c r="AF107" s="72">
        <f>IFERROR(VLOOKUP($D107,'FERC 2021'!$EA$3:$EN$221,11,0),"")</f>
        <v>39303176.659898475</v>
      </c>
      <c r="AG107" s="72">
        <f>IFERROR(VLOOKUP($D107,'FERC 2022'!$EA$3:$EN$220,11,0),"")</f>
        <v>39904322.868020304</v>
      </c>
      <c r="AH107" s="72">
        <f>IFERROR(VLOOKUP($D107,'FERC 2023'!$EA$3:$EN$221,11,0),"")</f>
        <v>37955774.563451774</v>
      </c>
      <c r="AI107" s="72">
        <f>IFERROR(VLOOKUP($D107,'FERC 2021'!$EA$3:$EN$221,12,0),"")</f>
        <v>123901927.5</v>
      </c>
      <c r="AJ107" s="72">
        <f>IFERROR(VLOOKUP($D107,'FERC 2022'!$EA$3:$EN$220,12,0),"")</f>
        <v>131521129.3</v>
      </c>
      <c r="AK107" s="72">
        <f>IFERROR(VLOOKUP($D107,'FERC 2023'!$EA$3:$EN$221,12,0),"")</f>
        <v>134731828.5</v>
      </c>
      <c r="AL107" s="72">
        <f>VLOOKUP($D107,'FERC 2021'!$EA$3:$EN$221,13,0)</f>
        <v>1363654.35</v>
      </c>
      <c r="AM107" s="72">
        <f>VLOOKUP($D107,'FERC 2022'!$EA$3:$EN$220,13,0)</f>
        <v>1318156.895</v>
      </c>
      <c r="AN107" s="72">
        <f>VLOOKUP($D107,'FERC 2023'!$EA$3:$EN$221,13,0)</f>
        <v>1177983.2</v>
      </c>
      <c r="AO107" s="72">
        <f>IFERROR(VLOOKUP($D107,'FERC 2021'!$EA$3:$EN$221,14,0),"")</f>
        <v>1466284</v>
      </c>
      <c r="AP107" s="72">
        <f>IFERROR(VLOOKUP($D107,'FERC 2022'!$EA$3:$EN$220,14,0),"")</f>
        <v>1472811</v>
      </c>
      <c r="AQ107" s="72">
        <f>IFERROR(VLOOKUP($D107,'FERC 2023'!$EA$3:$EN$221,14,0),"")</f>
        <v>1494299</v>
      </c>
    </row>
    <row r="108" spans="1:43" ht="15.75" hidden="1" customHeight="1">
      <c r="A108" s="7" t="s">
        <v>523</v>
      </c>
      <c r="B108" s="7" t="s">
        <v>524</v>
      </c>
      <c r="C108" s="311" t="str">
        <f>'BD DEA'!P108</f>
        <v/>
      </c>
      <c r="D108" s="44" t="str">
        <f t="shared" si="0"/>
        <v>C001245</v>
      </c>
      <c r="E108" s="72" t="str">
        <f>IFERROR(VLOOKUP($D108,'FERC 2021'!$EA$3:$EN$221,2,0),"")</f>
        <v/>
      </c>
      <c r="F108" s="72" t="str">
        <f>IFERROR(VLOOKUP($D108,'FERC 2022'!$EA$3:$EN$220,2,0),"")</f>
        <v/>
      </c>
      <c r="G108" s="72" t="str">
        <f>IFERROR(VLOOKUP($D108,'FERC 2023'!$EA$3:$EN$221,2,0),"")</f>
        <v/>
      </c>
      <c r="H108" s="72" t="str">
        <f>IFERROR(VLOOKUP($D108,'FERC 2021'!$EA$3:$EN$225,3,0),"")</f>
        <v/>
      </c>
      <c r="I108" s="72" t="str">
        <f>IFERROR(VLOOKUP($D108,'FERC 2022'!$EA$3:$EN$229,3,0),"")</f>
        <v/>
      </c>
      <c r="J108" s="72" t="str">
        <f>IFERROR(VLOOKUP($D108,'FERC 2023'!$EA$3:$EN$229,3,0),"")</f>
        <v/>
      </c>
      <c r="K108" s="72" t="str">
        <f>IFERROR(VLOOKUP($D108,'FERC 2021'!$EA$3:$EN$229,4,0),"")</f>
        <v/>
      </c>
      <c r="L108" s="72" t="str">
        <f>IFERROR(VLOOKUP($D108,'FERC 2022'!$EA$3:$EN$220,4,0),"")</f>
        <v/>
      </c>
      <c r="M108" s="72" t="str">
        <f>IFERROR(VLOOKUP($D108,'FERC 2023'!$EA$3:$EN$221,4,0),"")</f>
        <v/>
      </c>
      <c r="N108" s="72" t="str">
        <f>IFERROR(VLOOKUP($D108,'FERC 2021'!$EA$3:$EN$221,5,0),"")</f>
        <v/>
      </c>
      <c r="O108" s="72" t="str">
        <f>IFERROR(VLOOKUP($D108,'FERC 2022'!$EA$3:$EN$220,5,0),"")</f>
        <v/>
      </c>
      <c r="P108" s="72" t="str">
        <f>IFERROR(VLOOKUP($D108,'FERC 2023'!$EA$3:$EN$221,5,0),"")</f>
        <v/>
      </c>
      <c r="Q108" s="72" t="str">
        <f>IFERROR(VLOOKUP($D108,'FERC 2021'!$EA$3:$EN$221,6,0),"")</f>
        <v/>
      </c>
      <c r="R108" s="72" t="str">
        <f>IFERROR(VLOOKUP($D108,'FERC 2022'!$EA$3:$EN$220,6,0),"")</f>
        <v/>
      </c>
      <c r="S108" s="72" t="str">
        <f>IFERROR(VLOOKUP($D108,'FERC 2023'!$EA$3:$EN$221,6,0),"")</f>
        <v/>
      </c>
      <c r="T108" s="72" t="str">
        <f>IFERROR(VLOOKUP($D108,'FERC 2021'!$EA$3:$EN$221,7,0),"")</f>
        <v/>
      </c>
      <c r="U108" s="72" t="str">
        <f>IFERROR(VLOOKUP($D108,'FERC 2022'!$EA$3:$EN$220,7,0),"")</f>
        <v/>
      </c>
      <c r="V108" s="72" t="str">
        <f>IFERROR(VLOOKUP($D108,'FERC 2023'!$EA$3:$EN$221,7,0),"")</f>
        <v/>
      </c>
      <c r="W108" s="72" t="str">
        <f>IFERROR(VLOOKUP($D108,'FERC 2021'!$EA$3:$EN$221,8,0),"")</f>
        <v/>
      </c>
      <c r="X108" s="72" t="str">
        <f>IFERROR(VLOOKUP($D108,'FERC 2022'!$EA$3:$EN$220,8,0),"")</f>
        <v/>
      </c>
      <c r="Y108" s="72" t="str">
        <f>IFERROR(VLOOKUP($D108,'FERC 2023'!$EA$3:$EN$221,8,0),"")</f>
        <v/>
      </c>
      <c r="Z108" s="72" t="str">
        <f>IFERROR(VLOOKUP($D108,'FERC 2021'!$EA$3:$EN$222,9,0),"")</f>
        <v/>
      </c>
      <c r="AA108" s="72" t="str">
        <f>IFERROR(VLOOKUP($D108,'FERC 2022'!$EA$3:$EN$220,9,0),"")</f>
        <v/>
      </c>
      <c r="AB108" s="72" t="str">
        <f>IFERROR(VLOOKUP($D108,'FERC 2023'!$EA$3:$EN$221,9,0),"")</f>
        <v/>
      </c>
      <c r="AC108" s="72" t="str">
        <f>IFERROR(VLOOKUP($D108,'FERC 2021'!$EA$3:$EN$221,10,0),"")</f>
        <v/>
      </c>
      <c r="AD108" s="72" t="str">
        <f>IFERROR(VLOOKUP($D108,'FERC 2022'!$EA$3:$EN$220,10,0),"")</f>
        <v/>
      </c>
      <c r="AE108" s="72" t="str">
        <f>IFERROR(VLOOKUP($D108,'FERC 2023'!$EA$3:$EN$221,10,0),"")</f>
        <v/>
      </c>
      <c r="AF108" s="72" t="str">
        <f>IFERROR(VLOOKUP($D108,'FERC 2021'!$EA$3:$EN$221,11,0),"")</f>
        <v/>
      </c>
      <c r="AG108" s="72" t="str">
        <f>IFERROR(VLOOKUP($D108,'FERC 2022'!$EA$3:$EN$220,11,0),"")</f>
        <v/>
      </c>
      <c r="AH108" s="72" t="str">
        <f>IFERROR(VLOOKUP($D108,'FERC 2023'!$EA$3:$EN$221,11,0),"")</f>
        <v/>
      </c>
      <c r="AI108" s="72" t="str">
        <f>IFERROR(VLOOKUP($D108,'FERC 2021'!$EA$3:$EN$221,12,0),"")</f>
        <v/>
      </c>
      <c r="AJ108" s="72" t="str">
        <f>IFERROR(VLOOKUP($D108,'FERC 2022'!$EA$3:$EN$220,12,0),"")</f>
        <v/>
      </c>
      <c r="AK108" s="72" t="str">
        <f>IFERROR(VLOOKUP($D108,'FERC 2023'!$EA$3:$EN$221,12,0),"")</f>
        <v/>
      </c>
      <c r="AL108" s="72" t="str">
        <f>VLOOKUP($D108,'FERC 2021'!$EA$3:$EN$221,13,0)</f>
        <v/>
      </c>
      <c r="AM108" s="72" t="str">
        <f>VLOOKUP($D108,'FERC 2022'!$EA$3:$EN$220,13,0)</f>
        <v/>
      </c>
      <c r="AN108" s="72" t="str">
        <f>VLOOKUP($D108,'FERC 2023'!$EA$3:$EN$221,13,0)</f>
        <v/>
      </c>
      <c r="AO108" s="72" t="str">
        <f>IFERROR(VLOOKUP($D108,'FERC 2021'!$EA$3:$EN$221,14,0),"")</f>
        <v/>
      </c>
      <c r="AP108" s="72" t="str">
        <f>IFERROR(VLOOKUP($D108,'FERC 2022'!$EA$3:$EN$220,14,0),"")</f>
        <v/>
      </c>
      <c r="AQ108" s="72" t="str">
        <f>IFERROR(VLOOKUP($D108,'FERC 2023'!$EA$3:$EN$221,14,0),"")</f>
        <v/>
      </c>
    </row>
    <row r="109" spans="1:43" ht="15.75" hidden="1" customHeight="1">
      <c r="A109" s="7" t="s">
        <v>526</v>
      </c>
      <c r="B109" s="7" t="s">
        <v>527</v>
      </c>
      <c r="C109" s="311" t="str">
        <f>'BD DEA'!P109</f>
        <v/>
      </c>
      <c r="D109" s="44" t="str">
        <f t="shared" si="0"/>
        <v>C001252</v>
      </c>
      <c r="E109" s="72" t="str">
        <f>IFERROR(VLOOKUP($D109,'FERC 2021'!$EA$3:$EN$221,2,0),"")</f>
        <v/>
      </c>
      <c r="F109" s="72" t="str">
        <f>IFERROR(VLOOKUP($D109,'FERC 2022'!$EA$3:$EN$220,2,0),"")</f>
        <v/>
      </c>
      <c r="G109" s="72" t="str">
        <f>IFERROR(VLOOKUP($D109,'FERC 2023'!$EA$3:$EN$221,2,0),"")</f>
        <v/>
      </c>
      <c r="H109" s="72" t="str">
        <f>IFERROR(VLOOKUP($D109,'FERC 2021'!$EA$3:$EN$225,3,0),"")</f>
        <v/>
      </c>
      <c r="I109" s="72" t="str">
        <f>IFERROR(VLOOKUP($D109,'FERC 2022'!$EA$3:$EN$229,3,0),"")</f>
        <v/>
      </c>
      <c r="J109" s="72" t="str">
        <f>IFERROR(VLOOKUP($D109,'FERC 2023'!$EA$3:$EN$229,3,0),"")</f>
        <v/>
      </c>
      <c r="K109" s="72" t="str">
        <f>IFERROR(VLOOKUP($D109,'FERC 2021'!$EA$3:$EN$229,4,0),"")</f>
        <v/>
      </c>
      <c r="L109" s="72" t="str">
        <f>IFERROR(VLOOKUP($D109,'FERC 2022'!$EA$3:$EN$220,4,0),"")</f>
        <v/>
      </c>
      <c r="M109" s="72" t="str">
        <f>IFERROR(VLOOKUP($D109,'FERC 2023'!$EA$3:$EN$221,4,0),"")</f>
        <v/>
      </c>
      <c r="N109" s="72" t="str">
        <f>IFERROR(VLOOKUP($D109,'FERC 2021'!$EA$3:$EN$221,5,0),"")</f>
        <v/>
      </c>
      <c r="O109" s="72" t="str">
        <f>IFERROR(VLOOKUP($D109,'FERC 2022'!$EA$3:$EN$220,5,0),"")</f>
        <v/>
      </c>
      <c r="P109" s="72" t="str">
        <f>IFERROR(VLOOKUP($D109,'FERC 2023'!$EA$3:$EN$221,5,0),"")</f>
        <v/>
      </c>
      <c r="Q109" s="72" t="str">
        <f>IFERROR(VLOOKUP($D109,'FERC 2021'!$EA$3:$EN$221,6,0),"")</f>
        <v/>
      </c>
      <c r="R109" s="72" t="str">
        <f>IFERROR(VLOOKUP($D109,'FERC 2022'!$EA$3:$EN$220,6,0),"")</f>
        <v/>
      </c>
      <c r="S109" s="72" t="str">
        <f>IFERROR(VLOOKUP($D109,'FERC 2023'!$EA$3:$EN$221,6,0),"")</f>
        <v/>
      </c>
      <c r="T109" s="72" t="str">
        <f>IFERROR(VLOOKUP($D109,'FERC 2021'!$EA$3:$EN$221,7,0),"")</f>
        <v/>
      </c>
      <c r="U109" s="72" t="str">
        <f>IFERROR(VLOOKUP($D109,'FERC 2022'!$EA$3:$EN$220,7,0),"")</f>
        <v/>
      </c>
      <c r="V109" s="72" t="str">
        <f>IFERROR(VLOOKUP($D109,'FERC 2023'!$EA$3:$EN$221,7,0),"")</f>
        <v/>
      </c>
      <c r="W109" s="72" t="str">
        <f>IFERROR(VLOOKUP($D109,'FERC 2021'!$EA$3:$EN$221,8,0),"")</f>
        <v/>
      </c>
      <c r="X109" s="72" t="str">
        <f>IFERROR(VLOOKUP($D109,'FERC 2022'!$EA$3:$EN$220,8,0),"")</f>
        <v/>
      </c>
      <c r="Y109" s="72" t="str">
        <f>IFERROR(VLOOKUP($D109,'FERC 2023'!$EA$3:$EN$221,8,0),"")</f>
        <v/>
      </c>
      <c r="Z109" s="72" t="str">
        <f>IFERROR(VLOOKUP($D109,'FERC 2021'!$EA$3:$EN$222,9,0),"")</f>
        <v/>
      </c>
      <c r="AA109" s="72" t="str">
        <f>IFERROR(VLOOKUP($D109,'FERC 2022'!$EA$3:$EN$220,9,0),"")</f>
        <v/>
      </c>
      <c r="AB109" s="72" t="str">
        <f>IFERROR(VLOOKUP($D109,'FERC 2023'!$EA$3:$EN$221,9,0),"")</f>
        <v/>
      </c>
      <c r="AC109" s="72" t="str">
        <f>IFERROR(VLOOKUP($D109,'FERC 2021'!$EA$3:$EN$221,10,0),"")</f>
        <v/>
      </c>
      <c r="AD109" s="72" t="str">
        <f>IFERROR(VLOOKUP($D109,'FERC 2022'!$EA$3:$EN$220,10,0),"")</f>
        <v/>
      </c>
      <c r="AE109" s="72" t="str">
        <f>IFERROR(VLOOKUP($D109,'FERC 2023'!$EA$3:$EN$221,10,0),"")</f>
        <v/>
      </c>
      <c r="AF109" s="72" t="str">
        <f>IFERROR(VLOOKUP($D109,'FERC 2021'!$EA$3:$EN$221,11,0),"")</f>
        <v/>
      </c>
      <c r="AG109" s="72" t="str">
        <f>IFERROR(VLOOKUP($D109,'FERC 2022'!$EA$3:$EN$220,11,0),"")</f>
        <v/>
      </c>
      <c r="AH109" s="72" t="str">
        <f>IFERROR(VLOOKUP($D109,'FERC 2023'!$EA$3:$EN$221,11,0),"")</f>
        <v/>
      </c>
      <c r="AI109" s="72" t="str">
        <f>IFERROR(VLOOKUP($D109,'FERC 2021'!$EA$3:$EN$221,12,0),"")</f>
        <v/>
      </c>
      <c r="AJ109" s="72" t="str">
        <f>IFERROR(VLOOKUP($D109,'FERC 2022'!$EA$3:$EN$220,12,0),"")</f>
        <v/>
      </c>
      <c r="AK109" s="72" t="str">
        <f>IFERROR(VLOOKUP($D109,'FERC 2023'!$EA$3:$EN$221,12,0),"")</f>
        <v/>
      </c>
      <c r="AL109" s="72" t="str">
        <f>VLOOKUP($D109,'FERC 2021'!$EA$3:$EN$221,13,0)</f>
        <v/>
      </c>
      <c r="AM109" s="72" t="str">
        <f>VLOOKUP($D109,'FERC 2022'!$EA$3:$EN$220,13,0)</f>
        <v/>
      </c>
      <c r="AN109" s="72" t="str">
        <f>VLOOKUP($D109,'FERC 2023'!$EA$3:$EN$221,13,0)</f>
        <v/>
      </c>
      <c r="AO109" s="72" t="str">
        <f>IFERROR(VLOOKUP($D109,'FERC 2021'!$EA$3:$EN$221,14,0),"")</f>
        <v/>
      </c>
      <c r="AP109" s="72" t="str">
        <f>IFERROR(VLOOKUP($D109,'FERC 2022'!$EA$3:$EN$220,14,0),"")</f>
        <v/>
      </c>
      <c r="AQ109" s="72" t="str">
        <f>IFERROR(VLOOKUP($D109,'FERC 2023'!$EA$3:$EN$221,14,0),"")</f>
        <v/>
      </c>
    </row>
    <row r="110" spans="1:43" ht="15.75" hidden="1" customHeight="1">
      <c r="A110" s="7" t="s">
        <v>529</v>
      </c>
      <c r="B110" s="7" t="s">
        <v>530</v>
      </c>
      <c r="C110" s="311" t="str">
        <f>'BD DEA'!P110</f>
        <v/>
      </c>
      <c r="D110" s="44" t="str">
        <f t="shared" si="0"/>
        <v>C001257</v>
      </c>
      <c r="E110" s="72" t="str">
        <f>IFERROR(VLOOKUP($D110,'FERC 2021'!$EA$3:$EN$221,2,0),"")</f>
        <v/>
      </c>
      <c r="F110" s="72" t="str">
        <f>IFERROR(VLOOKUP($D110,'FERC 2022'!$EA$3:$EN$220,2,0),"")</f>
        <v/>
      </c>
      <c r="G110" s="72" t="str">
        <f>IFERROR(VLOOKUP($D110,'FERC 2023'!$EA$3:$EN$221,2,0),"")</f>
        <v/>
      </c>
      <c r="H110" s="72" t="str">
        <f>IFERROR(VLOOKUP($D110,'FERC 2021'!$EA$3:$EN$225,3,0),"")</f>
        <v/>
      </c>
      <c r="I110" s="72" t="str">
        <f>IFERROR(VLOOKUP($D110,'FERC 2022'!$EA$3:$EN$229,3,0),"")</f>
        <v/>
      </c>
      <c r="J110" s="72" t="str">
        <f>IFERROR(VLOOKUP($D110,'FERC 2023'!$EA$3:$EN$229,3,0),"")</f>
        <v/>
      </c>
      <c r="K110" s="72">
        <f>IFERROR(VLOOKUP($D110,'FERC 2021'!$EA$3:$EN$229,4,0),"")</f>
        <v>221345266.39164582</v>
      </c>
      <c r="L110" s="72" t="str">
        <f>IFERROR(VLOOKUP($D110,'FERC 2022'!$EA$3:$EN$220,4,0),"")</f>
        <v/>
      </c>
      <c r="M110" s="72" t="str">
        <f>IFERROR(VLOOKUP($D110,'FERC 2023'!$EA$3:$EN$221,4,0),"")</f>
        <v/>
      </c>
      <c r="N110" s="72">
        <f>IFERROR(VLOOKUP($D110,'FERC 2021'!$EA$3:$EN$221,5,0),"")</f>
        <v>477616223.02075452</v>
      </c>
      <c r="O110" s="72" t="str">
        <f>IFERROR(VLOOKUP($D110,'FERC 2022'!$EA$3:$EN$220,5,0),"")</f>
        <v/>
      </c>
      <c r="P110" s="72" t="str">
        <f>IFERROR(VLOOKUP($D110,'FERC 2023'!$EA$3:$EN$221,5,0),"")</f>
        <v/>
      </c>
      <c r="Q110" s="72" t="str">
        <f>IFERROR(VLOOKUP($D110,'FERC 2021'!$EA$3:$EN$221,6,0),"")</f>
        <v/>
      </c>
      <c r="R110" s="72" t="str">
        <f>IFERROR(VLOOKUP($D110,'FERC 2022'!$EA$3:$EN$220,6,0),"")</f>
        <v/>
      </c>
      <c r="S110" s="72" t="str">
        <f>IFERROR(VLOOKUP($D110,'FERC 2023'!$EA$3:$EN$221,6,0),"")</f>
        <v/>
      </c>
      <c r="T110" s="72">
        <f>IFERROR(VLOOKUP($D110,'FERC 2021'!$EA$3:$EN$221,7,0),"")</f>
        <v>4519</v>
      </c>
      <c r="U110" s="72" t="str">
        <f>IFERROR(VLOOKUP($D110,'FERC 2022'!$EA$3:$EN$220,7,0),"")</f>
        <v/>
      </c>
      <c r="V110" s="72" t="str">
        <f>IFERROR(VLOOKUP($D110,'FERC 2023'!$EA$3:$EN$221,7,0),"")</f>
        <v/>
      </c>
      <c r="W110" s="72">
        <f>IFERROR(VLOOKUP($D110,'FERC 2021'!$EA$3:$EN$221,8,0),"")</f>
        <v>1455019</v>
      </c>
      <c r="X110" s="72" t="str">
        <f>IFERROR(VLOOKUP($D110,'FERC 2022'!$EA$3:$EN$220,8,0),"")</f>
        <v/>
      </c>
      <c r="Y110" s="72" t="str">
        <f>IFERROR(VLOOKUP($D110,'FERC 2023'!$EA$3:$EN$221,8,0),"")</f>
        <v/>
      </c>
      <c r="Z110" s="72">
        <f>IFERROR(VLOOKUP($D110,'FERC 2021'!$EA$3:$EN$222,9,0),"")</f>
        <v>1814267</v>
      </c>
      <c r="AA110" s="72" t="str">
        <f>IFERROR(VLOOKUP($D110,'FERC 2022'!$EA$3:$EN$220,9,0),"")</f>
        <v/>
      </c>
      <c r="AB110" s="72" t="str">
        <f>IFERROR(VLOOKUP($D110,'FERC 2023'!$EA$3:$EN$221,9,0),"")</f>
        <v/>
      </c>
      <c r="AC110" s="72">
        <f>IFERROR(VLOOKUP($D110,'FERC 2021'!$EA$3:$EN$221,10,0),"")</f>
        <v>22726707</v>
      </c>
      <c r="AD110" s="72" t="str">
        <f>IFERROR(VLOOKUP($D110,'FERC 2022'!$EA$3:$EN$220,10,0),"")</f>
        <v/>
      </c>
      <c r="AE110" s="72" t="str">
        <f>IFERROR(VLOOKUP($D110,'FERC 2023'!$EA$3:$EN$221,10,0),"")</f>
        <v/>
      </c>
      <c r="AF110" s="72">
        <f>IFERROR(VLOOKUP($D110,'FERC 2021'!$EA$3:$EN$221,11,0),"")</f>
        <v>24518113.482233502</v>
      </c>
      <c r="AG110" s="72" t="str">
        <f>IFERROR(VLOOKUP($D110,'FERC 2022'!$EA$3:$EN$220,11,0),"")</f>
        <v/>
      </c>
      <c r="AH110" s="72" t="str">
        <f>IFERROR(VLOOKUP($D110,'FERC 2023'!$EA$3:$EN$221,11,0),"")</f>
        <v/>
      </c>
      <c r="AI110" s="72">
        <f>IFERROR(VLOOKUP($D110,'FERC 2021'!$EA$3:$EN$221,12,0),"")</f>
        <v>110344275.90300001</v>
      </c>
      <c r="AJ110" s="72" t="str">
        <f>IFERROR(VLOOKUP($D110,'FERC 2022'!$EA$3:$EN$220,12,0),"")</f>
        <v/>
      </c>
      <c r="AK110" s="72" t="str">
        <f>IFERROR(VLOOKUP($D110,'FERC 2023'!$EA$3:$EN$221,12,0),"")</f>
        <v/>
      </c>
      <c r="AL110" s="72">
        <f>VLOOKUP($D110,'FERC 2021'!$EA$3:$EN$221,13,0)</f>
        <v>1597610.8620000002</v>
      </c>
      <c r="AM110" s="72" t="str">
        <f>VLOOKUP($D110,'FERC 2022'!$EA$3:$EN$220,13,0)</f>
        <v/>
      </c>
      <c r="AN110" s="72" t="str">
        <f>VLOOKUP($D110,'FERC 2023'!$EA$3:$EN$221,13,0)</f>
        <v/>
      </c>
      <c r="AO110" s="72">
        <f>IFERROR(VLOOKUP($D110,'FERC 2021'!$EA$3:$EN$221,14,0),"")</f>
        <v>1522416</v>
      </c>
      <c r="AP110" s="72" t="str">
        <f>IFERROR(VLOOKUP($D110,'FERC 2022'!$EA$3:$EN$220,14,0),"")</f>
        <v/>
      </c>
      <c r="AQ110" s="72" t="str">
        <f>IFERROR(VLOOKUP($D110,'FERC 2023'!$EA$3:$EN$221,14,0),"")</f>
        <v/>
      </c>
    </row>
    <row r="111" spans="1:43" ht="15.75" hidden="1" customHeight="1">
      <c r="A111" s="7" t="s">
        <v>532</v>
      </c>
      <c r="B111" s="7" t="s">
        <v>533</v>
      </c>
      <c r="C111" s="311" t="str">
        <f>'BD DEA'!P111</f>
        <v/>
      </c>
      <c r="D111" s="44" t="str">
        <f t="shared" si="0"/>
        <v>C001288</v>
      </c>
      <c r="E111" s="72">
        <f>IFERROR(VLOOKUP($D111,'FERC 2021'!$EA$3:$EN$221,2,0),"")</f>
        <v>1161867900.2557237</v>
      </c>
      <c r="F111" s="72">
        <f>IFERROR(VLOOKUP($D111,'FERC 2022'!$EA$3:$EN$220,2,0),"")</f>
        <v>1221654765.4401369</v>
      </c>
      <c r="G111" s="72">
        <f>IFERROR(VLOOKUP($D111,'FERC 2023'!$EA$3:$EN$221,2,0),"")</f>
        <v>1222990734.8141341</v>
      </c>
      <c r="H111" s="72">
        <f>IFERROR(VLOOKUP($D111,'FERC 2021'!$EA$3:$EN$225,3,0),"")</f>
        <v>70258178.493696794</v>
      </c>
      <c r="I111" s="72">
        <f>IFERROR(VLOOKUP($D111,'FERC 2022'!$EA$3:$EN$229,3,0),"")</f>
        <v>69335018.487289175</v>
      </c>
      <c r="J111" s="72">
        <f>IFERROR(VLOOKUP($D111,'FERC 2023'!$EA$3:$EN$229,3,0),"")</f>
        <v>67091496.347470738</v>
      </c>
      <c r="K111" s="72">
        <f>IFERROR(VLOOKUP($D111,'FERC 2021'!$EA$3:$EN$229,4,0),"")</f>
        <v>20093388.255497836</v>
      </c>
      <c r="L111" s="72">
        <f>IFERROR(VLOOKUP($D111,'FERC 2022'!$EA$3:$EN$220,4,0),"")</f>
        <v>18536050.475689828</v>
      </c>
      <c r="M111" s="72">
        <f>IFERROR(VLOOKUP($D111,'FERC 2023'!$EA$3:$EN$221,4,0),"")</f>
        <v>20496141.624391019</v>
      </c>
      <c r="N111" s="72">
        <f>IFERROR(VLOOKUP($D111,'FERC 2021'!$EA$3:$EN$221,5,0),"")</f>
        <v>31834497.447236862</v>
      </c>
      <c r="O111" s="72">
        <f>IFERROR(VLOOKUP($D111,'FERC 2022'!$EA$3:$EN$220,5,0),"")</f>
        <v>29528740.017328825</v>
      </c>
      <c r="P111" s="72">
        <f>IFERROR(VLOOKUP($D111,'FERC 2023'!$EA$3:$EN$221,5,0),"")</f>
        <v>29274864.630845621</v>
      </c>
      <c r="Q111" s="72">
        <f>IFERROR(VLOOKUP($D111,'FERC 2021'!$EA$3:$EN$221,6,0),"")</f>
        <v>24220983.023359694</v>
      </c>
      <c r="R111" s="72">
        <f>IFERROR(VLOOKUP($D111,'FERC 2022'!$EA$3:$EN$220,6,0),"")</f>
        <v>23457876.495772626</v>
      </c>
      <c r="S111" s="72">
        <f>IFERROR(VLOOKUP($D111,'FERC 2023'!$EA$3:$EN$221,6,0),"")</f>
        <v>23675432.538238365</v>
      </c>
      <c r="T111" s="72">
        <f>IFERROR(VLOOKUP($D111,'FERC 2021'!$EA$3:$EN$221,7,0),"")</f>
        <v>905</v>
      </c>
      <c r="U111" s="72">
        <f>IFERROR(VLOOKUP($D111,'FERC 2022'!$EA$3:$EN$220,7,0),"")</f>
        <v>988</v>
      </c>
      <c r="V111" s="72">
        <f>IFERROR(VLOOKUP($D111,'FERC 2023'!$EA$3:$EN$221,7,0),"")</f>
        <v>961</v>
      </c>
      <c r="W111" s="72">
        <f>IFERROR(VLOOKUP($D111,'FERC 2021'!$EA$3:$EN$221,8,0),"")</f>
        <v>134424</v>
      </c>
      <c r="X111" s="72">
        <f>IFERROR(VLOOKUP($D111,'FERC 2022'!$EA$3:$EN$220,8,0),"")</f>
        <v>134701</v>
      </c>
      <c r="Y111" s="72">
        <f>IFERROR(VLOOKUP($D111,'FERC 2023'!$EA$3:$EN$221,8,0),"")</f>
        <v>135435</v>
      </c>
      <c r="Z111" s="72">
        <f>IFERROR(VLOOKUP($D111,'FERC 2021'!$EA$3:$EN$222,9,0),"")</f>
        <v>32955</v>
      </c>
      <c r="AA111" s="72">
        <f>IFERROR(VLOOKUP($D111,'FERC 2022'!$EA$3:$EN$220,9,0),"")</f>
        <v>226399</v>
      </c>
      <c r="AB111" s="72">
        <f>IFERROR(VLOOKUP($D111,'FERC 2023'!$EA$3:$EN$221,9,0),"")</f>
        <v>117769</v>
      </c>
      <c r="AC111" s="72">
        <f>IFERROR(VLOOKUP($D111,'FERC 2021'!$EA$3:$EN$221,10,0),"")</f>
        <v>4789879</v>
      </c>
      <c r="AD111" s="72">
        <f>IFERROR(VLOOKUP($D111,'FERC 2022'!$EA$3:$EN$220,10,0),"")</f>
        <v>5592368</v>
      </c>
      <c r="AE111" s="72">
        <f>IFERROR(VLOOKUP($D111,'FERC 2023'!$EA$3:$EN$221,10,0),"")</f>
        <v>5772215</v>
      </c>
      <c r="AF111" s="72">
        <f>IFERROR(VLOOKUP($D111,'FERC 2021'!$EA$3:$EN$221,11,0),"")</f>
        <v>4815827.0507614212</v>
      </c>
      <c r="AG111" s="72">
        <f>IFERROR(VLOOKUP($D111,'FERC 2022'!$EA$3:$EN$220,11,0),"")</f>
        <v>5814536.0862944163</v>
      </c>
      <c r="AH111" s="72">
        <f>IFERROR(VLOOKUP($D111,'FERC 2023'!$EA$3:$EN$221,11,0),"")</f>
        <v>5884332.5329949241</v>
      </c>
      <c r="AI111" s="72">
        <f>IFERROR(VLOOKUP($D111,'FERC 2021'!$EA$3:$EN$221,12,0),"")</f>
        <v>8842410.7200000007</v>
      </c>
      <c r="AJ111" s="72">
        <f>IFERROR(VLOOKUP($D111,'FERC 2022'!$EA$3:$EN$220,12,0),"")</f>
        <v>16133138.77</v>
      </c>
      <c r="AK111" s="72">
        <f>IFERROR(VLOOKUP($D111,'FERC 2023'!$EA$3:$EN$221,12,0),"")</f>
        <v>13039681.800000001</v>
      </c>
      <c r="AL111" s="72">
        <f>VLOOKUP($D111,'FERC 2021'!$EA$3:$EN$221,13,0)</f>
        <v>139800.95999999999</v>
      </c>
      <c r="AM111" s="72">
        <f>VLOOKUP($D111,'FERC 2022'!$EA$3:$EN$220,13,0)</f>
        <v>269402</v>
      </c>
      <c r="AN111" s="72">
        <f>VLOOKUP($D111,'FERC 2023'!$EA$3:$EN$221,13,0)</f>
        <v>186900.3</v>
      </c>
      <c r="AO111" s="72">
        <f>IFERROR(VLOOKUP($D111,'FERC 2021'!$EA$3:$EN$221,14,0),"")</f>
        <v>749</v>
      </c>
      <c r="AP111" s="72">
        <f>IFERROR(VLOOKUP($D111,'FERC 2022'!$EA$3:$EN$220,14,0),"")</f>
        <v>799</v>
      </c>
      <c r="AQ111" s="72">
        <f>IFERROR(VLOOKUP($D111,'FERC 2023'!$EA$3:$EN$221,14,0),"")</f>
        <v>1279</v>
      </c>
    </row>
    <row r="112" spans="1:43" ht="15.75" hidden="1" customHeight="1">
      <c r="A112" s="7" t="s">
        <v>535</v>
      </c>
      <c r="B112" s="7" t="s">
        <v>536</v>
      </c>
      <c r="C112" s="311" t="str">
        <f>'BD DEA'!P112</f>
        <v/>
      </c>
      <c r="D112" s="44" t="str">
        <f t="shared" si="0"/>
        <v>C001298</v>
      </c>
      <c r="E112" s="72" t="str">
        <f>IFERROR(VLOOKUP($D112,'FERC 2021'!$EA$3:$EN$221,2,0),"")</f>
        <v/>
      </c>
      <c r="F112" s="72" t="str">
        <f>IFERROR(VLOOKUP($D112,'FERC 2022'!$EA$3:$EN$220,2,0),"")</f>
        <v/>
      </c>
      <c r="G112" s="72" t="str">
        <f>IFERROR(VLOOKUP($D112,'FERC 2023'!$EA$3:$EN$221,2,0),"")</f>
        <v/>
      </c>
      <c r="H112" s="72" t="str">
        <f>IFERROR(VLOOKUP($D112,'FERC 2021'!$EA$3:$EN$225,3,0),"")</f>
        <v/>
      </c>
      <c r="I112" s="72" t="str">
        <f>IFERROR(VLOOKUP($D112,'FERC 2022'!$EA$3:$EN$229,3,0),"")</f>
        <v/>
      </c>
      <c r="J112" s="72" t="str">
        <f>IFERROR(VLOOKUP($D112,'FERC 2023'!$EA$3:$EN$229,3,0),"")</f>
        <v/>
      </c>
      <c r="K112" s="72" t="str">
        <f>IFERROR(VLOOKUP($D112,'FERC 2021'!$EA$3:$EN$229,4,0),"")</f>
        <v/>
      </c>
      <c r="L112" s="72" t="str">
        <f>IFERROR(VLOOKUP($D112,'FERC 2022'!$EA$3:$EN$220,4,0),"")</f>
        <v/>
      </c>
      <c r="M112" s="72" t="str">
        <f>IFERROR(VLOOKUP($D112,'FERC 2023'!$EA$3:$EN$221,4,0),"")</f>
        <v/>
      </c>
      <c r="N112" s="72" t="str">
        <f>IFERROR(VLOOKUP($D112,'FERC 2021'!$EA$3:$EN$221,5,0),"")</f>
        <v/>
      </c>
      <c r="O112" s="72" t="str">
        <f>IFERROR(VLOOKUP($D112,'FERC 2022'!$EA$3:$EN$220,5,0),"")</f>
        <v/>
      </c>
      <c r="P112" s="72" t="str">
        <f>IFERROR(VLOOKUP($D112,'FERC 2023'!$EA$3:$EN$221,5,0),"")</f>
        <v/>
      </c>
      <c r="Q112" s="72" t="str">
        <f>IFERROR(VLOOKUP($D112,'FERC 2021'!$EA$3:$EN$221,6,0),"")</f>
        <v/>
      </c>
      <c r="R112" s="72" t="str">
        <f>IFERROR(VLOOKUP($D112,'FERC 2022'!$EA$3:$EN$220,6,0),"")</f>
        <v/>
      </c>
      <c r="S112" s="72" t="str">
        <f>IFERROR(VLOOKUP($D112,'FERC 2023'!$EA$3:$EN$221,6,0),"")</f>
        <v/>
      </c>
      <c r="T112" s="72" t="str">
        <f>IFERROR(VLOOKUP($D112,'FERC 2021'!$EA$3:$EN$221,7,0),"")</f>
        <v/>
      </c>
      <c r="U112" s="72" t="str">
        <f>IFERROR(VLOOKUP($D112,'FERC 2022'!$EA$3:$EN$220,7,0),"")</f>
        <v/>
      </c>
      <c r="V112" s="72" t="str">
        <f>IFERROR(VLOOKUP($D112,'FERC 2023'!$EA$3:$EN$221,7,0),"")</f>
        <v/>
      </c>
      <c r="W112" s="72" t="str">
        <f>IFERROR(VLOOKUP($D112,'FERC 2021'!$EA$3:$EN$221,8,0),"")</f>
        <v/>
      </c>
      <c r="X112" s="72" t="str">
        <f>IFERROR(VLOOKUP($D112,'FERC 2022'!$EA$3:$EN$220,8,0),"")</f>
        <v/>
      </c>
      <c r="Y112" s="72" t="str">
        <f>IFERROR(VLOOKUP($D112,'FERC 2023'!$EA$3:$EN$221,8,0),"")</f>
        <v/>
      </c>
      <c r="Z112" s="72" t="str">
        <f>IFERROR(VLOOKUP($D112,'FERC 2021'!$EA$3:$EN$222,9,0),"")</f>
        <v/>
      </c>
      <c r="AA112" s="72" t="str">
        <f>IFERROR(VLOOKUP($D112,'FERC 2022'!$EA$3:$EN$220,9,0),"")</f>
        <v/>
      </c>
      <c r="AB112" s="72" t="str">
        <f>IFERROR(VLOOKUP($D112,'FERC 2023'!$EA$3:$EN$221,9,0),"")</f>
        <v/>
      </c>
      <c r="AC112" s="72" t="str">
        <f>IFERROR(VLOOKUP($D112,'FERC 2021'!$EA$3:$EN$221,10,0),"")</f>
        <v/>
      </c>
      <c r="AD112" s="72" t="str">
        <f>IFERROR(VLOOKUP($D112,'FERC 2022'!$EA$3:$EN$220,10,0),"")</f>
        <v/>
      </c>
      <c r="AE112" s="72" t="str">
        <f>IFERROR(VLOOKUP($D112,'FERC 2023'!$EA$3:$EN$221,10,0),"")</f>
        <v/>
      </c>
      <c r="AF112" s="72" t="str">
        <f>IFERROR(VLOOKUP($D112,'FERC 2021'!$EA$3:$EN$221,11,0),"")</f>
        <v/>
      </c>
      <c r="AG112" s="72" t="str">
        <f>IFERROR(VLOOKUP($D112,'FERC 2022'!$EA$3:$EN$220,11,0),"")</f>
        <v/>
      </c>
      <c r="AH112" s="72" t="str">
        <f>IFERROR(VLOOKUP($D112,'FERC 2023'!$EA$3:$EN$221,11,0),"")</f>
        <v/>
      </c>
      <c r="AI112" s="72" t="str">
        <f>IFERROR(VLOOKUP($D112,'FERC 2021'!$EA$3:$EN$221,12,0),"")</f>
        <v/>
      </c>
      <c r="AJ112" s="72" t="str">
        <f>IFERROR(VLOOKUP($D112,'FERC 2022'!$EA$3:$EN$220,12,0),"")</f>
        <v/>
      </c>
      <c r="AK112" s="72" t="str">
        <f>IFERROR(VLOOKUP($D112,'FERC 2023'!$EA$3:$EN$221,12,0),"")</f>
        <v/>
      </c>
      <c r="AL112" s="72" t="str">
        <f>VLOOKUP($D112,'FERC 2021'!$EA$3:$EN$221,13,0)</f>
        <v/>
      </c>
      <c r="AM112" s="72" t="str">
        <f>VLOOKUP($D112,'FERC 2022'!$EA$3:$EN$220,13,0)</f>
        <v/>
      </c>
      <c r="AN112" s="72" t="str">
        <f>VLOOKUP($D112,'FERC 2023'!$EA$3:$EN$221,13,0)</f>
        <v/>
      </c>
      <c r="AO112" s="72" t="str">
        <f>IFERROR(VLOOKUP($D112,'FERC 2021'!$EA$3:$EN$221,14,0),"")</f>
        <v/>
      </c>
      <c r="AP112" s="72" t="str">
        <f>IFERROR(VLOOKUP($D112,'FERC 2022'!$EA$3:$EN$220,14,0),"")</f>
        <v/>
      </c>
      <c r="AQ112" s="72" t="str">
        <f>IFERROR(VLOOKUP($D112,'FERC 2023'!$EA$3:$EN$221,14,0),"")</f>
        <v/>
      </c>
    </row>
    <row r="113" spans="1:43" ht="15.75" hidden="1" customHeight="1">
      <c r="A113" s="7" t="s">
        <v>538</v>
      </c>
      <c r="B113" s="7" t="s">
        <v>539</v>
      </c>
      <c r="C113" s="311" t="str">
        <f>'BD DEA'!P113</f>
        <v/>
      </c>
      <c r="D113" s="44" t="str">
        <f t="shared" si="0"/>
        <v>C001305</v>
      </c>
      <c r="E113" s="72" t="str">
        <f>IFERROR(VLOOKUP($D113,'FERC 2021'!$EA$3:$EN$221,2,0),"")</f>
        <v/>
      </c>
      <c r="F113" s="72" t="str">
        <f>IFERROR(VLOOKUP($D113,'FERC 2022'!$EA$3:$EN$220,2,0),"")</f>
        <v/>
      </c>
      <c r="G113" s="72" t="str">
        <f>IFERROR(VLOOKUP($D113,'FERC 2023'!$EA$3:$EN$221,2,0),"")</f>
        <v/>
      </c>
      <c r="H113" s="72" t="str">
        <f>IFERROR(VLOOKUP($D113,'FERC 2021'!$EA$3:$EN$225,3,0),"")</f>
        <v/>
      </c>
      <c r="I113" s="72" t="str">
        <f>IFERROR(VLOOKUP($D113,'FERC 2022'!$EA$3:$EN$229,3,0),"")</f>
        <v/>
      </c>
      <c r="J113" s="72" t="str">
        <f>IFERROR(VLOOKUP($D113,'FERC 2023'!$EA$3:$EN$229,3,0),"")</f>
        <v/>
      </c>
      <c r="K113" s="72" t="str">
        <f>IFERROR(VLOOKUP($D113,'FERC 2021'!$EA$3:$EN$229,4,0),"")</f>
        <v/>
      </c>
      <c r="L113" s="72" t="str">
        <f>IFERROR(VLOOKUP($D113,'FERC 2022'!$EA$3:$EN$220,4,0),"")</f>
        <v/>
      </c>
      <c r="M113" s="72" t="str">
        <f>IFERROR(VLOOKUP($D113,'FERC 2023'!$EA$3:$EN$221,4,0),"")</f>
        <v/>
      </c>
      <c r="N113" s="72" t="str">
        <f>IFERROR(VLOOKUP($D113,'FERC 2021'!$EA$3:$EN$221,5,0),"")</f>
        <v/>
      </c>
      <c r="O113" s="72" t="str">
        <f>IFERROR(VLOOKUP($D113,'FERC 2022'!$EA$3:$EN$220,5,0),"")</f>
        <v/>
      </c>
      <c r="P113" s="72" t="str">
        <f>IFERROR(VLOOKUP($D113,'FERC 2023'!$EA$3:$EN$221,5,0),"")</f>
        <v/>
      </c>
      <c r="Q113" s="72" t="str">
        <f>IFERROR(VLOOKUP($D113,'FERC 2021'!$EA$3:$EN$221,6,0),"")</f>
        <v/>
      </c>
      <c r="R113" s="72" t="str">
        <f>IFERROR(VLOOKUP($D113,'FERC 2022'!$EA$3:$EN$220,6,0),"")</f>
        <v/>
      </c>
      <c r="S113" s="72" t="str">
        <f>IFERROR(VLOOKUP($D113,'FERC 2023'!$EA$3:$EN$221,6,0),"")</f>
        <v/>
      </c>
      <c r="T113" s="72" t="str">
        <f>IFERROR(VLOOKUP($D113,'FERC 2021'!$EA$3:$EN$221,7,0),"")</f>
        <v/>
      </c>
      <c r="U113" s="72" t="str">
        <f>IFERROR(VLOOKUP($D113,'FERC 2022'!$EA$3:$EN$220,7,0),"")</f>
        <v/>
      </c>
      <c r="V113" s="72" t="str">
        <f>IFERROR(VLOOKUP($D113,'FERC 2023'!$EA$3:$EN$221,7,0),"")</f>
        <v/>
      </c>
      <c r="W113" s="72" t="str">
        <f>IFERROR(VLOOKUP($D113,'FERC 2021'!$EA$3:$EN$221,8,0),"")</f>
        <v/>
      </c>
      <c r="X113" s="72" t="str">
        <f>IFERROR(VLOOKUP($D113,'FERC 2022'!$EA$3:$EN$220,8,0),"")</f>
        <v/>
      </c>
      <c r="Y113" s="72" t="str">
        <f>IFERROR(VLOOKUP($D113,'FERC 2023'!$EA$3:$EN$221,8,0),"")</f>
        <v/>
      </c>
      <c r="Z113" s="72" t="str">
        <f>IFERROR(VLOOKUP($D113,'FERC 2021'!$EA$3:$EN$222,9,0),"")</f>
        <v/>
      </c>
      <c r="AA113" s="72" t="str">
        <f>IFERROR(VLOOKUP($D113,'FERC 2022'!$EA$3:$EN$220,9,0),"")</f>
        <v/>
      </c>
      <c r="AB113" s="72" t="str">
        <f>IFERROR(VLOOKUP($D113,'FERC 2023'!$EA$3:$EN$221,9,0),"")</f>
        <v/>
      </c>
      <c r="AC113" s="72" t="str">
        <f>IFERROR(VLOOKUP($D113,'FERC 2021'!$EA$3:$EN$221,10,0),"")</f>
        <v/>
      </c>
      <c r="AD113" s="72" t="str">
        <f>IFERROR(VLOOKUP($D113,'FERC 2022'!$EA$3:$EN$220,10,0),"")</f>
        <v/>
      </c>
      <c r="AE113" s="72" t="str">
        <f>IFERROR(VLOOKUP($D113,'FERC 2023'!$EA$3:$EN$221,10,0),"")</f>
        <v/>
      </c>
      <c r="AF113" s="72" t="str">
        <f>IFERROR(VLOOKUP($D113,'FERC 2021'!$EA$3:$EN$221,11,0),"")</f>
        <v/>
      </c>
      <c r="AG113" s="72" t="str">
        <f>IFERROR(VLOOKUP($D113,'FERC 2022'!$EA$3:$EN$220,11,0),"")</f>
        <v/>
      </c>
      <c r="AH113" s="72" t="str">
        <f>IFERROR(VLOOKUP($D113,'FERC 2023'!$EA$3:$EN$221,11,0),"")</f>
        <v/>
      </c>
      <c r="AI113" s="72" t="str">
        <f>IFERROR(VLOOKUP($D113,'FERC 2021'!$EA$3:$EN$221,12,0),"")</f>
        <v/>
      </c>
      <c r="AJ113" s="72" t="str">
        <f>IFERROR(VLOOKUP($D113,'FERC 2022'!$EA$3:$EN$220,12,0),"")</f>
        <v/>
      </c>
      <c r="AK113" s="72" t="str">
        <f>IFERROR(VLOOKUP($D113,'FERC 2023'!$EA$3:$EN$221,12,0),"")</f>
        <v/>
      </c>
      <c r="AL113" s="72" t="str">
        <f>VLOOKUP($D113,'FERC 2021'!$EA$3:$EN$221,13,0)</f>
        <v/>
      </c>
      <c r="AM113" s="72" t="str">
        <f>VLOOKUP($D113,'FERC 2022'!$EA$3:$EN$220,13,0)</f>
        <v/>
      </c>
      <c r="AN113" s="72" t="str">
        <f>VLOOKUP($D113,'FERC 2023'!$EA$3:$EN$221,13,0)</f>
        <v/>
      </c>
      <c r="AO113" s="72" t="str">
        <f>IFERROR(VLOOKUP($D113,'FERC 2021'!$EA$3:$EN$221,14,0),"")</f>
        <v/>
      </c>
      <c r="AP113" s="72" t="str">
        <f>IFERROR(VLOOKUP($D113,'FERC 2022'!$EA$3:$EN$220,14,0),"")</f>
        <v/>
      </c>
      <c r="AQ113" s="72" t="str">
        <f>IFERROR(VLOOKUP($D113,'FERC 2023'!$EA$3:$EN$221,14,0),"")</f>
        <v/>
      </c>
    </row>
    <row r="114" spans="1:43" ht="15.75" hidden="1" customHeight="1">
      <c r="A114" s="7" t="s">
        <v>541</v>
      </c>
      <c r="B114" s="7" t="s">
        <v>542</v>
      </c>
      <c r="C114" s="311" t="str">
        <f>'BD DEA'!P114</f>
        <v/>
      </c>
      <c r="D114" s="44" t="str">
        <f t="shared" si="0"/>
        <v>C001306</v>
      </c>
      <c r="E114" s="72" t="str">
        <f>IFERROR(VLOOKUP($D114,'FERC 2021'!$EA$3:$EN$221,2,0),"")</f>
        <v/>
      </c>
      <c r="F114" s="72" t="str">
        <f>IFERROR(VLOOKUP($D114,'FERC 2022'!$EA$3:$EN$220,2,0),"")</f>
        <v/>
      </c>
      <c r="G114" s="72">
        <f>IFERROR(VLOOKUP($D114,'FERC 2023'!$EA$3:$EN$221,2,0),"")</f>
        <v>10507447208.624149</v>
      </c>
      <c r="H114" s="72" t="str">
        <f>IFERROR(VLOOKUP($D114,'FERC 2021'!$EA$3:$EN$225,3,0),"")</f>
        <v/>
      </c>
      <c r="I114" s="72" t="str">
        <f>IFERROR(VLOOKUP($D114,'FERC 2022'!$EA$3:$EN$229,3,0),"")</f>
        <v/>
      </c>
      <c r="J114" s="72">
        <f>IFERROR(VLOOKUP($D114,'FERC 2023'!$EA$3:$EN$229,3,0),"")</f>
        <v>302477146.39301884</v>
      </c>
      <c r="K114" s="72" t="str">
        <f>IFERROR(VLOOKUP($D114,'FERC 2021'!$EA$3:$EN$229,4,0),"")</f>
        <v/>
      </c>
      <c r="L114" s="72" t="str">
        <f>IFERROR(VLOOKUP($D114,'FERC 2022'!$EA$3:$EN$220,4,0),"")</f>
        <v/>
      </c>
      <c r="M114" s="72">
        <f>IFERROR(VLOOKUP($D114,'FERC 2023'!$EA$3:$EN$221,4,0),"")</f>
        <v>226836295.09228346</v>
      </c>
      <c r="N114" s="72" t="str">
        <f>IFERROR(VLOOKUP($D114,'FERC 2021'!$EA$3:$EN$221,5,0),"")</f>
        <v/>
      </c>
      <c r="O114" s="72" t="str">
        <f>IFERROR(VLOOKUP($D114,'FERC 2022'!$EA$3:$EN$220,5,0),"")</f>
        <v/>
      </c>
      <c r="P114" s="72">
        <f>IFERROR(VLOOKUP($D114,'FERC 2023'!$EA$3:$EN$221,5,0),"")</f>
        <v>445489103.13394773</v>
      </c>
      <c r="Q114" s="72" t="str">
        <f>IFERROR(VLOOKUP($D114,'FERC 2021'!$EA$3:$EN$221,6,0),"")</f>
        <v/>
      </c>
      <c r="R114" s="72" t="str">
        <f>IFERROR(VLOOKUP($D114,'FERC 2022'!$EA$3:$EN$220,6,0),"")</f>
        <v/>
      </c>
      <c r="S114" s="72">
        <f>IFERROR(VLOOKUP($D114,'FERC 2023'!$EA$3:$EN$221,6,0),"")</f>
        <v>318438036.02269697</v>
      </c>
      <c r="T114" s="72" t="str">
        <f>IFERROR(VLOOKUP($D114,'FERC 2021'!$EA$3:$EN$221,7,0),"")</f>
        <v/>
      </c>
      <c r="U114" s="72" t="str">
        <f>IFERROR(VLOOKUP($D114,'FERC 2022'!$EA$3:$EN$220,7,0),"")</f>
        <v/>
      </c>
      <c r="V114" s="72">
        <f>IFERROR(VLOOKUP($D114,'FERC 2023'!$EA$3:$EN$221,7,0),"")</f>
        <v>6843</v>
      </c>
      <c r="W114" s="72" t="str">
        <f>IFERROR(VLOOKUP($D114,'FERC 2021'!$EA$3:$EN$221,8,0),"")</f>
        <v/>
      </c>
      <c r="X114" s="72" t="str">
        <f>IFERROR(VLOOKUP($D114,'FERC 2022'!$EA$3:$EN$220,8,0),"")</f>
        <v/>
      </c>
      <c r="Y114" s="72">
        <f>IFERROR(VLOOKUP($D114,'FERC 2023'!$EA$3:$EN$221,8,0),"")</f>
        <v>1542848</v>
      </c>
      <c r="Z114" s="72" t="str">
        <f>IFERROR(VLOOKUP($D114,'FERC 2021'!$EA$3:$EN$222,9,0),"")</f>
        <v/>
      </c>
      <c r="AA114" s="72" t="str">
        <f>IFERROR(VLOOKUP($D114,'FERC 2022'!$EA$3:$EN$220,9,0),"")</f>
        <v/>
      </c>
      <c r="AB114" s="72">
        <f>IFERROR(VLOOKUP($D114,'FERC 2023'!$EA$3:$EN$221,9,0),"")</f>
        <v>1139789</v>
      </c>
      <c r="AC114" s="72" t="str">
        <f>IFERROR(VLOOKUP($D114,'FERC 2021'!$EA$3:$EN$221,10,0),"")</f>
        <v/>
      </c>
      <c r="AD114" s="72" t="str">
        <f>IFERROR(VLOOKUP($D114,'FERC 2022'!$EA$3:$EN$220,10,0),"")</f>
        <v/>
      </c>
      <c r="AE114" s="72">
        <f>IFERROR(VLOOKUP($D114,'FERC 2023'!$EA$3:$EN$221,10,0),"")</f>
        <v>15326462</v>
      </c>
      <c r="AF114" s="72" t="str">
        <f>IFERROR(VLOOKUP($D114,'FERC 2021'!$EA$3:$EN$221,11,0),"")</f>
        <v/>
      </c>
      <c r="AG114" s="72" t="str">
        <f>IFERROR(VLOOKUP($D114,'FERC 2022'!$EA$3:$EN$220,11,0),"")</f>
        <v/>
      </c>
      <c r="AH114" s="72">
        <f>IFERROR(VLOOKUP($D114,'FERC 2023'!$EA$3:$EN$221,11,0),"")</f>
        <v>16466154.923857868</v>
      </c>
      <c r="AI114" s="72" t="str">
        <f>IFERROR(VLOOKUP($D114,'FERC 2021'!$EA$3:$EN$221,12,0),"")</f>
        <v/>
      </c>
      <c r="AJ114" s="72" t="str">
        <f>IFERROR(VLOOKUP($D114,'FERC 2022'!$EA$3:$EN$220,12,0),"")</f>
        <v/>
      </c>
      <c r="AK114" s="72">
        <f>IFERROR(VLOOKUP($D114,'FERC 2023'!$EA$3:$EN$221,12,0),"")</f>
        <v>204319360.64000002</v>
      </c>
      <c r="AL114" s="72" t="str">
        <f>VLOOKUP($D114,'FERC 2021'!$EA$3:$EN$221,13,0)</f>
        <v/>
      </c>
      <c r="AM114" s="72" t="str">
        <f>VLOOKUP($D114,'FERC 2022'!$EA$3:$EN$220,13,0)</f>
        <v/>
      </c>
      <c r="AN114" s="72">
        <f>VLOOKUP($D114,'FERC 2023'!$EA$3:$EN$221,13,0)</f>
        <v>1761932.416</v>
      </c>
      <c r="AO114" s="72" t="str">
        <f>IFERROR(VLOOKUP($D114,'FERC 2021'!$EA$3:$EN$221,14,0),"")</f>
        <v/>
      </c>
      <c r="AP114" s="72" t="str">
        <f>IFERROR(VLOOKUP($D114,'FERC 2022'!$EA$3:$EN$220,14,0),"")</f>
        <v/>
      </c>
      <c r="AQ114" s="72">
        <f>IFERROR(VLOOKUP($D114,'FERC 2023'!$EA$3:$EN$221,14,0),"")</f>
        <v>1745065</v>
      </c>
    </row>
    <row r="115" spans="1:43" ht="15.75" customHeight="1">
      <c r="A115" s="7" t="s">
        <v>544</v>
      </c>
      <c r="B115" s="7" t="s">
        <v>545</v>
      </c>
      <c r="C115" s="311">
        <f>'BD DEA'!P115</f>
        <v>1</v>
      </c>
      <c r="D115" s="44" t="str">
        <f t="shared" si="0"/>
        <v>C001307</v>
      </c>
      <c r="E115" s="72">
        <f>IFERROR(VLOOKUP($D115,'FERC 2021'!$EA$3:$EN$221,2,0),"")</f>
        <v>378510291.83397514</v>
      </c>
      <c r="F115" s="72">
        <f>IFERROR(VLOOKUP($D115,'FERC 2022'!$EA$3:$EN$220,2,0),"")</f>
        <v>406079688.44240314</v>
      </c>
      <c r="G115" s="72">
        <f>IFERROR(VLOOKUP($D115,'FERC 2023'!$EA$3:$EN$221,2,0),"")</f>
        <v>439988781.53385782</v>
      </c>
      <c r="H115" s="72">
        <f>IFERROR(VLOOKUP($D115,'FERC 2021'!$EA$3:$EN$225,3,0),"")</f>
        <v>8513820.4674872272</v>
      </c>
      <c r="I115" s="72">
        <f>IFERROR(VLOOKUP($D115,'FERC 2022'!$EA$3:$EN$229,3,0),"")</f>
        <v>10600248.236271858</v>
      </c>
      <c r="J115" s="72">
        <f>IFERROR(VLOOKUP($D115,'FERC 2023'!$EA$3:$EN$229,3,0),"")</f>
        <v>9448336.4227297101</v>
      </c>
      <c r="K115" s="72">
        <f>IFERROR(VLOOKUP($D115,'FERC 2021'!$EA$3:$EN$229,4,0),"")</f>
        <v>10801011.885896191</v>
      </c>
      <c r="L115" s="72">
        <f>IFERROR(VLOOKUP($D115,'FERC 2022'!$EA$3:$EN$220,4,0),"")</f>
        <v>11265018.066147102</v>
      </c>
      <c r="M115" s="72">
        <f>IFERROR(VLOOKUP($D115,'FERC 2023'!$EA$3:$EN$221,4,0),"")</f>
        <v>8484039.2471749559</v>
      </c>
      <c r="N115" s="72">
        <f>IFERROR(VLOOKUP($D115,'FERC 2021'!$EA$3:$EN$221,5,0),"")</f>
        <v>2725020.8961477526</v>
      </c>
      <c r="O115" s="72">
        <f>IFERROR(VLOOKUP($D115,'FERC 2022'!$EA$3:$EN$220,5,0),"")</f>
        <v>2556386.0717549641</v>
      </c>
      <c r="P115" s="72">
        <f>IFERROR(VLOOKUP($D115,'FERC 2023'!$EA$3:$EN$221,5,0),"")</f>
        <v>1660908.4463073313</v>
      </c>
      <c r="Q115" s="72">
        <f>IFERROR(VLOOKUP($D115,'FERC 2021'!$EA$3:$EN$221,6,0),"")</f>
        <v>1256187.2959977523</v>
      </c>
      <c r="R115" s="72">
        <f>IFERROR(VLOOKUP($D115,'FERC 2022'!$EA$3:$EN$220,6,0),"")</f>
        <v>2222242.0840424094</v>
      </c>
      <c r="S115" s="72">
        <f>IFERROR(VLOOKUP($D115,'FERC 2023'!$EA$3:$EN$221,6,0),"")</f>
        <v>1494919.1190418077</v>
      </c>
      <c r="T115" s="72">
        <f>IFERROR(VLOOKUP($D115,'FERC 2021'!$EA$3:$EN$221,7,0),"")</f>
        <v>201</v>
      </c>
      <c r="U115" s="72">
        <f>IFERROR(VLOOKUP($D115,'FERC 2022'!$EA$3:$EN$220,7,0),"")</f>
        <v>198</v>
      </c>
      <c r="V115" s="72">
        <f>IFERROR(VLOOKUP($D115,'FERC 2023'!$EA$3:$EN$221,7,0),"")</f>
        <v>176</v>
      </c>
      <c r="W115" s="72">
        <f>IFERROR(VLOOKUP($D115,'FERC 2021'!$EA$3:$EN$221,8,0),"")</f>
        <v>45575</v>
      </c>
      <c r="X115" s="72">
        <f>IFERROR(VLOOKUP($D115,'FERC 2022'!$EA$3:$EN$220,8,0),"")</f>
        <v>46148</v>
      </c>
      <c r="Y115" s="72">
        <f>IFERROR(VLOOKUP($D115,'FERC 2023'!$EA$3:$EN$221,8,0),"")</f>
        <v>46452</v>
      </c>
      <c r="Z115" s="72">
        <f>IFERROR(VLOOKUP($D115,'FERC 2021'!$EA$3:$EN$222,9,0),"")</f>
        <v>29749</v>
      </c>
      <c r="AA115" s="72">
        <f>IFERROR(VLOOKUP($D115,'FERC 2022'!$EA$3:$EN$220,9,0),"")</f>
        <v>26743</v>
      </c>
      <c r="AB115" s="72">
        <f>IFERROR(VLOOKUP($D115,'FERC 2023'!$EA$3:$EN$221,9,0),"")</f>
        <v>11213</v>
      </c>
      <c r="AC115" s="72">
        <f>IFERROR(VLOOKUP($D115,'FERC 2021'!$EA$3:$EN$221,10,0),"")</f>
        <v>901091</v>
      </c>
      <c r="AD115" s="72">
        <f>IFERROR(VLOOKUP($D115,'FERC 2022'!$EA$3:$EN$220,10,0),"")</f>
        <v>888471</v>
      </c>
      <c r="AE115" s="72">
        <f>IFERROR(VLOOKUP($D115,'FERC 2023'!$EA$3:$EN$221,10,0),"")</f>
        <v>899672</v>
      </c>
      <c r="AF115" s="72">
        <f>IFERROR(VLOOKUP($D115,'FERC 2021'!$EA$3:$EN$221,11,0),"")</f>
        <v>930825.2741116751</v>
      </c>
      <c r="AG115" s="72">
        <f>IFERROR(VLOOKUP($D115,'FERC 2022'!$EA$3:$EN$220,11,0),"")</f>
        <v>915199.22842639592</v>
      </c>
      <c r="AH115" s="72">
        <f>IFERROR(VLOOKUP($D115,'FERC 2023'!$EA$3:$EN$221,11,0),"")</f>
        <v>910871.59898477152</v>
      </c>
      <c r="AI115" s="72">
        <f>IFERROR(VLOOKUP($D115,'FERC 2021'!$EA$3:$EN$221,12,0),"")</f>
        <v>4955369.75</v>
      </c>
      <c r="AJ115" s="72">
        <f>IFERROR(VLOOKUP($D115,'FERC 2022'!$EA$3:$EN$220,12,0),"")</f>
        <v>3889814.9200000004</v>
      </c>
      <c r="AK115" s="72">
        <f>IFERROR(VLOOKUP($D115,'FERC 2023'!$EA$3:$EN$221,12,0),"")</f>
        <v>7143388.5599999996</v>
      </c>
      <c r="AL115" s="72">
        <f>VLOOKUP($D115,'FERC 2021'!$EA$3:$EN$221,13,0)</f>
        <v>47398</v>
      </c>
      <c r="AM115" s="72">
        <f>VLOOKUP($D115,'FERC 2022'!$EA$3:$EN$220,13,0)</f>
        <v>52608.719999999994</v>
      </c>
      <c r="AN115" s="72">
        <f>VLOOKUP($D115,'FERC 2023'!$EA$3:$EN$221,13,0)</f>
        <v>53512.703999999998</v>
      </c>
      <c r="AO115" s="72">
        <f>IFERROR(VLOOKUP($D115,'FERC 2021'!$EA$3:$EN$221,14,0),"")</f>
        <v>45277</v>
      </c>
      <c r="AP115" s="72">
        <f>IFERROR(VLOOKUP($D115,'FERC 2022'!$EA$3:$EN$220,14,0),"")</f>
        <v>45569</v>
      </c>
      <c r="AQ115" s="72">
        <f>IFERROR(VLOOKUP($D115,'FERC 2023'!$EA$3:$EN$221,14,0),"")</f>
        <v>46266</v>
      </c>
    </row>
    <row r="116" spans="1:43" ht="15.75" customHeight="1">
      <c r="A116" s="7" t="s">
        <v>547</v>
      </c>
      <c r="B116" s="7" t="s">
        <v>548</v>
      </c>
      <c r="C116" s="311">
        <f>'BD DEA'!P116</f>
        <v>1</v>
      </c>
      <c r="D116" s="44" t="str">
        <f t="shared" si="0"/>
        <v>C001308</v>
      </c>
      <c r="E116" s="72">
        <f>IFERROR(VLOOKUP($D116,'FERC 2021'!$EA$3:$EN$221,2,0),"")</f>
        <v>6480668499.5614157</v>
      </c>
      <c r="F116" s="72">
        <f>IFERROR(VLOOKUP($D116,'FERC 2022'!$EA$3:$EN$220,2,0),"")</f>
        <v>6755669348.1724672</v>
      </c>
      <c r="G116" s="72">
        <f>IFERROR(VLOOKUP($D116,'FERC 2023'!$EA$3:$EN$221,2,0),"")</f>
        <v>7103857740.4835958</v>
      </c>
      <c r="H116" s="72">
        <f>IFERROR(VLOOKUP($D116,'FERC 2021'!$EA$3:$EN$225,3,0),"")</f>
        <v>251568004.310637</v>
      </c>
      <c r="I116" s="72">
        <f>IFERROR(VLOOKUP($D116,'FERC 2022'!$EA$3:$EN$229,3,0),"")</f>
        <v>262672672.27266493</v>
      </c>
      <c r="J116" s="72">
        <f>IFERROR(VLOOKUP($D116,'FERC 2023'!$EA$3:$EN$229,3,0),"")</f>
        <v>265872835.79814404</v>
      </c>
      <c r="K116" s="72">
        <f>IFERROR(VLOOKUP($D116,'FERC 2021'!$EA$3:$EN$229,4,0),"")</f>
        <v>195483981.06277937</v>
      </c>
      <c r="L116" s="72">
        <f>IFERROR(VLOOKUP($D116,'FERC 2022'!$EA$3:$EN$220,4,0),"")</f>
        <v>205948479.14004245</v>
      </c>
      <c r="M116" s="72">
        <f>IFERROR(VLOOKUP($D116,'FERC 2023'!$EA$3:$EN$221,4,0),"")</f>
        <v>206529591.17800221</v>
      </c>
      <c r="N116" s="72">
        <f>IFERROR(VLOOKUP($D116,'FERC 2021'!$EA$3:$EN$221,5,0),"")</f>
        <v>404097610.19623572</v>
      </c>
      <c r="O116" s="72">
        <f>IFERROR(VLOOKUP($D116,'FERC 2022'!$EA$3:$EN$220,5,0),"")</f>
        <v>415787147.00126928</v>
      </c>
      <c r="P116" s="72">
        <f>IFERROR(VLOOKUP($D116,'FERC 2023'!$EA$3:$EN$221,5,0),"")</f>
        <v>507440728.57591414</v>
      </c>
      <c r="Q116" s="72">
        <f>IFERROR(VLOOKUP($D116,'FERC 2021'!$EA$3:$EN$221,6,0),"")</f>
        <v>173104711.89126062</v>
      </c>
      <c r="R116" s="72">
        <f>IFERROR(VLOOKUP($D116,'FERC 2022'!$EA$3:$EN$220,6,0),"")</f>
        <v>161483461.36087012</v>
      </c>
      <c r="S116" s="72">
        <f>IFERROR(VLOOKUP($D116,'FERC 2023'!$EA$3:$EN$221,6,0),"")</f>
        <v>178779431.35510412</v>
      </c>
      <c r="T116" s="72">
        <f>IFERROR(VLOOKUP($D116,'FERC 2021'!$EA$3:$EN$221,7,0),"")</f>
        <v>4638</v>
      </c>
      <c r="U116" s="72">
        <f>IFERROR(VLOOKUP($D116,'FERC 2022'!$EA$3:$EN$220,7,0),"")</f>
        <v>4611</v>
      </c>
      <c r="V116" s="72">
        <f>IFERROR(VLOOKUP($D116,'FERC 2023'!$EA$3:$EN$221,7,0),"")</f>
        <v>4314</v>
      </c>
      <c r="W116" s="72">
        <f>IFERROR(VLOOKUP($D116,'FERC 2021'!$EA$3:$EN$221,8,0),"")</f>
        <v>664105</v>
      </c>
      <c r="X116" s="72">
        <f>IFERROR(VLOOKUP($D116,'FERC 2022'!$EA$3:$EN$220,8,0),"")</f>
        <v>679152</v>
      </c>
      <c r="Y116" s="72">
        <f>IFERROR(VLOOKUP($D116,'FERC 2023'!$EA$3:$EN$221,8,0),"")</f>
        <v>635010</v>
      </c>
      <c r="Z116" s="72">
        <f>IFERROR(VLOOKUP($D116,'FERC 2021'!$EA$3:$EN$222,9,0),"")</f>
        <v>249484</v>
      </c>
      <c r="AA116" s="72">
        <f>IFERROR(VLOOKUP($D116,'FERC 2022'!$EA$3:$EN$220,9,0),"")</f>
        <v>171023</v>
      </c>
      <c r="AB116" s="72">
        <f>IFERROR(VLOOKUP($D116,'FERC 2023'!$EA$3:$EN$221,9,0),"")</f>
        <v>141533.56408216504</v>
      </c>
      <c r="AC116" s="72">
        <f>IFERROR(VLOOKUP($D116,'FERC 2021'!$EA$3:$EN$221,10,0),"")</f>
        <v>5503683</v>
      </c>
      <c r="AD116" s="72">
        <f>IFERROR(VLOOKUP($D116,'FERC 2022'!$EA$3:$EN$220,10,0),"")</f>
        <v>5552044</v>
      </c>
      <c r="AE116" s="72">
        <f>IFERROR(VLOOKUP($D116,'FERC 2023'!$EA$3:$EN$221,10,0),"")</f>
        <v>4594707</v>
      </c>
      <c r="AF116" s="72">
        <f>IFERROR(VLOOKUP($D116,'FERC 2021'!$EA$3:$EN$221,11,0),"")</f>
        <v>5753125.0761421323</v>
      </c>
      <c r="AG116" s="72">
        <f>IFERROR(VLOOKUP($D116,'FERC 2022'!$EA$3:$EN$220,11,0),"")</f>
        <v>5723030.0101522841</v>
      </c>
      <c r="AH116" s="72">
        <f>IFERROR(VLOOKUP($D116,'FERC 2023'!$EA$3:$EN$221,11,0),"")</f>
        <v>4736203.8940314036</v>
      </c>
      <c r="AI116" s="72">
        <f>IFERROR(VLOOKUP($D116,'FERC 2021'!$EA$3:$EN$221,12,0),"")</f>
        <v>64790083.800000004</v>
      </c>
      <c r="AJ116" s="72">
        <f>IFERROR(VLOOKUP($D116,'FERC 2022'!$EA$3:$EN$220,12,0),"")</f>
        <v>72282147.359999999</v>
      </c>
      <c r="AK116" s="72">
        <f>IFERROR(VLOOKUP($D116,'FERC 2023'!$EA$3:$EN$221,12,0),"")</f>
        <v>60275149.200000003</v>
      </c>
      <c r="AL116" s="72">
        <f>VLOOKUP($D116,'FERC 2021'!$EA$3:$EN$221,13,0)</f>
        <v>836772.3</v>
      </c>
      <c r="AM116" s="72">
        <f>VLOOKUP($D116,'FERC 2022'!$EA$3:$EN$220,13,0)</f>
        <v>787816.32</v>
      </c>
      <c r="AN116" s="72">
        <f>VLOOKUP($D116,'FERC 2023'!$EA$3:$EN$221,13,0)</f>
        <v>737881.62</v>
      </c>
      <c r="AO116" s="72">
        <f>IFERROR(VLOOKUP($D116,'FERC 2021'!$EA$3:$EN$221,14,0),"")</f>
        <v>1448979</v>
      </c>
      <c r="AP116" s="72">
        <f>IFERROR(VLOOKUP($D116,'FERC 2022'!$EA$3:$EN$220,14,0),"")</f>
        <v>1392345</v>
      </c>
      <c r="AQ116" s="72">
        <f>IFERROR(VLOOKUP($D116,'FERC 2023'!$EA$3:$EN$221,14,0),"")</f>
        <v>1381204</v>
      </c>
    </row>
    <row r="117" spans="1:43" ht="15.75" customHeight="1">
      <c r="A117" s="7" t="s">
        <v>550</v>
      </c>
      <c r="B117" s="7" t="s">
        <v>551</v>
      </c>
      <c r="C117" s="311">
        <f>'BD DEA'!P117</f>
        <v>1</v>
      </c>
      <c r="D117" s="44" t="str">
        <f t="shared" si="0"/>
        <v>C001309</v>
      </c>
      <c r="E117" s="72">
        <f>IFERROR(VLOOKUP($D117,'FERC 2021'!$EA$3:$EN$221,2,0),"")</f>
        <v>2822487592.4976683</v>
      </c>
      <c r="F117" s="72">
        <f>IFERROR(VLOOKUP($D117,'FERC 2022'!$EA$3:$EN$220,2,0),"")</f>
        <v>2929943645.6132627</v>
      </c>
      <c r="G117" s="72">
        <f>IFERROR(VLOOKUP($D117,'FERC 2023'!$EA$3:$EN$221,2,0),"")</f>
        <v>2999175091.0549836</v>
      </c>
      <c r="H117" s="72">
        <f>IFERROR(VLOOKUP($D117,'FERC 2021'!$EA$3:$EN$225,3,0),"")</f>
        <v>104506731.11753468</v>
      </c>
      <c r="I117" s="72">
        <f>IFERROR(VLOOKUP($D117,'FERC 2022'!$EA$3:$EN$229,3,0),"")</f>
        <v>104261579.26847866</v>
      </c>
      <c r="J117" s="72">
        <f>IFERROR(VLOOKUP($D117,'FERC 2023'!$EA$3:$EN$229,3,0),"")</f>
        <v>102217332.36002502</v>
      </c>
      <c r="K117" s="72">
        <f>IFERROR(VLOOKUP($D117,'FERC 2021'!$EA$3:$EN$229,4,0),"")</f>
        <v>60957575.527628064</v>
      </c>
      <c r="L117" s="72">
        <f>IFERROR(VLOOKUP($D117,'FERC 2022'!$EA$3:$EN$220,4,0),"")</f>
        <v>68236108.31219089</v>
      </c>
      <c r="M117" s="72">
        <f>IFERROR(VLOOKUP($D117,'FERC 2023'!$EA$3:$EN$221,4,0),"")</f>
        <v>136707298.36249739</v>
      </c>
      <c r="N117" s="72">
        <f>IFERROR(VLOOKUP($D117,'FERC 2021'!$EA$3:$EN$221,5,0),"")</f>
        <v>149950855.67065936</v>
      </c>
      <c r="O117" s="72">
        <f>IFERROR(VLOOKUP($D117,'FERC 2022'!$EA$3:$EN$220,5,0),"")</f>
        <v>151505929.26579374</v>
      </c>
      <c r="P117" s="72">
        <f>IFERROR(VLOOKUP($D117,'FERC 2023'!$EA$3:$EN$221,5,0),"")</f>
        <v>131452149.57262456</v>
      </c>
      <c r="Q117" s="72">
        <f>IFERROR(VLOOKUP($D117,'FERC 2021'!$EA$3:$EN$221,6,0),"")</f>
        <v>111255388.2998417</v>
      </c>
      <c r="R117" s="72">
        <f>IFERROR(VLOOKUP($D117,'FERC 2022'!$EA$3:$EN$220,6,0),"")</f>
        <v>142910532.02308956</v>
      </c>
      <c r="S117" s="72">
        <f>IFERROR(VLOOKUP($D117,'FERC 2023'!$EA$3:$EN$221,6,0),"")</f>
        <v>80150870.742412582</v>
      </c>
      <c r="T117" s="72">
        <f>IFERROR(VLOOKUP($D117,'FERC 2021'!$EA$3:$EN$221,7,0),"")</f>
        <v>1816</v>
      </c>
      <c r="U117" s="72">
        <f>IFERROR(VLOOKUP($D117,'FERC 2022'!$EA$3:$EN$220,7,0),"")</f>
        <v>1859</v>
      </c>
      <c r="V117" s="72">
        <f>IFERROR(VLOOKUP($D117,'FERC 2023'!$EA$3:$EN$221,7,0),"")</f>
        <v>1670</v>
      </c>
      <c r="W117" s="72">
        <f>IFERROR(VLOOKUP($D117,'FERC 2021'!$EA$3:$EN$221,8,0),"")</f>
        <v>444908</v>
      </c>
      <c r="X117" s="72">
        <f>IFERROR(VLOOKUP($D117,'FERC 2022'!$EA$3:$EN$220,8,0),"")</f>
        <v>454687</v>
      </c>
      <c r="Y117" s="72">
        <f>IFERROR(VLOOKUP($D117,'FERC 2023'!$EA$3:$EN$221,8,0),"")</f>
        <v>404034</v>
      </c>
      <c r="Z117" s="72">
        <f>IFERROR(VLOOKUP($D117,'FERC 2021'!$EA$3:$EN$222,9,0),"")</f>
        <v>191285</v>
      </c>
      <c r="AA117" s="72">
        <f>IFERROR(VLOOKUP($D117,'FERC 2022'!$EA$3:$EN$220,9,0),"")</f>
        <v>207768</v>
      </c>
      <c r="AB117" s="72">
        <f>IFERROR(VLOOKUP($D117,'FERC 2023'!$EA$3:$EN$221,9,0),"")</f>
        <v>228551</v>
      </c>
      <c r="AC117" s="72">
        <f>IFERROR(VLOOKUP($D117,'FERC 2021'!$EA$3:$EN$221,10,0),"")</f>
        <v>4045834</v>
      </c>
      <c r="AD117" s="72">
        <f>IFERROR(VLOOKUP($D117,'FERC 2022'!$EA$3:$EN$220,10,0),"")</f>
        <v>4147784</v>
      </c>
      <c r="AE117" s="72">
        <f>IFERROR(VLOOKUP($D117,'FERC 2023'!$EA$3:$EN$221,10,0),"")</f>
        <v>3461286</v>
      </c>
      <c r="AF117" s="72">
        <f>IFERROR(VLOOKUP($D117,'FERC 2021'!$EA$3:$EN$221,11,0),"")</f>
        <v>4237119</v>
      </c>
      <c r="AG117" s="72">
        <f>IFERROR(VLOOKUP($D117,'FERC 2022'!$EA$3:$EN$220,11,0),"")</f>
        <v>4355552</v>
      </c>
      <c r="AH117" s="72">
        <f>IFERROR(VLOOKUP($D117,'FERC 2023'!$EA$3:$EN$221,11,0),"")</f>
        <v>3689837</v>
      </c>
      <c r="AI117" s="72">
        <f>IFERROR(VLOOKUP($D117,'FERC 2021'!$EA$3:$EN$221,12,0),"")</f>
        <v>30609670.399999999</v>
      </c>
      <c r="AJ117" s="72">
        <f>IFERROR(VLOOKUP($D117,'FERC 2022'!$EA$3:$EN$220,12,0),"")</f>
        <v>28736218.400000002</v>
      </c>
      <c r="AK117" s="72">
        <f>IFERROR(VLOOKUP($D117,'FERC 2023'!$EA$3:$EN$221,12,0),"")</f>
        <v>21102695.82</v>
      </c>
      <c r="AL117" s="72">
        <f>VLOOKUP($D117,'FERC 2021'!$EA$3:$EN$221,13,0)</f>
        <v>635773.53200000001</v>
      </c>
      <c r="AM117" s="72">
        <f>VLOOKUP($D117,'FERC 2022'!$EA$3:$EN$220,13,0)</f>
        <v>436044.83299999998</v>
      </c>
      <c r="AN117" s="72">
        <f>VLOOKUP($D117,'FERC 2023'!$EA$3:$EN$221,13,0)</f>
        <v>315954.58799999999</v>
      </c>
      <c r="AO117" s="72">
        <f>IFERROR(VLOOKUP($D117,'FERC 2021'!$EA$3:$EN$221,14,0),"")</f>
        <v>501946</v>
      </c>
      <c r="AP117" s="72">
        <f>IFERROR(VLOOKUP($D117,'FERC 2022'!$EA$3:$EN$220,14,0),"")</f>
        <v>508648</v>
      </c>
      <c r="AQ117" s="72">
        <f>IFERROR(VLOOKUP($D117,'FERC 2023'!$EA$3:$EN$221,14,0),"")</f>
        <v>516542</v>
      </c>
    </row>
    <row r="118" spans="1:43" ht="15.75" customHeight="1">
      <c r="A118" s="7" t="s">
        <v>553</v>
      </c>
      <c r="B118" s="7" t="s">
        <v>554</v>
      </c>
      <c r="C118" s="311">
        <f>'BD DEA'!P118</f>
        <v>1</v>
      </c>
      <c r="D118" s="44" t="str">
        <f t="shared" si="0"/>
        <v>C001315</v>
      </c>
      <c r="E118" s="72">
        <f>IFERROR(VLOOKUP($D118,'FERC 2021'!$EA$3:$EN$221,2,0),"")</f>
        <v>2785931190.5832348</v>
      </c>
      <c r="F118" s="72">
        <f>IFERROR(VLOOKUP($D118,'FERC 2022'!$EA$3:$EN$220,2,0),"")</f>
        <v>3013528131.2473435</v>
      </c>
      <c r="G118" s="72">
        <f>IFERROR(VLOOKUP($D118,'FERC 2023'!$EA$3:$EN$221,2,0),"")</f>
        <v>3351679594.0312576</v>
      </c>
      <c r="H118" s="72">
        <f>IFERROR(VLOOKUP($D118,'FERC 2021'!$EA$3:$EN$225,3,0),"")</f>
        <v>240939213.09849077</v>
      </c>
      <c r="I118" s="72">
        <f>IFERROR(VLOOKUP($D118,'FERC 2022'!$EA$3:$EN$229,3,0),"")</f>
        <v>262924545.4013916</v>
      </c>
      <c r="J118" s="72">
        <f>IFERROR(VLOOKUP($D118,'FERC 2023'!$EA$3:$EN$229,3,0),"")</f>
        <v>269657554.91243392</v>
      </c>
      <c r="K118" s="72">
        <f>IFERROR(VLOOKUP($D118,'FERC 2021'!$EA$3:$EN$229,4,0),"")</f>
        <v>84008215.788681507</v>
      </c>
      <c r="L118" s="72">
        <f>IFERROR(VLOOKUP($D118,'FERC 2022'!$EA$3:$EN$220,4,0),"")</f>
        <v>99094541.837182105</v>
      </c>
      <c r="M118" s="72">
        <f>IFERROR(VLOOKUP($D118,'FERC 2023'!$EA$3:$EN$221,4,0),"")</f>
        <v>97780349.031396911</v>
      </c>
      <c r="N118" s="72">
        <f>IFERROR(VLOOKUP($D118,'FERC 2021'!$EA$3:$EN$221,5,0),"")</f>
        <v>28582295.359281737</v>
      </c>
      <c r="O118" s="72">
        <f>IFERROR(VLOOKUP($D118,'FERC 2022'!$EA$3:$EN$220,5,0),"")</f>
        <v>33021243.078506082</v>
      </c>
      <c r="P118" s="72">
        <f>IFERROR(VLOOKUP($D118,'FERC 2023'!$EA$3:$EN$221,5,0),"")</f>
        <v>37988831.061878286</v>
      </c>
      <c r="Q118" s="72">
        <f>IFERROR(VLOOKUP($D118,'FERC 2021'!$EA$3:$EN$221,6,0),"")</f>
        <v>50518858.916705251</v>
      </c>
      <c r="R118" s="72">
        <f>IFERROR(VLOOKUP($D118,'FERC 2022'!$EA$3:$EN$220,6,0),"")</f>
        <v>55084243.81080173</v>
      </c>
      <c r="S118" s="72">
        <f>IFERROR(VLOOKUP($D118,'FERC 2023'!$EA$3:$EN$221,6,0),"")</f>
        <v>65165485.234504081</v>
      </c>
      <c r="T118" s="72">
        <f>IFERROR(VLOOKUP($D118,'FERC 2021'!$EA$3:$EN$221,7,0),"")</f>
        <v>2665</v>
      </c>
      <c r="U118" s="72">
        <f>IFERROR(VLOOKUP($D118,'FERC 2022'!$EA$3:$EN$220,7,0),"")</f>
        <v>2770</v>
      </c>
      <c r="V118" s="72">
        <f>IFERROR(VLOOKUP($D118,'FERC 2023'!$EA$3:$EN$221,7,0),"")</f>
        <v>2688</v>
      </c>
      <c r="W118" s="72">
        <f>IFERROR(VLOOKUP($D118,'FERC 2021'!$EA$3:$EN$221,8,0),"")</f>
        <v>516323</v>
      </c>
      <c r="X118" s="72">
        <f>IFERROR(VLOOKUP($D118,'FERC 2022'!$EA$3:$EN$220,8,0),"")</f>
        <v>519319</v>
      </c>
      <c r="Y118" s="72">
        <f>IFERROR(VLOOKUP($D118,'FERC 2023'!$EA$3:$EN$221,8,0),"")</f>
        <v>523395</v>
      </c>
      <c r="Z118" s="72">
        <f>IFERROR(VLOOKUP($D118,'FERC 2021'!$EA$3:$EN$222,9,0),"")</f>
        <v>464181</v>
      </c>
      <c r="AA118" s="72">
        <f>IFERROR(VLOOKUP($D118,'FERC 2022'!$EA$3:$EN$220,9,0),"")</f>
        <v>158097</v>
      </c>
      <c r="AB118" s="72">
        <f>IFERROR(VLOOKUP($D118,'FERC 2023'!$EA$3:$EN$221,9,0),"")</f>
        <v>357620</v>
      </c>
      <c r="AC118" s="72">
        <f>IFERROR(VLOOKUP($D118,'FERC 2021'!$EA$3:$EN$221,10,0),"")</f>
        <v>12970876</v>
      </c>
      <c r="AD118" s="72">
        <f>IFERROR(VLOOKUP($D118,'FERC 2022'!$EA$3:$EN$220,10,0),"")</f>
        <v>13238072</v>
      </c>
      <c r="AE118" s="72">
        <f>IFERROR(VLOOKUP($D118,'FERC 2023'!$EA$3:$EN$221,10,0),"")</f>
        <v>12470195</v>
      </c>
      <c r="AF118" s="72">
        <f>IFERROR(VLOOKUP($D118,'FERC 2021'!$EA$3:$EN$221,11,0),"")</f>
        <v>13421229.543147208</v>
      </c>
      <c r="AG118" s="72">
        <f>IFERROR(VLOOKUP($D118,'FERC 2022'!$EA$3:$EN$220,11,0),"")</f>
        <v>13363455.796954315</v>
      </c>
      <c r="AH118" s="72">
        <f>IFERROR(VLOOKUP($D118,'FERC 2023'!$EA$3:$EN$221,11,0),"")</f>
        <v>12802581.832487309</v>
      </c>
      <c r="AI118" s="72">
        <f>IFERROR(VLOOKUP($D118,'FERC 2021'!$EA$3:$EN$221,12,0),"")</f>
        <v>53926323.089000002</v>
      </c>
      <c r="AJ118" s="72">
        <f>IFERROR(VLOOKUP($D118,'FERC 2022'!$EA$3:$EN$220,12,0),"")</f>
        <v>58415597.714999996</v>
      </c>
      <c r="AK118" s="72">
        <f>IFERROR(VLOOKUP($D118,'FERC 2023'!$EA$3:$EN$221,12,0),"")</f>
        <v>45371018.970000006</v>
      </c>
      <c r="AL118" s="72">
        <f>VLOOKUP($D118,'FERC 2021'!$EA$3:$EN$221,13,0)</f>
        <v>829731.06099999999</v>
      </c>
      <c r="AM118" s="72">
        <f>VLOOKUP($D118,'FERC 2022'!$EA$3:$EN$220,13,0)</f>
        <v>782613.73299999989</v>
      </c>
      <c r="AN118" s="72">
        <f>VLOOKUP($D118,'FERC 2023'!$EA$3:$EN$221,13,0)</f>
        <v>724378.67999999993</v>
      </c>
      <c r="AO118" s="72">
        <f>IFERROR(VLOOKUP($D118,'FERC 2021'!$EA$3:$EN$221,14,0),"")</f>
        <v>524445</v>
      </c>
      <c r="AP118" s="72">
        <f>IFERROR(VLOOKUP($D118,'FERC 2022'!$EA$3:$EN$220,14,0),"")</f>
        <v>526336</v>
      </c>
      <c r="AQ118" s="72">
        <f>IFERROR(VLOOKUP($D118,'FERC 2023'!$EA$3:$EN$221,14,0),"")</f>
        <v>529490</v>
      </c>
    </row>
    <row r="119" spans="1:43" ht="15.75" customHeight="1">
      <c r="A119" s="7" t="s">
        <v>556</v>
      </c>
      <c r="B119" s="7" t="s">
        <v>557</v>
      </c>
      <c r="C119" s="311">
        <f>'BD DEA'!P119</f>
        <v>1</v>
      </c>
      <c r="D119" s="44" t="str">
        <f t="shared" si="0"/>
        <v>C001316</v>
      </c>
      <c r="E119" s="72">
        <f>IFERROR(VLOOKUP($D119,'FERC 2021'!$EA$3:$EN$221,2,0),"")</f>
        <v>6486894487.9352732</v>
      </c>
      <c r="F119" s="72">
        <f>IFERROR(VLOOKUP($D119,'FERC 2022'!$EA$3:$EN$220,2,0),"")</f>
        <v>6701552105.8277597</v>
      </c>
      <c r="G119" s="72">
        <f>IFERROR(VLOOKUP($D119,'FERC 2023'!$EA$3:$EN$221,2,0),"")</f>
        <v>6802199523.1467466</v>
      </c>
      <c r="H119" s="72">
        <f>IFERROR(VLOOKUP($D119,'FERC 2021'!$EA$3:$EN$225,3,0),"")</f>
        <v>358789478.10245025</v>
      </c>
      <c r="I119" s="72">
        <f>IFERROR(VLOOKUP($D119,'FERC 2022'!$EA$3:$EN$229,3,0),"")</f>
        <v>350182367.89013517</v>
      </c>
      <c r="J119" s="72">
        <f>IFERROR(VLOOKUP($D119,'FERC 2023'!$EA$3:$EN$229,3,0),"")</f>
        <v>351913355.3014043</v>
      </c>
      <c r="K119" s="72">
        <f>IFERROR(VLOOKUP($D119,'FERC 2021'!$EA$3:$EN$229,4,0),"")</f>
        <v>89795363.43151018</v>
      </c>
      <c r="L119" s="72">
        <f>IFERROR(VLOOKUP($D119,'FERC 2022'!$EA$3:$EN$220,4,0),"")</f>
        <v>97792703.664348289</v>
      </c>
      <c r="M119" s="72">
        <f>IFERROR(VLOOKUP($D119,'FERC 2023'!$EA$3:$EN$221,4,0),"")</f>
        <v>88089436.65968138</v>
      </c>
      <c r="N119" s="72">
        <f>IFERROR(VLOOKUP($D119,'FERC 2021'!$EA$3:$EN$221,5,0),"")</f>
        <v>100951760.52502663</v>
      </c>
      <c r="O119" s="72">
        <f>IFERROR(VLOOKUP($D119,'FERC 2022'!$EA$3:$EN$220,5,0),"")</f>
        <v>99532270.087868407</v>
      </c>
      <c r="P119" s="72">
        <f>IFERROR(VLOOKUP($D119,'FERC 2023'!$EA$3:$EN$221,5,0),"")</f>
        <v>99770773.862389922</v>
      </c>
      <c r="Q119" s="72">
        <f>IFERROR(VLOOKUP($D119,'FERC 2021'!$EA$3:$EN$221,6,0),"")</f>
        <v>19229941.010565322</v>
      </c>
      <c r="R119" s="72">
        <f>IFERROR(VLOOKUP($D119,'FERC 2022'!$EA$3:$EN$220,6,0),"")</f>
        <v>14323900.413816594</v>
      </c>
      <c r="S119" s="72">
        <f>IFERROR(VLOOKUP($D119,'FERC 2023'!$EA$3:$EN$221,6,0),"")</f>
        <v>15584258.98875024</v>
      </c>
      <c r="T119" s="72">
        <f>IFERROR(VLOOKUP($D119,'FERC 2021'!$EA$3:$EN$221,7,0),"")</f>
        <v>5281</v>
      </c>
      <c r="U119" s="72">
        <f>IFERROR(VLOOKUP($D119,'FERC 2022'!$EA$3:$EN$220,7,0),"")</f>
        <v>5419</v>
      </c>
      <c r="V119" s="72">
        <f>IFERROR(VLOOKUP($D119,'FERC 2023'!$EA$3:$EN$221,7,0),"")</f>
        <v>5587</v>
      </c>
      <c r="W119" s="72">
        <f>IFERROR(VLOOKUP($D119,'FERC 2021'!$EA$3:$EN$221,8,0),"")</f>
        <v>1144828</v>
      </c>
      <c r="X119" s="72">
        <f>IFERROR(VLOOKUP($D119,'FERC 2022'!$EA$3:$EN$220,8,0),"")</f>
        <v>1148144</v>
      </c>
      <c r="Y119" s="72">
        <f>IFERROR(VLOOKUP($D119,'FERC 2023'!$EA$3:$EN$221,8,0),"")</f>
        <v>1159303</v>
      </c>
      <c r="Z119" s="72">
        <f>IFERROR(VLOOKUP($D119,'FERC 2021'!$EA$3:$EN$222,9,0),"")</f>
        <v>760217</v>
      </c>
      <c r="AA119" s="72">
        <f>IFERROR(VLOOKUP($D119,'FERC 2022'!$EA$3:$EN$220,9,0),"")</f>
        <v>789994</v>
      </c>
      <c r="AB119" s="72">
        <f>IFERROR(VLOOKUP($D119,'FERC 2023'!$EA$3:$EN$221,9,0),"")</f>
        <v>754351</v>
      </c>
      <c r="AC119" s="72">
        <f>IFERROR(VLOOKUP($D119,'FERC 2021'!$EA$3:$EN$221,10,0),"")</f>
        <v>23573061</v>
      </c>
      <c r="AD119" s="72">
        <f>IFERROR(VLOOKUP($D119,'FERC 2022'!$EA$3:$EN$220,10,0),"")</f>
        <v>23525508</v>
      </c>
      <c r="AE119" s="72">
        <f>IFERROR(VLOOKUP($D119,'FERC 2023'!$EA$3:$EN$221,10,0),"")</f>
        <v>22918893</v>
      </c>
      <c r="AF119" s="72">
        <f>IFERROR(VLOOKUP($D119,'FERC 2021'!$EA$3:$EN$221,11,0),"")</f>
        <v>24235864.649746194</v>
      </c>
      <c r="AG119" s="72">
        <f>IFERROR(VLOOKUP($D119,'FERC 2022'!$EA$3:$EN$220,11,0),"")</f>
        <v>24235136.081218272</v>
      </c>
      <c r="AH119" s="72">
        <f>IFERROR(VLOOKUP($D119,'FERC 2023'!$EA$3:$EN$221,11,0),"")</f>
        <v>23566899.49746193</v>
      </c>
      <c r="AI119" s="72">
        <f>IFERROR(VLOOKUP($D119,'FERC 2021'!$EA$3:$EN$221,12,0),"")</f>
        <v>116772456</v>
      </c>
      <c r="AJ119" s="72">
        <f>IFERROR(VLOOKUP($D119,'FERC 2022'!$EA$3:$EN$220,12,0),"")</f>
        <v>138925424</v>
      </c>
      <c r="AK119" s="72">
        <f>IFERROR(VLOOKUP($D119,'FERC 2023'!$EA$3:$EN$221,12,0),"")</f>
        <v>98540755</v>
      </c>
      <c r="AL119" s="72">
        <f>VLOOKUP($D119,'FERC 2021'!$EA$3:$EN$221,13,0)</f>
        <v>1293655.6399999999</v>
      </c>
      <c r="AM119" s="72">
        <f>VLOOKUP($D119,'FERC 2022'!$EA$3:$EN$220,13,0)</f>
        <v>1205551.2</v>
      </c>
      <c r="AN119" s="72">
        <f>VLOOKUP($D119,'FERC 2023'!$EA$3:$EN$221,13,0)</f>
        <v>1205675.1200000001</v>
      </c>
      <c r="AO119" s="72">
        <f>IFERROR(VLOOKUP($D119,'FERC 2021'!$EA$3:$EN$221,14,0),"")</f>
        <v>1169045</v>
      </c>
      <c r="AP119" s="72">
        <f>IFERROR(VLOOKUP($D119,'FERC 2022'!$EA$3:$EN$220,14,0),"")</f>
        <v>1177440</v>
      </c>
      <c r="AQ119" s="72">
        <f>IFERROR(VLOOKUP($D119,'FERC 2023'!$EA$3:$EN$221,14,0),"")</f>
        <v>1192600</v>
      </c>
    </row>
    <row r="120" spans="1:43" ht="15.75" hidden="1" customHeight="1">
      <c r="A120" s="7" t="s">
        <v>559</v>
      </c>
      <c r="B120" s="7" t="s">
        <v>560</v>
      </c>
      <c r="C120" s="311" t="str">
        <f>'BD DEA'!P120</f>
        <v/>
      </c>
      <c r="D120" s="44" t="str">
        <f t="shared" si="0"/>
        <v>C001322</v>
      </c>
      <c r="E120" s="72" t="str">
        <f>IFERROR(VLOOKUP($D120,'FERC 2021'!$EA$3:$EN$221,2,0),"")</f>
        <v/>
      </c>
      <c r="F120" s="72" t="str">
        <f>IFERROR(VLOOKUP($D120,'FERC 2022'!$EA$3:$EN$220,2,0),"")</f>
        <v/>
      </c>
      <c r="G120" s="72" t="str">
        <f>IFERROR(VLOOKUP($D120,'FERC 2023'!$EA$3:$EN$221,2,0),"")</f>
        <v/>
      </c>
      <c r="H120" s="72" t="str">
        <f>IFERROR(VLOOKUP($D120,'FERC 2021'!$EA$3:$EN$225,3,0),"")</f>
        <v/>
      </c>
      <c r="I120" s="72" t="str">
        <f>IFERROR(VLOOKUP($D120,'FERC 2022'!$EA$3:$EN$229,3,0),"")</f>
        <v/>
      </c>
      <c r="J120" s="72" t="str">
        <f>IFERROR(VLOOKUP($D120,'FERC 2023'!$EA$3:$EN$229,3,0),"")</f>
        <v/>
      </c>
      <c r="K120" s="72" t="str">
        <f>IFERROR(VLOOKUP($D120,'FERC 2021'!$EA$3:$EN$229,4,0),"")</f>
        <v/>
      </c>
      <c r="L120" s="72" t="str">
        <f>IFERROR(VLOOKUP($D120,'FERC 2022'!$EA$3:$EN$220,4,0),"")</f>
        <v/>
      </c>
      <c r="M120" s="72" t="str">
        <f>IFERROR(VLOOKUP($D120,'FERC 2023'!$EA$3:$EN$221,4,0),"")</f>
        <v/>
      </c>
      <c r="N120" s="72" t="str">
        <f>IFERROR(VLOOKUP($D120,'FERC 2021'!$EA$3:$EN$221,5,0),"")</f>
        <v/>
      </c>
      <c r="O120" s="72" t="str">
        <f>IFERROR(VLOOKUP($D120,'FERC 2022'!$EA$3:$EN$220,5,0),"")</f>
        <v/>
      </c>
      <c r="P120" s="72" t="str">
        <f>IFERROR(VLOOKUP($D120,'FERC 2023'!$EA$3:$EN$221,5,0),"")</f>
        <v/>
      </c>
      <c r="Q120" s="72" t="str">
        <f>IFERROR(VLOOKUP($D120,'FERC 2021'!$EA$3:$EN$221,6,0),"")</f>
        <v/>
      </c>
      <c r="R120" s="72" t="str">
        <f>IFERROR(VLOOKUP($D120,'FERC 2022'!$EA$3:$EN$220,6,0),"")</f>
        <v/>
      </c>
      <c r="S120" s="72" t="str">
        <f>IFERROR(VLOOKUP($D120,'FERC 2023'!$EA$3:$EN$221,6,0),"")</f>
        <v/>
      </c>
      <c r="T120" s="72" t="str">
        <f>IFERROR(VLOOKUP($D120,'FERC 2021'!$EA$3:$EN$221,7,0),"")</f>
        <v/>
      </c>
      <c r="U120" s="72" t="str">
        <f>IFERROR(VLOOKUP($D120,'FERC 2022'!$EA$3:$EN$220,7,0),"")</f>
        <v/>
      </c>
      <c r="V120" s="72" t="str">
        <f>IFERROR(VLOOKUP($D120,'FERC 2023'!$EA$3:$EN$221,7,0),"")</f>
        <v/>
      </c>
      <c r="W120" s="72" t="str">
        <f>IFERROR(VLOOKUP($D120,'FERC 2021'!$EA$3:$EN$221,8,0),"")</f>
        <v/>
      </c>
      <c r="X120" s="72" t="str">
        <f>IFERROR(VLOOKUP($D120,'FERC 2022'!$EA$3:$EN$220,8,0),"")</f>
        <v/>
      </c>
      <c r="Y120" s="72" t="str">
        <f>IFERROR(VLOOKUP($D120,'FERC 2023'!$EA$3:$EN$221,8,0),"")</f>
        <v/>
      </c>
      <c r="Z120" s="72" t="str">
        <f>IFERROR(VLOOKUP($D120,'FERC 2021'!$EA$3:$EN$222,9,0),"")</f>
        <v/>
      </c>
      <c r="AA120" s="72" t="str">
        <f>IFERROR(VLOOKUP($D120,'FERC 2022'!$EA$3:$EN$220,9,0),"")</f>
        <v/>
      </c>
      <c r="AB120" s="72" t="str">
        <f>IFERROR(VLOOKUP($D120,'FERC 2023'!$EA$3:$EN$221,9,0),"")</f>
        <v/>
      </c>
      <c r="AC120" s="72" t="str">
        <f>IFERROR(VLOOKUP($D120,'FERC 2021'!$EA$3:$EN$221,10,0),"")</f>
        <v/>
      </c>
      <c r="AD120" s="72" t="str">
        <f>IFERROR(VLOOKUP($D120,'FERC 2022'!$EA$3:$EN$220,10,0),"")</f>
        <v/>
      </c>
      <c r="AE120" s="72" t="str">
        <f>IFERROR(VLOOKUP($D120,'FERC 2023'!$EA$3:$EN$221,10,0),"")</f>
        <v/>
      </c>
      <c r="AF120" s="72" t="str">
        <f>IFERROR(VLOOKUP($D120,'FERC 2021'!$EA$3:$EN$221,11,0),"")</f>
        <v/>
      </c>
      <c r="AG120" s="72" t="str">
        <f>IFERROR(VLOOKUP($D120,'FERC 2022'!$EA$3:$EN$220,11,0),"")</f>
        <v/>
      </c>
      <c r="AH120" s="72" t="str">
        <f>IFERROR(VLOOKUP($D120,'FERC 2023'!$EA$3:$EN$221,11,0),"")</f>
        <v/>
      </c>
      <c r="AI120" s="72" t="str">
        <f>IFERROR(VLOOKUP($D120,'FERC 2021'!$EA$3:$EN$221,12,0),"")</f>
        <v/>
      </c>
      <c r="AJ120" s="72" t="str">
        <f>IFERROR(VLOOKUP($D120,'FERC 2022'!$EA$3:$EN$220,12,0),"")</f>
        <v/>
      </c>
      <c r="AK120" s="72" t="str">
        <f>IFERROR(VLOOKUP($D120,'FERC 2023'!$EA$3:$EN$221,12,0),"")</f>
        <v/>
      </c>
      <c r="AL120" s="72" t="str">
        <f>VLOOKUP($D120,'FERC 2021'!$EA$3:$EN$221,13,0)</f>
        <v/>
      </c>
      <c r="AM120" s="72" t="str">
        <f>VLOOKUP($D120,'FERC 2022'!$EA$3:$EN$220,13,0)</f>
        <v/>
      </c>
      <c r="AN120" s="72" t="str">
        <f>VLOOKUP($D120,'FERC 2023'!$EA$3:$EN$221,13,0)</f>
        <v/>
      </c>
      <c r="AO120" s="72" t="str">
        <f>IFERROR(VLOOKUP($D120,'FERC 2021'!$EA$3:$EN$221,14,0),"")</f>
        <v/>
      </c>
      <c r="AP120" s="72" t="str">
        <f>IFERROR(VLOOKUP($D120,'FERC 2022'!$EA$3:$EN$220,14,0),"")</f>
        <v/>
      </c>
      <c r="AQ120" s="72" t="str">
        <f>IFERROR(VLOOKUP($D120,'FERC 2023'!$EA$3:$EN$221,14,0),"")</f>
        <v/>
      </c>
    </row>
    <row r="121" spans="1:43" ht="15.75" hidden="1" customHeight="1">
      <c r="A121" s="7" t="s">
        <v>562</v>
      </c>
      <c r="B121" s="7" t="s">
        <v>563</v>
      </c>
      <c r="C121" s="311" t="str">
        <f>'BD DEA'!P121</f>
        <v/>
      </c>
      <c r="D121" s="44" t="str">
        <f t="shared" si="0"/>
        <v>C001330</v>
      </c>
      <c r="E121" s="72" t="str">
        <f>IFERROR(VLOOKUP($D121,'FERC 2021'!$EA$3:$EN$221,2,0),"")</f>
        <v/>
      </c>
      <c r="F121" s="72" t="str">
        <f>IFERROR(VLOOKUP($D121,'FERC 2022'!$EA$3:$EN$220,2,0),"")</f>
        <v/>
      </c>
      <c r="G121" s="72" t="str">
        <f>IFERROR(VLOOKUP($D121,'FERC 2023'!$EA$3:$EN$221,2,0),"")</f>
        <v/>
      </c>
      <c r="H121" s="72" t="str">
        <f>IFERROR(VLOOKUP($D121,'FERC 2021'!$EA$3:$EN$225,3,0),"")</f>
        <v/>
      </c>
      <c r="I121" s="72" t="str">
        <f>IFERROR(VLOOKUP($D121,'FERC 2022'!$EA$3:$EN$229,3,0),"")</f>
        <v/>
      </c>
      <c r="J121" s="72" t="str">
        <f>IFERROR(VLOOKUP($D121,'FERC 2023'!$EA$3:$EN$229,3,0),"")</f>
        <v/>
      </c>
      <c r="K121" s="72" t="str">
        <f>IFERROR(VLOOKUP($D121,'FERC 2021'!$EA$3:$EN$229,4,0),"")</f>
        <v/>
      </c>
      <c r="L121" s="72" t="str">
        <f>IFERROR(VLOOKUP($D121,'FERC 2022'!$EA$3:$EN$220,4,0),"")</f>
        <v/>
      </c>
      <c r="M121" s="72" t="str">
        <f>IFERROR(VLOOKUP($D121,'FERC 2023'!$EA$3:$EN$221,4,0),"")</f>
        <v/>
      </c>
      <c r="N121" s="72" t="str">
        <f>IFERROR(VLOOKUP($D121,'FERC 2021'!$EA$3:$EN$221,5,0),"")</f>
        <v/>
      </c>
      <c r="O121" s="72" t="str">
        <f>IFERROR(VLOOKUP($D121,'FERC 2022'!$EA$3:$EN$220,5,0),"")</f>
        <v/>
      </c>
      <c r="P121" s="72" t="str">
        <f>IFERROR(VLOOKUP($D121,'FERC 2023'!$EA$3:$EN$221,5,0),"")</f>
        <v/>
      </c>
      <c r="Q121" s="72" t="str">
        <f>IFERROR(VLOOKUP($D121,'FERC 2021'!$EA$3:$EN$221,6,0),"")</f>
        <v/>
      </c>
      <c r="R121" s="72" t="str">
        <f>IFERROR(VLOOKUP($D121,'FERC 2022'!$EA$3:$EN$220,6,0),"")</f>
        <v/>
      </c>
      <c r="S121" s="72" t="str">
        <f>IFERROR(VLOOKUP($D121,'FERC 2023'!$EA$3:$EN$221,6,0),"")</f>
        <v/>
      </c>
      <c r="T121" s="72" t="str">
        <f>IFERROR(VLOOKUP($D121,'FERC 2021'!$EA$3:$EN$221,7,0),"")</f>
        <v/>
      </c>
      <c r="U121" s="72" t="str">
        <f>IFERROR(VLOOKUP($D121,'FERC 2022'!$EA$3:$EN$220,7,0),"")</f>
        <v/>
      </c>
      <c r="V121" s="72" t="str">
        <f>IFERROR(VLOOKUP($D121,'FERC 2023'!$EA$3:$EN$221,7,0),"")</f>
        <v/>
      </c>
      <c r="W121" s="72" t="str">
        <f>IFERROR(VLOOKUP($D121,'FERC 2021'!$EA$3:$EN$221,8,0),"")</f>
        <v/>
      </c>
      <c r="X121" s="72" t="str">
        <f>IFERROR(VLOOKUP($D121,'FERC 2022'!$EA$3:$EN$220,8,0),"")</f>
        <v/>
      </c>
      <c r="Y121" s="72" t="str">
        <f>IFERROR(VLOOKUP($D121,'FERC 2023'!$EA$3:$EN$221,8,0),"")</f>
        <v/>
      </c>
      <c r="Z121" s="72" t="str">
        <f>IFERROR(VLOOKUP($D121,'FERC 2021'!$EA$3:$EN$222,9,0),"")</f>
        <v/>
      </c>
      <c r="AA121" s="72" t="str">
        <f>IFERROR(VLOOKUP($D121,'FERC 2022'!$EA$3:$EN$220,9,0),"")</f>
        <v/>
      </c>
      <c r="AB121" s="72" t="str">
        <f>IFERROR(VLOOKUP($D121,'FERC 2023'!$EA$3:$EN$221,9,0),"")</f>
        <v/>
      </c>
      <c r="AC121" s="72" t="str">
        <f>IFERROR(VLOOKUP($D121,'FERC 2021'!$EA$3:$EN$221,10,0),"")</f>
        <v/>
      </c>
      <c r="AD121" s="72" t="str">
        <f>IFERROR(VLOOKUP($D121,'FERC 2022'!$EA$3:$EN$220,10,0),"")</f>
        <v/>
      </c>
      <c r="AE121" s="72" t="str">
        <f>IFERROR(VLOOKUP($D121,'FERC 2023'!$EA$3:$EN$221,10,0),"")</f>
        <v/>
      </c>
      <c r="AF121" s="72" t="str">
        <f>IFERROR(VLOOKUP($D121,'FERC 2021'!$EA$3:$EN$221,11,0),"")</f>
        <v/>
      </c>
      <c r="AG121" s="72" t="str">
        <f>IFERROR(VLOOKUP($D121,'FERC 2022'!$EA$3:$EN$220,11,0),"")</f>
        <v/>
      </c>
      <c r="AH121" s="72" t="str">
        <f>IFERROR(VLOOKUP($D121,'FERC 2023'!$EA$3:$EN$221,11,0),"")</f>
        <v/>
      </c>
      <c r="AI121" s="72" t="str">
        <f>IFERROR(VLOOKUP($D121,'FERC 2021'!$EA$3:$EN$221,12,0),"")</f>
        <v/>
      </c>
      <c r="AJ121" s="72" t="str">
        <f>IFERROR(VLOOKUP($D121,'FERC 2022'!$EA$3:$EN$220,12,0),"")</f>
        <v/>
      </c>
      <c r="AK121" s="72" t="str">
        <f>IFERROR(VLOOKUP($D121,'FERC 2023'!$EA$3:$EN$221,12,0),"")</f>
        <v/>
      </c>
      <c r="AL121" s="72" t="str">
        <f>VLOOKUP($D121,'FERC 2021'!$EA$3:$EN$221,13,0)</f>
        <v/>
      </c>
      <c r="AM121" s="72" t="str">
        <f>VLOOKUP($D121,'FERC 2022'!$EA$3:$EN$220,13,0)</f>
        <v/>
      </c>
      <c r="AN121" s="72" t="str">
        <f>VLOOKUP($D121,'FERC 2023'!$EA$3:$EN$221,13,0)</f>
        <v/>
      </c>
      <c r="AO121" s="72" t="str">
        <f>IFERROR(VLOOKUP($D121,'FERC 2021'!$EA$3:$EN$221,14,0),"")</f>
        <v/>
      </c>
      <c r="AP121" s="72" t="str">
        <f>IFERROR(VLOOKUP($D121,'FERC 2022'!$EA$3:$EN$220,14,0),"")</f>
        <v/>
      </c>
      <c r="AQ121" s="72" t="str">
        <f>IFERROR(VLOOKUP($D121,'FERC 2023'!$EA$3:$EN$221,14,0),"")</f>
        <v/>
      </c>
    </row>
    <row r="122" spans="1:43" ht="15.75" hidden="1" customHeight="1">
      <c r="A122" s="7" t="s">
        <v>565</v>
      </c>
      <c r="B122" s="7" t="s">
        <v>566</v>
      </c>
      <c r="C122" s="311" t="str">
        <f>'BD DEA'!P122</f>
        <v/>
      </c>
      <c r="D122" s="44" t="str">
        <f t="shared" si="0"/>
        <v>C001344</v>
      </c>
      <c r="E122" s="72" t="str">
        <f>IFERROR(VLOOKUP($D122,'FERC 2021'!$EA$3:$EN$221,2,0),"")</f>
        <v/>
      </c>
      <c r="F122" s="72" t="str">
        <f>IFERROR(VLOOKUP($D122,'FERC 2022'!$EA$3:$EN$220,2,0),"")</f>
        <v/>
      </c>
      <c r="G122" s="72" t="str">
        <f>IFERROR(VLOOKUP($D122,'FERC 2023'!$EA$3:$EN$221,2,0),"")</f>
        <v/>
      </c>
      <c r="H122" s="72" t="str">
        <f>IFERROR(VLOOKUP($D122,'FERC 2021'!$EA$3:$EN$225,3,0),"")</f>
        <v/>
      </c>
      <c r="I122" s="72" t="str">
        <f>IFERROR(VLOOKUP($D122,'FERC 2022'!$EA$3:$EN$229,3,0),"")</f>
        <v/>
      </c>
      <c r="J122" s="72" t="str">
        <f>IFERROR(VLOOKUP($D122,'FERC 2023'!$EA$3:$EN$229,3,0),"")</f>
        <v/>
      </c>
      <c r="K122" s="72" t="str">
        <f>IFERROR(VLOOKUP($D122,'FERC 2021'!$EA$3:$EN$229,4,0),"")</f>
        <v/>
      </c>
      <c r="L122" s="72" t="str">
        <f>IFERROR(VLOOKUP($D122,'FERC 2022'!$EA$3:$EN$220,4,0),"")</f>
        <v/>
      </c>
      <c r="M122" s="72" t="str">
        <f>IFERROR(VLOOKUP($D122,'FERC 2023'!$EA$3:$EN$221,4,0),"")</f>
        <v/>
      </c>
      <c r="N122" s="72" t="str">
        <f>IFERROR(VLOOKUP($D122,'FERC 2021'!$EA$3:$EN$221,5,0),"")</f>
        <v/>
      </c>
      <c r="O122" s="72" t="str">
        <f>IFERROR(VLOOKUP($D122,'FERC 2022'!$EA$3:$EN$220,5,0),"")</f>
        <v/>
      </c>
      <c r="P122" s="72" t="str">
        <f>IFERROR(VLOOKUP($D122,'FERC 2023'!$EA$3:$EN$221,5,0),"")</f>
        <v/>
      </c>
      <c r="Q122" s="72" t="str">
        <f>IFERROR(VLOOKUP($D122,'FERC 2021'!$EA$3:$EN$221,6,0),"")</f>
        <v/>
      </c>
      <c r="R122" s="72" t="str">
        <f>IFERROR(VLOOKUP($D122,'FERC 2022'!$EA$3:$EN$220,6,0),"")</f>
        <v/>
      </c>
      <c r="S122" s="72" t="str">
        <f>IFERROR(VLOOKUP($D122,'FERC 2023'!$EA$3:$EN$221,6,0),"")</f>
        <v/>
      </c>
      <c r="T122" s="72" t="str">
        <f>IFERROR(VLOOKUP($D122,'FERC 2021'!$EA$3:$EN$221,7,0),"")</f>
        <v/>
      </c>
      <c r="U122" s="72" t="str">
        <f>IFERROR(VLOOKUP($D122,'FERC 2022'!$EA$3:$EN$220,7,0),"")</f>
        <v/>
      </c>
      <c r="V122" s="72" t="str">
        <f>IFERROR(VLOOKUP($D122,'FERC 2023'!$EA$3:$EN$221,7,0),"")</f>
        <v/>
      </c>
      <c r="W122" s="72" t="str">
        <f>IFERROR(VLOOKUP($D122,'FERC 2021'!$EA$3:$EN$221,8,0),"")</f>
        <v/>
      </c>
      <c r="X122" s="72" t="str">
        <f>IFERROR(VLOOKUP($D122,'FERC 2022'!$EA$3:$EN$220,8,0),"")</f>
        <v/>
      </c>
      <c r="Y122" s="72" t="str">
        <f>IFERROR(VLOOKUP($D122,'FERC 2023'!$EA$3:$EN$221,8,0),"")</f>
        <v/>
      </c>
      <c r="Z122" s="72" t="str">
        <f>IFERROR(VLOOKUP($D122,'FERC 2021'!$EA$3:$EN$222,9,0),"")</f>
        <v/>
      </c>
      <c r="AA122" s="72" t="str">
        <f>IFERROR(VLOOKUP($D122,'FERC 2022'!$EA$3:$EN$220,9,0),"")</f>
        <v/>
      </c>
      <c r="AB122" s="72" t="str">
        <f>IFERROR(VLOOKUP($D122,'FERC 2023'!$EA$3:$EN$221,9,0),"")</f>
        <v/>
      </c>
      <c r="AC122" s="72" t="str">
        <f>IFERROR(VLOOKUP($D122,'FERC 2021'!$EA$3:$EN$221,10,0),"")</f>
        <v/>
      </c>
      <c r="AD122" s="72" t="str">
        <f>IFERROR(VLOOKUP($D122,'FERC 2022'!$EA$3:$EN$220,10,0),"")</f>
        <v/>
      </c>
      <c r="AE122" s="72" t="str">
        <f>IFERROR(VLOOKUP($D122,'FERC 2023'!$EA$3:$EN$221,10,0),"")</f>
        <v/>
      </c>
      <c r="AF122" s="72" t="str">
        <f>IFERROR(VLOOKUP($D122,'FERC 2021'!$EA$3:$EN$221,11,0),"")</f>
        <v/>
      </c>
      <c r="AG122" s="72" t="str">
        <f>IFERROR(VLOOKUP($D122,'FERC 2022'!$EA$3:$EN$220,11,0),"")</f>
        <v/>
      </c>
      <c r="AH122" s="72" t="str">
        <f>IFERROR(VLOOKUP($D122,'FERC 2023'!$EA$3:$EN$221,11,0),"")</f>
        <v/>
      </c>
      <c r="AI122" s="72" t="str">
        <f>IFERROR(VLOOKUP($D122,'FERC 2021'!$EA$3:$EN$221,12,0),"")</f>
        <v/>
      </c>
      <c r="AJ122" s="72" t="str">
        <f>IFERROR(VLOOKUP($D122,'FERC 2022'!$EA$3:$EN$220,12,0),"")</f>
        <v/>
      </c>
      <c r="AK122" s="72" t="str">
        <f>IFERROR(VLOOKUP($D122,'FERC 2023'!$EA$3:$EN$221,12,0),"")</f>
        <v/>
      </c>
      <c r="AL122" s="72" t="str">
        <f>VLOOKUP($D122,'FERC 2021'!$EA$3:$EN$221,13,0)</f>
        <v/>
      </c>
      <c r="AM122" s="72" t="str">
        <f>VLOOKUP($D122,'FERC 2022'!$EA$3:$EN$220,13,0)</f>
        <v/>
      </c>
      <c r="AN122" s="72" t="str">
        <f>VLOOKUP($D122,'FERC 2023'!$EA$3:$EN$221,13,0)</f>
        <v/>
      </c>
      <c r="AO122" s="72" t="str">
        <f>IFERROR(VLOOKUP($D122,'FERC 2021'!$EA$3:$EN$221,14,0),"")</f>
        <v/>
      </c>
      <c r="AP122" s="72" t="str">
        <f>IFERROR(VLOOKUP($D122,'FERC 2022'!$EA$3:$EN$220,14,0),"")</f>
        <v/>
      </c>
      <c r="AQ122" s="72" t="str">
        <f>IFERROR(VLOOKUP($D122,'FERC 2023'!$EA$3:$EN$221,14,0),"")</f>
        <v/>
      </c>
    </row>
    <row r="123" spans="1:43" ht="15.75" hidden="1" customHeight="1">
      <c r="A123" s="7" t="s">
        <v>568</v>
      </c>
      <c r="B123" s="7" t="s">
        <v>569</v>
      </c>
      <c r="C123" s="311" t="str">
        <f>'BD DEA'!P123</f>
        <v/>
      </c>
      <c r="D123" s="44" t="str">
        <f t="shared" si="0"/>
        <v>C001346</v>
      </c>
      <c r="E123" s="72">
        <f>IFERROR(VLOOKUP($D123,'FERC 2021'!$EA$3:$EN$221,2,0),"")</f>
        <v>4268722844.8974295</v>
      </c>
      <c r="F123" s="72">
        <f>IFERROR(VLOOKUP($D123,'FERC 2022'!$EA$3:$EN$220,2,0),"")</f>
        <v>4386688694.7240705</v>
      </c>
      <c r="G123" s="72">
        <f>IFERROR(VLOOKUP($D123,'FERC 2023'!$EA$3:$EN$221,2,0),"")</f>
        <v>4749750279.4800863</v>
      </c>
      <c r="H123" s="72">
        <f>IFERROR(VLOOKUP($D123,'FERC 2021'!$EA$3:$EN$225,3,0),"")</f>
        <v>218272490.73435798</v>
      </c>
      <c r="I123" s="72">
        <f>IFERROR(VLOOKUP($D123,'FERC 2022'!$EA$3:$EN$229,3,0),"")</f>
        <v>212440203.60674572</v>
      </c>
      <c r="J123" s="72">
        <f>IFERROR(VLOOKUP($D123,'FERC 2023'!$EA$3:$EN$229,3,0),"")</f>
        <v>232064565.38602605</v>
      </c>
      <c r="K123" s="72">
        <f>IFERROR(VLOOKUP($D123,'FERC 2021'!$EA$3:$EN$229,4,0),"")</f>
        <v>59629429.720107675</v>
      </c>
      <c r="L123" s="72">
        <f>IFERROR(VLOOKUP($D123,'FERC 2022'!$EA$3:$EN$220,4,0),"")</f>
        <v>60470790.574720621</v>
      </c>
      <c r="M123" s="72">
        <f>IFERROR(VLOOKUP($D123,'FERC 2023'!$EA$3:$EN$221,4,0),"")</f>
        <v>51287866.764956713</v>
      </c>
      <c r="N123" s="72">
        <f>IFERROR(VLOOKUP($D123,'FERC 2021'!$EA$3:$EN$221,5,0),"")</f>
        <v>57796481.504820518</v>
      </c>
      <c r="O123" s="72">
        <f>IFERROR(VLOOKUP($D123,'FERC 2022'!$EA$3:$EN$220,5,0),"")</f>
        <v>54480869.977030985</v>
      </c>
      <c r="P123" s="72">
        <f>IFERROR(VLOOKUP($D123,'FERC 2023'!$EA$3:$EN$221,5,0),"")</f>
        <v>79587728.53001228</v>
      </c>
      <c r="Q123" s="72">
        <f>IFERROR(VLOOKUP($D123,'FERC 2021'!$EA$3:$EN$221,6,0),"")</f>
        <v>134375518.75003278</v>
      </c>
      <c r="R123" s="72">
        <f>IFERROR(VLOOKUP($D123,'FERC 2022'!$EA$3:$EN$220,6,0),"")</f>
        <v>132940615.71031719</v>
      </c>
      <c r="S123" s="72">
        <f>IFERROR(VLOOKUP($D123,'FERC 2023'!$EA$3:$EN$221,6,0),"")</f>
        <v>123867013.59772435</v>
      </c>
      <c r="T123" s="72">
        <f>IFERROR(VLOOKUP($D123,'FERC 2021'!$EA$3:$EN$221,7,0),"")</f>
        <v>2759</v>
      </c>
      <c r="U123" s="72">
        <f>IFERROR(VLOOKUP($D123,'FERC 2022'!$EA$3:$EN$220,7,0),"")</f>
        <v>2715</v>
      </c>
      <c r="V123" s="72">
        <f>IFERROR(VLOOKUP($D123,'FERC 2023'!$EA$3:$EN$221,7,0),"")</f>
        <v>2534</v>
      </c>
      <c r="W123" s="72">
        <f>IFERROR(VLOOKUP($D123,'FERC 2021'!$EA$3:$EN$221,8,0),"")</f>
        <v>606085</v>
      </c>
      <c r="X123" s="72">
        <f>IFERROR(VLOOKUP($D123,'FERC 2022'!$EA$3:$EN$220,8,0),"")</f>
        <v>609008</v>
      </c>
      <c r="Y123" s="72">
        <f>IFERROR(VLOOKUP($D123,'FERC 2023'!$EA$3:$EN$221,8,0),"")</f>
        <v>611282</v>
      </c>
      <c r="Z123" s="72">
        <f>IFERROR(VLOOKUP($D123,'FERC 2021'!$EA$3:$EN$222,9,0),"")</f>
        <v>556932</v>
      </c>
      <c r="AA123" s="72">
        <f>IFERROR(VLOOKUP($D123,'FERC 2022'!$EA$3:$EN$220,9,0),"")</f>
        <v>798339</v>
      </c>
      <c r="AB123" s="72">
        <f>IFERROR(VLOOKUP($D123,'FERC 2023'!$EA$3:$EN$221,9,0),"")</f>
        <v>775971.14919036895</v>
      </c>
      <c r="AC123" s="72">
        <f>IFERROR(VLOOKUP($D123,'FERC 2021'!$EA$3:$EN$221,10,0),"")</f>
        <v>12557300</v>
      </c>
      <c r="AD123" s="72">
        <f>IFERROR(VLOOKUP($D123,'FERC 2022'!$EA$3:$EN$220,10,0),"")</f>
        <v>12445113</v>
      </c>
      <c r="AE123" s="72">
        <f>IFERROR(VLOOKUP($D123,'FERC 2023'!$EA$3:$EN$221,10,0),"")</f>
        <v>12096426</v>
      </c>
      <c r="AF123" s="72">
        <f>IFERROR(VLOOKUP($D123,'FERC 2021'!$EA$3:$EN$221,11,0),"")</f>
        <v>13113866.898477158</v>
      </c>
      <c r="AG123" s="72">
        <f>IFERROR(VLOOKUP($D123,'FERC 2022'!$EA$3:$EN$220,11,0),"")</f>
        <v>13243115.680203045</v>
      </c>
      <c r="AH123" s="72">
        <f>IFERROR(VLOOKUP($D123,'FERC 2023'!$EA$3:$EN$221,11,0),"")</f>
        <v>12872051.63142387</v>
      </c>
      <c r="AI123" s="72">
        <f>IFERROR(VLOOKUP($D123,'FERC 2021'!$EA$3:$EN$221,12,0),"")</f>
        <v>104852705</v>
      </c>
      <c r="AJ123" s="72">
        <f>IFERROR(VLOOKUP($D123,'FERC 2022'!$EA$3:$EN$220,12,0),"")</f>
        <v>81607072</v>
      </c>
      <c r="AK123" s="72">
        <f>IFERROR(VLOOKUP($D123,'FERC 2023'!$EA$3:$EN$221,12,0),"")</f>
        <v>38510766</v>
      </c>
      <c r="AL123" s="72">
        <f>VLOOKUP($D123,'FERC 2021'!$EA$3:$EN$221,13,0)</f>
        <v>563659.05000000005</v>
      </c>
      <c r="AM123" s="72">
        <f>VLOOKUP($D123,'FERC 2022'!$EA$3:$EN$220,13,0)</f>
        <v>554197.28</v>
      </c>
      <c r="AN123" s="72">
        <f>VLOOKUP($D123,'FERC 2023'!$EA$3:$EN$221,13,0)</f>
        <v>482912.78</v>
      </c>
      <c r="AO123" s="72">
        <f>IFERROR(VLOOKUP($D123,'FERC 2021'!$EA$3:$EN$221,14,0),"")</f>
        <v>606754</v>
      </c>
      <c r="AP123" s="72">
        <f>IFERROR(VLOOKUP($D123,'FERC 2022'!$EA$3:$EN$220,14,0),"")</f>
        <v>602356</v>
      </c>
      <c r="AQ123" s="72">
        <f>IFERROR(VLOOKUP($D123,'FERC 2023'!$EA$3:$EN$221,14,0),"")</f>
        <v>612900</v>
      </c>
    </row>
    <row r="124" spans="1:43" ht="15.75" hidden="1" customHeight="1">
      <c r="A124" s="7" t="s">
        <v>571</v>
      </c>
      <c r="B124" s="7" t="s">
        <v>572</v>
      </c>
      <c r="C124" s="311" t="str">
        <f>'BD DEA'!P124</f>
        <v/>
      </c>
      <c r="D124" s="44" t="str">
        <f t="shared" si="0"/>
        <v>C001421</v>
      </c>
      <c r="E124" s="72">
        <f>IFERROR(VLOOKUP($D124,'FERC 2021'!$EA$3:$EN$221,2,0),"")</f>
        <v>709698151.16477084</v>
      </c>
      <c r="F124" s="72">
        <f>IFERROR(VLOOKUP($D124,'FERC 2022'!$EA$3:$EN$220,2,0),"")</f>
        <v>732097336.10991228</v>
      </c>
      <c r="G124" s="72">
        <f>IFERROR(VLOOKUP($D124,'FERC 2023'!$EA$3:$EN$221,2,0),"")</f>
        <v>734467123.29109001</v>
      </c>
      <c r="H124" s="72">
        <f>IFERROR(VLOOKUP($D124,'FERC 2021'!$EA$3:$EN$225,3,0),"")</f>
        <v>17144881.523087773</v>
      </c>
      <c r="I124" s="72">
        <f>IFERROR(VLOOKUP($D124,'FERC 2022'!$EA$3:$EN$229,3,0),"")</f>
        <v>18922302.07149177</v>
      </c>
      <c r="J124" s="72">
        <f>IFERROR(VLOOKUP($D124,'FERC 2023'!$EA$3:$EN$229,3,0),"")</f>
        <v>18750121.001744363</v>
      </c>
      <c r="K124" s="72">
        <f>IFERROR(VLOOKUP($D124,'FERC 2021'!$EA$3:$EN$229,4,0),"")</f>
        <v>16312985.276697127</v>
      </c>
      <c r="L124" s="72">
        <f>IFERROR(VLOOKUP($D124,'FERC 2022'!$EA$3:$EN$220,4,0),"")</f>
        <v>16174550.812853761</v>
      </c>
      <c r="M124" s="72">
        <f>IFERROR(VLOOKUP($D124,'FERC 2023'!$EA$3:$EN$221,4,0),"")</f>
        <v>13501636.120894218</v>
      </c>
      <c r="N124" s="72">
        <f>IFERROR(VLOOKUP($D124,'FERC 2021'!$EA$3:$EN$221,5,0),"")</f>
        <v>3928579.5770384674</v>
      </c>
      <c r="O124" s="72">
        <f>IFERROR(VLOOKUP($D124,'FERC 2022'!$EA$3:$EN$220,5,0),"")</f>
        <v>3783092.5530285775</v>
      </c>
      <c r="P124" s="72">
        <f>IFERROR(VLOOKUP($D124,'FERC 2023'!$EA$3:$EN$221,5,0),"")</f>
        <v>3552724.3503177022</v>
      </c>
      <c r="Q124" s="72">
        <f>IFERROR(VLOOKUP($D124,'FERC 2021'!$EA$3:$EN$221,6,0),"")</f>
        <v>9941160.7537471615</v>
      </c>
      <c r="R124" s="72">
        <f>IFERROR(VLOOKUP($D124,'FERC 2022'!$EA$3:$EN$220,6,0),"")</f>
        <v>10733887.67951542</v>
      </c>
      <c r="S124" s="72">
        <f>IFERROR(VLOOKUP($D124,'FERC 2023'!$EA$3:$EN$221,6,0),"")</f>
        <v>8778484.6668387074</v>
      </c>
      <c r="T124" s="72">
        <f>IFERROR(VLOOKUP($D124,'FERC 2021'!$EA$3:$EN$221,7,0),"")</f>
        <v>397</v>
      </c>
      <c r="U124" s="72">
        <f>IFERROR(VLOOKUP($D124,'FERC 2022'!$EA$3:$EN$220,7,0),"")</f>
        <v>403</v>
      </c>
      <c r="V124" s="72">
        <f>IFERROR(VLOOKUP($D124,'FERC 2023'!$EA$3:$EN$221,7,0),"")</f>
        <v>378</v>
      </c>
      <c r="W124" s="72">
        <f>IFERROR(VLOOKUP($D124,'FERC 2021'!$EA$3:$EN$221,8,0),"")</f>
        <v>74191</v>
      </c>
      <c r="X124" s="72">
        <f>IFERROR(VLOOKUP($D124,'FERC 2022'!$EA$3:$EN$220,8,0),"")</f>
        <v>75170</v>
      </c>
      <c r="Y124" s="72">
        <f>IFERROR(VLOOKUP($D124,'FERC 2023'!$EA$3:$EN$221,8,0),"")</f>
        <v>76481</v>
      </c>
      <c r="Z124" s="72">
        <f>IFERROR(VLOOKUP($D124,'FERC 2021'!$EA$3:$EN$222,9,0),"")</f>
        <v>241279</v>
      </c>
      <c r="AA124" s="72">
        <f>IFERROR(VLOOKUP($D124,'FERC 2022'!$EA$3:$EN$220,9,0),"")</f>
        <v>365819</v>
      </c>
      <c r="AB124" s="72">
        <f>IFERROR(VLOOKUP($D124,'FERC 2023'!$EA$3:$EN$221,9,0),"")</f>
        <v>16775</v>
      </c>
      <c r="AC124" s="72">
        <f>IFERROR(VLOOKUP($D124,'FERC 2021'!$EA$3:$EN$221,10,0),"")</f>
        <v>1829453</v>
      </c>
      <c r="AD124" s="72">
        <f>IFERROR(VLOOKUP($D124,'FERC 2022'!$EA$3:$EN$220,10,0),"")</f>
        <v>1875213</v>
      </c>
      <c r="AE124" s="72">
        <f>IFERROR(VLOOKUP($D124,'FERC 2023'!$EA$3:$EN$221,10,0),"")</f>
        <v>1839952</v>
      </c>
      <c r="AF124" s="72">
        <f>IFERROR(VLOOKUP($D124,'FERC 2021'!$EA$3:$EN$221,11,0),"")</f>
        <v>2050503.0152284263</v>
      </c>
      <c r="AG124" s="72">
        <f>IFERROR(VLOOKUP($D124,'FERC 2022'!$EA$3:$EN$220,11,0),"")</f>
        <v>2229182.8071065992</v>
      </c>
      <c r="AH124" s="72">
        <f>IFERROR(VLOOKUP($D124,'FERC 2023'!$EA$3:$EN$221,11,0),"")</f>
        <v>1845828.7918781727</v>
      </c>
      <c r="AI124" s="72">
        <f>IFERROR(VLOOKUP($D124,'FERC 2021'!$EA$3:$EN$221,12,0),"")</f>
        <v>4645246.892</v>
      </c>
      <c r="AJ124" s="72">
        <f>IFERROR(VLOOKUP($D124,'FERC 2022'!$EA$3:$EN$220,12,0),"")</f>
        <v>16294901.58</v>
      </c>
      <c r="AK124" s="72">
        <f>IFERROR(VLOOKUP($D124,'FERC 2023'!$EA$3:$EN$221,12,0),"")</f>
        <v>10931658.773</v>
      </c>
      <c r="AL124" s="72">
        <f>VLOOKUP($D124,'FERC 2021'!$EA$3:$EN$221,13,0)</f>
        <v>93332.278000000006</v>
      </c>
      <c r="AM124" s="72">
        <f>VLOOKUP($D124,'FERC 2022'!$EA$3:$EN$220,13,0)</f>
        <v>126060.09</v>
      </c>
      <c r="AN124" s="72">
        <f>VLOOKUP($D124,'FERC 2023'!$EA$3:$EN$221,13,0)</f>
        <v>107073.4</v>
      </c>
      <c r="AO124" s="72">
        <f>IFERROR(VLOOKUP($D124,'FERC 2021'!$EA$3:$EN$221,14,0),"")</f>
        <v>40</v>
      </c>
      <c r="AP124" s="72">
        <f>IFERROR(VLOOKUP($D124,'FERC 2022'!$EA$3:$EN$220,14,0),"")</f>
        <v>41</v>
      </c>
      <c r="AQ124" s="72">
        <f>IFERROR(VLOOKUP($D124,'FERC 2023'!$EA$3:$EN$221,14,0),"")</f>
        <v>40</v>
      </c>
    </row>
    <row r="125" spans="1:43" ht="15.75" hidden="1" customHeight="1">
      <c r="A125" s="7" t="s">
        <v>574</v>
      </c>
      <c r="B125" s="7" t="s">
        <v>575</v>
      </c>
      <c r="C125" s="311" t="str">
        <f>'BD DEA'!P125</f>
        <v/>
      </c>
      <c r="D125" s="44" t="str">
        <f t="shared" si="0"/>
        <v>C001436</v>
      </c>
      <c r="E125" s="72">
        <f>IFERROR(VLOOKUP($D125,'FERC 2021'!$EA$3:$EN$221,2,0),"")</f>
        <v>9391529836.5384808</v>
      </c>
      <c r="F125" s="72">
        <f>IFERROR(VLOOKUP($D125,'FERC 2022'!$EA$3:$EN$220,2,0),"")</f>
        <v>9593527141.4358463</v>
      </c>
      <c r="G125" s="72">
        <f>IFERROR(VLOOKUP($D125,'FERC 2023'!$EA$3:$EN$221,2,0),"")</f>
        <v>10077204741.857237</v>
      </c>
      <c r="H125" s="72">
        <f>IFERROR(VLOOKUP($D125,'FERC 2021'!$EA$3:$EN$225,3,0),"")</f>
        <v>520624418.40837926</v>
      </c>
      <c r="I125" s="72">
        <f>IFERROR(VLOOKUP($D125,'FERC 2022'!$EA$3:$EN$229,3,0),"")</f>
        <v>514666214.02702093</v>
      </c>
      <c r="J125" s="72">
        <f>IFERROR(VLOOKUP($D125,'FERC 2023'!$EA$3:$EN$229,3,0),"")</f>
        <v>523861023.90214086</v>
      </c>
      <c r="K125" s="72">
        <f>IFERROR(VLOOKUP($D125,'FERC 2021'!$EA$3:$EN$229,4,0),"")</f>
        <v>128056552.66620412</v>
      </c>
      <c r="L125" s="72">
        <f>IFERROR(VLOOKUP($D125,'FERC 2022'!$EA$3:$EN$220,4,0),"")</f>
        <v>122961950.26356341</v>
      </c>
      <c r="M125" s="72">
        <f>IFERROR(VLOOKUP($D125,'FERC 2023'!$EA$3:$EN$221,4,0),"")</f>
        <v>116292150.40713544</v>
      </c>
      <c r="N125" s="72">
        <f>IFERROR(VLOOKUP($D125,'FERC 2021'!$EA$3:$EN$221,5,0),"")</f>
        <v>177444679.595653</v>
      </c>
      <c r="O125" s="72">
        <f>IFERROR(VLOOKUP($D125,'FERC 2022'!$EA$3:$EN$220,5,0),"")</f>
        <v>163239019.02284703</v>
      </c>
      <c r="P125" s="72">
        <f>IFERROR(VLOOKUP($D125,'FERC 2023'!$EA$3:$EN$221,5,0),"")</f>
        <v>181322990.46461776</v>
      </c>
      <c r="Q125" s="72">
        <f>IFERROR(VLOOKUP($D125,'FERC 2021'!$EA$3:$EN$221,6,0),"")</f>
        <v>49983061.982571766</v>
      </c>
      <c r="R125" s="72">
        <f>IFERROR(VLOOKUP($D125,'FERC 2022'!$EA$3:$EN$220,6,0),"")</f>
        <v>60347331.987808071</v>
      </c>
      <c r="S125" s="72">
        <f>IFERROR(VLOOKUP($D125,'FERC 2023'!$EA$3:$EN$221,6,0),"")</f>
        <v>77411930.740334451</v>
      </c>
      <c r="T125" s="72">
        <f>IFERROR(VLOOKUP($D125,'FERC 2021'!$EA$3:$EN$221,7,0),"")</f>
        <v>7575</v>
      </c>
      <c r="U125" s="72">
        <f>IFERROR(VLOOKUP($D125,'FERC 2022'!$EA$3:$EN$220,7,0),"")</f>
        <v>7562</v>
      </c>
      <c r="V125" s="72">
        <f>IFERROR(VLOOKUP($D125,'FERC 2023'!$EA$3:$EN$221,7,0),"")</f>
        <v>8288</v>
      </c>
      <c r="W125" s="72">
        <f>IFERROR(VLOOKUP($D125,'FERC 2021'!$EA$3:$EN$221,8,0),"")</f>
        <v>1317311</v>
      </c>
      <c r="X125" s="72">
        <f>IFERROR(VLOOKUP($D125,'FERC 2022'!$EA$3:$EN$220,8,0),"")</f>
        <v>1344414</v>
      </c>
      <c r="Y125" s="72">
        <f>IFERROR(VLOOKUP($D125,'FERC 2023'!$EA$3:$EN$221,8,0),"")</f>
        <v>1370986</v>
      </c>
      <c r="Z125" s="72">
        <f>IFERROR(VLOOKUP($D125,'FERC 2021'!$EA$3:$EN$222,9,0),"")</f>
        <v>1781397</v>
      </c>
      <c r="AA125" s="72">
        <f>IFERROR(VLOOKUP($D125,'FERC 2022'!$EA$3:$EN$220,9,0),"")</f>
        <v>1965679</v>
      </c>
      <c r="AB125" s="72">
        <f>IFERROR(VLOOKUP($D125,'FERC 2023'!$EA$3:$EN$221,9,0),"")</f>
        <v>1978239</v>
      </c>
      <c r="AC125" s="72">
        <f>IFERROR(VLOOKUP($D125,'FERC 2021'!$EA$3:$EN$221,10,0),"")</f>
        <v>29228236</v>
      </c>
      <c r="AD125" s="72">
        <f>IFERROR(VLOOKUP($D125,'FERC 2022'!$EA$3:$EN$220,10,0),"")</f>
        <v>30521957</v>
      </c>
      <c r="AE125" s="72">
        <f>IFERROR(VLOOKUP($D125,'FERC 2023'!$EA$3:$EN$221,10,0),"")</f>
        <v>31370312</v>
      </c>
      <c r="AF125" s="72">
        <f>IFERROR(VLOOKUP($D125,'FERC 2021'!$EA$3:$EN$221,11,0),"")</f>
        <v>30950990.781725887</v>
      </c>
      <c r="AG125" s="72">
        <f>IFERROR(VLOOKUP($D125,'FERC 2022'!$EA$3:$EN$220,11,0),"")</f>
        <v>32425550.147208121</v>
      </c>
      <c r="AH125" s="72">
        <f>IFERROR(VLOOKUP($D125,'FERC 2023'!$EA$3:$EN$221,11,0),"")</f>
        <v>33284926.90862944</v>
      </c>
      <c r="AI125" s="72">
        <f>IFERROR(VLOOKUP($D125,'FERC 2021'!$EA$3:$EN$221,12,0),"")</f>
        <v>115080288.95999999</v>
      </c>
      <c r="AJ125" s="72">
        <f>IFERROR(VLOOKUP($D125,'FERC 2022'!$EA$3:$EN$220,12,0),"")</f>
        <v>112997996.7</v>
      </c>
      <c r="AK125" s="72">
        <f>IFERROR(VLOOKUP($D125,'FERC 2023'!$EA$3:$EN$221,12,0),"")</f>
        <v>112516821.02</v>
      </c>
      <c r="AL125" s="72">
        <f>VLOOKUP($D125,'FERC 2021'!$EA$3:$EN$221,13,0)</f>
        <v>1343657.22</v>
      </c>
      <c r="AM125" s="72">
        <f>VLOOKUP($D125,'FERC 2022'!$EA$3:$EN$220,13,0)</f>
        <v>1398190.56</v>
      </c>
      <c r="AN125" s="72">
        <f>VLOOKUP($D125,'FERC 2023'!$EA$3:$EN$221,13,0)</f>
        <v>1206467.68</v>
      </c>
      <c r="AO125" s="72">
        <f>IFERROR(VLOOKUP($D125,'FERC 2021'!$EA$3:$EN$221,14,0),"")</f>
        <v>1377130</v>
      </c>
      <c r="AP125" s="72">
        <f>IFERROR(VLOOKUP($D125,'FERC 2022'!$EA$3:$EN$220,14,0),"")</f>
        <v>1430438</v>
      </c>
      <c r="AQ125" s="72">
        <f>IFERROR(VLOOKUP($D125,'FERC 2023'!$EA$3:$EN$221,14,0),"")</f>
        <v>1468788</v>
      </c>
    </row>
    <row r="126" spans="1:43" ht="15.75" hidden="1" customHeight="1">
      <c r="A126" s="7" t="s">
        <v>577</v>
      </c>
      <c r="B126" s="7" t="s">
        <v>578</v>
      </c>
      <c r="C126" s="311" t="str">
        <f>'BD DEA'!P126</f>
        <v/>
      </c>
      <c r="D126" s="44" t="str">
        <f t="shared" si="0"/>
        <v>C001444</v>
      </c>
      <c r="E126" s="72" t="str">
        <f>IFERROR(VLOOKUP($D126,'FERC 2021'!$EA$3:$EN$221,2,0),"")</f>
        <v/>
      </c>
      <c r="F126" s="72" t="str">
        <f>IFERROR(VLOOKUP($D126,'FERC 2022'!$EA$3:$EN$220,2,0),"")</f>
        <v/>
      </c>
      <c r="G126" s="72" t="str">
        <f>IFERROR(VLOOKUP($D126,'FERC 2023'!$EA$3:$EN$221,2,0),"")</f>
        <v/>
      </c>
      <c r="H126" s="72" t="str">
        <f>IFERROR(VLOOKUP($D126,'FERC 2021'!$EA$3:$EN$225,3,0),"")</f>
        <v/>
      </c>
      <c r="I126" s="72" t="str">
        <f>IFERROR(VLOOKUP($D126,'FERC 2022'!$EA$3:$EN$229,3,0),"")</f>
        <v/>
      </c>
      <c r="J126" s="72" t="str">
        <f>IFERROR(VLOOKUP($D126,'FERC 2023'!$EA$3:$EN$229,3,0),"")</f>
        <v/>
      </c>
      <c r="K126" s="72" t="str">
        <f>IFERROR(VLOOKUP($D126,'FERC 2021'!$EA$3:$EN$229,4,0),"")</f>
        <v/>
      </c>
      <c r="L126" s="72" t="str">
        <f>IFERROR(VLOOKUP($D126,'FERC 2022'!$EA$3:$EN$220,4,0),"")</f>
        <v/>
      </c>
      <c r="M126" s="72" t="str">
        <f>IFERROR(VLOOKUP($D126,'FERC 2023'!$EA$3:$EN$221,4,0),"")</f>
        <v/>
      </c>
      <c r="N126" s="72" t="str">
        <f>IFERROR(VLOOKUP($D126,'FERC 2021'!$EA$3:$EN$221,5,0),"")</f>
        <v/>
      </c>
      <c r="O126" s="72" t="str">
        <f>IFERROR(VLOOKUP($D126,'FERC 2022'!$EA$3:$EN$220,5,0),"")</f>
        <v/>
      </c>
      <c r="P126" s="72" t="str">
        <f>IFERROR(VLOOKUP($D126,'FERC 2023'!$EA$3:$EN$221,5,0),"")</f>
        <v/>
      </c>
      <c r="Q126" s="72" t="str">
        <f>IFERROR(VLOOKUP($D126,'FERC 2021'!$EA$3:$EN$221,6,0),"")</f>
        <v/>
      </c>
      <c r="R126" s="72" t="str">
        <f>IFERROR(VLOOKUP($D126,'FERC 2022'!$EA$3:$EN$220,6,0),"")</f>
        <v/>
      </c>
      <c r="S126" s="72" t="str">
        <f>IFERROR(VLOOKUP($D126,'FERC 2023'!$EA$3:$EN$221,6,0),"")</f>
        <v/>
      </c>
      <c r="T126" s="72" t="str">
        <f>IFERROR(VLOOKUP($D126,'FERC 2021'!$EA$3:$EN$221,7,0),"")</f>
        <v/>
      </c>
      <c r="U126" s="72" t="str">
        <f>IFERROR(VLOOKUP($D126,'FERC 2022'!$EA$3:$EN$220,7,0),"")</f>
        <v/>
      </c>
      <c r="V126" s="72" t="str">
        <f>IFERROR(VLOOKUP($D126,'FERC 2023'!$EA$3:$EN$221,7,0),"")</f>
        <v/>
      </c>
      <c r="W126" s="72" t="str">
        <f>IFERROR(VLOOKUP($D126,'FERC 2021'!$EA$3:$EN$221,8,0),"")</f>
        <v/>
      </c>
      <c r="X126" s="72" t="str">
        <f>IFERROR(VLOOKUP($D126,'FERC 2022'!$EA$3:$EN$220,8,0),"")</f>
        <v/>
      </c>
      <c r="Y126" s="72" t="str">
        <f>IFERROR(VLOOKUP($D126,'FERC 2023'!$EA$3:$EN$221,8,0),"")</f>
        <v/>
      </c>
      <c r="Z126" s="72" t="str">
        <f>IFERROR(VLOOKUP($D126,'FERC 2021'!$EA$3:$EN$222,9,0),"")</f>
        <v/>
      </c>
      <c r="AA126" s="72" t="str">
        <f>IFERROR(VLOOKUP($D126,'FERC 2022'!$EA$3:$EN$220,9,0),"")</f>
        <v/>
      </c>
      <c r="AB126" s="72" t="str">
        <f>IFERROR(VLOOKUP($D126,'FERC 2023'!$EA$3:$EN$221,9,0),"")</f>
        <v/>
      </c>
      <c r="AC126" s="72" t="str">
        <f>IFERROR(VLOOKUP($D126,'FERC 2021'!$EA$3:$EN$221,10,0),"")</f>
        <v/>
      </c>
      <c r="AD126" s="72" t="str">
        <f>IFERROR(VLOOKUP($D126,'FERC 2022'!$EA$3:$EN$220,10,0),"")</f>
        <v/>
      </c>
      <c r="AE126" s="72" t="str">
        <f>IFERROR(VLOOKUP($D126,'FERC 2023'!$EA$3:$EN$221,10,0),"")</f>
        <v/>
      </c>
      <c r="AF126" s="72" t="str">
        <f>IFERROR(VLOOKUP($D126,'FERC 2021'!$EA$3:$EN$221,11,0),"")</f>
        <v/>
      </c>
      <c r="AG126" s="72" t="str">
        <f>IFERROR(VLOOKUP($D126,'FERC 2022'!$EA$3:$EN$220,11,0),"")</f>
        <v/>
      </c>
      <c r="AH126" s="72" t="str">
        <f>IFERROR(VLOOKUP($D126,'FERC 2023'!$EA$3:$EN$221,11,0),"")</f>
        <v/>
      </c>
      <c r="AI126" s="72" t="str">
        <f>IFERROR(VLOOKUP($D126,'FERC 2021'!$EA$3:$EN$221,12,0),"")</f>
        <v/>
      </c>
      <c r="AJ126" s="72" t="str">
        <f>IFERROR(VLOOKUP($D126,'FERC 2022'!$EA$3:$EN$220,12,0),"")</f>
        <v/>
      </c>
      <c r="AK126" s="72" t="str">
        <f>IFERROR(VLOOKUP($D126,'FERC 2023'!$EA$3:$EN$221,12,0),"")</f>
        <v/>
      </c>
      <c r="AL126" s="72" t="str">
        <f>VLOOKUP($D126,'FERC 2021'!$EA$3:$EN$221,13,0)</f>
        <v/>
      </c>
      <c r="AM126" s="72" t="str">
        <f>VLOOKUP($D126,'FERC 2022'!$EA$3:$EN$220,13,0)</f>
        <v/>
      </c>
      <c r="AN126" s="72" t="str">
        <f>VLOOKUP($D126,'FERC 2023'!$EA$3:$EN$221,13,0)</f>
        <v/>
      </c>
      <c r="AO126" s="72" t="str">
        <f>IFERROR(VLOOKUP($D126,'FERC 2021'!$EA$3:$EN$221,14,0),"")</f>
        <v/>
      </c>
      <c r="AP126" s="72" t="str">
        <f>IFERROR(VLOOKUP($D126,'FERC 2022'!$EA$3:$EN$220,14,0),"")</f>
        <v/>
      </c>
      <c r="AQ126" s="72" t="str">
        <f>IFERROR(VLOOKUP($D126,'FERC 2023'!$EA$3:$EN$221,14,0),"")</f>
        <v/>
      </c>
    </row>
    <row r="127" spans="1:43" ht="15.75" hidden="1" customHeight="1">
      <c r="A127" s="7" t="s">
        <v>580</v>
      </c>
      <c r="B127" s="7" t="s">
        <v>581</v>
      </c>
      <c r="C127" s="311" t="str">
        <f>'BD DEA'!P127</f>
        <v/>
      </c>
      <c r="D127" s="44" t="str">
        <f t="shared" si="0"/>
        <v>C001446</v>
      </c>
      <c r="E127" s="72" t="str">
        <f>IFERROR(VLOOKUP($D127,'FERC 2021'!$EA$3:$EN$221,2,0),"")</f>
        <v/>
      </c>
      <c r="F127" s="72" t="str">
        <f>IFERROR(VLOOKUP($D127,'FERC 2022'!$EA$3:$EN$220,2,0),"")</f>
        <v/>
      </c>
      <c r="G127" s="72" t="str">
        <f>IFERROR(VLOOKUP($D127,'FERC 2023'!$EA$3:$EN$221,2,0),"")</f>
        <v/>
      </c>
      <c r="H127" s="72" t="str">
        <f>IFERROR(VLOOKUP($D127,'FERC 2021'!$EA$3:$EN$225,3,0),"")</f>
        <v/>
      </c>
      <c r="I127" s="72" t="str">
        <f>IFERROR(VLOOKUP($D127,'FERC 2022'!$EA$3:$EN$229,3,0),"")</f>
        <v/>
      </c>
      <c r="J127" s="72" t="str">
        <f>IFERROR(VLOOKUP($D127,'FERC 2023'!$EA$3:$EN$229,3,0),"")</f>
        <v/>
      </c>
      <c r="K127" s="72" t="str">
        <f>IFERROR(VLOOKUP($D127,'FERC 2021'!$EA$3:$EN$229,4,0),"")</f>
        <v/>
      </c>
      <c r="L127" s="72" t="str">
        <f>IFERROR(VLOOKUP($D127,'FERC 2022'!$EA$3:$EN$220,4,0),"")</f>
        <v/>
      </c>
      <c r="M127" s="72" t="str">
        <f>IFERROR(VLOOKUP($D127,'FERC 2023'!$EA$3:$EN$221,4,0),"")</f>
        <v/>
      </c>
      <c r="N127" s="72" t="str">
        <f>IFERROR(VLOOKUP($D127,'FERC 2021'!$EA$3:$EN$221,5,0),"")</f>
        <v/>
      </c>
      <c r="O127" s="72" t="str">
        <f>IFERROR(VLOOKUP($D127,'FERC 2022'!$EA$3:$EN$220,5,0),"")</f>
        <v/>
      </c>
      <c r="P127" s="72" t="str">
        <f>IFERROR(VLOOKUP($D127,'FERC 2023'!$EA$3:$EN$221,5,0),"")</f>
        <v/>
      </c>
      <c r="Q127" s="72" t="str">
        <f>IFERROR(VLOOKUP($D127,'FERC 2021'!$EA$3:$EN$221,6,0),"")</f>
        <v/>
      </c>
      <c r="R127" s="72" t="str">
        <f>IFERROR(VLOOKUP($D127,'FERC 2022'!$EA$3:$EN$220,6,0),"")</f>
        <v/>
      </c>
      <c r="S127" s="72" t="str">
        <f>IFERROR(VLOOKUP($D127,'FERC 2023'!$EA$3:$EN$221,6,0),"")</f>
        <v/>
      </c>
      <c r="T127" s="72" t="str">
        <f>IFERROR(VLOOKUP($D127,'FERC 2021'!$EA$3:$EN$221,7,0),"")</f>
        <v/>
      </c>
      <c r="U127" s="72" t="str">
        <f>IFERROR(VLOOKUP($D127,'FERC 2022'!$EA$3:$EN$220,7,0),"")</f>
        <v/>
      </c>
      <c r="V127" s="72" t="str">
        <f>IFERROR(VLOOKUP($D127,'FERC 2023'!$EA$3:$EN$221,7,0),"")</f>
        <v/>
      </c>
      <c r="W127" s="72" t="str">
        <f>IFERROR(VLOOKUP($D127,'FERC 2021'!$EA$3:$EN$221,8,0),"")</f>
        <v/>
      </c>
      <c r="X127" s="72" t="str">
        <f>IFERROR(VLOOKUP($D127,'FERC 2022'!$EA$3:$EN$220,8,0),"")</f>
        <v/>
      </c>
      <c r="Y127" s="72" t="str">
        <f>IFERROR(VLOOKUP($D127,'FERC 2023'!$EA$3:$EN$221,8,0),"")</f>
        <v/>
      </c>
      <c r="Z127" s="72" t="str">
        <f>IFERROR(VLOOKUP($D127,'FERC 2021'!$EA$3:$EN$222,9,0),"")</f>
        <v/>
      </c>
      <c r="AA127" s="72" t="str">
        <f>IFERROR(VLOOKUP($D127,'FERC 2022'!$EA$3:$EN$220,9,0),"")</f>
        <v/>
      </c>
      <c r="AB127" s="72" t="str">
        <f>IFERROR(VLOOKUP($D127,'FERC 2023'!$EA$3:$EN$221,9,0),"")</f>
        <v/>
      </c>
      <c r="AC127" s="72" t="str">
        <f>IFERROR(VLOOKUP($D127,'FERC 2021'!$EA$3:$EN$221,10,0),"")</f>
        <v/>
      </c>
      <c r="AD127" s="72" t="str">
        <f>IFERROR(VLOOKUP($D127,'FERC 2022'!$EA$3:$EN$220,10,0),"")</f>
        <v/>
      </c>
      <c r="AE127" s="72" t="str">
        <f>IFERROR(VLOOKUP($D127,'FERC 2023'!$EA$3:$EN$221,10,0),"")</f>
        <v/>
      </c>
      <c r="AF127" s="72" t="str">
        <f>IFERROR(VLOOKUP($D127,'FERC 2021'!$EA$3:$EN$221,11,0),"")</f>
        <v/>
      </c>
      <c r="AG127" s="72" t="str">
        <f>IFERROR(VLOOKUP($D127,'FERC 2022'!$EA$3:$EN$220,11,0),"")</f>
        <v/>
      </c>
      <c r="AH127" s="72" t="str">
        <f>IFERROR(VLOOKUP($D127,'FERC 2023'!$EA$3:$EN$221,11,0),"")</f>
        <v/>
      </c>
      <c r="AI127" s="72" t="str">
        <f>IFERROR(VLOOKUP($D127,'FERC 2021'!$EA$3:$EN$221,12,0),"")</f>
        <v/>
      </c>
      <c r="AJ127" s="72" t="str">
        <f>IFERROR(VLOOKUP($D127,'FERC 2022'!$EA$3:$EN$220,12,0),"")</f>
        <v/>
      </c>
      <c r="AK127" s="72" t="str">
        <f>IFERROR(VLOOKUP($D127,'FERC 2023'!$EA$3:$EN$221,12,0),"")</f>
        <v/>
      </c>
      <c r="AL127" s="72" t="str">
        <f>VLOOKUP($D127,'FERC 2021'!$EA$3:$EN$221,13,0)</f>
        <v/>
      </c>
      <c r="AM127" s="72" t="str">
        <f>VLOOKUP($D127,'FERC 2022'!$EA$3:$EN$220,13,0)</f>
        <v/>
      </c>
      <c r="AN127" s="72" t="str">
        <f>VLOOKUP($D127,'FERC 2023'!$EA$3:$EN$221,13,0)</f>
        <v/>
      </c>
      <c r="AO127" s="72" t="str">
        <f>IFERROR(VLOOKUP($D127,'FERC 2021'!$EA$3:$EN$221,14,0),"")</f>
        <v/>
      </c>
      <c r="AP127" s="72" t="str">
        <f>IFERROR(VLOOKUP($D127,'FERC 2022'!$EA$3:$EN$220,14,0),"")</f>
        <v/>
      </c>
      <c r="AQ127" s="72" t="str">
        <f>IFERROR(VLOOKUP($D127,'FERC 2023'!$EA$3:$EN$221,14,0),"")</f>
        <v/>
      </c>
    </row>
    <row r="128" spans="1:43" ht="15.75" customHeight="1">
      <c r="A128" s="7" t="s">
        <v>583</v>
      </c>
      <c r="B128" s="7" t="s">
        <v>584</v>
      </c>
      <c r="C128" s="311">
        <f>'BD DEA'!P128</f>
        <v>1</v>
      </c>
      <c r="D128" s="44" t="str">
        <f t="shared" si="0"/>
        <v>C001454</v>
      </c>
      <c r="E128" s="72">
        <f>IFERROR(VLOOKUP($D128,'FERC 2021'!$EA$3:$EN$221,2,0),"")</f>
        <v>291201913.59932739</v>
      </c>
      <c r="F128" s="72">
        <f>IFERROR(VLOOKUP($D128,'FERC 2022'!$EA$3:$EN$220,2,0),"")</f>
        <v>326125266.45190972</v>
      </c>
      <c r="G128" s="72">
        <f>IFERROR(VLOOKUP($D128,'FERC 2023'!$EA$3:$EN$221,2,0),"")</f>
        <v>358504664.83371896</v>
      </c>
      <c r="H128" s="72">
        <f>IFERROR(VLOOKUP($D128,'FERC 2021'!$EA$3:$EN$225,3,0),"")</f>
        <v>11888637.255251417</v>
      </c>
      <c r="I128" s="72">
        <f>IFERROR(VLOOKUP($D128,'FERC 2022'!$EA$3:$EN$229,3,0),"")</f>
        <v>11642563.173560051</v>
      </c>
      <c r="J128" s="72">
        <f>IFERROR(VLOOKUP($D128,'FERC 2023'!$EA$3:$EN$229,3,0),"")</f>
        <v>11779602.308162367</v>
      </c>
      <c r="K128" s="72">
        <f>IFERROR(VLOOKUP($D128,'FERC 2021'!$EA$3:$EN$229,4,0),"")</f>
        <v>4150333.485795815</v>
      </c>
      <c r="L128" s="72">
        <f>IFERROR(VLOOKUP($D128,'FERC 2022'!$EA$3:$EN$220,4,0),"")</f>
        <v>3907810.4816813897</v>
      </c>
      <c r="M128" s="72">
        <f>IFERROR(VLOOKUP($D128,'FERC 2023'!$EA$3:$EN$221,4,0),"")</f>
        <v>4702001.1443962017</v>
      </c>
      <c r="N128" s="72">
        <f>IFERROR(VLOOKUP($D128,'FERC 2021'!$EA$3:$EN$221,5,0),"")</f>
        <v>1649760.6010386792</v>
      </c>
      <c r="O128" s="72">
        <f>IFERROR(VLOOKUP($D128,'FERC 2022'!$EA$3:$EN$220,5,0),"")</f>
        <v>1928871.8572966047</v>
      </c>
      <c r="P128" s="72">
        <f>IFERROR(VLOOKUP($D128,'FERC 2023'!$EA$3:$EN$221,5,0),"")</f>
        <v>1642814.9557823106</v>
      </c>
      <c r="Q128" s="72">
        <f>IFERROR(VLOOKUP($D128,'FERC 2021'!$EA$3:$EN$221,6,0),"")</f>
        <v>2282472.3843459706</v>
      </c>
      <c r="R128" s="72">
        <f>IFERROR(VLOOKUP($D128,'FERC 2022'!$EA$3:$EN$220,6,0),"")</f>
        <v>2444504.1833956027</v>
      </c>
      <c r="S128" s="72">
        <f>IFERROR(VLOOKUP($D128,'FERC 2023'!$EA$3:$EN$221,6,0),"")</f>
        <v>2766232.9967976855</v>
      </c>
      <c r="T128" s="72">
        <f>IFERROR(VLOOKUP($D128,'FERC 2021'!$EA$3:$EN$221,7,0),"")</f>
        <v>274</v>
      </c>
      <c r="U128" s="72">
        <f>IFERROR(VLOOKUP($D128,'FERC 2022'!$EA$3:$EN$220,7,0),"")</f>
        <v>294</v>
      </c>
      <c r="V128" s="72">
        <f>IFERROR(VLOOKUP($D128,'FERC 2023'!$EA$3:$EN$221,7,0),"")</f>
        <v>312</v>
      </c>
      <c r="W128" s="72">
        <f>IFERROR(VLOOKUP($D128,'FERC 2021'!$EA$3:$EN$221,8,0),"")</f>
        <v>43782</v>
      </c>
      <c r="X128" s="72">
        <f>IFERROR(VLOOKUP($D128,'FERC 2022'!$EA$3:$EN$220,8,0),"")</f>
        <v>44416</v>
      </c>
      <c r="Y128" s="72">
        <f>IFERROR(VLOOKUP($D128,'FERC 2023'!$EA$3:$EN$221,8,0),"")</f>
        <v>44794</v>
      </c>
      <c r="Z128" s="72">
        <f>IFERROR(VLOOKUP($D128,'FERC 2021'!$EA$3:$EN$222,9,0),"")</f>
        <v>110274</v>
      </c>
      <c r="AA128" s="72">
        <f>IFERROR(VLOOKUP($D128,'FERC 2022'!$EA$3:$EN$220,9,0),"")</f>
        <v>95461</v>
      </c>
      <c r="AB128" s="72">
        <f>IFERROR(VLOOKUP($D128,'FERC 2023'!$EA$3:$EN$221,9,0),"")</f>
        <v>176785</v>
      </c>
      <c r="AC128" s="72">
        <f>IFERROR(VLOOKUP($D128,'FERC 2021'!$EA$3:$EN$221,10,0),"")</f>
        <v>1733601</v>
      </c>
      <c r="AD128" s="72">
        <f>IFERROR(VLOOKUP($D128,'FERC 2022'!$EA$3:$EN$220,10,0),"")</f>
        <v>1903745</v>
      </c>
      <c r="AE128" s="72">
        <f>IFERROR(VLOOKUP($D128,'FERC 2023'!$EA$3:$EN$221,10,0),"")</f>
        <v>2119908</v>
      </c>
      <c r="AF128" s="72">
        <f>IFERROR(VLOOKUP($D128,'FERC 2021'!$EA$3:$EN$221,11,0),"")</f>
        <v>1841751.304568528</v>
      </c>
      <c r="AG128" s="72">
        <f>IFERROR(VLOOKUP($D128,'FERC 2022'!$EA$3:$EN$220,11,0),"")</f>
        <v>1996650.197969543</v>
      </c>
      <c r="AH128" s="72">
        <f>IFERROR(VLOOKUP($D128,'FERC 2023'!$EA$3:$EN$221,11,0),"")</f>
        <v>2295183.2233502539</v>
      </c>
      <c r="AI128" s="72">
        <f>IFERROR(VLOOKUP($D128,'FERC 2021'!$EA$3:$EN$221,12,0),"")</f>
        <v>1398922.4640000002</v>
      </c>
      <c r="AJ128" s="72">
        <f>IFERROR(VLOOKUP($D128,'FERC 2022'!$EA$3:$EN$220,12,0),"")</f>
        <v>1866093.824</v>
      </c>
      <c r="AK128" s="72">
        <f>IFERROR(VLOOKUP($D128,'FERC 2023'!$EA$3:$EN$221,12,0),"")</f>
        <v>1587230.5959999999</v>
      </c>
      <c r="AL128" s="72">
        <f>VLOOKUP($D128,'FERC 2021'!$EA$3:$EN$221,13,0)</f>
        <v>46321.356</v>
      </c>
      <c r="AM128" s="72">
        <f>VLOOKUP($D128,'FERC 2022'!$EA$3:$EN$220,13,0)</f>
        <v>46770.047999999995</v>
      </c>
      <c r="AN128" s="72">
        <f>VLOOKUP($D128,'FERC 2023'!$EA$3:$EN$221,13,0)</f>
        <v>46988.905999999995</v>
      </c>
      <c r="AO128" s="72">
        <f>IFERROR(VLOOKUP($D128,'FERC 2021'!$EA$3:$EN$221,14,0),"")</f>
        <v>43782</v>
      </c>
      <c r="AP128" s="72">
        <f>IFERROR(VLOOKUP($D128,'FERC 2022'!$EA$3:$EN$220,14,0),"")</f>
        <v>44415</v>
      </c>
      <c r="AQ128" s="72">
        <f>IFERROR(VLOOKUP($D128,'FERC 2023'!$EA$3:$EN$221,14,0),"")</f>
        <v>44789</v>
      </c>
    </row>
    <row r="129" spans="1:43" ht="15.75" customHeight="1">
      <c r="A129" s="7" t="s">
        <v>586</v>
      </c>
      <c r="B129" s="7" t="s">
        <v>587</v>
      </c>
      <c r="C129" s="311">
        <f>'BD DEA'!P129</f>
        <v>1</v>
      </c>
      <c r="D129" s="44" t="str">
        <f t="shared" si="0"/>
        <v>C001464</v>
      </c>
      <c r="E129" s="72">
        <f>IFERROR(VLOOKUP($D129,'FERC 2021'!$EA$3:$EN$221,2,0),"")</f>
        <v>9467642234.7698917</v>
      </c>
      <c r="F129" s="72">
        <f>IFERROR(VLOOKUP($D129,'FERC 2022'!$EA$3:$EN$220,2,0),"")</f>
        <v>9969707644.7581863</v>
      </c>
      <c r="G129" s="72">
        <f>IFERROR(VLOOKUP($D129,'FERC 2023'!$EA$3:$EN$221,2,0),"")</f>
        <v>10516461724.056215</v>
      </c>
      <c r="H129" s="72">
        <f>IFERROR(VLOOKUP($D129,'FERC 2021'!$EA$3:$EN$225,3,0),"")</f>
        <v>264995083.90218198</v>
      </c>
      <c r="I129" s="72">
        <f>IFERROR(VLOOKUP($D129,'FERC 2022'!$EA$3:$EN$229,3,0),"")</f>
        <v>276314690.85820061</v>
      </c>
      <c r="J129" s="72">
        <f>IFERROR(VLOOKUP($D129,'FERC 2023'!$EA$3:$EN$229,3,0),"")</f>
        <v>280109153.37159353</v>
      </c>
      <c r="K129" s="72">
        <f>IFERROR(VLOOKUP($D129,'FERC 2021'!$EA$3:$EN$229,4,0),"")</f>
        <v>207392513.67572635</v>
      </c>
      <c r="L129" s="72">
        <f>IFERROR(VLOOKUP($D129,'FERC 2022'!$EA$3:$EN$220,4,0),"")</f>
        <v>206683213.32628864</v>
      </c>
      <c r="M129" s="72">
        <f>IFERROR(VLOOKUP($D129,'FERC 2023'!$EA$3:$EN$221,4,0),"")</f>
        <v>220208441.84288862</v>
      </c>
      <c r="N129" s="72">
        <f>IFERROR(VLOOKUP($D129,'FERC 2021'!$EA$3:$EN$221,5,0),"")</f>
        <v>129464847.36641793</v>
      </c>
      <c r="O129" s="72">
        <f>IFERROR(VLOOKUP($D129,'FERC 2022'!$EA$3:$EN$220,5,0),"")</f>
        <v>146424171.13387147</v>
      </c>
      <c r="P129" s="72">
        <f>IFERROR(VLOOKUP($D129,'FERC 2023'!$EA$3:$EN$221,5,0),"")</f>
        <v>150877494.69577336</v>
      </c>
      <c r="Q129" s="72">
        <f>IFERROR(VLOOKUP($D129,'FERC 2021'!$EA$3:$EN$221,6,0),"")</f>
        <v>165065046.26821029</v>
      </c>
      <c r="R129" s="72">
        <f>IFERROR(VLOOKUP($D129,'FERC 2022'!$EA$3:$EN$220,6,0),"")</f>
        <v>162138700.8098934</v>
      </c>
      <c r="S129" s="72">
        <f>IFERROR(VLOOKUP($D129,'FERC 2023'!$EA$3:$EN$221,6,0),"")</f>
        <v>171909116.71662924</v>
      </c>
      <c r="T129" s="72">
        <f>IFERROR(VLOOKUP($D129,'FERC 2021'!$EA$3:$EN$221,7,0),"")</f>
        <v>5058</v>
      </c>
      <c r="U129" s="72">
        <f>IFERROR(VLOOKUP($D129,'FERC 2022'!$EA$3:$EN$220,7,0),"")</f>
        <v>5051</v>
      </c>
      <c r="V129" s="72">
        <f>IFERROR(VLOOKUP($D129,'FERC 2023'!$EA$3:$EN$221,7,0),"")</f>
        <v>5092</v>
      </c>
      <c r="W129" s="72">
        <f>IFERROR(VLOOKUP($D129,'FERC 2021'!$EA$3:$EN$221,8,0),"")</f>
        <v>914279</v>
      </c>
      <c r="X129" s="72">
        <f>IFERROR(VLOOKUP($D129,'FERC 2022'!$EA$3:$EN$220,8,0),"")</f>
        <v>927425</v>
      </c>
      <c r="Y129" s="72">
        <f>IFERROR(VLOOKUP($D129,'FERC 2023'!$EA$3:$EN$221,8,0),"")</f>
        <v>938263</v>
      </c>
      <c r="Z129" s="72">
        <f>IFERROR(VLOOKUP($D129,'FERC 2021'!$EA$3:$EN$222,9,0),"")</f>
        <v>1118188</v>
      </c>
      <c r="AA129" s="72">
        <f>IFERROR(VLOOKUP($D129,'FERC 2022'!$EA$3:$EN$220,9,0),"")</f>
        <v>1036111</v>
      </c>
      <c r="AB129" s="72">
        <f>IFERROR(VLOOKUP($D129,'FERC 2023'!$EA$3:$EN$221,9,0),"")</f>
        <v>643143</v>
      </c>
      <c r="AC129" s="72">
        <f>IFERROR(VLOOKUP($D129,'FERC 2021'!$EA$3:$EN$221,10,0),"")</f>
        <v>23449486</v>
      </c>
      <c r="AD129" s="72">
        <f>IFERROR(VLOOKUP($D129,'FERC 2022'!$EA$3:$EN$220,10,0),"")</f>
        <v>23689458</v>
      </c>
      <c r="AE129" s="72">
        <f>IFERROR(VLOOKUP($D129,'FERC 2023'!$EA$3:$EN$221,10,0),"")</f>
        <v>23043367</v>
      </c>
      <c r="AF129" s="72">
        <f>IFERROR(VLOOKUP($D129,'FERC 2021'!$EA$3:$EN$221,11,0),"")</f>
        <v>24567674</v>
      </c>
      <c r="AG129" s="72">
        <f>IFERROR(VLOOKUP($D129,'FERC 2022'!$EA$3:$EN$220,11,0),"")</f>
        <v>24725305.974619288</v>
      </c>
      <c r="AH129" s="72">
        <f>IFERROR(VLOOKUP($D129,'FERC 2023'!$EA$3:$EN$221,11,0),"")</f>
        <v>23685499.380710661</v>
      </c>
      <c r="AI129" s="72">
        <f>IFERROR(VLOOKUP($D129,'FERC 2021'!$EA$3:$EN$221,12,0),"")</f>
        <v>38399718</v>
      </c>
      <c r="AJ129" s="72">
        <f>IFERROR(VLOOKUP($D129,'FERC 2022'!$EA$3:$EN$220,12,0),"")</f>
        <v>24420027.675000001</v>
      </c>
      <c r="AK129" s="72">
        <f>IFERROR(VLOOKUP($D129,'FERC 2023'!$EA$3:$EN$221,12,0),"")</f>
        <v>31198183.012999997</v>
      </c>
      <c r="AL129" s="72">
        <f>VLOOKUP($D129,'FERC 2021'!$EA$3:$EN$221,13,0)</f>
        <v>411425.55</v>
      </c>
      <c r="AM129" s="72">
        <f>VLOOKUP($D129,'FERC 2022'!$EA$3:$EN$220,13,0)</f>
        <v>280082.34999999998</v>
      </c>
      <c r="AN129" s="72">
        <f>VLOOKUP($D129,'FERC 2023'!$EA$3:$EN$221,13,0)</f>
        <v>347157.31</v>
      </c>
      <c r="AO129" s="72">
        <f>IFERROR(VLOOKUP($D129,'FERC 2021'!$EA$3:$EN$221,14,0),"")</f>
        <v>336961</v>
      </c>
      <c r="AP129" s="72">
        <f>IFERROR(VLOOKUP($D129,'FERC 2022'!$EA$3:$EN$220,14,0),"")</f>
        <v>346009</v>
      </c>
      <c r="AQ129" s="72">
        <f>IFERROR(VLOOKUP($D129,'FERC 2023'!$EA$3:$EN$221,14,0),"")</f>
        <v>353737</v>
      </c>
    </row>
    <row r="130" spans="1:43" ht="15.75" hidden="1" customHeight="1">
      <c r="A130" s="7" t="s">
        <v>589</v>
      </c>
      <c r="B130" s="7" t="s">
        <v>590</v>
      </c>
      <c r="C130" s="311" t="str">
        <f>'BD DEA'!P130</f>
        <v/>
      </c>
      <c r="D130" s="44" t="str">
        <f t="shared" si="0"/>
        <v>C001465</v>
      </c>
      <c r="E130" s="72">
        <f>IFERROR(VLOOKUP($D130,'FERC 2021'!$EA$3:$EN$221,2,0),"")</f>
        <v>3782567844.2669106</v>
      </c>
      <c r="F130" s="72">
        <f>IFERROR(VLOOKUP($D130,'FERC 2022'!$EA$3:$EN$220,2,0),"")</f>
        <v>4007358958.0404129</v>
      </c>
      <c r="G130" s="72">
        <f>IFERROR(VLOOKUP($D130,'FERC 2023'!$EA$3:$EN$221,2,0),"")</f>
        <v>4269377206.3454885</v>
      </c>
      <c r="H130" s="72">
        <f>IFERROR(VLOOKUP($D130,'FERC 2021'!$EA$3:$EN$225,3,0),"")</f>
        <v>199793574.73133263</v>
      </c>
      <c r="I130" s="72">
        <f>IFERROR(VLOOKUP($D130,'FERC 2022'!$EA$3:$EN$229,3,0),"")</f>
        <v>205301975.16622776</v>
      </c>
      <c r="J130" s="72">
        <f>IFERROR(VLOOKUP($D130,'FERC 2023'!$EA$3:$EN$229,3,0),"")</f>
        <v>205168226.86097986</v>
      </c>
      <c r="K130" s="72">
        <f>IFERROR(VLOOKUP($D130,'FERC 2021'!$EA$3:$EN$229,4,0),"")</f>
        <v>106997876.08960621</v>
      </c>
      <c r="L130" s="72">
        <f>IFERROR(VLOOKUP($D130,'FERC 2022'!$EA$3:$EN$220,4,0),"")</f>
        <v>96342447.996322334</v>
      </c>
      <c r="M130" s="72">
        <f>IFERROR(VLOOKUP($D130,'FERC 2023'!$EA$3:$EN$221,4,0),"")</f>
        <v>100393119.50979054</v>
      </c>
      <c r="N130" s="72">
        <f>IFERROR(VLOOKUP($D130,'FERC 2021'!$EA$3:$EN$221,5,0),"")</f>
        <v>79561146.806916758</v>
      </c>
      <c r="O130" s="72">
        <f>IFERROR(VLOOKUP($D130,'FERC 2022'!$EA$3:$EN$220,5,0),"")</f>
        <v>78383511.631266847</v>
      </c>
      <c r="P130" s="72">
        <f>IFERROR(VLOOKUP($D130,'FERC 2023'!$EA$3:$EN$221,5,0),"")</f>
        <v>79482173.676759586</v>
      </c>
      <c r="Q130" s="72">
        <f>IFERROR(VLOOKUP($D130,'FERC 2021'!$EA$3:$EN$221,6,0),"")</f>
        <v>98124089.799974009</v>
      </c>
      <c r="R130" s="72">
        <f>IFERROR(VLOOKUP($D130,'FERC 2022'!$EA$3:$EN$220,6,0),"")</f>
        <v>94612552.432359606</v>
      </c>
      <c r="S130" s="72">
        <f>IFERROR(VLOOKUP($D130,'FERC 2023'!$EA$3:$EN$221,6,0),"")</f>
        <v>92264132.041901708</v>
      </c>
      <c r="T130" s="72">
        <f>IFERROR(VLOOKUP($D130,'FERC 2021'!$EA$3:$EN$221,7,0),"")</f>
        <v>3950</v>
      </c>
      <c r="U130" s="72">
        <f>IFERROR(VLOOKUP($D130,'FERC 2022'!$EA$3:$EN$220,7,0),"")</f>
        <v>4069</v>
      </c>
      <c r="V130" s="72">
        <f>IFERROR(VLOOKUP($D130,'FERC 2023'!$EA$3:$EN$221,7,0),"")</f>
        <v>4022</v>
      </c>
      <c r="W130" s="72">
        <f>IFERROR(VLOOKUP($D130,'FERC 2021'!$EA$3:$EN$221,8,0),"")</f>
        <v>539708</v>
      </c>
      <c r="X130" s="72">
        <f>IFERROR(VLOOKUP($D130,'FERC 2022'!$EA$3:$EN$220,8,0),"")</f>
        <v>544897</v>
      </c>
      <c r="Y130" s="72">
        <f>IFERROR(VLOOKUP($D130,'FERC 2023'!$EA$3:$EN$221,8,0),"")</f>
        <v>549745</v>
      </c>
      <c r="Z130" s="72">
        <f>IFERROR(VLOOKUP($D130,'FERC 2021'!$EA$3:$EN$222,9,0),"")</f>
        <v>558535</v>
      </c>
      <c r="AA130" s="72">
        <f>IFERROR(VLOOKUP($D130,'FERC 2022'!$EA$3:$EN$220,9,0),"")</f>
        <v>734140</v>
      </c>
      <c r="AB130" s="72">
        <f>IFERROR(VLOOKUP($D130,'FERC 2023'!$EA$3:$EN$221,9,0),"")</f>
        <v>498280</v>
      </c>
      <c r="AC130" s="72">
        <f>IFERROR(VLOOKUP($D130,'FERC 2021'!$EA$3:$EN$221,10,0),"")</f>
        <v>12004815</v>
      </c>
      <c r="AD130" s="72">
        <f>IFERROR(VLOOKUP($D130,'FERC 2022'!$EA$3:$EN$220,10,0),"")</f>
        <v>12102227</v>
      </c>
      <c r="AE130" s="72">
        <f>IFERROR(VLOOKUP($D130,'FERC 2023'!$EA$3:$EN$221,10,0),"")</f>
        <v>11598226</v>
      </c>
      <c r="AF130" s="72">
        <f>IFERROR(VLOOKUP($D130,'FERC 2021'!$EA$3:$EN$221,11,0),"")</f>
        <v>12558610.304568527</v>
      </c>
      <c r="AG130" s="72">
        <f>IFERROR(VLOOKUP($D130,'FERC 2022'!$EA$3:$EN$220,11,0),"")</f>
        <v>12830944.629441625</v>
      </c>
      <c r="AH130" s="72">
        <f>IFERROR(VLOOKUP($D130,'FERC 2023'!$EA$3:$EN$221,11,0),"")</f>
        <v>12089709.187817259</v>
      </c>
      <c r="AI130" s="72">
        <f>IFERROR(VLOOKUP($D130,'FERC 2021'!$EA$3:$EN$221,12,0),"")</f>
        <v>32922188</v>
      </c>
      <c r="AJ130" s="72">
        <f>IFERROR(VLOOKUP($D130,'FERC 2022'!$EA$3:$EN$220,12,0),"")</f>
        <v>35418305</v>
      </c>
      <c r="AK130" s="72">
        <f>IFERROR(VLOOKUP($D130,'FERC 2023'!$EA$3:$EN$221,12,0),"")</f>
        <v>32984700</v>
      </c>
      <c r="AL130" s="72">
        <f>VLOOKUP($D130,'FERC 2021'!$EA$3:$EN$221,13,0)</f>
        <v>442560.56</v>
      </c>
      <c r="AM130" s="72">
        <f>VLOOKUP($D130,'FERC 2022'!$EA$3:$EN$220,13,0)</f>
        <v>386876.87</v>
      </c>
      <c r="AN130" s="72">
        <f>VLOOKUP($D130,'FERC 2023'!$EA$3:$EN$221,13,0)</f>
        <v>390318.94999999995</v>
      </c>
      <c r="AO130" s="72">
        <f>IFERROR(VLOOKUP($D130,'FERC 2021'!$EA$3:$EN$221,14,0),"")</f>
        <v>336485</v>
      </c>
      <c r="AP130" s="72">
        <f>IFERROR(VLOOKUP($D130,'FERC 2022'!$EA$3:$EN$220,14,0),"")</f>
        <v>340096</v>
      </c>
      <c r="AQ130" s="72">
        <f>IFERROR(VLOOKUP($D130,'FERC 2023'!$EA$3:$EN$221,14,0),"")</f>
        <v>343666</v>
      </c>
    </row>
    <row r="131" spans="1:43" ht="15.75" hidden="1" customHeight="1">
      <c r="A131" s="7" t="s">
        <v>592</v>
      </c>
      <c r="B131" s="7" t="s">
        <v>593</v>
      </c>
      <c r="C131" s="311" t="str">
        <f>'BD DEA'!P131</f>
        <v/>
      </c>
      <c r="D131" s="44" t="str">
        <f t="shared" si="0"/>
        <v>C001466</v>
      </c>
      <c r="E131" s="72">
        <f>IFERROR(VLOOKUP($D131,'FERC 2021'!$EA$3:$EN$221,2,0),"")</f>
        <v>4205100526.0523853</v>
      </c>
      <c r="F131" s="72">
        <f>IFERROR(VLOOKUP($D131,'FERC 2022'!$EA$3:$EN$220,2,0),"")</f>
        <v>4462315180.901969</v>
      </c>
      <c r="G131" s="72">
        <f>IFERROR(VLOOKUP($D131,'FERC 2023'!$EA$3:$EN$221,2,0),"")</f>
        <v>4744529779.9613037</v>
      </c>
      <c r="H131" s="72">
        <f>IFERROR(VLOOKUP($D131,'FERC 2021'!$EA$3:$EN$225,3,0),"")</f>
        <v>94786392.748789296</v>
      </c>
      <c r="I131" s="72">
        <f>IFERROR(VLOOKUP($D131,'FERC 2022'!$EA$3:$EN$229,3,0),"")</f>
        <v>134249272.5982199</v>
      </c>
      <c r="J131" s="72">
        <f>IFERROR(VLOOKUP($D131,'FERC 2023'!$EA$3:$EN$229,3,0),"")</f>
        <v>174045404.80383</v>
      </c>
      <c r="K131" s="72">
        <f>IFERROR(VLOOKUP($D131,'FERC 2021'!$EA$3:$EN$229,4,0),"")</f>
        <v>122303899.51405109</v>
      </c>
      <c r="L131" s="72">
        <f>IFERROR(VLOOKUP($D131,'FERC 2022'!$EA$3:$EN$220,4,0),"")</f>
        <v>116951624.50693204</v>
      </c>
      <c r="M131" s="72">
        <f>IFERROR(VLOOKUP($D131,'FERC 2023'!$EA$3:$EN$221,4,0),"")</f>
        <v>155767553.42712051</v>
      </c>
      <c r="N131" s="72">
        <f>IFERROR(VLOOKUP($D131,'FERC 2021'!$EA$3:$EN$221,5,0),"")</f>
        <v>132079825.20322929</v>
      </c>
      <c r="O131" s="72">
        <f>IFERROR(VLOOKUP($D131,'FERC 2022'!$EA$3:$EN$220,5,0),"")</f>
        <v>126137644.83116901</v>
      </c>
      <c r="P131" s="72">
        <f>IFERROR(VLOOKUP($D131,'FERC 2023'!$EA$3:$EN$221,5,0),"")</f>
        <v>125184535.86379743</v>
      </c>
      <c r="Q131" s="72">
        <f>IFERROR(VLOOKUP($D131,'FERC 2021'!$EA$3:$EN$221,6,0),"")</f>
        <v>98020731.717148557</v>
      </c>
      <c r="R131" s="72">
        <f>IFERROR(VLOOKUP($D131,'FERC 2022'!$EA$3:$EN$220,6,0),"")</f>
        <v>92458870.730872735</v>
      </c>
      <c r="S131" s="72">
        <f>IFERROR(VLOOKUP($D131,'FERC 2023'!$EA$3:$EN$221,6,0),"")</f>
        <v>90749007.687887311</v>
      </c>
      <c r="T131" s="72">
        <f>IFERROR(VLOOKUP($D131,'FERC 2021'!$EA$3:$EN$221,7,0),"")</f>
        <v>2482</v>
      </c>
      <c r="U131" s="72">
        <f>IFERROR(VLOOKUP($D131,'FERC 2022'!$EA$3:$EN$220,7,0),"")</f>
        <v>2458</v>
      </c>
      <c r="V131" s="72">
        <f>IFERROR(VLOOKUP($D131,'FERC 2023'!$EA$3:$EN$221,7,0),"")</f>
        <v>2478</v>
      </c>
      <c r="W131" s="72">
        <f>IFERROR(VLOOKUP($D131,'FERC 2021'!$EA$3:$EN$221,8,0),"")</f>
        <v>564929</v>
      </c>
      <c r="X131" s="72">
        <f>IFERROR(VLOOKUP($D131,'FERC 2022'!$EA$3:$EN$220,8,0),"")</f>
        <v>567212</v>
      </c>
      <c r="Y131" s="72">
        <f>IFERROR(VLOOKUP($D131,'FERC 2023'!$EA$3:$EN$221,8,0),"")</f>
        <v>569973</v>
      </c>
      <c r="Z131" s="72">
        <f>IFERROR(VLOOKUP($D131,'FERC 2021'!$EA$3:$EN$222,9,0),"")</f>
        <v>554101</v>
      </c>
      <c r="AA131" s="72">
        <f>IFERROR(VLOOKUP($D131,'FERC 2022'!$EA$3:$EN$220,9,0),"")</f>
        <v>603185</v>
      </c>
      <c r="AB131" s="72">
        <f>IFERROR(VLOOKUP($D131,'FERC 2023'!$EA$3:$EN$221,9,0),"")</f>
        <v>227725</v>
      </c>
      <c r="AC131" s="72">
        <f>IFERROR(VLOOKUP($D131,'FERC 2021'!$EA$3:$EN$221,10,0),"")</f>
        <v>8821240</v>
      </c>
      <c r="AD131" s="72">
        <f>IFERROR(VLOOKUP($D131,'FERC 2022'!$EA$3:$EN$220,10,0),"")</f>
        <v>8779147</v>
      </c>
      <c r="AE131" s="72">
        <f>IFERROR(VLOOKUP($D131,'FERC 2023'!$EA$3:$EN$221,10,0),"")</f>
        <v>8736229</v>
      </c>
      <c r="AF131" s="72">
        <f>IFERROR(VLOOKUP($D131,'FERC 2021'!$EA$3:$EN$221,11,0),"")</f>
        <v>9356596.8629441634</v>
      </c>
      <c r="AG131" s="72">
        <f>IFERROR(VLOOKUP($D131,'FERC 2022'!$EA$3:$EN$220,11,0),"")</f>
        <v>9373546.3553299494</v>
      </c>
      <c r="AH131" s="72">
        <f>IFERROR(VLOOKUP($D131,'FERC 2023'!$EA$3:$EN$221,11,0),"")</f>
        <v>8962286.9746192899</v>
      </c>
      <c r="AI131" s="72">
        <f>IFERROR(VLOOKUP($D131,'FERC 2021'!$EA$3:$EN$221,12,0),"")</f>
        <v>30506166</v>
      </c>
      <c r="AJ131" s="72">
        <f>IFERROR(VLOOKUP($D131,'FERC 2022'!$EA$3:$EN$220,12,0),"")</f>
        <v>28927812</v>
      </c>
      <c r="AK131" s="72">
        <f>IFERROR(VLOOKUP($D131,'FERC 2023'!$EA$3:$EN$221,12,0),"")</f>
        <v>30208569</v>
      </c>
      <c r="AL131" s="72">
        <f>VLOOKUP($D131,'FERC 2021'!$EA$3:$EN$221,13,0)</f>
        <v>401099.58999999997</v>
      </c>
      <c r="AM131" s="72">
        <f>VLOOKUP($D131,'FERC 2022'!$EA$3:$EN$220,13,0)</f>
        <v>368687.8</v>
      </c>
      <c r="AN131" s="72">
        <f>VLOOKUP($D131,'FERC 2023'!$EA$3:$EN$221,13,0)</f>
        <v>376182.18</v>
      </c>
      <c r="AO131" s="72">
        <f>IFERROR(VLOOKUP($D131,'FERC 2021'!$EA$3:$EN$221,14,0),"")</f>
        <v>576</v>
      </c>
      <c r="AP131" s="72">
        <f>IFERROR(VLOOKUP($D131,'FERC 2022'!$EA$3:$EN$220,14,0),"")</f>
        <v>591</v>
      </c>
      <c r="AQ131" s="72">
        <f>IFERROR(VLOOKUP($D131,'FERC 2023'!$EA$3:$EN$221,14,0),"")</f>
        <v>594</v>
      </c>
    </row>
    <row r="132" spans="1:43" ht="15.75" hidden="1" customHeight="1">
      <c r="A132" s="7" t="s">
        <v>595</v>
      </c>
      <c r="B132" s="7" t="s">
        <v>596</v>
      </c>
      <c r="C132" s="311" t="str">
        <f>'BD DEA'!P132</f>
        <v/>
      </c>
      <c r="D132" s="44" t="str">
        <f t="shared" si="0"/>
        <v>C001486</v>
      </c>
      <c r="E132" s="72" t="str">
        <f>IFERROR(VLOOKUP($D132,'FERC 2021'!$EA$3:$EN$221,2,0),"")</f>
        <v/>
      </c>
      <c r="F132" s="72" t="str">
        <f>IFERROR(VLOOKUP($D132,'FERC 2022'!$EA$3:$EN$220,2,0),"")</f>
        <v/>
      </c>
      <c r="G132" s="72" t="str">
        <f>IFERROR(VLOOKUP($D132,'FERC 2023'!$EA$3:$EN$221,2,0),"")</f>
        <v/>
      </c>
      <c r="H132" s="72" t="str">
        <f>IFERROR(VLOOKUP($D132,'FERC 2021'!$EA$3:$EN$225,3,0),"")</f>
        <v/>
      </c>
      <c r="I132" s="72" t="str">
        <f>IFERROR(VLOOKUP($D132,'FERC 2022'!$EA$3:$EN$229,3,0),"")</f>
        <v/>
      </c>
      <c r="J132" s="72" t="str">
        <f>IFERROR(VLOOKUP($D132,'FERC 2023'!$EA$3:$EN$229,3,0),"")</f>
        <v/>
      </c>
      <c r="K132" s="72" t="str">
        <f>IFERROR(VLOOKUP($D132,'FERC 2021'!$EA$3:$EN$229,4,0),"")</f>
        <v/>
      </c>
      <c r="L132" s="72" t="str">
        <f>IFERROR(VLOOKUP($D132,'FERC 2022'!$EA$3:$EN$220,4,0),"")</f>
        <v/>
      </c>
      <c r="M132" s="72" t="str">
        <f>IFERROR(VLOOKUP($D132,'FERC 2023'!$EA$3:$EN$221,4,0),"")</f>
        <v/>
      </c>
      <c r="N132" s="72" t="str">
        <f>IFERROR(VLOOKUP($D132,'FERC 2021'!$EA$3:$EN$221,5,0),"")</f>
        <v/>
      </c>
      <c r="O132" s="72" t="str">
        <f>IFERROR(VLOOKUP($D132,'FERC 2022'!$EA$3:$EN$220,5,0),"")</f>
        <v/>
      </c>
      <c r="P132" s="72" t="str">
        <f>IFERROR(VLOOKUP($D132,'FERC 2023'!$EA$3:$EN$221,5,0),"")</f>
        <v/>
      </c>
      <c r="Q132" s="72" t="str">
        <f>IFERROR(VLOOKUP($D132,'FERC 2021'!$EA$3:$EN$221,6,0),"")</f>
        <v/>
      </c>
      <c r="R132" s="72" t="str">
        <f>IFERROR(VLOOKUP($D132,'FERC 2022'!$EA$3:$EN$220,6,0),"")</f>
        <v/>
      </c>
      <c r="S132" s="72" t="str">
        <f>IFERROR(VLOOKUP($D132,'FERC 2023'!$EA$3:$EN$221,6,0),"")</f>
        <v/>
      </c>
      <c r="T132" s="72" t="str">
        <f>IFERROR(VLOOKUP($D132,'FERC 2021'!$EA$3:$EN$221,7,0),"")</f>
        <v/>
      </c>
      <c r="U132" s="72" t="str">
        <f>IFERROR(VLOOKUP($D132,'FERC 2022'!$EA$3:$EN$220,7,0),"")</f>
        <v/>
      </c>
      <c r="V132" s="72" t="str">
        <f>IFERROR(VLOOKUP($D132,'FERC 2023'!$EA$3:$EN$221,7,0),"")</f>
        <v/>
      </c>
      <c r="W132" s="72" t="str">
        <f>IFERROR(VLOOKUP($D132,'FERC 2021'!$EA$3:$EN$221,8,0),"")</f>
        <v/>
      </c>
      <c r="X132" s="72" t="str">
        <f>IFERROR(VLOOKUP($D132,'FERC 2022'!$EA$3:$EN$220,8,0),"")</f>
        <v/>
      </c>
      <c r="Y132" s="72" t="str">
        <f>IFERROR(VLOOKUP($D132,'FERC 2023'!$EA$3:$EN$221,8,0),"")</f>
        <v/>
      </c>
      <c r="Z132" s="72" t="str">
        <f>IFERROR(VLOOKUP($D132,'FERC 2021'!$EA$3:$EN$222,9,0),"")</f>
        <v/>
      </c>
      <c r="AA132" s="72" t="str">
        <f>IFERROR(VLOOKUP($D132,'FERC 2022'!$EA$3:$EN$220,9,0),"")</f>
        <v/>
      </c>
      <c r="AB132" s="72" t="str">
        <f>IFERROR(VLOOKUP($D132,'FERC 2023'!$EA$3:$EN$221,9,0),"")</f>
        <v/>
      </c>
      <c r="AC132" s="72" t="str">
        <f>IFERROR(VLOOKUP($D132,'FERC 2021'!$EA$3:$EN$221,10,0),"")</f>
        <v/>
      </c>
      <c r="AD132" s="72" t="str">
        <f>IFERROR(VLOOKUP($D132,'FERC 2022'!$EA$3:$EN$220,10,0),"")</f>
        <v/>
      </c>
      <c r="AE132" s="72" t="str">
        <f>IFERROR(VLOOKUP($D132,'FERC 2023'!$EA$3:$EN$221,10,0),"")</f>
        <v/>
      </c>
      <c r="AF132" s="72" t="str">
        <f>IFERROR(VLOOKUP($D132,'FERC 2021'!$EA$3:$EN$221,11,0),"")</f>
        <v/>
      </c>
      <c r="AG132" s="72" t="str">
        <f>IFERROR(VLOOKUP($D132,'FERC 2022'!$EA$3:$EN$220,11,0),"")</f>
        <v/>
      </c>
      <c r="AH132" s="72" t="str">
        <f>IFERROR(VLOOKUP($D132,'FERC 2023'!$EA$3:$EN$221,11,0),"")</f>
        <v/>
      </c>
      <c r="AI132" s="72" t="str">
        <f>IFERROR(VLOOKUP($D132,'FERC 2021'!$EA$3:$EN$221,12,0),"")</f>
        <v/>
      </c>
      <c r="AJ132" s="72" t="str">
        <f>IFERROR(VLOOKUP($D132,'FERC 2022'!$EA$3:$EN$220,12,0),"")</f>
        <v/>
      </c>
      <c r="AK132" s="72" t="str">
        <f>IFERROR(VLOOKUP($D132,'FERC 2023'!$EA$3:$EN$221,12,0),"")</f>
        <v/>
      </c>
      <c r="AL132" s="72" t="str">
        <f>VLOOKUP($D132,'FERC 2021'!$EA$3:$EN$221,13,0)</f>
        <v/>
      </c>
      <c r="AM132" s="72" t="str">
        <f>VLOOKUP($D132,'FERC 2022'!$EA$3:$EN$220,13,0)</f>
        <v/>
      </c>
      <c r="AN132" s="72" t="str">
        <f>VLOOKUP($D132,'FERC 2023'!$EA$3:$EN$221,13,0)</f>
        <v/>
      </c>
      <c r="AO132" s="72" t="str">
        <f>IFERROR(VLOOKUP($D132,'FERC 2021'!$EA$3:$EN$221,14,0),"")</f>
        <v/>
      </c>
      <c r="AP132" s="72" t="str">
        <f>IFERROR(VLOOKUP($D132,'FERC 2022'!$EA$3:$EN$220,14,0),"")</f>
        <v/>
      </c>
      <c r="AQ132" s="72" t="str">
        <f>IFERROR(VLOOKUP($D132,'FERC 2023'!$EA$3:$EN$221,14,0),"")</f>
        <v/>
      </c>
    </row>
    <row r="133" spans="1:43" ht="15.75" hidden="1" customHeight="1">
      <c r="A133" s="7" t="s">
        <v>598</v>
      </c>
      <c r="B133" s="7" t="s">
        <v>599</v>
      </c>
      <c r="C133" s="311" t="str">
        <f>'BD DEA'!P133</f>
        <v/>
      </c>
      <c r="D133" s="44" t="str">
        <f t="shared" si="0"/>
        <v>C001552</v>
      </c>
      <c r="E133" s="72">
        <f>IFERROR(VLOOKUP($D133,'FERC 2021'!$EA$3:$EN$221,2,0),"")</f>
        <v>15460657704.084446</v>
      </c>
      <c r="F133" s="72">
        <f>IFERROR(VLOOKUP($D133,'FERC 2022'!$EA$3:$EN$220,2,0),"")</f>
        <v>15739815503.227875</v>
      </c>
      <c r="G133" s="72">
        <f>IFERROR(VLOOKUP($D133,'FERC 2023'!$EA$3:$EN$221,2,0),"")</f>
        <v>16490834209.193085</v>
      </c>
      <c r="H133" s="72">
        <f>IFERROR(VLOOKUP($D133,'FERC 2021'!$EA$3:$EN$225,3,0),"")</f>
        <v>695385242.61613953</v>
      </c>
      <c r="I133" s="72">
        <f>IFERROR(VLOOKUP($D133,'FERC 2022'!$EA$3:$EN$229,3,0),"")</f>
        <v>699632507.80999351</v>
      </c>
      <c r="J133" s="72">
        <f>IFERROR(VLOOKUP($D133,'FERC 2023'!$EA$3:$EN$229,3,0),"")</f>
        <v>722766167.89530897</v>
      </c>
      <c r="K133" s="72">
        <f>IFERROR(VLOOKUP($D133,'FERC 2021'!$EA$3:$EN$229,4,0),"")</f>
        <v>373354149.1728636</v>
      </c>
      <c r="L133" s="72">
        <f>IFERROR(VLOOKUP($D133,'FERC 2022'!$EA$3:$EN$220,4,0),"")</f>
        <v>457927637.02094632</v>
      </c>
      <c r="M133" s="72">
        <f>IFERROR(VLOOKUP($D133,'FERC 2023'!$EA$3:$EN$221,4,0),"")</f>
        <v>179537070.45863485</v>
      </c>
      <c r="N133" s="72">
        <f>IFERROR(VLOOKUP($D133,'FERC 2021'!$EA$3:$EN$221,5,0),"")</f>
        <v>172551443.73113173</v>
      </c>
      <c r="O133" s="72">
        <f>IFERROR(VLOOKUP($D133,'FERC 2022'!$EA$3:$EN$220,5,0),"")</f>
        <v>180233892.94988883</v>
      </c>
      <c r="P133" s="72">
        <f>IFERROR(VLOOKUP($D133,'FERC 2023'!$EA$3:$EN$221,5,0),"")</f>
        <v>201601602.62130955</v>
      </c>
      <c r="Q133" s="72">
        <f>IFERROR(VLOOKUP($D133,'FERC 2021'!$EA$3:$EN$221,6,0),"")</f>
        <v>130925566.10232799</v>
      </c>
      <c r="R133" s="72">
        <f>IFERROR(VLOOKUP($D133,'FERC 2022'!$EA$3:$EN$220,6,0),"")</f>
        <v>121784386.3153277</v>
      </c>
      <c r="S133" s="72">
        <f>IFERROR(VLOOKUP($D133,'FERC 2023'!$EA$3:$EN$221,6,0),"")</f>
        <v>86067730.220564336</v>
      </c>
      <c r="T133" s="72">
        <f>IFERROR(VLOOKUP($D133,'FERC 2021'!$EA$3:$EN$221,7,0),"")</f>
        <v>11272</v>
      </c>
      <c r="U133" s="72">
        <f>IFERROR(VLOOKUP($D133,'FERC 2022'!$EA$3:$EN$220,7,0),"")</f>
        <v>13604</v>
      </c>
      <c r="V133" s="72">
        <f>IFERROR(VLOOKUP($D133,'FERC 2023'!$EA$3:$EN$221,7,0),"")</f>
        <v>13650</v>
      </c>
      <c r="W133" s="72">
        <f>IFERROR(VLOOKUP($D133,'FERC 2021'!$EA$3:$EN$221,8,0),"")</f>
        <v>1510098</v>
      </c>
      <c r="X133" s="72">
        <f>IFERROR(VLOOKUP($D133,'FERC 2022'!$EA$3:$EN$220,8,0),"")</f>
        <v>1526836</v>
      </c>
      <c r="Y133" s="72">
        <f>IFERROR(VLOOKUP($D133,'FERC 2023'!$EA$3:$EN$221,8,0),"")</f>
        <v>1537035</v>
      </c>
      <c r="Z133" s="72">
        <f>IFERROR(VLOOKUP($D133,'FERC 2021'!$EA$3:$EN$222,9,0),"")</f>
        <v>2696241</v>
      </c>
      <c r="AA133" s="72">
        <f>IFERROR(VLOOKUP($D133,'FERC 2022'!$EA$3:$EN$220,9,0),"")</f>
        <v>3212969</v>
      </c>
      <c r="AB133" s="72">
        <f>IFERROR(VLOOKUP($D133,'FERC 2023'!$EA$3:$EN$221,9,0),"")</f>
        <v>3454406</v>
      </c>
      <c r="AC133" s="72">
        <f>IFERROR(VLOOKUP($D133,'FERC 2021'!$EA$3:$EN$221,10,0),"")</f>
        <v>51171828</v>
      </c>
      <c r="AD133" s="72">
        <f>IFERROR(VLOOKUP($D133,'FERC 2022'!$EA$3:$EN$220,10,0),"")</f>
        <v>52541533</v>
      </c>
      <c r="AE133" s="72">
        <f>IFERROR(VLOOKUP($D133,'FERC 2023'!$EA$3:$EN$221,10,0),"")</f>
        <v>50746188</v>
      </c>
      <c r="AF133" s="72">
        <f>IFERROR(VLOOKUP($D133,'FERC 2021'!$EA$3:$EN$221,11,0),"")</f>
        <v>53640279.472081214</v>
      </c>
      <c r="AG133" s="72">
        <f>IFERROR(VLOOKUP($D133,'FERC 2022'!$EA$3:$EN$220,11,0),"")</f>
        <v>55505608.49238579</v>
      </c>
      <c r="AH133" s="72">
        <f>IFERROR(VLOOKUP($D133,'FERC 2023'!$EA$3:$EN$221,11,0),"")</f>
        <v>54026472.035532996</v>
      </c>
      <c r="AI133" s="72">
        <f>IFERROR(VLOOKUP($D133,'FERC 2021'!$EA$3:$EN$221,12,0),"")</f>
        <v>184382965.79999998</v>
      </c>
      <c r="AJ133" s="72">
        <f>IFERROR(VLOOKUP($D133,'FERC 2022'!$EA$3:$EN$220,12,0),"")</f>
        <v>203221871.59999999</v>
      </c>
      <c r="AK133" s="72">
        <f>IFERROR(VLOOKUP($D133,'FERC 2023'!$EA$3:$EN$221,12,0),"")</f>
        <v>161081268</v>
      </c>
      <c r="AL133" s="72">
        <f>VLOOKUP($D133,'FERC 2021'!$EA$3:$EN$221,13,0)</f>
        <v>2182091.61</v>
      </c>
      <c r="AM133" s="72">
        <f>VLOOKUP($D133,'FERC 2022'!$EA$3:$EN$220,13,0)</f>
        <v>2038326.06</v>
      </c>
      <c r="AN133" s="72">
        <f>VLOOKUP($D133,'FERC 2023'!$EA$3:$EN$221,13,0)</f>
        <v>2299404.36</v>
      </c>
      <c r="AO133" s="72">
        <f>IFERROR(VLOOKUP($D133,'FERC 2021'!$EA$3:$EN$221,14,0),"")</f>
        <v>1492612</v>
      </c>
      <c r="AP133" s="72">
        <f>IFERROR(VLOOKUP($D133,'FERC 2022'!$EA$3:$EN$220,14,0),"")</f>
        <v>1504025</v>
      </c>
      <c r="AQ133" s="72">
        <f>IFERROR(VLOOKUP($D133,'FERC 2023'!$EA$3:$EN$221,14,0),"")</f>
        <v>1512319</v>
      </c>
    </row>
    <row r="134" spans="1:43" ht="15.75" customHeight="1">
      <c r="A134" s="7" t="s">
        <v>601</v>
      </c>
      <c r="B134" s="7" t="s">
        <v>602</v>
      </c>
      <c r="C134" s="311">
        <f>'BD DEA'!P134</f>
        <v>1</v>
      </c>
      <c r="D134" s="44" t="str">
        <f t="shared" si="0"/>
        <v>C001553</v>
      </c>
      <c r="E134" s="72">
        <f>IFERROR(VLOOKUP($D134,'FERC 2021'!$EA$3:$EN$221,2,0),"")</f>
        <v>17014688547.404121</v>
      </c>
      <c r="F134" s="72">
        <f>IFERROR(VLOOKUP($D134,'FERC 2022'!$EA$3:$EN$220,2,0),"")</f>
        <v>18458588956.035324</v>
      </c>
      <c r="G134" s="72">
        <f>IFERROR(VLOOKUP($D134,'FERC 2023'!$EA$3:$EN$221,2,0),"")</f>
        <v>20145084074.094612</v>
      </c>
      <c r="H134" s="72">
        <f>IFERROR(VLOOKUP($D134,'FERC 2021'!$EA$3:$EN$225,3,0),"")</f>
        <v>799786889.41476703</v>
      </c>
      <c r="I134" s="72">
        <f>IFERROR(VLOOKUP($D134,'FERC 2022'!$EA$3:$EN$229,3,0),"")</f>
        <v>805229341.20809877</v>
      </c>
      <c r="J134" s="72">
        <f>IFERROR(VLOOKUP($D134,'FERC 2023'!$EA$3:$EN$229,3,0),"")</f>
        <v>822539325.9887253</v>
      </c>
      <c r="K134" s="72">
        <f>IFERROR(VLOOKUP($D134,'FERC 2021'!$EA$3:$EN$229,4,0),"")</f>
        <v>398560846.00517094</v>
      </c>
      <c r="L134" s="72">
        <f>IFERROR(VLOOKUP($D134,'FERC 2022'!$EA$3:$EN$220,4,0),"")</f>
        <v>448860437.17728961</v>
      </c>
      <c r="M134" s="72">
        <f>IFERROR(VLOOKUP($D134,'FERC 2023'!$EA$3:$EN$221,4,0),"")</f>
        <v>293590268.57233584</v>
      </c>
      <c r="N134" s="72">
        <f>IFERROR(VLOOKUP($D134,'FERC 2021'!$EA$3:$EN$221,5,0),"")</f>
        <v>348567897.40974659</v>
      </c>
      <c r="O134" s="72">
        <f>IFERROR(VLOOKUP($D134,'FERC 2022'!$EA$3:$EN$220,5,0),"")</f>
        <v>319165402.95955181</v>
      </c>
      <c r="P134" s="72">
        <f>IFERROR(VLOOKUP($D134,'FERC 2023'!$EA$3:$EN$221,5,0),"")</f>
        <v>351898039.10198349</v>
      </c>
      <c r="Q134" s="72">
        <f>IFERROR(VLOOKUP($D134,'FERC 2021'!$EA$3:$EN$221,6,0),"")</f>
        <v>247892171.70222759</v>
      </c>
      <c r="R134" s="72">
        <f>IFERROR(VLOOKUP($D134,'FERC 2022'!$EA$3:$EN$220,6,0),"")</f>
        <v>268251156.3280794</v>
      </c>
      <c r="S134" s="72">
        <f>IFERROR(VLOOKUP($D134,'FERC 2023'!$EA$3:$EN$221,6,0),"")</f>
        <v>148695822.78469592</v>
      </c>
      <c r="T134" s="72">
        <f>IFERROR(VLOOKUP($D134,'FERC 2021'!$EA$3:$EN$221,7,0),"")</f>
        <v>16213</v>
      </c>
      <c r="U134" s="72">
        <f>IFERROR(VLOOKUP($D134,'FERC 2022'!$EA$3:$EN$220,7,0),"")</f>
        <v>17074</v>
      </c>
      <c r="V134" s="72">
        <f>IFERROR(VLOOKUP($D134,'FERC 2023'!$EA$3:$EN$221,7,0),"")</f>
        <v>16720</v>
      </c>
      <c r="W134" s="72">
        <f>IFERROR(VLOOKUP($D134,'FERC 2021'!$EA$3:$EN$221,8,0),"")</f>
        <v>2657945</v>
      </c>
      <c r="X134" s="72">
        <f>IFERROR(VLOOKUP($D134,'FERC 2022'!$EA$3:$EN$220,8,0),"")</f>
        <v>2693353</v>
      </c>
      <c r="Y134" s="72">
        <f>IFERROR(VLOOKUP($D134,'FERC 2023'!$EA$3:$EN$221,8,0),"")</f>
        <v>2735261</v>
      </c>
      <c r="Z134" s="72">
        <f>IFERROR(VLOOKUP($D134,'FERC 2021'!$EA$3:$EN$222,9,0),"")</f>
        <v>3317571</v>
      </c>
      <c r="AA134" s="72">
        <f>IFERROR(VLOOKUP($D134,'FERC 2022'!$EA$3:$EN$220,9,0),"")</f>
        <v>3534078</v>
      </c>
      <c r="AB134" s="72">
        <f>IFERROR(VLOOKUP($D134,'FERC 2023'!$EA$3:$EN$221,9,0),"")</f>
        <v>3574849</v>
      </c>
      <c r="AC134" s="72">
        <f>IFERROR(VLOOKUP($D134,'FERC 2021'!$EA$3:$EN$221,10,0),"")</f>
        <v>82944041</v>
      </c>
      <c r="AD134" s="72">
        <f>IFERROR(VLOOKUP($D134,'FERC 2022'!$EA$3:$EN$220,10,0),"")</f>
        <v>85956486</v>
      </c>
      <c r="AE134" s="72">
        <f>IFERROR(VLOOKUP($D134,'FERC 2023'!$EA$3:$EN$221,10,0),"")</f>
        <v>84130035</v>
      </c>
      <c r="AF134" s="72">
        <f>IFERROR(VLOOKUP($D134,'FERC 2021'!$EA$3:$EN$221,11,0),"")</f>
        <v>86213248.421319798</v>
      </c>
      <c r="AG134" s="72">
        <f>IFERROR(VLOOKUP($D134,'FERC 2022'!$EA$3:$EN$220,11,0),"")</f>
        <v>89453322.045685276</v>
      </c>
      <c r="AH134" s="72">
        <f>IFERROR(VLOOKUP($D134,'FERC 2023'!$EA$3:$EN$221,11,0),"")</f>
        <v>87664745.827411175</v>
      </c>
      <c r="AI134" s="72">
        <f>IFERROR(VLOOKUP($D134,'FERC 2021'!$EA$3:$EN$221,12,0),"")</f>
        <v>375115777.84999996</v>
      </c>
      <c r="AJ134" s="72">
        <f>IFERROR(VLOOKUP($D134,'FERC 2022'!$EA$3:$EN$220,12,0),"")</f>
        <v>383668134.84999996</v>
      </c>
      <c r="AK134" s="72">
        <f>IFERROR(VLOOKUP($D134,'FERC 2023'!$EA$3:$EN$221,12,0),"")</f>
        <v>381869788.21000004</v>
      </c>
      <c r="AL134" s="72">
        <f>VLOOKUP($D134,'FERC 2021'!$EA$3:$EN$221,13,0)</f>
        <v>3402169.6</v>
      </c>
      <c r="AM134" s="72">
        <f>VLOOKUP($D134,'FERC 2022'!$EA$3:$EN$220,13,0)</f>
        <v>4309364.8</v>
      </c>
      <c r="AN134" s="72">
        <f>VLOOKUP($D134,'FERC 2023'!$EA$3:$EN$221,13,0)</f>
        <v>4786706.75</v>
      </c>
      <c r="AO134" s="72">
        <f>IFERROR(VLOOKUP($D134,'FERC 2021'!$EA$3:$EN$221,14,0),"")</f>
        <v>2642160</v>
      </c>
      <c r="AP134" s="72">
        <f>IFERROR(VLOOKUP($D134,'FERC 2022'!$EA$3:$EN$220,14,0),"")</f>
        <v>2676460</v>
      </c>
      <c r="AQ134" s="72">
        <f>IFERROR(VLOOKUP($D134,'FERC 2023'!$EA$3:$EN$221,14,0),"")</f>
        <v>2717495</v>
      </c>
    </row>
    <row r="135" spans="1:43" ht="15.75" hidden="1" customHeight="1">
      <c r="A135" s="7" t="s">
        <v>604</v>
      </c>
      <c r="B135" s="7" t="s">
        <v>605</v>
      </c>
      <c r="C135" s="311" t="str">
        <f>'BD DEA'!P135</f>
        <v/>
      </c>
      <c r="D135" s="44" t="str">
        <f t="shared" si="0"/>
        <v>C001554</v>
      </c>
      <c r="E135" s="72">
        <f>IFERROR(VLOOKUP($D135,'FERC 2021'!$EA$3:$EN$221,2,0),"")</f>
        <v>2726066232.3365927</v>
      </c>
      <c r="F135" s="72" t="str">
        <f>IFERROR(VLOOKUP($D135,'FERC 2022'!$EA$3:$EN$220,2,0),"")</f>
        <v/>
      </c>
      <c r="G135" s="72" t="str">
        <f>IFERROR(VLOOKUP($D135,'FERC 2023'!$EA$3:$EN$221,2,0),"")</f>
        <v/>
      </c>
      <c r="H135" s="72">
        <f>IFERROR(VLOOKUP($D135,'FERC 2021'!$EA$3:$EN$225,3,0),"")</f>
        <v>107738385.93904568</v>
      </c>
      <c r="I135" s="72" t="str">
        <f>IFERROR(VLOOKUP($D135,'FERC 2022'!$EA$3:$EN$229,3,0),"")</f>
        <v/>
      </c>
      <c r="J135" s="72" t="str">
        <f>IFERROR(VLOOKUP($D135,'FERC 2023'!$EA$3:$EN$229,3,0),"")</f>
        <v/>
      </c>
      <c r="K135" s="72">
        <f>IFERROR(VLOOKUP($D135,'FERC 2021'!$EA$3:$EN$229,4,0),"")</f>
        <v>63861651.610422291</v>
      </c>
      <c r="L135" s="72" t="str">
        <f>IFERROR(VLOOKUP($D135,'FERC 2022'!$EA$3:$EN$220,4,0),"")</f>
        <v/>
      </c>
      <c r="M135" s="72" t="str">
        <f>IFERROR(VLOOKUP($D135,'FERC 2023'!$EA$3:$EN$221,4,0),"")</f>
        <v/>
      </c>
      <c r="N135" s="72">
        <f>IFERROR(VLOOKUP($D135,'FERC 2021'!$EA$3:$EN$221,5,0),"")</f>
        <v>36782530.240944274</v>
      </c>
      <c r="O135" s="72" t="str">
        <f>IFERROR(VLOOKUP($D135,'FERC 2022'!$EA$3:$EN$220,5,0),"")</f>
        <v/>
      </c>
      <c r="P135" s="72" t="str">
        <f>IFERROR(VLOOKUP($D135,'FERC 2023'!$EA$3:$EN$221,5,0),"")</f>
        <v/>
      </c>
      <c r="Q135" s="72">
        <f>IFERROR(VLOOKUP($D135,'FERC 2021'!$EA$3:$EN$221,6,0),"")</f>
        <v>33116785.868210159</v>
      </c>
      <c r="R135" s="72" t="str">
        <f>IFERROR(VLOOKUP($D135,'FERC 2022'!$EA$3:$EN$220,6,0),"")</f>
        <v/>
      </c>
      <c r="S135" s="72" t="str">
        <f>IFERROR(VLOOKUP($D135,'FERC 2023'!$EA$3:$EN$221,6,0),"")</f>
        <v/>
      </c>
      <c r="T135" s="72">
        <f>IFERROR(VLOOKUP($D135,'FERC 2021'!$EA$3:$EN$221,7,0),"")</f>
        <v>2441</v>
      </c>
      <c r="U135" s="72" t="str">
        <f>IFERROR(VLOOKUP($D135,'FERC 2022'!$EA$3:$EN$220,7,0),"")</f>
        <v/>
      </c>
      <c r="V135" s="72" t="str">
        <f>IFERROR(VLOOKUP($D135,'FERC 2023'!$EA$3:$EN$221,7,0),"")</f>
        <v/>
      </c>
      <c r="W135" s="72">
        <f>IFERROR(VLOOKUP($D135,'FERC 2021'!$EA$3:$EN$221,8,0),"")</f>
        <v>477674</v>
      </c>
      <c r="X135" s="72" t="str">
        <f>IFERROR(VLOOKUP($D135,'FERC 2022'!$EA$3:$EN$220,8,0),"")</f>
        <v/>
      </c>
      <c r="Y135" s="72" t="str">
        <f>IFERROR(VLOOKUP($D135,'FERC 2023'!$EA$3:$EN$221,8,0),"")</f>
        <v/>
      </c>
      <c r="Z135" s="72">
        <f>IFERROR(VLOOKUP($D135,'FERC 2021'!$EA$3:$EN$222,9,0),"")</f>
        <v>545431</v>
      </c>
      <c r="AA135" s="72" t="str">
        <f>IFERROR(VLOOKUP($D135,'FERC 2022'!$EA$3:$EN$220,9,0),"")</f>
        <v/>
      </c>
      <c r="AB135" s="72" t="str">
        <f>IFERROR(VLOOKUP($D135,'FERC 2023'!$EA$3:$EN$221,9,0),"")</f>
        <v/>
      </c>
      <c r="AC135" s="72">
        <f>IFERROR(VLOOKUP($D135,'FERC 2021'!$EA$3:$EN$221,10,0),"")</f>
        <v>10731410</v>
      </c>
      <c r="AD135" s="72" t="str">
        <f>IFERROR(VLOOKUP($D135,'FERC 2022'!$EA$3:$EN$220,10,0),"")</f>
        <v/>
      </c>
      <c r="AE135" s="72" t="str">
        <f>IFERROR(VLOOKUP($D135,'FERC 2023'!$EA$3:$EN$221,10,0),"")</f>
        <v/>
      </c>
      <c r="AF135" s="72">
        <f>IFERROR(VLOOKUP($D135,'FERC 2021'!$EA$3:$EN$221,11,0),"")</f>
        <v>11226798.137055837</v>
      </c>
      <c r="AG135" s="72" t="str">
        <f>IFERROR(VLOOKUP($D135,'FERC 2022'!$EA$3:$EN$220,11,0),"")</f>
        <v/>
      </c>
      <c r="AH135" s="72" t="str">
        <f>IFERROR(VLOOKUP($D135,'FERC 2023'!$EA$3:$EN$221,11,0),"")</f>
        <v/>
      </c>
      <c r="AI135" s="72">
        <f>IFERROR(VLOOKUP($D135,'FERC 2021'!$EA$3:$EN$221,12,0),"")</f>
        <v>19312359.82</v>
      </c>
      <c r="AJ135" s="72" t="str">
        <f>IFERROR(VLOOKUP($D135,'FERC 2022'!$EA$3:$EN$220,12,0),"")</f>
        <v/>
      </c>
      <c r="AK135" s="72" t="str">
        <f>IFERROR(VLOOKUP($D135,'FERC 2023'!$EA$3:$EN$221,12,0),"")</f>
        <v/>
      </c>
      <c r="AL135" s="72">
        <f>VLOOKUP($D135,'FERC 2021'!$EA$3:$EN$221,13,0)</f>
        <v>374496.41600000003</v>
      </c>
      <c r="AM135" s="72" t="e">
        <f>VLOOKUP($D135,'FERC 2022'!$EA$3:$EN$220,13,0)</f>
        <v>#N/A</v>
      </c>
      <c r="AN135" s="72" t="e">
        <f>VLOOKUP($D135,'FERC 2023'!$EA$3:$EN$221,13,0)</f>
        <v>#N/A</v>
      </c>
      <c r="AO135" s="72">
        <f>IFERROR(VLOOKUP($D135,'FERC 2021'!$EA$3:$EN$221,14,0),"")</f>
        <v>477672</v>
      </c>
      <c r="AP135" s="72" t="str">
        <f>IFERROR(VLOOKUP($D135,'FERC 2022'!$EA$3:$EN$220,14,0),"")</f>
        <v/>
      </c>
      <c r="AQ135" s="72" t="str">
        <f>IFERROR(VLOOKUP($D135,'FERC 2023'!$EA$3:$EN$221,14,0),"")</f>
        <v/>
      </c>
    </row>
    <row r="136" spans="1:43" ht="15.75" customHeight="1">
      <c r="A136" s="7" t="s">
        <v>607</v>
      </c>
      <c r="B136" s="7" t="s">
        <v>608</v>
      </c>
      <c r="C136" s="311">
        <f>'BD DEA'!P136</f>
        <v>1</v>
      </c>
      <c r="D136" s="44" t="str">
        <f t="shared" si="0"/>
        <v>C001555</v>
      </c>
      <c r="E136" s="72">
        <f>IFERROR(VLOOKUP($D136,'FERC 2021'!$EA$3:$EN$221,2,0),"")</f>
        <v>1945236250.0006149</v>
      </c>
      <c r="F136" s="72">
        <f>IFERROR(VLOOKUP($D136,'FERC 2022'!$EA$3:$EN$220,2,0),"")</f>
        <v>1999245382.1220119</v>
      </c>
      <c r="G136" s="72">
        <f>IFERROR(VLOOKUP($D136,'FERC 2023'!$EA$3:$EN$221,2,0),"")</f>
        <v>2152724217.6716313</v>
      </c>
      <c r="H136" s="72">
        <f>IFERROR(VLOOKUP($D136,'FERC 2021'!$EA$3:$EN$225,3,0),"")</f>
        <v>71340417.532537043</v>
      </c>
      <c r="I136" s="72">
        <f>IFERROR(VLOOKUP($D136,'FERC 2022'!$EA$3:$EN$229,3,0),"")</f>
        <v>70275390.305139765</v>
      </c>
      <c r="J136" s="72">
        <f>IFERROR(VLOOKUP($D136,'FERC 2023'!$EA$3:$EN$229,3,0),"")</f>
        <v>73099250.639851674</v>
      </c>
      <c r="K136" s="72">
        <f>IFERROR(VLOOKUP($D136,'FERC 2021'!$EA$3:$EN$229,4,0),"")</f>
        <v>54579578.281761289</v>
      </c>
      <c r="L136" s="72">
        <f>IFERROR(VLOOKUP($D136,'FERC 2022'!$EA$3:$EN$220,4,0),"")</f>
        <v>53037634.19815927</v>
      </c>
      <c r="M136" s="72">
        <f>IFERROR(VLOOKUP($D136,'FERC 2023'!$EA$3:$EN$221,4,0),"")</f>
        <v>47953037.017031506</v>
      </c>
      <c r="N136" s="72">
        <f>IFERROR(VLOOKUP($D136,'FERC 2021'!$EA$3:$EN$221,5,0),"")</f>
        <v>27323280.409422979</v>
      </c>
      <c r="O136" s="72">
        <f>IFERROR(VLOOKUP($D136,'FERC 2022'!$EA$3:$EN$220,5,0),"")</f>
        <v>27527778.742054306</v>
      </c>
      <c r="P136" s="72">
        <f>IFERROR(VLOOKUP($D136,'FERC 2023'!$EA$3:$EN$221,5,0),"")</f>
        <v>30605128.631220166</v>
      </c>
      <c r="Q136" s="72">
        <f>IFERROR(VLOOKUP($D136,'FERC 2021'!$EA$3:$EN$221,6,0),"")</f>
        <v>26911655.026112672</v>
      </c>
      <c r="R136" s="72">
        <f>IFERROR(VLOOKUP($D136,'FERC 2022'!$EA$3:$EN$220,6,0),"")</f>
        <v>25355565.191201448</v>
      </c>
      <c r="S136" s="72">
        <f>IFERROR(VLOOKUP($D136,'FERC 2023'!$EA$3:$EN$221,6,0),"")</f>
        <v>29001314.810768496</v>
      </c>
      <c r="T136" s="72">
        <f>IFERROR(VLOOKUP($D136,'FERC 2021'!$EA$3:$EN$221,7,0),"")</f>
        <v>2537</v>
      </c>
      <c r="U136" s="72">
        <f>IFERROR(VLOOKUP($D136,'FERC 2022'!$EA$3:$EN$220,7,0),"")</f>
        <v>2440</v>
      </c>
      <c r="V136" s="72">
        <f>IFERROR(VLOOKUP($D136,'FERC 2023'!$EA$3:$EN$221,7,0),"")</f>
        <v>2479</v>
      </c>
      <c r="W136" s="72">
        <f>IFERROR(VLOOKUP($D136,'FERC 2021'!$EA$3:$EN$221,8,0),"")</f>
        <v>190741</v>
      </c>
      <c r="X136" s="72">
        <f>IFERROR(VLOOKUP($D136,'FERC 2022'!$EA$3:$EN$220,8,0),"")</f>
        <v>191513</v>
      </c>
      <c r="Y136" s="72">
        <f>IFERROR(VLOOKUP($D136,'FERC 2023'!$EA$3:$EN$221,8,0),"")</f>
        <v>191779</v>
      </c>
      <c r="Z136" s="72">
        <f>IFERROR(VLOOKUP($D136,'FERC 2021'!$EA$3:$EN$222,9,0),"")</f>
        <v>560601</v>
      </c>
      <c r="AA136" s="72">
        <f>IFERROR(VLOOKUP($D136,'FERC 2022'!$EA$3:$EN$220,9,0),"")</f>
        <v>573279</v>
      </c>
      <c r="AB136" s="72">
        <f>IFERROR(VLOOKUP($D136,'FERC 2023'!$EA$3:$EN$221,9,0),"")</f>
        <v>531322</v>
      </c>
      <c r="AC136" s="72">
        <f>IFERROR(VLOOKUP($D136,'FERC 2021'!$EA$3:$EN$221,10,0),"")</f>
        <v>9254379</v>
      </c>
      <c r="AD136" s="72">
        <f>IFERROR(VLOOKUP($D136,'FERC 2022'!$EA$3:$EN$220,10,0),"")</f>
        <v>9482767</v>
      </c>
      <c r="AE136" s="72">
        <f>IFERROR(VLOOKUP($D136,'FERC 2023'!$EA$3:$EN$221,10,0),"")</f>
        <v>9655081</v>
      </c>
      <c r="AF136" s="72">
        <f>IFERROR(VLOOKUP($D136,'FERC 2021'!$EA$3:$EN$221,11,0),"")</f>
        <v>9687778.4467005078</v>
      </c>
      <c r="AG136" s="72">
        <f>IFERROR(VLOOKUP($D136,'FERC 2022'!$EA$3:$EN$220,11,0),"")</f>
        <v>9919685.6142131984</v>
      </c>
      <c r="AH136" s="72">
        <f>IFERROR(VLOOKUP($D136,'FERC 2023'!$EA$3:$EN$221,11,0),"")</f>
        <v>10042506.583756344</v>
      </c>
      <c r="AI136" s="72">
        <f>IFERROR(VLOOKUP($D136,'FERC 2021'!$EA$3:$EN$221,12,0),"")</f>
        <v>15602613.799999999</v>
      </c>
      <c r="AJ136" s="72">
        <f>IFERROR(VLOOKUP($D136,'FERC 2022'!$EA$3:$EN$220,12,0),"")</f>
        <v>14953335.039999999</v>
      </c>
      <c r="AK136" s="72">
        <f>IFERROR(VLOOKUP($D136,'FERC 2023'!$EA$3:$EN$221,12,0),"")</f>
        <v>15745055.899999999</v>
      </c>
      <c r="AL136" s="72">
        <f>VLOOKUP($D136,'FERC 2021'!$EA$3:$EN$221,13,0)</f>
        <v>314722.64999999997</v>
      </c>
      <c r="AM136" s="72">
        <f>VLOOKUP($D136,'FERC 2022'!$EA$3:$EN$220,13,0)</f>
        <v>206834.04</v>
      </c>
      <c r="AN136" s="72">
        <f>VLOOKUP($D136,'FERC 2023'!$EA$3:$EN$221,13,0)</f>
        <v>204819.97200000001</v>
      </c>
      <c r="AO136" s="72">
        <f>IFERROR(VLOOKUP($D136,'FERC 2021'!$EA$3:$EN$221,14,0),"")</f>
        <v>190734</v>
      </c>
      <c r="AP136" s="72">
        <f>IFERROR(VLOOKUP($D136,'FERC 2022'!$EA$3:$EN$220,14,0),"")</f>
        <v>191476</v>
      </c>
      <c r="AQ136" s="72">
        <f>IFERROR(VLOOKUP($D136,'FERC 2023'!$EA$3:$EN$221,14,0),"")</f>
        <v>191664</v>
      </c>
    </row>
    <row r="137" spans="1:43" ht="15.75" hidden="1" customHeight="1">
      <c r="A137" s="7" t="s">
        <v>610</v>
      </c>
      <c r="B137" s="7" t="s">
        <v>611</v>
      </c>
      <c r="C137" s="311" t="str">
        <f>'BD DEA'!P137</f>
        <v/>
      </c>
      <c r="D137" s="44" t="str">
        <f t="shared" si="0"/>
        <v>C001559</v>
      </c>
      <c r="E137" s="72" t="str">
        <f>IFERROR(VLOOKUP($D137,'FERC 2021'!$EA$3:$EN$221,2,0),"")</f>
        <v/>
      </c>
      <c r="F137" s="72" t="str">
        <f>IFERROR(VLOOKUP($D137,'FERC 2022'!$EA$3:$EN$220,2,0),"")</f>
        <v/>
      </c>
      <c r="G137" s="72" t="str">
        <f>IFERROR(VLOOKUP($D137,'FERC 2023'!$EA$3:$EN$221,2,0),"")</f>
        <v/>
      </c>
      <c r="H137" s="72" t="str">
        <f>IFERROR(VLOOKUP($D137,'FERC 2021'!$EA$3:$EN$225,3,0),"")</f>
        <v/>
      </c>
      <c r="I137" s="72" t="str">
        <f>IFERROR(VLOOKUP($D137,'FERC 2022'!$EA$3:$EN$229,3,0),"")</f>
        <v/>
      </c>
      <c r="J137" s="72" t="str">
        <f>IFERROR(VLOOKUP($D137,'FERC 2023'!$EA$3:$EN$229,3,0),"")</f>
        <v/>
      </c>
      <c r="K137" s="72" t="str">
        <f>IFERROR(VLOOKUP($D137,'FERC 2021'!$EA$3:$EN$229,4,0),"")</f>
        <v/>
      </c>
      <c r="L137" s="72" t="str">
        <f>IFERROR(VLOOKUP($D137,'FERC 2022'!$EA$3:$EN$220,4,0),"")</f>
        <v/>
      </c>
      <c r="M137" s="72" t="str">
        <f>IFERROR(VLOOKUP($D137,'FERC 2023'!$EA$3:$EN$221,4,0),"")</f>
        <v/>
      </c>
      <c r="N137" s="72" t="str">
        <f>IFERROR(VLOOKUP($D137,'FERC 2021'!$EA$3:$EN$221,5,0),"")</f>
        <v/>
      </c>
      <c r="O137" s="72" t="str">
        <f>IFERROR(VLOOKUP($D137,'FERC 2022'!$EA$3:$EN$220,5,0),"")</f>
        <v/>
      </c>
      <c r="P137" s="72" t="str">
        <f>IFERROR(VLOOKUP($D137,'FERC 2023'!$EA$3:$EN$221,5,0),"")</f>
        <v/>
      </c>
      <c r="Q137" s="72" t="str">
        <f>IFERROR(VLOOKUP($D137,'FERC 2021'!$EA$3:$EN$221,6,0),"")</f>
        <v/>
      </c>
      <c r="R137" s="72" t="str">
        <f>IFERROR(VLOOKUP($D137,'FERC 2022'!$EA$3:$EN$220,6,0),"")</f>
        <v/>
      </c>
      <c r="S137" s="72" t="str">
        <f>IFERROR(VLOOKUP($D137,'FERC 2023'!$EA$3:$EN$221,6,0),"")</f>
        <v/>
      </c>
      <c r="T137" s="72" t="str">
        <f>IFERROR(VLOOKUP($D137,'FERC 2021'!$EA$3:$EN$221,7,0),"")</f>
        <v/>
      </c>
      <c r="U137" s="72" t="str">
        <f>IFERROR(VLOOKUP($D137,'FERC 2022'!$EA$3:$EN$220,7,0),"")</f>
        <v/>
      </c>
      <c r="V137" s="72" t="str">
        <f>IFERROR(VLOOKUP($D137,'FERC 2023'!$EA$3:$EN$221,7,0),"")</f>
        <v/>
      </c>
      <c r="W137" s="72" t="str">
        <f>IFERROR(VLOOKUP($D137,'FERC 2021'!$EA$3:$EN$221,8,0),"")</f>
        <v/>
      </c>
      <c r="X137" s="72" t="str">
        <f>IFERROR(VLOOKUP($D137,'FERC 2022'!$EA$3:$EN$220,8,0),"")</f>
        <v/>
      </c>
      <c r="Y137" s="72" t="str">
        <f>IFERROR(VLOOKUP($D137,'FERC 2023'!$EA$3:$EN$221,8,0),"")</f>
        <v/>
      </c>
      <c r="Z137" s="72" t="str">
        <f>IFERROR(VLOOKUP($D137,'FERC 2021'!$EA$3:$EN$222,9,0),"")</f>
        <v/>
      </c>
      <c r="AA137" s="72" t="str">
        <f>IFERROR(VLOOKUP($D137,'FERC 2022'!$EA$3:$EN$220,9,0),"")</f>
        <v/>
      </c>
      <c r="AB137" s="72" t="str">
        <f>IFERROR(VLOOKUP($D137,'FERC 2023'!$EA$3:$EN$221,9,0),"")</f>
        <v/>
      </c>
      <c r="AC137" s="72" t="str">
        <f>IFERROR(VLOOKUP($D137,'FERC 2021'!$EA$3:$EN$221,10,0),"")</f>
        <v/>
      </c>
      <c r="AD137" s="72" t="str">
        <f>IFERROR(VLOOKUP($D137,'FERC 2022'!$EA$3:$EN$220,10,0),"")</f>
        <v/>
      </c>
      <c r="AE137" s="72" t="str">
        <f>IFERROR(VLOOKUP($D137,'FERC 2023'!$EA$3:$EN$221,10,0),"")</f>
        <v/>
      </c>
      <c r="AF137" s="72" t="str">
        <f>IFERROR(VLOOKUP($D137,'FERC 2021'!$EA$3:$EN$221,11,0),"")</f>
        <v/>
      </c>
      <c r="AG137" s="72" t="str">
        <f>IFERROR(VLOOKUP($D137,'FERC 2022'!$EA$3:$EN$220,11,0),"")</f>
        <v/>
      </c>
      <c r="AH137" s="72" t="str">
        <f>IFERROR(VLOOKUP($D137,'FERC 2023'!$EA$3:$EN$221,11,0),"")</f>
        <v/>
      </c>
      <c r="AI137" s="72" t="str">
        <f>IFERROR(VLOOKUP($D137,'FERC 2021'!$EA$3:$EN$221,12,0),"")</f>
        <v/>
      </c>
      <c r="AJ137" s="72" t="str">
        <f>IFERROR(VLOOKUP($D137,'FERC 2022'!$EA$3:$EN$220,12,0),"")</f>
        <v/>
      </c>
      <c r="AK137" s="72" t="str">
        <f>IFERROR(VLOOKUP($D137,'FERC 2023'!$EA$3:$EN$221,12,0),"")</f>
        <v/>
      </c>
      <c r="AL137" s="72" t="str">
        <f>VLOOKUP($D137,'FERC 2021'!$EA$3:$EN$221,13,0)</f>
        <v/>
      </c>
      <c r="AM137" s="72" t="str">
        <f>VLOOKUP($D137,'FERC 2022'!$EA$3:$EN$220,13,0)</f>
        <v/>
      </c>
      <c r="AN137" s="72" t="str">
        <f>VLOOKUP($D137,'FERC 2023'!$EA$3:$EN$221,13,0)</f>
        <v/>
      </c>
      <c r="AO137" s="72" t="str">
        <f>IFERROR(VLOOKUP($D137,'FERC 2021'!$EA$3:$EN$221,14,0),"")</f>
        <v/>
      </c>
      <c r="AP137" s="72" t="str">
        <f>IFERROR(VLOOKUP($D137,'FERC 2022'!$EA$3:$EN$220,14,0),"")</f>
        <v/>
      </c>
      <c r="AQ137" s="72" t="str">
        <f>IFERROR(VLOOKUP($D137,'FERC 2023'!$EA$3:$EN$221,14,0),"")</f>
        <v/>
      </c>
    </row>
    <row r="138" spans="1:43" ht="15.75" customHeight="1">
      <c r="A138" s="7" t="s">
        <v>613</v>
      </c>
      <c r="B138" s="7" t="s">
        <v>614</v>
      </c>
      <c r="C138" s="311">
        <f>'BD DEA'!P138</f>
        <v>1</v>
      </c>
      <c r="D138" s="44" t="str">
        <f t="shared" si="0"/>
        <v>C001607</v>
      </c>
      <c r="E138" s="72">
        <f>IFERROR(VLOOKUP($D138,'FERC 2021'!$EA$3:$EN$221,2,0),"")</f>
        <v>2262726625.4131026</v>
      </c>
      <c r="F138" s="72">
        <f>IFERROR(VLOOKUP($D138,'FERC 2022'!$EA$3:$EN$220,2,0),"")</f>
        <v>2483806303.8967996</v>
      </c>
      <c r="G138" s="72">
        <f>IFERROR(VLOOKUP($D138,'FERC 2023'!$EA$3:$EN$221,2,0),"")</f>
        <v>2572265312.4958863</v>
      </c>
      <c r="H138" s="72">
        <f>IFERROR(VLOOKUP($D138,'FERC 2021'!$EA$3:$EN$225,3,0),"")</f>
        <v>139089155.9454973</v>
      </c>
      <c r="I138" s="72">
        <f>IFERROR(VLOOKUP($D138,'FERC 2022'!$EA$3:$EN$229,3,0),"")</f>
        <v>138079892.45474556</v>
      </c>
      <c r="J138" s="72">
        <f>IFERROR(VLOOKUP($D138,'FERC 2023'!$EA$3:$EN$229,3,0),"")</f>
        <v>153982612.60891512</v>
      </c>
      <c r="K138" s="72">
        <f>IFERROR(VLOOKUP($D138,'FERC 2021'!$EA$3:$EN$229,4,0),"")</f>
        <v>133352323.00663267</v>
      </c>
      <c r="L138" s="72">
        <f>IFERROR(VLOOKUP($D138,'FERC 2022'!$EA$3:$EN$220,4,0),"")</f>
        <v>123457779.6311274</v>
      </c>
      <c r="M138" s="72">
        <f>IFERROR(VLOOKUP($D138,'FERC 2023'!$EA$3:$EN$221,4,0),"")</f>
        <v>120154788.04914753</v>
      </c>
      <c r="N138" s="72">
        <f>IFERROR(VLOOKUP($D138,'FERC 2021'!$EA$3:$EN$221,5,0),"")</f>
        <v>135635640.67010733</v>
      </c>
      <c r="O138" s="72">
        <f>IFERROR(VLOOKUP($D138,'FERC 2022'!$EA$3:$EN$220,5,0),"")</f>
        <v>113304898.92190751</v>
      </c>
      <c r="P138" s="72">
        <f>IFERROR(VLOOKUP($D138,'FERC 2023'!$EA$3:$EN$221,5,0),"")</f>
        <v>142122476.91828251</v>
      </c>
      <c r="Q138" s="72">
        <f>IFERROR(VLOOKUP($D138,'FERC 2021'!$EA$3:$EN$221,6,0),"")</f>
        <v>23062975.643146187</v>
      </c>
      <c r="R138" s="72">
        <f>IFERROR(VLOOKUP($D138,'FERC 2022'!$EA$3:$EN$220,6,0),"")</f>
        <v>29953964.345570389</v>
      </c>
      <c r="S138" s="72">
        <f>IFERROR(VLOOKUP($D138,'FERC 2023'!$EA$3:$EN$221,6,0),"")</f>
        <v>26023971.660049796</v>
      </c>
      <c r="T138" s="72">
        <f>IFERROR(VLOOKUP($D138,'FERC 2021'!$EA$3:$EN$221,7,0),"")</f>
        <v>1234</v>
      </c>
      <c r="U138" s="72">
        <f>IFERROR(VLOOKUP($D138,'FERC 2022'!$EA$3:$EN$220,7,0),"")</f>
        <v>1228</v>
      </c>
      <c r="V138" s="72">
        <f>IFERROR(VLOOKUP($D138,'FERC 2023'!$EA$3:$EN$221,7,0),"")</f>
        <v>1197</v>
      </c>
      <c r="W138" s="72">
        <f>IFERROR(VLOOKUP($D138,'FERC 2021'!$EA$3:$EN$221,8,0),"")</f>
        <v>342161</v>
      </c>
      <c r="X138" s="72">
        <f>IFERROR(VLOOKUP($D138,'FERC 2022'!$EA$3:$EN$220,8,0),"")</f>
        <v>343460</v>
      </c>
      <c r="Y138" s="72">
        <f>IFERROR(VLOOKUP($D138,'FERC 2023'!$EA$3:$EN$221,8,0),"")</f>
        <v>344026</v>
      </c>
      <c r="Z138" s="72">
        <f>IFERROR(VLOOKUP($D138,'FERC 2021'!$EA$3:$EN$222,9,0),"")</f>
        <v>89937</v>
      </c>
      <c r="AA138" s="72">
        <f>IFERROR(VLOOKUP($D138,'FERC 2022'!$EA$3:$EN$220,9,0),"")</f>
        <v>188728</v>
      </c>
      <c r="AB138" s="72">
        <f>IFERROR(VLOOKUP($D138,'FERC 2023'!$EA$3:$EN$221,9,0),"")</f>
        <v>198173</v>
      </c>
      <c r="AC138" s="72">
        <f>IFERROR(VLOOKUP($D138,'FERC 2021'!$EA$3:$EN$221,10,0),"")</f>
        <v>4942865</v>
      </c>
      <c r="AD138" s="72">
        <f>IFERROR(VLOOKUP($D138,'FERC 2022'!$EA$3:$EN$220,10,0),"")</f>
        <v>4963135</v>
      </c>
      <c r="AE138" s="72">
        <f>IFERROR(VLOOKUP($D138,'FERC 2023'!$EA$3:$EN$221,10,0),"")</f>
        <v>4748336</v>
      </c>
      <c r="AF138" s="72">
        <f>IFERROR(VLOOKUP($D138,'FERC 2021'!$EA$3:$EN$221,11,0),"")</f>
        <v>5032802</v>
      </c>
      <c r="AG138" s="72">
        <f>IFERROR(VLOOKUP($D138,'FERC 2022'!$EA$3:$EN$220,11,0),"")</f>
        <v>5151863</v>
      </c>
      <c r="AH138" s="72">
        <f>IFERROR(VLOOKUP($D138,'FERC 2023'!$EA$3:$EN$221,11,0),"")</f>
        <v>4946509</v>
      </c>
      <c r="AI138" s="72">
        <f>IFERROR(VLOOKUP($D138,'FERC 2021'!$EA$3:$EN$221,12,0),"")</f>
        <v>13686440</v>
      </c>
      <c r="AJ138" s="72">
        <f>IFERROR(VLOOKUP($D138,'FERC 2022'!$EA$3:$EN$220,12,0),"")</f>
        <v>13394940</v>
      </c>
      <c r="AK138" s="72">
        <f>IFERROR(VLOOKUP($D138,'FERC 2023'!$EA$3:$EN$221,12,0),"")</f>
        <v>14793118</v>
      </c>
      <c r="AL138" s="72">
        <f>VLOOKUP($D138,'FERC 2021'!$EA$3:$EN$221,13,0)</f>
        <v>195031.77</v>
      </c>
      <c r="AM138" s="72">
        <f>VLOOKUP($D138,'FERC 2022'!$EA$3:$EN$220,13,0)</f>
        <v>182033.80000000002</v>
      </c>
      <c r="AN138" s="72">
        <f>VLOOKUP($D138,'FERC 2023'!$EA$3:$EN$221,13,0)</f>
        <v>258019.5</v>
      </c>
      <c r="AO138" s="72">
        <f>IFERROR(VLOOKUP($D138,'FERC 2021'!$EA$3:$EN$221,14,0),"")</f>
        <v>346330</v>
      </c>
      <c r="AP138" s="72">
        <f>IFERROR(VLOOKUP($D138,'FERC 2022'!$EA$3:$EN$220,14,0),"")</f>
        <v>348095</v>
      </c>
      <c r="AQ138" s="72">
        <f>IFERROR(VLOOKUP($D138,'FERC 2023'!$EA$3:$EN$221,14,0),"")</f>
        <v>348210</v>
      </c>
    </row>
    <row r="139" spans="1:43" ht="15.75" customHeight="1">
      <c r="A139" s="7" t="s">
        <v>616</v>
      </c>
      <c r="B139" s="7" t="s">
        <v>617</v>
      </c>
      <c r="C139" s="311">
        <f>'BD DEA'!P139</f>
        <v>1</v>
      </c>
      <c r="D139" s="44" t="str">
        <f t="shared" si="0"/>
        <v>C001609</v>
      </c>
      <c r="E139" s="72">
        <f>IFERROR(VLOOKUP($D139,'FERC 2021'!$EA$3:$EN$221,2,0),"")</f>
        <v>2581095790.3393817</v>
      </c>
      <c r="F139" s="72">
        <f>IFERROR(VLOOKUP($D139,'FERC 2022'!$EA$3:$EN$220,2,0),"")</f>
        <v>2660692618.9369469</v>
      </c>
      <c r="G139" s="72">
        <f>IFERROR(VLOOKUP($D139,'FERC 2023'!$EA$3:$EN$221,2,0),"")</f>
        <v>2788665217.223917</v>
      </c>
      <c r="H139" s="72">
        <f>IFERROR(VLOOKUP($D139,'FERC 2021'!$EA$3:$EN$225,3,0),"")</f>
        <v>94836449.745530516</v>
      </c>
      <c r="I139" s="72">
        <f>IFERROR(VLOOKUP($D139,'FERC 2022'!$EA$3:$EN$229,3,0),"")</f>
        <v>91392658.744239241</v>
      </c>
      <c r="J139" s="72">
        <f>IFERROR(VLOOKUP($D139,'FERC 2023'!$EA$3:$EN$229,3,0),"")</f>
        <v>92803230.84530136</v>
      </c>
      <c r="K139" s="72">
        <f>IFERROR(VLOOKUP($D139,'FERC 2021'!$EA$3:$EN$229,4,0),"")</f>
        <v>24111588.419262405</v>
      </c>
      <c r="L139" s="72">
        <f>IFERROR(VLOOKUP($D139,'FERC 2022'!$EA$3:$EN$220,4,0),"")</f>
        <v>31574189.932857201</v>
      </c>
      <c r="M139" s="72">
        <f>IFERROR(VLOOKUP($D139,'FERC 2023'!$EA$3:$EN$221,4,0),"")</f>
        <v>40292111.247778885</v>
      </c>
      <c r="N139" s="72">
        <f>IFERROR(VLOOKUP($D139,'FERC 2021'!$EA$3:$EN$221,5,0),"")</f>
        <v>27031097.013291128</v>
      </c>
      <c r="O139" s="72">
        <f>IFERROR(VLOOKUP($D139,'FERC 2022'!$EA$3:$EN$220,5,0),"")</f>
        <v>22590811.600232616</v>
      </c>
      <c r="P139" s="72">
        <f>IFERROR(VLOOKUP($D139,'FERC 2023'!$EA$3:$EN$221,5,0),"")</f>
        <v>24195025.629745711</v>
      </c>
      <c r="Q139" s="72">
        <f>IFERROR(VLOOKUP($D139,'FERC 2021'!$EA$3:$EN$221,6,0),"")</f>
        <v>21031966.551797364</v>
      </c>
      <c r="R139" s="72">
        <f>IFERROR(VLOOKUP($D139,'FERC 2022'!$EA$3:$EN$220,6,0),"")</f>
        <v>27922109.220032386</v>
      </c>
      <c r="S139" s="72">
        <f>IFERROR(VLOOKUP($D139,'FERC 2023'!$EA$3:$EN$221,6,0),"")</f>
        <v>32546723.006107491</v>
      </c>
      <c r="T139" s="72">
        <f>IFERROR(VLOOKUP($D139,'FERC 2021'!$EA$3:$EN$221,7,0),"")</f>
        <v>2106</v>
      </c>
      <c r="U139" s="72">
        <f>IFERROR(VLOOKUP($D139,'FERC 2022'!$EA$3:$EN$220,7,0),"")</f>
        <v>2393</v>
      </c>
      <c r="V139" s="72">
        <f>IFERROR(VLOOKUP($D139,'FERC 2023'!$EA$3:$EN$221,7,0),"")</f>
        <v>1825</v>
      </c>
      <c r="W139" s="72">
        <f>IFERROR(VLOOKUP($D139,'FERC 2021'!$EA$3:$EN$221,8,0),"")</f>
        <v>365465</v>
      </c>
      <c r="X139" s="72">
        <f>IFERROR(VLOOKUP($D139,'FERC 2022'!$EA$3:$EN$220,8,0),"")</f>
        <v>370979</v>
      </c>
      <c r="Y139" s="72">
        <f>IFERROR(VLOOKUP($D139,'FERC 2023'!$EA$3:$EN$221,8,0),"")</f>
        <v>375809</v>
      </c>
      <c r="Z139" s="72">
        <f>IFERROR(VLOOKUP($D139,'FERC 2021'!$EA$3:$EN$222,9,0),"")</f>
        <v>666613</v>
      </c>
      <c r="AA139" s="72">
        <f>IFERROR(VLOOKUP($D139,'FERC 2022'!$EA$3:$EN$220,9,0),"")</f>
        <v>347428</v>
      </c>
      <c r="AB139" s="72">
        <f>IFERROR(VLOOKUP($D139,'FERC 2023'!$EA$3:$EN$221,9,0),"")</f>
        <v>718466</v>
      </c>
      <c r="AC139" s="72">
        <f>IFERROR(VLOOKUP($D139,'FERC 2021'!$EA$3:$EN$221,10,0),"")</f>
        <v>9556728</v>
      </c>
      <c r="AD139" s="72">
        <f>IFERROR(VLOOKUP($D139,'FERC 2022'!$EA$3:$EN$220,10,0),"")</f>
        <v>8751393</v>
      </c>
      <c r="AE139" s="72">
        <f>IFERROR(VLOOKUP($D139,'FERC 2023'!$EA$3:$EN$221,10,0),"")</f>
        <v>8347572</v>
      </c>
      <c r="AF139" s="72">
        <f>IFERROR(VLOOKUP($D139,'FERC 2021'!$EA$3:$EN$221,11,0),"")</f>
        <v>10213224.634517767</v>
      </c>
      <c r="AG139" s="72">
        <f>IFERROR(VLOOKUP($D139,'FERC 2022'!$EA$3:$EN$220,11,0),"")</f>
        <v>9087506.1269035526</v>
      </c>
      <c r="AH139" s="72">
        <f>IFERROR(VLOOKUP($D139,'FERC 2023'!$EA$3:$EN$221,11,0),"")</f>
        <v>9056509.0862944163</v>
      </c>
      <c r="AI139" s="72">
        <f>IFERROR(VLOOKUP($D139,'FERC 2021'!$EA$3:$EN$221,12,0),"")</f>
        <v>44265120.800000004</v>
      </c>
      <c r="AJ139" s="72">
        <f>IFERROR(VLOOKUP($D139,'FERC 2022'!$EA$3:$EN$220,12,0),"")</f>
        <v>56136542.280000001</v>
      </c>
      <c r="AK139" s="72">
        <f>IFERROR(VLOOKUP($D139,'FERC 2023'!$EA$3:$EN$221,12,0),"")</f>
        <v>60982526.430000007</v>
      </c>
      <c r="AL139" s="72">
        <f>VLOOKUP($D139,'FERC 2021'!$EA$3:$EN$221,13,0)</f>
        <v>466698.80499999999</v>
      </c>
      <c r="AM139" s="72">
        <f>VLOOKUP($D139,'FERC 2022'!$EA$3:$EN$220,13,0)</f>
        <v>749377.58</v>
      </c>
      <c r="AN139" s="72">
        <f>VLOOKUP($D139,'FERC 2023'!$EA$3:$EN$221,13,0)</f>
        <v>680214.29</v>
      </c>
      <c r="AO139" s="72">
        <f>IFERROR(VLOOKUP($D139,'FERC 2021'!$EA$3:$EN$221,14,0),"")</f>
        <v>370828</v>
      </c>
      <c r="AP139" s="72">
        <f>IFERROR(VLOOKUP($D139,'FERC 2022'!$EA$3:$EN$220,14,0),"")</f>
        <v>386277</v>
      </c>
      <c r="AQ139" s="72">
        <f>IFERROR(VLOOKUP($D139,'FERC 2023'!$EA$3:$EN$221,14,0),"")</f>
        <v>399796</v>
      </c>
    </row>
    <row r="140" spans="1:43" ht="15.75" customHeight="1">
      <c r="A140" s="7" t="s">
        <v>619</v>
      </c>
      <c r="B140" s="7" t="s">
        <v>620</v>
      </c>
      <c r="C140" s="311">
        <f>'BD DEA'!P140</f>
        <v>1</v>
      </c>
      <c r="D140" s="44" t="str">
        <f t="shared" si="0"/>
        <v>C001610</v>
      </c>
      <c r="E140" s="72">
        <f>IFERROR(VLOOKUP($D140,'FERC 2021'!$EA$3:$EN$221,2,0),"")</f>
        <v>4468409694.6567945</v>
      </c>
      <c r="F140" s="72">
        <f>IFERROR(VLOOKUP($D140,'FERC 2022'!$EA$3:$EN$220,2,0),"")</f>
        <v>4555034888.2226028</v>
      </c>
      <c r="G140" s="72">
        <f>IFERROR(VLOOKUP($D140,'FERC 2023'!$EA$3:$EN$221,2,0),"")</f>
        <v>4671856062.6497345</v>
      </c>
      <c r="H140" s="72">
        <f>IFERROR(VLOOKUP($D140,'FERC 2021'!$EA$3:$EN$225,3,0),"")</f>
        <v>272357253.73271799</v>
      </c>
      <c r="I140" s="72">
        <f>IFERROR(VLOOKUP($D140,'FERC 2022'!$EA$3:$EN$229,3,0),"")</f>
        <v>273612766.1928156</v>
      </c>
      <c r="J140" s="72">
        <f>IFERROR(VLOOKUP($D140,'FERC 2023'!$EA$3:$EN$229,3,0),"")</f>
        <v>279338932.70291394</v>
      </c>
      <c r="K140" s="72">
        <f>IFERROR(VLOOKUP($D140,'FERC 2021'!$EA$3:$EN$229,4,0),"")</f>
        <v>28874875.043211255</v>
      </c>
      <c r="L140" s="72">
        <f>IFERROR(VLOOKUP($D140,'FERC 2022'!$EA$3:$EN$220,4,0),"")</f>
        <v>29149292.68699161</v>
      </c>
      <c r="M140" s="72">
        <f>IFERROR(VLOOKUP($D140,'FERC 2023'!$EA$3:$EN$221,4,0),"")</f>
        <v>34627380.457221508</v>
      </c>
      <c r="N140" s="72">
        <f>IFERROR(VLOOKUP($D140,'FERC 2021'!$EA$3:$EN$221,5,0),"")</f>
        <v>86821101.210484609</v>
      </c>
      <c r="O140" s="72">
        <f>IFERROR(VLOOKUP($D140,'FERC 2022'!$EA$3:$EN$220,5,0),"")</f>
        <v>73229827.298059493</v>
      </c>
      <c r="P140" s="72">
        <f>IFERROR(VLOOKUP($D140,'FERC 2023'!$EA$3:$EN$221,5,0),"")</f>
        <v>90522842.762509704</v>
      </c>
      <c r="Q140" s="72">
        <f>IFERROR(VLOOKUP($D140,'FERC 2021'!$EA$3:$EN$221,6,0),"")</f>
        <v>47884262.783600129</v>
      </c>
      <c r="R140" s="72">
        <f>IFERROR(VLOOKUP($D140,'FERC 2022'!$EA$3:$EN$220,6,0),"")</f>
        <v>45505213.395680852</v>
      </c>
      <c r="S140" s="72">
        <f>IFERROR(VLOOKUP($D140,'FERC 2023'!$EA$3:$EN$221,6,0),"")</f>
        <v>57680749.243301876</v>
      </c>
      <c r="T140" s="72">
        <f>IFERROR(VLOOKUP($D140,'FERC 2021'!$EA$3:$EN$221,7,0),"")</f>
        <v>6300</v>
      </c>
      <c r="U140" s="72">
        <f>IFERROR(VLOOKUP($D140,'FERC 2022'!$EA$3:$EN$220,7,0),"")</f>
        <v>6033</v>
      </c>
      <c r="V140" s="72">
        <f>IFERROR(VLOOKUP($D140,'FERC 2023'!$EA$3:$EN$221,7,0),"")</f>
        <v>6311</v>
      </c>
      <c r="W140" s="72">
        <f>IFERROR(VLOOKUP($D140,'FERC 2021'!$EA$3:$EN$221,8,0),"")</f>
        <v>984990</v>
      </c>
      <c r="X140" s="72">
        <f>IFERROR(VLOOKUP($D140,'FERC 2022'!$EA$3:$EN$220,8,0),"")</f>
        <v>1001053</v>
      </c>
      <c r="Y140" s="72">
        <f>IFERROR(VLOOKUP($D140,'FERC 2023'!$EA$3:$EN$221,8,0),"")</f>
        <v>1015207</v>
      </c>
      <c r="Z140" s="72">
        <f>IFERROR(VLOOKUP($D140,'FERC 2021'!$EA$3:$EN$222,9,0),"")</f>
        <v>403714</v>
      </c>
      <c r="AA140" s="72">
        <f>IFERROR(VLOOKUP($D140,'FERC 2022'!$EA$3:$EN$220,9,0),"")</f>
        <v>344508</v>
      </c>
      <c r="AB140" s="72">
        <f>IFERROR(VLOOKUP($D140,'FERC 2023'!$EA$3:$EN$221,9,0),"")</f>
        <v>747773</v>
      </c>
      <c r="AC140" s="72">
        <f>IFERROR(VLOOKUP($D140,'FERC 2021'!$EA$3:$EN$221,10,0),"")</f>
        <v>20721171</v>
      </c>
      <c r="AD140" s="72">
        <f>IFERROR(VLOOKUP($D140,'FERC 2022'!$EA$3:$EN$220,10,0),"")</f>
        <v>21025235</v>
      </c>
      <c r="AE140" s="72">
        <f>IFERROR(VLOOKUP($D140,'FERC 2023'!$EA$3:$EN$221,10,0),"")</f>
        <v>20397069</v>
      </c>
      <c r="AF140" s="72">
        <f>IFERROR(VLOOKUP($D140,'FERC 2021'!$EA$3:$EN$221,11,0),"")</f>
        <v>21098302.060913704</v>
      </c>
      <c r="AG140" s="72">
        <f>IFERROR(VLOOKUP($D140,'FERC 2022'!$EA$3:$EN$220,11,0),"")</f>
        <v>21343868.624365482</v>
      </c>
      <c r="AH140" s="72">
        <f>IFERROR(VLOOKUP($D140,'FERC 2023'!$EA$3:$EN$221,11,0),"")</f>
        <v>21128454.431472082</v>
      </c>
      <c r="AI140" s="72">
        <f>IFERROR(VLOOKUP($D140,'FERC 2021'!$EA$3:$EN$221,12,0),"")</f>
        <v>51170230.5</v>
      </c>
      <c r="AJ140" s="72">
        <f>IFERROR(VLOOKUP($D140,'FERC 2022'!$EA$3:$EN$220,12,0),"")</f>
        <v>52204913.949999996</v>
      </c>
      <c r="AK140" s="72">
        <f>IFERROR(VLOOKUP($D140,'FERC 2023'!$EA$3:$EN$221,12,0),"")</f>
        <v>54536920.039999999</v>
      </c>
      <c r="AL140" s="72">
        <f>VLOOKUP($D140,'FERC 2021'!$EA$3:$EN$221,13,0)</f>
        <v>672748.17</v>
      </c>
      <c r="AM140" s="72">
        <f>VLOOKUP($D140,'FERC 2022'!$EA$3:$EN$220,13,0)</f>
        <v>570600.21</v>
      </c>
      <c r="AN140" s="72">
        <f>VLOOKUP($D140,'FERC 2023'!$EA$3:$EN$221,13,0)</f>
        <v>629428.34</v>
      </c>
      <c r="AO140" s="72">
        <f>IFERROR(VLOOKUP($D140,'FERC 2021'!$EA$3:$EN$221,14,0),"")</f>
        <v>1003180</v>
      </c>
      <c r="AP140" s="72">
        <f>IFERROR(VLOOKUP($D140,'FERC 2022'!$EA$3:$EN$220,14,0),"")</f>
        <v>1067059</v>
      </c>
      <c r="AQ140" s="72">
        <f>IFERROR(VLOOKUP($D140,'FERC 2023'!$EA$3:$EN$221,14,0),"")</f>
        <v>1104717</v>
      </c>
    </row>
    <row r="141" spans="1:43" ht="15.75" customHeight="1">
      <c r="A141" s="7" t="s">
        <v>622</v>
      </c>
      <c r="B141" s="7" t="s">
        <v>623</v>
      </c>
      <c r="C141" s="311">
        <f>'BD DEA'!P141</f>
        <v>1</v>
      </c>
      <c r="D141" s="44" t="str">
        <f t="shared" si="0"/>
        <v>C001646</v>
      </c>
      <c r="E141" s="72">
        <f>IFERROR(VLOOKUP($D141,'FERC 2021'!$EA$3:$EN$221,2,0),"")</f>
        <v>13126912019.144611</v>
      </c>
      <c r="F141" s="72">
        <f>IFERROR(VLOOKUP($D141,'FERC 2022'!$EA$3:$EN$220,2,0),"")</f>
        <v>13396785010.846842</v>
      </c>
      <c r="G141" s="72">
        <f>IFERROR(VLOOKUP($D141,'FERC 2023'!$EA$3:$EN$221,2,0),"")</f>
        <v>13709312636.602219</v>
      </c>
      <c r="H141" s="72">
        <f>IFERROR(VLOOKUP($D141,'FERC 2021'!$EA$3:$EN$225,3,0),"")</f>
        <v>447401144.87026215</v>
      </c>
      <c r="I141" s="72">
        <f>IFERROR(VLOOKUP($D141,'FERC 2022'!$EA$3:$EN$229,3,0),"")</f>
        <v>461480173.71276492</v>
      </c>
      <c r="J141" s="72">
        <f>IFERROR(VLOOKUP($D141,'FERC 2023'!$EA$3:$EN$229,3,0),"")</f>
        <v>488951190.61968124</v>
      </c>
      <c r="K141" s="72">
        <f>IFERROR(VLOOKUP($D141,'FERC 2021'!$EA$3:$EN$229,4,0),"")</f>
        <v>280257535.39670891</v>
      </c>
      <c r="L141" s="72">
        <f>IFERROR(VLOOKUP($D141,'FERC 2022'!$EA$3:$EN$220,4,0),"")</f>
        <v>243908095.9326914</v>
      </c>
      <c r="M141" s="72">
        <f>IFERROR(VLOOKUP($D141,'FERC 2023'!$EA$3:$EN$221,4,0),"")</f>
        <v>388805824.1893326</v>
      </c>
      <c r="N141" s="72">
        <f>IFERROR(VLOOKUP($D141,'FERC 2021'!$EA$3:$EN$221,5,0),"")</f>
        <v>220298675.21736628</v>
      </c>
      <c r="O141" s="72">
        <f>IFERROR(VLOOKUP($D141,'FERC 2022'!$EA$3:$EN$220,5,0),"")</f>
        <v>239667908.678927</v>
      </c>
      <c r="P141" s="72">
        <f>IFERROR(VLOOKUP($D141,'FERC 2023'!$EA$3:$EN$221,5,0),"")</f>
        <v>282163169.686041</v>
      </c>
      <c r="Q141" s="72">
        <f>IFERROR(VLOOKUP($D141,'FERC 2021'!$EA$3:$EN$221,6,0),"")</f>
        <v>87958037.848444745</v>
      </c>
      <c r="R141" s="72">
        <f>IFERROR(VLOOKUP($D141,'FERC 2022'!$EA$3:$EN$220,6,0),"")</f>
        <v>114375409.34466653</v>
      </c>
      <c r="S141" s="72">
        <f>IFERROR(VLOOKUP($D141,'FERC 2023'!$EA$3:$EN$221,6,0),"")</f>
        <v>60128953.327166662</v>
      </c>
      <c r="T141" s="72">
        <f>IFERROR(VLOOKUP($D141,'FERC 2021'!$EA$3:$EN$221,7,0),"")</f>
        <v>10861</v>
      </c>
      <c r="U141" s="72">
        <f>IFERROR(VLOOKUP($D141,'FERC 2022'!$EA$3:$EN$220,7,0),"")</f>
        <v>11017</v>
      </c>
      <c r="V141" s="72">
        <f>IFERROR(VLOOKUP($D141,'FERC 2023'!$EA$3:$EN$221,7,0),"")</f>
        <v>10802</v>
      </c>
      <c r="W141" s="72">
        <f>IFERROR(VLOOKUP($D141,'FERC 2021'!$EA$3:$EN$221,8,0),"")</f>
        <v>2002780</v>
      </c>
      <c r="X141" s="72">
        <f>IFERROR(VLOOKUP($D141,'FERC 2022'!$EA$3:$EN$220,8,0),"")</f>
        <v>2037048</v>
      </c>
      <c r="Y141" s="72">
        <f>IFERROR(VLOOKUP($D141,'FERC 2023'!$EA$3:$EN$221,8,0),"")</f>
        <v>2069044</v>
      </c>
      <c r="Z141" s="72">
        <f>IFERROR(VLOOKUP($D141,'FERC 2021'!$EA$3:$EN$222,9,0),"")</f>
        <v>4336430</v>
      </c>
      <c r="AA141" s="72">
        <f>IFERROR(VLOOKUP($D141,'FERC 2022'!$EA$3:$EN$220,9,0),"")</f>
        <v>4342866</v>
      </c>
      <c r="AB141" s="72">
        <f>IFERROR(VLOOKUP($D141,'FERC 2023'!$EA$3:$EN$221,9,0),"")</f>
        <v>4456877</v>
      </c>
      <c r="AC141" s="72">
        <f>IFERROR(VLOOKUP($D141,'FERC 2021'!$EA$3:$EN$221,10,0),"")</f>
        <v>56273934</v>
      </c>
      <c r="AD141" s="72">
        <f>IFERROR(VLOOKUP($D141,'FERC 2022'!$EA$3:$EN$220,10,0),"")</f>
        <v>57164096</v>
      </c>
      <c r="AE141" s="72">
        <f>IFERROR(VLOOKUP($D141,'FERC 2023'!$EA$3:$EN$221,10,0),"")</f>
        <v>56696328</v>
      </c>
      <c r="AF141" s="72">
        <f>IFERROR(VLOOKUP($D141,'FERC 2021'!$EA$3:$EN$221,11,0),"")</f>
        <v>60532504.147208124</v>
      </c>
      <c r="AG141" s="72">
        <f>IFERROR(VLOOKUP($D141,'FERC 2022'!$EA$3:$EN$220,11,0),"")</f>
        <v>61433312.883248731</v>
      </c>
      <c r="AH141" s="72">
        <f>IFERROR(VLOOKUP($D141,'FERC 2023'!$EA$3:$EN$221,11,0),"")</f>
        <v>61108880.09137056</v>
      </c>
      <c r="AI141" s="72">
        <f>IFERROR(VLOOKUP($D141,'FERC 2021'!$EA$3:$EN$221,12,0),"")</f>
        <v>231565429.16</v>
      </c>
      <c r="AJ141" s="72">
        <f>IFERROR(VLOOKUP($D141,'FERC 2022'!$EA$3:$EN$220,12,0),"")</f>
        <v>259953806.42399999</v>
      </c>
      <c r="AK141" s="72">
        <f>IFERROR(VLOOKUP($D141,'FERC 2023'!$EA$3:$EN$221,12,0),"")</f>
        <v>366696668.12</v>
      </c>
      <c r="AL141" s="72">
        <f>VLOOKUP($D141,'FERC 2021'!$EA$3:$EN$221,13,0)</f>
        <v>7782803.0800000001</v>
      </c>
      <c r="AM141" s="72">
        <f>VLOOKUP($D141,'FERC 2022'!$EA$3:$EN$220,13,0)</f>
        <v>7793745.648</v>
      </c>
      <c r="AN141" s="72">
        <f>VLOOKUP($D141,'FERC 2023'!$EA$3:$EN$221,13,0)</f>
        <v>8007200.2800000003</v>
      </c>
      <c r="AO141" s="72">
        <f>IFERROR(VLOOKUP($D141,'FERC 2021'!$EA$3:$EN$221,14,0),"")</f>
        <v>45433</v>
      </c>
      <c r="AP141" s="72">
        <f>IFERROR(VLOOKUP($D141,'FERC 2022'!$EA$3:$EN$220,14,0),"")</f>
        <v>45435</v>
      </c>
      <c r="AQ141" s="72">
        <f>IFERROR(VLOOKUP($D141,'FERC 2023'!$EA$3:$EN$221,14,0),"")</f>
        <v>45863</v>
      </c>
    </row>
    <row r="142" spans="1:43" ht="15.75" hidden="1" customHeight="1">
      <c r="A142" s="7" t="s">
        <v>625</v>
      </c>
      <c r="B142" s="7" t="s">
        <v>626</v>
      </c>
      <c r="C142" s="311" t="str">
        <f>'BD DEA'!P142</f>
        <v/>
      </c>
      <c r="D142" s="44" t="str">
        <f t="shared" si="0"/>
        <v>C001654</v>
      </c>
      <c r="E142" s="72" t="str">
        <f>IFERROR(VLOOKUP($D142,'FERC 2021'!$EA$3:$EN$221,2,0),"")</f>
        <v/>
      </c>
      <c r="F142" s="72" t="str">
        <f>IFERROR(VLOOKUP($D142,'FERC 2022'!$EA$3:$EN$220,2,0),"")</f>
        <v/>
      </c>
      <c r="G142" s="72" t="str">
        <f>IFERROR(VLOOKUP($D142,'FERC 2023'!$EA$3:$EN$221,2,0),"")</f>
        <v/>
      </c>
      <c r="H142" s="72" t="str">
        <f>IFERROR(VLOOKUP($D142,'FERC 2021'!$EA$3:$EN$225,3,0),"")</f>
        <v/>
      </c>
      <c r="I142" s="72" t="str">
        <f>IFERROR(VLOOKUP($D142,'FERC 2022'!$EA$3:$EN$229,3,0),"")</f>
        <v/>
      </c>
      <c r="J142" s="72" t="str">
        <f>IFERROR(VLOOKUP($D142,'FERC 2023'!$EA$3:$EN$229,3,0),"")</f>
        <v/>
      </c>
      <c r="K142" s="72" t="str">
        <f>IFERROR(VLOOKUP($D142,'FERC 2021'!$EA$3:$EN$229,4,0),"")</f>
        <v/>
      </c>
      <c r="L142" s="72" t="str">
        <f>IFERROR(VLOOKUP($D142,'FERC 2022'!$EA$3:$EN$220,4,0),"")</f>
        <v/>
      </c>
      <c r="M142" s="72" t="str">
        <f>IFERROR(VLOOKUP($D142,'FERC 2023'!$EA$3:$EN$221,4,0),"")</f>
        <v/>
      </c>
      <c r="N142" s="72" t="str">
        <f>IFERROR(VLOOKUP($D142,'FERC 2021'!$EA$3:$EN$221,5,0),"")</f>
        <v/>
      </c>
      <c r="O142" s="72" t="str">
        <f>IFERROR(VLOOKUP($D142,'FERC 2022'!$EA$3:$EN$220,5,0),"")</f>
        <v/>
      </c>
      <c r="P142" s="72" t="str">
        <f>IFERROR(VLOOKUP($D142,'FERC 2023'!$EA$3:$EN$221,5,0),"")</f>
        <v/>
      </c>
      <c r="Q142" s="72" t="str">
        <f>IFERROR(VLOOKUP($D142,'FERC 2021'!$EA$3:$EN$221,6,0),"")</f>
        <v/>
      </c>
      <c r="R142" s="72" t="str">
        <f>IFERROR(VLOOKUP($D142,'FERC 2022'!$EA$3:$EN$220,6,0),"")</f>
        <v/>
      </c>
      <c r="S142" s="72" t="str">
        <f>IFERROR(VLOOKUP($D142,'FERC 2023'!$EA$3:$EN$221,6,0),"")</f>
        <v/>
      </c>
      <c r="T142" s="72" t="str">
        <f>IFERROR(VLOOKUP($D142,'FERC 2021'!$EA$3:$EN$221,7,0),"")</f>
        <v/>
      </c>
      <c r="U142" s="72" t="str">
        <f>IFERROR(VLOOKUP($D142,'FERC 2022'!$EA$3:$EN$220,7,0),"")</f>
        <v/>
      </c>
      <c r="V142" s="72" t="str">
        <f>IFERROR(VLOOKUP($D142,'FERC 2023'!$EA$3:$EN$221,7,0),"")</f>
        <v/>
      </c>
      <c r="W142" s="72" t="str">
        <f>IFERROR(VLOOKUP($D142,'FERC 2021'!$EA$3:$EN$221,8,0),"")</f>
        <v/>
      </c>
      <c r="X142" s="72" t="str">
        <f>IFERROR(VLOOKUP($D142,'FERC 2022'!$EA$3:$EN$220,8,0),"")</f>
        <v/>
      </c>
      <c r="Y142" s="72" t="str">
        <f>IFERROR(VLOOKUP($D142,'FERC 2023'!$EA$3:$EN$221,8,0),"")</f>
        <v/>
      </c>
      <c r="Z142" s="72" t="str">
        <f>IFERROR(VLOOKUP($D142,'FERC 2021'!$EA$3:$EN$222,9,0),"")</f>
        <v/>
      </c>
      <c r="AA142" s="72" t="str">
        <f>IFERROR(VLOOKUP($D142,'FERC 2022'!$EA$3:$EN$220,9,0),"")</f>
        <v/>
      </c>
      <c r="AB142" s="72" t="str">
        <f>IFERROR(VLOOKUP($D142,'FERC 2023'!$EA$3:$EN$221,9,0),"")</f>
        <v/>
      </c>
      <c r="AC142" s="72" t="str">
        <f>IFERROR(VLOOKUP($D142,'FERC 2021'!$EA$3:$EN$221,10,0),"")</f>
        <v/>
      </c>
      <c r="AD142" s="72" t="str">
        <f>IFERROR(VLOOKUP($D142,'FERC 2022'!$EA$3:$EN$220,10,0),"")</f>
        <v/>
      </c>
      <c r="AE142" s="72" t="str">
        <f>IFERROR(VLOOKUP($D142,'FERC 2023'!$EA$3:$EN$221,10,0),"")</f>
        <v/>
      </c>
      <c r="AF142" s="72" t="str">
        <f>IFERROR(VLOOKUP($D142,'FERC 2021'!$EA$3:$EN$221,11,0),"")</f>
        <v/>
      </c>
      <c r="AG142" s="72" t="str">
        <f>IFERROR(VLOOKUP($D142,'FERC 2022'!$EA$3:$EN$220,11,0),"")</f>
        <v/>
      </c>
      <c r="AH142" s="72" t="str">
        <f>IFERROR(VLOOKUP($D142,'FERC 2023'!$EA$3:$EN$221,11,0),"")</f>
        <v/>
      </c>
      <c r="AI142" s="72" t="str">
        <f>IFERROR(VLOOKUP($D142,'FERC 2021'!$EA$3:$EN$221,12,0),"")</f>
        <v/>
      </c>
      <c r="AJ142" s="72" t="str">
        <f>IFERROR(VLOOKUP($D142,'FERC 2022'!$EA$3:$EN$220,12,0),"")</f>
        <v/>
      </c>
      <c r="AK142" s="72" t="str">
        <f>IFERROR(VLOOKUP($D142,'FERC 2023'!$EA$3:$EN$221,12,0),"")</f>
        <v/>
      </c>
      <c r="AL142" s="72" t="str">
        <f>VLOOKUP($D142,'FERC 2021'!$EA$3:$EN$221,13,0)</f>
        <v/>
      </c>
      <c r="AM142" s="72" t="str">
        <f>VLOOKUP($D142,'FERC 2022'!$EA$3:$EN$220,13,0)</f>
        <v/>
      </c>
      <c r="AN142" s="72" t="str">
        <f>VLOOKUP($D142,'FERC 2023'!$EA$3:$EN$221,13,0)</f>
        <v/>
      </c>
      <c r="AO142" s="72" t="str">
        <f>IFERROR(VLOOKUP($D142,'FERC 2021'!$EA$3:$EN$221,14,0),"")</f>
        <v/>
      </c>
      <c r="AP142" s="72" t="str">
        <f>IFERROR(VLOOKUP($D142,'FERC 2022'!$EA$3:$EN$220,14,0),"")</f>
        <v/>
      </c>
      <c r="AQ142" s="72" t="str">
        <f>IFERROR(VLOOKUP($D142,'FERC 2023'!$EA$3:$EN$221,14,0),"")</f>
        <v/>
      </c>
    </row>
    <row r="143" spans="1:43" ht="15.75" hidden="1" customHeight="1">
      <c r="A143" s="7" t="s">
        <v>628</v>
      </c>
      <c r="B143" s="7" t="s">
        <v>629</v>
      </c>
      <c r="C143" s="311" t="str">
        <f>'BD DEA'!P143</f>
        <v/>
      </c>
      <c r="D143" s="44" t="str">
        <f t="shared" si="0"/>
        <v>C001655</v>
      </c>
      <c r="E143" s="72" t="str">
        <f>IFERROR(VLOOKUP($D143,'FERC 2021'!$EA$3:$EN$221,2,0),"")</f>
        <v/>
      </c>
      <c r="F143" s="72" t="str">
        <f>IFERROR(VLOOKUP($D143,'FERC 2022'!$EA$3:$EN$220,2,0),"")</f>
        <v/>
      </c>
      <c r="G143" s="72" t="str">
        <f>IFERROR(VLOOKUP($D143,'FERC 2023'!$EA$3:$EN$221,2,0),"")</f>
        <v/>
      </c>
      <c r="H143" s="72" t="str">
        <f>IFERROR(VLOOKUP($D143,'FERC 2021'!$EA$3:$EN$225,3,0),"")</f>
        <v/>
      </c>
      <c r="I143" s="72" t="str">
        <f>IFERROR(VLOOKUP($D143,'FERC 2022'!$EA$3:$EN$229,3,0),"")</f>
        <v/>
      </c>
      <c r="J143" s="72" t="str">
        <f>IFERROR(VLOOKUP($D143,'FERC 2023'!$EA$3:$EN$229,3,0),"")</f>
        <v/>
      </c>
      <c r="K143" s="72" t="str">
        <f>IFERROR(VLOOKUP($D143,'FERC 2021'!$EA$3:$EN$229,4,0),"")</f>
        <v/>
      </c>
      <c r="L143" s="72" t="str">
        <f>IFERROR(VLOOKUP($D143,'FERC 2022'!$EA$3:$EN$220,4,0),"")</f>
        <v/>
      </c>
      <c r="M143" s="72" t="str">
        <f>IFERROR(VLOOKUP($D143,'FERC 2023'!$EA$3:$EN$221,4,0),"")</f>
        <v/>
      </c>
      <c r="N143" s="72" t="str">
        <f>IFERROR(VLOOKUP($D143,'FERC 2021'!$EA$3:$EN$221,5,0),"")</f>
        <v/>
      </c>
      <c r="O143" s="72" t="str">
        <f>IFERROR(VLOOKUP($D143,'FERC 2022'!$EA$3:$EN$220,5,0),"")</f>
        <v/>
      </c>
      <c r="P143" s="72" t="str">
        <f>IFERROR(VLOOKUP($D143,'FERC 2023'!$EA$3:$EN$221,5,0),"")</f>
        <v/>
      </c>
      <c r="Q143" s="72" t="str">
        <f>IFERROR(VLOOKUP($D143,'FERC 2021'!$EA$3:$EN$221,6,0),"")</f>
        <v/>
      </c>
      <c r="R143" s="72" t="str">
        <f>IFERROR(VLOOKUP($D143,'FERC 2022'!$EA$3:$EN$220,6,0),"")</f>
        <v/>
      </c>
      <c r="S143" s="72" t="str">
        <f>IFERROR(VLOOKUP($D143,'FERC 2023'!$EA$3:$EN$221,6,0),"")</f>
        <v/>
      </c>
      <c r="T143" s="72" t="str">
        <f>IFERROR(VLOOKUP($D143,'FERC 2021'!$EA$3:$EN$221,7,0),"")</f>
        <v/>
      </c>
      <c r="U143" s="72" t="str">
        <f>IFERROR(VLOOKUP($D143,'FERC 2022'!$EA$3:$EN$220,7,0),"")</f>
        <v/>
      </c>
      <c r="V143" s="72" t="str">
        <f>IFERROR(VLOOKUP($D143,'FERC 2023'!$EA$3:$EN$221,7,0),"")</f>
        <v/>
      </c>
      <c r="W143" s="72" t="str">
        <f>IFERROR(VLOOKUP($D143,'FERC 2021'!$EA$3:$EN$221,8,0),"")</f>
        <v/>
      </c>
      <c r="X143" s="72" t="str">
        <f>IFERROR(VLOOKUP($D143,'FERC 2022'!$EA$3:$EN$220,8,0),"")</f>
        <v/>
      </c>
      <c r="Y143" s="72" t="str">
        <f>IFERROR(VLOOKUP($D143,'FERC 2023'!$EA$3:$EN$221,8,0),"")</f>
        <v/>
      </c>
      <c r="Z143" s="72" t="str">
        <f>IFERROR(VLOOKUP($D143,'FERC 2021'!$EA$3:$EN$222,9,0),"")</f>
        <v/>
      </c>
      <c r="AA143" s="72" t="str">
        <f>IFERROR(VLOOKUP($D143,'FERC 2022'!$EA$3:$EN$220,9,0),"")</f>
        <v/>
      </c>
      <c r="AB143" s="72" t="str">
        <f>IFERROR(VLOOKUP($D143,'FERC 2023'!$EA$3:$EN$221,9,0),"")</f>
        <v/>
      </c>
      <c r="AC143" s="72" t="str">
        <f>IFERROR(VLOOKUP($D143,'FERC 2021'!$EA$3:$EN$221,10,0),"")</f>
        <v/>
      </c>
      <c r="AD143" s="72" t="str">
        <f>IFERROR(VLOOKUP($D143,'FERC 2022'!$EA$3:$EN$220,10,0),"")</f>
        <v/>
      </c>
      <c r="AE143" s="72" t="str">
        <f>IFERROR(VLOOKUP($D143,'FERC 2023'!$EA$3:$EN$221,10,0),"")</f>
        <v/>
      </c>
      <c r="AF143" s="72" t="str">
        <f>IFERROR(VLOOKUP($D143,'FERC 2021'!$EA$3:$EN$221,11,0),"")</f>
        <v/>
      </c>
      <c r="AG143" s="72" t="str">
        <f>IFERROR(VLOOKUP($D143,'FERC 2022'!$EA$3:$EN$220,11,0),"")</f>
        <v/>
      </c>
      <c r="AH143" s="72" t="str">
        <f>IFERROR(VLOOKUP($D143,'FERC 2023'!$EA$3:$EN$221,11,0),"")</f>
        <v/>
      </c>
      <c r="AI143" s="72" t="str">
        <f>IFERROR(VLOOKUP($D143,'FERC 2021'!$EA$3:$EN$221,12,0),"")</f>
        <v/>
      </c>
      <c r="AJ143" s="72" t="str">
        <f>IFERROR(VLOOKUP($D143,'FERC 2022'!$EA$3:$EN$220,12,0),"")</f>
        <v/>
      </c>
      <c r="AK143" s="72" t="str">
        <f>IFERROR(VLOOKUP($D143,'FERC 2023'!$EA$3:$EN$221,12,0),"")</f>
        <v/>
      </c>
      <c r="AL143" s="72" t="str">
        <f>VLOOKUP($D143,'FERC 2021'!$EA$3:$EN$221,13,0)</f>
        <v/>
      </c>
      <c r="AM143" s="72" t="str">
        <f>VLOOKUP($D143,'FERC 2022'!$EA$3:$EN$220,13,0)</f>
        <v/>
      </c>
      <c r="AN143" s="72" t="str">
        <f>VLOOKUP($D143,'FERC 2023'!$EA$3:$EN$221,13,0)</f>
        <v/>
      </c>
      <c r="AO143" s="72" t="str">
        <f>IFERROR(VLOOKUP($D143,'FERC 2021'!$EA$3:$EN$221,14,0),"")</f>
        <v/>
      </c>
      <c r="AP143" s="72" t="str">
        <f>IFERROR(VLOOKUP($D143,'FERC 2022'!$EA$3:$EN$220,14,0),"")</f>
        <v/>
      </c>
      <c r="AQ143" s="72" t="str">
        <f>IFERROR(VLOOKUP($D143,'FERC 2023'!$EA$3:$EN$221,14,0),"")</f>
        <v/>
      </c>
    </row>
    <row r="144" spans="1:43" ht="15.75" hidden="1" customHeight="1">
      <c r="A144" s="7" t="s">
        <v>631</v>
      </c>
      <c r="B144" s="7" t="s">
        <v>632</v>
      </c>
      <c r="C144" s="311" t="str">
        <f>'BD DEA'!P144</f>
        <v/>
      </c>
      <c r="D144" s="44" t="str">
        <f t="shared" si="0"/>
        <v>C001656</v>
      </c>
      <c r="E144" s="72" t="str">
        <f>IFERROR(VLOOKUP($D144,'FERC 2021'!$EA$3:$EN$221,2,0),"")</f>
        <v/>
      </c>
      <c r="F144" s="72" t="str">
        <f>IFERROR(VLOOKUP($D144,'FERC 2022'!$EA$3:$EN$220,2,0),"")</f>
        <v/>
      </c>
      <c r="G144" s="72" t="str">
        <f>IFERROR(VLOOKUP($D144,'FERC 2023'!$EA$3:$EN$221,2,0),"")</f>
        <v/>
      </c>
      <c r="H144" s="72" t="str">
        <f>IFERROR(VLOOKUP($D144,'FERC 2021'!$EA$3:$EN$225,3,0),"")</f>
        <v/>
      </c>
      <c r="I144" s="72" t="str">
        <f>IFERROR(VLOOKUP($D144,'FERC 2022'!$EA$3:$EN$229,3,0),"")</f>
        <v/>
      </c>
      <c r="J144" s="72" t="str">
        <f>IFERROR(VLOOKUP($D144,'FERC 2023'!$EA$3:$EN$229,3,0),"")</f>
        <v/>
      </c>
      <c r="K144" s="72" t="str">
        <f>IFERROR(VLOOKUP($D144,'FERC 2021'!$EA$3:$EN$229,4,0),"")</f>
        <v/>
      </c>
      <c r="L144" s="72" t="str">
        <f>IFERROR(VLOOKUP($D144,'FERC 2022'!$EA$3:$EN$220,4,0),"")</f>
        <v/>
      </c>
      <c r="M144" s="72" t="str">
        <f>IFERROR(VLOOKUP($D144,'FERC 2023'!$EA$3:$EN$221,4,0),"")</f>
        <v/>
      </c>
      <c r="N144" s="72" t="str">
        <f>IFERROR(VLOOKUP($D144,'FERC 2021'!$EA$3:$EN$221,5,0),"")</f>
        <v/>
      </c>
      <c r="O144" s="72" t="str">
        <f>IFERROR(VLOOKUP($D144,'FERC 2022'!$EA$3:$EN$220,5,0),"")</f>
        <v/>
      </c>
      <c r="P144" s="72" t="str">
        <f>IFERROR(VLOOKUP($D144,'FERC 2023'!$EA$3:$EN$221,5,0),"")</f>
        <v/>
      </c>
      <c r="Q144" s="72" t="str">
        <f>IFERROR(VLOOKUP($D144,'FERC 2021'!$EA$3:$EN$221,6,0),"")</f>
        <v/>
      </c>
      <c r="R144" s="72" t="str">
        <f>IFERROR(VLOOKUP($D144,'FERC 2022'!$EA$3:$EN$220,6,0),"")</f>
        <v/>
      </c>
      <c r="S144" s="72" t="str">
        <f>IFERROR(VLOOKUP($D144,'FERC 2023'!$EA$3:$EN$221,6,0),"")</f>
        <v/>
      </c>
      <c r="T144" s="72" t="str">
        <f>IFERROR(VLOOKUP($D144,'FERC 2021'!$EA$3:$EN$221,7,0),"")</f>
        <v/>
      </c>
      <c r="U144" s="72" t="str">
        <f>IFERROR(VLOOKUP($D144,'FERC 2022'!$EA$3:$EN$220,7,0),"")</f>
        <v/>
      </c>
      <c r="V144" s="72" t="str">
        <f>IFERROR(VLOOKUP($D144,'FERC 2023'!$EA$3:$EN$221,7,0),"")</f>
        <v/>
      </c>
      <c r="W144" s="72" t="str">
        <f>IFERROR(VLOOKUP($D144,'FERC 2021'!$EA$3:$EN$221,8,0),"")</f>
        <v/>
      </c>
      <c r="X144" s="72" t="str">
        <f>IFERROR(VLOOKUP($D144,'FERC 2022'!$EA$3:$EN$220,8,0),"")</f>
        <v/>
      </c>
      <c r="Y144" s="72" t="str">
        <f>IFERROR(VLOOKUP($D144,'FERC 2023'!$EA$3:$EN$221,8,0),"")</f>
        <v/>
      </c>
      <c r="Z144" s="72" t="str">
        <f>IFERROR(VLOOKUP($D144,'FERC 2021'!$EA$3:$EN$222,9,0),"")</f>
        <v/>
      </c>
      <c r="AA144" s="72" t="str">
        <f>IFERROR(VLOOKUP($D144,'FERC 2022'!$EA$3:$EN$220,9,0),"")</f>
        <v/>
      </c>
      <c r="AB144" s="72" t="str">
        <f>IFERROR(VLOOKUP($D144,'FERC 2023'!$EA$3:$EN$221,9,0),"")</f>
        <v/>
      </c>
      <c r="AC144" s="72" t="str">
        <f>IFERROR(VLOOKUP($D144,'FERC 2021'!$EA$3:$EN$221,10,0),"")</f>
        <v/>
      </c>
      <c r="AD144" s="72" t="str">
        <f>IFERROR(VLOOKUP($D144,'FERC 2022'!$EA$3:$EN$220,10,0),"")</f>
        <v/>
      </c>
      <c r="AE144" s="72" t="str">
        <f>IFERROR(VLOOKUP($D144,'FERC 2023'!$EA$3:$EN$221,10,0),"")</f>
        <v/>
      </c>
      <c r="AF144" s="72" t="str">
        <f>IFERROR(VLOOKUP($D144,'FERC 2021'!$EA$3:$EN$221,11,0),"")</f>
        <v/>
      </c>
      <c r="AG144" s="72" t="str">
        <f>IFERROR(VLOOKUP($D144,'FERC 2022'!$EA$3:$EN$220,11,0),"")</f>
        <v/>
      </c>
      <c r="AH144" s="72" t="str">
        <f>IFERROR(VLOOKUP($D144,'FERC 2023'!$EA$3:$EN$221,11,0),"")</f>
        <v/>
      </c>
      <c r="AI144" s="72" t="str">
        <f>IFERROR(VLOOKUP($D144,'FERC 2021'!$EA$3:$EN$221,12,0),"")</f>
        <v/>
      </c>
      <c r="AJ144" s="72" t="str">
        <f>IFERROR(VLOOKUP($D144,'FERC 2022'!$EA$3:$EN$220,12,0),"")</f>
        <v/>
      </c>
      <c r="AK144" s="72" t="str">
        <f>IFERROR(VLOOKUP($D144,'FERC 2023'!$EA$3:$EN$221,12,0),"")</f>
        <v/>
      </c>
      <c r="AL144" s="72" t="str">
        <f>VLOOKUP($D144,'FERC 2021'!$EA$3:$EN$221,13,0)</f>
        <v/>
      </c>
      <c r="AM144" s="72" t="str">
        <f>VLOOKUP($D144,'FERC 2022'!$EA$3:$EN$220,13,0)</f>
        <v/>
      </c>
      <c r="AN144" s="72" t="str">
        <f>VLOOKUP($D144,'FERC 2023'!$EA$3:$EN$221,13,0)</f>
        <v/>
      </c>
      <c r="AO144" s="72" t="str">
        <f>IFERROR(VLOOKUP($D144,'FERC 2021'!$EA$3:$EN$221,14,0),"")</f>
        <v/>
      </c>
      <c r="AP144" s="72" t="str">
        <f>IFERROR(VLOOKUP($D144,'FERC 2022'!$EA$3:$EN$220,14,0),"")</f>
        <v/>
      </c>
      <c r="AQ144" s="72" t="str">
        <f>IFERROR(VLOOKUP($D144,'FERC 2023'!$EA$3:$EN$221,14,0),"")</f>
        <v/>
      </c>
    </row>
    <row r="145" spans="1:43" ht="15.75" customHeight="1">
      <c r="A145" s="7" t="s">
        <v>634</v>
      </c>
      <c r="B145" s="7" t="s">
        <v>635</v>
      </c>
      <c r="C145" s="311">
        <f>'BD DEA'!P145</f>
        <v>1</v>
      </c>
      <c r="D145" s="44" t="str">
        <f t="shared" si="0"/>
        <v>C001673</v>
      </c>
      <c r="E145" s="72">
        <f>IFERROR(VLOOKUP($D145,'FERC 2021'!$EA$3:$EN$221,2,0),"")</f>
        <v>1136079532.5280738</v>
      </c>
      <c r="F145" s="72">
        <f>IFERROR(VLOOKUP($D145,'FERC 2022'!$EA$3:$EN$220,2,0),"")</f>
        <v>1163355748.7913432</v>
      </c>
      <c r="G145" s="72">
        <f>IFERROR(VLOOKUP($D145,'FERC 2023'!$EA$3:$EN$221,2,0),"")</f>
        <v>1222009471.2913339</v>
      </c>
      <c r="H145" s="72">
        <f>IFERROR(VLOOKUP($D145,'FERC 2021'!$EA$3:$EN$225,3,0),"")</f>
        <v>112165269.10617356</v>
      </c>
      <c r="I145" s="72">
        <f>IFERROR(VLOOKUP($D145,'FERC 2022'!$EA$3:$EN$229,3,0),"")</f>
        <v>110447335.35538845</v>
      </c>
      <c r="J145" s="72">
        <f>IFERROR(VLOOKUP($D145,'FERC 2023'!$EA$3:$EN$229,3,0),"")</f>
        <v>117096252.28599606</v>
      </c>
      <c r="K145" s="72">
        <f>IFERROR(VLOOKUP($D145,'FERC 2021'!$EA$3:$EN$229,4,0),"")</f>
        <v>31883436.187779758</v>
      </c>
      <c r="L145" s="72">
        <f>IFERROR(VLOOKUP($D145,'FERC 2022'!$EA$3:$EN$220,4,0),"")</f>
        <v>34745681.066090345</v>
      </c>
      <c r="M145" s="72">
        <f>IFERROR(VLOOKUP($D145,'FERC 2023'!$EA$3:$EN$221,4,0),"")</f>
        <v>30461590.493715473</v>
      </c>
      <c r="N145" s="72">
        <f>IFERROR(VLOOKUP($D145,'FERC 2021'!$EA$3:$EN$221,5,0),"")</f>
        <v>15320828.211204991</v>
      </c>
      <c r="O145" s="72">
        <f>IFERROR(VLOOKUP($D145,'FERC 2022'!$EA$3:$EN$220,5,0),"")</f>
        <v>22265964.797684774</v>
      </c>
      <c r="P145" s="72">
        <f>IFERROR(VLOOKUP($D145,'FERC 2023'!$EA$3:$EN$221,5,0),"")</f>
        <v>20151224.453451712</v>
      </c>
      <c r="Q145" s="72">
        <f>IFERROR(VLOOKUP($D145,'FERC 2021'!$EA$3:$EN$221,6,0),"")</f>
        <v>16040950.5341611</v>
      </c>
      <c r="R145" s="72">
        <f>IFERROR(VLOOKUP($D145,'FERC 2022'!$EA$3:$EN$220,6,0),"")</f>
        <v>18296293.906917352</v>
      </c>
      <c r="S145" s="72">
        <f>IFERROR(VLOOKUP($D145,'FERC 2023'!$EA$3:$EN$221,6,0),"")</f>
        <v>18431578.535928648</v>
      </c>
      <c r="T145" s="72">
        <f>IFERROR(VLOOKUP($D145,'FERC 2021'!$EA$3:$EN$221,7,0),"")</f>
        <v>1557</v>
      </c>
      <c r="U145" s="72">
        <f>IFERROR(VLOOKUP($D145,'FERC 2022'!$EA$3:$EN$220,7,0),"")</f>
        <v>1556</v>
      </c>
      <c r="V145" s="72">
        <f>IFERROR(VLOOKUP($D145,'FERC 2023'!$EA$3:$EN$221,7,0),"")</f>
        <v>1551</v>
      </c>
      <c r="W145" s="72">
        <f>IFERROR(VLOOKUP($D145,'FERC 2021'!$EA$3:$EN$221,8,0),"")</f>
        <v>149676</v>
      </c>
      <c r="X145" s="72">
        <f>IFERROR(VLOOKUP($D145,'FERC 2022'!$EA$3:$EN$220,8,0),"")</f>
        <v>150480</v>
      </c>
      <c r="Y145" s="72">
        <f>IFERROR(VLOOKUP($D145,'FERC 2023'!$EA$3:$EN$221,8,0),"")</f>
        <v>151694</v>
      </c>
      <c r="Z145" s="72">
        <f>IFERROR(VLOOKUP($D145,'FERC 2021'!$EA$3:$EN$222,9,0),"")</f>
        <v>464757</v>
      </c>
      <c r="AA145" s="72">
        <f>IFERROR(VLOOKUP($D145,'FERC 2022'!$EA$3:$EN$220,9,0),"")</f>
        <v>467694</v>
      </c>
      <c r="AB145" s="72">
        <f>IFERROR(VLOOKUP($D145,'FERC 2023'!$EA$3:$EN$221,9,0),"")</f>
        <v>488398</v>
      </c>
      <c r="AC145" s="72">
        <f>IFERROR(VLOOKUP($D145,'FERC 2021'!$EA$3:$EN$221,10,0),"")</f>
        <v>8896839</v>
      </c>
      <c r="AD145" s="72">
        <f>IFERROR(VLOOKUP($D145,'FERC 2022'!$EA$3:$EN$220,10,0),"")</f>
        <v>8333736</v>
      </c>
      <c r="AE145" s="72">
        <f>IFERROR(VLOOKUP($D145,'FERC 2023'!$EA$3:$EN$221,10,0),"")</f>
        <v>8478783</v>
      </c>
      <c r="AF145" s="72">
        <f>IFERROR(VLOOKUP($D145,'FERC 2021'!$EA$3:$EN$221,11,0),"")</f>
        <v>9262689.5786802024</v>
      </c>
      <c r="AG145" s="72">
        <f>IFERROR(VLOOKUP($D145,'FERC 2022'!$EA$3:$EN$220,11,0),"")</f>
        <v>8731299.4263959378</v>
      </c>
      <c r="AH145" s="72">
        <f>IFERROR(VLOOKUP($D145,'FERC 2023'!$EA$3:$EN$221,11,0),"")</f>
        <v>8901590.1725888327</v>
      </c>
      <c r="AI145" s="72">
        <f>IFERROR(VLOOKUP($D145,'FERC 2021'!$EA$3:$EN$221,12,0),"")</f>
        <v>18859176</v>
      </c>
      <c r="AJ145" s="72">
        <f>IFERROR(VLOOKUP($D145,'FERC 2022'!$EA$3:$EN$220,12,0),"")</f>
        <v>16959096</v>
      </c>
      <c r="AK145" s="72">
        <f>IFERROR(VLOOKUP($D145,'FERC 2023'!$EA$3:$EN$221,12,0),"")</f>
        <v>15715498.399999999</v>
      </c>
      <c r="AL145" s="72">
        <f>VLOOKUP($D145,'FERC 2021'!$EA$3:$EN$221,13,0)</f>
        <v>217030.19999999998</v>
      </c>
      <c r="AM145" s="72">
        <f>VLOOKUP($D145,'FERC 2022'!$EA$3:$EN$220,13,0)</f>
        <v>308484</v>
      </c>
      <c r="AN145" s="72">
        <f>VLOOKUP($D145,'FERC 2023'!$EA$3:$EN$221,13,0)</f>
        <v>188100.56</v>
      </c>
      <c r="AO145" s="72">
        <f>IFERROR(VLOOKUP($D145,'FERC 2021'!$EA$3:$EN$221,14,0),"")</f>
        <v>149660</v>
      </c>
      <c r="AP145" s="72">
        <f>IFERROR(VLOOKUP($D145,'FERC 2022'!$EA$3:$EN$220,14,0),"")</f>
        <v>150464</v>
      </c>
      <c r="AQ145" s="72">
        <f>IFERROR(VLOOKUP($D145,'FERC 2023'!$EA$3:$EN$221,14,0),"")</f>
        <v>151679</v>
      </c>
    </row>
    <row r="146" spans="1:43" ht="15.75" hidden="1" customHeight="1">
      <c r="A146" s="7" t="s">
        <v>637</v>
      </c>
      <c r="B146" s="7" t="s">
        <v>638</v>
      </c>
      <c r="C146" s="311" t="str">
        <f>'BD DEA'!P146</f>
        <v/>
      </c>
      <c r="D146" s="44" t="str">
        <f t="shared" si="0"/>
        <v>C001675</v>
      </c>
      <c r="E146" s="72" t="str">
        <f>IFERROR(VLOOKUP($D146,'FERC 2021'!$EA$3:$EN$221,2,0),"")</f>
        <v/>
      </c>
      <c r="F146" s="72" t="str">
        <f>IFERROR(VLOOKUP($D146,'FERC 2022'!$EA$3:$EN$220,2,0),"")</f>
        <v/>
      </c>
      <c r="G146" s="72" t="str">
        <f>IFERROR(VLOOKUP($D146,'FERC 2023'!$EA$3:$EN$221,2,0),"")</f>
        <v/>
      </c>
      <c r="H146" s="72" t="str">
        <f>IFERROR(VLOOKUP($D146,'FERC 2021'!$EA$3:$EN$225,3,0),"")</f>
        <v/>
      </c>
      <c r="I146" s="72" t="str">
        <f>IFERROR(VLOOKUP($D146,'FERC 2022'!$EA$3:$EN$229,3,0),"")</f>
        <v/>
      </c>
      <c r="J146" s="72" t="str">
        <f>IFERROR(VLOOKUP($D146,'FERC 2023'!$EA$3:$EN$229,3,0),"")</f>
        <v/>
      </c>
      <c r="K146" s="72" t="str">
        <f>IFERROR(VLOOKUP($D146,'FERC 2021'!$EA$3:$EN$229,4,0),"")</f>
        <v/>
      </c>
      <c r="L146" s="72" t="str">
        <f>IFERROR(VLOOKUP($D146,'FERC 2022'!$EA$3:$EN$220,4,0),"")</f>
        <v/>
      </c>
      <c r="M146" s="72" t="str">
        <f>IFERROR(VLOOKUP($D146,'FERC 2023'!$EA$3:$EN$221,4,0),"")</f>
        <v/>
      </c>
      <c r="N146" s="72" t="str">
        <f>IFERROR(VLOOKUP($D146,'FERC 2021'!$EA$3:$EN$221,5,0),"")</f>
        <v/>
      </c>
      <c r="O146" s="72" t="str">
        <f>IFERROR(VLOOKUP($D146,'FERC 2022'!$EA$3:$EN$220,5,0),"")</f>
        <v/>
      </c>
      <c r="P146" s="72" t="str">
        <f>IFERROR(VLOOKUP($D146,'FERC 2023'!$EA$3:$EN$221,5,0),"")</f>
        <v/>
      </c>
      <c r="Q146" s="72" t="str">
        <f>IFERROR(VLOOKUP($D146,'FERC 2021'!$EA$3:$EN$221,6,0),"")</f>
        <v/>
      </c>
      <c r="R146" s="72" t="str">
        <f>IFERROR(VLOOKUP($D146,'FERC 2022'!$EA$3:$EN$220,6,0),"")</f>
        <v/>
      </c>
      <c r="S146" s="72" t="str">
        <f>IFERROR(VLOOKUP($D146,'FERC 2023'!$EA$3:$EN$221,6,0),"")</f>
        <v/>
      </c>
      <c r="T146" s="72" t="str">
        <f>IFERROR(VLOOKUP($D146,'FERC 2021'!$EA$3:$EN$221,7,0),"")</f>
        <v/>
      </c>
      <c r="U146" s="72" t="str">
        <f>IFERROR(VLOOKUP($D146,'FERC 2022'!$EA$3:$EN$220,7,0),"")</f>
        <v/>
      </c>
      <c r="V146" s="72" t="str">
        <f>IFERROR(VLOOKUP($D146,'FERC 2023'!$EA$3:$EN$221,7,0),"")</f>
        <v/>
      </c>
      <c r="W146" s="72" t="str">
        <f>IFERROR(VLOOKUP($D146,'FERC 2021'!$EA$3:$EN$221,8,0),"")</f>
        <v/>
      </c>
      <c r="X146" s="72" t="str">
        <f>IFERROR(VLOOKUP($D146,'FERC 2022'!$EA$3:$EN$220,8,0),"")</f>
        <v/>
      </c>
      <c r="Y146" s="72" t="str">
        <f>IFERROR(VLOOKUP($D146,'FERC 2023'!$EA$3:$EN$221,8,0),"")</f>
        <v/>
      </c>
      <c r="Z146" s="72" t="str">
        <f>IFERROR(VLOOKUP($D146,'FERC 2021'!$EA$3:$EN$222,9,0),"")</f>
        <v/>
      </c>
      <c r="AA146" s="72" t="str">
        <f>IFERROR(VLOOKUP($D146,'FERC 2022'!$EA$3:$EN$220,9,0),"")</f>
        <v/>
      </c>
      <c r="AB146" s="72" t="str">
        <f>IFERROR(VLOOKUP($D146,'FERC 2023'!$EA$3:$EN$221,9,0),"")</f>
        <v/>
      </c>
      <c r="AC146" s="72" t="str">
        <f>IFERROR(VLOOKUP($D146,'FERC 2021'!$EA$3:$EN$221,10,0),"")</f>
        <v/>
      </c>
      <c r="AD146" s="72" t="str">
        <f>IFERROR(VLOOKUP($D146,'FERC 2022'!$EA$3:$EN$220,10,0),"")</f>
        <v/>
      </c>
      <c r="AE146" s="72" t="str">
        <f>IFERROR(VLOOKUP($D146,'FERC 2023'!$EA$3:$EN$221,10,0),"")</f>
        <v/>
      </c>
      <c r="AF146" s="72" t="str">
        <f>IFERROR(VLOOKUP($D146,'FERC 2021'!$EA$3:$EN$221,11,0),"")</f>
        <v/>
      </c>
      <c r="AG146" s="72" t="str">
        <f>IFERROR(VLOOKUP($D146,'FERC 2022'!$EA$3:$EN$220,11,0),"")</f>
        <v/>
      </c>
      <c r="AH146" s="72" t="str">
        <f>IFERROR(VLOOKUP($D146,'FERC 2023'!$EA$3:$EN$221,11,0),"")</f>
        <v/>
      </c>
      <c r="AI146" s="72" t="str">
        <f>IFERROR(VLOOKUP($D146,'FERC 2021'!$EA$3:$EN$221,12,0),"")</f>
        <v/>
      </c>
      <c r="AJ146" s="72" t="str">
        <f>IFERROR(VLOOKUP($D146,'FERC 2022'!$EA$3:$EN$220,12,0),"")</f>
        <v/>
      </c>
      <c r="AK146" s="72" t="str">
        <f>IFERROR(VLOOKUP($D146,'FERC 2023'!$EA$3:$EN$221,12,0),"")</f>
        <v/>
      </c>
      <c r="AL146" s="72" t="str">
        <f>VLOOKUP($D146,'FERC 2021'!$EA$3:$EN$221,13,0)</f>
        <v/>
      </c>
      <c r="AM146" s="72" t="str">
        <f>VLOOKUP($D146,'FERC 2022'!$EA$3:$EN$220,13,0)</f>
        <v/>
      </c>
      <c r="AN146" s="72" t="str">
        <f>VLOOKUP($D146,'FERC 2023'!$EA$3:$EN$221,13,0)</f>
        <v/>
      </c>
      <c r="AO146" s="72" t="str">
        <f>IFERROR(VLOOKUP($D146,'FERC 2021'!$EA$3:$EN$221,14,0),"")</f>
        <v/>
      </c>
      <c r="AP146" s="72" t="str">
        <f>IFERROR(VLOOKUP($D146,'FERC 2022'!$EA$3:$EN$220,14,0),"")</f>
        <v/>
      </c>
      <c r="AQ146" s="72" t="str">
        <f>IFERROR(VLOOKUP($D146,'FERC 2023'!$EA$3:$EN$221,14,0),"")</f>
        <v/>
      </c>
    </row>
    <row r="147" spans="1:43" ht="15.75" hidden="1" customHeight="1">
      <c r="A147" s="7" t="s">
        <v>640</v>
      </c>
      <c r="B147" s="7" t="s">
        <v>641</v>
      </c>
      <c r="C147" s="311" t="str">
        <f>'BD DEA'!P147</f>
        <v/>
      </c>
      <c r="D147" s="44" t="str">
        <f t="shared" si="0"/>
        <v>C001696</v>
      </c>
      <c r="E147" s="72">
        <f>IFERROR(VLOOKUP($D147,'FERC 2021'!$EA$3:$EN$221,2,0),"")</f>
        <v>785739386.09172082</v>
      </c>
      <c r="F147" s="72">
        <f>IFERROR(VLOOKUP($D147,'FERC 2022'!$EA$3:$EN$220,2,0),"")</f>
        <v>804258907.31445432</v>
      </c>
      <c r="G147" s="72">
        <f>IFERROR(VLOOKUP($D147,'FERC 2023'!$EA$3:$EN$221,2,0),"")</f>
        <v>811093740.04896355</v>
      </c>
      <c r="H147" s="72">
        <f>IFERROR(VLOOKUP($D147,'FERC 2021'!$EA$3:$EN$225,3,0),"")</f>
        <v>35164948.740225427</v>
      </c>
      <c r="I147" s="72">
        <f>IFERROR(VLOOKUP($D147,'FERC 2022'!$EA$3:$EN$229,3,0),"")</f>
        <v>32468323.60328057</v>
      </c>
      <c r="J147" s="72">
        <f>IFERROR(VLOOKUP($D147,'FERC 2023'!$EA$3:$EN$229,3,0),"")</f>
        <v>30089411.214856539</v>
      </c>
      <c r="K147" s="72">
        <f>IFERROR(VLOOKUP($D147,'FERC 2021'!$EA$3:$EN$229,4,0),"")</f>
        <v>14702382.3126113</v>
      </c>
      <c r="L147" s="72">
        <f>IFERROR(VLOOKUP($D147,'FERC 2022'!$EA$3:$EN$220,4,0),"")</f>
        <v>15559834.117995301</v>
      </c>
      <c r="M147" s="72">
        <f>IFERROR(VLOOKUP($D147,'FERC 2023'!$EA$3:$EN$221,4,0),"")</f>
        <v>15176571.039184846</v>
      </c>
      <c r="N147" s="72">
        <f>IFERROR(VLOOKUP($D147,'FERC 2021'!$EA$3:$EN$221,5,0),"")</f>
        <v>4185404.6083378163</v>
      </c>
      <c r="O147" s="72">
        <f>IFERROR(VLOOKUP($D147,'FERC 2022'!$EA$3:$EN$220,5,0),"")</f>
        <v>5461512.3215066539</v>
      </c>
      <c r="P147" s="72">
        <f>IFERROR(VLOOKUP($D147,'FERC 2023'!$EA$3:$EN$221,5,0),"")</f>
        <v>5739894.610800215</v>
      </c>
      <c r="Q147" s="72">
        <f>IFERROR(VLOOKUP($D147,'FERC 2021'!$EA$3:$EN$221,6,0),"")</f>
        <v>17271299.029215548</v>
      </c>
      <c r="R147" s="72">
        <f>IFERROR(VLOOKUP($D147,'FERC 2022'!$EA$3:$EN$220,6,0),"")</f>
        <v>19456171.546330009</v>
      </c>
      <c r="S147" s="72">
        <f>IFERROR(VLOOKUP($D147,'FERC 2023'!$EA$3:$EN$221,6,0),"")</f>
        <v>19105997.176524159</v>
      </c>
      <c r="T147" s="72">
        <f>IFERROR(VLOOKUP($D147,'FERC 2021'!$EA$3:$EN$221,7,0),"")</f>
        <v>407</v>
      </c>
      <c r="U147" s="72">
        <f>IFERROR(VLOOKUP($D147,'FERC 2022'!$EA$3:$EN$220,7,0),"")</f>
        <v>410</v>
      </c>
      <c r="V147" s="72">
        <f>IFERROR(VLOOKUP($D147,'FERC 2023'!$EA$3:$EN$221,7,0),"")</f>
        <v>411</v>
      </c>
      <c r="W147" s="72">
        <f>IFERROR(VLOOKUP($D147,'FERC 2021'!$EA$3:$EN$221,8,0),"")</f>
        <v>99567</v>
      </c>
      <c r="X147" s="72">
        <f>IFERROR(VLOOKUP($D147,'FERC 2022'!$EA$3:$EN$220,8,0),"")</f>
        <v>101646</v>
      </c>
      <c r="Y147" s="72">
        <f>IFERROR(VLOOKUP($D147,'FERC 2023'!$EA$3:$EN$221,8,0),"")</f>
        <v>101122</v>
      </c>
      <c r="Z147" s="72">
        <f>IFERROR(VLOOKUP($D147,'FERC 2021'!$EA$3:$EN$222,9,0),"")</f>
        <v>142564</v>
      </c>
      <c r="AA147" s="72">
        <f>IFERROR(VLOOKUP($D147,'FERC 2022'!$EA$3:$EN$220,9,0),"")</f>
        <v>108118</v>
      </c>
      <c r="AB147" s="72">
        <f>IFERROR(VLOOKUP($D147,'FERC 2023'!$EA$3:$EN$221,9,0),"")</f>
        <v>114864</v>
      </c>
      <c r="AC147" s="72">
        <f>IFERROR(VLOOKUP($D147,'FERC 2021'!$EA$3:$EN$221,10,0),"")</f>
        <v>1920911</v>
      </c>
      <c r="AD147" s="72">
        <f>IFERROR(VLOOKUP($D147,'FERC 2022'!$EA$3:$EN$220,10,0),"")</f>
        <v>1898678</v>
      </c>
      <c r="AE147" s="72">
        <f>IFERROR(VLOOKUP($D147,'FERC 2023'!$EA$3:$EN$221,10,0),"")</f>
        <v>1798655</v>
      </c>
      <c r="AF147" s="72">
        <f>IFERROR(VLOOKUP($D147,'FERC 2021'!$EA$3:$EN$221,11,0),"")</f>
        <v>2053529.2233502539</v>
      </c>
      <c r="AG147" s="72">
        <f>IFERROR(VLOOKUP($D147,'FERC 2022'!$EA$3:$EN$220,11,0),"")</f>
        <v>1998477.5634517767</v>
      </c>
      <c r="AH147" s="72">
        <f>IFERROR(VLOOKUP($D147,'FERC 2023'!$EA$3:$EN$221,11,0),"")</f>
        <v>1904404.4060913706</v>
      </c>
      <c r="AI147" s="72">
        <f>IFERROR(VLOOKUP($D147,'FERC 2021'!$EA$3:$EN$221,12,0),"")</f>
        <v>6489976.1940000001</v>
      </c>
      <c r="AJ147" s="72">
        <f>IFERROR(VLOOKUP($D147,'FERC 2022'!$EA$3:$EN$220,12,0),"")</f>
        <v>8878574.8080000002</v>
      </c>
      <c r="AK147" s="72">
        <f>IFERROR(VLOOKUP($D147,'FERC 2023'!$EA$3:$EN$221,12,0),"")</f>
        <v>8842613.2899999991</v>
      </c>
      <c r="AL147" s="72">
        <f>VLOOKUP($D147,'FERC 2021'!$EA$3:$EN$221,13,0)</f>
        <v>194354.78399999999</v>
      </c>
      <c r="AM147" s="72">
        <f>VLOOKUP($D147,'FERC 2022'!$EA$3:$EN$220,13,0)</f>
        <v>172391.61600000001</v>
      </c>
      <c r="AN147" s="72">
        <f>VLOOKUP($D147,'FERC 2023'!$EA$3:$EN$221,13,0)</f>
        <v>156536.856</v>
      </c>
      <c r="AO147" s="72">
        <f>IFERROR(VLOOKUP($D147,'FERC 2021'!$EA$3:$EN$221,14,0),"")</f>
        <v>99535</v>
      </c>
      <c r="AP147" s="72">
        <f>IFERROR(VLOOKUP($D147,'FERC 2022'!$EA$3:$EN$220,14,0),"")</f>
        <v>100423</v>
      </c>
      <c r="AQ147" s="72">
        <f>IFERROR(VLOOKUP($D147,'FERC 2023'!$EA$3:$EN$221,14,0),"")</f>
        <v>101100</v>
      </c>
    </row>
    <row r="148" spans="1:43" ht="15.75" hidden="1" customHeight="1">
      <c r="A148" s="7" t="s">
        <v>643</v>
      </c>
      <c r="B148" s="7" t="s">
        <v>644</v>
      </c>
      <c r="C148" s="311" t="str">
        <f>'BD DEA'!P148</f>
        <v/>
      </c>
      <c r="D148" s="44" t="str">
        <f t="shared" si="0"/>
        <v>C001702</v>
      </c>
      <c r="E148" s="72" t="str">
        <f>IFERROR(VLOOKUP($D148,'FERC 2021'!$EA$3:$EN$221,2,0),"")</f>
        <v/>
      </c>
      <c r="F148" s="72" t="str">
        <f>IFERROR(VLOOKUP($D148,'FERC 2022'!$EA$3:$EN$220,2,0),"")</f>
        <v/>
      </c>
      <c r="G148" s="72" t="str">
        <f>IFERROR(VLOOKUP($D148,'FERC 2023'!$EA$3:$EN$221,2,0),"")</f>
        <v/>
      </c>
      <c r="H148" s="72" t="str">
        <f>IFERROR(VLOOKUP($D148,'FERC 2021'!$EA$3:$EN$225,3,0),"")</f>
        <v/>
      </c>
      <c r="I148" s="72" t="str">
        <f>IFERROR(VLOOKUP($D148,'FERC 2022'!$EA$3:$EN$229,3,0),"")</f>
        <v/>
      </c>
      <c r="J148" s="72" t="str">
        <f>IFERROR(VLOOKUP($D148,'FERC 2023'!$EA$3:$EN$229,3,0),"")</f>
        <v/>
      </c>
      <c r="K148" s="72" t="str">
        <f>IFERROR(VLOOKUP($D148,'FERC 2021'!$EA$3:$EN$229,4,0),"")</f>
        <v/>
      </c>
      <c r="L148" s="72" t="str">
        <f>IFERROR(VLOOKUP($D148,'FERC 2022'!$EA$3:$EN$220,4,0),"")</f>
        <v/>
      </c>
      <c r="M148" s="72" t="str">
        <f>IFERROR(VLOOKUP($D148,'FERC 2023'!$EA$3:$EN$221,4,0),"")</f>
        <v/>
      </c>
      <c r="N148" s="72" t="str">
        <f>IFERROR(VLOOKUP($D148,'FERC 2021'!$EA$3:$EN$221,5,0),"")</f>
        <v/>
      </c>
      <c r="O148" s="72" t="str">
        <f>IFERROR(VLOOKUP($D148,'FERC 2022'!$EA$3:$EN$220,5,0),"")</f>
        <v/>
      </c>
      <c r="P148" s="72" t="str">
        <f>IFERROR(VLOOKUP($D148,'FERC 2023'!$EA$3:$EN$221,5,0),"")</f>
        <v/>
      </c>
      <c r="Q148" s="72" t="str">
        <f>IFERROR(VLOOKUP($D148,'FERC 2021'!$EA$3:$EN$221,6,0),"")</f>
        <v/>
      </c>
      <c r="R148" s="72" t="str">
        <f>IFERROR(VLOOKUP($D148,'FERC 2022'!$EA$3:$EN$220,6,0),"")</f>
        <v/>
      </c>
      <c r="S148" s="72" t="str">
        <f>IFERROR(VLOOKUP($D148,'FERC 2023'!$EA$3:$EN$221,6,0),"")</f>
        <v/>
      </c>
      <c r="T148" s="72" t="str">
        <f>IFERROR(VLOOKUP($D148,'FERC 2021'!$EA$3:$EN$221,7,0),"")</f>
        <v/>
      </c>
      <c r="U148" s="72" t="str">
        <f>IFERROR(VLOOKUP($D148,'FERC 2022'!$EA$3:$EN$220,7,0),"")</f>
        <v/>
      </c>
      <c r="V148" s="72" t="str">
        <f>IFERROR(VLOOKUP($D148,'FERC 2023'!$EA$3:$EN$221,7,0),"")</f>
        <v/>
      </c>
      <c r="W148" s="72" t="str">
        <f>IFERROR(VLOOKUP($D148,'FERC 2021'!$EA$3:$EN$221,8,0),"")</f>
        <v/>
      </c>
      <c r="X148" s="72" t="str">
        <f>IFERROR(VLOOKUP($D148,'FERC 2022'!$EA$3:$EN$220,8,0),"")</f>
        <v/>
      </c>
      <c r="Y148" s="72" t="str">
        <f>IFERROR(VLOOKUP($D148,'FERC 2023'!$EA$3:$EN$221,8,0),"")</f>
        <v/>
      </c>
      <c r="Z148" s="72" t="str">
        <f>IFERROR(VLOOKUP($D148,'FERC 2021'!$EA$3:$EN$222,9,0),"")</f>
        <v/>
      </c>
      <c r="AA148" s="72" t="str">
        <f>IFERROR(VLOOKUP($D148,'FERC 2022'!$EA$3:$EN$220,9,0),"")</f>
        <v/>
      </c>
      <c r="AB148" s="72" t="str">
        <f>IFERROR(VLOOKUP($D148,'FERC 2023'!$EA$3:$EN$221,9,0),"")</f>
        <v/>
      </c>
      <c r="AC148" s="72" t="str">
        <f>IFERROR(VLOOKUP($D148,'FERC 2021'!$EA$3:$EN$221,10,0),"")</f>
        <v/>
      </c>
      <c r="AD148" s="72" t="str">
        <f>IFERROR(VLOOKUP($D148,'FERC 2022'!$EA$3:$EN$220,10,0),"")</f>
        <v/>
      </c>
      <c r="AE148" s="72" t="str">
        <f>IFERROR(VLOOKUP($D148,'FERC 2023'!$EA$3:$EN$221,10,0),"")</f>
        <v/>
      </c>
      <c r="AF148" s="72" t="str">
        <f>IFERROR(VLOOKUP($D148,'FERC 2021'!$EA$3:$EN$221,11,0),"")</f>
        <v/>
      </c>
      <c r="AG148" s="72" t="str">
        <f>IFERROR(VLOOKUP($D148,'FERC 2022'!$EA$3:$EN$220,11,0),"")</f>
        <v/>
      </c>
      <c r="AH148" s="72" t="str">
        <f>IFERROR(VLOOKUP($D148,'FERC 2023'!$EA$3:$EN$221,11,0),"")</f>
        <v/>
      </c>
      <c r="AI148" s="72" t="str">
        <f>IFERROR(VLOOKUP($D148,'FERC 2021'!$EA$3:$EN$221,12,0),"")</f>
        <v/>
      </c>
      <c r="AJ148" s="72" t="str">
        <f>IFERROR(VLOOKUP($D148,'FERC 2022'!$EA$3:$EN$220,12,0),"")</f>
        <v/>
      </c>
      <c r="AK148" s="72" t="str">
        <f>IFERROR(VLOOKUP($D148,'FERC 2023'!$EA$3:$EN$221,12,0),"")</f>
        <v/>
      </c>
      <c r="AL148" s="72" t="str">
        <f>VLOOKUP($D148,'FERC 2021'!$EA$3:$EN$221,13,0)</f>
        <v/>
      </c>
      <c r="AM148" s="72" t="str">
        <f>VLOOKUP($D148,'FERC 2022'!$EA$3:$EN$220,13,0)</f>
        <v/>
      </c>
      <c r="AN148" s="72" t="str">
        <f>VLOOKUP($D148,'FERC 2023'!$EA$3:$EN$221,13,0)</f>
        <v/>
      </c>
      <c r="AO148" s="72" t="str">
        <f>IFERROR(VLOOKUP($D148,'FERC 2021'!$EA$3:$EN$221,14,0),"")</f>
        <v/>
      </c>
      <c r="AP148" s="72" t="str">
        <f>IFERROR(VLOOKUP($D148,'FERC 2022'!$EA$3:$EN$220,14,0),"")</f>
        <v/>
      </c>
      <c r="AQ148" s="72" t="str">
        <f>IFERROR(VLOOKUP($D148,'FERC 2023'!$EA$3:$EN$221,14,0),"")</f>
        <v/>
      </c>
    </row>
    <row r="149" spans="1:43" ht="15.75" hidden="1" customHeight="1">
      <c r="A149" s="7" t="s">
        <v>646</v>
      </c>
      <c r="B149" s="7" t="s">
        <v>647</v>
      </c>
      <c r="C149" s="311" t="str">
        <f>'BD DEA'!P149</f>
        <v/>
      </c>
      <c r="D149" s="44" t="str">
        <f t="shared" si="0"/>
        <v>C001731</v>
      </c>
      <c r="E149" s="72" t="str">
        <f>IFERROR(VLOOKUP($D149,'FERC 2021'!$EA$3:$EN$221,2,0),"")</f>
        <v/>
      </c>
      <c r="F149" s="72" t="str">
        <f>IFERROR(VLOOKUP($D149,'FERC 2022'!$EA$3:$EN$220,2,0),"")</f>
        <v/>
      </c>
      <c r="G149" s="72" t="str">
        <f>IFERROR(VLOOKUP($D149,'FERC 2023'!$EA$3:$EN$221,2,0),"")</f>
        <v/>
      </c>
      <c r="H149" s="72" t="str">
        <f>IFERROR(VLOOKUP($D149,'FERC 2021'!$EA$3:$EN$225,3,0),"")</f>
        <v/>
      </c>
      <c r="I149" s="72" t="str">
        <f>IFERROR(VLOOKUP($D149,'FERC 2022'!$EA$3:$EN$229,3,0),"")</f>
        <v/>
      </c>
      <c r="J149" s="72" t="str">
        <f>IFERROR(VLOOKUP($D149,'FERC 2023'!$EA$3:$EN$229,3,0),"")</f>
        <v/>
      </c>
      <c r="K149" s="72" t="str">
        <f>IFERROR(VLOOKUP($D149,'FERC 2021'!$EA$3:$EN$229,4,0),"")</f>
        <v/>
      </c>
      <c r="L149" s="72" t="str">
        <f>IFERROR(VLOOKUP($D149,'FERC 2022'!$EA$3:$EN$220,4,0),"")</f>
        <v/>
      </c>
      <c r="M149" s="72" t="str">
        <f>IFERROR(VLOOKUP($D149,'FERC 2023'!$EA$3:$EN$221,4,0),"")</f>
        <v/>
      </c>
      <c r="N149" s="72" t="str">
        <f>IFERROR(VLOOKUP($D149,'FERC 2021'!$EA$3:$EN$221,5,0),"")</f>
        <v/>
      </c>
      <c r="O149" s="72" t="str">
        <f>IFERROR(VLOOKUP($D149,'FERC 2022'!$EA$3:$EN$220,5,0),"")</f>
        <v/>
      </c>
      <c r="P149" s="72" t="str">
        <f>IFERROR(VLOOKUP($D149,'FERC 2023'!$EA$3:$EN$221,5,0),"")</f>
        <v/>
      </c>
      <c r="Q149" s="72" t="str">
        <f>IFERROR(VLOOKUP($D149,'FERC 2021'!$EA$3:$EN$221,6,0),"")</f>
        <v/>
      </c>
      <c r="R149" s="72" t="str">
        <f>IFERROR(VLOOKUP($D149,'FERC 2022'!$EA$3:$EN$220,6,0),"")</f>
        <v/>
      </c>
      <c r="S149" s="72" t="str">
        <f>IFERROR(VLOOKUP($D149,'FERC 2023'!$EA$3:$EN$221,6,0),"")</f>
        <v/>
      </c>
      <c r="T149" s="72" t="str">
        <f>IFERROR(VLOOKUP($D149,'FERC 2021'!$EA$3:$EN$221,7,0),"")</f>
        <v/>
      </c>
      <c r="U149" s="72" t="str">
        <f>IFERROR(VLOOKUP($D149,'FERC 2022'!$EA$3:$EN$220,7,0),"")</f>
        <v/>
      </c>
      <c r="V149" s="72" t="str">
        <f>IFERROR(VLOOKUP($D149,'FERC 2023'!$EA$3:$EN$221,7,0),"")</f>
        <v/>
      </c>
      <c r="W149" s="72" t="str">
        <f>IFERROR(VLOOKUP($D149,'FERC 2021'!$EA$3:$EN$221,8,0),"")</f>
        <v/>
      </c>
      <c r="X149" s="72" t="str">
        <f>IFERROR(VLOOKUP($D149,'FERC 2022'!$EA$3:$EN$220,8,0),"")</f>
        <v/>
      </c>
      <c r="Y149" s="72" t="str">
        <f>IFERROR(VLOOKUP($D149,'FERC 2023'!$EA$3:$EN$221,8,0),"")</f>
        <v/>
      </c>
      <c r="Z149" s="72" t="str">
        <f>IFERROR(VLOOKUP($D149,'FERC 2021'!$EA$3:$EN$222,9,0),"")</f>
        <v/>
      </c>
      <c r="AA149" s="72" t="str">
        <f>IFERROR(VLOOKUP($D149,'FERC 2022'!$EA$3:$EN$220,9,0),"")</f>
        <v/>
      </c>
      <c r="AB149" s="72" t="str">
        <f>IFERROR(VLOOKUP($D149,'FERC 2023'!$EA$3:$EN$221,9,0),"")</f>
        <v/>
      </c>
      <c r="AC149" s="72" t="str">
        <f>IFERROR(VLOOKUP($D149,'FERC 2021'!$EA$3:$EN$221,10,0),"")</f>
        <v/>
      </c>
      <c r="AD149" s="72" t="str">
        <f>IFERROR(VLOOKUP($D149,'FERC 2022'!$EA$3:$EN$220,10,0),"")</f>
        <v/>
      </c>
      <c r="AE149" s="72" t="str">
        <f>IFERROR(VLOOKUP($D149,'FERC 2023'!$EA$3:$EN$221,10,0),"")</f>
        <v/>
      </c>
      <c r="AF149" s="72" t="str">
        <f>IFERROR(VLOOKUP($D149,'FERC 2021'!$EA$3:$EN$221,11,0),"")</f>
        <v/>
      </c>
      <c r="AG149" s="72" t="str">
        <f>IFERROR(VLOOKUP($D149,'FERC 2022'!$EA$3:$EN$220,11,0),"")</f>
        <v/>
      </c>
      <c r="AH149" s="72" t="str">
        <f>IFERROR(VLOOKUP($D149,'FERC 2023'!$EA$3:$EN$221,11,0),"")</f>
        <v/>
      </c>
      <c r="AI149" s="72" t="str">
        <f>IFERROR(VLOOKUP($D149,'FERC 2021'!$EA$3:$EN$221,12,0),"")</f>
        <v/>
      </c>
      <c r="AJ149" s="72" t="str">
        <f>IFERROR(VLOOKUP($D149,'FERC 2022'!$EA$3:$EN$220,12,0),"")</f>
        <v/>
      </c>
      <c r="AK149" s="72" t="str">
        <f>IFERROR(VLOOKUP($D149,'FERC 2023'!$EA$3:$EN$221,12,0),"")</f>
        <v/>
      </c>
      <c r="AL149" s="72" t="str">
        <f>VLOOKUP($D149,'FERC 2021'!$EA$3:$EN$221,13,0)</f>
        <v/>
      </c>
      <c r="AM149" s="72" t="str">
        <f>VLOOKUP($D149,'FERC 2022'!$EA$3:$EN$220,13,0)</f>
        <v/>
      </c>
      <c r="AN149" s="72" t="str">
        <f>VLOOKUP($D149,'FERC 2023'!$EA$3:$EN$221,13,0)</f>
        <v/>
      </c>
      <c r="AO149" s="72" t="str">
        <f>IFERROR(VLOOKUP($D149,'FERC 2021'!$EA$3:$EN$221,14,0),"")</f>
        <v/>
      </c>
      <c r="AP149" s="72" t="str">
        <f>IFERROR(VLOOKUP($D149,'FERC 2022'!$EA$3:$EN$220,14,0),"")</f>
        <v/>
      </c>
      <c r="AQ149" s="72" t="str">
        <f>IFERROR(VLOOKUP($D149,'FERC 2023'!$EA$3:$EN$221,14,0),"")</f>
        <v/>
      </c>
    </row>
    <row r="150" spans="1:43" ht="15.75" customHeight="1">
      <c r="A150" s="7" t="s">
        <v>649</v>
      </c>
      <c r="B150" s="7" t="s">
        <v>650</v>
      </c>
      <c r="C150" s="311">
        <f>'BD DEA'!P150</f>
        <v>1</v>
      </c>
      <c r="D150" s="44" t="str">
        <f t="shared" si="0"/>
        <v>C001745</v>
      </c>
      <c r="E150" s="72">
        <f>IFERROR(VLOOKUP($D150,'FERC 2021'!$EA$3:$EN$221,2,0),"")</f>
        <v>1690970299.8119268</v>
      </c>
      <c r="F150" s="72">
        <f>IFERROR(VLOOKUP($D150,'FERC 2022'!$EA$3:$EN$220,2,0),"")</f>
        <v>1688336139.6759775</v>
      </c>
      <c r="G150" s="72">
        <f>IFERROR(VLOOKUP($D150,'FERC 2023'!$EA$3:$EN$221,2,0),"")</f>
        <v>1785185350.7934449</v>
      </c>
      <c r="H150" s="72">
        <f>IFERROR(VLOOKUP($D150,'FERC 2021'!$EA$3:$EN$225,3,0),"")</f>
        <v>73556207.440833986</v>
      </c>
      <c r="I150" s="72">
        <f>IFERROR(VLOOKUP($D150,'FERC 2022'!$EA$3:$EN$229,3,0),"")</f>
        <v>71750314.123387218</v>
      </c>
      <c r="J150" s="72">
        <f>IFERROR(VLOOKUP($D150,'FERC 2023'!$EA$3:$EN$229,3,0),"")</f>
        <v>74194353.904574558</v>
      </c>
      <c r="K150" s="72">
        <f>IFERROR(VLOOKUP($D150,'FERC 2021'!$EA$3:$EN$229,4,0),"")</f>
        <v>49920692.576586314</v>
      </c>
      <c r="L150" s="72">
        <f>IFERROR(VLOOKUP($D150,'FERC 2022'!$EA$3:$EN$220,4,0),"")</f>
        <v>51594857.467354298</v>
      </c>
      <c r="M150" s="72">
        <f>IFERROR(VLOOKUP($D150,'FERC 2023'!$EA$3:$EN$221,4,0),"")</f>
        <v>57492003.114232026</v>
      </c>
      <c r="N150" s="72">
        <f>IFERROR(VLOOKUP($D150,'FERC 2021'!$EA$3:$EN$221,5,0),"")</f>
        <v>11552489.439328969</v>
      </c>
      <c r="O150" s="72">
        <f>IFERROR(VLOOKUP($D150,'FERC 2022'!$EA$3:$EN$220,5,0),"")</f>
        <v>12565795.393864442</v>
      </c>
      <c r="P150" s="72">
        <f>IFERROR(VLOOKUP($D150,'FERC 2023'!$EA$3:$EN$221,5,0),"")</f>
        <v>13681152.428795945</v>
      </c>
      <c r="Q150" s="72">
        <f>IFERROR(VLOOKUP($D150,'FERC 2021'!$EA$3:$EN$221,6,0),"")</f>
        <v>14793147.343903927</v>
      </c>
      <c r="R150" s="72">
        <f>IFERROR(VLOOKUP($D150,'FERC 2022'!$EA$3:$EN$220,6,0),"")</f>
        <v>13252619.823297417</v>
      </c>
      <c r="S150" s="72">
        <f>IFERROR(VLOOKUP($D150,'FERC 2023'!$EA$3:$EN$221,6,0),"")</f>
        <v>13420570.763965989</v>
      </c>
      <c r="T150" s="72">
        <f>IFERROR(VLOOKUP($D150,'FERC 2021'!$EA$3:$EN$221,7,0),"")</f>
        <v>626</v>
      </c>
      <c r="U150" s="72">
        <f>IFERROR(VLOOKUP($D150,'FERC 2022'!$EA$3:$EN$220,7,0),"")</f>
        <v>627</v>
      </c>
      <c r="V150" s="72">
        <f>IFERROR(VLOOKUP($D150,'FERC 2023'!$EA$3:$EN$221,7,0),"")</f>
        <v>592</v>
      </c>
      <c r="W150" s="72">
        <f>IFERROR(VLOOKUP($D150,'FERC 2021'!$EA$3:$EN$221,8,0),"")</f>
        <v>269872</v>
      </c>
      <c r="X150" s="72">
        <f>IFERROR(VLOOKUP($D150,'FERC 2022'!$EA$3:$EN$220,8,0),"")</f>
        <v>271468</v>
      </c>
      <c r="Y150" s="72">
        <f>IFERROR(VLOOKUP($D150,'FERC 2023'!$EA$3:$EN$221,8,0),"")</f>
        <v>273011</v>
      </c>
      <c r="Z150" s="72">
        <f>IFERROR(VLOOKUP($D150,'FERC 2021'!$EA$3:$EN$222,9,0),"")</f>
        <v>256336</v>
      </c>
      <c r="AA150" s="72">
        <f>IFERROR(VLOOKUP($D150,'FERC 2022'!$EA$3:$EN$220,9,0),"")</f>
        <v>200640</v>
      </c>
      <c r="AB150" s="72">
        <f>IFERROR(VLOOKUP($D150,'FERC 2023'!$EA$3:$EN$221,9,0),"")</f>
        <v>233086</v>
      </c>
      <c r="AC150" s="72">
        <f>IFERROR(VLOOKUP($D150,'FERC 2021'!$EA$3:$EN$221,10,0),"")</f>
        <v>4100504</v>
      </c>
      <c r="AD150" s="72">
        <f>IFERROR(VLOOKUP($D150,'FERC 2022'!$EA$3:$EN$220,10,0),"")</f>
        <v>4129433</v>
      </c>
      <c r="AE150" s="72">
        <f>IFERROR(VLOOKUP($D150,'FERC 2023'!$EA$3:$EN$221,10,0),"")</f>
        <v>4033028</v>
      </c>
      <c r="AF150" s="72">
        <f>IFERROR(VLOOKUP($D150,'FERC 2021'!$EA$3:$EN$221,11,0),"")</f>
        <v>4350151.5837563453</v>
      </c>
      <c r="AG150" s="72">
        <f>IFERROR(VLOOKUP($D150,'FERC 2022'!$EA$3:$EN$220,11,0),"")</f>
        <v>4321172.746192893</v>
      </c>
      <c r="AH150" s="72">
        <f>IFERROR(VLOOKUP($D150,'FERC 2023'!$EA$3:$EN$221,11,0),"")</f>
        <v>4256868.9593908628</v>
      </c>
      <c r="AI150" s="72">
        <f>IFERROR(VLOOKUP($D150,'FERC 2021'!$EA$3:$EN$221,12,0),"")</f>
        <v>72703516.799999997</v>
      </c>
      <c r="AJ150" s="72">
        <f>IFERROR(VLOOKUP($D150,'FERC 2022'!$EA$3:$EN$220,12,0),"")</f>
        <v>76228214.400000006</v>
      </c>
      <c r="AK150" s="72">
        <f>IFERROR(VLOOKUP($D150,'FERC 2023'!$EA$3:$EN$221,12,0),"")</f>
        <v>61099861.800000004</v>
      </c>
      <c r="AL150" s="72">
        <f>VLOOKUP($D150,'FERC 2021'!$EA$3:$EN$221,13,0)</f>
        <v>607212</v>
      </c>
      <c r="AM150" s="72">
        <f>VLOOKUP($D150,'FERC 2022'!$EA$3:$EN$220,13,0)</f>
        <v>751966.36</v>
      </c>
      <c r="AN150" s="72">
        <f>VLOOKUP($D150,'FERC 2023'!$EA$3:$EN$221,13,0)</f>
        <v>685257.61</v>
      </c>
      <c r="AO150" s="72">
        <f>IFERROR(VLOOKUP($D150,'FERC 2021'!$EA$3:$EN$221,14,0),"")</f>
        <v>272395</v>
      </c>
      <c r="AP150" s="72">
        <f>IFERROR(VLOOKUP($D150,'FERC 2022'!$EA$3:$EN$220,14,0),"")</f>
        <v>275840</v>
      </c>
      <c r="AQ150" s="72">
        <f>IFERROR(VLOOKUP($D150,'FERC 2023'!$EA$3:$EN$221,14,0),"")</f>
        <v>277540</v>
      </c>
    </row>
    <row r="151" spans="1:43" ht="15.75" hidden="1" customHeight="1">
      <c r="A151" s="7" t="s">
        <v>652</v>
      </c>
      <c r="B151" s="7" t="s">
        <v>653</v>
      </c>
      <c r="C151" s="311" t="str">
        <f>'BD DEA'!P151</f>
        <v/>
      </c>
      <c r="D151" s="44" t="str">
        <f t="shared" si="0"/>
        <v>C001775</v>
      </c>
      <c r="E151" s="72">
        <f>IFERROR(VLOOKUP($D151,'FERC 2021'!$EA$3:$EN$221,2,0),"")</f>
        <v>6150176476.6875515</v>
      </c>
      <c r="F151" s="72">
        <f>IFERROR(VLOOKUP($D151,'FERC 2022'!$EA$3:$EN$220,2,0),"")</f>
        <v>6630934260.771493</v>
      </c>
      <c r="G151" s="72">
        <f>IFERROR(VLOOKUP($D151,'FERC 2023'!$EA$3:$EN$221,2,0),"")</f>
        <v>7178540910.8064518</v>
      </c>
      <c r="H151" s="72">
        <f>IFERROR(VLOOKUP($D151,'FERC 2021'!$EA$3:$EN$225,3,0),"")</f>
        <v>335708716.58600038</v>
      </c>
      <c r="I151" s="72">
        <f>IFERROR(VLOOKUP($D151,'FERC 2022'!$EA$3:$EN$229,3,0),"")</f>
        <v>333720730.68960702</v>
      </c>
      <c r="J151" s="72">
        <f>IFERROR(VLOOKUP($D151,'FERC 2023'!$EA$3:$EN$229,3,0),"")</f>
        <v>331320641.32535022</v>
      </c>
      <c r="K151" s="72">
        <f>IFERROR(VLOOKUP($D151,'FERC 2021'!$EA$3:$EN$229,4,0),"")</f>
        <v>132048520.54167099</v>
      </c>
      <c r="L151" s="72">
        <f>IFERROR(VLOOKUP($D151,'FERC 2022'!$EA$3:$EN$220,4,0),"")</f>
        <v>140146137.69151616</v>
      </c>
      <c r="M151" s="72">
        <f>IFERROR(VLOOKUP($D151,'FERC 2023'!$EA$3:$EN$221,4,0),"")</f>
        <v>131510447.52657638</v>
      </c>
      <c r="N151" s="72">
        <f>IFERROR(VLOOKUP($D151,'FERC 2021'!$EA$3:$EN$221,5,0),"")</f>
        <v>85717540.217565283</v>
      </c>
      <c r="O151" s="72">
        <f>IFERROR(VLOOKUP($D151,'FERC 2022'!$EA$3:$EN$220,5,0),"")</f>
        <v>83841439.157341614</v>
      </c>
      <c r="P151" s="72">
        <f>IFERROR(VLOOKUP($D151,'FERC 2023'!$EA$3:$EN$221,5,0),"")</f>
        <v>83214996.555402458</v>
      </c>
      <c r="Q151" s="72">
        <f>IFERROR(VLOOKUP($D151,'FERC 2021'!$EA$3:$EN$221,6,0),"")</f>
        <v>53362843.842688918</v>
      </c>
      <c r="R151" s="72">
        <f>IFERROR(VLOOKUP($D151,'FERC 2022'!$EA$3:$EN$220,6,0),"")</f>
        <v>51696716.931907482</v>
      </c>
      <c r="S151" s="72">
        <f>IFERROR(VLOOKUP($D151,'FERC 2023'!$EA$3:$EN$221,6,0),"")</f>
        <v>71129788.183163434</v>
      </c>
      <c r="T151" s="72">
        <f>IFERROR(VLOOKUP($D151,'FERC 2021'!$EA$3:$EN$221,7,0),"")</f>
        <v>6722</v>
      </c>
      <c r="U151" s="72">
        <f>IFERROR(VLOOKUP($D151,'FERC 2022'!$EA$3:$EN$220,7,0),"")</f>
        <v>7301</v>
      </c>
      <c r="V151" s="72">
        <f>IFERROR(VLOOKUP($D151,'FERC 2023'!$EA$3:$EN$221,7,0),"")</f>
        <v>7384</v>
      </c>
      <c r="W151" s="72">
        <f>IFERROR(VLOOKUP($D151,'FERC 2021'!$EA$3:$EN$221,8,0),"")</f>
        <v>874592</v>
      </c>
      <c r="X151" s="72">
        <f>IFERROR(VLOOKUP($D151,'FERC 2022'!$EA$3:$EN$220,8,0),"")</f>
        <v>884781</v>
      </c>
      <c r="Y151" s="72">
        <f>IFERROR(VLOOKUP($D151,'FERC 2023'!$EA$3:$EN$221,8,0),"")</f>
        <v>892274</v>
      </c>
      <c r="Z151" s="72">
        <f>IFERROR(VLOOKUP($D151,'FERC 2021'!$EA$3:$EN$222,9,0),"")</f>
        <v>1481091</v>
      </c>
      <c r="AA151" s="72">
        <f>IFERROR(VLOOKUP($D151,'FERC 2022'!$EA$3:$EN$220,9,0),"")</f>
        <v>1420294</v>
      </c>
      <c r="AB151" s="72">
        <f>IFERROR(VLOOKUP($D151,'FERC 2023'!$EA$3:$EN$221,9,0),"")</f>
        <v>1469643</v>
      </c>
      <c r="AC151" s="72">
        <f>IFERROR(VLOOKUP($D151,'FERC 2021'!$EA$3:$EN$221,10,0),"")</f>
        <v>27656658</v>
      </c>
      <c r="AD151" s="72">
        <f>IFERROR(VLOOKUP($D151,'FERC 2022'!$EA$3:$EN$220,10,0),"")</f>
        <v>29939903</v>
      </c>
      <c r="AE151" s="72">
        <f>IFERROR(VLOOKUP($D151,'FERC 2023'!$EA$3:$EN$221,10,0),"")</f>
        <v>29739024</v>
      </c>
      <c r="AF151" s="72">
        <f>IFERROR(VLOOKUP($D151,'FERC 2021'!$EA$3:$EN$221,11,0),"")</f>
        <v>29113256.756345179</v>
      </c>
      <c r="AG151" s="72">
        <f>IFERROR(VLOOKUP($D151,'FERC 2022'!$EA$3:$EN$220,11,0),"")</f>
        <v>31342885.294416245</v>
      </c>
      <c r="AH151" s="72">
        <f>IFERROR(VLOOKUP($D151,'FERC 2023'!$EA$3:$EN$221,11,0),"")</f>
        <v>31196379.09137056</v>
      </c>
      <c r="AI151" s="72">
        <f>IFERROR(VLOOKUP($D151,'FERC 2021'!$EA$3:$EN$221,12,0),"")</f>
        <v>79780282.239999995</v>
      </c>
      <c r="AJ151" s="72">
        <f>IFERROR(VLOOKUP($D151,'FERC 2022'!$EA$3:$EN$220,12,0),"")</f>
        <v>120232890.08999999</v>
      </c>
      <c r="AK151" s="72">
        <f>IFERROR(VLOOKUP($D151,'FERC 2023'!$EA$3:$EN$221,12,0),"")</f>
        <v>121285020.272</v>
      </c>
      <c r="AL151" s="72">
        <f>VLOOKUP($D151,'FERC 2021'!$EA$3:$EN$221,13,0)</f>
        <v>932315.07200000004</v>
      </c>
      <c r="AM151" s="72">
        <f>VLOOKUP($D151,'FERC 2022'!$EA$3:$EN$220,13,0)</f>
        <v>846735.41700000002</v>
      </c>
      <c r="AN151" s="72">
        <f>VLOOKUP($D151,'FERC 2023'!$EA$3:$EN$221,13,0)</f>
        <v>1603416.378</v>
      </c>
      <c r="AO151" s="72">
        <f>IFERROR(VLOOKUP($D151,'FERC 2021'!$EA$3:$EN$221,14,0),"")</f>
        <v>70780</v>
      </c>
      <c r="AP151" s="72">
        <f>IFERROR(VLOOKUP($D151,'FERC 2022'!$EA$3:$EN$220,14,0),"")</f>
        <v>71329</v>
      </c>
      <c r="AQ151" s="72">
        <f>IFERROR(VLOOKUP($D151,'FERC 2023'!$EA$3:$EN$221,14,0),"")</f>
        <v>71453</v>
      </c>
    </row>
    <row r="152" spans="1:43" ht="15.75" hidden="1" customHeight="1">
      <c r="A152" s="7" t="s">
        <v>655</v>
      </c>
      <c r="B152" s="7" t="s">
        <v>656</v>
      </c>
      <c r="C152" s="311" t="str">
        <f>'BD DEA'!P152</f>
        <v/>
      </c>
      <c r="D152" s="44" t="str">
        <f t="shared" si="0"/>
        <v>C001789</v>
      </c>
      <c r="E152" s="72">
        <f>IFERROR(VLOOKUP($D152,'FERC 2021'!$EA$3:$EN$221,2,0),"")</f>
        <v>3428610762.0327611</v>
      </c>
      <c r="F152" s="72">
        <f>IFERROR(VLOOKUP($D152,'FERC 2022'!$EA$3:$EN$220,2,0),"")</f>
        <v>3503756197.7831607</v>
      </c>
      <c r="G152" s="72">
        <f>IFERROR(VLOOKUP($D152,'FERC 2023'!$EA$3:$EN$221,2,0),"")</f>
        <v>3092762277.3500948</v>
      </c>
      <c r="H152" s="72">
        <f>IFERROR(VLOOKUP($D152,'FERC 2021'!$EA$3:$EN$225,3,0),"")</f>
        <v>131691176.95234017</v>
      </c>
      <c r="I152" s="72">
        <f>IFERROR(VLOOKUP($D152,'FERC 2022'!$EA$3:$EN$229,3,0),"")</f>
        <v>147278125.20842469</v>
      </c>
      <c r="J152" s="72">
        <f>IFERROR(VLOOKUP($D152,'FERC 2023'!$EA$3:$EN$229,3,0),"")</f>
        <v>158310013.65337119</v>
      </c>
      <c r="K152" s="72">
        <f>IFERROR(VLOOKUP($D152,'FERC 2021'!$EA$3:$EN$229,4,0),"")</f>
        <v>40927488.51679983</v>
      </c>
      <c r="L152" s="72">
        <f>IFERROR(VLOOKUP($D152,'FERC 2022'!$EA$3:$EN$220,4,0),"")</f>
        <v>39953119.844942607</v>
      </c>
      <c r="M152" s="72">
        <f>IFERROR(VLOOKUP($D152,'FERC 2023'!$EA$3:$EN$221,4,0),"")</f>
        <v>35963932.389594212</v>
      </c>
      <c r="N152" s="72">
        <f>IFERROR(VLOOKUP($D152,'FERC 2021'!$EA$3:$EN$221,5,0),"")</f>
        <v>22210679.241516199</v>
      </c>
      <c r="O152" s="72">
        <f>IFERROR(VLOOKUP($D152,'FERC 2022'!$EA$3:$EN$220,5,0),"")</f>
        <v>22280895.571168616</v>
      </c>
      <c r="P152" s="72">
        <f>IFERROR(VLOOKUP($D152,'FERC 2023'!$EA$3:$EN$221,5,0),"")</f>
        <v>22423267.678728402</v>
      </c>
      <c r="Q152" s="72">
        <f>IFERROR(VLOOKUP($D152,'FERC 2021'!$EA$3:$EN$221,6,0),"")</f>
        <v>47200754.194348745</v>
      </c>
      <c r="R152" s="72">
        <f>IFERROR(VLOOKUP($D152,'FERC 2022'!$EA$3:$EN$220,6,0),"")</f>
        <v>44807775.297075652</v>
      </c>
      <c r="S152" s="72">
        <f>IFERROR(VLOOKUP($D152,'FERC 2023'!$EA$3:$EN$221,6,0),"")</f>
        <v>45768125.659450054</v>
      </c>
      <c r="T152" s="72">
        <f>IFERROR(VLOOKUP($D152,'FERC 2021'!$EA$3:$EN$221,7,0),"")</f>
        <v>2115</v>
      </c>
      <c r="U152" s="72">
        <f>IFERROR(VLOOKUP($D152,'FERC 2022'!$EA$3:$EN$220,7,0),"")</f>
        <v>2425</v>
      </c>
      <c r="V152" s="72">
        <f>IFERROR(VLOOKUP($D152,'FERC 2023'!$EA$3:$EN$221,7,0),"")</f>
        <v>2336</v>
      </c>
      <c r="W152" s="72">
        <f>IFERROR(VLOOKUP($D152,'FERC 2021'!$EA$3:$EN$221,8,0),"")</f>
        <v>453536</v>
      </c>
      <c r="X152" s="72">
        <f>IFERROR(VLOOKUP($D152,'FERC 2022'!$EA$3:$EN$220,8,0),"")</f>
        <v>460509</v>
      </c>
      <c r="Y152" s="72">
        <f>IFERROR(VLOOKUP($D152,'FERC 2023'!$EA$3:$EN$221,8,0),"")</f>
        <v>467684</v>
      </c>
      <c r="Z152" s="72">
        <f>IFERROR(VLOOKUP($D152,'FERC 2021'!$EA$3:$EN$222,9,0),"")</f>
        <v>1104798</v>
      </c>
      <c r="AA152" s="72">
        <f>IFERROR(VLOOKUP($D152,'FERC 2022'!$EA$3:$EN$220,9,0),"")</f>
        <v>600462</v>
      </c>
      <c r="AB152" s="72">
        <f>IFERROR(VLOOKUP($D152,'FERC 2023'!$EA$3:$EN$221,9,0),"")</f>
        <v>605615</v>
      </c>
      <c r="AC152" s="72">
        <f>IFERROR(VLOOKUP($D152,'FERC 2021'!$EA$3:$EN$221,10,0),"")</f>
        <v>7876849</v>
      </c>
      <c r="AD152" s="72">
        <f>IFERROR(VLOOKUP($D152,'FERC 2022'!$EA$3:$EN$220,10,0),"")</f>
        <v>8136907</v>
      </c>
      <c r="AE152" s="72">
        <f>IFERROR(VLOOKUP($D152,'FERC 2023'!$EA$3:$EN$221,10,0),"")</f>
        <v>8043103</v>
      </c>
      <c r="AF152" s="72">
        <f>IFERROR(VLOOKUP($D152,'FERC 2021'!$EA$3:$EN$221,11,0),"")</f>
        <v>8967065.7969543152</v>
      </c>
      <c r="AG152" s="72">
        <f>IFERROR(VLOOKUP($D152,'FERC 2022'!$EA$3:$EN$220,11,0),"")</f>
        <v>8721244.487309644</v>
      </c>
      <c r="AH152" s="72">
        <f>IFERROR(VLOOKUP($D152,'FERC 2023'!$EA$3:$EN$221,11,0),"")</f>
        <v>8630240.0253807101</v>
      </c>
      <c r="AI152" s="72">
        <f>IFERROR(VLOOKUP($D152,'FERC 2021'!$EA$3:$EN$221,12,0),"")</f>
        <v>58235383.007999994</v>
      </c>
      <c r="AJ152" s="72">
        <f>IFERROR(VLOOKUP($D152,'FERC 2022'!$EA$3:$EN$220,12,0),"")</f>
        <v>54595183.986000001</v>
      </c>
      <c r="AK152" s="72">
        <f>IFERROR(VLOOKUP($D152,'FERC 2023'!$EA$3:$EN$221,12,0),"")</f>
        <v>47945560.627999999</v>
      </c>
      <c r="AL152" s="72">
        <f>VLOOKUP($D152,'FERC 2021'!$EA$3:$EN$221,13,0)</f>
        <v>621797.85600000003</v>
      </c>
      <c r="AM152" s="72">
        <f>VLOOKUP($D152,'FERC 2022'!$EA$3:$EN$220,13,0)</f>
        <v>525901.27799999993</v>
      </c>
      <c r="AN152" s="72">
        <f>VLOOKUP($D152,'FERC 2023'!$EA$3:$EN$221,13,0)</f>
        <v>436816.85600000003</v>
      </c>
      <c r="AO152" s="72">
        <f>IFERROR(VLOOKUP($D152,'FERC 2021'!$EA$3:$EN$221,14,0),"")</f>
        <v>359805</v>
      </c>
      <c r="AP152" s="72">
        <f>IFERROR(VLOOKUP($D152,'FERC 2022'!$EA$3:$EN$220,14,0),"")</f>
        <v>373943</v>
      </c>
      <c r="AQ152" s="72">
        <f>IFERROR(VLOOKUP($D152,'FERC 2023'!$EA$3:$EN$221,14,0),"")</f>
        <v>380664</v>
      </c>
    </row>
    <row r="153" spans="1:43" ht="15.75" hidden="1" customHeight="1">
      <c r="A153" s="7" t="s">
        <v>658</v>
      </c>
      <c r="B153" s="7" t="s">
        <v>659</v>
      </c>
      <c r="C153" s="311" t="str">
        <f>'BD DEA'!P153</f>
        <v/>
      </c>
      <c r="D153" s="44" t="str">
        <f t="shared" si="0"/>
        <v>C002012</v>
      </c>
      <c r="E153" s="72" t="str">
        <f>IFERROR(VLOOKUP($D153,'FERC 2021'!$EA$3:$EN$221,2,0),"")</f>
        <v/>
      </c>
      <c r="F153" s="72" t="str">
        <f>IFERROR(VLOOKUP($D153,'FERC 2022'!$EA$3:$EN$220,2,0),"")</f>
        <v/>
      </c>
      <c r="G153" s="72" t="str">
        <f>IFERROR(VLOOKUP($D153,'FERC 2023'!$EA$3:$EN$221,2,0),"")</f>
        <v/>
      </c>
      <c r="H153" s="72" t="str">
        <f>IFERROR(VLOOKUP($D153,'FERC 2021'!$EA$3:$EN$225,3,0),"")</f>
        <v/>
      </c>
      <c r="I153" s="72" t="str">
        <f>IFERROR(VLOOKUP($D153,'FERC 2022'!$EA$3:$EN$229,3,0),"")</f>
        <v/>
      </c>
      <c r="J153" s="72" t="str">
        <f>IFERROR(VLOOKUP($D153,'FERC 2023'!$EA$3:$EN$229,3,0),"")</f>
        <v/>
      </c>
      <c r="K153" s="72" t="str">
        <f>IFERROR(VLOOKUP($D153,'FERC 2021'!$EA$3:$EN$229,4,0),"")</f>
        <v/>
      </c>
      <c r="L153" s="72" t="str">
        <f>IFERROR(VLOOKUP($D153,'FERC 2022'!$EA$3:$EN$220,4,0),"")</f>
        <v/>
      </c>
      <c r="M153" s="72" t="str">
        <f>IFERROR(VLOOKUP($D153,'FERC 2023'!$EA$3:$EN$221,4,0),"")</f>
        <v/>
      </c>
      <c r="N153" s="72" t="str">
        <f>IFERROR(VLOOKUP($D153,'FERC 2021'!$EA$3:$EN$221,5,0),"")</f>
        <v/>
      </c>
      <c r="O153" s="72" t="str">
        <f>IFERROR(VLOOKUP($D153,'FERC 2022'!$EA$3:$EN$220,5,0),"")</f>
        <v/>
      </c>
      <c r="P153" s="72" t="str">
        <f>IFERROR(VLOOKUP($D153,'FERC 2023'!$EA$3:$EN$221,5,0),"")</f>
        <v/>
      </c>
      <c r="Q153" s="72" t="str">
        <f>IFERROR(VLOOKUP($D153,'FERC 2021'!$EA$3:$EN$221,6,0),"")</f>
        <v/>
      </c>
      <c r="R153" s="72" t="str">
        <f>IFERROR(VLOOKUP($D153,'FERC 2022'!$EA$3:$EN$220,6,0),"")</f>
        <v/>
      </c>
      <c r="S153" s="72" t="str">
        <f>IFERROR(VLOOKUP($D153,'FERC 2023'!$EA$3:$EN$221,6,0),"")</f>
        <v/>
      </c>
      <c r="T153" s="72" t="str">
        <f>IFERROR(VLOOKUP($D153,'FERC 2021'!$EA$3:$EN$221,7,0),"")</f>
        <v/>
      </c>
      <c r="U153" s="72" t="str">
        <f>IFERROR(VLOOKUP($D153,'FERC 2022'!$EA$3:$EN$220,7,0),"")</f>
        <v/>
      </c>
      <c r="V153" s="72" t="str">
        <f>IFERROR(VLOOKUP($D153,'FERC 2023'!$EA$3:$EN$221,7,0),"")</f>
        <v/>
      </c>
      <c r="W153" s="72" t="str">
        <f>IFERROR(VLOOKUP($D153,'FERC 2021'!$EA$3:$EN$221,8,0),"")</f>
        <v/>
      </c>
      <c r="X153" s="72" t="str">
        <f>IFERROR(VLOOKUP($D153,'FERC 2022'!$EA$3:$EN$220,8,0),"")</f>
        <v/>
      </c>
      <c r="Y153" s="72" t="str">
        <f>IFERROR(VLOOKUP($D153,'FERC 2023'!$EA$3:$EN$221,8,0),"")</f>
        <v/>
      </c>
      <c r="Z153" s="72" t="str">
        <f>IFERROR(VLOOKUP($D153,'FERC 2021'!$EA$3:$EN$222,9,0),"")</f>
        <v/>
      </c>
      <c r="AA153" s="72" t="str">
        <f>IFERROR(VLOOKUP($D153,'FERC 2022'!$EA$3:$EN$220,9,0),"")</f>
        <v/>
      </c>
      <c r="AB153" s="72" t="str">
        <f>IFERROR(VLOOKUP($D153,'FERC 2023'!$EA$3:$EN$221,9,0),"")</f>
        <v/>
      </c>
      <c r="AC153" s="72" t="str">
        <f>IFERROR(VLOOKUP($D153,'FERC 2021'!$EA$3:$EN$221,10,0),"")</f>
        <v/>
      </c>
      <c r="AD153" s="72" t="str">
        <f>IFERROR(VLOOKUP($D153,'FERC 2022'!$EA$3:$EN$220,10,0),"")</f>
        <v/>
      </c>
      <c r="AE153" s="72" t="str">
        <f>IFERROR(VLOOKUP($D153,'FERC 2023'!$EA$3:$EN$221,10,0),"")</f>
        <v/>
      </c>
      <c r="AF153" s="72" t="str">
        <f>IFERROR(VLOOKUP($D153,'FERC 2021'!$EA$3:$EN$221,11,0),"")</f>
        <v/>
      </c>
      <c r="AG153" s="72" t="str">
        <f>IFERROR(VLOOKUP($D153,'FERC 2022'!$EA$3:$EN$220,11,0),"")</f>
        <v/>
      </c>
      <c r="AH153" s="72" t="str">
        <f>IFERROR(VLOOKUP($D153,'FERC 2023'!$EA$3:$EN$221,11,0),"")</f>
        <v/>
      </c>
      <c r="AI153" s="72" t="str">
        <f>IFERROR(VLOOKUP($D153,'FERC 2021'!$EA$3:$EN$221,12,0),"")</f>
        <v/>
      </c>
      <c r="AJ153" s="72" t="str">
        <f>IFERROR(VLOOKUP($D153,'FERC 2022'!$EA$3:$EN$220,12,0),"")</f>
        <v/>
      </c>
      <c r="AK153" s="72" t="str">
        <f>IFERROR(VLOOKUP($D153,'FERC 2023'!$EA$3:$EN$221,12,0),"")</f>
        <v/>
      </c>
      <c r="AL153" s="72" t="str">
        <f>VLOOKUP($D153,'FERC 2021'!$EA$3:$EN$221,13,0)</f>
        <v/>
      </c>
      <c r="AM153" s="72" t="str">
        <f>VLOOKUP($D153,'FERC 2022'!$EA$3:$EN$220,13,0)</f>
        <v/>
      </c>
      <c r="AN153" s="72" t="str">
        <f>VLOOKUP($D153,'FERC 2023'!$EA$3:$EN$221,13,0)</f>
        <v/>
      </c>
      <c r="AO153" s="72" t="str">
        <f>IFERROR(VLOOKUP($D153,'FERC 2021'!$EA$3:$EN$221,14,0),"")</f>
        <v/>
      </c>
      <c r="AP153" s="72" t="str">
        <f>IFERROR(VLOOKUP($D153,'FERC 2022'!$EA$3:$EN$220,14,0),"")</f>
        <v/>
      </c>
      <c r="AQ153" s="72" t="str">
        <f>IFERROR(VLOOKUP($D153,'FERC 2023'!$EA$3:$EN$221,14,0),"")</f>
        <v/>
      </c>
    </row>
    <row r="154" spans="1:43" ht="15.75" hidden="1" customHeight="1">
      <c r="A154" s="7" t="s">
        <v>661</v>
      </c>
      <c r="B154" s="7" t="s">
        <v>662</v>
      </c>
      <c r="C154" s="311" t="str">
        <f>'BD DEA'!P154</f>
        <v/>
      </c>
      <c r="D154" s="44" t="str">
        <f t="shared" si="0"/>
        <v>C002045</v>
      </c>
      <c r="E154" s="72">
        <f>IFERROR(VLOOKUP($D154,'FERC 2021'!$EA$3:$EN$221,2,0),"")</f>
        <v>568904384.77194464</v>
      </c>
      <c r="F154" s="72">
        <f>IFERROR(VLOOKUP($D154,'FERC 2022'!$EA$3:$EN$220,2,0),"")</f>
        <v>566332811.91198111</v>
      </c>
      <c r="G154" s="72">
        <f>IFERROR(VLOOKUP($D154,'FERC 2023'!$EA$3:$EN$221,2,0),"")</f>
        <v>610072892.34324884</v>
      </c>
      <c r="H154" s="72">
        <f>IFERROR(VLOOKUP($D154,'FERC 2021'!$EA$3:$EN$225,3,0),"")</f>
        <v>30417835.013596505</v>
      </c>
      <c r="I154" s="72">
        <f>IFERROR(VLOOKUP($D154,'FERC 2022'!$EA$3:$EN$229,3,0),"")</f>
        <v>29953472.613575436</v>
      </c>
      <c r="J154" s="72">
        <f>IFERROR(VLOOKUP($D154,'FERC 2023'!$EA$3:$EN$229,3,0),"")</f>
        <v>30623171.05390016</v>
      </c>
      <c r="K154" s="72">
        <f>IFERROR(VLOOKUP($D154,'FERC 2021'!$EA$3:$EN$229,4,0),"")</f>
        <v>16959945.746655285</v>
      </c>
      <c r="L154" s="72">
        <f>IFERROR(VLOOKUP($D154,'FERC 2022'!$EA$3:$EN$220,4,0),"")</f>
        <v>16389241.338533083</v>
      </c>
      <c r="M154" s="72">
        <f>IFERROR(VLOOKUP($D154,'FERC 2023'!$EA$3:$EN$221,4,0),"")</f>
        <v>15034055.376641462</v>
      </c>
      <c r="N154" s="72">
        <f>IFERROR(VLOOKUP($D154,'FERC 2021'!$EA$3:$EN$221,5,0),"")</f>
        <v>6602471.8125991607</v>
      </c>
      <c r="O154" s="72">
        <f>IFERROR(VLOOKUP($D154,'FERC 2022'!$EA$3:$EN$220,5,0),"")</f>
        <v>6548633.1909480439</v>
      </c>
      <c r="P154" s="72">
        <f>IFERROR(VLOOKUP($D154,'FERC 2023'!$EA$3:$EN$221,5,0),"")</f>
        <v>6784251.4687738698</v>
      </c>
      <c r="Q154" s="72">
        <f>IFERROR(VLOOKUP($D154,'FERC 2021'!$EA$3:$EN$221,6,0),"")</f>
        <v>7939077.7468787665</v>
      </c>
      <c r="R154" s="72">
        <f>IFERROR(VLOOKUP($D154,'FERC 2022'!$EA$3:$EN$220,6,0),"")</f>
        <v>7827379.7995771114</v>
      </c>
      <c r="S154" s="72">
        <f>IFERROR(VLOOKUP($D154,'FERC 2023'!$EA$3:$EN$221,6,0),"")</f>
        <v>8056956.3633586252</v>
      </c>
      <c r="T154" s="72">
        <f>IFERROR(VLOOKUP($D154,'FERC 2021'!$EA$3:$EN$221,7,0),"")</f>
        <v>604</v>
      </c>
      <c r="U154" s="72">
        <f>IFERROR(VLOOKUP($D154,'FERC 2022'!$EA$3:$EN$220,7,0),"")</f>
        <v>590</v>
      </c>
      <c r="V154" s="72">
        <f>IFERROR(VLOOKUP($D154,'FERC 2023'!$EA$3:$EN$221,7,0),"")</f>
        <v>747</v>
      </c>
      <c r="W154" s="72">
        <f>IFERROR(VLOOKUP($D154,'FERC 2021'!$EA$3:$EN$221,8,0),"")</f>
        <v>144044</v>
      </c>
      <c r="X154" s="72">
        <f>IFERROR(VLOOKUP($D154,'FERC 2022'!$EA$3:$EN$220,8,0),"")</f>
        <v>144458</v>
      </c>
      <c r="Y154" s="72">
        <f>IFERROR(VLOOKUP($D154,'FERC 2023'!$EA$3:$EN$221,8,0),"")</f>
        <v>144895</v>
      </c>
      <c r="Z154" s="72">
        <f>IFERROR(VLOOKUP($D154,'FERC 2021'!$EA$3:$EN$222,9,0),"")</f>
        <v>255099</v>
      </c>
      <c r="AA154" s="72">
        <f>IFERROR(VLOOKUP($D154,'FERC 2022'!$EA$3:$EN$220,9,0),"")</f>
        <v>227556</v>
      </c>
      <c r="AB154" s="72">
        <f>IFERROR(VLOOKUP($D154,'FERC 2023'!$EA$3:$EN$221,9,0),"")</f>
        <v>280979</v>
      </c>
      <c r="AC154" s="72">
        <f>IFERROR(VLOOKUP($D154,'FERC 2021'!$EA$3:$EN$221,10,0),"")</f>
        <v>3271618</v>
      </c>
      <c r="AD154" s="72">
        <f>IFERROR(VLOOKUP($D154,'FERC 2022'!$EA$3:$EN$220,10,0),"")</f>
        <v>3343914</v>
      </c>
      <c r="AE154" s="72">
        <f>IFERROR(VLOOKUP($D154,'FERC 2023'!$EA$3:$EN$221,10,0),"")</f>
        <v>4196194</v>
      </c>
      <c r="AF154" s="72">
        <f>IFERROR(VLOOKUP($D154,'FERC 2021'!$EA$3:$EN$221,11,0),"")</f>
        <v>3525561.4822335024</v>
      </c>
      <c r="AG154" s="72">
        <f>IFERROR(VLOOKUP($D154,'FERC 2022'!$EA$3:$EN$220,11,0),"")</f>
        <v>3570663.8527918784</v>
      </c>
      <c r="AH154" s="72">
        <f>IFERROR(VLOOKUP($D154,'FERC 2023'!$EA$3:$EN$221,11,0),"")</f>
        <v>4476613.994923858</v>
      </c>
      <c r="AI154" s="72" t="str">
        <f>IFERROR(VLOOKUP($D154,'FERC 2021'!$EA$3:$EN$221,12,0),"")</f>
        <v/>
      </c>
      <c r="AJ154" s="72" t="str">
        <f>IFERROR(VLOOKUP($D154,'FERC 2022'!$EA$3:$EN$220,12,0),"")</f>
        <v/>
      </c>
      <c r="AK154" s="72" t="str">
        <f>IFERROR(VLOOKUP($D154,'FERC 2023'!$EA$3:$EN$221,12,0),"")</f>
        <v/>
      </c>
      <c r="AL154" s="72">
        <f>VLOOKUP($D154,'FERC 2021'!$EA$3:$EN$221,13,0)</f>
        <v>446536.4</v>
      </c>
      <c r="AM154" s="72">
        <f>VLOOKUP($D154,'FERC 2022'!$EA$3:$EN$220,13,0)</f>
        <v>173927.432</v>
      </c>
      <c r="AN154" s="72">
        <f>VLOOKUP($D154,'FERC 2023'!$EA$3:$EN$221,13,0)</f>
        <v>186479.86499999999</v>
      </c>
      <c r="AO154" s="72">
        <f>IFERROR(VLOOKUP($D154,'FERC 2021'!$EA$3:$EN$221,14,0),"")</f>
        <v>25554</v>
      </c>
      <c r="AP154" s="72">
        <f>IFERROR(VLOOKUP($D154,'FERC 2022'!$EA$3:$EN$220,14,0),"")</f>
        <v>25477</v>
      </c>
      <c r="AQ154" s="72">
        <f>IFERROR(VLOOKUP($D154,'FERC 2023'!$EA$3:$EN$221,14,0),"")</f>
        <v>25469</v>
      </c>
    </row>
    <row r="155" spans="1:43" ht="15.75" hidden="1" customHeight="1">
      <c r="A155" s="7" t="s">
        <v>664</v>
      </c>
      <c r="B155" s="7" t="s">
        <v>665</v>
      </c>
      <c r="C155" s="311" t="str">
        <f>'BD DEA'!P155</f>
        <v/>
      </c>
      <c r="D155" s="44" t="str">
        <f t="shared" si="0"/>
        <v>C002073</v>
      </c>
      <c r="E155" s="72" t="str">
        <f>IFERROR(VLOOKUP($D155,'FERC 2021'!$EA$3:$EN$221,2,0),"")</f>
        <v/>
      </c>
      <c r="F155" s="72" t="str">
        <f>IFERROR(VLOOKUP($D155,'FERC 2022'!$EA$3:$EN$220,2,0),"")</f>
        <v/>
      </c>
      <c r="G155" s="72" t="str">
        <f>IFERROR(VLOOKUP($D155,'FERC 2023'!$EA$3:$EN$221,2,0),"")</f>
        <v/>
      </c>
      <c r="H155" s="72" t="str">
        <f>IFERROR(VLOOKUP($D155,'FERC 2021'!$EA$3:$EN$225,3,0),"")</f>
        <v/>
      </c>
      <c r="I155" s="72" t="str">
        <f>IFERROR(VLOOKUP($D155,'FERC 2022'!$EA$3:$EN$229,3,0),"")</f>
        <v/>
      </c>
      <c r="J155" s="72" t="str">
        <f>IFERROR(VLOOKUP($D155,'FERC 2023'!$EA$3:$EN$229,3,0),"")</f>
        <v/>
      </c>
      <c r="K155" s="72" t="str">
        <f>IFERROR(VLOOKUP($D155,'FERC 2021'!$EA$3:$EN$229,4,0),"")</f>
        <v/>
      </c>
      <c r="L155" s="72" t="str">
        <f>IFERROR(VLOOKUP($D155,'FERC 2022'!$EA$3:$EN$220,4,0),"")</f>
        <v/>
      </c>
      <c r="M155" s="72" t="str">
        <f>IFERROR(VLOOKUP($D155,'FERC 2023'!$EA$3:$EN$221,4,0),"")</f>
        <v/>
      </c>
      <c r="N155" s="72" t="str">
        <f>IFERROR(VLOOKUP($D155,'FERC 2021'!$EA$3:$EN$221,5,0),"")</f>
        <v/>
      </c>
      <c r="O155" s="72" t="str">
        <f>IFERROR(VLOOKUP($D155,'FERC 2022'!$EA$3:$EN$220,5,0),"")</f>
        <v/>
      </c>
      <c r="P155" s="72" t="str">
        <f>IFERROR(VLOOKUP($D155,'FERC 2023'!$EA$3:$EN$221,5,0),"")</f>
        <v/>
      </c>
      <c r="Q155" s="72" t="str">
        <f>IFERROR(VLOOKUP($D155,'FERC 2021'!$EA$3:$EN$221,6,0),"")</f>
        <v/>
      </c>
      <c r="R155" s="72" t="str">
        <f>IFERROR(VLOOKUP($D155,'FERC 2022'!$EA$3:$EN$220,6,0),"")</f>
        <v/>
      </c>
      <c r="S155" s="72" t="str">
        <f>IFERROR(VLOOKUP($D155,'FERC 2023'!$EA$3:$EN$221,6,0),"")</f>
        <v/>
      </c>
      <c r="T155" s="72" t="str">
        <f>IFERROR(VLOOKUP($D155,'FERC 2021'!$EA$3:$EN$221,7,0),"")</f>
        <v/>
      </c>
      <c r="U155" s="72" t="str">
        <f>IFERROR(VLOOKUP($D155,'FERC 2022'!$EA$3:$EN$220,7,0),"")</f>
        <v/>
      </c>
      <c r="V155" s="72" t="str">
        <f>IFERROR(VLOOKUP($D155,'FERC 2023'!$EA$3:$EN$221,7,0),"")</f>
        <v/>
      </c>
      <c r="W155" s="72" t="str">
        <f>IFERROR(VLOOKUP($D155,'FERC 2021'!$EA$3:$EN$221,8,0),"")</f>
        <v/>
      </c>
      <c r="X155" s="72" t="str">
        <f>IFERROR(VLOOKUP($D155,'FERC 2022'!$EA$3:$EN$220,8,0),"")</f>
        <v/>
      </c>
      <c r="Y155" s="72" t="str">
        <f>IFERROR(VLOOKUP($D155,'FERC 2023'!$EA$3:$EN$221,8,0),"")</f>
        <v/>
      </c>
      <c r="Z155" s="72" t="str">
        <f>IFERROR(VLOOKUP($D155,'FERC 2021'!$EA$3:$EN$222,9,0),"")</f>
        <v/>
      </c>
      <c r="AA155" s="72" t="str">
        <f>IFERROR(VLOOKUP($D155,'FERC 2022'!$EA$3:$EN$220,9,0),"")</f>
        <v/>
      </c>
      <c r="AB155" s="72" t="str">
        <f>IFERROR(VLOOKUP($D155,'FERC 2023'!$EA$3:$EN$221,9,0),"")</f>
        <v/>
      </c>
      <c r="AC155" s="72" t="str">
        <f>IFERROR(VLOOKUP($D155,'FERC 2021'!$EA$3:$EN$221,10,0),"")</f>
        <v/>
      </c>
      <c r="AD155" s="72" t="str">
        <f>IFERROR(VLOOKUP($D155,'FERC 2022'!$EA$3:$EN$220,10,0),"")</f>
        <v/>
      </c>
      <c r="AE155" s="72" t="str">
        <f>IFERROR(VLOOKUP($D155,'FERC 2023'!$EA$3:$EN$221,10,0),"")</f>
        <v/>
      </c>
      <c r="AF155" s="72" t="str">
        <f>IFERROR(VLOOKUP($D155,'FERC 2021'!$EA$3:$EN$221,11,0),"")</f>
        <v/>
      </c>
      <c r="AG155" s="72" t="str">
        <f>IFERROR(VLOOKUP($D155,'FERC 2022'!$EA$3:$EN$220,11,0),"")</f>
        <v/>
      </c>
      <c r="AH155" s="72" t="str">
        <f>IFERROR(VLOOKUP($D155,'FERC 2023'!$EA$3:$EN$221,11,0),"")</f>
        <v/>
      </c>
      <c r="AI155" s="72" t="str">
        <f>IFERROR(VLOOKUP($D155,'FERC 2021'!$EA$3:$EN$221,12,0),"")</f>
        <v/>
      </c>
      <c r="AJ155" s="72" t="str">
        <f>IFERROR(VLOOKUP($D155,'FERC 2022'!$EA$3:$EN$220,12,0),"")</f>
        <v/>
      </c>
      <c r="AK155" s="72" t="str">
        <f>IFERROR(VLOOKUP($D155,'FERC 2023'!$EA$3:$EN$221,12,0),"")</f>
        <v/>
      </c>
      <c r="AL155" s="72" t="str">
        <f>VLOOKUP($D155,'FERC 2021'!$EA$3:$EN$221,13,0)</f>
        <v/>
      </c>
      <c r="AM155" s="72" t="str">
        <f>VLOOKUP($D155,'FERC 2022'!$EA$3:$EN$220,13,0)</f>
        <v/>
      </c>
      <c r="AN155" s="72" t="str">
        <f>VLOOKUP($D155,'FERC 2023'!$EA$3:$EN$221,13,0)</f>
        <v/>
      </c>
      <c r="AO155" s="72" t="str">
        <f>IFERROR(VLOOKUP($D155,'FERC 2021'!$EA$3:$EN$221,14,0),"")</f>
        <v/>
      </c>
      <c r="AP155" s="72" t="str">
        <f>IFERROR(VLOOKUP($D155,'FERC 2022'!$EA$3:$EN$220,14,0),"")</f>
        <v/>
      </c>
      <c r="AQ155" s="72" t="str">
        <f>IFERROR(VLOOKUP($D155,'FERC 2023'!$EA$3:$EN$221,14,0),"")</f>
        <v/>
      </c>
    </row>
    <row r="156" spans="1:43" ht="15.75" hidden="1" customHeight="1">
      <c r="A156" s="7" t="s">
        <v>667</v>
      </c>
      <c r="B156" s="7" t="s">
        <v>668</v>
      </c>
      <c r="C156" s="311" t="str">
        <f>'BD DEA'!P156</f>
        <v/>
      </c>
      <c r="D156" s="44" t="str">
        <f t="shared" si="0"/>
        <v>C002083</v>
      </c>
      <c r="E156" s="72" t="str">
        <f>IFERROR(VLOOKUP($D156,'FERC 2021'!$EA$3:$EN$221,2,0),"")</f>
        <v/>
      </c>
      <c r="F156" s="72" t="str">
        <f>IFERROR(VLOOKUP($D156,'FERC 2022'!$EA$3:$EN$220,2,0),"")</f>
        <v/>
      </c>
      <c r="G156" s="72" t="str">
        <f>IFERROR(VLOOKUP($D156,'FERC 2023'!$EA$3:$EN$221,2,0),"")</f>
        <v/>
      </c>
      <c r="H156" s="72" t="str">
        <f>IFERROR(VLOOKUP($D156,'FERC 2021'!$EA$3:$EN$225,3,0),"")</f>
        <v/>
      </c>
      <c r="I156" s="72" t="str">
        <f>IFERROR(VLOOKUP($D156,'FERC 2022'!$EA$3:$EN$229,3,0),"")</f>
        <v/>
      </c>
      <c r="J156" s="72" t="str">
        <f>IFERROR(VLOOKUP($D156,'FERC 2023'!$EA$3:$EN$229,3,0),"")</f>
        <v/>
      </c>
      <c r="K156" s="72" t="str">
        <f>IFERROR(VLOOKUP($D156,'FERC 2021'!$EA$3:$EN$229,4,0),"")</f>
        <v/>
      </c>
      <c r="L156" s="72" t="str">
        <f>IFERROR(VLOOKUP($D156,'FERC 2022'!$EA$3:$EN$220,4,0),"")</f>
        <v/>
      </c>
      <c r="M156" s="72" t="str">
        <f>IFERROR(VLOOKUP($D156,'FERC 2023'!$EA$3:$EN$221,4,0),"")</f>
        <v/>
      </c>
      <c r="N156" s="72" t="str">
        <f>IFERROR(VLOOKUP($D156,'FERC 2021'!$EA$3:$EN$221,5,0),"")</f>
        <v/>
      </c>
      <c r="O156" s="72" t="str">
        <f>IFERROR(VLOOKUP($D156,'FERC 2022'!$EA$3:$EN$220,5,0),"")</f>
        <v/>
      </c>
      <c r="P156" s="72" t="str">
        <f>IFERROR(VLOOKUP($D156,'FERC 2023'!$EA$3:$EN$221,5,0),"")</f>
        <v/>
      </c>
      <c r="Q156" s="72" t="str">
        <f>IFERROR(VLOOKUP($D156,'FERC 2021'!$EA$3:$EN$221,6,0),"")</f>
        <v/>
      </c>
      <c r="R156" s="72" t="str">
        <f>IFERROR(VLOOKUP($D156,'FERC 2022'!$EA$3:$EN$220,6,0),"")</f>
        <v/>
      </c>
      <c r="S156" s="72" t="str">
        <f>IFERROR(VLOOKUP($D156,'FERC 2023'!$EA$3:$EN$221,6,0),"")</f>
        <v/>
      </c>
      <c r="T156" s="72" t="str">
        <f>IFERROR(VLOOKUP($D156,'FERC 2021'!$EA$3:$EN$221,7,0),"")</f>
        <v/>
      </c>
      <c r="U156" s="72" t="str">
        <f>IFERROR(VLOOKUP($D156,'FERC 2022'!$EA$3:$EN$220,7,0),"")</f>
        <v/>
      </c>
      <c r="V156" s="72" t="str">
        <f>IFERROR(VLOOKUP($D156,'FERC 2023'!$EA$3:$EN$221,7,0),"")</f>
        <v/>
      </c>
      <c r="W156" s="72" t="str">
        <f>IFERROR(VLOOKUP($D156,'FERC 2021'!$EA$3:$EN$221,8,0),"")</f>
        <v/>
      </c>
      <c r="X156" s="72" t="str">
        <f>IFERROR(VLOOKUP($D156,'FERC 2022'!$EA$3:$EN$220,8,0),"")</f>
        <v/>
      </c>
      <c r="Y156" s="72" t="str">
        <f>IFERROR(VLOOKUP($D156,'FERC 2023'!$EA$3:$EN$221,8,0),"")</f>
        <v/>
      </c>
      <c r="Z156" s="72" t="str">
        <f>IFERROR(VLOOKUP($D156,'FERC 2021'!$EA$3:$EN$222,9,0),"")</f>
        <v/>
      </c>
      <c r="AA156" s="72" t="str">
        <f>IFERROR(VLOOKUP($D156,'FERC 2022'!$EA$3:$EN$220,9,0),"")</f>
        <v/>
      </c>
      <c r="AB156" s="72" t="str">
        <f>IFERROR(VLOOKUP($D156,'FERC 2023'!$EA$3:$EN$221,9,0),"")</f>
        <v/>
      </c>
      <c r="AC156" s="72" t="str">
        <f>IFERROR(VLOOKUP($D156,'FERC 2021'!$EA$3:$EN$221,10,0),"")</f>
        <v/>
      </c>
      <c r="AD156" s="72" t="str">
        <f>IFERROR(VLOOKUP($D156,'FERC 2022'!$EA$3:$EN$220,10,0),"")</f>
        <v/>
      </c>
      <c r="AE156" s="72" t="str">
        <f>IFERROR(VLOOKUP($D156,'FERC 2023'!$EA$3:$EN$221,10,0),"")</f>
        <v/>
      </c>
      <c r="AF156" s="72" t="str">
        <f>IFERROR(VLOOKUP($D156,'FERC 2021'!$EA$3:$EN$221,11,0),"")</f>
        <v/>
      </c>
      <c r="AG156" s="72" t="str">
        <f>IFERROR(VLOOKUP($D156,'FERC 2022'!$EA$3:$EN$220,11,0),"")</f>
        <v/>
      </c>
      <c r="AH156" s="72" t="str">
        <f>IFERROR(VLOOKUP($D156,'FERC 2023'!$EA$3:$EN$221,11,0),"")</f>
        <v/>
      </c>
      <c r="AI156" s="72" t="str">
        <f>IFERROR(VLOOKUP($D156,'FERC 2021'!$EA$3:$EN$221,12,0),"")</f>
        <v/>
      </c>
      <c r="AJ156" s="72" t="str">
        <f>IFERROR(VLOOKUP($D156,'FERC 2022'!$EA$3:$EN$220,12,0),"")</f>
        <v/>
      </c>
      <c r="AK156" s="72" t="str">
        <f>IFERROR(VLOOKUP($D156,'FERC 2023'!$EA$3:$EN$221,12,0),"")</f>
        <v/>
      </c>
      <c r="AL156" s="72" t="str">
        <f>VLOOKUP($D156,'FERC 2021'!$EA$3:$EN$221,13,0)</f>
        <v/>
      </c>
      <c r="AM156" s="72" t="str">
        <f>VLOOKUP($D156,'FERC 2022'!$EA$3:$EN$220,13,0)</f>
        <v/>
      </c>
      <c r="AN156" s="72" t="str">
        <f>VLOOKUP($D156,'FERC 2023'!$EA$3:$EN$221,13,0)</f>
        <v/>
      </c>
      <c r="AO156" s="72" t="str">
        <f>IFERROR(VLOOKUP($D156,'FERC 2021'!$EA$3:$EN$221,14,0),"")</f>
        <v/>
      </c>
      <c r="AP156" s="72" t="str">
        <f>IFERROR(VLOOKUP($D156,'FERC 2022'!$EA$3:$EN$220,14,0),"")</f>
        <v/>
      </c>
      <c r="AQ156" s="72" t="str">
        <f>IFERROR(VLOOKUP($D156,'FERC 2023'!$EA$3:$EN$221,14,0),"")</f>
        <v/>
      </c>
    </row>
    <row r="157" spans="1:43" ht="15.75" customHeight="1">
      <c r="A157" s="7" t="s">
        <v>670</v>
      </c>
      <c r="B157" s="7" t="s">
        <v>671</v>
      </c>
      <c r="C157" s="311">
        <f>'BD DEA'!P157</f>
        <v>1</v>
      </c>
      <c r="D157" s="44" t="str">
        <f t="shared" si="0"/>
        <v>C002089</v>
      </c>
      <c r="E157" s="72">
        <f>IFERROR(VLOOKUP($D157,'FERC 2021'!$EA$3:$EN$221,2,0),"")</f>
        <v>292371390.56825465</v>
      </c>
      <c r="F157" s="72">
        <f>IFERROR(VLOOKUP($D157,'FERC 2022'!$EA$3:$EN$220,2,0),"")</f>
        <v>325387384.5122</v>
      </c>
      <c r="G157" s="72">
        <f>IFERROR(VLOOKUP($D157,'FERC 2023'!$EA$3:$EN$221,2,0),"")</f>
        <v>350869534.28313196</v>
      </c>
      <c r="H157" s="72">
        <f>IFERROR(VLOOKUP($D157,'FERC 2021'!$EA$3:$EN$225,3,0),"")</f>
        <v>15170159.119834095</v>
      </c>
      <c r="I157" s="72">
        <f>IFERROR(VLOOKUP($D157,'FERC 2022'!$EA$3:$EN$229,3,0),"")</f>
        <v>15846222.593318058</v>
      </c>
      <c r="J157" s="72">
        <f>IFERROR(VLOOKUP($D157,'FERC 2023'!$EA$3:$EN$229,3,0),"")</f>
        <v>16146870.041076899</v>
      </c>
      <c r="K157" s="72">
        <f>IFERROR(VLOOKUP($D157,'FERC 2021'!$EA$3:$EN$229,4,0),"")</f>
        <v>13186737.267743468</v>
      </c>
      <c r="L157" s="72">
        <f>IFERROR(VLOOKUP($D157,'FERC 2022'!$EA$3:$EN$220,4,0),"")</f>
        <v>12850786.912476249</v>
      </c>
      <c r="M157" s="72">
        <f>IFERROR(VLOOKUP($D157,'FERC 2023'!$EA$3:$EN$221,4,0),"")</f>
        <v>13196722.160327531</v>
      </c>
      <c r="N157" s="72">
        <f>IFERROR(VLOOKUP($D157,'FERC 2021'!$EA$3:$EN$221,5,0),"")</f>
        <v>4353478.3891358795</v>
      </c>
      <c r="O157" s="72">
        <f>IFERROR(VLOOKUP($D157,'FERC 2022'!$EA$3:$EN$220,5,0),"")</f>
        <v>5763728.9479308529</v>
      </c>
      <c r="P157" s="72">
        <f>IFERROR(VLOOKUP($D157,'FERC 2023'!$EA$3:$EN$221,5,0),"")</f>
        <v>7013626.1274573989</v>
      </c>
      <c r="Q157" s="72">
        <f>IFERROR(VLOOKUP($D157,'FERC 2021'!$EA$3:$EN$221,6,0),"")</f>
        <v>7007977.4684938686</v>
      </c>
      <c r="R157" s="72">
        <f>IFERROR(VLOOKUP($D157,'FERC 2022'!$EA$3:$EN$220,6,0),"")</f>
        <v>6981295.6083517075</v>
      </c>
      <c r="S157" s="72">
        <f>IFERROR(VLOOKUP($D157,'FERC 2023'!$EA$3:$EN$221,6,0),"")</f>
        <v>7435205.4711134871</v>
      </c>
      <c r="T157" s="72">
        <f>IFERROR(VLOOKUP($D157,'FERC 2021'!$EA$3:$EN$221,7,0),"")</f>
        <v>216</v>
      </c>
      <c r="U157" s="72">
        <f>IFERROR(VLOOKUP($D157,'FERC 2022'!$EA$3:$EN$220,7,0),"")</f>
        <v>207</v>
      </c>
      <c r="V157" s="72">
        <f>IFERROR(VLOOKUP($D157,'FERC 2023'!$EA$3:$EN$221,7,0),"")</f>
        <v>195</v>
      </c>
      <c r="W157" s="72">
        <f>IFERROR(VLOOKUP($D157,'FERC 2021'!$EA$3:$EN$221,8,0),"")</f>
        <v>62630</v>
      </c>
      <c r="X157" s="72">
        <f>IFERROR(VLOOKUP($D157,'FERC 2022'!$EA$3:$EN$220,8,0),"")</f>
        <v>62692</v>
      </c>
      <c r="Y157" s="72">
        <f>IFERROR(VLOOKUP($D157,'FERC 2023'!$EA$3:$EN$221,8,0),"")</f>
        <v>62746</v>
      </c>
      <c r="Z157" s="72">
        <f>IFERROR(VLOOKUP($D157,'FERC 2021'!$EA$3:$EN$222,9,0),"")</f>
        <v>67686</v>
      </c>
      <c r="AA157" s="72">
        <f>IFERROR(VLOOKUP($D157,'FERC 2022'!$EA$3:$EN$220,9,0),"")</f>
        <v>75737</v>
      </c>
      <c r="AB157" s="72">
        <f>IFERROR(VLOOKUP($D157,'FERC 2023'!$EA$3:$EN$221,9,0),"")</f>
        <v>92567</v>
      </c>
      <c r="AC157" s="72">
        <f>IFERROR(VLOOKUP($D157,'FERC 2021'!$EA$3:$EN$221,10,0),"")</f>
        <v>995608</v>
      </c>
      <c r="AD157" s="72">
        <f>IFERROR(VLOOKUP($D157,'FERC 2022'!$EA$3:$EN$220,10,0),"")</f>
        <v>1001063</v>
      </c>
      <c r="AE157" s="72">
        <f>IFERROR(VLOOKUP($D157,'FERC 2023'!$EA$3:$EN$221,10,0),"")</f>
        <v>953997</v>
      </c>
      <c r="AF157" s="72">
        <f>IFERROR(VLOOKUP($D157,'FERC 2021'!$EA$3:$EN$221,11,0),"")</f>
        <v>1063291.883248731</v>
      </c>
      <c r="AG157" s="72">
        <f>IFERROR(VLOOKUP($D157,'FERC 2022'!$EA$3:$EN$220,11,0),"")</f>
        <v>1076797.883248731</v>
      </c>
      <c r="AH157" s="72">
        <f>IFERROR(VLOOKUP($D157,'FERC 2023'!$EA$3:$EN$221,11,0),"")</f>
        <v>1046562.0659898478</v>
      </c>
      <c r="AI157" s="72">
        <f>IFERROR(VLOOKUP($D157,'FERC 2021'!$EA$3:$EN$221,12,0),"")</f>
        <v>5693067</v>
      </c>
      <c r="AJ157" s="72">
        <f>IFERROR(VLOOKUP($D157,'FERC 2022'!$EA$3:$EN$220,12,0),"")</f>
        <v>6958812</v>
      </c>
      <c r="AK157" s="72">
        <f>IFERROR(VLOOKUP($D157,'FERC 2023'!$EA$3:$EN$221,12,0),"")</f>
        <v>5333410</v>
      </c>
      <c r="AL157" s="72">
        <f>VLOOKUP($D157,'FERC 2021'!$EA$3:$EN$221,13,0)</f>
        <v>69519.3</v>
      </c>
      <c r="AM157" s="72">
        <f>VLOOKUP($D157,'FERC 2022'!$EA$3:$EN$220,13,0)</f>
        <v>54542.04</v>
      </c>
      <c r="AN157" s="72">
        <f>VLOOKUP($D157,'FERC 2023'!$EA$3:$EN$221,13,0)</f>
        <v>52079.18</v>
      </c>
      <c r="AO157" s="72">
        <f>IFERROR(VLOOKUP($D157,'FERC 2021'!$EA$3:$EN$221,14,0),"")</f>
        <v>59404</v>
      </c>
      <c r="AP157" s="72">
        <f>IFERROR(VLOOKUP($D157,'FERC 2022'!$EA$3:$EN$220,14,0),"")</f>
        <v>59646</v>
      </c>
      <c r="AQ157" s="72">
        <f>IFERROR(VLOOKUP($D157,'FERC 2023'!$EA$3:$EN$221,14,0),"")</f>
        <v>58709</v>
      </c>
    </row>
    <row r="158" spans="1:43" ht="15.75" hidden="1" customHeight="1">
      <c r="A158" s="7" t="s">
        <v>673</v>
      </c>
      <c r="B158" s="7" t="s">
        <v>674</v>
      </c>
      <c r="C158" s="311" t="str">
        <f>'BD DEA'!P158</f>
        <v/>
      </c>
      <c r="D158" s="44" t="str">
        <f t="shared" si="0"/>
        <v>C002101</v>
      </c>
      <c r="E158" s="72" t="str">
        <f>IFERROR(VLOOKUP($D158,'FERC 2021'!$EA$3:$EN$221,2,0),"")</f>
        <v/>
      </c>
      <c r="F158" s="72" t="str">
        <f>IFERROR(VLOOKUP($D158,'FERC 2022'!$EA$3:$EN$220,2,0),"")</f>
        <v/>
      </c>
      <c r="G158" s="72" t="str">
        <f>IFERROR(VLOOKUP($D158,'FERC 2023'!$EA$3:$EN$221,2,0),"")</f>
        <v/>
      </c>
      <c r="H158" s="72" t="str">
        <f>IFERROR(VLOOKUP($D158,'FERC 2021'!$EA$3:$EN$225,3,0),"")</f>
        <v/>
      </c>
      <c r="I158" s="72" t="str">
        <f>IFERROR(VLOOKUP($D158,'FERC 2022'!$EA$3:$EN$229,3,0),"")</f>
        <v/>
      </c>
      <c r="J158" s="72" t="str">
        <f>IFERROR(VLOOKUP($D158,'FERC 2023'!$EA$3:$EN$229,3,0),"")</f>
        <v/>
      </c>
      <c r="K158" s="72" t="str">
        <f>IFERROR(VLOOKUP($D158,'FERC 2021'!$EA$3:$EN$229,4,0),"")</f>
        <v/>
      </c>
      <c r="L158" s="72" t="str">
        <f>IFERROR(VLOOKUP($D158,'FERC 2022'!$EA$3:$EN$220,4,0),"")</f>
        <v/>
      </c>
      <c r="M158" s="72" t="str">
        <f>IFERROR(VLOOKUP($D158,'FERC 2023'!$EA$3:$EN$221,4,0),"")</f>
        <v/>
      </c>
      <c r="N158" s="72" t="str">
        <f>IFERROR(VLOOKUP($D158,'FERC 2021'!$EA$3:$EN$221,5,0),"")</f>
        <v/>
      </c>
      <c r="O158" s="72" t="str">
        <f>IFERROR(VLOOKUP($D158,'FERC 2022'!$EA$3:$EN$220,5,0),"")</f>
        <v/>
      </c>
      <c r="P158" s="72" t="str">
        <f>IFERROR(VLOOKUP($D158,'FERC 2023'!$EA$3:$EN$221,5,0),"")</f>
        <v/>
      </c>
      <c r="Q158" s="72" t="str">
        <f>IFERROR(VLOOKUP($D158,'FERC 2021'!$EA$3:$EN$221,6,0),"")</f>
        <v/>
      </c>
      <c r="R158" s="72" t="str">
        <f>IFERROR(VLOOKUP($D158,'FERC 2022'!$EA$3:$EN$220,6,0),"")</f>
        <v/>
      </c>
      <c r="S158" s="72" t="str">
        <f>IFERROR(VLOOKUP($D158,'FERC 2023'!$EA$3:$EN$221,6,0),"")</f>
        <v/>
      </c>
      <c r="T158" s="72" t="str">
        <f>IFERROR(VLOOKUP($D158,'FERC 2021'!$EA$3:$EN$221,7,0),"")</f>
        <v/>
      </c>
      <c r="U158" s="72" t="str">
        <f>IFERROR(VLOOKUP($D158,'FERC 2022'!$EA$3:$EN$220,7,0),"")</f>
        <v/>
      </c>
      <c r="V158" s="72" t="str">
        <f>IFERROR(VLOOKUP($D158,'FERC 2023'!$EA$3:$EN$221,7,0),"")</f>
        <v/>
      </c>
      <c r="W158" s="72" t="str">
        <f>IFERROR(VLOOKUP($D158,'FERC 2021'!$EA$3:$EN$221,8,0),"")</f>
        <v/>
      </c>
      <c r="X158" s="72" t="str">
        <f>IFERROR(VLOOKUP($D158,'FERC 2022'!$EA$3:$EN$220,8,0),"")</f>
        <v/>
      </c>
      <c r="Y158" s="72" t="str">
        <f>IFERROR(VLOOKUP($D158,'FERC 2023'!$EA$3:$EN$221,8,0),"")</f>
        <v/>
      </c>
      <c r="Z158" s="72" t="str">
        <f>IFERROR(VLOOKUP($D158,'FERC 2021'!$EA$3:$EN$222,9,0),"")</f>
        <v/>
      </c>
      <c r="AA158" s="72" t="str">
        <f>IFERROR(VLOOKUP($D158,'FERC 2022'!$EA$3:$EN$220,9,0),"")</f>
        <v/>
      </c>
      <c r="AB158" s="72" t="str">
        <f>IFERROR(VLOOKUP($D158,'FERC 2023'!$EA$3:$EN$221,9,0),"")</f>
        <v/>
      </c>
      <c r="AC158" s="72" t="str">
        <f>IFERROR(VLOOKUP($D158,'FERC 2021'!$EA$3:$EN$221,10,0),"")</f>
        <v/>
      </c>
      <c r="AD158" s="72" t="str">
        <f>IFERROR(VLOOKUP($D158,'FERC 2022'!$EA$3:$EN$220,10,0),"")</f>
        <v/>
      </c>
      <c r="AE158" s="72" t="str">
        <f>IFERROR(VLOOKUP($D158,'FERC 2023'!$EA$3:$EN$221,10,0),"")</f>
        <v/>
      </c>
      <c r="AF158" s="72" t="str">
        <f>IFERROR(VLOOKUP($D158,'FERC 2021'!$EA$3:$EN$221,11,0),"")</f>
        <v/>
      </c>
      <c r="AG158" s="72" t="str">
        <f>IFERROR(VLOOKUP($D158,'FERC 2022'!$EA$3:$EN$220,11,0),"")</f>
        <v/>
      </c>
      <c r="AH158" s="72" t="str">
        <f>IFERROR(VLOOKUP($D158,'FERC 2023'!$EA$3:$EN$221,11,0),"")</f>
        <v/>
      </c>
      <c r="AI158" s="72" t="str">
        <f>IFERROR(VLOOKUP($D158,'FERC 2021'!$EA$3:$EN$221,12,0),"")</f>
        <v/>
      </c>
      <c r="AJ158" s="72" t="str">
        <f>IFERROR(VLOOKUP($D158,'FERC 2022'!$EA$3:$EN$220,12,0),"")</f>
        <v/>
      </c>
      <c r="AK158" s="72" t="str">
        <f>IFERROR(VLOOKUP($D158,'FERC 2023'!$EA$3:$EN$221,12,0),"")</f>
        <v/>
      </c>
      <c r="AL158" s="72" t="str">
        <f>VLOOKUP($D158,'FERC 2021'!$EA$3:$EN$221,13,0)</f>
        <v/>
      </c>
      <c r="AM158" s="72" t="str">
        <f>VLOOKUP($D158,'FERC 2022'!$EA$3:$EN$220,13,0)</f>
        <v/>
      </c>
      <c r="AN158" s="72" t="str">
        <f>VLOOKUP($D158,'FERC 2023'!$EA$3:$EN$221,13,0)</f>
        <v/>
      </c>
      <c r="AO158" s="72" t="str">
        <f>IFERROR(VLOOKUP($D158,'FERC 2021'!$EA$3:$EN$221,14,0),"")</f>
        <v/>
      </c>
      <c r="AP158" s="72" t="str">
        <f>IFERROR(VLOOKUP($D158,'FERC 2022'!$EA$3:$EN$220,14,0),"")</f>
        <v/>
      </c>
      <c r="AQ158" s="72" t="str">
        <f>IFERROR(VLOOKUP($D158,'FERC 2023'!$EA$3:$EN$221,14,0),"")</f>
        <v/>
      </c>
    </row>
    <row r="159" spans="1:43" ht="15.75" hidden="1" customHeight="1">
      <c r="A159" s="7" t="s">
        <v>676</v>
      </c>
      <c r="B159" s="7" t="s">
        <v>677</v>
      </c>
      <c r="C159" s="311" t="str">
        <f>'BD DEA'!P159</f>
        <v/>
      </c>
      <c r="D159" s="44" t="str">
        <f t="shared" si="0"/>
        <v>C002115</v>
      </c>
      <c r="E159" s="72" t="str">
        <f>IFERROR(VLOOKUP($D159,'FERC 2021'!$EA$3:$EN$221,2,0),"")</f>
        <v/>
      </c>
      <c r="F159" s="72" t="str">
        <f>IFERROR(VLOOKUP($D159,'FERC 2022'!$EA$3:$EN$220,2,0),"")</f>
        <v/>
      </c>
      <c r="G159" s="72" t="str">
        <f>IFERROR(VLOOKUP($D159,'FERC 2023'!$EA$3:$EN$221,2,0),"")</f>
        <v/>
      </c>
      <c r="H159" s="72" t="str">
        <f>IFERROR(VLOOKUP($D159,'FERC 2021'!$EA$3:$EN$225,3,0),"")</f>
        <v/>
      </c>
      <c r="I159" s="72" t="str">
        <f>IFERROR(VLOOKUP($D159,'FERC 2022'!$EA$3:$EN$229,3,0),"")</f>
        <v/>
      </c>
      <c r="J159" s="72" t="str">
        <f>IFERROR(VLOOKUP($D159,'FERC 2023'!$EA$3:$EN$229,3,0),"")</f>
        <v/>
      </c>
      <c r="K159" s="72" t="str">
        <f>IFERROR(VLOOKUP($D159,'FERC 2021'!$EA$3:$EN$229,4,0),"")</f>
        <v/>
      </c>
      <c r="L159" s="72" t="str">
        <f>IFERROR(VLOOKUP($D159,'FERC 2022'!$EA$3:$EN$220,4,0),"")</f>
        <v/>
      </c>
      <c r="M159" s="72" t="str">
        <f>IFERROR(VLOOKUP($D159,'FERC 2023'!$EA$3:$EN$221,4,0),"")</f>
        <v/>
      </c>
      <c r="N159" s="72" t="str">
        <f>IFERROR(VLOOKUP($D159,'FERC 2021'!$EA$3:$EN$221,5,0),"")</f>
        <v/>
      </c>
      <c r="O159" s="72" t="str">
        <f>IFERROR(VLOOKUP($D159,'FERC 2022'!$EA$3:$EN$220,5,0),"")</f>
        <v/>
      </c>
      <c r="P159" s="72" t="str">
        <f>IFERROR(VLOOKUP($D159,'FERC 2023'!$EA$3:$EN$221,5,0),"")</f>
        <v/>
      </c>
      <c r="Q159" s="72" t="str">
        <f>IFERROR(VLOOKUP($D159,'FERC 2021'!$EA$3:$EN$221,6,0),"")</f>
        <v/>
      </c>
      <c r="R159" s="72" t="str">
        <f>IFERROR(VLOOKUP($D159,'FERC 2022'!$EA$3:$EN$220,6,0),"")</f>
        <v/>
      </c>
      <c r="S159" s="72" t="str">
        <f>IFERROR(VLOOKUP($D159,'FERC 2023'!$EA$3:$EN$221,6,0),"")</f>
        <v/>
      </c>
      <c r="T159" s="72" t="str">
        <f>IFERROR(VLOOKUP($D159,'FERC 2021'!$EA$3:$EN$221,7,0),"")</f>
        <v/>
      </c>
      <c r="U159" s="72" t="str">
        <f>IFERROR(VLOOKUP($D159,'FERC 2022'!$EA$3:$EN$220,7,0),"")</f>
        <v/>
      </c>
      <c r="V159" s="72" t="str">
        <f>IFERROR(VLOOKUP($D159,'FERC 2023'!$EA$3:$EN$221,7,0),"")</f>
        <v/>
      </c>
      <c r="W159" s="72" t="str">
        <f>IFERROR(VLOOKUP($D159,'FERC 2021'!$EA$3:$EN$221,8,0),"")</f>
        <v/>
      </c>
      <c r="X159" s="72" t="str">
        <f>IFERROR(VLOOKUP($D159,'FERC 2022'!$EA$3:$EN$220,8,0),"")</f>
        <v/>
      </c>
      <c r="Y159" s="72" t="str">
        <f>IFERROR(VLOOKUP($D159,'FERC 2023'!$EA$3:$EN$221,8,0),"")</f>
        <v/>
      </c>
      <c r="Z159" s="72" t="str">
        <f>IFERROR(VLOOKUP($D159,'FERC 2021'!$EA$3:$EN$222,9,0),"")</f>
        <v/>
      </c>
      <c r="AA159" s="72" t="str">
        <f>IFERROR(VLOOKUP($D159,'FERC 2022'!$EA$3:$EN$220,9,0),"")</f>
        <v/>
      </c>
      <c r="AB159" s="72" t="str">
        <f>IFERROR(VLOOKUP($D159,'FERC 2023'!$EA$3:$EN$221,9,0),"")</f>
        <v/>
      </c>
      <c r="AC159" s="72" t="str">
        <f>IFERROR(VLOOKUP($D159,'FERC 2021'!$EA$3:$EN$221,10,0),"")</f>
        <v/>
      </c>
      <c r="AD159" s="72" t="str">
        <f>IFERROR(VLOOKUP($D159,'FERC 2022'!$EA$3:$EN$220,10,0),"")</f>
        <v/>
      </c>
      <c r="AE159" s="72" t="str">
        <f>IFERROR(VLOOKUP($D159,'FERC 2023'!$EA$3:$EN$221,10,0),"")</f>
        <v/>
      </c>
      <c r="AF159" s="72" t="str">
        <f>IFERROR(VLOOKUP($D159,'FERC 2021'!$EA$3:$EN$221,11,0),"")</f>
        <v/>
      </c>
      <c r="AG159" s="72" t="str">
        <f>IFERROR(VLOOKUP($D159,'FERC 2022'!$EA$3:$EN$220,11,0),"")</f>
        <v/>
      </c>
      <c r="AH159" s="72" t="str">
        <f>IFERROR(VLOOKUP($D159,'FERC 2023'!$EA$3:$EN$221,11,0),"")</f>
        <v/>
      </c>
      <c r="AI159" s="72" t="str">
        <f>IFERROR(VLOOKUP($D159,'FERC 2021'!$EA$3:$EN$221,12,0),"")</f>
        <v/>
      </c>
      <c r="AJ159" s="72" t="str">
        <f>IFERROR(VLOOKUP($D159,'FERC 2022'!$EA$3:$EN$220,12,0),"")</f>
        <v/>
      </c>
      <c r="AK159" s="72" t="str">
        <f>IFERROR(VLOOKUP($D159,'FERC 2023'!$EA$3:$EN$221,12,0),"")</f>
        <v/>
      </c>
      <c r="AL159" s="72" t="str">
        <f>VLOOKUP($D159,'FERC 2021'!$EA$3:$EN$221,13,0)</f>
        <v/>
      </c>
      <c r="AM159" s="72" t="str">
        <f>VLOOKUP($D159,'FERC 2022'!$EA$3:$EN$220,13,0)</f>
        <v/>
      </c>
      <c r="AN159" s="72" t="str">
        <f>VLOOKUP($D159,'FERC 2023'!$EA$3:$EN$221,13,0)</f>
        <v/>
      </c>
      <c r="AO159" s="72" t="str">
        <f>IFERROR(VLOOKUP($D159,'FERC 2021'!$EA$3:$EN$221,14,0),"")</f>
        <v/>
      </c>
      <c r="AP159" s="72" t="str">
        <f>IFERROR(VLOOKUP($D159,'FERC 2022'!$EA$3:$EN$220,14,0),"")</f>
        <v/>
      </c>
      <c r="AQ159" s="72" t="str">
        <f>IFERROR(VLOOKUP($D159,'FERC 2023'!$EA$3:$EN$221,14,0),"")</f>
        <v/>
      </c>
    </row>
    <row r="160" spans="1:43" ht="15.75" hidden="1" customHeight="1">
      <c r="A160" s="7" t="s">
        <v>679</v>
      </c>
      <c r="B160" s="7" t="s">
        <v>680</v>
      </c>
      <c r="C160" s="311" t="str">
        <f>'BD DEA'!P160</f>
        <v/>
      </c>
      <c r="D160" s="44" t="str">
        <f t="shared" si="0"/>
        <v>C002116</v>
      </c>
      <c r="E160" s="72" t="str">
        <f>IFERROR(VLOOKUP($D160,'FERC 2021'!$EA$3:$EN$221,2,0),"")</f>
        <v/>
      </c>
      <c r="F160" s="72" t="str">
        <f>IFERROR(VLOOKUP($D160,'FERC 2022'!$EA$3:$EN$220,2,0),"")</f>
        <v/>
      </c>
      <c r="G160" s="72" t="str">
        <f>IFERROR(VLOOKUP($D160,'FERC 2023'!$EA$3:$EN$221,2,0),"")</f>
        <v/>
      </c>
      <c r="H160" s="72" t="str">
        <f>IFERROR(VLOOKUP($D160,'FERC 2021'!$EA$3:$EN$225,3,0),"")</f>
        <v/>
      </c>
      <c r="I160" s="72" t="str">
        <f>IFERROR(VLOOKUP($D160,'FERC 2022'!$EA$3:$EN$229,3,0),"")</f>
        <v/>
      </c>
      <c r="J160" s="72" t="str">
        <f>IFERROR(VLOOKUP($D160,'FERC 2023'!$EA$3:$EN$229,3,0),"")</f>
        <v/>
      </c>
      <c r="K160" s="72" t="str">
        <f>IFERROR(VLOOKUP($D160,'FERC 2021'!$EA$3:$EN$229,4,0),"")</f>
        <v/>
      </c>
      <c r="L160" s="72" t="str">
        <f>IFERROR(VLOOKUP($D160,'FERC 2022'!$EA$3:$EN$220,4,0),"")</f>
        <v/>
      </c>
      <c r="M160" s="72" t="str">
        <f>IFERROR(VLOOKUP($D160,'FERC 2023'!$EA$3:$EN$221,4,0),"")</f>
        <v/>
      </c>
      <c r="N160" s="72" t="str">
        <f>IFERROR(VLOOKUP($D160,'FERC 2021'!$EA$3:$EN$221,5,0),"")</f>
        <v/>
      </c>
      <c r="O160" s="72" t="str">
        <f>IFERROR(VLOOKUP($D160,'FERC 2022'!$EA$3:$EN$220,5,0),"")</f>
        <v/>
      </c>
      <c r="P160" s="72" t="str">
        <f>IFERROR(VLOOKUP($D160,'FERC 2023'!$EA$3:$EN$221,5,0),"")</f>
        <v/>
      </c>
      <c r="Q160" s="72" t="str">
        <f>IFERROR(VLOOKUP($D160,'FERC 2021'!$EA$3:$EN$221,6,0),"")</f>
        <v/>
      </c>
      <c r="R160" s="72" t="str">
        <f>IFERROR(VLOOKUP($D160,'FERC 2022'!$EA$3:$EN$220,6,0),"")</f>
        <v/>
      </c>
      <c r="S160" s="72" t="str">
        <f>IFERROR(VLOOKUP($D160,'FERC 2023'!$EA$3:$EN$221,6,0),"")</f>
        <v/>
      </c>
      <c r="T160" s="72" t="str">
        <f>IFERROR(VLOOKUP($D160,'FERC 2021'!$EA$3:$EN$221,7,0),"")</f>
        <v/>
      </c>
      <c r="U160" s="72" t="str">
        <f>IFERROR(VLOOKUP($D160,'FERC 2022'!$EA$3:$EN$220,7,0),"")</f>
        <v/>
      </c>
      <c r="V160" s="72" t="str">
        <f>IFERROR(VLOOKUP($D160,'FERC 2023'!$EA$3:$EN$221,7,0),"")</f>
        <v/>
      </c>
      <c r="W160" s="72" t="str">
        <f>IFERROR(VLOOKUP($D160,'FERC 2021'!$EA$3:$EN$221,8,0),"")</f>
        <v/>
      </c>
      <c r="X160" s="72" t="str">
        <f>IFERROR(VLOOKUP($D160,'FERC 2022'!$EA$3:$EN$220,8,0),"")</f>
        <v/>
      </c>
      <c r="Y160" s="72" t="str">
        <f>IFERROR(VLOOKUP($D160,'FERC 2023'!$EA$3:$EN$221,8,0),"")</f>
        <v/>
      </c>
      <c r="Z160" s="72" t="str">
        <f>IFERROR(VLOOKUP($D160,'FERC 2021'!$EA$3:$EN$222,9,0),"")</f>
        <v/>
      </c>
      <c r="AA160" s="72" t="str">
        <f>IFERROR(VLOOKUP($D160,'FERC 2022'!$EA$3:$EN$220,9,0),"")</f>
        <v/>
      </c>
      <c r="AB160" s="72" t="str">
        <f>IFERROR(VLOOKUP($D160,'FERC 2023'!$EA$3:$EN$221,9,0),"")</f>
        <v/>
      </c>
      <c r="AC160" s="72" t="str">
        <f>IFERROR(VLOOKUP($D160,'FERC 2021'!$EA$3:$EN$221,10,0),"")</f>
        <v/>
      </c>
      <c r="AD160" s="72" t="str">
        <f>IFERROR(VLOOKUP($D160,'FERC 2022'!$EA$3:$EN$220,10,0),"")</f>
        <v/>
      </c>
      <c r="AE160" s="72" t="str">
        <f>IFERROR(VLOOKUP($D160,'FERC 2023'!$EA$3:$EN$221,10,0),"")</f>
        <v/>
      </c>
      <c r="AF160" s="72" t="str">
        <f>IFERROR(VLOOKUP($D160,'FERC 2021'!$EA$3:$EN$221,11,0),"")</f>
        <v/>
      </c>
      <c r="AG160" s="72" t="str">
        <f>IFERROR(VLOOKUP($D160,'FERC 2022'!$EA$3:$EN$220,11,0),"")</f>
        <v/>
      </c>
      <c r="AH160" s="72" t="str">
        <f>IFERROR(VLOOKUP($D160,'FERC 2023'!$EA$3:$EN$221,11,0),"")</f>
        <v/>
      </c>
      <c r="AI160" s="72" t="str">
        <f>IFERROR(VLOOKUP($D160,'FERC 2021'!$EA$3:$EN$221,12,0),"")</f>
        <v/>
      </c>
      <c r="AJ160" s="72" t="str">
        <f>IFERROR(VLOOKUP($D160,'FERC 2022'!$EA$3:$EN$220,12,0),"")</f>
        <v/>
      </c>
      <c r="AK160" s="72" t="str">
        <f>IFERROR(VLOOKUP($D160,'FERC 2023'!$EA$3:$EN$221,12,0),"")</f>
        <v/>
      </c>
      <c r="AL160" s="72" t="str">
        <f>VLOOKUP($D160,'FERC 2021'!$EA$3:$EN$221,13,0)</f>
        <v/>
      </c>
      <c r="AM160" s="72" t="str">
        <f>VLOOKUP($D160,'FERC 2022'!$EA$3:$EN$220,13,0)</f>
        <v/>
      </c>
      <c r="AN160" s="72" t="str">
        <f>VLOOKUP($D160,'FERC 2023'!$EA$3:$EN$221,13,0)</f>
        <v/>
      </c>
      <c r="AO160" s="72" t="str">
        <f>IFERROR(VLOOKUP($D160,'FERC 2021'!$EA$3:$EN$221,14,0),"")</f>
        <v/>
      </c>
      <c r="AP160" s="72" t="str">
        <f>IFERROR(VLOOKUP($D160,'FERC 2022'!$EA$3:$EN$220,14,0),"")</f>
        <v/>
      </c>
      <c r="AQ160" s="72" t="str">
        <f>IFERROR(VLOOKUP($D160,'FERC 2023'!$EA$3:$EN$221,14,0),"")</f>
        <v/>
      </c>
    </row>
    <row r="161" spans="1:43" ht="15.75" hidden="1" customHeight="1">
      <c r="A161" s="7" t="s">
        <v>682</v>
      </c>
      <c r="B161" s="7" t="s">
        <v>683</v>
      </c>
      <c r="C161" s="311" t="str">
        <f>'BD DEA'!P161</f>
        <v/>
      </c>
      <c r="D161" s="44" t="str">
        <f t="shared" si="0"/>
        <v>C002196</v>
      </c>
      <c r="E161" s="72" t="str">
        <f>IFERROR(VLOOKUP($D161,'FERC 2021'!$EA$3:$EN$221,2,0),"")</f>
        <v/>
      </c>
      <c r="F161" s="72" t="str">
        <f>IFERROR(VLOOKUP($D161,'FERC 2022'!$EA$3:$EN$220,2,0),"")</f>
        <v/>
      </c>
      <c r="G161" s="72" t="str">
        <f>IFERROR(VLOOKUP($D161,'FERC 2023'!$EA$3:$EN$221,2,0),"")</f>
        <v/>
      </c>
      <c r="H161" s="72" t="str">
        <f>IFERROR(VLOOKUP($D161,'FERC 2021'!$EA$3:$EN$225,3,0),"")</f>
        <v/>
      </c>
      <c r="I161" s="72" t="str">
        <f>IFERROR(VLOOKUP($D161,'FERC 2022'!$EA$3:$EN$229,3,0),"")</f>
        <v/>
      </c>
      <c r="J161" s="72" t="str">
        <f>IFERROR(VLOOKUP($D161,'FERC 2023'!$EA$3:$EN$229,3,0),"")</f>
        <v/>
      </c>
      <c r="K161" s="72" t="str">
        <f>IFERROR(VLOOKUP($D161,'FERC 2021'!$EA$3:$EN$229,4,0),"")</f>
        <v/>
      </c>
      <c r="L161" s="72" t="str">
        <f>IFERROR(VLOOKUP($D161,'FERC 2022'!$EA$3:$EN$220,4,0),"")</f>
        <v/>
      </c>
      <c r="M161" s="72" t="str">
        <f>IFERROR(VLOOKUP($D161,'FERC 2023'!$EA$3:$EN$221,4,0),"")</f>
        <v/>
      </c>
      <c r="N161" s="72" t="str">
        <f>IFERROR(VLOOKUP($D161,'FERC 2021'!$EA$3:$EN$221,5,0),"")</f>
        <v/>
      </c>
      <c r="O161" s="72" t="str">
        <f>IFERROR(VLOOKUP($D161,'FERC 2022'!$EA$3:$EN$220,5,0),"")</f>
        <v/>
      </c>
      <c r="P161" s="72" t="str">
        <f>IFERROR(VLOOKUP($D161,'FERC 2023'!$EA$3:$EN$221,5,0),"")</f>
        <v/>
      </c>
      <c r="Q161" s="72" t="str">
        <f>IFERROR(VLOOKUP($D161,'FERC 2021'!$EA$3:$EN$221,6,0),"")</f>
        <v/>
      </c>
      <c r="R161" s="72" t="str">
        <f>IFERROR(VLOOKUP($D161,'FERC 2022'!$EA$3:$EN$220,6,0),"")</f>
        <v/>
      </c>
      <c r="S161" s="72" t="str">
        <f>IFERROR(VLOOKUP($D161,'FERC 2023'!$EA$3:$EN$221,6,0),"")</f>
        <v/>
      </c>
      <c r="T161" s="72" t="str">
        <f>IFERROR(VLOOKUP($D161,'FERC 2021'!$EA$3:$EN$221,7,0),"")</f>
        <v/>
      </c>
      <c r="U161" s="72" t="str">
        <f>IFERROR(VLOOKUP($D161,'FERC 2022'!$EA$3:$EN$220,7,0),"")</f>
        <v/>
      </c>
      <c r="V161" s="72" t="str">
        <f>IFERROR(VLOOKUP($D161,'FERC 2023'!$EA$3:$EN$221,7,0),"")</f>
        <v/>
      </c>
      <c r="W161" s="72" t="str">
        <f>IFERROR(VLOOKUP($D161,'FERC 2021'!$EA$3:$EN$221,8,0),"")</f>
        <v/>
      </c>
      <c r="X161" s="72" t="str">
        <f>IFERROR(VLOOKUP($D161,'FERC 2022'!$EA$3:$EN$220,8,0),"")</f>
        <v/>
      </c>
      <c r="Y161" s="72" t="str">
        <f>IFERROR(VLOOKUP($D161,'FERC 2023'!$EA$3:$EN$221,8,0),"")</f>
        <v/>
      </c>
      <c r="Z161" s="72" t="str">
        <f>IFERROR(VLOOKUP($D161,'FERC 2021'!$EA$3:$EN$222,9,0),"")</f>
        <v/>
      </c>
      <c r="AA161" s="72" t="str">
        <f>IFERROR(VLOOKUP($D161,'FERC 2022'!$EA$3:$EN$220,9,0),"")</f>
        <v/>
      </c>
      <c r="AB161" s="72" t="str">
        <f>IFERROR(VLOOKUP($D161,'FERC 2023'!$EA$3:$EN$221,9,0),"")</f>
        <v/>
      </c>
      <c r="AC161" s="72" t="str">
        <f>IFERROR(VLOOKUP($D161,'FERC 2021'!$EA$3:$EN$221,10,0),"")</f>
        <v/>
      </c>
      <c r="AD161" s="72" t="str">
        <f>IFERROR(VLOOKUP($D161,'FERC 2022'!$EA$3:$EN$220,10,0),"")</f>
        <v/>
      </c>
      <c r="AE161" s="72" t="str">
        <f>IFERROR(VLOOKUP($D161,'FERC 2023'!$EA$3:$EN$221,10,0),"")</f>
        <v/>
      </c>
      <c r="AF161" s="72" t="str">
        <f>IFERROR(VLOOKUP($D161,'FERC 2021'!$EA$3:$EN$221,11,0),"")</f>
        <v/>
      </c>
      <c r="AG161" s="72" t="str">
        <f>IFERROR(VLOOKUP($D161,'FERC 2022'!$EA$3:$EN$220,11,0),"")</f>
        <v/>
      </c>
      <c r="AH161" s="72" t="str">
        <f>IFERROR(VLOOKUP($D161,'FERC 2023'!$EA$3:$EN$221,11,0),"")</f>
        <v/>
      </c>
      <c r="AI161" s="72" t="str">
        <f>IFERROR(VLOOKUP($D161,'FERC 2021'!$EA$3:$EN$221,12,0),"")</f>
        <v/>
      </c>
      <c r="AJ161" s="72" t="str">
        <f>IFERROR(VLOOKUP($D161,'FERC 2022'!$EA$3:$EN$220,12,0),"")</f>
        <v/>
      </c>
      <c r="AK161" s="72" t="str">
        <f>IFERROR(VLOOKUP($D161,'FERC 2023'!$EA$3:$EN$221,12,0),"")</f>
        <v/>
      </c>
      <c r="AL161" s="72" t="str">
        <f>VLOOKUP($D161,'FERC 2021'!$EA$3:$EN$221,13,0)</f>
        <v/>
      </c>
      <c r="AM161" s="72" t="str">
        <f>VLOOKUP($D161,'FERC 2022'!$EA$3:$EN$220,13,0)</f>
        <v/>
      </c>
      <c r="AN161" s="72" t="str">
        <f>VLOOKUP($D161,'FERC 2023'!$EA$3:$EN$221,13,0)</f>
        <v/>
      </c>
      <c r="AO161" s="72" t="str">
        <f>IFERROR(VLOOKUP($D161,'FERC 2021'!$EA$3:$EN$221,14,0),"")</f>
        <v/>
      </c>
      <c r="AP161" s="72" t="str">
        <f>IFERROR(VLOOKUP($D161,'FERC 2022'!$EA$3:$EN$220,14,0),"")</f>
        <v/>
      </c>
      <c r="AQ161" s="72" t="str">
        <f>IFERROR(VLOOKUP($D161,'FERC 2023'!$EA$3:$EN$221,14,0),"")</f>
        <v/>
      </c>
    </row>
    <row r="162" spans="1:43" ht="15.75" hidden="1" customHeight="1">
      <c r="A162" s="7" t="s">
        <v>685</v>
      </c>
      <c r="B162" s="7" t="s">
        <v>686</v>
      </c>
      <c r="C162" s="311" t="str">
        <f>'BD DEA'!P162</f>
        <v/>
      </c>
      <c r="D162" s="44" t="str">
        <f t="shared" si="0"/>
        <v>C002308</v>
      </c>
      <c r="E162" s="72" t="str">
        <f>IFERROR(VLOOKUP($D162,'FERC 2021'!$EA$3:$EN$221,2,0),"")</f>
        <v/>
      </c>
      <c r="F162" s="72" t="str">
        <f>IFERROR(VLOOKUP($D162,'FERC 2022'!$EA$3:$EN$220,2,0),"")</f>
        <v/>
      </c>
      <c r="G162" s="72" t="str">
        <f>IFERROR(VLOOKUP($D162,'FERC 2023'!$EA$3:$EN$221,2,0),"")</f>
        <v/>
      </c>
      <c r="H162" s="72" t="str">
        <f>IFERROR(VLOOKUP($D162,'FERC 2021'!$EA$3:$EN$225,3,0),"")</f>
        <v/>
      </c>
      <c r="I162" s="72" t="str">
        <f>IFERROR(VLOOKUP($D162,'FERC 2022'!$EA$3:$EN$229,3,0),"")</f>
        <v/>
      </c>
      <c r="J162" s="72" t="str">
        <f>IFERROR(VLOOKUP($D162,'FERC 2023'!$EA$3:$EN$229,3,0),"")</f>
        <v/>
      </c>
      <c r="K162" s="72" t="str">
        <f>IFERROR(VLOOKUP($D162,'FERC 2021'!$EA$3:$EN$229,4,0),"")</f>
        <v/>
      </c>
      <c r="L162" s="72" t="str">
        <f>IFERROR(VLOOKUP($D162,'FERC 2022'!$EA$3:$EN$220,4,0),"")</f>
        <v/>
      </c>
      <c r="M162" s="72" t="str">
        <f>IFERROR(VLOOKUP($D162,'FERC 2023'!$EA$3:$EN$221,4,0),"")</f>
        <v/>
      </c>
      <c r="N162" s="72" t="str">
        <f>IFERROR(VLOOKUP($D162,'FERC 2021'!$EA$3:$EN$221,5,0),"")</f>
        <v/>
      </c>
      <c r="O162" s="72" t="str">
        <f>IFERROR(VLOOKUP($D162,'FERC 2022'!$EA$3:$EN$220,5,0),"")</f>
        <v/>
      </c>
      <c r="P162" s="72" t="str">
        <f>IFERROR(VLOOKUP($D162,'FERC 2023'!$EA$3:$EN$221,5,0),"")</f>
        <v/>
      </c>
      <c r="Q162" s="72" t="str">
        <f>IFERROR(VLOOKUP($D162,'FERC 2021'!$EA$3:$EN$221,6,0),"")</f>
        <v/>
      </c>
      <c r="R162" s="72" t="str">
        <f>IFERROR(VLOOKUP($D162,'FERC 2022'!$EA$3:$EN$220,6,0),"")</f>
        <v/>
      </c>
      <c r="S162" s="72" t="str">
        <f>IFERROR(VLOOKUP($D162,'FERC 2023'!$EA$3:$EN$221,6,0),"")</f>
        <v/>
      </c>
      <c r="T162" s="72" t="str">
        <f>IFERROR(VLOOKUP($D162,'FERC 2021'!$EA$3:$EN$221,7,0),"")</f>
        <v/>
      </c>
      <c r="U162" s="72" t="str">
        <f>IFERROR(VLOOKUP($D162,'FERC 2022'!$EA$3:$EN$220,7,0),"")</f>
        <v/>
      </c>
      <c r="V162" s="72" t="str">
        <f>IFERROR(VLOOKUP($D162,'FERC 2023'!$EA$3:$EN$221,7,0),"")</f>
        <v/>
      </c>
      <c r="W162" s="72" t="str">
        <f>IFERROR(VLOOKUP($D162,'FERC 2021'!$EA$3:$EN$221,8,0),"")</f>
        <v/>
      </c>
      <c r="X162" s="72" t="str">
        <f>IFERROR(VLOOKUP($D162,'FERC 2022'!$EA$3:$EN$220,8,0),"")</f>
        <v/>
      </c>
      <c r="Y162" s="72" t="str">
        <f>IFERROR(VLOOKUP($D162,'FERC 2023'!$EA$3:$EN$221,8,0),"")</f>
        <v/>
      </c>
      <c r="Z162" s="72" t="str">
        <f>IFERROR(VLOOKUP($D162,'FERC 2021'!$EA$3:$EN$222,9,0),"")</f>
        <v/>
      </c>
      <c r="AA162" s="72" t="str">
        <f>IFERROR(VLOOKUP($D162,'FERC 2022'!$EA$3:$EN$220,9,0),"")</f>
        <v/>
      </c>
      <c r="AB162" s="72" t="str">
        <f>IFERROR(VLOOKUP($D162,'FERC 2023'!$EA$3:$EN$221,9,0),"")</f>
        <v/>
      </c>
      <c r="AC162" s="72" t="str">
        <f>IFERROR(VLOOKUP($D162,'FERC 2021'!$EA$3:$EN$221,10,0),"")</f>
        <v/>
      </c>
      <c r="AD162" s="72" t="str">
        <f>IFERROR(VLOOKUP($D162,'FERC 2022'!$EA$3:$EN$220,10,0),"")</f>
        <v/>
      </c>
      <c r="AE162" s="72" t="str">
        <f>IFERROR(VLOOKUP($D162,'FERC 2023'!$EA$3:$EN$221,10,0),"")</f>
        <v/>
      </c>
      <c r="AF162" s="72" t="str">
        <f>IFERROR(VLOOKUP($D162,'FERC 2021'!$EA$3:$EN$221,11,0),"")</f>
        <v/>
      </c>
      <c r="AG162" s="72" t="str">
        <f>IFERROR(VLOOKUP($D162,'FERC 2022'!$EA$3:$EN$220,11,0),"")</f>
        <v/>
      </c>
      <c r="AH162" s="72" t="str">
        <f>IFERROR(VLOOKUP($D162,'FERC 2023'!$EA$3:$EN$221,11,0),"")</f>
        <v/>
      </c>
      <c r="AI162" s="72" t="str">
        <f>IFERROR(VLOOKUP($D162,'FERC 2021'!$EA$3:$EN$221,12,0),"")</f>
        <v/>
      </c>
      <c r="AJ162" s="72" t="str">
        <f>IFERROR(VLOOKUP($D162,'FERC 2022'!$EA$3:$EN$220,12,0),"")</f>
        <v/>
      </c>
      <c r="AK162" s="72" t="str">
        <f>IFERROR(VLOOKUP($D162,'FERC 2023'!$EA$3:$EN$221,12,0),"")</f>
        <v/>
      </c>
      <c r="AL162" s="72" t="str">
        <f>VLOOKUP($D162,'FERC 2021'!$EA$3:$EN$221,13,0)</f>
        <v/>
      </c>
      <c r="AM162" s="72" t="str">
        <f>VLOOKUP($D162,'FERC 2022'!$EA$3:$EN$220,13,0)</f>
        <v/>
      </c>
      <c r="AN162" s="72" t="str">
        <f>VLOOKUP($D162,'FERC 2023'!$EA$3:$EN$221,13,0)</f>
        <v/>
      </c>
      <c r="AO162" s="72" t="str">
        <f>IFERROR(VLOOKUP($D162,'FERC 2021'!$EA$3:$EN$221,14,0),"")</f>
        <v/>
      </c>
      <c r="AP162" s="72" t="str">
        <f>IFERROR(VLOOKUP($D162,'FERC 2022'!$EA$3:$EN$220,14,0),"")</f>
        <v/>
      </c>
      <c r="AQ162" s="72" t="str">
        <f>IFERROR(VLOOKUP($D162,'FERC 2023'!$EA$3:$EN$221,14,0),"")</f>
        <v/>
      </c>
    </row>
    <row r="163" spans="1:43" ht="15.75" hidden="1" customHeight="1">
      <c r="A163" s="7" t="s">
        <v>688</v>
      </c>
      <c r="B163" s="7" t="s">
        <v>689</v>
      </c>
      <c r="C163" s="311" t="str">
        <f>'BD DEA'!P163</f>
        <v/>
      </c>
      <c r="D163" s="44" t="str">
        <f t="shared" si="0"/>
        <v>C002335</v>
      </c>
      <c r="E163" s="72" t="str">
        <f>IFERROR(VLOOKUP($D163,'FERC 2021'!$EA$3:$EN$221,2,0),"")</f>
        <v/>
      </c>
      <c r="F163" s="72" t="str">
        <f>IFERROR(VLOOKUP($D163,'FERC 2022'!$EA$3:$EN$220,2,0),"")</f>
        <v/>
      </c>
      <c r="G163" s="72" t="str">
        <f>IFERROR(VLOOKUP($D163,'FERC 2023'!$EA$3:$EN$221,2,0),"")</f>
        <v/>
      </c>
      <c r="H163" s="72" t="str">
        <f>IFERROR(VLOOKUP($D163,'FERC 2021'!$EA$3:$EN$225,3,0),"")</f>
        <v/>
      </c>
      <c r="I163" s="72" t="str">
        <f>IFERROR(VLOOKUP($D163,'FERC 2022'!$EA$3:$EN$229,3,0),"")</f>
        <v/>
      </c>
      <c r="J163" s="72" t="str">
        <f>IFERROR(VLOOKUP($D163,'FERC 2023'!$EA$3:$EN$229,3,0),"")</f>
        <v/>
      </c>
      <c r="K163" s="72" t="str">
        <f>IFERROR(VLOOKUP($D163,'FERC 2021'!$EA$3:$EN$229,4,0),"")</f>
        <v/>
      </c>
      <c r="L163" s="72" t="str">
        <f>IFERROR(VLOOKUP($D163,'FERC 2022'!$EA$3:$EN$220,4,0),"")</f>
        <v/>
      </c>
      <c r="M163" s="72" t="str">
        <f>IFERROR(VLOOKUP($D163,'FERC 2023'!$EA$3:$EN$221,4,0),"")</f>
        <v/>
      </c>
      <c r="N163" s="72" t="str">
        <f>IFERROR(VLOOKUP($D163,'FERC 2021'!$EA$3:$EN$221,5,0),"")</f>
        <v/>
      </c>
      <c r="O163" s="72" t="str">
        <f>IFERROR(VLOOKUP($D163,'FERC 2022'!$EA$3:$EN$220,5,0),"")</f>
        <v/>
      </c>
      <c r="P163" s="72" t="str">
        <f>IFERROR(VLOOKUP($D163,'FERC 2023'!$EA$3:$EN$221,5,0),"")</f>
        <v/>
      </c>
      <c r="Q163" s="72" t="str">
        <f>IFERROR(VLOOKUP($D163,'FERC 2021'!$EA$3:$EN$221,6,0),"")</f>
        <v/>
      </c>
      <c r="R163" s="72" t="str">
        <f>IFERROR(VLOOKUP($D163,'FERC 2022'!$EA$3:$EN$220,6,0),"")</f>
        <v/>
      </c>
      <c r="S163" s="72" t="str">
        <f>IFERROR(VLOOKUP($D163,'FERC 2023'!$EA$3:$EN$221,6,0),"")</f>
        <v/>
      </c>
      <c r="T163" s="72" t="str">
        <f>IFERROR(VLOOKUP($D163,'FERC 2021'!$EA$3:$EN$221,7,0),"")</f>
        <v/>
      </c>
      <c r="U163" s="72" t="str">
        <f>IFERROR(VLOOKUP($D163,'FERC 2022'!$EA$3:$EN$220,7,0),"")</f>
        <v/>
      </c>
      <c r="V163" s="72" t="str">
        <f>IFERROR(VLOOKUP($D163,'FERC 2023'!$EA$3:$EN$221,7,0),"")</f>
        <v/>
      </c>
      <c r="W163" s="72" t="str">
        <f>IFERROR(VLOOKUP($D163,'FERC 2021'!$EA$3:$EN$221,8,0),"")</f>
        <v/>
      </c>
      <c r="X163" s="72" t="str">
        <f>IFERROR(VLOOKUP($D163,'FERC 2022'!$EA$3:$EN$220,8,0),"")</f>
        <v/>
      </c>
      <c r="Y163" s="72" t="str">
        <f>IFERROR(VLOOKUP($D163,'FERC 2023'!$EA$3:$EN$221,8,0),"")</f>
        <v/>
      </c>
      <c r="Z163" s="72" t="str">
        <f>IFERROR(VLOOKUP($D163,'FERC 2021'!$EA$3:$EN$222,9,0),"")</f>
        <v/>
      </c>
      <c r="AA163" s="72" t="str">
        <f>IFERROR(VLOOKUP($D163,'FERC 2022'!$EA$3:$EN$220,9,0),"")</f>
        <v/>
      </c>
      <c r="AB163" s="72" t="str">
        <f>IFERROR(VLOOKUP($D163,'FERC 2023'!$EA$3:$EN$221,9,0),"")</f>
        <v/>
      </c>
      <c r="AC163" s="72" t="str">
        <f>IFERROR(VLOOKUP($D163,'FERC 2021'!$EA$3:$EN$221,10,0),"")</f>
        <v/>
      </c>
      <c r="AD163" s="72" t="str">
        <f>IFERROR(VLOOKUP($D163,'FERC 2022'!$EA$3:$EN$220,10,0),"")</f>
        <v/>
      </c>
      <c r="AE163" s="72" t="str">
        <f>IFERROR(VLOOKUP($D163,'FERC 2023'!$EA$3:$EN$221,10,0),"")</f>
        <v/>
      </c>
      <c r="AF163" s="72" t="str">
        <f>IFERROR(VLOOKUP($D163,'FERC 2021'!$EA$3:$EN$221,11,0),"")</f>
        <v/>
      </c>
      <c r="AG163" s="72" t="str">
        <f>IFERROR(VLOOKUP($D163,'FERC 2022'!$EA$3:$EN$220,11,0),"")</f>
        <v/>
      </c>
      <c r="AH163" s="72" t="str">
        <f>IFERROR(VLOOKUP($D163,'FERC 2023'!$EA$3:$EN$221,11,0),"")</f>
        <v/>
      </c>
      <c r="AI163" s="72" t="str">
        <f>IFERROR(VLOOKUP($D163,'FERC 2021'!$EA$3:$EN$221,12,0),"")</f>
        <v/>
      </c>
      <c r="AJ163" s="72" t="str">
        <f>IFERROR(VLOOKUP($D163,'FERC 2022'!$EA$3:$EN$220,12,0),"")</f>
        <v/>
      </c>
      <c r="AK163" s="72" t="str">
        <f>IFERROR(VLOOKUP($D163,'FERC 2023'!$EA$3:$EN$221,12,0),"")</f>
        <v/>
      </c>
      <c r="AL163" s="72" t="str">
        <f>VLOOKUP($D163,'FERC 2021'!$EA$3:$EN$221,13,0)</f>
        <v/>
      </c>
      <c r="AM163" s="72" t="str">
        <f>VLOOKUP($D163,'FERC 2022'!$EA$3:$EN$220,13,0)</f>
        <v/>
      </c>
      <c r="AN163" s="72" t="str">
        <f>VLOOKUP($D163,'FERC 2023'!$EA$3:$EN$221,13,0)</f>
        <v/>
      </c>
      <c r="AO163" s="72" t="str">
        <f>IFERROR(VLOOKUP($D163,'FERC 2021'!$EA$3:$EN$221,14,0),"")</f>
        <v/>
      </c>
      <c r="AP163" s="72" t="str">
        <f>IFERROR(VLOOKUP($D163,'FERC 2022'!$EA$3:$EN$220,14,0),"")</f>
        <v/>
      </c>
      <c r="AQ163" s="72" t="str">
        <f>IFERROR(VLOOKUP($D163,'FERC 2023'!$EA$3:$EN$221,14,0),"")</f>
        <v/>
      </c>
    </row>
    <row r="164" spans="1:43" ht="15.75" hidden="1" customHeight="1">
      <c r="A164" s="7" t="s">
        <v>691</v>
      </c>
      <c r="B164" s="7" t="s">
        <v>692</v>
      </c>
      <c r="C164" s="311" t="str">
        <f>'BD DEA'!P164</f>
        <v/>
      </c>
      <c r="D164" s="44" t="str">
        <f t="shared" si="0"/>
        <v>C002336</v>
      </c>
      <c r="E164" s="72" t="str">
        <f>IFERROR(VLOOKUP($D164,'FERC 2021'!$EA$3:$EN$221,2,0),"")</f>
        <v/>
      </c>
      <c r="F164" s="72" t="str">
        <f>IFERROR(VLOOKUP($D164,'FERC 2022'!$EA$3:$EN$220,2,0),"")</f>
        <v/>
      </c>
      <c r="G164" s="72" t="str">
        <f>IFERROR(VLOOKUP($D164,'FERC 2023'!$EA$3:$EN$221,2,0),"")</f>
        <v/>
      </c>
      <c r="H164" s="72" t="str">
        <f>IFERROR(VLOOKUP($D164,'FERC 2021'!$EA$3:$EN$225,3,0),"")</f>
        <v/>
      </c>
      <c r="I164" s="72" t="str">
        <f>IFERROR(VLOOKUP($D164,'FERC 2022'!$EA$3:$EN$229,3,0),"")</f>
        <v/>
      </c>
      <c r="J164" s="72" t="str">
        <f>IFERROR(VLOOKUP($D164,'FERC 2023'!$EA$3:$EN$229,3,0),"")</f>
        <v/>
      </c>
      <c r="K164" s="72" t="str">
        <f>IFERROR(VLOOKUP($D164,'FERC 2021'!$EA$3:$EN$229,4,0),"")</f>
        <v/>
      </c>
      <c r="L164" s="72" t="str">
        <f>IFERROR(VLOOKUP($D164,'FERC 2022'!$EA$3:$EN$220,4,0),"")</f>
        <v/>
      </c>
      <c r="M164" s="72" t="str">
        <f>IFERROR(VLOOKUP($D164,'FERC 2023'!$EA$3:$EN$221,4,0),"")</f>
        <v/>
      </c>
      <c r="N164" s="72" t="str">
        <f>IFERROR(VLOOKUP($D164,'FERC 2021'!$EA$3:$EN$221,5,0),"")</f>
        <v/>
      </c>
      <c r="O164" s="72" t="str">
        <f>IFERROR(VLOOKUP($D164,'FERC 2022'!$EA$3:$EN$220,5,0),"")</f>
        <v/>
      </c>
      <c r="P164" s="72" t="str">
        <f>IFERROR(VLOOKUP($D164,'FERC 2023'!$EA$3:$EN$221,5,0),"")</f>
        <v/>
      </c>
      <c r="Q164" s="72" t="str">
        <f>IFERROR(VLOOKUP($D164,'FERC 2021'!$EA$3:$EN$221,6,0),"")</f>
        <v/>
      </c>
      <c r="R164" s="72" t="str">
        <f>IFERROR(VLOOKUP($D164,'FERC 2022'!$EA$3:$EN$220,6,0),"")</f>
        <v/>
      </c>
      <c r="S164" s="72" t="str">
        <f>IFERROR(VLOOKUP($D164,'FERC 2023'!$EA$3:$EN$221,6,0),"")</f>
        <v/>
      </c>
      <c r="T164" s="72" t="str">
        <f>IFERROR(VLOOKUP($D164,'FERC 2021'!$EA$3:$EN$221,7,0),"")</f>
        <v/>
      </c>
      <c r="U164" s="72" t="str">
        <f>IFERROR(VLOOKUP($D164,'FERC 2022'!$EA$3:$EN$220,7,0),"")</f>
        <v/>
      </c>
      <c r="V164" s="72" t="str">
        <f>IFERROR(VLOOKUP($D164,'FERC 2023'!$EA$3:$EN$221,7,0),"")</f>
        <v/>
      </c>
      <c r="W164" s="72" t="str">
        <f>IFERROR(VLOOKUP($D164,'FERC 2021'!$EA$3:$EN$221,8,0),"")</f>
        <v/>
      </c>
      <c r="X164" s="72" t="str">
        <f>IFERROR(VLOOKUP($D164,'FERC 2022'!$EA$3:$EN$220,8,0),"")</f>
        <v/>
      </c>
      <c r="Y164" s="72" t="str">
        <f>IFERROR(VLOOKUP($D164,'FERC 2023'!$EA$3:$EN$221,8,0),"")</f>
        <v/>
      </c>
      <c r="Z164" s="72" t="str">
        <f>IFERROR(VLOOKUP($D164,'FERC 2021'!$EA$3:$EN$222,9,0),"")</f>
        <v/>
      </c>
      <c r="AA164" s="72" t="str">
        <f>IFERROR(VLOOKUP($D164,'FERC 2022'!$EA$3:$EN$220,9,0),"")</f>
        <v/>
      </c>
      <c r="AB164" s="72" t="str">
        <f>IFERROR(VLOOKUP($D164,'FERC 2023'!$EA$3:$EN$221,9,0),"")</f>
        <v/>
      </c>
      <c r="AC164" s="72" t="str">
        <f>IFERROR(VLOOKUP($D164,'FERC 2021'!$EA$3:$EN$221,10,0),"")</f>
        <v/>
      </c>
      <c r="AD164" s="72" t="str">
        <f>IFERROR(VLOOKUP($D164,'FERC 2022'!$EA$3:$EN$220,10,0),"")</f>
        <v/>
      </c>
      <c r="AE164" s="72" t="str">
        <f>IFERROR(VLOOKUP($D164,'FERC 2023'!$EA$3:$EN$221,10,0),"")</f>
        <v/>
      </c>
      <c r="AF164" s="72" t="str">
        <f>IFERROR(VLOOKUP($D164,'FERC 2021'!$EA$3:$EN$221,11,0),"")</f>
        <v/>
      </c>
      <c r="AG164" s="72" t="str">
        <f>IFERROR(VLOOKUP($D164,'FERC 2022'!$EA$3:$EN$220,11,0),"")</f>
        <v/>
      </c>
      <c r="AH164" s="72" t="str">
        <f>IFERROR(VLOOKUP($D164,'FERC 2023'!$EA$3:$EN$221,11,0),"")</f>
        <v/>
      </c>
      <c r="AI164" s="72" t="str">
        <f>IFERROR(VLOOKUP($D164,'FERC 2021'!$EA$3:$EN$221,12,0),"")</f>
        <v/>
      </c>
      <c r="AJ164" s="72" t="str">
        <f>IFERROR(VLOOKUP($D164,'FERC 2022'!$EA$3:$EN$220,12,0),"")</f>
        <v/>
      </c>
      <c r="AK164" s="72" t="str">
        <f>IFERROR(VLOOKUP($D164,'FERC 2023'!$EA$3:$EN$221,12,0),"")</f>
        <v/>
      </c>
      <c r="AL164" s="72" t="str">
        <f>VLOOKUP($D164,'FERC 2021'!$EA$3:$EN$221,13,0)</f>
        <v/>
      </c>
      <c r="AM164" s="72" t="str">
        <f>VLOOKUP($D164,'FERC 2022'!$EA$3:$EN$220,13,0)</f>
        <v/>
      </c>
      <c r="AN164" s="72" t="str">
        <f>VLOOKUP($D164,'FERC 2023'!$EA$3:$EN$221,13,0)</f>
        <v/>
      </c>
      <c r="AO164" s="72" t="str">
        <f>IFERROR(VLOOKUP($D164,'FERC 2021'!$EA$3:$EN$221,14,0),"")</f>
        <v/>
      </c>
      <c r="AP164" s="72" t="str">
        <f>IFERROR(VLOOKUP($D164,'FERC 2022'!$EA$3:$EN$220,14,0),"")</f>
        <v/>
      </c>
      <c r="AQ164" s="72" t="str">
        <f>IFERROR(VLOOKUP($D164,'FERC 2023'!$EA$3:$EN$221,14,0),"")</f>
        <v/>
      </c>
    </row>
    <row r="165" spans="1:43" ht="15.75" hidden="1" customHeight="1">
      <c r="A165" s="7" t="s">
        <v>694</v>
      </c>
      <c r="B165" s="7" t="s">
        <v>695</v>
      </c>
      <c r="C165" s="311" t="str">
        <f>'BD DEA'!P165</f>
        <v/>
      </c>
      <c r="D165" s="44" t="str">
        <f t="shared" si="0"/>
        <v>C002446</v>
      </c>
      <c r="E165" s="72" t="str">
        <f>IFERROR(VLOOKUP($D165,'FERC 2021'!$EA$3:$EN$221,2,0),"")</f>
        <v/>
      </c>
      <c r="F165" s="72" t="str">
        <f>IFERROR(VLOOKUP($D165,'FERC 2022'!$EA$3:$EN$220,2,0),"")</f>
        <v/>
      </c>
      <c r="G165" s="72" t="str">
        <f>IFERROR(VLOOKUP($D165,'FERC 2023'!$EA$3:$EN$221,2,0),"")</f>
        <v/>
      </c>
      <c r="H165" s="72" t="str">
        <f>IFERROR(VLOOKUP($D165,'FERC 2021'!$EA$3:$EN$225,3,0),"")</f>
        <v/>
      </c>
      <c r="I165" s="72" t="str">
        <f>IFERROR(VLOOKUP($D165,'FERC 2022'!$EA$3:$EN$229,3,0),"")</f>
        <v/>
      </c>
      <c r="J165" s="72" t="str">
        <f>IFERROR(VLOOKUP($D165,'FERC 2023'!$EA$3:$EN$229,3,0),"")</f>
        <v/>
      </c>
      <c r="K165" s="72" t="str">
        <f>IFERROR(VLOOKUP($D165,'FERC 2021'!$EA$3:$EN$229,4,0),"")</f>
        <v/>
      </c>
      <c r="L165" s="72" t="str">
        <f>IFERROR(VLOOKUP($D165,'FERC 2022'!$EA$3:$EN$220,4,0),"")</f>
        <v/>
      </c>
      <c r="M165" s="72" t="str">
        <f>IFERROR(VLOOKUP($D165,'FERC 2023'!$EA$3:$EN$221,4,0),"")</f>
        <v/>
      </c>
      <c r="N165" s="72" t="str">
        <f>IFERROR(VLOOKUP($D165,'FERC 2021'!$EA$3:$EN$221,5,0),"")</f>
        <v/>
      </c>
      <c r="O165" s="72" t="str">
        <f>IFERROR(VLOOKUP($D165,'FERC 2022'!$EA$3:$EN$220,5,0),"")</f>
        <v/>
      </c>
      <c r="P165" s="72" t="str">
        <f>IFERROR(VLOOKUP($D165,'FERC 2023'!$EA$3:$EN$221,5,0),"")</f>
        <v/>
      </c>
      <c r="Q165" s="72" t="str">
        <f>IFERROR(VLOOKUP($D165,'FERC 2021'!$EA$3:$EN$221,6,0),"")</f>
        <v/>
      </c>
      <c r="R165" s="72" t="str">
        <f>IFERROR(VLOOKUP($D165,'FERC 2022'!$EA$3:$EN$220,6,0),"")</f>
        <v/>
      </c>
      <c r="S165" s="72" t="str">
        <f>IFERROR(VLOOKUP($D165,'FERC 2023'!$EA$3:$EN$221,6,0),"")</f>
        <v/>
      </c>
      <c r="T165" s="72" t="str">
        <f>IFERROR(VLOOKUP($D165,'FERC 2021'!$EA$3:$EN$221,7,0),"")</f>
        <v/>
      </c>
      <c r="U165" s="72" t="str">
        <f>IFERROR(VLOOKUP($D165,'FERC 2022'!$EA$3:$EN$220,7,0),"")</f>
        <v/>
      </c>
      <c r="V165" s="72" t="str">
        <f>IFERROR(VLOOKUP($D165,'FERC 2023'!$EA$3:$EN$221,7,0),"")</f>
        <v/>
      </c>
      <c r="W165" s="72" t="str">
        <f>IFERROR(VLOOKUP($D165,'FERC 2021'!$EA$3:$EN$221,8,0),"")</f>
        <v/>
      </c>
      <c r="X165" s="72" t="str">
        <f>IFERROR(VLOOKUP($D165,'FERC 2022'!$EA$3:$EN$220,8,0),"")</f>
        <v/>
      </c>
      <c r="Y165" s="72" t="str">
        <f>IFERROR(VLOOKUP($D165,'FERC 2023'!$EA$3:$EN$221,8,0),"")</f>
        <v/>
      </c>
      <c r="Z165" s="72" t="str">
        <f>IFERROR(VLOOKUP($D165,'FERC 2021'!$EA$3:$EN$222,9,0),"")</f>
        <v/>
      </c>
      <c r="AA165" s="72" t="str">
        <f>IFERROR(VLOOKUP($D165,'FERC 2022'!$EA$3:$EN$220,9,0),"")</f>
        <v/>
      </c>
      <c r="AB165" s="72" t="str">
        <f>IFERROR(VLOOKUP($D165,'FERC 2023'!$EA$3:$EN$221,9,0),"")</f>
        <v/>
      </c>
      <c r="AC165" s="72" t="str">
        <f>IFERROR(VLOOKUP($D165,'FERC 2021'!$EA$3:$EN$221,10,0),"")</f>
        <v/>
      </c>
      <c r="AD165" s="72" t="str">
        <f>IFERROR(VLOOKUP($D165,'FERC 2022'!$EA$3:$EN$220,10,0),"")</f>
        <v/>
      </c>
      <c r="AE165" s="72" t="str">
        <f>IFERROR(VLOOKUP($D165,'FERC 2023'!$EA$3:$EN$221,10,0),"")</f>
        <v/>
      </c>
      <c r="AF165" s="72" t="str">
        <f>IFERROR(VLOOKUP($D165,'FERC 2021'!$EA$3:$EN$221,11,0),"")</f>
        <v/>
      </c>
      <c r="AG165" s="72" t="str">
        <f>IFERROR(VLOOKUP($D165,'FERC 2022'!$EA$3:$EN$220,11,0),"")</f>
        <v/>
      </c>
      <c r="AH165" s="72" t="str">
        <f>IFERROR(VLOOKUP($D165,'FERC 2023'!$EA$3:$EN$221,11,0),"")</f>
        <v/>
      </c>
      <c r="AI165" s="72" t="str">
        <f>IFERROR(VLOOKUP($D165,'FERC 2021'!$EA$3:$EN$221,12,0),"")</f>
        <v/>
      </c>
      <c r="AJ165" s="72" t="str">
        <f>IFERROR(VLOOKUP($D165,'FERC 2022'!$EA$3:$EN$220,12,0),"")</f>
        <v/>
      </c>
      <c r="AK165" s="72" t="str">
        <f>IFERROR(VLOOKUP($D165,'FERC 2023'!$EA$3:$EN$221,12,0),"")</f>
        <v/>
      </c>
      <c r="AL165" s="72" t="str">
        <f>VLOOKUP($D165,'FERC 2021'!$EA$3:$EN$221,13,0)</f>
        <v/>
      </c>
      <c r="AM165" s="72" t="str">
        <f>VLOOKUP($D165,'FERC 2022'!$EA$3:$EN$220,13,0)</f>
        <v/>
      </c>
      <c r="AN165" s="72" t="str">
        <f>VLOOKUP($D165,'FERC 2023'!$EA$3:$EN$221,13,0)</f>
        <v/>
      </c>
      <c r="AO165" s="72" t="str">
        <f>IFERROR(VLOOKUP($D165,'FERC 2021'!$EA$3:$EN$221,14,0),"")</f>
        <v/>
      </c>
      <c r="AP165" s="72" t="str">
        <f>IFERROR(VLOOKUP($D165,'FERC 2022'!$EA$3:$EN$220,14,0),"")</f>
        <v/>
      </c>
      <c r="AQ165" s="72" t="str">
        <f>IFERROR(VLOOKUP($D165,'FERC 2023'!$EA$3:$EN$221,14,0),"")</f>
        <v/>
      </c>
    </row>
    <row r="166" spans="1:43" ht="15.75" customHeight="1">
      <c r="A166" s="7" t="s">
        <v>697</v>
      </c>
      <c r="B166" s="7" t="s">
        <v>698</v>
      </c>
      <c r="C166" s="311">
        <f>'BD DEA'!P166</f>
        <v>1</v>
      </c>
      <c r="D166" s="44" t="str">
        <f t="shared" si="0"/>
        <v>C002498</v>
      </c>
      <c r="E166" s="72">
        <f>IFERROR(VLOOKUP($D166,'FERC 2021'!$EA$3:$EN$221,2,0),"")</f>
        <v>807927376.12345135</v>
      </c>
      <c r="F166" s="72">
        <f>IFERROR(VLOOKUP($D166,'FERC 2022'!$EA$3:$EN$220,2,0),"")</f>
        <v>831816691.52644026</v>
      </c>
      <c r="G166" s="72">
        <f>IFERROR(VLOOKUP($D166,'FERC 2023'!$EA$3:$EN$221,2,0),"")</f>
        <v>843328756.07463527</v>
      </c>
      <c r="H166" s="72">
        <f>IFERROR(VLOOKUP($D166,'FERC 2021'!$EA$3:$EN$225,3,0),"")</f>
        <v>43578657.373916633</v>
      </c>
      <c r="I166" s="72">
        <f>IFERROR(VLOOKUP($D166,'FERC 2022'!$EA$3:$EN$229,3,0),"")</f>
        <v>43572262.923733987</v>
      </c>
      <c r="J166" s="72">
        <f>IFERROR(VLOOKUP($D166,'FERC 2023'!$EA$3:$EN$229,3,0),"")</f>
        <v>46807912.685075492</v>
      </c>
      <c r="K166" s="72">
        <f>IFERROR(VLOOKUP($D166,'FERC 2021'!$EA$3:$EN$229,4,0),"")</f>
        <v>16145172.209781785</v>
      </c>
      <c r="L166" s="72">
        <f>IFERROR(VLOOKUP($D166,'FERC 2022'!$EA$3:$EN$220,4,0),"")</f>
        <v>15681297.392137751</v>
      </c>
      <c r="M166" s="72">
        <f>IFERROR(VLOOKUP($D166,'FERC 2023'!$EA$3:$EN$221,4,0),"")</f>
        <v>16027042.434790058</v>
      </c>
      <c r="N166" s="72">
        <f>IFERROR(VLOOKUP($D166,'FERC 2021'!$EA$3:$EN$221,5,0),"")</f>
        <v>22901616.051006354</v>
      </c>
      <c r="O166" s="72">
        <f>IFERROR(VLOOKUP($D166,'FERC 2022'!$EA$3:$EN$220,5,0),"")</f>
        <v>22313233.124396849</v>
      </c>
      <c r="P166" s="72">
        <f>IFERROR(VLOOKUP($D166,'FERC 2023'!$EA$3:$EN$221,5,0),"")</f>
        <v>20855511.376333952</v>
      </c>
      <c r="Q166" s="72">
        <f>IFERROR(VLOOKUP($D166,'FERC 2021'!$EA$3:$EN$221,6,0),"")</f>
        <v>13677668.488204397</v>
      </c>
      <c r="R166" s="72">
        <f>IFERROR(VLOOKUP($D166,'FERC 2022'!$EA$3:$EN$220,6,0),"")</f>
        <v>11519719.764061121</v>
      </c>
      <c r="S166" s="72">
        <f>IFERROR(VLOOKUP($D166,'FERC 2023'!$EA$3:$EN$221,6,0),"")</f>
        <v>12777008.59817485</v>
      </c>
      <c r="T166" s="72">
        <f>IFERROR(VLOOKUP($D166,'FERC 2021'!$EA$3:$EN$221,7,0),"")</f>
        <v>679</v>
      </c>
      <c r="U166" s="72">
        <f>IFERROR(VLOOKUP($D166,'FERC 2022'!$EA$3:$EN$220,7,0),"")</f>
        <v>698</v>
      </c>
      <c r="V166" s="72">
        <f>IFERROR(VLOOKUP($D166,'FERC 2023'!$EA$3:$EN$221,7,0),"")</f>
        <v>745</v>
      </c>
      <c r="W166" s="72">
        <f>IFERROR(VLOOKUP($D166,'FERC 2021'!$EA$3:$EN$221,8,0),"")</f>
        <v>160976</v>
      </c>
      <c r="X166" s="72">
        <f>IFERROR(VLOOKUP($D166,'FERC 2022'!$EA$3:$EN$220,8,0),"")</f>
        <v>163413</v>
      </c>
      <c r="Y166" s="72">
        <f>IFERROR(VLOOKUP($D166,'FERC 2023'!$EA$3:$EN$221,8,0),"")</f>
        <v>163278</v>
      </c>
      <c r="Z166" s="72">
        <f>IFERROR(VLOOKUP($D166,'FERC 2021'!$EA$3:$EN$222,9,0),"")</f>
        <v>94889</v>
      </c>
      <c r="AA166" s="72">
        <f>IFERROR(VLOOKUP($D166,'FERC 2022'!$EA$3:$EN$220,9,0),"")</f>
        <v>108478</v>
      </c>
      <c r="AB166" s="72">
        <f>IFERROR(VLOOKUP($D166,'FERC 2023'!$EA$3:$EN$221,9,0),"")</f>
        <v>88445</v>
      </c>
      <c r="AC166" s="72">
        <f>IFERROR(VLOOKUP($D166,'FERC 2021'!$EA$3:$EN$221,10,0),"")</f>
        <v>3201351</v>
      </c>
      <c r="AD166" s="72">
        <f>IFERROR(VLOOKUP($D166,'FERC 2022'!$EA$3:$EN$220,10,0),"")</f>
        <v>3190895</v>
      </c>
      <c r="AE166" s="72">
        <f>IFERROR(VLOOKUP($D166,'FERC 2023'!$EA$3:$EN$221,10,0),"")</f>
        <v>3159061</v>
      </c>
      <c r="AF166" s="72">
        <f>IFERROR(VLOOKUP($D166,'FERC 2021'!$EA$3:$EN$221,11,0),"")</f>
        <v>3289478.0761421318</v>
      </c>
      <c r="AG166" s="72">
        <f>IFERROR(VLOOKUP($D166,'FERC 2022'!$EA$3:$EN$220,11,0),"")</f>
        <v>3292740.9137055837</v>
      </c>
      <c r="AH166" s="72">
        <f>IFERROR(VLOOKUP($D166,'FERC 2023'!$EA$3:$EN$221,11,0),"")</f>
        <v>3241586.497461929</v>
      </c>
      <c r="AI166" s="72">
        <f>IFERROR(VLOOKUP($D166,'FERC 2021'!$EA$3:$EN$221,12,0),"")</f>
        <v>5138836.8479999993</v>
      </c>
      <c r="AJ166" s="72">
        <f>IFERROR(VLOOKUP($D166,'FERC 2022'!$EA$3:$EN$220,12,0),"")</f>
        <v>3639207.51</v>
      </c>
      <c r="AK166" s="72">
        <f>IFERROR(VLOOKUP($D166,'FERC 2023'!$EA$3:$EN$221,12,0),"")</f>
        <v>3844707.0660000001</v>
      </c>
      <c r="AL166" s="72">
        <f>VLOOKUP($D166,'FERC 2021'!$EA$3:$EN$221,13,0)</f>
        <v>45717.183999999994</v>
      </c>
      <c r="AM166" s="72">
        <f>VLOOKUP($D166,'FERC 2022'!$EA$3:$EN$220,13,0)</f>
        <v>63731.07</v>
      </c>
      <c r="AN166" s="72">
        <f>VLOOKUP($D166,'FERC 2023'!$EA$3:$EN$221,13,0)</f>
        <v>44901.450000000004</v>
      </c>
      <c r="AO166" s="72">
        <f>IFERROR(VLOOKUP($D166,'FERC 2021'!$EA$3:$EN$221,14,0),"")</f>
        <v>161751</v>
      </c>
      <c r="AP166" s="72">
        <f>IFERROR(VLOOKUP($D166,'FERC 2022'!$EA$3:$EN$220,14,0),"")</f>
        <v>164136</v>
      </c>
      <c r="AQ166" s="72">
        <f>IFERROR(VLOOKUP($D166,'FERC 2023'!$EA$3:$EN$221,14,0),"")</f>
        <v>167717</v>
      </c>
    </row>
    <row r="167" spans="1:43" ht="15.75" hidden="1" customHeight="1">
      <c r="A167" s="7" t="s">
        <v>700</v>
      </c>
      <c r="B167" s="7" t="s">
        <v>701</v>
      </c>
      <c r="C167" s="311" t="str">
        <f>'BD DEA'!P167</f>
        <v/>
      </c>
      <c r="D167" s="44" t="str">
        <f t="shared" si="0"/>
        <v>C002525</v>
      </c>
      <c r="E167" s="72" t="str">
        <f>IFERROR(VLOOKUP($D167,'FERC 2021'!$EA$3:$EN$221,2,0),"")</f>
        <v/>
      </c>
      <c r="F167" s="72" t="str">
        <f>IFERROR(VLOOKUP($D167,'FERC 2022'!$EA$3:$EN$220,2,0),"")</f>
        <v/>
      </c>
      <c r="G167" s="72" t="str">
        <f>IFERROR(VLOOKUP($D167,'FERC 2023'!$EA$3:$EN$221,2,0),"")</f>
        <v/>
      </c>
      <c r="H167" s="72" t="str">
        <f>IFERROR(VLOOKUP($D167,'FERC 2021'!$EA$3:$EN$225,3,0),"")</f>
        <v/>
      </c>
      <c r="I167" s="72" t="str">
        <f>IFERROR(VLOOKUP($D167,'FERC 2022'!$EA$3:$EN$229,3,0),"")</f>
        <v/>
      </c>
      <c r="J167" s="72" t="str">
        <f>IFERROR(VLOOKUP($D167,'FERC 2023'!$EA$3:$EN$229,3,0),"")</f>
        <v/>
      </c>
      <c r="K167" s="72" t="str">
        <f>IFERROR(VLOOKUP($D167,'FERC 2021'!$EA$3:$EN$229,4,0),"")</f>
        <v/>
      </c>
      <c r="L167" s="72" t="str">
        <f>IFERROR(VLOOKUP($D167,'FERC 2022'!$EA$3:$EN$220,4,0),"")</f>
        <v/>
      </c>
      <c r="M167" s="72" t="str">
        <f>IFERROR(VLOOKUP($D167,'FERC 2023'!$EA$3:$EN$221,4,0),"")</f>
        <v/>
      </c>
      <c r="N167" s="72" t="str">
        <f>IFERROR(VLOOKUP($D167,'FERC 2021'!$EA$3:$EN$221,5,0),"")</f>
        <v/>
      </c>
      <c r="O167" s="72" t="str">
        <f>IFERROR(VLOOKUP($D167,'FERC 2022'!$EA$3:$EN$220,5,0),"")</f>
        <v/>
      </c>
      <c r="P167" s="72" t="str">
        <f>IFERROR(VLOOKUP($D167,'FERC 2023'!$EA$3:$EN$221,5,0),"")</f>
        <v/>
      </c>
      <c r="Q167" s="72" t="str">
        <f>IFERROR(VLOOKUP($D167,'FERC 2021'!$EA$3:$EN$221,6,0),"")</f>
        <v/>
      </c>
      <c r="R167" s="72" t="str">
        <f>IFERROR(VLOOKUP($D167,'FERC 2022'!$EA$3:$EN$220,6,0),"")</f>
        <v/>
      </c>
      <c r="S167" s="72" t="str">
        <f>IFERROR(VLOOKUP($D167,'FERC 2023'!$EA$3:$EN$221,6,0),"")</f>
        <v/>
      </c>
      <c r="T167" s="72" t="str">
        <f>IFERROR(VLOOKUP($D167,'FERC 2021'!$EA$3:$EN$221,7,0),"")</f>
        <v/>
      </c>
      <c r="U167" s="72" t="str">
        <f>IFERROR(VLOOKUP($D167,'FERC 2022'!$EA$3:$EN$220,7,0),"")</f>
        <v/>
      </c>
      <c r="V167" s="72" t="str">
        <f>IFERROR(VLOOKUP($D167,'FERC 2023'!$EA$3:$EN$221,7,0),"")</f>
        <v/>
      </c>
      <c r="W167" s="72" t="str">
        <f>IFERROR(VLOOKUP($D167,'FERC 2021'!$EA$3:$EN$221,8,0),"")</f>
        <v/>
      </c>
      <c r="X167" s="72" t="str">
        <f>IFERROR(VLOOKUP($D167,'FERC 2022'!$EA$3:$EN$220,8,0),"")</f>
        <v/>
      </c>
      <c r="Y167" s="72" t="str">
        <f>IFERROR(VLOOKUP($D167,'FERC 2023'!$EA$3:$EN$221,8,0),"")</f>
        <v/>
      </c>
      <c r="Z167" s="72" t="str">
        <f>IFERROR(VLOOKUP($D167,'FERC 2021'!$EA$3:$EN$222,9,0),"")</f>
        <v/>
      </c>
      <c r="AA167" s="72" t="str">
        <f>IFERROR(VLOOKUP($D167,'FERC 2022'!$EA$3:$EN$220,9,0),"")</f>
        <v/>
      </c>
      <c r="AB167" s="72" t="str">
        <f>IFERROR(VLOOKUP($D167,'FERC 2023'!$EA$3:$EN$221,9,0),"")</f>
        <v/>
      </c>
      <c r="AC167" s="72" t="str">
        <f>IFERROR(VLOOKUP($D167,'FERC 2021'!$EA$3:$EN$221,10,0),"")</f>
        <v/>
      </c>
      <c r="AD167" s="72" t="str">
        <f>IFERROR(VLOOKUP($D167,'FERC 2022'!$EA$3:$EN$220,10,0),"")</f>
        <v/>
      </c>
      <c r="AE167" s="72" t="str">
        <f>IFERROR(VLOOKUP($D167,'FERC 2023'!$EA$3:$EN$221,10,0),"")</f>
        <v/>
      </c>
      <c r="AF167" s="72" t="str">
        <f>IFERROR(VLOOKUP($D167,'FERC 2021'!$EA$3:$EN$221,11,0),"")</f>
        <v/>
      </c>
      <c r="AG167" s="72" t="str">
        <f>IFERROR(VLOOKUP($D167,'FERC 2022'!$EA$3:$EN$220,11,0),"")</f>
        <v/>
      </c>
      <c r="AH167" s="72" t="str">
        <f>IFERROR(VLOOKUP($D167,'FERC 2023'!$EA$3:$EN$221,11,0),"")</f>
        <v/>
      </c>
      <c r="AI167" s="72" t="str">
        <f>IFERROR(VLOOKUP($D167,'FERC 2021'!$EA$3:$EN$221,12,0),"")</f>
        <v/>
      </c>
      <c r="AJ167" s="72" t="str">
        <f>IFERROR(VLOOKUP($D167,'FERC 2022'!$EA$3:$EN$220,12,0),"")</f>
        <v/>
      </c>
      <c r="AK167" s="72" t="str">
        <f>IFERROR(VLOOKUP($D167,'FERC 2023'!$EA$3:$EN$221,12,0),"")</f>
        <v/>
      </c>
      <c r="AL167" s="72" t="str">
        <f>VLOOKUP($D167,'FERC 2021'!$EA$3:$EN$221,13,0)</f>
        <v/>
      </c>
      <c r="AM167" s="72" t="str">
        <f>VLOOKUP($D167,'FERC 2022'!$EA$3:$EN$220,13,0)</f>
        <v/>
      </c>
      <c r="AN167" s="72" t="str">
        <f>VLOOKUP($D167,'FERC 2023'!$EA$3:$EN$221,13,0)</f>
        <v/>
      </c>
      <c r="AO167" s="72" t="str">
        <f>IFERROR(VLOOKUP($D167,'FERC 2021'!$EA$3:$EN$221,14,0),"")</f>
        <v/>
      </c>
      <c r="AP167" s="72" t="str">
        <f>IFERROR(VLOOKUP($D167,'FERC 2022'!$EA$3:$EN$220,14,0),"")</f>
        <v/>
      </c>
      <c r="AQ167" s="72" t="str">
        <f>IFERROR(VLOOKUP($D167,'FERC 2023'!$EA$3:$EN$221,14,0),"")</f>
        <v/>
      </c>
    </row>
    <row r="168" spans="1:43" ht="15.75" hidden="1" customHeight="1">
      <c r="A168" s="7" t="s">
        <v>703</v>
      </c>
      <c r="B168" s="7" t="s">
        <v>704</v>
      </c>
      <c r="C168" s="311" t="str">
        <f>'BD DEA'!P168</f>
        <v/>
      </c>
      <c r="D168" s="44" t="str">
        <f t="shared" si="0"/>
        <v>C002827</v>
      </c>
      <c r="E168" s="72" t="str">
        <f>IFERROR(VLOOKUP($D168,'FERC 2021'!$EA$3:$EN$221,2,0),"")</f>
        <v/>
      </c>
      <c r="F168" s="72" t="str">
        <f>IFERROR(VLOOKUP($D168,'FERC 2022'!$EA$3:$EN$220,2,0),"")</f>
        <v/>
      </c>
      <c r="G168" s="72" t="str">
        <f>IFERROR(VLOOKUP($D168,'FERC 2023'!$EA$3:$EN$221,2,0),"")</f>
        <v/>
      </c>
      <c r="H168" s="72" t="str">
        <f>IFERROR(VLOOKUP($D168,'FERC 2021'!$EA$3:$EN$225,3,0),"")</f>
        <v/>
      </c>
      <c r="I168" s="72" t="str">
        <f>IFERROR(VLOOKUP($D168,'FERC 2022'!$EA$3:$EN$229,3,0),"")</f>
        <v/>
      </c>
      <c r="J168" s="72" t="str">
        <f>IFERROR(VLOOKUP($D168,'FERC 2023'!$EA$3:$EN$229,3,0),"")</f>
        <v/>
      </c>
      <c r="K168" s="72" t="str">
        <f>IFERROR(VLOOKUP($D168,'FERC 2021'!$EA$3:$EN$229,4,0),"")</f>
        <v/>
      </c>
      <c r="L168" s="72" t="str">
        <f>IFERROR(VLOOKUP($D168,'FERC 2022'!$EA$3:$EN$220,4,0),"")</f>
        <v/>
      </c>
      <c r="M168" s="72" t="str">
        <f>IFERROR(VLOOKUP($D168,'FERC 2023'!$EA$3:$EN$221,4,0),"")</f>
        <v/>
      </c>
      <c r="N168" s="72" t="str">
        <f>IFERROR(VLOOKUP($D168,'FERC 2021'!$EA$3:$EN$221,5,0),"")</f>
        <v/>
      </c>
      <c r="O168" s="72" t="str">
        <f>IFERROR(VLOOKUP($D168,'FERC 2022'!$EA$3:$EN$220,5,0),"")</f>
        <v/>
      </c>
      <c r="P168" s="72" t="str">
        <f>IFERROR(VLOOKUP($D168,'FERC 2023'!$EA$3:$EN$221,5,0),"")</f>
        <v/>
      </c>
      <c r="Q168" s="72" t="str">
        <f>IFERROR(VLOOKUP($D168,'FERC 2021'!$EA$3:$EN$221,6,0),"")</f>
        <v/>
      </c>
      <c r="R168" s="72" t="str">
        <f>IFERROR(VLOOKUP($D168,'FERC 2022'!$EA$3:$EN$220,6,0),"")</f>
        <v/>
      </c>
      <c r="S168" s="72" t="str">
        <f>IFERROR(VLOOKUP($D168,'FERC 2023'!$EA$3:$EN$221,6,0),"")</f>
        <v/>
      </c>
      <c r="T168" s="72" t="str">
        <f>IFERROR(VLOOKUP($D168,'FERC 2021'!$EA$3:$EN$221,7,0),"")</f>
        <v/>
      </c>
      <c r="U168" s="72" t="str">
        <f>IFERROR(VLOOKUP($D168,'FERC 2022'!$EA$3:$EN$220,7,0),"")</f>
        <v/>
      </c>
      <c r="V168" s="72" t="str">
        <f>IFERROR(VLOOKUP($D168,'FERC 2023'!$EA$3:$EN$221,7,0),"")</f>
        <v/>
      </c>
      <c r="W168" s="72" t="str">
        <f>IFERROR(VLOOKUP($D168,'FERC 2021'!$EA$3:$EN$221,8,0),"")</f>
        <v/>
      </c>
      <c r="X168" s="72" t="str">
        <f>IFERROR(VLOOKUP($D168,'FERC 2022'!$EA$3:$EN$220,8,0),"")</f>
        <v/>
      </c>
      <c r="Y168" s="72" t="str">
        <f>IFERROR(VLOOKUP($D168,'FERC 2023'!$EA$3:$EN$221,8,0),"")</f>
        <v/>
      </c>
      <c r="Z168" s="72" t="str">
        <f>IFERROR(VLOOKUP($D168,'FERC 2021'!$EA$3:$EN$222,9,0),"")</f>
        <v/>
      </c>
      <c r="AA168" s="72" t="str">
        <f>IFERROR(VLOOKUP($D168,'FERC 2022'!$EA$3:$EN$220,9,0),"")</f>
        <v/>
      </c>
      <c r="AB168" s="72" t="str">
        <f>IFERROR(VLOOKUP($D168,'FERC 2023'!$EA$3:$EN$221,9,0),"")</f>
        <v/>
      </c>
      <c r="AC168" s="72" t="str">
        <f>IFERROR(VLOOKUP($D168,'FERC 2021'!$EA$3:$EN$221,10,0),"")</f>
        <v/>
      </c>
      <c r="AD168" s="72" t="str">
        <f>IFERROR(VLOOKUP($D168,'FERC 2022'!$EA$3:$EN$220,10,0),"")</f>
        <v/>
      </c>
      <c r="AE168" s="72" t="str">
        <f>IFERROR(VLOOKUP($D168,'FERC 2023'!$EA$3:$EN$221,10,0),"")</f>
        <v/>
      </c>
      <c r="AF168" s="72" t="str">
        <f>IFERROR(VLOOKUP($D168,'FERC 2021'!$EA$3:$EN$221,11,0),"")</f>
        <v/>
      </c>
      <c r="AG168" s="72" t="str">
        <f>IFERROR(VLOOKUP($D168,'FERC 2022'!$EA$3:$EN$220,11,0),"")</f>
        <v/>
      </c>
      <c r="AH168" s="72" t="str">
        <f>IFERROR(VLOOKUP($D168,'FERC 2023'!$EA$3:$EN$221,11,0),"")</f>
        <v/>
      </c>
      <c r="AI168" s="72" t="str">
        <f>IFERROR(VLOOKUP($D168,'FERC 2021'!$EA$3:$EN$221,12,0),"")</f>
        <v/>
      </c>
      <c r="AJ168" s="72" t="str">
        <f>IFERROR(VLOOKUP($D168,'FERC 2022'!$EA$3:$EN$220,12,0),"")</f>
        <v/>
      </c>
      <c r="AK168" s="72" t="str">
        <f>IFERROR(VLOOKUP($D168,'FERC 2023'!$EA$3:$EN$221,12,0),"")</f>
        <v/>
      </c>
      <c r="AL168" s="72" t="str">
        <f>VLOOKUP($D168,'FERC 2021'!$EA$3:$EN$221,13,0)</f>
        <v/>
      </c>
      <c r="AM168" s="72" t="str">
        <f>VLOOKUP($D168,'FERC 2022'!$EA$3:$EN$220,13,0)</f>
        <v/>
      </c>
      <c r="AN168" s="72" t="e">
        <f>VLOOKUP($D168,'FERC 2023'!$EA$3:$EN$221,13,0)</f>
        <v>#N/A</v>
      </c>
      <c r="AO168" s="72" t="str">
        <f>IFERROR(VLOOKUP($D168,'FERC 2021'!$EA$3:$EN$221,14,0),"")</f>
        <v/>
      </c>
      <c r="AP168" s="72" t="str">
        <f>IFERROR(VLOOKUP($D168,'FERC 2022'!$EA$3:$EN$220,14,0),"")</f>
        <v/>
      </c>
      <c r="AQ168" s="72" t="str">
        <f>IFERROR(VLOOKUP($D168,'FERC 2023'!$EA$3:$EN$221,14,0),"")</f>
        <v/>
      </c>
    </row>
    <row r="169" spans="1:43" ht="15.75" hidden="1" customHeight="1">
      <c r="A169" s="7" t="s">
        <v>706</v>
      </c>
      <c r="B169" s="7" t="s">
        <v>707</v>
      </c>
      <c r="C169" s="311" t="str">
        <f>'BD DEA'!P169</f>
        <v/>
      </c>
      <c r="D169" s="44" t="str">
        <f t="shared" si="0"/>
        <v>C002854</v>
      </c>
      <c r="E169" s="72" t="str">
        <f>IFERROR(VLOOKUP($D169,'FERC 2021'!$EA$3:$EN$221,2,0),"")</f>
        <v/>
      </c>
      <c r="F169" s="72" t="str">
        <f>IFERROR(VLOOKUP($D169,'FERC 2022'!$EA$3:$EN$220,2,0),"")</f>
        <v/>
      </c>
      <c r="G169" s="72" t="str">
        <f>IFERROR(VLOOKUP($D169,'FERC 2023'!$EA$3:$EN$221,2,0),"")</f>
        <v/>
      </c>
      <c r="H169" s="72" t="str">
        <f>IFERROR(VLOOKUP($D169,'FERC 2021'!$EA$3:$EN$225,3,0),"")</f>
        <v/>
      </c>
      <c r="I169" s="72" t="str">
        <f>IFERROR(VLOOKUP($D169,'FERC 2022'!$EA$3:$EN$229,3,0),"")</f>
        <v/>
      </c>
      <c r="J169" s="72" t="str">
        <f>IFERROR(VLOOKUP($D169,'FERC 2023'!$EA$3:$EN$229,3,0),"")</f>
        <v/>
      </c>
      <c r="K169" s="72" t="str">
        <f>IFERROR(VLOOKUP($D169,'FERC 2021'!$EA$3:$EN$229,4,0),"")</f>
        <v/>
      </c>
      <c r="L169" s="72" t="str">
        <f>IFERROR(VLOOKUP($D169,'FERC 2022'!$EA$3:$EN$220,4,0),"")</f>
        <v/>
      </c>
      <c r="M169" s="72" t="str">
        <f>IFERROR(VLOOKUP($D169,'FERC 2023'!$EA$3:$EN$221,4,0),"")</f>
        <v/>
      </c>
      <c r="N169" s="72" t="str">
        <f>IFERROR(VLOOKUP($D169,'FERC 2021'!$EA$3:$EN$221,5,0),"")</f>
        <v/>
      </c>
      <c r="O169" s="72" t="str">
        <f>IFERROR(VLOOKUP($D169,'FERC 2022'!$EA$3:$EN$220,5,0),"")</f>
        <v/>
      </c>
      <c r="P169" s="72" t="str">
        <f>IFERROR(VLOOKUP($D169,'FERC 2023'!$EA$3:$EN$221,5,0),"")</f>
        <v/>
      </c>
      <c r="Q169" s="72" t="str">
        <f>IFERROR(VLOOKUP($D169,'FERC 2021'!$EA$3:$EN$221,6,0),"")</f>
        <v/>
      </c>
      <c r="R169" s="72" t="str">
        <f>IFERROR(VLOOKUP($D169,'FERC 2022'!$EA$3:$EN$220,6,0),"")</f>
        <v/>
      </c>
      <c r="S169" s="72" t="str">
        <f>IFERROR(VLOOKUP($D169,'FERC 2023'!$EA$3:$EN$221,6,0),"")</f>
        <v/>
      </c>
      <c r="T169" s="72" t="str">
        <f>IFERROR(VLOOKUP($D169,'FERC 2021'!$EA$3:$EN$221,7,0),"")</f>
        <v/>
      </c>
      <c r="U169" s="72" t="str">
        <f>IFERROR(VLOOKUP($D169,'FERC 2022'!$EA$3:$EN$220,7,0),"")</f>
        <v/>
      </c>
      <c r="V169" s="72" t="str">
        <f>IFERROR(VLOOKUP($D169,'FERC 2023'!$EA$3:$EN$221,7,0),"")</f>
        <v/>
      </c>
      <c r="W169" s="72" t="str">
        <f>IFERROR(VLOOKUP($D169,'FERC 2021'!$EA$3:$EN$221,8,0),"")</f>
        <v/>
      </c>
      <c r="X169" s="72" t="str">
        <f>IFERROR(VLOOKUP($D169,'FERC 2022'!$EA$3:$EN$220,8,0),"")</f>
        <v/>
      </c>
      <c r="Y169" s="72" t="str">
        <f>IFERROR(VLOOKUP($D169,'FERC 2023'!$EA$3:$EN$221,8,0),"")</f>
        <v/>
      </c>
      <c r="Z169" s="72" t="str">
        <f>IFERROR(VLOOKUP($D169,'FERC 2021'!$EA$3:$EN$222,9,0),"")</f>
        <v/>
      </c>
      <c r="AA169" s="72" t="str">
        <f>IFERROR(VLOOKUP($D169,'FERC 2022'!$EA$3:$EN$220,9,0),"")</f>
        <v/>
      </c>
      <c r="AB169" s="72" t="str">
        <f>IFERROR(VLOOKUP($D169,'FERC 2023'!$EA$3:$EN$221,9,0),"")</f>
        <v/>
      </c>
      <c r="AC169" s="72" t="str">
        <f>IFERROR(VLOOKUP($D169,'FERC 2021'!$EA$3:$EN$221,10,0),"")</f>
        <v/>
      </c>
      <c r="AD169" s="72" t="str">
        <f>IFERROR(VLOOKUP($D169,'FERC 2022'!$EA$3:$EN$220,10,0),"")</f>
        <v/>
      </c>
      <c r="AE169" s="72" t="str">
        <f>IFERROR(VLOOKUP($D169,'FERC 2023'!$EA$3:$EN$221,10,0),"")</f>
        <v/>
      </c>
      <c r="AF169" s="72" t="str">
        <f>IFERROR(VLOOKUP($D169,'FERC 2021'!$EA$3:$EN$221,11,0),"")</f>
        <v/>
      </c>
      <c r="AG169" s="72" t="str">
        <f>IFERROR(VLOOKUP($D169,'FERC 2022'!$EA$3:$EN$220,11,0),"")</f>
        <v/>
      </c>
      <c r="AH169" s="72" t="str">
        <f>IFERROR(VLOOKUP($D169,'FERC 2023'!$EA$3:$EN$221,11,0),"")</f>
        <v/>
      </c>
      <c r="AI169" s="72" t="str">
        <f>IFERROR(VLOOKUP($D169,'FERC 2021'!$EA$3:$EN$221,12,0),"")</f>
        <v/>
      </c>
      <c r="AJ169" s="72" t="str">
        <f>IFERROR(VLOOKUP($D169,'FERC 2022'!$EA$3:$EN$220,12,0),"")</f>
        <v/>
      </c>
      <c r="AK169" s="72" t="str">
        <f>IFERROR(VLOOKUP($D169,'FERC 2023'!$EA$3:$EN$221,12,0),"")</f>
        <v/>
      </c>
      <c r="AL169" s="72" t="str">
        <f>VLOOKUP($D169,'FERC 2021'!$EA$3:$EN$221,13,0)</f>
        <v/>
      </c>
      <c r="AM169" s="72" t="str">
        <f>VLOOKUP($D169,'FERC 2022'!$EA$3:$EN$220,13,0)</f>
        <v/>
      </c>
      <c r="AN169" s="72" t="str">
        <f>VLOOKUP($D169,'FERC 2023'!$EA$3:$EN$221,13,0)</f>
        <v/>
      </c>
      <c r="AO169" s="72" t="str">
        <f>IFERROR(VLOOKUP($D169,'FERC 2021'!$EA$3:$EN$221,14,0),"")</f>
        <v/>
      </c>
      <c r="AP169" s="72" t="str">
        <f>IFERROR(VLOOKUP($D169,'FERC 2022'!$EA$3:$EN$220,14,0),"")</f>
        <v/>
      </c>
      <c r="AQ169" s="72" t="str">
        <f>IFERROR(VLOOKUP($D169,'FERC 2023'!$EA$3:$EN$221,14,0),"")</f>
        <v/>
      </c>
    </row>
    <row r="170" spans="1:43" ht="15.75" hidden="1" customHeight="1">
      <c r="A170" s="7" t="s">
        <v>709</v>
      </c>
      <c r="B170" s="7" t="s">
        <v>710</v>
      </c>
      <c r="C170" s="311" t="str">
        <f>'BD DEA'!P170</f>
        <v/>
      </c>
      <c r="D170" s="44" t="str">
        <f t="shared" si="0"/>
        <v>C003138</v>
      </c>
      <c r="E170" s="72" t="str">
        <f>IFERROR(VLOOKUP($D170,'FERC 2021'!$EA$3:$EN$221,2,0),"")</f>
        <v/>
      </c>
      <c r="F170" s="72" t="str">
        <f>IFERROR(VLOOKUP($D170,'FERC 2022'!$EA$3:$EN$220,2,0),"")</f>
        <v/>
      </c>
      <c r="G170" s="72" t="str">
        <f>IFERROR(VLOOKUP($D170,'FERC 2023'!$EA$3:$EN$221,2,0),"")</f>
        <v/>
      </c>
      <c r="H170" s="72" t="str">
        <f>IFERROR(VLOOKUP($D170,'FERC 2021'!$EA$3:$EN$225,3,0),"")</f>
        <v/>
      </c>
      <c r="I170" s="72" t="str">
        <f>IFERROR(VLOOKUP($D170,'FERC 2022'!$EA$3:$EN$229,3,0),"")</f>
        <v/>
      </c>
      <c r="J170" s="72" t="str">
        <f>IFERROR(VLOOKUP($D170,'FERC 2023'!$EA$3:$EN$229,3,0),"")</f>
        <v/>
      </c>
      <c r="K170" s="72" t="str">
        <f>IFERROR(VLOOKUP($D170,'FERC 2021'!$EA$3:$EN$229,4,0),"")</f>
        <v/>
      </c>
      <c r="L170" s="72" t="str">
        <f>IFERROR(VLOOKUP($D170,'FERC 2022'!$EA$3:$EN$220,4,0),"")</f>
        <v/>
      </c>
      <c r="M170" s="72" t="str">
        <f>IFERROR(VLOOKUP($D170,'FERC 2023'!$EA$3:$EN$221,4,0),"")</f>
        <v/>
      </c>
      <c r="N170" s="72" t="str">
        <f>IFERROR(VLOOKUP($D170,'FERC 2021'!$EA$3:$EN$221,5,0),"")</f>
        <v/>
      </c>
      <c r="O170" s="72" t="str">
        <f>IFERROR(VLOOKUP($D170,'FERC 2022'!$EA$3:$EN$220,5,0),"")</f>
        <v/>
      </c>
      <c r="P170" s="72" t="str">
        <f>IFERROR(VLOOKUP($D170,'FERC 2023'!$EA$3:$EN$221,5,0),"")</f>
        <v/>
      </c>
      <c r="Q170" s="72" t="str">
        <f>IFERROR(VLOOKUP($D170,'FERC 2021'!$EA$3:$EN$221,6,0),"")</f>
        <v/>
      </c>
      <c r="R170" s="72" t="str">
        <f>IFERROR(VLOOKUP($D170,'FERC 2022'!$EA$3:$EN$220,6,0),"")</f>
        <v/>
      </c>
      <c r="S170" s="72" t="str">
        <f>IFERROR(VLOOKUP($D170,'FERC 2023'!$EA$3:$EN$221,6,0),"")</f>
        <v/>
      </c>
      <c r="T170" s="72" t="str">
        <f>IFERROR(VLOOKUP($D170,'FERC 2021'!$EA$3:$EN$221,7,0),"")</f>
        <v/>
      </c>
      <c r="U170" s="72" t="str">
        <f>IFERROR(VLOOKUP($D170,'FERC 2022'!$EA$3:$EN$220,7,0),"")</f>
        <v/>
      </c>
      <c r="V170" s="72" t="str">
        <f>IFERROR(VLOOKUP($D170,'FERC 2023'!$EA$3:$EN$221,7,0),"")</f>
        <v/>
      </c>
      <c r="W170" s="72" t="str">
        <f>IFERROR(VLOOKUP($D170,'FERC 2021'!$EA$3:$EN$221,8,0),"")</f>
        <v/>
      </c>
      <c r="X170" s="72" t="str">
        <f>IFERROR(VLOOKUP($D170,'FERC 2022'!$EA$3:$EN$220,8,0),"")</f>
        <v/>
      </c>
      <c r="Y170" s="72" t="str">
        <f>IFERROR(VLOOKUP($D170,'FERC 2023'!$EA$3:$EN$221,8,0),"")</f>
        <v/>
      </c>
      <c r="Z170" s="72" t="str">
        <f>IFERROR(VLOOKUP($D170,'FERC 2021'!$EA$3:$EN$222,9,0),"")</f>
        <v/>
      </c>
      <c r="AA170" s="72" t="str">
        <f>IFERROR(VLOOKUP($D170,'FERC 2022'!$EA$3:$EN$220,9,0),"")</f>
        <v/>
      </c>
      <c r="AB170" s="72" t="str">
        <f>IFERROR(VLOOKUP($D170,'FERC 2023'!$EA$3:$EN$221,9,0),"")</f>
        <v/>
      </c>
      <c r="AC170" s="72" t="str">
        <f>IFERROR(VLOOKUP($D170,'FERC 2021'!$EA$3:$EN$221,10,0),"")</f>
        <v/>
      </c>
      <c r="AD170" s="72" t="str">
        <f>IFERROR(VLOOKUP($D170,'FERC 2022'!$EA$3:$EN$220,10,0),"")</f>
        <v/>
      </c>
      <c r="AE170" s="72" t="str">
        <f>IFERROR(VLOOKUP($D170,'FERC 2023'!$EA$3:$EN$221,10,0),"")</f>
        <v/>
      </c>
      <c r="AF170" s="72" t="str">
        <f>IFERROR(VLOOKUP($D170,'FERC 2021'!$EA$3:$EN$221,11,0),"")</f>
        <v/>
      </c>
      <c r="AG170" s="72" t="str">
        <f>IFERROR(VLOOKUP($D170,'FERC 2022'!$EA$3:$EN$220,11,0),"")</f>
        <v/>
      </c>
      <c r="AH170" s="72" t="str">
        <f>IFERROR(VLOOKUP($D170,'FERC 2023'!$EA$3:$EN$221,11,0),"")</f>
        <v/>
      </c>
      <c r="AI170" s="72" t="str">
        <f>IFERROR(VLOOKUP($D170,'FERC 2021'!$EA$3:$EN$221,12,0),"")</f>
        <v/>
      </c>
      <c r="AJ170" s="72" t="str">
        <f>IFERROR(VLOOKUP($D170,'FERC 2022'!$EA$3:$EN$220,12,0),"")</f>
        <v/>
      </c>
      <c r="AK170" s="72" t="str">
        <f>IFERROR(VLOOKUP($D170,'FERC 2023'!$EA$3:$EN$221,12,0),"")</f>
        <v/>
      </c>
      <c r="AL170" s="72" t="str">
        <f>VLOOKUP($D170,'FERC 2021'!$EA$3:$EN$221,13,0)</f>
        <v/>
      </c>
      <c r="AM170" s="72" t="str">
        <f>VLOOKUP($D170,'FERC 2022'!$EA$3:$EN$220,13,0)</f>
        <v/>
      </c>
      <c r="AN170" s="72" t="str">
        <f>VLOOKUP($D170,'FERC 2023'!$EA$3:$EN$221,13,0)</f>
        <v/>
      </c>
      <c r="AO170" s="72" t="str">
        <f>IFERROR(VLOOKUP($D170,'FERC 2021'!$EA$3:$EN$221,14,0),"")</f>
        <v/>
      </c>
      <c r="AP170" s="72" t="str">
        <f>IFERROR(VLOOKUP($D170,'FERC 2022'!$EA$3:$EN$220,14,0),"")</f>
        <v/>
      </c>
      <c r="AQ170" s="72" t="str">
        <f>IFERROR(VLOOKUP($D170,'FERC 2023'!$EA$3:$EN$221,14,0),"")</f>
        <v/>
      </c>
    </row>
    <row r="171" spans="1:43" ht="15.75" hidden="1" customHeight="1">
      <c r="A171" s="7" t="s">
        <v>712</v>
      </c>
      <c r="B171" s="7" t="s">
        <v>713</v>
      </c>
      <c r="C171" s="311" t="str">
        <f>'BD DEA'!P171</f>
        <v/>
      </c>
      <c r="D171" s="44" t="str">
        <f t="shared" si="0"/>
        <v>C003184</v>
      </c>
      <c r="E171" s="72" t="str">
        <f>IFERROR(VLOOKUP($D171,'FERC 2021'!$EA$3:$EN$221,2,0),"")</f>
        <v/>
      </c>
      <c r="F171" s="72" t="str">
        <f>IFERROR(VLOOKUP($D171,'FERC 2022'!$EA$3:$EN$220,2,0),"")</f>
        <v/>
      </c>
      <c r="G171" s="72" t="str">
        <f>IFERROR(VLOOKUP($D171,'FERC 2023'!$EA$3:$EN$221,2,0),"")</f>
        <v/>
      </c>
      <c r="H171" s="72" t="str">
        <f>IFERROR(VLOOKUP($D171,'FERC 2021'!$EA$3:$EN$225,3,0),"")</f>
        <v/>
      </c>
      <c r="I171" s="72" t="str">
        <f>IFERROR(VLOOKUP($D171,'FERC 2022'!$EA$3:$EN$229,3,0),"")</f>
        <v/>
      </c>
      <c r="J171" s="72" t="str">
        <f>IFERROR(VLOOKUP($D171,'FERC 2023'!$EA$3:$EN$229,3,0),"")</f>
        <v/>
      </c>
      <c r="K171" s="72" t="str">
        <f>IFERROR(VLOOKUP($D171,'FERC 2021'!$EA$3:$EN$229,4,0),"")</f>
        <v/>
      </c>
      <c r="L171" s="72" t="str">
        <f>IFERROR(VLOOKUP($D171,'FERC 2022'!$EA$3:$EN$220,4,0),"")</f>
        <v/>
      </c>
      <c r="M171" s="72" t="str">
        <f>IFERROR(VLOOKUP($D171,'FERC 2023'!$EA$3:$EN$221,4,0),"")</f>
        <v/>
      </c>
      <c r="N171" s="72" t="str">
        <f>IFERROR(VLOOKUP($D171,'FERC 2021'!$EA$3:$EN$221,5,0),"")</f>
        <v/>
      </c>
      <c r="O171" s="72" t="str">
        <f>IFERROR(VLOOKUP($D171,'FERC 2022'!$EA$3:$EN$220,5,0),"")</f>
        <v/>
      </c>
      <c r="P171" s="72" t="str">
        <f>IFERROR(VLOOKUP($D171,'FERC 2023'!$EA$3:$EN$221,5,0),"")</f>
        <v/>
      </c>
      <c r="Q171" s="72" t="str">
        <f>IFERROR(VLOOKUP($D171,'FERC 2021'!$EA$3:$EN$221,6,0),"")</f>
        <v/>
      </c>
      <c r="R171" s="72" t="str">
        <f>IFERROR(VLOOKUP($D171,'FERC 2022'!$EA$3:$EN$220,6,0),"")</f>
        <v/>
      </c>
      <c r="S171" s="72" t="str">
        <f>IFERROR(VLOOKUP($D171,'FERC 2023'!$EA$3:$EN$221,6,0),"")</f>
        <v/>
      </c>
      <c r="T171" s="72" t="str">
        <f>IFERROR(VLOOKUP($D171,'FERC 2021'!$EA$3:$EN$221,7,0),"")</f>
        <v/>
      </c>
      <c r="U171" s="72" t="str">
        <f>IFERROR(VLOOKUP($D171,'FERC 2022'!$EA$3:$EN$220,7,0),"")</f>
        <v/>
      </c>
      <c r="V171" s="72" t="str">
        <f>IFERROR(VLOOKUP($D171,'FERC 2023'!$EA$3:$EN$221,7,0),"")</f>
        <v/>
      </c>
      <c r="W171" s="72" t="str">
        <f>IFERROR(VLOOKUP($D171,'FERC 2021'!$EA$3:$EN$221,8,0),"")</f>
        <v/>
      </c>
      <c r="X171" s="72" t="str">
        <f>IFERROR(VLOOKUP($D171,'FERC 2022'!$EA$3:$EN$220,8,0),"")</f>
        <v/>
      </c>
      <c r="Y171" s="72" t="str">
        <f>IFERROR(VLOOKUP($D171,'FERC 2023'!$EA$3:$EN$221,8,0),"")</f>
        <v/>
      </c>
      <c r="Z171" s="72" t="str">
        <f>IFERROR(VLOOKUP($D171,'FERC 2021'!$EA$3:$EN$222,9,0),"")</f>
        <v/>
      </c>
      <c r="AA171" s="72" t="str">
        <f>IFERROR(VLOOKUP($D171,'FERC 2022'!$EA$3:$EN$220,9,0),"")</f>
        <v/>
      </c>
      <c r="AB171" s="72" t="str">
        <f>IFERROR(VLOOKUP($D171,'FERC 2023'!$EA$3:$EN$221,9,0),"")</f>
        <v/>
      </c>
      <c r="AC171" s="72" t="str">
        <f>IFERROR(VLOOKUP($D171,'FERC 2021'!$EA$3:$EN$221,10,0),"")</f>
        <v/>
      </c>
      <c r="AD171" s="72" t="str">
        <f>IFERROR(VLOOKUP($D171,'FERC 2022'!$EA$3:$EN$220,10,0),"")</f>
        <v/>
      </c>
      <c r="AE171" s="72" t="str">
        <f>IFERROR(VLOOKUP($D171,'FERC 2023'!$EA$3:$EN$221,10,0),"")</f>
        <v/>
      </c>
      <c r="AF171" s="72" t="str">
        <f>IFERROR(VLOOKUP($D171,'FERC 2021'!$EA$3:$EN$221,11,0),"")</f>
        <v/>
      </c>
      <c r="AG171" s="72" t="str">
        <f>IFERROR(VLOOKUP($D171,'FERC 2022'!$EA$3:$EN$220,11,0),"")</f>
        <v/>
      </c>
      <c r="AH171" s="72" t="str">
        <f>IFERROR(VLOOKUP($D171,'FERC 2023'!$EA$3:$EN$221,11,0),"")</f>
        <v/>
      </c>
      <c r="AI171" s="72" t="str">
        <f>IFERROR(VLOOKUP($D171,'FERC 2021'!$EA$3:$EN$221,12,0),"")</f>
        <v/>
      </c>
      <c r="AJ171" s="72" t="str">
        <f>IFERROR(VLOOKUP($D171,'FERC 2022'!$EA$3:$EN$220,12,0),"")</f>
        <v/>
      </c>
      <c r="AK171" s="72" t="str">
        <f>IFERROR(VLOOKUP($D171,'FERC 2023'!$EA$3:$EN$221,12,0),"")</f>
        <v/>
      </c>
      <c r="AL171" s="72" t="str">
        <f>VLOOKUP($D171,'FERC 2021'!$EA$3:$EN$221,13,0)</f>
        <v/>
      </c>
      <c r="AM171" s="72" t="str">
        <f>VLOOKUP($D171,'FERC 2022'!$EA$3:$EN$220,13,0)</f>
        <v/>
      </c>
      <c r="AN171" s="72" t="str">
        <f>VLOOKUP($D171,'FERC 2023'!$EA$3:$EN$221,13,0)</f>
        <v/>
      </c>
      <c r="AO171" s="72" t="str">
        <f>IFERROR(VLOOKUP($D171,'FERC 2021'!$EA$3:$EN$221,14,0),"")</f>
        <v/>
      </c>
      <c r="AP171" s="72" t="str">
        <f>IFERROR(VLOOKUP($D171,'FERC 2022'!$EA$3:$EN$220,14,0),"")</f>
        <v/>
      </c>
      <c r="AQ171" s="72" t="str">
        <f>IFERROR(VLOOKUP($D171,'FERC 2023'!$EA$3:$EN$221,14,0),"")</f>
        <v/>
      </c>
    </row>
    <row r="172" spans="1:43" ht="15.75" hidden="1" customHeight="1">
      <c r="A172" s="7" t="s">
        <v>715</v>
      </c>
      <c r="B172" s="7" t="s">
        <v>716</v>
      </c>
      <c r="C172" s="311" t="str">
        <f>'BD DEA'!P172</f>
        <v/>
      </c>
      <c r="D172" s="44" t="str">
        <f t="shared" si="0"/>
        <v>C003194</v>
      </c>
      <c r="E172" s="72" t="str">
        <f>IFERROR(VLOOKUP($D172,'FERC 2021'!$EA$3:$EN$221,2,0),"")</f>
        <v/>
      </c>
      <c r="F172" s="72" t="str">
        <f>IFERROR(VLOOKUP($D172,'FERC 2022'!$EA$3:$EN$220,2,0),"")</f>
        <v/>
      </c>
      <c r="G172" s="72" t="str">
        <f>IFERROR(VLOOKUP($D172,'FERC 2023'!$EA$3:$EN$221,2,0),"")</f>
        <v/>
      </c>
      <c r="H172" s="72" t="str">
        <f>IFERROR(VLOOKUP($D172,'FERC 2021'!$EA$3:$EN$225,3,0),"")</f>
        <v/>
      </c>
      <c r="I172" s="72" t="str">
        <f>IFERROR(VLOOKUP($D172,'FERC 2022'!$EA$3:$EN$229,3,0),"")</f>
        <v/>
      </c>
      <c r="J172" s="72" t="str">
        <f>IFERROR(VLOOKUP($D172,'FERC 2023'!$EA$3:$EN$229,3,0),"")</f>
        <v/>
      </c>
      <c r="K172" s="72" t="str">
        <f>IFERROR(VLOOKUP($D172,'FERC 2021'!$EA$3:$EN$229,4,0),"")</f>
        <v/>
      </c>
      <c r="L172" s="72" t="str">
        <f>IFERROR(VLOOKUP($D172,'FERC 2022'!$EA$3:$EN$220,4,0),"")</f>
        <v/>
      </c>
      <c r="M172" s="72" t="str">
        <f>IFERROR(VLOOKUP($D172,'FERC 2023'!$EA$3:$EN$221,4,0),"")</f>
        <v/>
      </c>
      <c r="N172" s="72" t="str">
        <f>IFERROR(VLOOKUP($D172,'FERC 2021'!$EA$3:$EN$221,5,0),"")</f>
        <v/>
      </c>
      <c r="O172" s="72" t="str">
        <f>IFERROR(VLOOKUP($D172,'FERC 2022'!$EA$3:$EN$220,5,0),"")</f>
        <v/>
      </c>
      <c r="P172" s="72" t="str">
        <f>IFERROR(VLOOKUP($D172,'FERC 2023'!$EA$3:$EN$221,5,0),"")</f>
        <v/>
      </c>
      <c r="Q172" s="72" t="str">
        <f>IFERROR(VLOOKUP($D172,'FERC 2021'!$EA$3:$EN$221,6,0),"")</f>
        <v/>
      </c>
      <c r="R172" s="72" t="str">
        <f>IFERROR(VLOOKUP($D172,'FERC 2022'!$EA$3:$EN$220,6,0),"")</f>
        <v/>
      </c>
      <c r="S172" s="72" t="str">
        <f>IFERROR(VLOOKUP($D172,'FERC 2023'!$EA$3:$EN$221,6,0),"")</f>
        <v/>
      </c>
      <c r="T172" s="72" t="str">
        <f>IFERROR(VLOOKUP($D172,'FERC 2021'!$EA$3:$EN$221,7,0),"")</f>
        <v/>
      </c>
      <c r="U172" s="72" t="str">
        <f>IFERROR(VLOOKUP($D172,'FERC 2022'!$EA$3:$EN$220,7,0),"")</f>
        <v/>
      </c>
      <c r="V172" s="72" t="str">
        <f>IFERROR(VLOOKUP($D172,'FERC 2023'!$EA$3:$EN$221,7,0),"")</f>
        <v/>
      </c>
      <c r="W172" s="72" t="str">
        <f>IFERROR(VLOOKUP($D172,'FERC 2021'!$EA$3:$EN$221,8,0),"")</f>
        <v/>
      </c>
      <c r="X172" s="72" t="str">
        <f>IFERROR(VLOOKUP($D172,'FERC 2022'!$EA$3:$EN$220,8,0),"")</f>
        <v/>
      </c>
      <c r="Y172" s="72" t="str">
        <f>IFERROR(VLOOKUP($D172,'FERC 2023'!$EA$3:$EN$221,8,0),"")</f>
        <v/>
      </c>
      <c r="Z172" s="72" t="str">
        <f>IFERROR(VLOOKUP($D172,'FERC 2021'!$EA$3:$EN$222,9,0),"")</f>
        <v/>
      </c>
      <c r="AA172" s="72" t="str">
        <f>IFERROR(VLOOKUP($D172,'FERC 2022'!$EA$3:$EN$220,9,0),"")</f>
        <v/>
      </c>
      <c r="AB172" s="72" t="str">
        <f>IFERROR(VLOOKUP($D172,'FERC 2023'!$EA$3:$EN$221,9,0),"")</f>
        <v/>
      </c>
      <c r="AC172" s="72" t="str">
        <f>IFERROR(VLOOKUP($D172,'FERC 2021'!$EA$3:$EN$221,10,0),"")</f>
        <v/>
      </c>
      <c r="AD172" s="72" t="str">
        <f>IFERROR(VLOOKUP($D172,'FERC 2022'!$EA$3:$EN$220,10,0),"")</f>
        <v/>
      </c>
      <c r="AE172" s="72" t="str">
        <f>IFERROR(VLOOKUP($D172,'FERC 2023'!$EA$3:$EN$221,10,0),"")</f>
        <v/>
      </c>
      <c r="AF172" s="72" t="str">
        <f>IFERROR(VLOOKUP($D172,'FERC 2021'!$EA$3:$EN$221,11,0),"")</f>
        <v/>
      </c>
      <c r="AG172" s="72" t="str">
        <f>IFERROR(VLOOKUP($D172,'FERC 2022'!$EA$3:$EN$220,11,0),"")</f>
        <v/>
      </c>
      <c r="AH172" s="72" t="str">
        <f>IFERROR(VLOOKUP($D172,'FERC 2023'!$EA$3:$EN$221,11,0),"")</f>
        <v/>
      </c>
      <c r="AI172" s="72" t="str">
        <f>IFERROR(VLOOKUP($D172,'FERC 2021'!$EA$3:$EN$221,12,0),"")</f>
        <v/>
      </c>
      <c r="AJ172" s="72" t="str">
        <f>IFERROR(VLOOKUP($D172,'FERC 2022'!$EA$3:$EN$220,12,0),"")</f>
        <v/>
      </c>
      <c r="AK172" s="72" t="str">
        <f>IFERROR(VLOOKUP($D172,'FERC 2023'!$EA$3:$EN$221,12,0),"")</f>
        <v/>
      </c>
      <c r="AL172" s="72" t="str">
        <f>VLOOKUP($D172,'FERC 2021'!$EA$3:$EN$221,13,0)</f>
        <v/>
      </c>
      <c r="AM172" s="72" t="str">
        <f>VLOOKUP($D172,'FERC 2022'!$EA$3:$EN$220,13,0)</f>
        <v/>
      </c>
      <c r="AN172" s="72" t="str">
        <f>VLOOKUP($D172,'FERC 2023'!$EA$3:$EN$221,13,0)</f>
        <v/>
      </c>
      <c r="AO172" s="72" t="str">
        <f>IFERROR(VLOOKUP($D172,'FERC 2021'!$EA$3:$EN$221,14,0),"")</f>
        <v/>
      </c>
      <c r="AP172" s="72" t="str">
        <f>IFERROR(VLOOKUP($D172,'FERC 2022'!$EA$3:$EN$220,14,0),"")</f>
        <v/>
      </c>
      <c r="AQ172" s="72" t="str">
        <f>IFERROR(VLOOKUP($D172,'FERC 2023'!$EA$3:$EN$221,14,0),"")</f>
        <v/>
      </c>
    </row>
    <row r="173" spans="1:43" ht="15.75" hidden="1" customHeight="1">
      <c r="A173" s="7" t="s">
        <v>718</v>
      </c>
      <c r="B173" s="7" t="s">
        <v>719</v>
      </c>
      <c r="C173" s="311" t="str">
        <f>'BD DEA'!P173</f>
        <v/>
      </c>
      <c r="D173" s="44" t="str">
        <f t="shared" si="0"/>
        <v>C003435</v>
      </c>
      <c r="E173" s="72" t="str">
        <f>IFERROR(VLOOKUP($D173,'FERC 2021'!$EA$3:$EN$221,2,0),"")</f>
        <v/>
      </c>
      <c r="F173" s="72" t="str">
        <f>IFERROR(VLOOKUP($D173,'FERC 2022'!$EA$3:$EN$220,2,0),"")</f>
        <v/>
      </c>
      <c r="G173" s="72" t="str">
        <f>IFERROR(VLOOKUP($D173,'FERC 2023'!$EA$3:$EN$221,2,0),"")</f>
        <v/>
      </c>
      <c r="H173" s="72" t="str">
        <f>IFERROR(VLOOKUP($D173,'FERC 2021'!$EA$3:$EN$225,3,0),"")</f>
        <v/>
      </c>
      <c r="I173" s="72" t="str">
        <f>IFERROR(VLOOKUP($D173,'FERC 2022'!$EA$3:$EN$229,3,0),"")</f>
        <v/>
      </c>
      <c r="J173" s="72" t="str">
        <f>IFERROR(VLOOKUP($D173,'FERC 2023'!$EA$3:$EN$229,3,0),"")</f>
        <v/>
      </c>
      <c r="K173" s="72" t="str">
        <f>IFERROR(VLOOKUP($D173,'FERC 2021'!$EA$3:$EN$229,4,0),"")</f>
        <v/>
      </c>
      <c r="L173" s="72" t="str">
        <f>IFERROR(VLOOKUP($D173,'FERC 2022'!$EA$3:$EN$220,4,0),"")</f>
        <v/>
      </c>
      <c r="M173" s="72" t="str">
        <f>IFERROR(VLOOKUP($D173,'FERC 2023'!$EA$3:$EN$221,4,0),"")</f>
        <v/>
      </c>
      <c r="N173" s="72" t="str">
        <f>IFERROR(VLOOKUP($D173,'FERC 2021'!$EA$3:$EN$221,5,0),"")</f>
        <v/>
      </c>
      <c r="O173" s="72" t="str">
        <f>IFERROR(VLOOKUP($D173,'FERC 2022'!$EA$3:$EN$220,5,0),"")</f>
        <v/>
      </c>
      <c r="P173" s="72" t="str">
        <f>IFERROR(VLOOKUP($D173,'FERC 2023'!$EA$3:$EN$221,5,0),"")</f>
        <v/>
      </c>
      <c r="Q173" s="72" t="str">
        <f>IFERROR(VLOOKUP($D173,'FERC 2021'!$EA$3:$EN$221,6,0),"")</f>
        <v/>
      </c>
      <c r="R173" s="72" t="str">
        <f>IFERROR(VLOOKUP($D173,'FERC 2022'!$EA$3:$EN$220,6,0),"")</f>
        <v/>
      </c>
      <c r="S173" s="72" t="str">
        <f>IFERROR(VLOOKUP($D173,'FERC 2023'!$EA$3:$EN$221,6,0),"")</f>
        <v/>
      </c>
      <c r="T173" s="72" t="str">
        <f>IFERROR(VLOOKUP($D173,'FERC 2021'!$EA$3:$EN$221,7,0),"")</f>
        <v/>
      </c>
      <c r="U173" s="72" t="str">
        <f>IFERROR(VLOOKUP($D173,'FERC 2022'!$EA$3:$EN$220,7,0),"")</f>
        <v/>
      </c>
      <c r="V173" s="72" t="str">
        <f>IFERROR(VLOOKUP($D173,'FERC 2023'!$EA$3:$EN$221,7,0),"")</f>
        <v/>
      </c>
      <c r="W173" s="72" t="str">
        <f>IFERROR(VLOOKUP($D173,'FERC 2021'!$EA$3:$EN$221,8,0),"")</f>
        <v/>
      </c>
      <c r="X173" s="72" t="str">
        <f>IFERROR(VLOOKUP($D173,'FERC 2022'!$EA$3:$EN$220,8,0),"")</f>
        <v/>
      </c>
      <c r="Y173" s="72" t="str">
        <f>IFERROR(VLOOKUP($D173,'FERC 2023'!$EA$3:$EN$221,8,0),"")</f>
        <v/>
      </c>
      <c r="Z173" s="72" t="str">
        <f>IFERROR(VLOOKUP($D173,'FERC 2021'!$EA$3:$EN$222,9,0),"")</f>
        <v/>
      </c>
      <c r="AA173" s="72" t="str">
        <f>IFERROR(VLOOKUP($D173,'FERC 2022'!$EA$3:$EN$220,9,0),"")</f>
        <v/>
      </c>
      <c r="AB173" s="72" t="str">
        <f>IFERROR(VLOOKUP($D173,'FERC 2023'!$EA$3:$EN$221,9,0),"")</f>
        <v/>
      </c>
      <c r="AC173" s="72" t="str">
        <f>IFERROR(VLOOKUP($D173,'FERC 2021'!$EA$3:$EN$221,10,0),"")</f>
        <v/>
      </c>
      <c r="AD173" s="72" t="str">
        <f>IFERROR(VLOOKUP($D173,'FERC 2022'!$EA$3:$EN$220,10,0),"")</f>
        <v/>
      </c>
      <c r="AE173" s="72" t="str">
        <f>IFERROR(VLOOKUP($D173,'FERC 2023'!$EA$3:$EN$221,10,0),"")</f>
        <v/>
      </c>
      <c r="AF173" s="72" t="str">
        <f>IFERROR(VLOOKUP($D173,'FERC 2021'!$EA$3:$EN$221,11,0),"")</f>
        <v/>
      </c>
      <c r="AG173" s="72" t="str">
        <f>IFERROR(VLOOKUP($D173,'FERC 2022'!$EA$3:$EN$220,11,0),"")</f>
        <v/>
      </c>
      <c r="AH173" s="72" t="str">
        <f>IFERROR(VLOOKUP($D173,'FERC 2023'!$EA$3:$EN$221,11,0),"")</f>
        <v/>
      </c>
      <c r="AI173" s="72" t="str">
        <f>IFERROR(VLOOKUP($D173,'FERC 2021'!$EA$3:$EN$221,12,0),"")</f>
        <v/>
      </c>
      <c r="AJ173" s="72" t="str">
        <f>IFERROR(VLOOKUP($D173,'FERC 2022'!$EA$3:$EN$220,12,0),"")</f>
        <v/>
      </c>
      <c r="AK173" s="72" t="str">
        <f>IFERROR(VLOOKUP($D173,'FERC 2023'!$EA$3:$EN$221,12,0),"")</f>
        <v/>
      </c>
      <c r="AL173" s="72" t="str">
        <f>VLOOKUP($D173,'FERC 2021'!$EA$3:$EN$221,13,0)</f>
        <v/>
      </c>
      <c r="AM173" s="72" t="str">
        <f>VLOOKUP($D173,'FERC 2022'!$EA$3:$EN$220,13,0)</f>
        <v/>
      </c>
      <c r="AN173" s="72" t="str">
        <f>VLOOKUP($D173,'FERC 2023'!$EA$3:$EN$221,13,0)</f>
        <v/>
      </c>
      <c r="AO173" s="72" t="str">
        <f>IFERROR(VLOOKUP($D173,'FERC 2021'!$EA$3:$EN$221,14,0),"")</f>
        <v/>
      </c>
      <c r="AP173" s="72" t="str">
        <f>IFERROR(VLOOKUP($D173,'FERC 2022'!$EA$3:$EN$220,14,0),"")</f>
        <v/>
      </c>
      <c r="AQ173" s="72" t="str">
        <f>IFERROR(VLOOKUP($D173,'FERC 2023'!$EA$3:$EN$221,14,0),"")</f>
        <v/>
      </c>
    </row>
    <row r="174" spans="1:43" ht="15.75" hidden="1" customHeight="1">
      <c r="A174" s="7" t="s">
        <v>721</v>
      </c>
      <c r="B174" s="7" t="s">
        <v>722</v>
      </c>
      <c r="C174" s="311" t="str">
        <f>'BD DEA'!P174</f>
        <v/>
      </c>
      <c r="D174" s="44" t="str">
        <f t="shared" si="0"/>
        <v>C003483</v>
      </c>
      <c r="E174" s="72" t="str">
        <f>IFERROR(VLOOKUP($D174,'FERC 2021'!$EA$3:$EN$221,2,0),"")</f>
        <v/>
      </c>
      <c r="F174" s="72" t="str">
        <f>IFERROR(VLOOKUP($D174,'FERC 2022'!$EA$3:$EN$220,2,0),"")</f>
        <v/>
      </c>
      <c r="G174" s="72" t="str">
        <f>IFERROR(VLOOKUP($D174,'FERC 2023'!$EA$3:$EN$221,2,0),"")</f>
        <v/>
      </c>
      <c r="H174" s="72" t="str">
        <f>IFERROR(VLOOKUP($D174,'FERC 2021'!$EA$3:$EN$225,3,0),"")</f>
        <v/>
      </c>
      <c r="I174" s="72" t="str">
        <f>IFERROR(VLOOKUP($D174,'FERC 2022'!$EA$3:$EN$229,3,0),"")</f>
        <v/>
      </c>
      <c r="J174" s="72" t="str">
        <f>IFERROR(VLOOKUP($D174,'FERC 2023'!$EA$3:$EN$229,3,0),"")</f>
        <v/>
      </c>
      <c r="K174" s="72" t="str">
        <f>IFERROR(VLOOKUP($D174,'FERC 2021'!$EA$3:$EN$229,4,0),"")</f>
        <v/>
      </c>
      <c r="L174" s="72" t="str">
        <f>IFERROR(VLOOKUP($D174,'FERC 2022'!$EA$3:$EN$220,4,0),"")</f>
        <v/>
      </c>
      <c r="M174" s="72" t="str">
        <f>IFERROR(VLOOKUP($D174,'FERC 2023'!$EA$3:$EN$221,4,0),"")</f>
        <v/>
      </c>
      <c r="N174" s="72" t="str">
        <f>IFERROR(VLOOKUP($D174,'FERC 2021'!$EA$3:$EN$221,5,0),"")</f>
        <v/>
      </c>
      <c r="O174" s="72" t="str">
        <f>IFERROR(VLOOKUP($D174,'FERC 2022'!$EA$3:$EN$220,5,0),"")</f>
        <v/>
      </c>
      <c r="P174" s="72" t="str">
        <f>IFERROR(VLOOKUP($D174,'FERC 2023'!$EA$3:$EN$221,5,0),"")</f>
        <v/>
      </c>
      <c r="Q174" s="72" t="str">
        <f>IFERROR(VLOOKUP($D174,'FERC 2021'!$EA$3:$EN$221,6,0),"")</f>
        <v/>
      </c>
      <c r="R174" s="72" t="str">
        <f>IFERROR(VLOOKUP($D174,'FERC 2022'!$EA$3:$EN$220,6,0),"")</f>
        <v/>
      </c>
      <c r="S174" s="72" t="str">
        <f>IFERROR(VLOOKUP($D174,'FERC 2023'!$EA$3:$EN$221,6,0),"")</f>
        <v/>
      </c>
      <c r="T174" s="72" t="str">
        <f>IFERROR(VLOOKUP($D174,'FERC 2021'!$EA$3:$EN$221,7,0),"")</f>
        <v/>
      </c>
      <c r="U174" s="72" t="str">
        <f>IFERROR(VLOOKUP($D174,'FERC 2022'!$EA$3:$EN$220,7,0),"")</f>
        <v/>
      </c>
      <c r="V174" s="72" t="str">
        <f>IFERROR(VLOOKUP($D174,'FERC 2023'!$EA$3:$EN$221,7,0),"")</f>
        <v/>
      </c>
      <c r="W174" s="72" t="str">
        <f>IFERROR(VLOOKUP($D174,'FERC 2021'!$EA$3:$EN$221,8,0),"")</f>
        <v/>
      </c>
      <c r="X174" s="72" t="str">
        <f>IFERROR(VLOOKUP($D174,'FERC 2022'!$EA$3:$EN$220,8,0),"")</f>
        <v/>
      </c>
      <c r="Y174" s="72" t="str">
        <f>IFERROR(VLOOKUP($D174,'FERC 2023'!$EA$3:$EN$221,8,0),"")</f>
        <v/>
      </c>
      <c r="Z174" s="72" t="str">
        <f>IFERROR(VLOOKUP($D174,'FERC 2021'!$EA$3:$EN$222,9,0),"")</f>
        <v/>
      </c>
      <c r="AA174" s="72" t="str">
        <f>IFERROR(VLOOKUP($D174,'FERC 2022'!$EA$3:$EN$220,9,0),"")</f>
        <v/>
      </c>
      <c r="AB174" s="72" t="str">
        <f>IFERROR(VLOOKUP($D174,'FERC 2023'!$EA$3:$EN$221,9,0),"")</f>
        <v/>
      </c>
      <c r="AC174" s="72" t="str">
        <f>IFERROR(VLOOKUP($D174,'FERC 2021'!$EA$3:$EN$221,10,0),"")</f>
        <v/>
      </c>
      <c r="AD174" s="72" t="str">
        <f>IFERROR(VLOOKUP($D174,'FERC 2022'!$EA$3:$EN$220,10,0),"")</f>
        <v/>
      </c>
      <c r="AE174" s="72" t="str">
        <f>IFERROR(VLOOKUP($D174,'FERC 2023'!$EA$3:$EN$221,10,0),"")</f>
        <v/>
      </c>
      <c r="AF174" s="72" t="str">
        <f>IFERROR(VLOOKUP($D174,'FERC 2021'!$EA$3:$EN$221,11,0),"")</f>
        <v/>
      </c>
      <c r="AG174" s="72" t="str">
        <f>IFERROR(VLOOKUP($D174,'FERC 2022'!$EA$3:$EN$220,11,0),"")</f>
        <v/>
      </c>
      <c r="AH174" s="72" t="str">
        <f>IFERROR(VLOOKUP($D174,'FERC 2023'!$EA$3:$EN$221,11,0),"")</f>
        <v/>
      </c>
      <c r="AI174" s="72" t="str">
        <f>IFERROR(VLOOKUP($D174,'FERC 2021'!$EA$3:$EN$221,12,0),"")</f>
        <v/>
      </c>
      <c r="AJ174" s="72" t="str">
        <f>IFERROR(VLOOKUP($D174,'FERC 2022'!$EA$3:$EN$220,12,0),"")</f>
        <v/>
      </c>
      <c r="AK174" s="72" t="str">
        <f>IFERROR(VLOOKUP($D174,'FERC 2023'!$EA$3:$EN$221,12,0),"")</f>
        <v/>
      </c>
      <c r="AL174" s="72" t="str">
        <f>VLOOKUP($D174,'FERC 2021'!$EA$3:$EN$221,13,0)</f>
        <v/>
      </c>
      <c r="AM174" s="72" t="str">
        <f>VLOOKUP($D174,'FERC 2022'!$EA$3:$EN$220,13,0)</f>
        <v/>
      </c>
      <c r="AN174" s="72" t="str">
        <f>VLOOKUP($D174,'FERC 2023'!$EA$3:$EN$221,13,0)</f>
        <v/>
      </c>
      <c r="AO174" s="72" t="str">
        <f>IFERROR(VLOOKUP($D174,'FERC 2021'!$EA$3:$EN$221,14,0),"")</f>
        <v/>
      </c>
      <c r="AP174" s="72" t="str">
        <f>IFERROR(VLOOKUP($D174,'FERC 2022'!$EA$3:$EN$220,14,0),"")</f>
        <v/>
      </c>
      <c r="AQ174" s="72" t="str">
        <f>IFERROR(VLOOKUP($D174,'FERC 2023'!$EA$3:$EN$221,14,0),"")</f>
        <v/>
      </c>
    </row>
    <row r="175" spans="1:43" ht="15.75" hidden="1" customHeight="1">
      <c r="A175" s="7" t="s">
        <v>724</v>
      </c>
      <c r="B175" s="7" t="s">
        <v>725</v>
      </c>
      <c r="C175" s="311" t="str">
        <f>'BD DEA'!P175</f>
        <v/>
      </c>
      <c r="D175" s="44" t="str">
        <f t="shared" si="0"/>
        <v>C003646</v>
      </c>
      <c r="E175" s="72" t="str">
        <f>IFERROR(VLOOKUP($D175,'FERC 2021'!$EA$3:$EN$221,2,0),"")</f>
        <v/>
      </c>
      <c r="F175" s="72" t="str">
        <f>IFERROR(VLOOKUP($D175,'FERC 2022'!$EA$3:$EN$220,2,0),"")</f>
        <v/>
      </c>
      <c r="G175" s="72" t="str">
        <f>IFERROR(VLOOKUP($D175,'FERC 2023'!$EA$3:$EN$221,2,0),"")</f>
        <v/>
      </c>
      <c r="H175" s="72" t="str">
        <f>IFERROR(VLOOKUP($D175,'FERC 2021'!$EA$3:$EN$225,3,0),"")</f>
        <v/>
      </c>
      <c r="I175" s="72" t="str">
        <f>IFERROR(VLOOKUP($D175,'FERC 2022'!$EA$3:$EN$229,3,0),"")</f>
        <v/>
      </c>
      <c r="J175" s="72" t="str">
        <f>IFERROR(VLOOKUP($D175,'FERC 2023'!$EA$3:$EN$229,3,0),"")</f>
        <v/>
      </c>
      <c r="K175" s="72" t="str">
        <f>IFERROR(VLOOKUP($D175,'FERC 2021'!$EA$3:$EN$229,4,0),"")</f>
        <v/>
      </c>
      <c r="L175" s="72" t="str">
        <f>IFERROR(VLOOKUP($D175,'FERC 2022'!$EA$3:$EN$220,4,0),"")</f>
        <v/>
      </c>
      <c r="M175" s="72" t="str">
        <f>IFERROR(VLOOKUP($D175,'FERC 2023'!$EA$3:$EN$221,4,0),"")</f>
        <v/>
      </c>
      <c r="N175" s="72" t="str">
        <f>IFERROR(VLOOKUP($D175,'FERC 2021'!$EA$3:$EN$221,5,0),"")</f>
        <v/>
      </c>
      <c r="O175" s="72" t="str">
        <f>IFERROR(VLOOKUP($D175,'FERC 2022'!$EA$3:$EN$220,5,0),"")</f>
        <v/>
      </c>
      <c r="P175" s="72" t="str">
        <f>IFERROR(VLOOKUP($D175,'FERC 2023'!$EA$3:$EN$221,5,0),"")</f>
        <v/>
      </c>
      <c r="Q175" s="72" t="str">
        <f>IFERROR(VLOOKUP($D175,'FERC 2021'!$EA$3:$EN$221,6,0),"")</f>
        <v/>
      </c>
      <c r="R175" s="72" t="str">
        <f>IFERROR(VLOOKUP($D175,'FERC 2022'!$EA$3:$EN$220,6,0),"")</f>
        <v/>
      </c>
      <c r="S175" s="72" t="str">
        <f>IFERROR(VLOOKUP($D175,'FERC 2023'!$EA$3:$EN$221,6,0),"")</f>
        <v/>
      </c>
      <c r="T175" s="72" t="str">
        <f>IFERROR(VLOOKUP($D175,'FERC 2021'!$EA$3:$EN$221,7,0),"")</f>
        <v/>
      </c>
      <c r="U175" s="72" t="str">
        <f>IFERROR(VLOOKUP($D175,'FERC 2022'!$EA$3:$EN$220,7,0),"")</f>
        <v/>
      </c>
      <c r="V175" s="72" t="str">
        <f>IFERROR(VLOOKUP($D175,'FERC 2023'!$EA$3:$EN$221,7,0),"")</f>
        <v/>
      </c>
      <c r="W175" s="72" t="str">
        <f>IFERROR(VLOOKUP($D175,'FERC 2021'!$EA$3:$EN$221,8,0),"")</f>
        <v/>
      </c>
      <c r="X175" s="72" t="str">
        <f>IFERROR(VLOOKUP($D175,'FERC 2022'!$EA$3:$EN$220,8,0),"")</f>
        <v/>
      </c>
      <c r="Y175" s="72" t="str">
        <f>IFERROR(VLOOKUP($D175,'FERC 2023'!$EA$3:$EN$221,8,0),"")</f>
        <v/>
      </c>
      <c r="Z175" s="72" t="str">
        <f>IFERROR(VLOOKUP($D175,'FERC 2021'!$EA$3:$EN$222,9,0),"")</f>
        <v/>
      </c>
      <c r="AA175" s="72" t="str">
        <f>IFERROR(VLOOKUP($D175,'FERC 2022'!$EA$3:$EN$220,9,0),"")</f>
        <v/>
      </c>
      <c r="AB175" s="72" t="str">
        <f>IFERROR(VLOOKUP($D175,'FERC 2023'!$EA$3:$EN$221,9,0),"")</f>
        <v/>
      </c>
      <c r="AC175" s="72" t="str">
        <f>IFERROR(VLOOKUP($D175,'FERC 2021'!$EA$3:$EN$221,10,0),"")</f>
        <v/>
      </c>
      <c r="AD175" s="72" t="str">
        <f>IFERROR(VLOOKUP($D175,'FERC 2022'!$EA$3:$EN$220,10,0),"")</f>
        <v/>
      </c>
      <c r="AE175" s="72" t="str">
        <f>IFERROR(VLOOKUP($D175,'FERC 2023'!$EA$3:$EN$221,10,0),"")</f>
        <v/>
      </c>
      <c r="AF175" s="72" t="str">
        <f>IFERROR(VLOOKUP($D175,'FERC 2021'!$EA$3:$EN$221,11,0),"")</f>
        <v/>
      </c>
      <c r="AG175" s="72" t="str">
        <f>IFERROR(VLOOKUP($D175,'FERC 2022'!$EA$3:$EN$220,11,0),"")</f>
        <v/>
      </c>
      <c r="AH175" s="72" t="str">
        <f>IFERROR(VLOOKUP($D175,'FERC 2023'!$EA$3:$EN$221,11,0),"")</f>
        <v/>
      </c>
      <c r="AI175" s="72" t="str">
        <f>IFERROR(VLOOKUP($D175,'FERC 2021'!$EA$3:$EN$221,12,0),"")</f>
        <v/>
      </c>
      <c r="AJ175" s="72" t="str">
        <f>IFERROR(VLOOKUP($D175,'FERC 2022'!$EA$3:$EN$220,12,0),"")</f>
        <v/>
      </c>
      <c r="AK175" s="72" t="str">
        <f>IFERROR(VLOOKUP($D175,'FERC 2023'!$EA$3:$EN$221,12,0),"")</f>
        <v/>
      </c>
      <c r="AL175" s="72" t="str">
        <f>VLOOKUP($D175,'FERC 2021'!$EA$3:$EN$221,13,0)</f>
        <v/>
      </c>
      <c r="AM175" s="72" t="str">
        <f>VLOOKUP($D175,'FERC 2022'!$EA$3:$EN$220,13,0)</f>
        <v/>
      </c>
      <c r="AN175" s="72" t="str">
        <f>VLOOKUP($D175,'FERC 2023'!$EA$3:$EN$221,13,0)</f>
        <v/>
      </c>
      <c r="AO175" s="72" t="str">
        <f>IFERROR(VLOOKUP($D175,'FERC 2021'!$EA$3:$EN$221,14,0),"")</f>
        <v/>
      </c>
      <c r="AP175" s="72" t="str">
        <f>IFERROR(VLOOKUP($D175,'FERC 2022'!$EA$3:$EN$220,14,0),"")</f>
        <v/>
      </c>
      <c r="AQ175" s="72" t="str">
        <f>IFERROR(VLOOKUP($D175,'FERC 2023'!$EA$3:$EN$221,14,0),"")</f>
        <v/>
      </c>
    </row>
    <row r="176" spans="1:43" ht="15.75" hidden="1" customHeight="1">
      <c r="A176" s="7" t="s">
        <v>727</v>
      </c>
      <c r="B176" s="7" t="s">
        <v>728</v>
      </c>
      <c r="C176" s="311" t="str">
        <f>'BD DEA'!P176</f>
        <v/>
      </c>
      <c r="D176" s="44" t="str">
        <f t="shared" si="0"/>
        <v>C003713</v>
      </c>
      <c r="E176" s="72" t="str">
        <f>IFERROR(VLOOKUP($D176,'FERC 2021'!$EA$3:$EN$221,2,0),"")</f>
        <v/>
      </c>
      <c r="F176" s="72" t="str">
        <f>IFERROR(VLOOKUP($D176,'FERC 2022'!$EA$3:$EN$220,2,0),"")</f>
        <v/>
      </c>
      <c r="G176" s="72" t="str">
        <f>IFERROR(VLOOKUP($D176,'FERC 2023'!$EA$3:$EN$221,2,0),"")</f>
        <v/>
      </c>
      <c r="H176" s="72" t="str">
        <f>IFERROR(VLOOKUP($D176,'FERC 2021'!$EA$3:$EN$225,3,0),"")</f>
        <v/>
      </c>
      <c r="I176" s="72" t="str">
        <f>IFERROR(VLOOKUP($D176,'FERC 2022'!$EA$3:$EN$229,3,0),"")</f>
        <v/>
      </c>
      <c r="J176" s="72" t="str">
        <f>IFERROR(VLOOKUP($D176,'FERC 2023'!$EA$3:$EN$229,3,0),"")</f>
        <v/>
      </c>
      <c r="K176" s="72" t="str">
        <f>IFERROR(VLOOKUP($D176,'FERC 2021'!$EA$3:$EN$229,4,0),"")</f>
        <v/>
      </c>
      <c r="L176" s="72" t="str">
        <f>IFERROR(VLOOKUP($D176,'FERC 2022'!$EA$3:$EN$220,4,0),"")</f>
        <v/>
      </c>
      <c r="M176" s="72" t="str">
        <f>IFERROR(VLOOKUP($D176,'FERC 2023'!$EA$3:$EN$221,4,0),"")</f>
        <v/>
      </c>
      <c r="N176" s="72" t="str">
        <f>IFERROR(VLOOKUP($D176,'FERC 2021'!$EA$3:$EN$221,5,0),"")</f>
        <v/>
      </c>
      <c r="O176" s="72" t="str">
        <f>IFERROR(VLOOKUP($D176,'FERC 2022'!$EA$3:$EN$220,5,0),"")</f>
        <v/>
      </c>
      <c r="P176" s="72" t="str">
        <f>IFERROR(VLOOKUP($D176,'FERC 2023'!$EA$3:$EN$221,5,0),"")</f>
        <v/>
      </c>
      <c r="Q176" s="72" t="str">
        <f>IFERROR(VLOOKUP($D176,'FERC 2021'!$EA$3:$EN$221,6,0),"")</f>
        <v/>
      </c>
      <c r="R176" s="72" t="str">
        <f>IFERROR(VLOOKUP($D176,'FERC 2022'!$EA$3:$EN$220,6,0),"")</f>
        <v/>
      </c>
      <c r="S176" s="72" t="str">
        <f>IFERROR(VLOOKUP($D176,'FERC 2023'!$EA$3:$EN$221,6,0),"")</f>
        <v/>
      </c>
      <c r="T176" s="72" t="str">
        <f>IFERROR(VLOOKUP($D176,'FERC 2021'!$EA$3:$EN$221,7,0),"")</f>
        <v/>
      </c>
      <c r="U176" s="72" t="str">
        <f>IFERROR(VLOOKUP($D176,'FERC 2022'!$EA$3:$EN$220,7,0),"")</f>
        <v/>
      </c>
      <c r="V176" s="72" t="str">
        <f>IFERROR(VLOOKUP($D176,'FERC 2023'!$EA$3:$EN$221,7,0),"")</f>
        <v/>
      </c>
      <c r="W176" s="72" t="str">
        <f>IFERROR(VLOOKUP($D176,'FERC 2021'!$EA$3:$EN$221,8,0),"")</f>
        <v/>
      </c>
      <c r="X176" s="72" t="str">
        <f>IFERROR(VLOOKUP($D176,'FERC 2022'!$EA$3:$EN$220,8,0),"")</f>
        <v/>
      </c>
      <c r="Y176" s="72" t="str">
        <f>IFERROR(VLOOKUP($D176,'FERC 2023'!$EA$3:$EN$221,8,0),"")</f>
        <v/>
      </c>
      <c r="Z176" s="72" t="str">
        <f>IFERROR(VLOOKUP($D176,'FERC 2021'!$EA$3:$EN$222,9,0),"")</f>
        <v/>
      </c>
      <c r="AA176" s="72" t="str">
        <f>IFERROR(VLOOKUP($D176,'FERC 2022'!$EA$3:$EN$220,9,0),"")</f>
        <v/>
      </c>
      <c r="AB176" s="72" t="str">
        <f>IFERROR(VLOOKUP($D176,'FERC 2023'!$EA$3:$EN$221,9,0),"")</f>
        <v/>
      </c>
      <c r="AC176" s="72" t="str">
        <f>IFERROR(VLOOKUP($D176,'FERC 2021'!$EA$3:$EN$221,10,0),"")</f>
        <v/>
      </c>
      <c r="AD176" s="72" t="str">
        <f>IFERROR(VLOOKUP($D176,'FERC 2022'!$EA$3:$EN$220,10,0),"")</f>
        <v/>
      </c>
      <c r="AE176" s="72" t="str">
        <f>IFERROR(VLOOKUP($D176,'FERC 2023'!$EA$3:$EN$221,10,0),"")</f>
        <v/>
      </c>
      <c r="AF176" s="72" t="str">
        <f>IFERROR(VLOOKUP($D176,'FERC 2021'!$EA$3:$EN$221,11,0),"")</f>
        <v/>
      </c>
      <c r="AG176" s="72" t="str">
        <f>IFERROR(VLOOKUP($D176,'FERC 2022'!$EA$3:$EN$220,11,0),"")</f>
        <v/>
      </c>
      <c r="AH176" s="72" t="str">
        <f>IFERROR(VLOOKUP($D176,'FERC 2023'!$EA$3:$EN$221,11,0),"")</f>
        <v/>
      </c>
      <c r="AI176" s="72" t="str">
        <f>IFERROR(VLOOKUP($D176,'FERC 2021'!$EA$3:$EN$221,12,0),"")</f>
        <v/>
      </c>
      <c r="AJ176" s="72" t="str">
        <f>IFERROR(VLOOKUP($D176,'FERC 2022'!$EA$3:$EN$220,12,0),"")</f>
        <v/>
      </c>
      <c r="AK176" s="72" t="str">
        <f>IFERROR(VLOOKUP($D176,'FERC 2023'!$EA$3:$EN$221,12,0),"")</f>
        <v/>
      </c>
      <c r="AL176" s="72" t="str">
        <f>VLOOKUP($D176,'FERC 2021'!$EA$3:$EN$221,13,0)</f>
        <v/>
      </c>
      <c r="AM176" s="72" t="str">
        <f>VLOOKUP($D176,'FERC 2022'!$EA$3:$EN$220,13,0)</f>
        <v/>
      </c>
      <c r="AN176" s="72" t="str">
        <f>VLOOKUP($D176,'FERC 2023'!$EA$3:$EN$221,13,0)</f>
        <v/>
      </c>
      <c r="AO176" s="72" t="str">
        <f>IFERROR(VLOOKUP($D176,'FERC 2021'!$EA$3:$EN$221,14,0),"")</f>
        <v/>
      </c>
      <c r="AP176" s="72" t="str">
        <f>IFERROR(VLOOKUP($D176,'FERC 2022'!$EA$3:$EN$220,14,0),"")</f>
        <v/>
      </c>
      <c r="AQ176" s="72" t="str">
        <f>IFERROR(VLOOKUP($D176,'FERC 2023'!$EA$3:$EN$221,14,0),"")</f>
        <v/>
      </c>
    </row>
    <row r="177" spans="1:43" ht="15.75" hidden="1" customHeight="1">
      <c r="A177" s="7" t="s">
        <v>730</v>
      </c>
      <c r="B177" s="7" t="s">
        <v>731</v>
      </c>
      <c r="C177" s="311" t="str">
        <f>'BD DEA'!P177</f>
        <v/>
      </c>
      <c r="D177" s="44" t="str">
        <f t="shared" si="0"/>
        <v>C003836</v>
      </c>
      <c r="E177" s="72" t="str">
        <f>IFERROR(VLOOKUP($D177,'FERC 2021'!$EA$3:$EN$221,2,0),"")</f>
        <v/>
      </c>
      <c r="F177" s="72" t="str">
        <f>IFERROR(VLOOKUP($D177,'FERC 2022'!$EA$3:$EN$220,2,0),"")</f>
        <v/>
      </c>
      <c r="G177" s="72" t="str">
        <f>IFERROR(VLOOKUP($D177,'FERC 2023'!$EA$3:$EN$221,2,0),"")</f>
        <v/>
      </c>
      <c r="H177" s="72" t="str">
        <f>IFERROR(VLOOKUP($D177,'FERC 2021'!$EA$3:$EN$225,3,0),"")</f>
        <v/>
      </c>
      <c r="I177" s="72" t="str">
        <f>IFERROR(VLOOKUP($D177,'FERC 2022'!$EA$3:$EN$229,3,0),"")</f>
        <v/>
      </c>
      <c r="J177" s="72" t="str">
        <f>IFERROR(VLOOKUP($D177,'FERC 2023'!$EA$3:$EN$229,3,0),"")</f>
        <v/>
      </c>
      <c r="K177" s="72" t="str">
        <f>IFERROR(VLOOKUP($D177,'FERC 2021'!$EA$3:$EN$229,4,0),"")</f>
        <v/>
      </c>
      <c r="L177" s="72" t="str">
        <f>IFERROR(VLOOKUP($D177,'FERC 2022'!$EA$3:$EN$220,4,0),"")</f>
        <v/>
      </c>
      <c r="M177" s="72" t="str">
        <f>IFERROR(VLOOKUP($D177,'FERC 2023'!$EA$3:$EN$221,4,0),"")</f>
        <v/>
      </c>
      <c r="N177" s="72" t="str">
        <f>IFERROR(VLOOKUP($D177,'FERC 2021'!$EA$3:$EN$221,5,0),"")</f>
        <v/>
      </c>
      <c r="O177" s="72" t="str">
        <f>IFERROR(VLOOKUP($D177,'FERC 2022'!$EA$3:$EN$220,5,0),"")</f>
        <v/>
      </c>
      <c r="P177" s="72" t="str">
        <f>IFERROR(VLOOKUP($D177,'FERC 2023'!$EA$3:$EN$221,5,0),"")</f>
        <v/>
      </c>
      <c r="Q177" s="72" t="str">
        <f>IFERROR(VLOOKUP($D177,'FERC 2021'!$EA$3:$EN$221,6,0),"")</f>
        <v/>
      </c>
      <c r="R177" s="72" t="str">
        <f>IFERROR(VLOOKUP($D177,'FERC 2022'!$EA$3:$EN$220,6,0),"")</f>
        <v/>
      </c>
      <c r="S177" s="72" t="str">
        <f>IFERROR(VLOOKUP($D177,'FERC 2023'!$EA$3:$EN$221,6,0),"")</f>
        <v/>
      </c>
      <c r="T177" s="72" t="str">
        <f>IFERROR(VLOOKUP($D177,'FERC 2021'!$EA$3:$EN$221,7,0),"")</f>
        <v/>
      </c>
      <c r="U177" s="72" t="str">
        <f>IFERROR(VLOOKUP($D177,'FERC 2022'!$EA$3:$EN$220,7,0),"")</f>
        <v/>
      </c>
      <c r="V177" s="72" t="str">
        <f>IFERROR(VLOOKUP($D177,'FERC 2023'!$EA$3:$EN$221,7,0),"")</f>
        <v/>
      </c>
      <c r="W177" s="72" t="str">
        <f>IFERROR(VLOOKUP($D177,'FERC 2021'!$EA$3:$EN$221,8,0),"")</f>
        <v/>
      </c>
      <c r="X177" s="72" t="str">
        <f>IFERROR(VLOOKUP($D177,'FERC 2022'!$EA$3:$EN$220,8,0),"")</f>
        <v/>
      </c>
      <c r="Y177" s="72" t="str">
        <f>IFERROR(VLOOKUP($D177,'FERC 2023'!$EA$3:$EN$221,8,0),"")</f>
        <v/>
      </c>
      <c r="Z177" s="72" t="str">
        <f>IFERROR(VLOOKUP($D177,'FERC 2021'!$EA$3:$EN$222,9,0),"")</f>
        <v/>
      </c>
      <c r="AA177" s="72" t="str">
        <f>IFERROR(VLOOKUP($D177,'FERC 2022'!$EA$3:$EN$220,9,0),"")</f>
        <v/>
      </c>
      <c r="AB177" s="72" t="str">
        <f>IFERROR(VLOOKUP($D177,'FERC 2023'!$EA$3:$EN$221,9,0),"")</f>
        <v/>
      </c>
      <c r="AC177" s="72" t="str">
        <f>IFERROR(VLOOKUP($D177,'FERC 2021'!$EA$3:$EN$221,10,0),"")</f>
        <v/>
      </c>
      <c r="AD177" s="72" t="str">
        <f>IFERROR(VLOOKUP($D177,'FERC 2022'!$EA$3:$EN$220,10,0),"")</f>
        <v/>
      </c>
      <c r="AE177" s="72" t="str">
        <f>IFERROR(VLOOKUP($D177,'FERC 2023'!$EA$3:$EN$221,10,0),"")</f>
        <v/>
      </c>
      <c r="AF177" s="72" t="str">
        <f>IFERROR(VLOOKUP($D177,'FERC 2021'!$EA$3:$EN$221,11,0),"")</f>
        <v/>
      </c>
      <c r="AG177" s="72" t="str">
        <f>IFERROR(VLOOKUP($D177,'FERC 2022'!$EA$3:$EN$220,11,0),"")</f>
        <v/>
      </c>
      <c r="AH177" s="72" t="str">
        <f>IFERROR(VLOOKUP($D177,'FERC 2023'!$EA$3:$EN$221,11,0),"")</f>
        <v/>
      </c>
      <c r="AI177" s="72" t="str">
        <f>IFERROR(VLOOKUP($D177,'FERC 2021'!$EA$3:$EN$221,12,0),"")</f>
        <v/>
      </c>
      <c r="AJ177" s="72" t="str">
        <f>IFERROR(VLOOKUP($D177,'FERC 2022'!$EA$3:$EN$220,12,0),"")</f>
        <v/>
      </c>
      <c r="AK177" s="72" t="str">
        <f>IFERROR(VLOOKUP($D177,'FERC 2023'!$EA$3:$EN$221,12,0),"")</f>
        <v/>
      </c>
      <c r="AL177" s="72" t="str">
        <f>VLOOKUP($D177,'FERC 2021'!$EA$3:$EN$221,13,0)</f>
        <v/>
      </c>
      <c r="AM177" s="72" t="str">
        <f>VLOOKUP($D177,'FERC 2022'!$EA$3:$EN$220,13,0)</f>
        <v/>
      </c>
      <c r="AN177" s="72" t="str">
        <f>VLOOKUP($D177,'FERC 2023'!$EA$3:$EN$221,13,0)</f>
        <v/>
      </c>
      <c r="AO177" s="72" t="str">
        <f>IFERROR(VLOOKUP($D177,'FERC 2021'!$EA$3:$EN$221,14,0),"")</f>
        <v/>
      </c>
      <c r="AP177" s="72" t="str">
        <f>IFERROR(VLOOKUP($D177,'FERC 2022'!$EA$3:$EN$220,14,0),"")</f>
        <v/>
      </c>
      <c r="AQ177" s="72" t="str">
        <f>IFERROR(VLOOKUP($D177,'FERC 2023'!$EA$3:$EN$221,14,0),"")</f>
        <v/>
      </c>
    </row>
    <row r="178" spans="1:43" ht="15.75" hidden="1" customHeight="1">
      <c r="A178" s="7" t="s">
        <v>733</v>
      </c>
      <c r="B178" s="7" t="s">
        <v>734</v>
      </c>
      <c r="C178" s="311" t="str">
        <f>'BD DEA'!P178</f>
        <v/>
      </c>
      <c r="D178" s="44" t="str">
        <f t="shared" si="0"/>
        <v>C003849</v>
      </c>
      <c r="E178" s="72" t="str">
        <f>IFERROR(VLOOKUP($D178,'FERC 2021'!$EA$3:$EN$221,2,0),"")</f>
        <v/>
      </c>
      <c r="F178" s="72" t="str">
        <f>IFERROR(VLOOKUP($D178,'FERC 2022'!$EA$3:$EN$220,2,0),"")</f>
        <v/>
      </c>
      <c r="G178" s="72" t="str">
        <f>IFERROR(VLOOKUP($D178,'FERC 2023'!$EA$3:$EN$221,2,0),"")</f>
        <v/>
      </c>
      <c r="H178" s="72" t="str">
        <f>IFERROR(VLOOKUP($D178,'FERC 2021'!$EA$3:$EN$225,3,0),"")</f>
        <v/>
      </c>
      <c r="I178" s="72" t="str">
        <f>IFERROR(VLOOKUP($D178,'FERC 2022'!$EA$3:$EN$229,3,0),"")</f>
        <v/>
      </c>
      <c r="J178" s="72" t="str">
        <f>IFERROR(VLOOKUP($D178,'FERC 2023'!$EA$3:$EN$229,3,0),"")</f>
        <v/>
      </c>
      <c r="K178" s="72" t="str">
        <f>IFERROR(VLOOKUP($D178,'FERC 2021'!$EA$3:$EN$229,4,0),"")</f>
        <v/>
      </c>
      <c r="L178" s="72" t="str">
        <f>IFERROR(VLOOKUP($D178,'FERC 2022'!$EA$3:$EN$220,4,0),"")</f>
        <v/>
      </c>
      <c r="M178" s="72" t="str">
        <f>IFERROR(VLOOKUP($D178,'FERC 2023'!$EA$3:$EN$221,4,0),"")</f>
        <v/>
      </c>
      <c r="N178" s="72" t="str">
        <f>IFERROR(VLOOKUP($D178,'FERC 2021'!$EA$3:$EN$221,5,0),"")</f>
        <v/>
      </c>
      <c r="O178" s="72" t="str">
        <f>IFERROR(VLOOKUP($D178,'FERC 2022'!$EA$3:$EN$220,5,0),"")</f>
        <v/>
      </c>
      <c r="P178" s="72" t="str">
        <f>IFERROR(VLOOKUP($D178,'FERC 2023'!$EA$3:$EN$221,5,0),"")</f>
        <v/>
      </c>
      <c r="Q178" s="72" t="str">
        <f>IFERROR(VLOOKUP($D178,'FERC 2021'!$EA$3:$EN$221,6,0),"")</f>
        <v/>
      </c>
      <c r="R178" s="72" t="str">
        <f>IFERROR(VLOOKUP($D178,'FERC 2022'!$EA$3:$EN$220,6,0),"")</f>
        <v/>
      </c>
      <c r="S178" s="72" t="str">
        <f>IFERROR(VLOOKUP($D178,'FERC 2023'!$EA$3:$EN$221,6,0),"")</f>
        <v/>
      </c>
      <c r="T178" s="72" t="str">
        <f>IFERROR(VLOOKUP($D178,'FERC 2021'!$EA$3:$EN$221,7,0),"")</f>
        <v/>
      </c>
      <c r="U178" s="72" t="str">
        <f>IFERROR(VLOOKUP($D178,'FERC 2022'!$EA$3:$EN$220,7,0),"")</f>
        <v/>
      </c>
      <c r="V178" s="72" t="str">
        <f>IFERROR(VLOOKUP($D178,'FERC 2023'!$EA$3:$EN$221,7,0),"")</f>
        <v/>
      </c>
      <c r="W178" s="72" t="str">
        <f>IFERROR(VLOOKUP($D178,'FERC 2021'!$EA$3:$EN$221,8,0),"")</f>
        <v/>
      </c>
      <c r="X178" s="72" t="str">
        <f>IFERROR(VLOOKUP($D178,'FERC 2022'!$EA$3:$EN$220,8,0),"")</f>
        <v/>
      </c>
      <c r="Y178" s="72" t="str">
        <f>IFERROR(VLOOKUP($D178,'FERC 2023'!$EA$3:$EN$221,8,0),"")</f>
        <v/>
      </c>
      <c r="Z178" s="72" t="str">
        <f>IFERROR(VLOOKUP($D178,'FERC 2021'!$EA$3:$EN$222,9,0),"")</f>
        <v/>
      </c>
      <c r="AA178" s="72" t="str">
        <f>IFERROR(VLOOKUP($D178,'FERC 2022'!$EA$3:$EN$220,9,0),"")</f>
        <v/>
      </c>
      <c r="AB178" s="72" t="str">
        <f>IFERROR(VLOOKUP($D178,'FERC 2023'!$EA$3:$EN$221,9,0),"")</f>
        <v/>
      </c>
      <c r="AC178" s="72" t="str">
        <f>IFERROR(VLOOKUP($D178,'FERC 2021'!$EA$3:$EN$221,10,0),"")</f>
        <v/>
      </c>
      <c r="AD178" s="72" t="str">
        <f>IFERROR(VLOOKUP($D178,'FERC 2022'!$EA$3:$EN$220,10,0),"")</f>
        <v/>
      </c>
      <c r="AE178" s="72" t="str">
        <f>IFERROR(VLOOKUP($D178,'FERC 2023'!$EA$3:$EN$221,10,0),"")</f>
        <v/>
      </c>
      <c r="AF178" s="72" t="str">
        <f>IFERROR(VLOOKUP($D178,'FERC 2021'!$EA$3:$EN$221,11,0),"")</f>
        <v/>
      </c>
      <c r="AG178" s="72" t="str">
        <f>IFERROR(VLOOKUP($D178,'FERC 2022'!$EA$3:$EN$220,11,0),"")</f>
        <v/>
      </c>
      <c r="AH178" s="72" t="str">
        <f>IFERROR(VLOOKUP($D178,'FERC 2023'!$EA$3:$EN$221,11,0),"")</f>
        <v/>
      </c>
      <c r="AI178" s="72" t="str">
        <f>IFERROR(VLOOKUP($D178,'FERC 2021'!$EA$3:$EN$221,12,0),"")</f>
        <v/>
      </c>
      <c r="AJ178" s="72" t="str">
        <f>IFERROR(VLOOKUP($D178,'FERC 2022'!$EA$3:$EN$220,12,0),"")</f>
        <v/>
      </c>
      <c r="AK178" s="72" t="str">
        <f>IFERROR(VLOOKUP($D178,'FERC 2023'!$EA$3:$EN$221,12,0),"")</f>
        <v/>
      </c>
      <c r="AL178" s="72" t="str">
        <f>VLOOKUP($D178,'FERC 2021'!$EA$3:$EN$221,13,0)</f>
        <v/>
      </c>
      <c r="AM178" s="72" t="str">
        <f>VLOOKUP($D178,'FERC 2022'!$EA$3:$EN$220,13,0)</f>
        <v/>
      </c>
      <c r="AN178" s="72" t="str">
        <f>VLOOKUP($D178,'FERC 2023'!$EA$3:$EN$221,13,0)</f>
        <v/>
      </c>
      <c r="AO178" s="72" t="str">
        <f>IFERROR(VLOOKUP($D178,'FERC 2021'!$EA$3:$EN$221,14,0),"")</f>
        <v/>
      </c>
      <c r="AP178" s="72" t="str">
        <f>IFERROR(VLOOKUP($D178,'FERC 2022'!$EA$3:$EN$220,14,0),"")</f>
        <v/>
      </c>
      <c r="AQ178" s="72" t="str">
        <f>IFERROR(VLOOKUP($D178,'FERC 2023'!$EA$3:$EN$221,14,0),"")</f>
        <v/>
      </c>
    </row>
    <row r="179" spans="1:43" ht="15.75" hidden="1" customHeight="1">
      <c r="A179" s="7" t="s">
        <v>736</v>
      </c>
      <c r="B179" s="7" t="s">
        <v>737</v>
      </c>
      <c r="C179" s="311" t="str">
        <f>'BD DEA'!P179</f>
        <v/>
      </c>
      <c r="D179" s="44" t="str">
        <f t="shared" si="0"/>
        <v>C003988</v>
      </c>
      <c r="E179" s="72" t="str">
        <f>IFERROR(VLOOKUP($D179,'FERC 2021'!$EA$3:$EN$221,2,0),"")</f>
        <v/>
      </c>
      <c r="F179" s="72" t="str">
        <f>IFERROR(VLOOKUP($D179,'FERC 2022'!$EA$3:$EN$220,2,0),"")</f>
        <v/>
      </c>
      <c r="G179" s="72" t="str">
        <f>IFERROR(VLOOKUP($D179,'FERC 2023'!$EA$3:$EN$221,2,0),"")</f>
        <v/>
      </c>
      <c r="H179" s="72" t="str">
        <f>IFERROR(VLOOKUP($D179,'FERC 2021'!$EA$3:$EN$225,3,0),"")</f>
        <v/>
      </c>
      <c r="I179" s="72" t="str">
        <f>IFERROR(VLOOKUP($D179,'FERC 2022'!$EA$3:$EN$229,3,0),"")</f>
        <v/>
      </c>
      <c r="J179" s="72" t="str">
        <f>IFERROR(VLOOKUP($D179,'FERC 2023'!$EA$3:$EN$229,3,0),"")</f>
        <v/>
      </c>
      <c r="K179" s="72" t="str">
        <f>IFERROR(VLOOKUP($D179,'FERC 2021'!$EA$3:$EN$229,4,0),"")</f>
        <v/>
      </c>
      <c r="L179" s="72" t="str">
        <f>IFERROR(VLOOKUP($D179,'FERC 2022'!$EA$3:$EN$220,4,0),"")</f>
        <v/>
      </c>
      <c r="M179" s="72" t="str">
        <f>IFERROR(VLOOKUP($D179,'FERC 2023'!$EA$3:$EN$221,4,0),"")</f>
        <v/>
      </c>
      <c r="N179" s="72" t="str">
        <f>IFERROR(VLOOKUP($D179,'FERC 2021'!$EA$3:$EN$221,5,0),"")</f>
        <v/>
      </c>
      <c r="O179" s="72" t="str">
        <f>IFERROR(VLOOKUP($D179,'FERC 2022'!$EA$3:$EN$220,5,0),"")</f>
        <v/>
      </c>
      <c r="P179" s="72" t="str">
        <f>IFERROR(VLOOKUP($D179,'FERC 2023'!$EA$3:$EN$221,5,0),"")</f>
        <v/>
      </c>
      <c r="Q179" s="72" t="str">
        <f>IFERROR(VLOOKUP($D179,'FERC 2021'!$EA$3:$EN$221,6,0),"")</f>
        <v/>
      </c>
      <c r="R179" s="72" t="str">
        <f>IFERROR(VLOOKUP($D179,'FERC 2022'!$EA$3:$EN$220,6,0),"")</f>
        <v/>
      </c>
      <c r="S179" s="72" t="str">
        <f>IFERROR(VLOOKUP($D179,'FERC 2023'!$EA$3:$EN$221,6,0),"")</f>
        <v/>
      </c>
      <c r="T179" s="72" t="str">
        <f>IFERROR(VLOOKUP($D179,'FERC 2021'!$EA$3:$EN$221,7,0),"")</f>
        <v/>
      </c>
      <c r="U179" s="72" t="str">
        <f>IFERROR(VLOOKUP($D179,'FERC 2022'!$EA$3:$EN$220,7,0),"")</f>
        <v/>
      </c>
      <c r="V179" s="72" t="str">
        <f>IFERROR(VLOOKUP($D179,'FERC 2023'!$EA$3:$EN$221,7,0),"")</f>
        <v/>
      </c>
      <c r="W179" s="72" t="str">
        <f>IFERROR(VLOOKUP($D179,'FERC 2021'!$EA$3:$EN$221,8,0),"")</f>
        <v/>
      </c>
      <c r="X179" s="72" t="str">
        <f>IFERROR(VLOOKUP($D179,'FERC 2022'!$EA$3:$EN$220,8,0),"")</f>
        <v/>
      </c>
      <c r="Y179" s="72" t="str">
        <f>IFERROR(VLOOKUP($D179,'FERC 2023'!$EA$3:$EN$221,8,0),"")</f>
        <v/>
      </c>
      <c r="Z179" s="72" t="str">
        <f>IFERROR(VLOOKUP($D179,'FERC 2021'!$EA$3:$EN$222,9,0),"")</f>
        <v/>
      </c>
      <c r="AA179" s="72" t="str">
        <f>IFERROR(VLOOKUP($D179,'FERC 2022'!$EA$3:$EN$220,9,0),"")</f>
        <v/>
      </c>
      <c r="AB179" s="72" t="str">
        <f>IFERROR(VLOOKUP($D179,'FERC 2023'!$EA$3:$EN$221,9,0),"")</f>
        <v/>
      </c>
      <c r="AC179" s="72" t="str">
        <f>IFERROR(VLOOKUP($D179,'FERC 2021'!$EA$3:$EN$221,10,0),"")</f>
        <v/>
      </c>
      <c r="AD179" s="72" t="str">
        <f>IFERROR(VLOOKUP($D179,'FERC 2022'!$EA$3:$EN$220,10,0),"")</f>
        <v/>
      </c>
      <c r="AE179" s="72" t="str">
        <f>IFERROR(VLOOKUP($D179,'FERC 2023'!$EA$3:$EN$221,10,0),"")</f>
        <v/>
      </c>
      <c r="AF179" s="72" t="str">
        <f>IFERROR(VLOOKUP($D179,'FERC 2021'!$EA$3:$EN$221,11,0),"")</f>
        <v/>
      </c>
      <c r="AG179" s="72" t="str">
        <f>IFERROR(VLOOKUP($D179,'FERC 2022'!$EA$3:$EN$220,11,0),"")</f>
        <v/>
      </c>
      <c r="AH179" s="72" t="str">
        <f>IFERROR(VLOOKUP($D179,'FERC 2023'!$EA$3:$EN$221,11,0),"")</f>
        <v/>
      </c>
      <c r="AI179" s="72" t="str">
        <f>IFERROR(VLOOKUP($D179,'FERC 2021'!$EA$3:$EN$221,12,0),"")</f>
        <v/>
      </c>
      <c r="AJ179" s="72" t="str">
        <f>IFERROR(VLOOKUP($D179,'FERC 2022'!$EA$3:$EN$220,12,0),"")</f>
        <v/>
      </c>
      <c r="AK179" s="72" t="str">
        <f>IFERROR(VLOOKUP($D179,'FERC 2023'!$EA$3:$EN$221,12,0),"")</f>
        <v/>
      </c>
      <c r="AL179" s="72" t="str">
        <f>VLOOKUP($D179,'FERC 2021'!$EA$3:$EN$221,13,0)</f>
        <v/>
      </c>
      <c r="AM179" s="72" t="str">
        <f>VLOOKUP($D179,'FERC 2022'!$EA$3:$EN$220,13,0)</f>
        <v/>
      </c>
      <c r="AN179" s="72" t="e">
        <f>VLOOKUP($D179,'FERC 2023'!$EA$3:$EN$221,13,0)</f>
        <v>#N/A</v>
      </c>
      <c r="AO179" s="72" t="str">
        <f>IFERROR(VLOOKUP($D179,'FERC 2021'!$EA$3:$EN$221,14,0),"")</f>
        <v/>
      </c>
      <c r="AP179" s="72" t="str">
        <f>IFERROR(VLOOKUP($D179,'FERC 2022'!$EA$3:$EN$220,14,0),"")</f>
        <v/>
      </c>
      <c r="AQ179" s="72" t="str">
        <f>IFERROR(VLOOKUP($D179,'FERC 2023'!$EA$3:$EN$221,14,0),"")</f>
        <v/>
      </c>
    </row>
    <row r="180" spans="1:43" ht="15.75" hidden="1" customHeight="1">
      <c r="A180" s="7" t="s">
        <v>739</v>
      </c>
      <c r="B180" s="7" t="s">
        <v>740</v>
      </c>
      <c r="C180" s="311" t="str">
        <f>'BD DEA'!P180</f>
        <v/>
      </c>
      <c r="D180" s="44" t="str">
        <f t="shared" si="0"/>
        <v>C004044</v>
      </c>
      <c r="E180" s="72">
        <f>IFERROR(VLOOKUP($D180,'FERC 2021'!$EA$3:$EN$221,2,0),"")</f>
        <v>2291924310.2584667</v>
      </c>
      <c r="F180" s="72">
        <f>IFERROR(VLOOKUP($D180,'FERC 2022'!$EA$3:$EN$220,2,0),"")</f>
        <v>2390102034.5155549</v>
      </c>
      <c r="G180" s="72">
        <f>IFERROR(VLOOKUP($D180,'FERC 2023'!$EA$3:$EN$221,2,0),"")</f>
        <v>1859746454.0729024</v>
      </c>
      <c r="H180" s="72">
        <f>IFERROR(VLOOKUP($D180,'FERC 2021'!$EA$3:$EN$225,3,0),"")</f>
        <v>119920550.39159133</v>
      </c>
      <c r="I180" s="72">
        <f>IFERROR(VLOOKUP($D180,'FERC 2022'!$EA$3:$EN$229,3,0),"")</f>
        <v>121978595.63703489</v>
      </c>
      <c r="J180" s="72">
        <f>IFERROR(VLOOKUP($D180,'FERC 2023'!$EA$3:$EN$229,3,0),"")</f>
        <v>130840718.66864346</v>
      </c>
      <c r="K180" s="72">
        <f>IFERROR(VLOOKUP($D180,'FERC 2021'!$EA$3:$EN$229,4,0),"")</f>
        <v>39455645.57652244</v>
      </c>
      <c r="L180" s="72">
        <f>IFERROR(VLOOKUP($D180,'FERC 2022'!$EA$3:$EN$220,4,0),"")</f>
        <v>38995439.881585144</v>
      </c>
      <c r="M180" s="72">
        <f>IFERROR(VLOOKUP($D180,'FERC 2023'!$EA$3:$EN$221,4,0),"")</f>
        <v>35857655.34557762</v>
      </c>
      <c r="N180" s="72">
        <f>IFERROR(VLOOKUP($D180,'FERC 2021'!$EA$3:$EN$221,5,0),"")</f>
        <v>24530480.287349097</v>
      </c>
      <c r="O180" s="72">
        <f>IFERROR(VLOOKUP($D180,'FERC 2022'!$EA$3:$EN$220,5,0),"")</f>
        <v>23389887.461388629</v>
      </c>
      <c r="P180" s="72">
        <f>IFERROR(VLOOKUP($D180,'FERC 2023'!$EA$3:$EN$221,5,0),"")</f>
        <v>23865565.191978935</v>
      </c>
      <c r="Q180" s="72">
        <f>IFERROR(VLOOKUP($D180,'FERC 2021'!$EA$3:$EN$221,6,0),"")</f>
        <v>25721543.950927563</v>
      </c>
      <c r="R180" s="72">
        <f>IFERROR(VLOOKUP($D180,'FERC 2022'!$EA$3:$EN$220,6,0),"")</f>
        <v>20407692.517240673</v>
      </c>
      <c r="S180" s="72">
        <f>IFERROR(VLOOKUP($D180,'FERC 2023'!$EA$3:$EN$221,6,0),"")</f>
        <v>16028427.510081541</v>
      </c>
      <c r="T180" s="72">
        <f>IFERROR(VLOOKUP($D180,'FERC 2021'!$EA$3:$EN$221,7,0),"")</f>
        <v>2385</v>
      </c>
      <c r="U180" s="72">
        <f>IFERROR(VLOOKUP($D180,'FERC 2022'!$EA$3:$EN$220,7,0),"")</f>
        <v>2328</v>
      </c>
      <c r="V180" s="72">
        <f>IFERROR(VLOOKUP($D180,'FERC 2023'!$EA$3:$EN$221,7,0),"")</f>
        <v>2397</v>
      </c>
      <c r="W180" s="72">
        <f>IFERROR(VLOOKUP($D180,'FERC 2021'!$EA$3:$EN$221,8,0),"")</f>
        <v>337835</v>
      </c>
      <c r="X180" s="72">
        <f>IFERROR(VLOOKUP($D180,'FERC 2022'!$EA$3:$EN$220,8,0),"")</f>
        <v>339992</v>
      </c>
      <c r="Y180" s="72">
        <f>IFERROR(VLOOKUP($D180,'FERC 2023'!$EA$3:$EN$221,8,0),"")</f>
        <v>342910</v>
      </c>
      <c r="Z180" s="72">
        <f>IFERROR(VLOOKUP($D180,'FERC 2021'!$EA$3:$EN$222,9,0),"")</f>
        <v>579858</v>
      </c>
      <c r="AA180" s="72">
        <f>IFERROR(VLOOKUP($D180,'FERC 2022'!$EA$3:$EN$220,9,0),"")</f>
        <v>804066</v>
      </c>
      <c r="AB180" s="72">
        <f>IFERROR(VLOOKUP($D180,'FERC 2023'!$EA$3:$EN$221,9,0),"")</f>
        <v>1028142</v>
      </c>
      <c r="AC180" s="72">
        <f>IFERROR(VLOOKUP($D180,'FERC 2021'!$EA$3:$EN$221,10,0),"")</f>
        <v>9630791</v>
      </c>
      <c r="AD180" s="72">
        <f>IFERROR(VLOOKUP($D180,'FERC 2022'!$EA$3:$EN$220,10,0),"")</f>
        <v>10098630</v>
      </c>
      <c r="AE180" s="72">
        <f>IFERROR(VLOOKUP($D180,'FERC 2023'!$EA$3:$EN$221,10,0),"")</f>
        <v>9682328</v>
      </c>
      <c r="AF180" s="72">
        <f>IFERROR(VLOOKUP($D180,'FERC 2021'!$EA$3:$EN$221,11,0),"")</f>
        <v>10182397.649746193</v>
      </c>
      <c r="AG180" s="72">
        <f>IFERROR(VLOOKUP($D180,'FERC 2022'!$EA$3:$EN$220,11,0),"")</f>
        <v>10874246.040609136</v>
      </c>
      <c r="AH180" s="72">
        <f>IFERROR(VLOOKUP($D180,'FERC 2023'!$EA$3:$EN$221,11,0),"")</f>
        <v>10678088.639593909</v>
      </c>
      <c r="AI180" s="72">
        <f>IFERROR(VLOOKUP($D180,'FERC 2021'!$EA$3:$EN$221,12,0),"")</f>
        <v>38479406.5</v>
      </c>
      <c r="AJ180" s="72">
        <f>IFERROR(VLOOKUP($D180,'FERC 2022'!$EA$3:$EN$220,12,0),"")</f>
        <v>32938424.959999997</v>
      </c>
      <c r="AK180" s="72">
        <f>IFERROR(VLOOKUP($D180,'FERC 2023'!$EA$3:$EN$221,12,0),"")</f>
        <v>28945033.099999998</v>
      </c>
      <c r="AL180" s="72">
        <f>VLOOKUP($D180,'FERC 2021'!$EA$3:$EN$221,13,0)</f>
        <v>449320.55000000005</v>
      </c>
      <c r="AM180" s="72">
        <f>VLOOKUP($D180,'FERC 2022'!$EA$3:$EN$220,13,0)</f>
        <v>425669.984</v>
      </c>
      <c r="AN180" s="72">
        <f>VLOOKUP($D180,'FERC 2023'!$EA$3:$EN$221,13,0)</f>
        <v>368285.34</v>
      </c>
      <c r="AO180" s="72">
        <f>IFERROR(VLOOKUP($D180,'FERC 2021'!$EA$3:$EN$221,14,0),"")</f>
        <v>337644</v>
      </c>
      <c r="AP180" s="72">
        <f>IFERROR(VLOOKUP($D180,'FERC 2022'!$EA$3:$EN$220,14,0),"")</f>
        <v>340010</v>
      </c>
      <c r="AQ180" s="72">
        <f>IFERROR(VLOOKUP($D180,'FERC 2023'!$EA$3:$EN$221,14,0),"")</f>
        <v>357443</v>
      </c>
    </row>
    <row r="181" spans="1:43" ht="15.75" hidden="1" customHeight="1">
      <c r="A181" s="7" t="s">
        <v>1048</v>
      </c>
      <c r="B181" s="7" t="s">
        <v>1049</v>
      </c>
      <c r="C181" s="311" t="str">
        <f>'BD DEA'!P181</f>
        <v/>
      </c>
      <c r="D181" s="44" t="str">
        <f t="shared" si="0"/>
        <v>C004679</v>
      </c>
      <c r="E181" s="72" t="str">
        <f>IFERROR(VLOOKUP($D181,'FERC 2021'!$EA$3:$EN$221,2,0),"")</f>
        <v/>
      </c>
      <c r="F181" s="72" t="str">
        <f>IFERROR(VLOOKUP($D181,'FERC 2022'!$EA$3:$EN$220,2,0),"")</f>
        <v/>
      </c>
      <c r="G181" s="72" t="str">
        <f>IFERROR(VLOOKUP($D181,'FERC 2023'!$EA$3:$EN$221,2,0),"")</f>
        <v/>
      </c>
      <c r="H181" s="72" t="str">
        <f>IFERROR(VLOOKUP($D181,'FERC 2021'!$EA$3:$EN$225,3,0),"")</f>
        <v/>
      </c>
      <c r="I181" s="72" t="str">
        <f>IFERROR(VLOOKUP($D181,'FERC 2022'!$EA$3:$EN$229,3,0),"")</f>
        <v/>
      </c>
      <c r="J181" s="72" t="str">
        <f>IFERROR(VLOOKUP($D181,'FERC 2023'!$EA$3:$EN$229,3,0),"")</f>
        <v/>
      </c>
      <c r="K181" s="72" t="str">
        <f>IFERROR(VLOOKUP($D181,'FERC 2021'!$EA$3:$EN$229,4,0),"")</f>
        <v/>
      </c>
      <c r="L181" s="72" t="str">
        <f>IFERROR(VLOOKUP($D181,'FERC 2022'!$EA$3:$EN$220,4,0),"")</f>
        <v/>
      </c>
      <c r="M181" s="72" t="str">
        <f>IFERROR(VLOOKUP($D181,'FERC 2023'!$EA$3:$EN$221,4,0),"")</f>
        <v/>
      </c>
      <c r="N181" s="72" t="str">
        <f>IFERROR(VLOOKUP($D181,'FERC 2021'!$EA$3:$EN$221,5,0),"")</f>
        <v/>
      </c>
      <c r="O181" s="72" t="str">
        <f>IFERROR(VLOOKUP($D181,'FERC 2022'!$EA$3:$EN$220,5,0),"")</f>
        <v/>
      </c>
      <c r="P181" s="72" t="str">
        <f>IFERROR(VLOOKUP($D181,'FERC 2023'!$EA$3:$EN$221,5,0),"")</f>
        <v/>
      </c>
      <c r="Q181" s="72" t="str">
        <f>IFERROR(VLOOKUP($D181,'FERC 2021'!$EA$3:$EN$221,6,0),"")</f>
        <v/>
      </c>
      <c r="R181" s="72" t="str">
        <f>IFERROR(VLOOKUP($D181,'FERC 2022'!$EA$3:$EN$220,6,0),"")</f>
        <v/>
      </c>
      <c r="S181" s="72" t="str">
        <f>IFERROR(VLOOKUP($D181,'FERC 2023'!$EA$3:$EN$221,6,0),"")</f>
        <v/>
      </c>
      <c r="T181" s="72" t="str">
        <f>IFERROR(VLOOKUP($D181,'FERC 2021'!$EA$3:$EN$221,7,0),"")</f>
        <v/>
      </c>
      <c r="U181" s="72" t="str">
        <f>IFERROR(VLOOKUP($D181,'FERC 2022'!$EA$3:$EN$220,7,0),"")</f>
        <v/>
      </c>
      <c r="V181" s="72" t="str">
        <f>IFERROR(VLOOKUP($D181,'FERC 2023'!$EA$3:$EN$221,7,0),"")</f>
        <v/>
      </c>
      <c r="W181" s="72" t="str">
        <f>IFERROR(VLOOKUP($D181,'FERC 2021'!$EA$3:$EN$221,8,0),"")</f>
        <v/>
      </c>
      <c r="X181" s="72" t="str">
        <f>IFERROR(VLOOKUP($D181,'FERC 2022'!$EA$3:$EN$220,8,0),"")</f>
        <v/>
      </c>
      <c r="Y181" s="72" t="str">
        <f>IFERROR(VLOOKUP($D181,'FERC 2023'!$EA$3:$EN$221,8,0),"")</f>
        <v/>
      </c>
      <c r="Z181" s="72" t="str">
        <f>IFERROR(VLOOKUP($D181,'FERC 2021'!$EA$3:$EN$222,9,0),"")</f>
        <v/>
      </c>
      <c r="AA181" s="72" t="str">
        <f>IFERROR(VLOOKUP($D181,'FERC 2022'!$EA$3:$EN$220,9,0),"")</f>
        <v/>
      </c>
      <c r="AB181" s="72" t="str">
        <f>IFERROR(VLOOKUP($D181,'FERC 2023'!$EA$3:$EN$221,9,0),"")</f>
        <v/>
      </c>
      <c r="AC181" s="72" t="str">
        <f>IFERROR(VLOOKUP($D181,'FERC 2021'!$EA$3:$EN$221,10,0),"")</f>
        <v/>
      </c>
      <c r="AD181" s="72" t="str">
        <f>IFERROR(VLOOKUP($D181,'FERC 2022'!$EA$3:$EN$220,10,0),"")</f>
        <v/>
      </c>
      <c r="AE181" s="72" t="str">
        <f>IFERROR(VLOOKUP($D181,'FERC 2023'!$EA$3:$EN$221,10,0),"")</f>
        <v/>
      </c>
      <c r="AF181" s="72" t="str">
        <f>IFERROR(VLOOKUP($D181,'FERC 2021'!$EA$3:$EN$221,11,0),"")</f>
        <v/>
      </c>
      <c r="AG181" s="72" t="str">
        <f>IFERROR(VLOOKUP($D181,'FERC 2022'!$EA$3:$EN$220,11,0),"")</f>
        <v/>
      </c>
      <c r="AH181" s="72" t="str">
        <f>IFERROR(VLOOKUP($D181,'FERC 2023'!$EA$3:$EN$221,11,0),"")</f>
        <v/>
      </c>
      <c r="AI181" s="72" t="str">
        <f>IFERROR(VLOOKUP($D181,'FERC 2021'!$EA$3:$EN$221,12,0),"")</f>
        <v/>
      </c>
      <c r="AJ181" s="72" t="str">
        <f>IFERROR(VLOOKUP($D181,'FERC 2022'!$EA$3:$EN$220,12,0),"")</f>
        <v/>
      </c>
      <c r="AK181" s="72" t="str">
        <f>IFERROR(VLOOKUP($D181,'FERC 2023'!$EA$3:$EN$221,12,0),"")</f>
        <v/>
      </c>
      <c r="AL181" s="72" t="e">
        <f>VLOOKUP($D181,'FERC 2021'!$EA$3:$EN$221,13,0)</f>
        <v>#N/A</v>
      </c>
      <c r="AM181" s="72" t="str">
        <f>VLOOKUP($D181,'FERC 2022'!$EA$3:$EN$220,13,0)</f>
        <v/>
      </c>
      <c r="AN181" s="72" t="str">
        <f>VLOOKUP($D181,'FERC 2023'!$EA$3:$EN$221,13,0)</f>
        <v/>
      </c>
      <c r="AO181" s="72" t="str">
        <f>IFERROR(VLOOKUP($D181,'FERC 2021'!$EA$3:$EN$221,14,0),"")</f>
        <v/>
      </c>
      <c r="AP181" s="72" t="str">
        <f>IFERROR(VLOOKUP($D181,'FERC 2022'!$EA$3:$EN$220,14,0),"")</f>
        <v/>
      </c>
      <c r="AQ181" s="72" t="str">
        <f>IFERROR(VLOOKUP($D181,'FERC 2023'!$EA$3:$EN$221,14,0),"")</f>
        <v/>
      </c>
    </row>
    <row r="182" spans="1:43" ht="15.75" hidden="1" customHeight="1">
      <c r="A182" s="7" t="s">
        <v>742</v>
      </c>
      <c r="B182" s="7" t="s">
        <v>743</v>
      </c>
      <c r="C182" s="311" t="str">
        <f>'BD DEA'!P182</f>
        <v/>
      </c>
      <c r="D182" s="44" t="str">
        <f t="shared" si="0"/>
        <v>C004872</v>
      </c>
      <c r="E182" s="72" t="str">
        <f>IFERROR(VLOOKUP($D182,'FERC 2021'!$EA$3:$EN$221,2,0),"")</f>
        <v/>
      </c>
      <c r="F182" s="72" t="str">
        <f>IFERROR(VLOOKUP($D182,'FERC 2022'!$EA$3:$EN$220,2,0),"")</f>
        <v/>
      </c>
      <c r="G182" s="72" t="str">
        <f>IFERROR(VLOOKUP($D182,'FERC 2023'!$EA$3:$EN$221,2,0),"")</f>
        <v/>
      </c>
      <c r="H182" s="72" t="str">
        <f>IFERROR(VLOOKUP($D182,'FERC 2021'!$EA$3:$EN$225,3,0),"")</f>
        <v/>
      </c>
      <c r="I182" s="72" t="str">
        <f>IFERROR(VLOOKUP($D182,'FERC 2022'!$EA$3:$EN$229,3,0),"")</f>
        <v/>
      </c>
      <c r="J182" s="72" t="str">
        <f>IFERROR(VLOOKUP($D182,'FERC 2023'!$EA$3:$EN$229,3,0),"")</f>
        <v/>
      </c>
      <c r="K182" s="72" t="str">
        <f>IFERROR(VLOOKUP($D182,'FERC 2021'!$EA$3:$EN$229,4,0),"")</f>
        <v/>
      </c>
      <c r="L182" s="72" t="str">
        <f>IFERROR(VLOOKUP($D182,'FERC 2022'!$EA$3:$EN$220,4,0),"")</f>
        <v/>
      </c>
      <c r="M182" s="72" t="str">
        <f>IFERROR(VLOOKUP($D182,'FERC 2023'!$EA$3:$EN$221,4,0),"")</f>
        <v/>
      </c>
      <c r="N182" s="72" t="str">
        <f>IFERROR(VLOOKUP($D182,'FERC 2021'!$EA$3:$EN$221,5,0),"")</f>
        <v/>
      </c>
      <c r="O182" s="72" t="str">
        <f>IFERROR(VLOOKUP($D182,'FERC 2022'!$EA$3:$EN$220,5,0),"")</f>
        <v/>
      </c>
      <c r="P182" s="72" t="str">
        <f>IFERROR(VLOOKUP($D182,'FERC 2023'!$EA$3:$EN$221,5,0),"")</f>
        <v/>
      </c>
      <c r="Q182" s="72" t="str">
        <f>IFERROR(VLOOKUP($D182,'FERC 2021'!$EA$3:$EN$221,6,0),"")</f>
        <v/>
      </c>
      <c r="R182" s="72" t="str">
        <f>IFERROR(VLOOKUP($D182,'FERC 2022'!$EA$3:$EN$220,6,0),"")</f>
        <v/>
      </c>
      <c r="S182" s="72" t="str">
        <f>IFERROR(VLOOKUP($D182,'FERC 2023'!$EA$3:$EN$221,6,0),"")</f>
        <v/>
      </c>
      <c r="T182" s="72" t="str">
        <f>IFERROR(VLOOKUP($D182,'FERC 2021'!$EA$3:$EN$221,7,0),"")</f>
        <v/>
      </c>
      <c r="U182" s="72" t="str">
        <f>IFERROR(VLOOKUP($D182,'FERC 2022'!$EA$3:$EN$220,7,0),"")</f>
        <v/>
      </c>
      <c r="V182" s="72" t="str">
        <f>IFERROR(VLOOKUP($D182,'FERC 2023'!$EA$3:$EN$221,7,0),"")</f>
        <v/>
      </c>
      <c r="W182" s="72" t="str">
        <f>IFERROR(VLOOKUP($D182,'FERC 2021'!$EA$3:$EN$221,8,0),"")</f>
        <v/>
      </c>
      <c r="X182" s="72" t="str">
        <f>IFERROR(VLOOKUP($D182,'FERC 2022'!$EA$3:$EN$220,8,0),"")</f>
        <v/>
      </c>
      <c r="Y182" s="72" t="str">
        <f>IFERROR(VLOOKUP($D182,'FERC 2023'!$EA$3:$EN$221,8,0),"")</f>
        <v/>
      </c>
      <c r="Z182" s="72" t="str">
        <f>IFERROR(VLOOKUP($D182,'FERC 2021'!$EA$3:$EN$222,9,0),"")</f>
        <v/>
      </c>
      <c r="AA182" s="72" t="str">
        <f>IFERROR(VLOOKUP($D182,'FERC 2022'!$EA$3:$EN$220,9,0),"")</f>
        <v/>
      </c>
      <c r="AB182" s="72" t="str">
        <f>IFERROR(VLOOKUP($D182,'FERC 2023'!$EA$3:$EN$221,9,0),"")</f>
        <v/>
      </c>
      <c r="AC182" s="72" t="str">
        <f>IFERROR(VLOOKUP($D182,'FERC 2021'!$EA$3:$EN$221,10,0),"")</f>
        <v/>
      </c>
      <c r="AD182" s="72" t="str">
        <f>IFERROR(VLOOKUP($D182,'FERC 2022'!$EA$3:$EN$220,10,0),"")</f>
        <v/>
      </c>
      <c r="AE182" s="72" t="str">
        <f>IFERROR(VLOOKUP($D182,'FERC 2023'!$EA$3:$EN$221,10,0),"")</f>
        <v/>
      </c>
      <c r="AF182" s="72" t="str">
        <f>IFERROR(VLOOKUP($D182,'FERC 2021'!$EA$3:$EN$221,11,0),"")</f>
        <v/>
      </c>
      <c r="AG182" s="72" t="str">
        <f>IFERROR(VLOOKUP($D182,'FERC 2022'!$EA$3:$EN$220,11,0),"")</f>
        <v/>
      </c>
      <c r="AH182" s="72" t="str">
        <f>IFERROR(VLOOKUP($D182,'FERC 2023'!$EA$3:$EN$221,11,0),"")</f>
        <v/>
      </c>
      <c r="AI182" s="72" t="str">
        <f>IFERROR(VLOOKUP($D182,'FERC 2021'!$EA$3:$EN$221,12,0),"")</f>
        <v/>
      </c>
      <c r="AJ182" s="72" t="str">
        <f>IFERROR(VLOOKUP($D182,'FERC 2022'!$EA$3:$EN$220,12,0),"")</f>
        <v/>
      </c>
      <c r="AK182" s="72" t="str">
        <f>IFERROR(VLOOKUP($D182,'FERC 2023'!$EA$3:$EN$221,12,0),"")</f>
        <v/>
      </c>
      <c r="AL182" s="72" t="str">
        <f>VLOOKUP($D182,'FERC 2021'!$EA$3:$EN$221,13,0)</f>
        <v/>
      </c>
      <c r="AM182" s="72" t="str">
        <f>VLOOKUP($D182,'FERC 2022'!$EA$3:$EN$220,13,0)</f>
        <v/>
      </c>
      <c r="AN182" s="72" t="str">
        <f>VLOOKUP($D182,'FERC 2023'!$EA$3:$EN$221,13,0)</f>
        <v/>
      </c>
      <c r="AO182" s="72" t="str">
        <f>IFERROR(VLOOKUP($D182,'FERC 2021'!$EA$3:$EN$221,14,0),"")</f>
        <v/>
      </c>
      <c r="AP182" s="72" t="str">
        <f>IFERROR(VLOOKUP($D182,'FERC 2022'!$EA$3:$EN$220,14,0),"")</f>
        <v/>
      </c>
      <c r="AQ182" s="72" t="str">
        <f>IFERROR(VLOOKUP($D182,'FERC 2023'!$EA$3:$EN$221,14,0),"")</f>
        <v/>
      </c>
    </row>
    <row r="183" spans="1:43" ht="15.75" hidden="1" customHeight="1">
      <c r="A183" s="7" t="s">
        <v>745</v>
      </c>
      <c r="B183" s="7" t="s">
        <v>746</v>
      </c>
      <c r="C183" s="311" t="str">
        <f>'BD DEA'!P183</f>
        <v/>
      </c>
      <c r="D183" s="44" t="str">
        <f t="shared" si="0"/>
        <v>C004881</v>
      </c>
      <c r="E183" s="72" t="str">
        <f>IFERROR(VLOOKUP($D183,'FERC 2021'!$EA$3:$EN$221,2,0),"")</f>
        <v/>
      </c>
      <c r="F183" s="72" t="str">
        <f>IFERROR(VLOOKUP($D183,'FERC 2022'!$EA$3:$EN$220,2,0),"")</f>
        <v/>
      </c>
      <c r="G183" s="72" t="str">
        <f>IFERROR(VLOOKUP($D183,'FERC 2023'!$EA$3:$EN$221,2,0),"")</f>
        <v/>
      </c>
      <c r="H183" s="72" t="str">
        <f>IFERROR(VLOOKUP($D183,'FERC 2021'!$EA$3:$EN$225,3,0),"")</f>
        <v/>
      </c>
      <c r="I183" s="72" t="str">
        <f>IFERROR(VLOOKUP($D183,'FERC 2022'!$EA$3:$EN$229,3,0),"")</f>
        <v/>
      </c>
      <c r="J183" s="72" t="str">
        <f>IFERROR(VLOOKUP($D183,'FERC 2023'!$EA$3:$EN$229,3,0),"")</f>
        <v/>
      </c>
      <c r="K183" s="72" t="str">
        <f>IFERROR(VLOOKUP($D183,'FERC 2021'!$EA$3:$EN$229,4,0),"")</f>
        <v/>
      </c>
      <c r="L183" s="72" t="str">
        <f>IFERROR(VLOOKUP($D183,'FERC 2022'!$EA$3:$EN$220,4,0),"")</f>
        <v/>
      </c>
      <c r="M183" s="72" t="str">
        <f>IFERROR(VLOOKUP($D183,'FERC 2023'!$EA$3:$EN$221,4,0),"")</f>
        <v/>
      </c>
      <c r="N183" s="72" t="str">
        <f>IFERROR(VLOOKUP($D183,'FERC 2021'!$EA$3:$EN$221,5,0),"")</f>
        <v/>
      </c>
      <c r="O183" s="72" t="str">
        <f>IFERROR(VLOOKUP($D183,'FERC 2022'!$EA$3:$EN$220,5,0),"")</f>
        <v/>
      </c>
      <c r="P183" s="72" t="str">
        <f>IFERROR(VLOOKUP($D183,'FERC 2023'!$EA$3:$EN$221,5,0),"")</f>
        <v/>
      </c>
      <c r="Q183" s="72" t="str">
        <f>IFERROR(VLOOKUP($D183,'FERC 2021'!$EA$3:$EN$221,6,0),"")</f>
        <v/>
      </c>
      <c r="R183" s="72" t="str">
        <f>IFERROR(VLOOKUP($D183,'FERC 2022'!$EA$3:$EN$220,6,0),"")</f>
        <v/>
      </c>
      <c r="S183" s="72" t="str">
        <f>IFERROR(VLOOKUP($D183,'FERC 2023'!$EA$3:$EN$221,6,0),"")</f>
        <v/>
      </c>
      <c r="T183" s="72" t="str">
        <f>IFERROR(VLOOKUP($D183,'FERC 2021'!$EA$3:$EN$221,7,0),"")</f>
        <v/>
      </c>
      <c r="U183" s="72" t="str">
        <f>IFERROR(VLOOKUP($D183,'FERC 2022'!$EA$3:$EN$220,7,0),"")</f>
        <v/>
      </c>
      <c r="V183" s="72" t="str">
        <f>IFERROR(VLOOKUP($D183,'FERC 2023'!$EA$3:$EN$221,7,0),"")</f>
        <v/>
      </c>
      <c r="W183" s="72" t="str">
        <f>IFERROR(VLOOKUP($D183,'FERC 2021'!$EA$3:$EN$221,8,0),"")</f>
        <v/>
      </c>
      <c r="X183" s="72" t="str">
        <f>IFERROR(VLOOKUP($D183,'FERC 2022'!$EA$3:$EN$220,8,0),"")</f>
        <v/>
      </c>
      <c r="Y183" s="72" t="str">
        <f>IFERROR(VLOOKUP($D183,'FERC 2023'!$EA$3:$EN$221,8,0),"")</f>
        <v/>
      </c>
      <c r="Z183" s="72" t="str">
        <f>IFERROR(VLOOKUP($D183,'FERC 2021'!$EA$3:$EN$222,9,0),"")</f>
        <v/>
      </c>
      <c r="AA183" s="72" t="str">
        <f>IFERROR(VLOOKUP($D183,'FERC 2022'!$EA$3:$EN$220,9,0),"")</f>
        <v/>
      </c>
      <c r="AB183" s="72" t="str">
        <f>IFERROR(VLOOKUP($D183,'FERC 2023'!$EA$3:$EN$221,9,0),"")</f>
        <v/>
      </c>
      <c r="AC183" s="72" t="str">
        <f>IFERROR(VLOOKUP($D183,'FERC 2021'!$EA$3:$EN$221,10,0),"")</f>
        <v/>
      </c>
      <c r="AD183" s="72" t="str">
        <f>IFERROR(VLOOKUP($D183,'FERC 2022'!$EA$3:$EN$220,10,0),"")</f>
        <v/>
      </c>
      <c r="AE183" s="72" t="str">
        <f>IFERROR(VLOOKUP($D183,'FERC 2023'!$EA$3:$EN$221,10,0),"")</f>
        <v/>
      </c>
      <c r="AF183" s="72" t="str">
        <f>IFERROR(VLOOKUP($D183,'FERC 2021'!$EA$3:$EN$221,11,0),"")</f>
        <v/>
      </c>
      <c r="AG183" s="72" t="str">
        <f>IFERROR(VLOOKUP($D183,'FERC 2022'!$EA$3:$EN$220,11,0),"")</f>
        <v/>
      </c>
      <c r="AH183" s="72" t="str">
        <f>IFERROR(VLOOKUP($D183,'FERC 2023'!$EA$3:$EN$221,11,0),"")</f>
        <v/>
      </c>
      <c r="AI183" s="72" t="str">
        <f>IFERROR(VLOOKUP($D183,'FERC 2021'!$EA$3:$EN$221,12,0),"")</f>
        <v/>
      </c>
      <c r="AJ183" s="72" t="str">
        <f>IFERROR(VLOOKUP($D183,'FERC 2022'!$EA$3:$EN$220,12,0),"")</f>
        <v/>
      </c>
      <c r="AK183" s="72" t="str">
        <f>IFERROR(VLOOKUP($D183,'FERC 2023'!$EA$3:$EN$221,12,0),"")</f>
        <v/>
      </c>
      <c r="AL183" s="72" t="str">
        <f>VLOOKUP($D183,'FERC 2021'!$EA$3:$EN$221,13,0)</f>
        <v/>
      </c>
      <c r="AM183" s="72" t="str">
        <f>VLOOKUP($D183,'FERC 2022'!$EA$3:$EN$220,13,0)</f>
        <v/>
      </c>
      <c r="AN183" s="72" t="str">
        <f>VLOOKUP($D183,'FERC 2023'!$EA$3:$EN$221,13,0)</f>
        <v/>
      </c>
      <c r="AO183" s="72" t="str">
        <f>IFERROR(VLOOKUP($D183,'FERC 2021'!$EA$3:$EN$221,14,0),"")</f>
        <v/>
      </c>
      <c r="AP183" s="72" t="str">
        <f>IFERROR(VLOOKUP($D183,'FERC 2022'!$EA$3:$EN$220,14,0),"")</f>
        <v/>
      </c>
      <c r="AQ183" s="72" t="str">
        <f>IFERROR(VLOOKUP($D183,'FERC 2023'!$EA$3:$EN$221,14,0),"")</f>
        <v/>
      </c>
    </row>
    <row r="184" spans="1:43" ht="15.75" hidden="1" customHeight="1">
      <c r="A184" s="7" t="s">
        <v>748</v>
      </c>
      <c r="B184" s="7" t="s">
        <v>749</v>
      </c>
      <c r="C184" s="311" t="str">
        <f>'BD DEA'!P184</f>
        <v/>
      </c>
      <c r="D184" s="44" t="str">
        <f t="shared" si="0"/>
        <v>C004936</v>
      </c>
      <c r="E184" s="72" t="str">
        <f>IFERROR(VLOOKUP($D184,'FERC 2021'!$EA$3:$EN$221,2,0),"")</f>
        <v/>
      </c>
      <c r="F184" s="72" t="str">
        <f>IFERROR(VLOOKUP($D184,'FERC 2022'!$EA$3:$EN$220,2,0),"")</f>
        <v/>
      </c>
      <c r="G184" s="72" t="str">
        <f>IFERROR(VLOOKUP($D184,'FERC 2023'!$EA$3:$EN$221,2,0),"")</f>
        <v/>
      </c>
      <c r="H184" s="72" t="str">
        <f>IFERROR(VLOOKUP($D184,'FERC 2021'!$EA$3:$EN$225,3,0),"")</f>
        <v/>
      </c>
      <c r="I184" s="72" t="str">
        <f>IFERROR(VLOOKUP($D184,'FERC 2022'!$EA$3:$EN$229,3,0),"")</f>
        <v/>
      </c>
      <c r="J184" s="72" t="str">
        <f>IFERROR(VLOOKUP($D184,'FERC 2023'!$EA$3:$EN$229,3,0),"")</f>
        <v/>
      </c>
      <c r="K184" s="72" t="str">
        <f>IFERROR(VLOOKUP($D184,'FERC 2021'!$EA$3:$EN$229,4,0),"")</f>
        <v/>
      </c>
      <c r="L184" s="72" t="str">
        <f>IFERROR(VLOOKUP($D184,'FERC 2022'!$EA$3:$EN$220,4,0),"")</f>
        <v/>
      </c>
      <c r="M184" s="72" t="str">
        <f>IFERROR(VLOOKUP($D184,'FERC 2023'!$EA$3:$EN$221,4,0),"")</f>
        <v/>
      </c>
      <c r="N184" s="72" t="str">
        <f>IFERROR(VLOOKUP($D184,'FERC 2021'!$EA$3:$EN$221,5,0),"")</f>
        <v/>
      </c>
      <c r="O184" s="72" t="str">
        <f>IFERROR(VLOOKUP($D184,'FERC 2022'!$EA$3:$EN$220,5,0),"")</f>
        <v/>
      </c>
      <c r="P184" s="72" t="str">
        <f>IFERROR(VLOOKUP($D184,'FERC 2023'!$EA$3:$EN$221,5,0),"")</f>
        <v/>
      </c>
      <c r="Q184" s="72" t="str">
        <f>IFERROR(VLOOKUP($D184,'FERC 2021'!$EA$3:$EN$221,6,0),"")</f>
        <v/>
      </c>
      <c r="R184" s="72" t="str">
        <f>IFERROR(VLOOKUP($D184,'FERC 2022'!$EA$3:$EN$220,6,0),"")</f>
        <v/>
      </c>
      <c r="S184" s="72" t="str">
        <f>IFERROR(VLOOKUP($D184,'FERC 2023'!$EA$3:$EN$221,6,0),"")</f>
        <v/>
      </c>
      <c r="T184" s="72" t="str">
        <f>IFERROR(VLOOKUP($D184,'FERC 2021'!$EA$3:$EN$221,7,0),"")</f>
        <v/>
      </c>
      <c r="U184" s="72" t="str">
        <f>IFERROR(VLOOKUP($D184,'FERC 2022'!$EA$3:$EN$220,7,0),"")</f>
        <v/>
      </c>
      <c r="V184" s="72" t="str">
        <f>IFERROR(VLOOKUP($D184,'FERC 2023'!$EA$3:$EN$221,7,0),"")</f>
        <v/>
      </c>
      <c r="W184" s="72" t="str">
        <f>IFERROR(VLOOKUP($D184,'FERC 2021'!$EA$3:$EN$221,8,0),"")</f>
        <v/>
      </c>
      <c r="X184" s="72" t="str">
        <f>IFERROR(VLOOKUP($D184,'FERC 2022'!$EA$3:$EN$220,8,0),"")</f>
        <v/>
      </c>
      <c r="Y184" s="72" t="str">
        <f>IFERROR(VLOOKUP($D184,'FERC 2023'!$EA$3:$EN$221,8,0),"")</f>
        <v/>
      </c>
      <c r="Z184" s="72" t="str">
        <f>IFERROR(VLOOKUP($D184,'FERC 2021'!$EA$3:$EN$222,9,0),"")</f>
        <v/>
      </c>
      <c r="AA184" s="72" t="str">
        <f>IFERROR(VLOOKUP($D184,'FERC 2022'!$EA$3:$EN$220,9,0),"")</f>
        <v/>
      </c>
      <c r="AB184" s="72" t="str">
        <f>IFERROR(VLOOKUP($D184,'FERC 2023'!$EA$3:$EN$221,9,0),"")</f>
        <v/>
      </c>
      <c r="AC184" s="72" t="str">
        <f>IFERROR(VLOOKUP($D184,'FERC 2021'!$EA$3:$EN$221,10,0),"")</f>
        <v/>
      </c>
      <c r="AD184" s="72" t="str">
        <f>IFERROR(VLOOKUP($D184,'FERC 2022'!$EA$3:$EN$220,10,0),"")</f>
        <v/>
      </c>
      <c r="AE184" s="72" t="str">
        <f>IFERROR(VLOOKUP($D184,'FERC 2023'!$EA$3:$EN$221,10,0),"")</f>
        <v/>
      </c>
      <c r="AF184" s="72" t="str">
        <f>IFERROR(VLOOKUP($D184,'FERC 2021'!$EA$3:$EN$221,11,0),"")</f>
        <v/>
      </c>
      <c r="AG184" s="72" t="str">
        <f>IFERROR(VLOOKUP($D184,'FERC 2022'!$EA$3:$EN$220,11,0),"")</f>
        <v/>
      </c>
      <c r="AH184" s="72" t="str">
        <f>IFERROR(VLOOKUP($D184,'FERC 2023'!$EA$3:$EN$221,11,0),"")</f>
        <v/>
      </c>
      <c r="AI184" s="72" t="str">
        <f>IFERROR(VLOOKUP($D184,'FERC 2021'!$EA$3:$EN$221,12,0),"")</f>
        <v/>
      </c>
      <c r="AJ184" s="72" t="str">
        <f>IFERROR(VLOOKUP($D184,'FERC 2022'!$EA$3:$EN$220,12,0),"")</f>
        <v/>
      </c>
      <c r="AK184" s="72" t="str">
        <f>IFERROR(VLOOKUP($D184,'FERC 2023'!$EA$3:$EN$221,12,0),"")</f>
        <v/>
      </c>
      <c r="AL184" s="72" t="str">
        <f>VLOOKUP($D184,'FERC 2021'!$EA$3:$EN$221,13,0)</f>
        <v/>
      </c>
      <c r="AM184" s="72" t="str">
        <f>VLOOKUP($D184,'FERC 2022'!$EA$3:$EN$220,13,0)</f>
        <v/>
      </c>
      <c r="AN184" s="72" t="str">
        <f>VLOOKUP($D184,'FERC 2023'!$EA$3:$EN$221,13,0)</f>
        <v/>
      </c>
      <c r="AO184" s="72" t="str">
        <f>IFERROR(VLOOKUP($D184,'FERC 2021'!$EA$3:$EN$221,14,0),"")</f>
        <v/>
      </c>
      <c r="AP184" s="72" t="str">
        <f>IFERROR(VLOOKUP($D184,'FERC 2022'!$EA$3:$EN$220,14,0),"")</f>
        <v/>
      </c>
      <c r="AQ184" s="72" t="str">
        <f>IFERROR(VLOOKUP($D184,'FERC 2023'!$EA$3:$EN$221,14,0),"")</f>
        <v/>
      </c>
    </row>
    <row r="185" spans="1:43" ht="15.75" customHeight="1">
      <c r="A185" s="7" t="s">
        <v>751</v>
      </c>
      <c r="B185" s="7" t="s">
        <v>752</v>
      </c>
      <c r="C185" s="311">
        <f>'BD DEA'!P185</f>
        <v>1</v>
      </c>
      <c r="D185" s="44" t="str">
        <f t="shared" si="0"/>
        <v>C004995</v>
      </c>
      <c r="E185" s="72">
        <f>IFERROR(VLOOKUP($D185,'FERC 2021'!$EA$3:$EN$221,2,0),"")</f>
        <v>10228235128.84046</v>
      </c>
      <c r="F185" s="72">
        <f>IFERROR(VLOOKUP($D185,'FERC 2022'!$EA$3:$EN$220,2,0),"")</f>
        <v>9530375165.4719219</v>
      </c>
      <c r="G185" s="72">
        <f>IFERROR(VLOOKUP($D185,'FERC 2023'!$EA$3:$EN$221,2,0),"")</f>
        <v>8146604417.66397</v>
      </c>
      <c r="H185" s="72">
        <f>IFERROR(VLOOKUP($D185,'FERC 2021'!$EA$3:$EN$225,3,0),"")</f>
        <v>553071520.43580997</v>
      </c>
      <c r="I185" s="72">
        <f>IFERROR(VLOOKUP($D185,'FERC 2022'!$EA$3:$EN$229,3,0),"")</f>
        <v>323987699.13625532</v>
      </c>
      <c r="J185" s="72">
        <f>IFERROR(VLOOKUP($D185,'FERC 2023'!$EA$3:$EN$229,3,0),"")</f>
        <v>463277151.68042654</v>
      </c>
      <c r="K185" s="72">
        <f>IFERROR(VLOOKUP($D185,'FERC 2021'!$EA$3:$EN$229,4,0),"")</f>
        <v>143730455.2247017</v>
      </c>
      <c r="L185" s="72">
        <f>IFERROR(VLOOKUP($D185,'FERC 2022'!$EA$3:$EN$220,4,0),"")</f>
        <v>156208253.02065358</v>
      </c>
      <c r="M185" s="72">
        <f>IFERROR(VLOOKUP($D185,'FERC 2023'!$EA$3:$EN$221,4,0),"")</f>
        <v>149042589.75740775</v>
      </c>
      <c r="N185" s="72">
        <f>IFERROR(VLOOKUP($D185,'FERC 2021'!$EA$3:$EN$221,5,0),"")</f>
        <v>101823134.87457329</v>
      </c>
      <c r="O185" s="72">
        <f>IFERROR(VLOOKUP($D185,'FERC 2022'!$EA$3:$EN$220,5,0),"")</f>
        <v>116074421.01215844</v>
      </c>
      <c r="P185" s="72">
        <f>IFERROR(VLOOKUP($D185,'FERC 2023'!$EA$3:$EN$221,5,0),"")</f>
        <v>105360509.87014514</v>
      </c>
      <c r="Q185" s="72">
        <f>IFERROR(VLOOKUP($D185,'FERC 2021'!$EA$3:$EN$221,6,0),"")</f>
        <v>103961058.59963456</v>
      </c>
      <c r="R185" s="72">
        <f>IFERROR(VLOOKUP($D185,'FERC 2022'!$EA$3:$EN$220,6,0),"")</f>
        <v>107910314.82166688</v>
      </c>
      <c r="S185" s="72">
        <f>IFERROR(VLOOKUP($D185,'FERC 2023'!$EA$3:$EN$221,6,0),"")</f>
        <v>105043436.88446192</v>
      </c>
      <c r="T185" s="72">
        <f>IFERROR(VLOOKUP($D185,'FERC 2021'!$EA$3:$EN$221,7,0),"")</f>
        <v>9973</v>
      </c>
      <c r="U185" s="72">
        <f>IFERROR(VLOOKUP($D185,'FERC 2022'!$EA$3:$EN$220,7,0),"")</f>
        <v>10134</v>
      </c>
      <c r="V185" s="72">
        <f>IFERROR(VLOOKUP($D185,'FERC 2023'!$EA$3:$EN$221,7,0),"")</f>
        <v>10327</v>
      </c>
      <c r="W185" s="72">
        <f>IFERROR(VLOOKUP($D185,'FERC 2021'!$EA$3:$EN$221,8,0),"")</f>
        <v>1106519</v>
      </c>
      <c r="X185" s="72">
        <f>IFERROR(VLOOKUP($D185,'FERC 2022'!$EA$3:$EN$220,8,0),"")</f>
        <v>1102557</v>
      </c>
      <c r="Y185" s="72">
        <f>IFERROR(VLOOKUP($D185,'FERC 2023'!$EA$3:$EN$221,8,0),"")</f>
        <v>1104479</v>
      </c>
      <c r="Z185" s="72">
        <f>IFERROR(VLOOKUP($D185,'FERC 2021'!$EA$3:$EN$222,9,0),"")</f>
        <v>1943741</v>
      </c>
      <c r="AA185" s="72">
        <f>IFERROR(VLOOKUP($D185,'FERC 2022'!$EA$3:$EN$220,9,0),"")</f>
        <v>1704474</v>
      </c>
      <c r="AB185" s="72">
        <f>IFERROR(VLOOKUP($D185,'FERC 2023'!$EA$3:$EN$221,9,0),"")</f>
        <v>1675910</v>
      </c>
      <c r="AC185" s="72">
        <f>IFERROR(VLOOKUP($D185,'FERC 2021'!$EA$3:$EN$221,10,0),"")</f>
        <v>54632923</v>
      </c>
      <c r="AD185" s="72">
        <f>IFERROR(VLOOKUP($D185,'FERC 2022'!$EA$3:$EN$220,10,0),"")</f>
        <v>57447333</v>
      </c>
      <c r="AE185" s="72">
        <f>IFERROR(VLOOKUP($D185,'FERC 2023'!$EA$3:$EN$221,10,0),"")</f>
        <v>57677063</v>
      </c>
      <c r="AF185" s="72">
        <f>IFERROR(VLOOKUP($D185,'FERC 2021'!$EA$3:$EN$221,11,0),"")</f>
        <v>56459192.421319798</v>
      </c>
      <c r="AG185" s="72">
        <f>IFERROR(VLOOKUP($D185,'FERC 2022'!$EA$3:$EN$220,11,0),"")</f>
        <v>59017203.395939082</v>
      </c>
      <c r="AH185" s="72">
        <f>IFERROR(VLOOKUP($D185,'FERC 2023'!$EA$3:$EN$221,11,0),"")</f>
        <v>59262521.355329946</v>
      </c>
      <c r="AI185" s="72">
        <f>IFERROR(VLOOKUP($D185,'FERC 2021'!$EA$3:$EN$221,12,0),"")</f>
        <v>272867585.39999998</v>
      </c>
      <c r="AJ185" s="72">
        <f>IFERROR(VLOOKUP($D185,'FERC 2022'!$EA$3:$EN$220,12,0),"")</f>
        <v>257777826.60000002</v>
      </c>
      <c r="AK185" s="72">
        <f>IFERROR(VLOOKUP($D185,'FERC 2023'!$EA$3:$EN$221,12,0),"")</f>
        <v>198033084.70000002</v>
      </c>
      <c r="AL185" s="72">
        <f>VLOOKUP($D185,'FERC 2021'!$EA$3:$EN$221,13,0)</f>
        <v>3495493.5209999997</v>
      </c>
      <c r="AM185" s="72">
        <f>VLOOKUP($D185,'FERC 2022'!$EA$3:$EN$220,13,0)</f>
        <v>1931679.8640000001</v>
      </c>
      <c r="AN185" s="72">
        <f>VLOOKUP($D185,'FERC 2023'!$EA$3:$EN$221,13,0)</f>
        <v>1530807.8939999999</v>
      </c>
      <c r="AO185" s="72">
        <f>IFERROR(VLOOKUP($D185,'FERC 2021'!$EA$3:$EN$221,14,0),"")</f>
        <v>1393336</v>
      </c>
      <c r="AP185" s="72">
        <f>IFERROR(VLOOKUP($D185,'FERC 2022'!$EA$3:$EN$220,14,0),"")</f>
        <v>1190569</v>
      </c>
      <c r="AQ185" s="72">
        <f>IFERROR(VLOOKUP($D185,'FERC 2023'!$EA$3:$EN$221,14,0),"")</f>
        <v>1343384</v>
      </c>
    </row>
    <row r="186" spans="1:43" ht="15.75" hidden="1" customHeight="1">
      <c r="A186" s="7" t="s">
        <v>754</v>
      </c>
      <c r="B186" s="7" t="s">
        <v>755</v>
      </c>
      <c r="C186" s="311" t="str">
        <f>'BD DEA'!P186</f>
        <v/>
      </c>
      <c r="D186" s="44" t="str">
        <f t="shared" si="0"/>
        <v>C005059</v>
      </c>
      <c r="E186" s="72" t="str">
        <f>IFERROR(VLOOKUP($D186,'FERC 2021'!$EA$3:$EN$221,2,0),"")</f>
        <v/>
      </c>
      <c r="F186" s="72" t="str">
        <f>IFERROR(VLOOKUP($D186,'FERC 2022'!$EA$3:$EN$220,2,0),"")</f>
        <v/>
      </c>
      <c r="G186" s="72" t="str">
        <f>IFERROR(VLOOKUP($D186,'FERC 2023'!$EA$3:$EN$221,2,0),"")</f>
        <v/>
      </c>
      <c r="H186" s="72" t="str">
        <f>IFERROR(VLOOKUP($D186,'FERC 2021'!$EA$3:$EN$225,3,0),"")</f>
        <v/>
      </c>
      <c r="I186" s="72" t="str">
        <f>IFERROR(VLOOKUP($D186,'FERC 2022'!$EA$3:$EN$229,3,0),"")</f>
        <v/>
      </c>
      <c r="J186" s="72" t="str">
        <f>IFERROR(VLOOKUP($D186,'FERC 2023'!$EA$3:$EN$229,3,0),"")</f>
        <v/>
      </c>
      <c r="K186" s="72" t="str">
        <f>IFERROR(VLOOKUP($D186,'FERC 2021'!$EA$3:$EN$229,4,0),"")</f>
        <v/>
      </c>
      <c r="L186" s="72" t="str">
        <f>IFERROR(VLOOKUP($D186,'FERC 2022'!$EA$3:$EN$220,4,0),"")</f>
        <v/>
      </c>
      <c r="M186" s="72" t="str">
        <f>IFERROR(VLOOKUP($D186,'FERC 2023'!$EA$3:$EN$221,4,0),"")</f>
        <v/>
      </c>
      <c r="N186" s="72" t="str">
        <f>IFERROR(VLOOKUP($D186,'FERC 2021'!$EA$3:$EN$221,5,0),"")</f>
        <v/>
      </c>
      <c r="O186" s="72" t="str">
        <f>IFERROR(VLOOKUP($D186,'FERC 2022'!$EA$3:$EN$220,5,0),"")</f>
        <v/>
      </c>
      <c r="P186" s="72" t="str">
        <f>IFERROR(VLOOKUP($D186,'FERC 2023'!$EA$3:$EN$221,5,0),"")</f>
        <v/>
      </c>
      <c r="Q186" s="72" t="str">
        <f>IFERROR(VLOOKUP($D186,'FERC 2021'!$EA$3:$EN$221,6,0),"")</f>
        <v/>
      </c>
      <c r="R186" s="72" t="str">
        <f>IFERROR(VLOOKUP($D186,'FERC 2022'!$EA$3:$EN$220,6,0),"")</f>
        <v/>
      </c>
      <c r="S186" s="72" t="str">
        <f>IFERROR(VLOOKUP($D186,'FERC 2023'!$EA$3:$EN$221,6,0),"")</f>
        <v/>
      </c>
      <c r="T186" s="72" t="str">
        <f>IFERROR(VLOOKUP($D186,'FERC 2021'!$EA$3:$EN$221,7,0),"")</f>
        <v/>
      </c>
      <c r="U186" s="72" t="str">
        <f>IFERROR(VLOOKUP($D186,'FERC 2022'!$EA$3:$EN$220,7,0),"")</f>
        <v/>
      </c>
      <c r="V186" s="72" t="str">
        <f>IFERROR(VLOOKUP($D186,'FERC 2023'!$EA$3:$EN$221,7,0),"")</f>
        <v/>
      </c>
      <c r="W186" s="72" t="str">
        <f>IFERROR(VLOOKUP($D186,'FERC 2021'!$EA$3:$EN$221,8,0),"")</f>
        <v/>
      </c>
      <c r="X186" s="72" t="str">
        <f>IFERROR(VLOOKUP($D186,'FERC 2022'!$EA$3:$EN$220,8,0),"")</f>
        <v/>
      </c>
      <c r="Y186" s="72" t="str">
        <f>IFERROR(VLOOKUP($D186,'FERC 2023'!$EA$3:$EN$221,8,0),"")</f>
        <v/>
      </c>
      <c r="Z186" s="72" t="str">
        <f>IFERROR(VLOOKUP($D186,'FERC 2021'!$EA$3:$EN$222,9,0),"")</f>
        <v/>
      </c>
      <c r="AA186" s="72" t="str">
        <f>IFERROR(VLOOKUP($D186,'FERC 2022'!$EA$3:$EN$220,9,0),"")</f>
        <v/>
      </c>
      <c r="AB186" s="72" t="str">
        <f>IFERROR(VLOOKUP($D186,'FERC 2023'!$EA$3:$EN$221,9,0),"")</f>
        <v/>
      </c>
      <c r="AC186" s="72" t="str">
        <f>IFERROR(VLOOKUP($D186,'FERC 2021'!$EA$3:$EN$221,10,0),"")</f>
        <v/>
      </c>
      <c r="AD186" s="72" t="str">
        <f>IFERROR(VLOOKUP($D186,'FERC 2022'!$EA$3:$EN$220,10,0),"")</f>
        <v/>
      </c>
      <c r="AE186" s="72" t="str">
        <f>IFERROR(VLOOKUP($D186,'FERC 2023'!$EA$3:$EN$221,10,0),"")</f>
        <v/>
      </c>
      <c r="AF186" s="72" t="str">
        <f>IFERROR(VLOOKUP($D186,'FERC 2021'!$EA$3:$EN$221,11,0),"")</f>
        <v/>
      </c>
      <c r="AG186" s="72" t="str">
        <f>IFERROR(VLOOKUP($D186,'FERC 2022'!$EA$3:$EN$220,11,0),"")</f>
        <v/>
      </c>
      <c r="AH186" s="72" t="str">
        <f>IFERROR(VLOOKUP($D186,'FERC 2023'!$EA$3:$EN$221,11,0),"")</f>
        <v/>
      </c>
      <c r="AI186" s="72" t="str">
        <f>IFERROR(VLOOKUP($D186,'FERC 2021'!$EA$3:$EN$221,12,0),"")</f>
        <v/>
      </c>
      <c r="AJ186" s="72" t="str">
        <f>IFERROR(VLOOKUP($D186,'FERC 2022'!$EA$3:$EN$220,12,0),"")</f>
        <v/>
      </c>
      <c r="AK186" s="72" t="str">
        <f>IFERROR(VLOOKUP($D186,'FERC 2023'!$EA$3:$EN$221,12,0),"")</f>
        <v/>
      </c>
      <c r="AL186" s="72" t="str">
        <f>VLOOKUP($D186,'FERC 2021'!$EA$3:$EN$221,13,0)</f>
        <v/>
      </c>
      <c r="AM186" s="72" t="str">
        <f>VLOOKUP($D186,'FERC 2022'!$EA$3:$EN$220,13,0)</f>
        <v/>
      </c>
      <c r="AN186" s="72" t="str">
        <f>VLOOKUP($D186,'FERC 2023'!$EA$3:$EN$221,13,0)</f>
        <v/>
      </c>
      <c r="AO186" s="72" t="str">
        <f>IFERROR(VLOOKUP($D186,'FERC 2021'!$EA$3:$EN$221,14,0),"")</f>
        <v/>
      </c>
      <c r="AP186" s="72" t="str">
        <f>IFERROR(VLOOKUP($D186,'FERC 2022'!$EA$3:$EN$220,14,0),"")</f>
        <v/>
      </c>
      <c r="AQ186" s="72" t="str">
        <f>IFERROR(VLOOKUP($D186,'FERC 2023'!$EA$3:$EN$221,14,0),"")</f>
        <v/>
      </c>
    </row>
    <row r="187" spans="1:43" ht="15.75" hidden="1" customHeight="1">
      <c r="A187" s="7" t="s">
        <v>757</v>
      </c>
      <c r="B187" s="7" t="s">
        <v>758</v>
      </c>
      <c r="C187" s="311" t="str">
        <f>'BD DEA'!P187</f>
        <v/>
      </c>
      <c r="D187" s="44" t="str">
        <f t="shared" si="0"/>
        <v>C005067</v>
      </c>
      <c r="E187" s="72" t="str">
        <f>IFERROR(VLOOKUP($D187,'FERC 2021'!$EA$3:$EN$221,2,0),"")</f>
        <v/>
      </c>
      <c r="F187" s="72" t="str">
        <f>IFERROR(VLOOKUP($D187,'FERC 2022'!$EA$3:$EN$220,2,0),"")</f>
        <v/>
      </c>
      <c r="G187" s="72" t="str">
        <f>IFERROR(VLOOKUP($D187,'FERC 2023'!$EA$3:$EN$221,2,0),"")</f>
        <v/>
      </c>
      <c r="H187" s="72" t="str">
        <f>IFERROR(VLOOKUP($D187,'FERC 2021'!$EA$3:$EN$225,3,0),"")</f>
        <v/>
      </c>
      <c r="I187" s="72" t="str">
        <f>IFERROR(VLOOKUP($D187,'FERC 2022'!$EA$3:$EN$229,3,0),"")</f>
        <v/>
      </c>
      <c r="J187" s="72" t="str">
        <f>IFERROR(VLOOKUP($D187,'FERC 2023'!$EA$3:$EN$229,3,0),"")</f>
        <v/>
      </c>
      <c r="K187" s="72" t="str">
        <f>IFERROR(VLOOKUP($D187,'FERC 2021'!$EA$3:$EN$229,4,0),"")</f>
        <v/>
      </c>
      <c r="L187" s="72" t="str">
        <f>IFERROR(VLOOKUP($D187,'FERC 2022'!$EA$3:$EN$220,4,0),"")</f>
        <v/>
      </c>
      <c r="M187" s="72" t="str">
        <f>IFERROR(VLOOKUP($D187,'FERC 2023'!$EA$3:$EN$221,4,0),"")</f>
        <v/>
      </c>
      <c r="N187" s="72" t="str">
        <f>IFERROR(VLOOKUP($D187,'FERC 2021'!$EA$3:$EN$221,5,0),"")</f>
        <v/>
      </c>
      <c r="O187" s="72" t="str">
        <f>IFERROR(VLOOKUP($D187,'FERC 2022'!$EA$3:$EN$220,5,0),"")</f>
        <v/>
      </c>
      <c r="P187" s="72" t="str">
        <f>IFERROR(VLOOKUP($D187,'FERC 2023'!$EA$3:$EN$221,5,0),"")</f>
        <v/>
      </c>
      <c r="Q187" s="72" t="str">
        <f>IFERROR(VLOOKUP($D187,'FERC 2021'!$EA$3:$EN$221,6,0),"")</f>
        <v/>
      </c>
      <c r="R187" s="72" t="str">
        <f>IFERROR(VLOOKUP($D187,'FERC 2022'!$EA$3:$EN$220,6,0),"")</f>
        <v/>
      </c>
      <c r="S187" s="72" t="str">
        <f>IFERROR(VLOOKUP($D187,'FERC 2023'!$EA$3:$EN$221,6,0),"")</f>
        <v/>
      </c>
      <c r="T187" s="72" t="str">
        <f>IFERROR(VLOOKUP($D187,'FERC 2021'!$EA$3:$EN$221,7,0),"")</f>
        <v/>
      </c>
      <c r="U187" s="72" t="str">
        <f>IFERROR(VLOOKUP($D187,'FERC 2022'!$EA$3:$EN$220,7,0),"")</f>
        <v/>
      </c>
      <c r="V187" s="72" t="str">
        <f>IFERROR(VLOOKUP($D187,'FERC 2023'!$EA$3:$EN$221,7,0),"")</f>
        <v/>
      </c>
      <c r="W187" s="72" t="str">
        <f>IFERROR(VLOOKUP($D187,'FERC 2021'!$EA$3:$EN$221,8,0),"")</f>
        <v/>
      </c>
      <c r="X187" s="72" t="str">
        <f>IFERROR(VLOOKUP($D187,'FERC 2022'!$EA$3:$EN$220,8,0),"")</f>
        <v/>
      </c>
      <c r="Y187" s="72" t="str">
        <f>IFERROR(VLOOKUP($D187,'FERC 2023'!$EA$3:$EN$221,8,0),"")</f>
        <v/>
      </c>
      <c r="Z187" s="72" t="str">
        <f>IFERROR(VLOOKUP($D187,'FERC 2021'!$EA$3:$EN$222,9,0),"")</f>
        <v/>
      </c>
      <c r="AA187" s="72" t="str">
        <f>IFERROR(VLOOKUP($D187,'FERC 2022'!$EA$3:$EN$220,9,0),"")</f>
        <v/>
      </c>
      <c r="AB187" s="72" t="str">
        <f>IFERROR(VLOOKUP($D187,'FERC 2023'!$EA$3:$EN$221,9,0),"")</f>
        <v/>
      </c>
      <c r="AC187" s="72" t="str">
        <f>IFERROR(VLOOKUP($D187,'FERC 2021'!$EA$3:$EN$221,10,0),"")</f>
        <v/>
      </c>
      <c r="AD187" s="72" t="str">
        <f>IFERROR(VLOOKUP($D187,'FERC 2022'!$EA$3:$EN$220,10,0),"")</f>
        <v/>
      </c>
      <c r="AE187" s="72" t="str">
        <f>IFERROR(VLOOKUP($D187,'FERC 2023'!$EA$3:$EN$221,10,0),"")</f>
        <v/>
      </c>
      <c r="AF187" s="72" t="str">
        <f>IFERROR(VLOOKUP($D187,'FERC 2021'!$EA$3:$EN$221,11,0),"")</f>
        <v/>
      </c>
      <c r="AG187" s="72" t="str">
        <f>IFERROR(VLOOKUP($D187,'FERC 2022'!$EA$3:$EN$220,11,0),"")</f>
        <v/>
      </c>
      <c r="AH187" s="72" t="str">
        <f>IFERROR(VLOOKUP($D187,'FERC 2023'!$EA$3:$EN$221,11,0),"")</f>
        <v/>
      </c>
      <c r="AI187" s="72" t="str">
        <f>IFERROR(VLOOKUP($D187,'FERC 2021'!$EA$3:$EN$221,12,0),"")</f>
        <v/>
      </c>
      <c r="AJ187" s="72" t="str">
        <f>IFERROR(VLOOKUP($D187,'FERC 2022'!$EA$3:$EN$220,12,0),"")</f>
        <v/>
      </c>
      <c r="AK187" s="72" t="str">
        <f>IFERROR(VLOOKUP($D187,'FERC 2023'!$EA$3:$EN$221,12,0),"")</f>
        <v/>
      </c>
      <c r="AL187" s="72" t="str">
        <f>VLOOKUP($D187,'FERC 2021'!$EA$3:$EN$221,13,0)</f>
        <v/>
      </c>
      <c r="AM187" s="72" t="str">
        <f>VLOOKUP($D187,'FERC 2022'!$EA$3:$EN$220,13,0)</f>
        <v/>
      </c>
      <c r="AN187" s="72" t="str">
        <f>VLOOKUP($D187,'FERC 2023'!$EA$3:$EN$221,13,0)</f>
        <v/>
      </c>
      <c r="AO187" s="72" t="str">
        <f>IFERROR(VLOOKUP($D187,'FERC 2021'!$EA$3:$EN$221,14,0),"")</f>
        <v/>
      </c>
      <c r="AP187" s="72" t="str">
        <f>IFERROR(VLOOKUP($D187,'FERC 2022'!$EA$3:$EN$220,14,0),"")</f>
        <v/>
      </c>
      <c r="AQ187" s="72" t="str">
        <f>IFERROR(VLOOKUP($D187,'FERC 2023'!$EA$3:$EN$221,14,0),"")</f>
        <v/>
      </c>
    </row>
    <row r="188" spans="1:43" ht="15.75" hidden="1" customHeight="1">
      <c r="A188" s="7" t="s">
        <v>760</v>
      </c>
      <c r="B188" s="7" t="s">
        <v>761</v>
      </c>
      <c r="C188" s="311" t="str">
        <f>'BD DEA'!P188</f>
        <v/>
      </c>
      <c r="D188" s="44" t="str">
        <f t="shared" si="0"/>
        <v>C005423</v>
      </c>
      <c r="E188" s="72" t="str">
        <f>IFERROR(VLOOKUP($D188,'FERC 2021'!$EA$3:$EN$221,2,0),"")</f>
        <v/>
      </c>
      <c r="F188" s="72" t="str">
        <f>IFERROR(VLOOKUP($D188,'FERC 2022'!$EA$3:$EN$220,2,0),"")</f>
        <v/>
      </c>
      <c r="G188" s="72" t="str">
        <f>IFERROR(VLOOKUP($D188,'FERC 2023'!$EA$3:$EN$221,2,0),"")</f>
        <v/>
      </c>
      <c r="H188" s="72" t="str">
        <f>IFERROR(VLOOKUP($D188,'FERC 2021'!$EA$3:$EN$225,3,0),"")</f>
        <v/>
      </c>
      <c r="I188" s="72" t="str">
        <f>IFERROR(VLOOKUP($D188,'FERC 2022'!$EA$3:$EN$229,3,0),"")</f>
        <v/>
      </c>
      <c r="J188" s="72" t="str">
        <f>IFERROR(VLOOKUP($D188,'FERC 2023'!$EA$3:$EN$229,3,0),"")</f>
        <v/>
      </c>
      <c r="K188" s="72" t="str">
        <f>IFERROR(VLOOKUP($D188,'FERC 2021'!$EA$3:$EN$229,4,0),"")</f>
        <v/>
      </c>
      <c r="L188" s="72" t="str">
        <f>IFERROR(VLOOKUP($D188,'FERC 2022'!$EA$3:$EN$220,4,0),"")</f>
        <v/>
      </c>
      <c r="M188" s="72" t="str">
        <f>IFERROR(VLOOKUP($D188,'FERC 2023'!$EA$3:$EN$221,4,0),"")</f>
        <v/>
      </c>
      <c r="N188" s="72" t="str">
        <f>IFERROR(VLOOKUP($D188,'FERC 2021'!$EA$3:$EN$221,5,0),"")</f>
        <v/>
      </c>
      <c r="O188" s="72" t="str">
        <f>IFERROR(VLOOKUP($D188,'FERC 2022'!$EA$3:$EN$220,5,0),"")</f>
        <v/>
      </c>
      <c r="P188" s="72" t="str">
        <f>IFERROR(VLOOKUP($D188,'FERC 2023'!$EA$3:$EN$221,5,0),"")</f>
        <v/>
      </c>
      <c r="Q188" s="72" t="str">
        <f>IFERROR(VLOOKUP($D188,'FERC 2021'!$EA$3:$EN$221,6,0),"")</f>
        <v/>
      </c>
      <c r="R188" s="72" t="str">
        <f>IFERROR(VLOOKUP($D188,'FERC 2022'!$EA$3:$EN$220,6,0),"")</f>
        <v/>
      </c>
      <c r="S188" s="72" t="str">
        <f>IFERROR(VLOOKUP($D188,'FERC 2023'!$EA$3:$EN$221,6,0),"")</f>
        <v/>
      </c>
      <c r="T188" s="72" t="str">
        <f>IFERROR(VLOOKUP($D188,'FERC 2021'!$EA$3:$EN$221,7,0),"")</f>
        <v/>
      </c>
      <c r="U188" s="72" t="str">
        <f>IFERROR(VLOOKUP($D188,'FERC 2022'!$EA$3:$EN$220,7,0),"")</f>
        <v/>
      </c>
      <c r="V188" s="72" t="str">
        <f>IFERROR(VLOOKUP($D188,'FERC 2023'!$EA$3:$EN$221,7,0),"")</f>
        <v/>
      </c>
      <c r="W188" s="72" t="str">
        <f>IFERROR(VLOOKUP($D188,'FERC 2021'!$EA$3:$EN$221,8,0),"")</f>
        <v/>
      </c>
      <c r="X188" s="72" t="str">
        <f>IFERROR(VLOOKUP($D188,'FERC 2022'!$EA$3:$EN$220,8,0),"")</f>
        <v/>
      </c>
      <c r="Y188" s="72" t="str">
        <f>IFERROR(VLOOKUP($D188,'FERC 2023'!$EA$3:$EN$221,8,0),"")</f>
        <v/>
      </c>
      <c r="Z188" s="72" t="str">
        <f>IFERROR(VLOOKUP($D188,'FERC 2021'!$EA$3:$EN$222,9,0),"")</f>
        <v/>
      </c>
      <c r="AA188" s="72" t="str">
        <f>IFERROR(VLOOKUP($D188,'FERC 2022'!$EA$3:$EN$220,9,0),"")</f>
        <v/>
      </c>
      <c r="AB188" s="72" t="str">
        <f>IFERROR(VLOOKUP($D188,'FERC 2023'!$EA$3:$EN$221,9,0),"")</f>
        <v/>
      </c>
      <c r="AC188" s="72" t="str">
        <f>IFERROR(VLOOKUP($D188,'FERC 2021'!$EA$3:$EN$221,10,0),"")</f>
        <v/>
      </c>
      <c r="AD188" s="72" t="str">
        <f>IFERROR(VLOOKUP($D188,'FERC 2022'!$EA$3:$EN$220,10,0),"")</f>
        <v/>
      </c>
      <c r="AE188" s="72" t="str">
        <f>IFERROR(VLOOKUP($D188,'FERC 2023'!$EA$3:$EN$221,10,0),"")</f>
        <v/>
      </c>
      <c r="AF188" s="72" t="str">
        <f>IFERROR(VLOOKUP($D188,'FERC 2021'!$EA$3:$EN$221,11,0),"")</f>
        <v/>
      </c>
      <c r="AG188" s="72" t="str">
        <f>IFERROR(VLOOKUP($D188,'FERC 2022'!$EA$3:$EN$220,11,0),"")</f>
        <v/>
      </c>
      <c r="AH188" s="72" t="str">
        <f>IFERROR(VLOOKUP($D188,'FERC 2023'!$EA$3:$EN$221,11,0),"")</f>
        <v/>
      </c>
      <c r="AI188" s="72" t="str">
        <f>IFERROR(VLOOKUP($D188,'FERC 2021'!$EA$3:$EN$221,12,0),"")</f>
        <v/>
      </c>
      <c r="AJ188" s="72" t="str">
        <f>IFERROR(VLOOKUP($D188,'FERC 2022'!$EA$3:$EN$220,12,0),"")</f>
        <v/>
      </c>
      <c r="AK188" s="72" t="str">
        <f>IFERROR(VLOOKUP($D188,'FERC 2023'!$EA$3:$EN$221,12,0),"")</f>
        <v/>
      </c>
      <c r="AL188" s="72" t="str">
        <f>VLOOKUP($D188,'FERC 2021'!$EA$3:$EN$221,13,0)</f>
        <v/>
      </c>
      <c r="AM188" s="72" t="str">
        <f>VLOOKUP($D188,'FERC 2022'!$EA$3:$EN$220,13,0)</f>
        <v/>
      </c>
      <c r="AN188" s="72" t="str">
        <f>VLOOKUP($D188,'FERC 2023'!$EA$3:$EN$221,13,0)</f>
        <v/>
      </c>
      <c r="AO188" s="72" t="str">
        <f>IFERROR(VLOOKUP($D188,'FERC 2021'!$EA$3:$EN$221,14,0),"")</f>
        <v/>
      </c>
      <c r="AP188" s="72" t="str">
        <f>IFERROR(VLOOKUP($D188,'FERC 2022'!$EA$3:$EN$220,14,0),"")</f>
        <v/>
      </c>
      <c r="AQ188" s="72" t="str">
        <f>IFERROR(VLOOKUP($D188,'FERC 2023'!$EA$3:$EN$221,14,0),"")</f>
        <v/>
      </c>
    </row>
    <row r="189" spans="1:43" ht="15.75" hidden="1" customHeight="1">
      <c r="A189" s="7" t="s">
        <v>763</v>
      </c>
      <c r="B189" s="7" t="s">
        <v>764</v>
      </c>
      <c r="C189" s="311" t="str">
        <f>'BD DEA'!P189</f>
        <v/>
      </c>
      <c r="D189" s="44" t="str">
        <f t="shared" si="0"/>
        <v>C005424</v>
      </c>
      <c r="E189" s="72" t="str">
        <f>IFERROR(VLOOKUP($D189,'FERC 2021'!$EA$3:$EN$221,2,0),"")</f>
        <v/>
      </c>
      <c r="F189" s="72" t="str">
        <f>IFERROR(VLOOKUP($D189,'FERC 2022'!$EA$3:$EN$220,2,0),"")</f>
        <v/>
      </c>
      <c r="G189" s="72" t="str">
        <f>IFERROR(VLOOKUP($D189,'FERC 2023'!$EA$3:$EN$221,2,0),"")</f>
        <v/>
      </c>
      <c r="H189" s="72" t="str">
        <f>IFERROR(VLOOKUP($D189,'FERC 2021'!$EA$3:$EN$225,3,0),"")</f>
        <v/>
      </c>
      <c r="I189" s="72" t="str">
        <f>IFERROR(VLOOKUP($D189,'FERC 2022'!$EA$3:$EN$229,3,0),"")</f>
        <v/>
      </c>
      <c r="J189" s="72" t="str">
        <f>IFERROR(VLOOKUP($D189,'FERC 2023'!$EA$3:$EN$229,3,0),"")</f>
        <v/>
      </c>
      <c r="K189" s="72" t="str">
        <f>IFERROR(VLOOKUP($D189,'FERC 2021'!$EA$3:$EN$229,4,0),"")</f>
        <v/>
      </c>
      <c r="L189" s="72" t="str">
        <f>IFERROR(VLOOKUP($D189,'FERC 2022'!$EA$3:$EN$220,4,0),"")</f>
        <v/>
      </c>
      <c r="M189" s="72" t="str">
        <f>IFERROR(VLOOKUP($D189,'FERC 2023'!$EA$3:$EN$221,4,0),"")</f>
        <v/>
      </c>
      <c r="N189" s="72" t="str">
        <f>IFERROR(VLOOKUP($D189,'FERC 2021'!$EA$3:$EN$221,5,0),"")</f>
        <v/>
      </c>
      <c r="O189" s="72" t="str">
        <f>IFERROR(VLOOKUP($D189,'FERC 2022'!$EA$3:$EN$220,5,0),"")</f>
        <v/>
      </c>
      <c r="P189" s="72" t="str">
        <f>IFERROR(VLOOKUP($D189,'FERC 2023'!$EA$3:$EN$221,5,0),"")</f>
        <v/>
      </c>
      <c r="Q189" s="72" t="str">
        <f>IFERROR(VLOOKUP($D189,'FERC 2021'!$EA$3:$EN$221,6,0),"")</f>
        <v/>
      </c>
      <c r="R189" s="72" t="str">
        <f>IFERROR(VLOOKUP($D189,'FERC 2022'!$EA$3:$EN$220,6,0),"")</f>
        <v/>
      </c>
      <c r="S189" s="72" t="str">
        <f>IFERROR(VLOOKUP($D189,'FERC 2023'!$EA$3:$EN$221,6,0),"")</f>
        <v/>
      </c>
      <c r="T189" s="72" t="str">
        <f>IFERROR(VLOOKUP($D189,'FERC 2021'!$EA$3:$EN$221,7,0),"")</f>
        <v/>
      </c>
      <c r="U189" s="72" t="str">
        <f>IFERROR(VLOOKUP($D189,'FERC 2022'!$EA$3:$EN$220,7,0),"")</f>
        <v/>
      </c>
      <c r="V189" s="72" t="str">
        <f>IFERROR(VLOOKUP($D189,'FERC 2023'!$EA$3:$EN$221,7,0),"")</f>
        <v/>
      </c>
      <c r="W189" s="72" t="str">
        <f>IFERROR(VLOOKUP($D189,'FERC 2021'!$EA$3:$EN$221,8,0),"")</f>
        <v/>
      </c>
      <c r="X189" s="72" t="str">
        <f>IFERROR(VLOOKUP($D189,'FERC 2022'!$EA$3:$EN$220,8,0),"")</f>
        <v/>
      </c>
      <c r="Y189" s="72" t="str">
        <f>IFERROR(VLOOKUP($D189,'FERC 2023'!$EA$3:$EN$221,8,0),"")</f>
        <v/>
      </c>
      <c r="Z189" s="72" t="str">
        <f>IFERROR(VLOOKUP($D189,'FERC 2021'!$EA$3:$EN$222,9,0),"")</f>
        <v/>
      </c>
      <c r="AA189" s="72" t="str">
        <f>IFERROR(VLOOKUP($D189,'FERC 2022'!$EA$3:$EN$220,9,0),"")</f>
        <v/>
      </c>
      <c r="AB189" s="72" t="str">
        <f>IFERROR(VLOOKUP($D189,'FERC 2023'!$EA$3:$EN$221,9,0),"")</f>
        <v/>
      </c>
      <c r="AC189" s="72" t="str">
        <f>IFERROR(VLOOKUP($D189,'FERC 2021'!$EA$3:$EN$221,10,0),"")</f>
        <v/>
      </c>
      <c r="AD189" s="72" t="str">
        <f>IFERROR(VLOOKUP($D189,'FERC 2022'!$EA$3:$EN$220,10,0),"")</f>
        <v/>
      </c>
      <c r="AE189" s="72" t="str">
        <f>IFERROR(VLOOKUP($D189,'FERC 2023'!$EA$3:$EN$221,10,0),"")</f>
        <v/>
      </c>
      <c r="AF189" s="72" t="str">
        <f>IFERROR(VLOOKUP($D189,'FERC 2021'!$EA$3:$EN$221,11,0),"")</f>
        <v/>
      </c>
      <c r="AG189" s="72" t="str">
        <f>IFERROR(VLOOKUP($D189,'FERC 2022'!$EA$3:$EN$220,11,0),"")</f>
        <v/>
      </c>
      <c r="AH189" s="72" t="str">
        <f>IFERROR(VLOOKUP($D189,'FERC 2023'!$EA$3:$EN$221,11,0),"")</f>
        <v/>
      </c>
      <c r="AI189" s="72" t="str">
        <f>IFERROR(VLOOKUP($D189,'FERC 2021'!$EA$3:$EN$221,12,0),"")</f>
        <v/>
      </c>
      <c r="AJ189" s="72" t="str">
        <f>IFERROR(VLOOKUP($D189,'FERC 2022'!$EA$3:$EN$220,12,0),"")</f>
        <v/>
      </c>
      <c r="AK189" s="72" t="str">
        <f>IFERROR(VLOOKUP($D189,'FERC 2023'!$EA$3:$EN$221,12,0),"")</f>
        <v/>
      </c>
      <c r="AL189" s="72" t="str">
        <f>VLOOKUP($D189,'FERC 2021'!$EA$3:$EN$221,13,0)</f>
        <v/>
      </c>
      <c r="AM189" s="72" t="str">
        <f>VLOOKUP($D189,'FERC 2022'!$EA$3:$EN$220,13,0)</f>
        <v/>
      </c>
      <c r="AN189" s="72" t="str">
        <f>VLOOKUP($D189,'FERC 2023'!$EA$3:$EN$221,13,0)</f>
        <v/>
      </c>
      <c r="AO189" s="72" t="str">
        <f>IFERROR(VLOOKUP($D189,'FERC 2021'!$EA$3:$EN$221,14,0),"")</f>
        <v/>
      </c>
      <c r="AP189" s="72" t="str">
        <f>IFERROR(VLOOKUP($D189,'FERC 2022'!$EA$3:$EN$220,14,0),"")</f>
        <v/>
      </c>
      <c r="AQ189" s="72" t="str">
        <f>IFERROR(VLOOKUP($D189,'FERC 2023'!$EA$3:$EN$221,14,0),"")</f>
        <v/>
      </c>
    </row>
    <row r="190" spans="1:43" ht="15.75" customHeight="1">
      <c r="A190" s="7" t="s">
        <v>766</v>
      </c>
      <c r="B190" s="7" t="s">
        <v>767</v>
      </c>
      <c r="C190" s="311">
        <f>'BD DEA'!P190</f>
        <v>1</v>
      </c>
      <c r="D190" s="44" t="str">
        <f t="shared" si="0"/>
        <v>C005443</v>
      </c>
      <c r="E190" s="72">
        <f>IFERROR(VLOOKUP($D190,'FERC 2021'!$EA$3:$EN$221,2,0),"")</f>
        <v>283305194.51170635</v>
      </c>
      <c r="F190" s="72">
        <f>IFERROR(VLOOKUP($D190,'FERC 2022'!$EA$3:$EN$220,2,0),"")</f>
        <v>290415679.12639123</v>
      </c>
      <c r="G190" s="72">
        <f>IFERROR(VLOOKUP($D190,'FERC 2023'!$EA$3:$EN$221,2,0),"")</f>
        <v>291870017.87905699</v>
      </c>
      <c r="H190" s="72">
        <f>IFERROR(VLOOKUP($D190,'FERC 2021'!$EA$3:$EN$225,3,0),"")</f>
        <v>7462151.9259596998</v>
      </c>
      <c r="I190" s="72">
        <f>IFERROR(VLOOKUP($D190,'FERC 2022'!$EA$3:$EN$229,3,0),"")</f>
        <v>12600685.235256232</v>
      </c>
      <c r="J190" s="72">
        <f>IFERROR(VLOOKUP($D190,'FERC 2023'!$EA$3:$EN$229,3,0),"")</f>
        <v>8822910.4764819033</v>
      </c>
      <c r="K190" s="72">
        <f>IFERROR(VLOOKUP($D190,'FERC 2021'!$EA$3:$EN$229,4,0),"")</f>
        <v>3917663.3463738379</v>
      </c>
      <c r="L190" s="72">
        <f>IFERROR(VLOOKUP($D190,'FERC 2022'!$EA$3:$EN$220,4,0),"")</f>
        <v>5475319.6255297465</v>
      </c>
      <c r="M190" s="72">
        <f>IFERROR(VLOOKUP($D190,'FERC 2023'!$EA$3:$EN$221,4,0),"")</f>
        <v>4574831.9241902614</v>
      </c>
      <c r="N190" s="72">
        <f>IFERROR(VLOOKUP($D190,'FERC 2021'!$EA$3:$EN$221,5,0),"")</f>
        <v>6687524.4948814427</v>
      </c>
      <c r="O190" s="72">
        <f>IFERROR(VLOOKUP($D190,'FERC 2022'!$EA$3:$EN$220,5,0),"")</f>
        <v>5148175.4455993129</v>
      </c>
      <c r="P190" s="72">
        <f>IFERROR(VLOOKUP($D190,'FERC 2023'!$EA$3:$EN$221,5,0),"")</f>
        <v>5003458.9488894874</v>
      </c>
      <c r="Q190" s="72">
        <f>IFERROR(VLOOKUP($D190,'FERC 2021'!$EA$3:$EN$221,6,0),"")</f>
        <v>968671.23851875879</v>
      </c>
      <c r="R190" s="72">
        <f>IFERROR(VLOOKUP($D190,'FERC 2022'!$EA$3:$EN$220,6,0),"")</f>
        <v>988523.89427898615</v>
      </c>
      <c r="S190" s="72">
        <f>IFERROR(VLOOKUP($D190,'FERC 2023'!$EA$3:$EN$221,6,0),"")</f>
        <v>728802.66308453155</v>
      </c>
      <c r="T190" s="72">
        <f>IFERROR(VLOOKUP($D190,'FERC 2021'!$EA$3:$EN$221,7,0),"")</f>
        <v>338</v>
      </c>
      <c r="U190" s="72">
        <f>IFERROR(VLOOKUP($D190,'FERC 2022'!$EA$3:$EN$220,7,0),"")</f>
        <v>284</v>
      </c>
      <c r="V190" s="72">
        <f>IFERROR(VLOOKUP($D190,'FERC 2023'!$EA$3:$EN$221,7,0),"")</f>
        <v>281</v>
      </c>
      <c r="W190" s="72">
        <f>IFERROR(VLOOKUP($D190,'FERC 2021'!$EA$3:$EN$221,8,0),"")</f>
        <v>36922</v>
      </c>
      <c r="X190" s="72">
        <f>IFERROR(VLOOKUP($D190,'FERC 2022'!$EA$3:$EN$220,8,0),"")</f>
        <v>37064</v>
      </c>
      <c r="Y190" s="72">
        <f>IFERROR(VLOOKUP($D190,'FERC 2023'!$EA$3:$EN$221,8,0),"")</f>
        <v>37245</v>
      </c>
      <c r="Z190" s="72">
        <f>IFERROR(VLOOKUP($D190,'FERC 2021'!$EA$3:$EN$222,9,0),"")</f>
        <v>52350</v>
      </c>
      <c r="AA190" s="72">
        <f>IFERROR(VLOOKUP($D190,'FERC 2022'!$EA$3:$EN$220,9,0),"")</f>
        <v>82091</v>
      </c>
      <c r="AB190" s="72">
        <f>IFERROR(VLOOKUP($D190,'FERC 2023'!$EA$3:$EN$221,9,0),"")</f>
        <v>71965</v>
      </c>
      <c r="AC190" s="72">
        <f>IFERROR(VLOOKUP($D190,'FERC 2021'!$EA$3:$EN$221,10,0),"")</f>
        <v>1914053</v>
      </c>
      <c r="AD190" s="72">
        <f>IFERROR(VLOOKUP($D190,'FERC 2022'!$EA$3:$EN$220,10,0),"")</f>
        <v>1705740</v>
      </c>
      <c r="AE190" s="72">
        <f>IFERROR(VLOOKUP($D190,'FERC 2023'!$EA$3:$EN$221,10,0),"")</f>
        <v>1826261</v>
      </c>
      <c r="AF190" s="72">
        <f>IFERROR(VLOOKUP($D190,'FERC 2021'!$EA$3:$EN$221,11,0),"")</f>
        <v>1964683.802030457</v>
      </c>
      <c r="AG190" s="72">
        <f>IFERROR(VLOOKUP($D190,'FERC 2022'!$EA$3:$EN$220,11,0),"")</f>
        <v>1785833.5634517767</v>
      </c>
      <c r="AH190" s="72">
        <f>IFERROR(VLOOKUP($D190,'FERC 2023'!$EA$3:$EN$221,11,0),"")</f>
        <v>1896324.7461928935</v>
      </c>
      <c r="AI190" s="72">
        <f>IFERROR(VLOOKUP($D190,'FERC 2021'!$EA$3:$EN$221,12,0),"")</f>
        <v>8824358</v>
      </c>
      <c r="AJ190" s="72">
        <f>IFERROR(VLOOKUP($D190,'FERC 2022'!$EA$3:$EN$220,12,0),"")</f>
        <v>10600304</v>
      </c>
      <c r="AK190" s="72">
        <f>IFERROR(VLOOKUP($D190,'FERC 2023'!$EA$3:$EN$221,12,0),"")</f>
        <v>6964815</v>
      </c>
      <c r="AL190" s="72">
        <f>VLOOKUP($D190,'FERC 2021'!$EA$3:$EN$221,13,0)</f>
        <v>79382.3</v>
      </c>
      <c r="AM190" s="72">
        <f>VLOOKUP($D190,'FERC 2022'!$EA$3:$EN$220,13,0)</f>
        <v>86729.76</v>
      </c>
      <c r="AN190" s="72">
        <f>VLOOKUP($D190,'FERC 2023'!$EA$3:$EN$221,13,0)</f>
        <v>49163.4</v>
      </c>
      <c r="AO190" s="72">
        <f>IFERROR(VLOOKUP($D190,'FERC 2021'!$EA$3:$EN$221,14,0),"")</f>
        <v>37664</v>
      </c>
      <c r="AP190" s="72">
        <f>IFERROR(VLOOKUP($D190,'FERC 2022'!$EA$3:$EN$220,14,0),"")</f>
        <v>37811</v>
      </c>
      <c r="AQ190" s="72">
        <f>IFERROR(VLOOKUP($D190,'FERC 2023'!$EA$3:$EN$221,14,0),"")</f>
        <v>38006</v>
      </c>
    </row>
    <row r="191" spans="1:43" ht="15.75" hidden="1" customHeight="1">
      <c r="A191" s="7" t="s">
        <v>769</v>
      </c>
      <c r="B191" s="7" t="s">
        <v>770</v>
      </c>
      <c r="C191" s="311" t="str">
        <f>'BD DEA'!P191</f>
        <v/>
      </c>
      <c r="D191" s="44" t="str">
        <f t="shared" si="0"/>
        <v>C005444</v>
      </c>
      <c r="E191" s="72" t="str">
        <f>IFERROR(VLOOKUP($D191,'FERC 2021'!$EA$3:$EN$221,2,0),"")</f>
        <v/>
      </c>
      <c r="F191" s="72" t="str">
        <f>IFERROR(VLOOKUP($D191,'FERC 2022'!$EA$3:$EN$220,2,0),"")</f>
        <v/>
      </c>
      <c r="G191" s="72" t="str">
        <f>IFERROR(VLOOKUP($D191,'FERC 2023'!$EA$3:$EN$221,2,0),"")</f>
        <v/>
      </c>
      <c r="H191" s="72" t="str">
        <f>IFERROR(VLOOKUP($D191,'FERC 2021'!$EA$3:$EN$225,3,0),"")</f>
        <v/>
      </c>
      <c r="I191" s="72" t="str">
        <f>IFERROR(VLOOKUP($D191,'FERC 2022'!$EA$3:$EN$229,3,0),"")</f>
        <v/>
      </c>
      <c r="J191" s="72" t="str">
        <f>IFERROR(VLOOKUP($D191,'FERC 2023'!$EA$3:$EN$229,3,0),"")</f>
        <v/>
      </c>
      <c r="K191" s="72" t="str">
        <f>IFERROR(VLOOKUP($D191,'FERC 2021'!$EA$3:$EN$229,4,0),"")</f>
        <v/>
      </c>
      <c r="L191" s="72" t="str">
        <f>IFERROR(VLOOKUP($D191,'FERC 2022'!$EA$3:$EN$220,4,0),"")</f>
        <v/>
      </c>
      <c r="M191" s="72" t="str">
        <f>IFERROR(VLOOKUP($D191,'FERC 2023'!$EA$3:$EN$221,4,0),"")</f>
        <v/>
      </c>
      <c r="N191" s="72" t="str">
        <f>IFERROR(VLOOKUP($D191,'FERC 2021'!$EA$3:$EN$221,5,0),"")</f>
        <v/>
      </c>
      <c r="O191" s="72" t="str">
        <f>IFERROR(VLOOKUP($D191,'FERC 2022'!$EA$3:$EN$220,5,0),"")</f>
        <v/>
      </c>
      <c r="P191" s="72" t="str">
        <f>IFERROR(VLOOKUP($D191,'FERC 2023'!$EA$3:$EN$221,5,0),"")</f>
        <v/>
      </c>
      <c r="Q191" s="72" t="str">
        <f>IFERROR(VLOOKUP($D191,'FERC 2021'!$EA$3:$EN$221,6,0),"")</f>
        <v/>
      </c>
      <c r="R191" s="72" t="str">
        <f>IFERROR(VLOOKUP($D191,'FERC 2022'!$EA$3:$EN$220,6,0),"")</f>
        <v/>
      </c>
      <c r="S191" s="72" t="str">
        <f>IFERROR(VLOOKUP($D191,'FERC 2023'!$EA$3:$EN$221,6,0),"")</f>
        <v/>
      </c>
      <c r="T191" s="72" t="str">
        <f>IFERROR(VLOOKUP($D191,'FERC 2021'!$EA$3:$EN$221,7,0),"")</f>
        <v/>
      </c>
      <c r="U191" s="72" t="str">
        <f>IFERROR(VLOOKUP($D191,'FERC 2022'!$EA$3:$EN$220,7,0),"")</f>
        <v/>
      </c>
      <c r="V191" s="72" t="str">
        <f>IFERROR(VLOOKUP($D191,'FERC 2023'!$EA$3:$EN$221,7,0),"")</f>
        <v/>
      </c>
      <c r="W191" s="72" t="str">
        <f>IFERROR(VLOOKUP($D191,'FERC 2021'!$EA$3:$EN$221,8,0),"")</f>
        <v/>
      </c>
      <c r="X191" s="72" t="str">
        <f>IFERROR(VLOOKUP($D191,'FERC 2022'!$EA$3:$EN$220,8,0),"")</f>
        <v/>
      </c>
      <c r="Y191" s="72" t="str">
        <f>IFERROR(VLOOKUP($D191,'FERC 2023'!$EA$3:$EN$221,8,0),"")</f>
        <v/>
      </c>
      <c r="Z191" s="72" t="str">
        <f>IFERROR(VLOOKUP($D191,'FERC 2021'!$EA$3:$EN$222,9,0),"")</f>
        <v/>
      </c>
      <c r="AA191" s="72" t="str">
        <f>IFERROR(VLOOKUP($D191,'FERC 2022'!$EA$3:$EN$220,9,0),"")</f>
        <v/>
      </c>
      <c r="AB191" s="72" t="str">
        <f>IFERROR(VLOOKUP($D191,'FERC 2023'!$EA$3:$EN$221,9,0),"")</f>
        <v/>
      </c>
      <c r="AC191" s="72" t="str">
        <f>IFERROR(VLOOKUP($D191,'FERC 2021'!$EA$3:$EN$221,10,0),"")</f>
        <v/>
      </c>
      <c r="AD191" s="72" t="str">
        <f>IFERROR(VLOOKUP($D191,'FERC 2022'!$EA$3:$EN$220,10,0),"")</f>
        <v/>
      </c>
      <c r="AE191" s="72" t="str">
        <f>IFERROR(VLOOKUP($D191,'FERC 2023'!$EA$3:$EN$221,10,0),"")</f>
        <v/>
      </c>
      <c r="AF191" s="72" t="str">
        <f>IFERROR(VLOOKUP($D191,'FERC 2021'!$EA$3:$EN$221,11,0),"")</f>
        <v/>
      </c>
      <c r="AG191" s="72" t="str">
        <f>IFERROR(VLOOKUP($D191,'FERC 2022'!$EA$3:$EN$220,11,0),"")</f>
        <v/>
      </c>
      <c r="AH191" s="72" t="str">
        <f>IFERROR(VLOOKUP($D191,'FERC 2023'!$EA$3:$EN$221,11,0),"")</f>
        <v/>
      </c>
      <c r="AI191" s="72" t="str">
        <f>IFERROR(VLOOKUP($D191,'FERC 2021'!$EA$3:$EN$221,12,0),"")</f>
        <v/>
      </c>
      <c r="AJ191" s="72" t="str">
        <f>IFERROR(VLOOKUP($D191,'FERC 2022'!$EA$3:$EN$220,12,0),"")</f>
        <v/>
      </c>
      <c r="AK191" s="72" t="str">
        <f>IFERROR(VLOOKUP($D191,'FERC 2023'!$EA$3:$EN$221,12,0),"")</f>
        <v/>
      </c>
      <c r="AL191" s="72" t="str">
        <f>VLOOKUP($D191,'FERC 2021'!$EA$3:$EN$221,13,0)</f>
        <v/>
      </c>
      <c r="AM191" s="72" t="str">
        <f>VLOOKUP($D191,'FERC 2022'!$EA$3:$EN$220,13,0)</f>
        <v/>
      </c>
      <c r="AN191" s="72" t="str">
        <f>VLOOKUP($D191,'FERC 2023'!$EA$3:$EN$221,13,0)</f>
        <v/>
      </c>
      <c r="AO191" s="72" t="str">
        <f>IFERROR(VLOOKUP($D191,'FERC 2021'!$EA$3:$EN$221,14,0),"")</f>
        <v/>
      </c>
      <c r="AP191" s="72" t="str">
        <f>IFERROR(VLOOKUP($D191,'FERC 2022'!$EA$3:$EN$220,14,0),"")</f>
        <v/>
      </c>
      <c r="AQ191" s="72" t="str">
        <f>IFERROR(VLOOKUP($D191,'FERC 2023'!$EA$3:$EN$221,14,0),"")</f>
        <v/>
      </c>
    </row>
    <row r="192" spans="1:43" ht="15.75" hidden="1" customHeight="1">
      <c r="A192" s="7" t="s">
        <v>772</v>
      </c>
      <c r="B192" s="7" t="s">
        <v>773</v>
      </c>
      <c r="C192" s="311" t="str">
        <f>'BD DEA'!P192</f>
        <v/>
      </c>
      <c r="D192" s="44" t="str">
        <f t="shared" si="0"/>
        <v>C005475</v>
      </c>
      <c r="E192" s="72" t="str">
        <f>IFERROR(VLOOKUP($D192,'FERC 2021'!$EA$3:$EN$221,2,0),"")</f>
        <v/>
      </c>
      <c r="F192" s="72" t="str">
        <f>IFERROR(VLOOKUP($D192,'FERC 2022'!$EA$3:$EN$220,2,0),"")</f>
        <v/>
      </c>
      <c r="G192" s="72" t="str">
        <f>IFERROR(VLOOKUP($D192,'FERC 2023'!$EA$3:$EN$221,2,0),"")</f>
        <v/>
      </c>
      <c r="H192" s="72" t="str">
        <f>IFERROR(VLOOKUP($D192,'FERC 2021'!$EA$3:$EN$225,3,0),"")</f>
        <v/>
      </c>
      <c r="I192" s="72" t="str">
        <f>IFERROR(VLOOKUP($D192,'FERC 2022'!$EA$3:$EN$229,3,0),"")</f>
        <v/>
      </c>
      <c r="J192" s="72" t="str">
        <f>IFERROR(VLOOKUP($D192,'FERC 2023'!$EA$3:$EN$229,3,0),"")</f>
        <v/>
      </c>
      <c r="K192" s="72" t="str">
        <f>IFERROR(VLOOKUP($D192,'FERC 2021'!$EA$3:$EN$229,4,0),"")</f>
        <v/>
      </c>
      <c r="L192" s="72" t="str">
        <f>IFERROR(VLOOKUP($D192,'FERC 2022'!$EA$3:$EN$220,4,0),"")</f>
        <v/>
      </c>
      <c r="M192" s="72" t="str">
        <f>IFERROR(VLOOKUP($D192,'FERC 2023'!$EA$3:$EN$221,4,0),"")</f>
        <v/>
      </c>
      <c r="N192" s="72" t="str">
        <f>IFERROR(VLOOKUP($D192,'FERC 2021'!$EA$3:$EN$221,5,0),"")</f>
        <v/>
      </c>
      <c r="O192" s="72" t="str">
        <f>IFERROR(VLOOKUP($D192,'FERC 2022'!$EA$3:$EN$220,5,0),"")</f>
        <v/>
      </c>
      <c r="P192" s="72" t="str">
        <f>IFERROR(VLOOKUP($D192,'FERC 2023'!$EA$3:$EN$221,5,0),"")</f>
        <v/>
      </c>
      <c r="Q192" s="72" t="str">
        <f>IFERROR(VLOOKUP($D192,'FERC 2021'!$EA$3:$EN$221,6,0),"")</f>
        <v/>
      </c>
      <c r="R192" s="72" t="str">
        <f>IFERROR(VLOOKUP($D192,'FERC 2022'!$EA$3:$EN$220,6,0),"")</f>
        <v/>
      </c>
      <c r="S192" s="72" t="str">
        <f>IFERROR(VLOOKUP($D192,'FERC 2023'!$EA$3:$EN$221,6,0),"")</f>
        <v/>
      </c>
      <c r="T192" s="72" t="str">
        <f>IFERROR(VLOOKUP($D192,'FERC 2021'!$EA$3:$EN$221,7,0),"")</f>
        <v/>
      </c>
      <c r="U192" s="72" t="str">
        <f>IFERROR(VLOOKUP($D192,'FERC 2022'!$EA$3:$EN$220,7,0),"")</f>
        <v/>
      </c>
      <c r="V192" s="72" t="str">
        <f>IFERROR(VLOOKUP($D192,'FERC 2023'!$EA$3:$EN$221,7,0),"")</f>
        <v/>
      </c>
      <c r="W192" s="72" t="str">
        <f>IFERROR(VLOOKUP($D192,'FERC 2021'!$EA$3:$EN$221,8,0),"")</f>
        <v/>
      </c>
      <c r="X192" s="72" t="str">
        <f>IFERROR(VLOOKUP($D192,'FERC 2022'!$EA$3:$EN$220,8,0),"")</f>
        <v/>
      </c>
      <c r="Y192" s="72" t="str">
        <f>IFERROR(VLOOKUP($D192,'FERC 2023'!$EA$3:$EN$221,8,0),"")</f>
        <v/>
      </c>
      <c r="Z192" s="72" t="str">
        <f>IFERROR(VLOOKUP($D192,'FERC 2021'!$EA$3:$EN$222,9,0),"")</f>
        <v/>
      </c>
      <c r="AA192" s="72" t="str">
        <f>IFERROR(VLOOKUP($D192,'FERC 2022'!$EA$3:$EN$220,9,0),"")</f>
        <v/>
      </c>
      <c r="AB192" s="72" t="str">
        <f>IFERROR(VLOOKUP($D192,'FERC 2023'!$EA$3:$EN$221,9,0),"")</f>
        <v/>
      </c>
      <c r="AC192" s="72" t="str">
        <f>IFERROR(VLOOKUP($D192,'FERC 2021'!$EA$3:$EN$221,10,0),"")</f>
        <v/>
      </c>
      <c r="AD192" s="72" t="str">
        <f>IFERROR(VLOOKUP($D192,'FERC 2022'!$EA$3:$EN$220,10,0),"")</f>
        <v/>
      </c>
      <c r="AE192" s="72" t="str">
        <f>IFERROR(VLOOKUP($D192,'FERC 2023'!$EA$3:$EN$221,10,0),"")</f>
        <v/>
      </c>
      <c r="AF192" s="72" t="str">
        <f>IFERROR(VLOOKUP($D192,'FERC 2021'!$EA$3:$EN$221,11,0),"")</f>
        <v/>
      </c>
      <c r="AG192" s="72" t="str">
        <f>IFERROR(VLOOKUP($D192,'FERC 2022'!$EA$3:$EN$220,11,0),"")</f>
        <v/>
      </c>
      <c r="AH192" s="72" t="str">
        <f>IFERROR(VLOOKUP($D192,'FERC 2023'!$EA$3:$EN$221,11,0),"")</f>
        <v/>
      </c>
      <c r="AI192" s="72" t="str">
        <f>IFERROR(VLOOKUP($D192,'FERC 2021'!$EA$3:$EN$221,12,0),"")</f>
        <v/>
      </c>
      <c r="AJ192" s="72" t="str">
        <f>IFERROR(VLOOKUP($D192,'FERC 2022'!$EA$3:$EN$220,12,0),"")</f>
        <v/>
      </c>
      <c r="AK192" s="72" t="str">
        <f>IFERROR(VLOOKUP($D192,'FERC 2023'!$EA$3:$EN$221,12,0),"")</f>
        <v/>
      </c>
      <c r="AL192" s="72" t="str">
        <f>VLOOKUP($D192,'FERC 2021'!$EA$3:$EN$221,13,0)</f>
        <v/>
      </c>
      <c r="AM192" s="72" t="str">
        <f>VLOOKUP($D192,'FERC 2022'!$EA$3:$EN$220,13,0)</f>
        <v/>
      </c>
      <c r="AN192" s="72" t="str">
        <f>VLOOKUP($D192,'FERC 2023'!$EA$3:$EN$221,13,0)</f>
        <v/>
      </c>
      <c r="AO192" s="72" t="str">
        <f>IFERROR(VLOOKUP($D192,'FERC 2021'!$EA$3:$EN$221,14,0),"")</f>
        <v/>
      </c>
      <c r="AP192" s="72" t="str">
        <f>IFERROR(VLOOKUP($D192,'FERC 2022'!$EA$3:$EN$220,14,0),"")</f>
        <v/>
      </c>
      <c r="AQ192" s="72" t="str">
        <f>IFERROR(VLOOKUP($D192,'FERC 2023'!$EA$3:$EN$221,14,0),"")</f>
        <v/>
      </c>
    </row>
    <row r="193" spans="1:43" ht="15.75" hidden="1" customHeight="1">
      <c r="A193" s="7" t="s">
        <v>775</v>
      </c>
      <c r="B193" s="7" t="s">
        <v>776</v>
      </c>
      <c r="C193" s="311" t="str">
        <f>'BD DEA'!P193</f>
        <v/>
      </c>
      <c r="D193" s="44" t="str">
        <f t="shared" si="0"/>
        <v>C005519</v>
      </c>
      <c r="E193" s="72" t="str">
        <f>IFERROR(VLOOKUP($D193,'FERC 2021'!$EA$3:$EN$221,2,0),"")</f>
        <v/>
      </c>
      <c r="F193" s="72" t="str">
        <f>IFERROR(VLOOKUP($D193,'FERC 2022'!$EA$3:$EN$220,2,0),"")</f>
        <v/>
      </c>
      <c r="G193" s="72" t="str">
        <f>IFERROR(VLOOKUP($D193,'FERC 2023'!$EA$3:$EN$221,2,0),"")</f>
        <v/>
      </c>
      <c r="H193" s="72" t="str">
        <f>IFERROR(VLOOKUP($D193,'FERC 2021'!$EA$3:$EN$225,3,0),"")</f>
        <v/>
      </c>
      <c r="I193" s="72" t="str">
        <f>IFERROR(VLOOKUP($D193,'FERC 2022'!$EA$3:$EN$229,3,0),"")</f>
        <v/>
      </c>
      <c r="J193" s="72" t="str">
        <f>IFERROR(VLOOKUP($D193,'FERC 2023'!$EA$3:$EN$229,3,0),"")</f>
        <v/>
      </c>
      <c r="K193" s="72" t="str">
        <f>IFERROR(VLOOKUP($D193,'FERC 2021'!$EA$3:$EN$229,4,0),"")</f>
        <v/>
      </c>
      <c r="L193" s="72" t="str">
        <f>IFERROR(VLOOKUP($D193,'FERC 2022'!$EA$3:$EN$220,4,0),"")</f>
        <v/>
      </c>
      <c r="M193" s="72" t="str">
        <f>IFERROR(VLOOKUP($D193,'FERC 2023'!$EA$3:$EN$221,4,0),"")</f>
        <v/>
      </c>
      <c r="N193" s="72" t="str">
        <f>IFERROR(VLOOKUP($D193,'FERC 2021'!$EA$3:$EN$221,5,0),"")</f>
        <v/>
      </c>
      <c r="O193" s="72" t="str">
        <f>IFERROR(VLOOKUP($D193,'FERC 2022'!$EA$3:$EN$220,5,0),"")</f>
        <v/>
      </c>
      <c r="P193" s="72" t="str">
        <f>IFERROR(VLOOKUP($D193,'FERC 2023'!$EA$3:$EN$221,5,0),"")</f>
        <v/>
      </c>
      <c r="Q193" s="72" t="str">
        <f>IFERROR(VLOOKUP($D193,'FERC 2021'!$EA$3:$EN$221,6,0),"")</f>
        <v/>
      </c>
      <c r="R193" s="72" t="str">
        <f>IFERROR(VLOOKUP($D193,'FERC 2022'!$EA$3:$EN$220,6,0),"")</f>
        <v/>
      </c>
      <c r="S193" s="72" t="str">
        <f>IFERROR(VLOOKUP($D193,'FERC 2023'!$EA$3:$EN$221,6,0),"")</f>
        <v/>
      </c>
      <c r="T193" s="72" t="str">
        <f>IFERROR(VLOOKUP($D193,'FERC 2021'!$EA$3:$EN$221,7,0),"")</f>
        <v/>
      </c>
      <c r="U193" s="72" t="str">
        <f>IFERROR(VLOOKUP($D193,'FERC 2022'!$EA$3:$EN$220,7,0),"")</f>
        <v/>
      </c>
      <c r="V193" s="72" t="str">
        <f>IFERROR(VLOOKUP($D193,'FERC 2023'!$EA$3:$EN$221,7,0),"")</f>
        <v/>
      </c>
      <c r="W193" s="72" t="str">
        <f>IFERROR(VLOOKUP($D193,'FERC 2021'!$EA$3:$EN$221,8,0),"")</f>
        <v/>
      </c>
      <c r="X193" s="72" t="str">
        <f>IFERROR(VLOOKUP($D193,'FERC 2022'!$EA$3:$EN$220,8,0),"")</f>
        <v/>
      </c>
      <c r="Y193" s="72" t="str">
        <f>IFERROR(VLOOKUP($D193,'FERC 2023'!$EA$3:$EN$221,8,0),"")</f>
        <v/>
      </c>
      <c r="Z193" s="72" t="str">
        <f>IFERROR(VLOOKUP($D193,'FERC 2021'!$EA$3:$EN$222,9,0),"")</f>
        <v/>
      </c>
      <c r="AA193" s="72" t="str">
        <f>IFERROR(VLOOKUP($D193,'FERC 2022'!$EA$3:$EN$220,9,0),"")</f>
        <v/>
      </c>
      <c r="AB193" s="72" t="str">
        <f>IFERROR(VLOOKUP($D193,'FERC 2023'!$EA$3:$EN$221,9,0),"")</f>
        <v/>
      </c>
      <c r="AC193" s="72" t="str">
        <f>IFERROR(VLOOKUP($D193,'FERC 2021'!$EA$3:$EN$221,10,0),"")</f>
        <v/>
      </c>
      <c r="AD193" s="72" t="str">
        <f>IFERROR(VLOOKUP($D193,'FERC 2022'!$EA$3:$EN$220,10,0),"")</f>
        <v/>
      </c>
      <c r="AE193" s="72" t="str">
        <f>IFERROR(VLOOKUP($D193,'FERC 2023'!$EA$3:$EN$221,10,0),"")</f>
        <v/>
      </c>
      <c r="AF193" s="72" t="str">
        <f>IFERROR(VLOOKUP($D193,'FERC 2021'!$EA$3:$EN$221,11,0),"")</f>
        <v/>
      </c>
      <c r="AG193" s="72" t="str">
        <f>IFERROR(VLOOKUP($D193,'FERC 2022'!$EA$3:$EN$220,11,0),"")</f>
        <v/>
      </c>
      <c r="AH193" s="72" t="str">
        <f>IFERROR(VLOOKUP($D193,'FERC 2023'!$EA$3:$EN$221,11,0),"")</f>
        <v/>
      </c>
      <c r="AI193" s="72" t="str">
        <f>IFERROR(VLOOKUP($D193,'FERC 2021'!$EA$3:$EN$221,12,0),"")</f>
        <v/>
      </c>
      <c r="AJ193" s="72" t="str">
        <f>IFERROR(VLOOKUP($D193,'FERC 2022'!$EA$3:$EN$220,12,0),"")</f>
        <v/>
      </c>
      <c r="AK193" s="72" t="str">
        <f>IFERROR(VLOOKUP($D193,'FERC 2023'!$EA$3:$EN$221,12,0),"")</f>
        <v/>
      </c>
      <c r="AL193" s="72" t="str">
        <f>VLOOKUP($D193,'FERC 2021'!$EA$3:$EN$221,13,0)</f>
        <v/>
      </c>
      <c r="AM193" s="72" t="str">
        <f>VLOOKUP($D193,'FERC 2022'!$EA$3:$EN$220,13,0)</f>
        <v/>
      </c>
      <c r="AN193" s="72" t="str">
        <f>VLOOKUP($D193,'FERC 2023'!$EA$3:$EN$221,13,0)</f>
        <v/>
      </c>
      <c r="AO193" s="72" t="str">
        <f>IFERROR(VLOOKUP($D193,'FERC 2021'!$EA$3:$EN$221,14,0),"")</f>
        <v/>
      </c>
      <c r="AP193" s="72" t="str">
        <f>IFERROR(VLOOKUP($D193,'FERC 2022'!$EA$3:$EN$220,14,0),"")</f>
        <v/>
      </c>
      <c r="AQ193" s="72" t="str">
        <f>IFERROR(VLOOKUP($D193,'FERC 2023'!$EA$3:$EN$221,14,0),"")</f>
        <v/>
      </c>
    </row>
    <row r="194" spans="1:43" ht="15.75" hidden="1" customHeight="1">
      <c r="A194" s="7" t="s">
        <v>778</v>
      </c>
      <c r="B194" s="7" t="s">
        <v>779</v>
      </c>
      <c r="C194" s="311" t="str">
        <f>'BD DEA'!P194</f>
        <v/>
      </c>
      <c r="D194" s="44" t="str">
        <f t="shared" si="0"/>
        <v>C007565</v>
      </c>
      <c r="E194" s="72" t="str">
        <f>IFERROR(VLOOKUP($D194,'FERC 2021'!$EA$3:$EN$221,2,0),"")</f>
        <v/>
      </c>
      <c r="F194" s="72" t="str">
        <f>IFERROR(VLOOKUP($D194,'FERC 2022'!$EA$3:$EN$220,2,0),"")</f>
        <v/>
      </c>
      <c r="G194" s="72" t="str">
        <f>IFERROR(VLOOKUP($D194,'FERC 2023'!$EA$3:$EN$221,2,0),"")</f>
        <v/>
      </c>
      <c r="H194" s="72" t="str">
        <f>IFERROR(VLOOKUP($D194,'FERC 2021'!$EA$3:$EN$225,3,0),"")</f>
        <v/>
      </c>
      <c r="I194" s="72" t="str">
        <f>IFERROR(VLOOKUP($D194,'FERC 2022'!$EA$3:$EN$229,3,0),"")</f>
        <v/>
      </c>
      <c r="J194" s="72" t="str">
        <f>IFERROR(VLOOKUP($D194,'FERC 2023'!$EA$3:$EN$229,3,0),"")</f>
        <v/>
      </c>
      <c r="K194" s="72" t="str">
        <f>IFERROR(VLOOKUP($D194,'FERC 2021'!$EA$3:$EN$229,4,0),"")</f>
        <v/>
      </c>
      <c r="L194" s="72" t="str">
        <f>IFERROR(VLOOKUP($D194,'FERC 2022'!$EA$3:$EN$220,4,0),"")</f>
        <v/>
      </c>
      <c r="M194" s="72" t="str">
        <f>IFERROR(VLOOKUP($D194,'FERC 2023'!$EA$3:$EN$221,4,0),"")</f>
        <v/>
      </c>
      <c r="N194" s="72" t="str">
        <f>IFERROR(VLOOKUP($D194,'FERC 2021'!$EA$3:$EN$221,5,0),"")</f>
        <v/>
      </c>
      <c r="O194" s="72" t="str">
        <f>IFERROR(VLOOKUP($D194,'FERC 2022'!$EA$3:$EN$220,5,0),"")</f>
        <v/>
      </c>
      <c r="P194" s="72" t="str">
        <f>IFERROR(VLOOKUP($D194,'FERC 2023'!$EA$3:$EN$221,5,0),"")</f>
        <v/>
      </c>
      <c r="Q194" s="72" t="str">
        <f>IFERROR(VLOOKUP($D194,'FERC 2021'!$EA$3:$EN$221,6,0),"")</f>
        <v/>
      </c>
      <c r="R194" s="72" t="str">
        <f>IFERROR(VLOOKUP($D194,'FERC 2022'!$EA$3:$EN$220,6,0),"")</f>
        <v/>
      </c>
      <c r="S194" s="72" t="str">
        <f>IFERROR(VLOOKUP($D194,'FERC 2023'!$EA$3:$EN$221,6,0),"")</f>
        <v/>
      </c>
      <c r="T194" s="72" t="str">
        <f>IFERROR(VLOOKUP($D194,'FERC 2021'!$EA$3:$EN$221,7,0),"")</f>
        <v/>
      </c>
      <c r="U194" s="72" t="str">
        <f>IFERROR(VLOOKUP($D194,'FERC 2022'!$EA$3:$EN$220,7,0),"")</f>
        <v/>
      </c>
      <c r="V194" s="72" t="str">
        <f>IFERROR(VLOOKUP($D194,'FERC 2023'!$EA$3:$EN$221,7,0),"")</f>
        <v/>
      </c>
      <c r="W194" s="72" t="str">
        <f>IFERROR(VLOOKUP($D194,'FERC 2021'!$EA$3:$EN$221,8,0),"")</f>
        <v/>
      </c>
      <c r="X194" s="72" t="str">
        <f>IFERROR(VLOOKUP($D194,'FERC 2022'!$EA$3:$EN$220,8,0),"")</f>
        <v/>
      </c>
      <c r="Y194" s="72" t="str">
        <f>IFERROR(VLOOKUP($D194,'FERC 2023'!$EA$3:$EN$221,8,0),"")</f>
        <v/>
      </c>
      <c r="Z194" s="72" t="str">
        <f>IFERROR(VLOOKUP($D194,'FERC 2021'!$EA$3:$EN$222,9,0),"")</f>
        <v/>
      </c>
      <c r="AA194" s="72" t="str">
        <f>IFERROR(VLOOKUP($D194,'FERC 2022'!$EA$3:$EN$220,9,0),"")</f>
        <v/>
      </c>
      <c r="AB194" s="72" t="str">
        <f>IFERROR(VLOOKUP($D194,'FERC 2023'!$EA$3:$EN$221,9,0),"")</f>
        <v/>
      </c>
      <c r="AC194" s="72" t="str">
        <f>IFERROR(VLOOKUP($D194,'FERC 2021'!$EA$3:$EN$221,10,0),"")</f>
        <v/>
      </c>
      <c r="AD194" s="72" t="str">
        <f>IFERROR(VLOOKUP($D194,'FERC 2022'!$EA$3:$EN$220,10,0),"")</f>
        <v/>
      </c>
      <c r="AE194" s="72" t="str">
        <f>IFERROR(VLOOKUP($D194,'FERC 2023'!$EA$3:$EN$221,10,0),"")</f>
        <v/>
      </c>
      <c r="AF194" s="72" t="str">
        <f>IFERROR(VLOOKUP($D194,'FERC 2021'!$EA$3:$EN$221,11,0),"")</f>
        <v/>
      </c>
      <c r="AG194" s="72" t="str">
        <f>IFERROR(VLOOKUP($D194,'FERC 2022'!$EA$3:$EN$220,11,0),"")</f>
        <v/>
      </c>
      <c r="AH194" s="72" t="str">
        <f>IFERROR(VLOOKUP($D194,'FERC 2023'!$EA$3:$EN$221,11,0),"")</f>
        <v/>
      </c>
      <c r="AI194" s="72" t="str">
        <f>IFERROR(VLOOKUP($D194,'FERC 2021'!$EA$3:$EN$221,12,0),"")</f>
        <v/>
      </c>
      <c r="AJ194" s="72" t="str">
        <f>IFERROR(VLOOKUP($D194,'FERC 2022'!$EA$3:$EN$220,12,0),"")</f>
        <v/>
      </c>
      <c r="AK194" s="72" t="str">
        <f>IFERROR(VLOOKUP($D194,'FERC 2023'!$EA$3:$EN$221,12,0),"")</f>
        <v/>
      </c>
      <c r="AL194" s="72" t="str">
        <f>VLOOKUP($D194,'FERC 2021'!$EA$3:$EN$221,13,0)</f>
        <v/>
      </c>
      <c r="AM194" s="72" t="str">
        <f>VLOOKUP($D194,'FERC 2022'!$EA$3:$EN$220,13,0)</f>
        <v/>
      </c>
      <c r="AN194" s="72" t="str">
        <f>VLOOKUP($D194,'FERC 2023'!$EA$3:$EN$221,13,0)</f>
        <v/>
      </c>
      <c r="AO194" s="72" t="str">
        <f>IFERROR(VLOOKUP($D194,'FERC 2021'!$EA$3:$EN$221,14,0),"")</f>
        <v/>
      </c>
      <c r="AP194" s="72" t="str">
        <f>IFERROR(VLOOKUP($D194,'FERC 2022'!$EA$3:$EN$220,14,0),"")</f>
        <v/>
      </c>
      <c r="AQ194" s="72" t="str">
        <f>IFERROR(VLOOKUP($D194,'FERC 2023'!$EA$3:$EN$221,14,0),"")</f>
        <v/>
      </c>
    </row>
    <row r="195" spans="1:43" ht="15.75" hidden="1" customHeight="1">
      <c r="A195" s="7" t="s">
        <v>781</v>
      </c>
      <c r="B195" s="7" t="s">
        <v>782</v>
      </c>
      <c r="C195" s="311" t="str">
        <f>'BD DEA'!P195</f>
        <v/>
      </c>
      <c r="D195" s="44" t="str">
        <f t="shared" si="0"/>
        <v>C007581</v>
      </c>
      <c r="E195" s="72" t="str">
        <f>IFERROR(VLOOKUP($D195,'FERC 2021'!$EA$3:$EN$221,2,0),"")</f>
        <v/>
      </c>
      <c r="F195" s="72" t="str">
        <f>IFERROR(VLOOKUP($D195,'FERC 2022'!$EA$3:$EN$220,2,0),"")</f>
        <v/>
      </c>
      <c r="G195" s="72" t="str">
        <f>IFERROR(VLOOKUP($D195,'FERC 2023'!$EA$3:$EN$221,2,0),"")</f>
        <v/>
      </c>
      <c r="H195" s="72" t="str">
        <f>IFERROR(VLOOKUP($D195,'FERC 2021'!$EA$3:$EN$225,3,0),"")</f>
        <v/>
      </c>
      <c r="I195" s="72" t="str">
        <f>IFERROR(VLOOKUP($D195,'FERC 2022'!$EA$3:$EN$229,3,0),"")</f>
        <v/>
      </c>
      <c r="J195" s="72" t="str">
        <f>IFERROR(VLOOKUP($D195,'FERC 2023'!$EA$3:$EN$229,3,0),"")</f>
        <v/>
      </c>
      <c r="K195" s="72" t="str">
        <f>IFERROR(VLOOKUP($D195,'FERC 2021'!$EA$3:$EN$229,4,0),"")</f>
        <v/>
      </c>
      <c r="L195" s="72" t="str">
        <f>IFERROR(VLOOKUP($D195,'FERC 2022'!$EA$3:$EN$220,4,0),"")</f>
        <v/>
      </c>
      <c r="M195" s="72" t="str">
        <f>IFERROR(VLOOKUP($D195,'FERC 2023'!$EA$3:$EN$221,4,0),"")</f>
        <v/>
      </c>
      <c r="N195" s="72" t="str">
        <f>IFERROR(VLOOKUP($D195,'FERC 2021'!$EA$3:$EN$221,5,0),"")</f>
        <v/>
      </c>
      <c r="O195" s="72" t="str">
        <f>IFERROR(VLOOKUP($D195,'FERC 2022'!$EA$3:$EN$220,5,0),"")</f>
        <v/>
      </c>
      <c r="P195" s="72" t="str">
        <f>IFERROR(VLOOKUP($D195,'FERC 2023'!$EA$3:$EN$221,5,0),"")</f>
        <v/>
      </c>
      <c r="Q195" s="72" t="str">
        <f>IFERROR(VLOOKUP($D195,'FERC 2021'!$EA$3:$EN$221,6,0),"")</f>
        <v/>
      </c>
      <c r="R195" s="72" t="str">
        <f>IFERROR(VLOOKUP($D195,'FERC 2022'!$EA$3:$EN$220,6,0),"")</f>
        <v/>
      </c>
      <c r="S195" s="72" t="str">
        <f>IFERROR(VLOOKUP($D195,'FERC 2023'!$EA$3:$EN$221,6,0),"")</f>
        <v/>
      </c>
      <c r="T195" s="72" t="str">
        <f>IFERROR(VLOOKUP($D195,'FERC 2021'!$EA$3:$EN$221,7,0),"")</f>
        <v/>
      </c>
      <c r="U195" s="72" t="str">
        <f>IFERROR(VLOOKUP($D195,'FERC 2022'!$EA$3:$EN$220,7,0),"")</f>
        <v/>
      </c>
      <c r="V195" s="72" t="str">
        <f>IFERROR(VLOOKUP($D195,'FERC 2023'!$EA$3:$EN$221,7,0),"")</f>
        <v/>
      </c>
      <c r="W195" s="72" t="str">
        <f>IFERROR(VLOOKUP($D195,'FERC 2021'!$EA$3:$EN$221,8,0),"")</f>
        <v/>
      </c>
      <c r="X195" s="72" t="str">
        <f>IFERROR(VLOOKUP($D195,'FERC 2022'!$EA$3:$EN$220,8,0),"")</f>
        <v/>
      </c>
      <c r="Y195" s="72" t="str">
        <f>IFERROR(VLOOKUP($D195,'FERC 2023'!$EA$3:$EN$221,8,0),"")</f>
        <v/>
      </c>
      <c r="Z195" s="72" t="str">
        <f>IFERROR(VLOOKUP($D195,'FERC 2021'!$EA$3:$EN$222,9,0),"")</f>
        <v/>
      </c>
      <c r="AA195" s="72" t="str">
        <f>IFERROR(VLOOKUP($D195,'FERC 2022'!$EA$3:$EN$220,9,0),"")</f>
        <v/>
      </c>
      <c r="AB195" s="72" t="str">
        <f>IFERROR(VLOOKUP($D195,'FERC 2023'!$EA$3:$EN$221,9,0),"")</f>
        <v/>
      </c>
      <c r="AC195" s="72" t="str">
        <f>IFERROR(VLOOKUP($D195,'FERC 2021'!$EA$3:$EN$221,10,0),"")</f>
        <v/>
      </c>
      <c r="AD195" s="72" t="str">
        <f>IFERROR(VLOOKUP($D195,'FERC 2022'!$EA$3:$EN$220,10,0),"")</f>
        <v/>
      </c>
      <c r="AE195" s="72" t="str">
        <f>IFERROR(VLOOKUP($D195,'FERC 2023'!$EA$3:$EN$221,10,0),"")</f>
        <v/>
      </c>
      <c r="AF195" s="72" t="str">
        <f>IFERROR(VLOOKUP($D195,'FERC 2021'!$EA$3:$EN$221,11,0),"")</f>
        <v/>
      </c>
      <c r="AG195" s="72" t="str">
        <f>IFERROR(VLOOKUP($D195,'FERC 2022'!$EA$3:$EN$220,11,0),"")</f>
        <v/>
      </c>
      <c r="AH195" s="72" t="str">
        <f>IFERROR(VLOOKUP($D195,'FERC 2023'!$EA$3:$EN$221,11,0),"")</f>
        <v/>
      </c>
      <c r="AI195" s="72" t="str">
        <f>IFERROR(VLOOKUP($D195,'FERC 2021'!$EA$3:$EN$221,12,0),"")</f>
        <v/>
      </c>
      <c r="AJ195" s="72" t="str">
        <f>IFERROR(VLOOKUP($D195,'FERC 2022'!$EA$3:$EN$220,12,0),"")</f>
        <v/>
      </c>
      <c r="AK195" s="72" t="str">
        <f>IFERROR(VLOOKUP($D195,'FERC 2023'!$EA$3:$EN$221,12,0),"")</f>
        <v/>
      </c>
      <c r="AL195" s="72" t="str">
        <f>VLOOKUP($D195,'FERC 2021'!$EA$3:$EN$221,13,0)</f>
        <v/>
      </c>
      <c r="AM195" s="72" t="str">
        <f>VLOOKUP($D195,'FERC 2022'!$EA$3:$EN$220,13,0)</f>
        <v/>
      </c>
      <c r="AN195" s="72" t="str">
        <f>VLOOKUP($D195,'FERC 2023'!$EA$3:$EN$221,13,0)</f>
        <v/>
      </c>
      <c r="AO195" s="72" t="str">
        <f>IFERROR(VLOOKUP($D195,'FERC 2021'!$EA$3:$EN$221,14,0),"")</f>
        <v/>
      </c>
      <c r="AP195" s="72" t="str">
        <f>IFERROR(VLOOKUP($D195,'FERC 2022'!$EA$3:$EN$220,14,0),"")</f>
        <v/>
      </c>
      <c r="AQ195" s="72" t="str">
        <f>IFERROR(VLOOKUP($D195,'FERC 2023'!$EA$3:$EN$221,14,0),"")</f>
        <v/>
      </c>
    </row>
    <row r="196" spans="1:43" ht="15.75" hidden="1" customHeight="1">
      <c r="A196" s="7" t="s">
        <v>784</v>
      </c>
      <c r="B196" s="7" t="s">
        <v>785</v>
      </c>
      <c r="C196" s="311" t="str">
        <f>'BD DEA'!P196</f>
        <v/>
      </c>
      <c r="D196" s="44" t="str">
        <f t="shared" si="0"/>
        <v>C007582</v>
      </c>
      <c r="E196" s="72" t="str">
        <f>IFERROR(VLOOKUP($D196,'FERC 2021'!$EA$3:$EN$221,2,0),"")</f>
        <v/>
      </c>
      <c r="F196" s="72" t="str">
        <f>IFERROR(VLOOKUP($D196,'FERC 2022'!$EA$3:$EN$220,2,0),"")</f>
        <v/>
      </c>
      <c r="G196" s="72" t="str">
        <f>IFERROR(VLOOKUP($D196,'FERC 2023'!$EA$3:$EN$221,2,0),"")</f>
        <v/>
      </c>
      <c r="H196" s="72" t="str">
        <f>IFERROR(VLOOKUP($D196,'FERC 2021'!$EA$3:$EN$225,3,0),"")</f>
        <v/>
      </c>
      <c r="I196" s="72" t="str">
        <f>IFERROR(VLOOKUP($D196,'FERC 2022'!$EA$3:$EN$229,3,0),"")</f>
        <v/>
      </c>
      <c r="J196" s="72" t="str">
        <f>IFERROR(VLOOKUP($D196,'FERC 2023'!$EA$3:$EN$229,3,0),"")</f>
        <v/>
      </c>
      <c r="K196" s="72" t="str">
        <f>IFERROR(VLOOKUP($D196,'FERC 2021'!$EA$3:$EN$229,4,0),"")</f>
        <v/>
      </c>
      <c r="L196" s="72" t="str">
        <f>IFERROR(VLOOKUP($D196,'FERC 2022'!$EA$3:$EN$220,4,0),"")</f>
        <v/>
      </c>
      <c r="M196" s="72" t="str">
        <f>IFERROR(VLOOKUP($D196,'FERC 2023'!$EA$3:$EN$221,4,0),"")</f>
        <v/>
      </c>
      <c r="N196" s="72" t="str">
        <f>IFERROR(VLOOKUP($D196,'FERC 2021'!$EA$3:$EN$221,5,0),"")</f>
        <v/>
      </c>
      <c r="O196" s="72" t="str">
        <f>IFERROR(VLOOKUP($D196,'FERC 2022'!$EA$3:$EN$220,5,0),"")</f>
        <v/>
      </c>
      <c r="P196" s="72" t="str">
        <f>IFERROR(VLOOKUP($D196,'FERC 2023'!$EA$3:$EN$221,5,0),"")</f>
        <v/>
      </c>
      <c r="Q196" s="72" t="str">
        <f>IFERROR(VLOOKUP($D196,'FERC 2021'!$EA$3:$EN$221,6,0),"")</f>
        <v/>
      </c>
      <c r="R196" s="72" t="str">
        <f>IFERROR(VLOOKUP($D196,'FERC 2022'!$EA$3:$EN$220,6,0),"")</f>
        <v/>
      </c>
      <c r="S196" s="72" t="str">
        <f>IFERROR(VLOOKUP($D196,'FERC 2023'!$EA$3:$EN$221,6,0),"")</f>
        <v/>
      </c>
      <c r="T196" s="72" t="str">
        <f>IFERROR(VLOOKUP($D196,'FERC 2021'!$EA$3:$EN$221,7,0),"")</f>
        <v/>
      </c>
      <c r="U196" s="72" t="str">
        <f>IFERROR(VLOOKUP($D196,'FERC 2022'!$EA$3:$EN$220,7,0),"")</f>
        <v/>
      </c>
      <c r="V196" s="72" t="str">
        <f>IFERROR(VLOOKUP($D196,'FERC 2023'!$EA$3:$EN$221,7,0),"")</f>
        <v/>
      </c>
      <c r="W196" s="72" t="str">
        <f>IFERROR(VLOOKUP($D196,'FERC 2021'!$EA$3:$EN$221,8,0),"")</f>
        <v/>
      </c>
      <c r="X196" s="72" t="str">
        <f>IFERROR(VLOOKUP($D196,'FERC 2022'!$EA$3:$EN$220,8,0),"")</f>
        <v/>
      </c>
      <c r="Y196" s="72" t="str">
        <f>IFERROR(VLOOKUP($D196,'FERC 2023'!$EA$3:$EN$221,8,0),"")</f>
        <v/>
      </c>
      <c r="Z196" s="72" t="str">
        <f>IFERROR(VLOOKUP($D196,'FERC 2021'!$EA$3:$EN$222,9,0),"")</f>
        <v/>
      </c>
      <c r="AA196" s="72" t="str">
        <f>IFERROR(VLOOKUP($D196,'FERC 2022'!$EA$3:$EN$220,9,0),"")</f>
        <v/>
      </c>
      <c r="AB196" s="72" t="str">
        <f>IFERROR(VLOOKUP($D196,'FERC 2023'!$EA$3:$EN$221,9,0),"")</f>
        <v/>
      </c>
      <c r="AC196" s="72" t="str">
        <f>IFERROR(VLOOKUP($D196,'FERC 2021'!$EA$3:$EN$221,10,0),"")</f>
        <v/>
      </c>
      <c r="AD196" s="72" t="str">
        <f>IFERROR(VLOOKUP($D196,'FERC 2022'!$EA$3:$EN$220,10,0),"")</f>
        <v/>
      </c>
      <c r="AE196" s="72" t="str">
        <f>IFERROR(VLOOKUP($D196,'FERC 2023'!$EA$3:$EN$221,10,0),"")</f>
        <v/>
      </c>
      <c r="AF196" s="72" t="str">
        <f>IFERROR(VLOOKUP($D196,'FERC 2021'!$EA$3:$EN$221,11,0),"")</f>
        <v/>
      </c>
      <c r="AG196" s="72" t="str">
        <f>IFERROR(VLOOKUP($D196,'FERC 2022'!$EA$3:$EN$220,11,0),"")</f>
        <v/>
      </c>
      <c r="AH196" s="72" t="str">
        <f>IFERROR(VLOOKUP($D196,'FERC 2023'!$EA$3:$EN$221,11,0),"")</f>
        <v/>
      </c>
      <c r="AI196" s="72" t="str">
        <f>IFERROR(VLOOKUP($D196,'FERC 2021'!$EA$3:$EN$221,12,0),"")</f>
        <v/>
      </c>
      <c r="AJ196" s="72" t="str">
        <f>IFERROR(VLOOKUP($D196,'FERC 2022'!$EA$3:$EN$220,12,0),"")</f>
        <v/>
      </c>
      <c r="AK196" s="72" t="str">
        <f>IFERROR(VLOOKUP($D196,'FERC 2023'!$EA$3:$EN$221,12,0),"")</f>
        <v/>
      </c>
      <c r="AL196" s="72" t="str">
        <f>VLOOKUP($D196,'FERC 2021'!$EA$3:$EN$221,13,0)</f>
        <v/>
      </c>
      <c r="AM196" s="72" t="str">
        <f>VLOOKUP($D196,'FERC 2022'!$EA$3:$EN$220,13,0)</f>
        <v/>
      </c>
      <c r="AN196" s="72" t="str">
        <f>VLOOKUP($D196,'FERC 2023'!$EA$3:$EN$221,13,0)</f>
        <v/>
      </c>
      <c r="AO196" s="72" t="str">
        <f>IFERROR(VLOOKUP($D196,'FERC 2021'!$EA$3:$EN$221,14,0),"")</f>
        <v/>
      </c>
      <c r="AP196" s="72" t="str">
        <f>IFERROR(VLOOKUP($D196,'FERC 2022'!$EA$3:$EN$220,14,0),"")</f>
        <v/>
      </c>
      <c r="AQ196" s="72" t="str">
        <f>IFERROR(VLOOKUP($D196,'FERC 2023'!$EA$3:$EN$221,14,0),"")</f>
        <v/>
      </c>
    </row>
    <row r="197" spans="1:43" ht="15.75" hidden="1" customHeight="1">
      <c r="A197" s="7" t="s">
        <v>787</v>
      </c>
      <c r="B197" s="7" t="s">
        <v>788</v>
      </c>
      <c r="C197" s="311" t="str">
        <f>'BD DEA'!P197</f>
        <v/>
      </c>
      <c r="D197" s="44" t="str">
        <f t="shared" si="0"/>
        <v>C007584</v>
      </c>
      <c r="E197" s="72" t="str">
        <f>IFERROR(VLOOKUP($D197,'FERC 2021'!$EA$3:$EN$221,2,0),"")</f>
        <v/>
      </c>
      <c r="F197" s="72" t="str">
        <f>IFERROR(VLOOKUP($D197,'FERC 2022'!$EA$3:$EN$220,2,0),"")</f>
        <v/>
      </c>
      <c r="G197" s="72" t="str">
        <f>IFERROR(VLOOKUP($D197,'FERC 2023'!$EA$3:$EN$221,2,0),"")</f>
        <v/>
      </c>
      <c r="H197" s="72" t="str">
        <f>IFERROR(VLOOKUP($D197,'FERC 2021'!$EA$3:$EN$225,3,0),"")</f>
        <v/>
      </c>
      <c r="I197" s="72" t="str">
        <f>IFERROR(VLOOKUP($D197,'FERC 2022'!$EA$3:$EN$229,3,0),"")</f>
        <v/>
      </c>
      <c r="J197" s="72" t="str">
        <f>IFERROR(VLOOKUP($D197,'FERC 2023'!$EA$3:$EN$229,3,0),"")</f>
        <v/>
      </c>
      <c r="K197" s="72" t="str">
        <f>IFERROR(VLOOKUP($D197,'FERC 2021'!$EA$3:$EN$229,4,0),"")</f>
        <v/>
      </c>
      <c r="L197" s="72" t="str">
        <f>IFERROR(VLOOKUP($D197,'FERC 2022'!$EA$3:$EN$220,4,0),"")</f>
        <v/>
      </c>
      <c r="M197" s="72" t="str">
        <f>IFERROR(VLOOKUP($D197,'FERC 2023'!$EA$3:$EN$221,4,0),"")</f>
        <v/>
      </c>
      <c r="N197" s="72" t="str">
        <f>IFERROR(VLOOKUP($D197,'FERC 2021'!$EA$3:$EN$221,5,0),"")</f>
        <v/>
      </c>
      <c r="O197" s="72" t="str">
        <f>IFERROR(VLOOKUP($D197,'FERC 2022'!$EA$3:$EN$220,5,0),"")</f>
        <v/>
      </c>
      <c r="P197" s="72" t="str">
        <f>IFERROR(VLOOKUP($D197,'FERC 2023'!$EA$3:$EN$221,5,0),"")</f>
        <v/>
      </c>
      <c r="Q197" s="72" t="str">
        <f>IFERROR(VLOOKUP($D197,'FERC 2021'!$EA$3:$EN$221,6,0),"")</f>
        <v/>
      </c>
      <c r="R197" s="72" t="str">
        <f>IFERROR(VLOOKUP($D197,'FERC 2022'!$EA$3:$EN$220,6,0),"")</f>
        <v/>
      </c>
      <c r="S197" s="72" t="str">
        <f>IFERROR(VLOOKUP($D197,'FERC 2023'!$EA$3:$EN$221,6,0),"")</f>
        <v/>
      </c>
      <c r="T197" s="72" t="str">
        <f>IFERROR(VLOOKUP($D197,'FERC 2021'!$EA$3:$EN$221,7,0),"")</f>
        <v/>
      </c>
      <c r="U197" s="72" t="str">
        <f>IFERROR(VLOOKUP($D197,'FERC 2022'!$EA$3:$EN$220,7,0),"")</f>
        <v/>
      </c>
      <c r="V197" s="72" t="str">
        <f>IFERROR(VLOOKUP($D197,'FERC 2023'!$EA$3:$EN$221,7,0),"")</f>
        <v/>
      </c>
      <c r="W197" s="72" t="str">
        <f>IFERROR(VLOOKUP($D197,'FERC 2021'!$EA$3:$EN$221,8,0),"")</f>
        <v/>
      </c>
      <c r="X197" s="72" t="str">
        <f>IFERROR(VLOOKUP($D197,'FERC 2022'!$EA$3:$EN$220,8,0),"")</f>
        <v/>
      </c>
      <c r="Y197" s="72" t="str">
        <f>IFERROR(VLOOKUP($D197,'FERC 2023'!$EA$3:$EN$221,8,0),"")</f>
        <v/>
      </c>
      <c r="Z197" s="72" t="str">
        <f>IFERROR(VLOOKUP($D197,'FERC 2021'!$EA$3:$EN$222,9,0),"")</f>
        <v/>
      </c>
      <c r="AA197" s="72" t="str">
        <f>IFERROR(VLOOKUP($D197,'FERC 2022'!$EA$3:$EN$220,9,0),"")</f>
        <v/>
      </c>
      <c r="AB197" s="72" t="str">
        <f>IFERROR(VLOOKUP($D197,'FERC 2023'!$EA$3:$EN$221,9,0),"")</f>
        <v/>
      </c>
      <c r="AC197" s="72" t="str">
        <f>IFERROR(VLOOKUP($D197,'FERC 2021'!$EA$3:$EN$221,10,0),"")</f>
        <v/>
      </c>
      <c r="AD197" s="72" t="str">
        <f>IFERROR(VLOOKUP($D197,'FERC 2022'!$EA$3:$EN$220,10,0),"")</f>
        <v/>
      </c>
      <c r="AE197" s="72" t="str">
        <f>IFERROR(VLOOKUP($D197,'FERC 2023'!$EA$3:$EN$221,10,0),"")</f>
        <v/>
      </c>
      <c r="AF197" s="72" t="str">
        <f>IFERROR(VLOOKUP($D197,'FERC 2021'!$EA$3:$EN$221,11,0),"")</f>
        <v/>
      </c>
      <c r="AG197" s="72" t="str">
        <f>IFERROR(VLOOKUP($D197,'FERC 2022'!$EA$3:$EN$220,11,0),"")</f>
        <v/>
      </c>
      <c r="AH197" s="72" t="str">
        <f>IFERROR(VLOOKUP($D197,'FERC 2023'!$EA$3:$EN$221,11,0),"")</f>
        <v/>
      </c>
      <c r="AI197" s="72" t="str">
        <f>IFERROR(VLOOKUP($D197,'FERC 2021'!$EA$3:$EN$221,12,0),"")</f>
        <v/>
      </c>
      <c r="AJ197" s="72" t="str">
        <f>IFERROR(VLOOKUP($D197,'FERC 2022'!$EA$3:$EN$220,12,0),"")</f>
        <v/>
      </c>
      <c r="AK197" s="72" t="str">
        <f>IFERROR(VLOOKUP($D197,'FERC 2023'!$EA$3:$EN$221,12,0),"")</f>
        <v/>
      </c>
      <c r="AL197" s="72" t="str">
        <f>VLOOKUP($D197,'FERC 2021'!$EA$3:$EN$221,13,0)</f>
        <v/>
      </c>
      <c r="AM197" s="72" t="str">
        <f>VLOOKUP($D197,'FERC 2022'!$EA$3:$EN$220,13,0)</f>
        <v/>
      </c>
      <c r="AN197" s="72" t="str">
        <f>VLOOKUP($D197,'FERC 2023'!$EA$3:$EN$221,13,0)</f>
        <v/>
      </c>
      <c r="AO197" s="72" t="str">
        <f>IFERROR(VLOOKUP($D197,'FERC 2021'!$EA$3:$EN$221,14,0),"")</f>
        <v/>
      </c>
      <c r="AP197" s="72" t="str">
        <f>IFERROR(VLOOKUP($D197,'FERC 2022'!$EA$3:$EN$220,14,0),"")</f>
        <v/>
      </c>
      <c r="AQ197" s="72" t="str">
        <f>IFERROR(VLOOKUP($D197,'FERC 2023'!$EA$3:$EN$221,14,0),"")</f>
        <v/>
      </c>
    </row>
    <row r="198" spans="1:43" ht="15.75" hidden="1" customHeight="1">
      <c r="A198" s="7" t="s">
        <v>790</v>
      </c>
      <c r="B198" s="7" t="s">
        <v>791</v>
      </c>
      <c r="C198" s="311" t="str">
        <f>'BD DEA'!P198</f>
        <v/>
      </c>
      <c r="D198" s="44" t="str">
        <f t="shared" si="0"/>
        <v>C007624</v>
      </c>
      <c r="E198" s="72" t="str">
        <f>IFERROR(VLOOKUP($D198,'FERC 2021'!$EA$3:$EN$221,2,0),"")</f>
        <v/>
      </c>
      <c r="F198" s="72" t="str">
        <f>IFERROR(VLOOKUP($D198,'FERC 2022'!$EA$3:$EN$220,2,0),"")</f>
        <v/>
      </c>
      <c r="G198" s="72" t="str">
        <f>IFERROR(VLOOKUP($D198,'FERC 2023'!$EA$3:$EN$221,2,0),"")</f>
        <v/>
      </c>
      <c r="H198" s="72" t="str">
        <f>IFERROR(VLOOKUP($D198,'FERC 2021'!$EA$3:$EN$225,3,0),"")</f>
        <v/>
      </c>
      <c r="I198" s="72" t="str">
        <f>IFERROR(VLOOKUP($D198,'FERC 2022'!$EA$3:$EN$229,3,0),"")</f>
        <v/>
      </c>
      <c r="J198" s="72" t="str">
        <f>IFERROR(VLOOKUP($D198,'FERC 2023'!$EA$3:$EN$229,3,0),"")</f>
        <v/>
      </c>
      <c r="K198" s="72" t="str">
        <f>IFERROR(VLOOKUP($D198,'FERC 2021'!$EA$3:$EN$229,4,0),"")</f>
        <v/>
      </c>
      <c r="L198" s="72" t="str">
        <f>IFERROR(VLOOKUP($D198,'FERC 2022'!$EA$3:$EN$220,4,0),"")</f>
        <v/>
      </c>
      <c r="M198" s="72" t="str">
        <f>IFERROR(VLOOKUP($D198,'FERC 2023'!$EA$3:$EN$221,4,0),"")</f>
        <v/>
      </c>
      <c r="N198" s="72" t="str">
        <f>IFERROR(VLOOKUP($D198,'FERC 2021'!$EA$3:$EN$221,5,0),"")</f>
        <v/>
      </c>
      <c r="O198" s="72" t="str">
        <f>IFERROR(VLOOKUP($D198,'FERC 2022'!$EA$3:$EN$220,5,0),"")</f>
        <v/>
      </c>
      <c r="P198" s="72" t="str">
        <f>IFERROR(VLOOKUP($D198,'FERC 2023'!$EA$3:$EN$221,5,0),"")</f>
        <v/>
      </c>
      <c r="Q198" s="72" t="str">
        <f>IFERROR(VLOOKUP($D198,'FERC 2021'!$EA$3:$EN$221,6,0),"")</f>
        <v/>
      </c>
      <c r="R198" s="72" t="str">
        <f>IFERROR(VLOOKUP($D198,'FERC 2022'!$EA$3:$EN$220,6,0),"")</f>
        <v/>
      </c>
      <c r="S198" s="72" t="str">
        <f>IFERROR(VLOOKUP($D198,'FERC 2023'!$EA$3:$EN$221,6,0),"")</f>
        <v/>
      </c>
      <c r="T198" s="72" t="str">
        <f>IFERROR(VLOOKUP($D198,'FERC 2021'!$EA$3:$EN$221,7,0),"")</f>
        <v/>
      </c>
      <c r="U198" s="72" t="str">
        <f>IFERROR(VLOOKUP($D198,'FERC 2022'!$EA$3:$EN$220,7,0),"")</f>
        <v/>
      </c>
      <c r="V198" s="72" t="str">
        <f>IFERROR(VLOOKUP($D198,'FERC 2023'!$EA$3:$EN$221,7,0),"")</f>
        <v/>
      </c>
      <c r="W198" s="72" t="str">
        <f>IFERROR(VLOOKUP($D198,'FERC 2021'!$EA$3:$EN$221,8,0),"")</f>
        <v/>
      </c>
      <c r="X198" s="72" t="str">
        <f>IFERROR(VLOOKUP($D198,'FERC 2022'!$EA$3:$EN$220,8,0),"")</f>
        <v/>
      </c>
      <c r="Y198" s="72" t="str">
        <f>IFERROR(VLOOKUP($D198,'FERC 2023'!$EA$3:$EN$221,8,0),"")</f>
        <v/>
      </c>
      <c r="Z198" s="72" t="str">
        <f>IFERROR(VLOOKUP($D198,'FERC 2021'!$EA$3:$EN$222,9,0),"")</f>
        <v/>
      </c>
      <c r="AA198" s="72" t="str">
        <f>IFERROR(VLOOKUP($D198,'FERC 2022'!$EA$3:$EN$220,9,0),"")</f>
        <v/>
      </c>
      <c r="AB198" s="72" t="str">
        <f>IFERROR(VLOOKUP($D198,'FERC 2023'!$EA$3:$EN$221,9,0),"")</f>
        <v/>
      </c>
      <c r="AC198" s="72" t="str">
        <f>IFERROR(VLOOKUP($D198,'FERC 2021'!$EA$3:$EN$221,10,0),"")</f>
        <v/>
      </c>
      <c r="AD198" s="72" t="str">
        <f>IFERROR(VLOOKUP($D198,'FERC 2022'!$EA$3:$EN$220,10,0),"")</f>
        <v/>
      </c>
      <c r="AE198" s="72" t="str">
        <f>IFERROR(VLOOKUP($D198,'FERC 2023'!$EA$3:$EN$221,10,0),"")</f>
        <v/>
      </c>
      <c r="AF198" s="72" t="str">
        <f>IFERROR(VLOOKUP($D198,'FERC 2021'!$EA$3:$EN$221,11,0),"")</f>
        <v/>
      </c>
      <c r="AG198" s="72" t="str">
        <f>IFERROR(VLOOKUP($D198,'FERC 2022'!$EA$3:$EN$220,11,0),"")</f>
        <v/>
      </c>
      <c r="AH198" s="72" t="str">
        <f>IFERROR(VLOOKUP($D198,'FERC 2023'!$EA$3:$EN$221,11,0),"")</f>
        <v/>
      </c>
      <c r="AI198" s="72" t="str">
        <f>IFERROR(VLOOKUP($D198,'FERC 2021'!$EA$3:$EN$221,12,0),"")</f>
        <v/>
      </c>
      <c r="AJ198" s="72" t="str">
        <f>IFERROR(VLOOKUP($D198,'FERC 2022'!$EA$3:$EN$220,12,0),"")</f>
        <v/>
      </c>
      <c r="AK198" s="72" t="str">
        <f>IFERROR(VLOOKUP($D198,'FERC 2023'!$EA$3:$EN$221,12,0),"")</f>
        <v/>
      </c>
      <c r="AL198" s="72" t="str">
        <f>VLOOKUP($D198,'FERC 2021'!$EA$3:$EN$221,13,0)</f>
        <v/>
      </c>
      <c r="AM198" s="72" t="str">
        <f>VLOOKUP($D198,'FERC 2022'!$EA$3:$EN$220,13,0)</f>
        <v/>
      </c>
      <c r="AN198" s="72" t="str">
        <f>VLOOKUP($D198,'FERC 2023'!$EA$3:$EN$221,13,0)</f>
        <v/>
      </c>
      <c r="AO198" s="72" t="str">
        <f>IFERROR(VLOOKUP($D198,'FERC 2021'!$EA$3:$EN$221,14,0),"")</f>
        <v/>
      </c>
      <c r="AP198" s="72" t="str">
        <f>IFERROR(VLOOKUP($D198,'FERC 2022'!$EA$3:$EN$220,14,0),"")</f>
        <v/>
      </c>
      <c r="AQ198" s="72" t="str">
        <f>IFERROR(VLOOKUP($D198,'FERC 2023'!$EA$3:$EN$221,14,0),"")</f>
        <v/>
      </c>
    </row>
    <row r="199" spans="1:43" ht="15.75" customHeight="1">
      <c r="A199" s="7" t="s">
        <v>793</v>
      </c>
      <c r="B199" s="7" t="s">
        <v>794</v>
      </c>
      <c r="C199" s="311">
        <f>'BD DEA'!P199</f>
        <v>1</v>
      </c>
      <c r="D199" s="44" t="str">
        <f t="shared" si="0"/>
        <v>C007667</v>
      </c>
      <c r="E199" s="72">
        <f>IFERROR(VLOOKUP($D199,'FERC 2021'!$EA$3:$EN$221,2,0),"")</f>
        <v>1161132278.1605201</v>
      </c>
      <c r="F199" s="72">
        <f>IFERROR(VLOOKUP($D199,'FERC 2022'!$EA$3:$EN$220,2,0),"")</f>
        <v>1053955901.046155</v>
      </c>
      <c r="G199" s="72">
        <f>IFERROR(VLOOKUP($D199,'FERC 2023'!$EA$3:$EN$221,2,0),"")</f>
        <v>1154096750.7239842</v>
      </c>
      <c r="H199" s="72">
        <f>IFERROR(VLOOKUP($D199,'FERC 2021'!$EA$3:$EN$225,3,0),"")</f>
        <v>79828562.803567231</v>
      </c>
      <c r="I199" s="72">
        <f>IFERROR(VLOOKUP($D199,'FERC 2022'!$EA$3:$EN$229,3,0),"")</f>
        <v>84614402.68888694</v>
      </c>
      <c r="J199" s="72">
        <f>IFERROR(VLOOKUP($D199,'FERC 2023'!$EA$3:$EN$229,3,0),"")</f>
        <v>92131969.217491046</v>
      </c>
      <c r="K199" s="72">
        <f>IFERROR(VLOOKUP($D199,'FERC 2021'!$EA$3:$EN$229,4,0),"")</f>
        <v>17143960.549665902</v>
      </c>
      <c r="L199" s="72">
        <f>IFERROR(VLOOKUP($D199,'FERC 2022'!$EA$3:$EN$220,4,0),"")</f>
        <v>28300064.799380179</v>
      </c>
      <c r="M199" s="72">
        <f>IFERROR(VLOOKUP($D199,'FERC 2023'!$EA$3:$EN$221,4,0),"")</f>
        <v>31856544.173762154</v>
      </c>
      <c r="N199" s="72">
        <f>IFERROR(VLOOKUP($D199,'FERC 2021'!$EA$3:$EN$221,5,0),"")</f>
        <v>40927908.129848398</v>
      </c>
      <c r="O199" s="72">
        <f>IFERROR(VLOOKUP($D199,'FERC 2022'!$EA$3:$EN$220,5,0),"")</f>
        <v>41805486.277556039</v>
      </c>
      <c r="P199" s="72">
        <f>IFERROR(VLOOKUP($D199,'FERC 2023'!$EA$3:$EN$221,5,0),"")</f>
        <v>36147038.135027707</v>
      </c>
      <c r="Q199" s="72">
        <f>IFERROR(VLOOKUP($D199,'FERC 2021'!$EA$3:$EN$221,6,0),"")</f>
        <v>36319122.124314874</v>
      </c>
      <c r="R199" s="72">
        <f>IFERROR(VLOOKUP($D199,'FERC 2022'!$EA$3:$EN$220,6,0),"")</f>
        <v>37371510.951629646</v>
      </c>
      <c r="S199" s="72">
        <f>IFERROR(VLOOKUP($D199,'FERC 2023'!$EA$3:$EN$221,6,0),"")</f>
        <v>37116816.806822211</v>
      </c>
      <c r="T199" s="72">
        <f>IFERROR(VLOOKUP($D199,'FERC 2021'!$EA$3:$EN$221,7,0),"")</f>
        <v>1155</v>
      </c>
      <c r="U199" s="72">
        <f>IFERROR(VLOOKUP($D199,'FERC 2022'!$EA$3:$EN$220,7,0),"")</f>
        <v>1182</v>
      </c>
      <c r="V199" s="72">
        <f>IFERROR(VLOOKUP($D199,'FERC 2023'!$EA$3:$EN$221,7,0),"")</f>
        <v>1208</v>
      </c>
      <c r="W199" s="72">
        <f>IFERROR(VLOOKUP($D199,'FERC 2021'!$EA$3:$EN$221,8,0),"")</f>
        <v>209159</v>
      </c>
      <c r="X199" s="72">
        <f>IFERROR(VLOOKUP($D199,'FERC 2022'!$EA$3:$EN$220,8,0),"")</f>
        <v>208865</v>
      </c>
      <c r="Y199" s="72">
        <f>IFERROR(VLOOKUP($D199,'FERC 2023'!$EA$3:$EN$221,8,0),"")</f>
        <v>209071</v>
      </c>
      <c r="Z199" s="72">
        <f>IFERROR(VLOOKUP($D199,'FERC 2021'!$EA$3:$EN$222,9,0),"")</f>
        <v>61898</v>
      </c>
      <c r="AA199" s="72">
        <f>IFERROR(VLOOKUP($D199,'FERC 2022'!$EA$3:$EN$220,9,0),"")</f>
        <v>204160</v>
      </c>
      <c r="AB199" s="72">
        <f>IFERROR(VLOOKUP($D199,'FERC 2023'!$EA$3:$EN$221,9,0),"")</f>
        <v>66162</v>
      </c>
      <c r="AC199" s="72">
        <f>IFERROR(VLOOKUP($D199,'FERC 2021'!$EA$3:$EN$221,10,0),"")</f>
        <v>5407660</v>
      </c>
      <c r="AD199" s="72">
        <f>IFERROR(VLOOKUP($D199,'FERC 2022'!$EA$3:$EN$220,10,0),"")</f>
        <v>5640495</v>
      </c>
      <c r="AE199" s="72">
        <f>IFERROR(VLOOKUP($D199,'FERC 2023'!$EA$3:$EN$221,10,0),"")</f>
        <v>5739361</v>
      </c>
      <c r="AF199" s="72">
        <f>IFERROR(VLOOKUP($D199,'FERC 2021'!$EA$3:$EN$221,11,0),"")</f>
        <v>5433480.9441624358</v>
      </c>
      <c r="AG199" s="72">
        <f>IFERROR(VLOOKUP($D199,'FERC 2022'!$EA$3:$EN$220,11,0),"")</f>
        <v>5809660.258883249</v>
      </c>
      <c r="AH199" s="72">
        <f>IFERROR(VLOOKUP($D199,'FERC 2023'!$EA$3:$EN$221,11,0),"")</f>
        <v>5762608.4416243657</v>
      </c>
      <c r="AI199" s="72">
        <f>IFERROR(VLOOKUP($D199,'FERC 2021'!$EA$3:$EN$221,12,0),"")</f>
        <v>29909737</v>
      </c>
      <c r="AJ199" s="72">
        <f>IFERROR(VLOOKUP($D199,'FERC 2022'!$EA$3:$EN$220,12,0),"")</f>
        <v>36175418</v>
      </c>
      <c r="AK199" s="72">
        <f>IFERROR(VLOOKUP($D199,'FERC 2023'!$EA$3:$EN$221,12,0),"")</f>
        <v>29583546.5</v>
      </c>
      <c r="AL199" s="72">
        <f>VLOOKUP($D199,'FERC 2021'!$EA$3:$EN$221,13,0)</f>
        <v>645882.99199999997</v>
      </c>
      <c r="AM199" s="72">
        <f>VLOOKUP($D199,'FERC 2022'!$EA$3:$EN$220,13,0)</f>
        <v>306822.685</v>
      </c>
      <c r="AN199" s="72">
        <f>VLOOKUP($D199,'FERC 2023'!$EA$3:$EN$221,13,0)</f>
        <v>265520.17</v>
      </c>
      <c r="AO199" s="72">
        <f>IFERROR(VLOOKUP($D199,'FERC 2021'!$EA$3:$EN$221,14,0),"")</f>
        <v>322248</v>
      </c>
      <c r="AP199" s="72">
        <f>IFERROR(VLOOKUP($D199,'FERC 2022'!$EA$3:$EN$220,14,0),"")</f>
        <v>315259</v>
      </c>
      <c r="AQ199" s="72">
        <f>IFERROR(VLOOKUP($D199,'FERC 2023'!$EA$3:$EN$221,14,0),"")</f>
        <v>344459</v>
      </c>
    </row>
    <row r="200" spans="1:43" ht="15.75" hidden="1" customHeight="1">
      <c r="A200" s="7" t="s">
        <v>796</v>
      </c>
      <c r="B200" s="7" t="s">
        <v>797</v>
      </c>
      <c r="C200" s="311" t="str">
        <f>'BD DEA'!P200</f>
        <v/>
      </c>
      <c r="D200" s="44" t="str">
        <f t="shared" si="0"/>
        <v>C007679</v>
      </c>
      <c r="E200" s="72" t="str">
        <f>IFERROR(VLOOKUP($D200,'FERC 2021'!$EA$3:$EN$221,2,0),"")</f>
        <v/>
      </c>
      <c r="F200" s="72" t="str">
        <f>IFERROR(VLOOKUP($D200,'FERC 2022'!$EA$3:$EN$220,2,0),"")</f>
        <v/>
      </c>
      <c r="G200" s="72" t="str">
        <f>IFERROR(VLOOKUP($D200,'FERC 2023'!$EA$3:$EN$221,2,0),"")</f>
        <v/>
      </c>
      <c r="H200" s="72" t="str">
        <f>IFERROR(VLOOKUP($D200,'FERC 2021'!$EA$3:$EN$225,3,0),"")</f>
        <v/>
      </c>
      <c r="I200" s="72" t="str">
        <f>IFERROR(VLOOKUP($D200,'FERC 2022'!$EA$3:$EN$229,3,0),"")</f>
        <v/>
      </c>
      <c r="J200" s="72" t="str">
        <f>IFERROR(VLOOKUP($D200,'FERC 2023'!$EA$3:$EN$229,3,0),"")</f>
        <v/>
      </c>
      <c r="K200" s="72" t="str">
        <f>IFERROR(VLOOKUP($D200,'FERC 2021'!$EA$3:$EN$229,4,0),"")</f>
        <v/>
      </c>
      <c r="L200" s="72" t="str">
        <f>IFERROR(VLOOKUP($D200,'FERC 2022'!$EA$3:$EN$220,4,0),"")</f>
        <v/>
      </c>
      <c r="M200" s="72" t="str">
        <f>IFERROR(VLOOKUP($D200,'FERC 2023'!$EA$3:$EN$221,4,0),"")</f>
        <v/>
      </c>
      <c r="N200" s="72" t="str">
        <f>IFERROR(VLOOKUP($D200,'FERC 2021'!$EA$3:$EN$221,5,0),"")</f>
        <v/>
      </c>
      <c r="O200" s="72" t="str">
        <f>IFERROR(VLOOKUP($D200,'FERC 2022'!$EA$3:$EN$220,5,0),"")</f>
        <v/>
      </c>
      <c r="P200" s="72" t="str">
        <f>IFERROR(VLOOKUP($D200,'FERC 2023'!$EA$3:$EN$221,5,0),"")</f>
        <v/>
      </c>
      <c r="Q200" s="72" t="str">
        <f>IFERROR(VLOOKUP($D200,'FERC 2021'!$EA$3:$EN$221,6,0),"")</f>
        <v/>
      </c>
      <c r="R200" s="72" t="str">
        <f>IFERROR(VLOOKUP($D200,'FERC 2022'!$EA$3:$EN$220,6,0),"")</f>
        <v/>
      </c>
      <c r="S200" s="72" t="str">
        <f>IFERROR(VLOOKUP($D200,'FERC 2023'!$EA$3:$EN$221,6,0),"")</f>
        <v/>
      </c>
      <c r="T200" s="72" t="str">
        <f>IFERROR(VLOOKUP($D200,'FERC 2021'!$EA$3:$EN$221,7,0),"")</f>
        <v/>
      </c>
      <c r="U200" s="72" t="str">
        <f>IFERROR(VLOOKUP($D200,'FERC 2022'!$EA$3:$EN$220,7,0),"")</f>
        <v/>
      </c>
      <c r="V200" s="72" t="str">
        <f>IFERROR(VLOOKUP($D200,'FERC 2023'!$EA$3:$EN$221,7,0),"")</f>
        <v/>
      </c>
      <c r="W200" s="72" t="str">
        <f>IFERROR(VLOOKUP($D200,'FERC 2021'!$EA$3:$EN$221,8,0),"")</f>
        <v/>
      </c>
      <c r="X200" s="72" t="str">
        <f>IFERROR(VLOOKUP($D200,'FERC 2022'!$EA$3:$EN$220,8,0),"")</f>
        <v/>
      </c>
      <c r="Y200" s="72" t="str">
        <f>IFERROR(VLOOKUP($D200,'FERC 2023'!$EA$3:$EN$221,8,0),"")</f>
        <v/>
      </c>
      <c r="Z200" s="72" t="str">
        <f>IFERROR(VLOOKUP($D200,'FERC 2021'!$EA$3:$EN$222,9,0),"")</f>
        <v/>
      </c>
      <c r="AA200" s="72" t="str">
        <f>IFERROR(VLOOKUP($D200,'FERC 2022'!$EA$3:$EN$220,9,0),"")</f>
        <v/>
      </c>
      <c r="AB200" s="72" t="str">
        <f>IFERROR(VLOOKUP($D200,'FERC 2023'!$EA$3:$EN$221,9,0),"")</f>
        <v/>
      </c>
      <c r="AC200" s="72" t="str">
        <f>IFERROR(VLOOKUP($D200,'FERC 2021'!$EA$3:$EN$221,10,0),"")</f>
        <v/>
      </c>
      <c r="AD200" s="72" t="str">
        <f>IFERROR(VLOOKUP($D200,'FERC 2022'!$EA$3:$EN$220,10,0),"")</f>
        <v/>
      </c>
      <c r="AE200" s="72" t="str">
        <f>IFERROR(VLOOKUP($D200,'FERC 2023'!$EA$3:$EN$221,10,0),"")</f>
        <v/>
      </c>
      <c r="AF200" s="72" t="str">
        <f>IFERROR(VLOOKUP($D200,'FERC 2021'!$EA$3:$EN$221,11,0),"")</f>
        <v/>
      </c>
      <c r="AG200" s="72" t="str">
        <f>IFERROR(VLOOKUP($D200,'FERC 2022'!$EA$3:$EN$220,11,0),"")</f>
        <v/>
      </c>
      <c r="AH200" s="72" t="str">
        <f>IFERROR(VLOOKUP($D200,'FERC 2023'!$EA$3:$EN$221,11,0),"")</f>
        <v/>
      </c>
      <c r="AI200" s="72" t="str">
        <f>IFERROR(VLOOKUP($D200,'FERC 2021'!$EA$3:$EN$221,12,0),"")</f>
        <v/>
      </c>
      <c r="AJ200" s="72" t="str">
        <f>IFERROR(VLOOKUP($D200,'FERC 2022'!$EA$3:$EN$220,12,0),"")</f>
        <v/>
      </c>
      <c r="AK200" s="72" t="str">
        <f>IFERROR(VLOOKUP($D200,'FERC 2023'!$EA$3:$EN$221,12,0),"")</f>
        <v/>
      </c>
      <c r="AL200" s="72" t="str">
        <f>VLOOKUP($D200,'FERC 2021'!$EA$3:$EN$221,13,0)</f>
        <v/>
      </c>
      <c r="AM200" s="72" t="str">
        <f>VLOOKUP($D200,'FERC 2022'!$EA$3:$EN$220,13,0)</f>
        <v/>
      </c>
      <c r="AN200" s="72" t="str">
        <f>VLOOKUP($D200,'FERC 2023'!$EA$3:$EN$221,13,0)</f>
        <v/>
      </c>
      <c r="AO200" s="72" t="str">
        <f>IFERROR(VLOOKUP($D200,'FERC 2021'!$EA$3:$EN$221,14,0),"")</f>
        <v/>
      </c>
      <c r="AP200" s="72" t="str">
        <f>IFERROR(VLOOKUP($D200,'FERC 2022'!$EA$3:$EN$220,14,0),"")</f>
        <v/>
      </c>
      <c r="AQ200" s="72" t="str">
        <f>IFERROR(VLOOKUP($D200,'FERC 2023'!$EA$3:$EN$221,14,0),"")</f>
        <v/>
      </c>
    </row>
    <row r="201" spans="1:43" ht="15.75" hidden="1" customHeight="1">
      <c r="A201" s="7" t="s">
        <v>799</v>
      </c>
      <c r="B201" s="7" t="s">
        <v>800</v>
      </c>
      <c r="C201" s="311" t="str">
        <f>'BD DEA'!P201</f>
        <v/>
      </c>
      <c r="D201" s="44" t="str">
        <f t="shared" si="0"/>
        <v>C008947</v>
      </c>
      <c r="E201" s="72" t="str">
        <f>IFERROR(VLOOKUP($D201,'FERC 2021'!$EA$3:$EN$221,2,0),"")</f>
        <v/>
      </c>
      <c r="F201" s="72" t="str">
        <f>IFERROR(VLOOKUP($D201,'FERC 2022'!$EA$3:$EN$220,2,0),"")</f>
        <v/>
      </c>
      <c r="G201" s="72" t="str">
        <f>IFERROR(VLOOKUP($D201,'FERC 2023'!$EA$3:$EN$221,2,0),"")</f>
        <v/>
      </c>
      <c r="H201" s="72" t="str">
        <f>IFERROR(VLOOKUP($D201,'FERC 2021'!$EA$3:$EN$225,3,0),"")</f>
        <v/>
      </c>
      <c r="I201" s="72" t="str">
        <f>IFERROR(VLOOKUP($D201,'FERC 2022'!$EA$3:$EN$229,3,0),"")</f>
        <v/>
      </c>
      <c r="J201" s="72" t="str">
        <f>IFERROR(VLOOKUP($D201,'FERC 2023'!$EA$3:$EN$229,3,0),"")</f>
        <v/>
      </c>
      <c r="K201" s="72" t="str">
        <f>IFERROR(VLOOKUP($D201,'FERC 2021'!$EA$3:$EN$229,4,0),"")</f>
        <v/>
      </c>
      <c r="L201" s="72" t="str">
        <f>IFERROR(VLOOKUP($D201,'FERC 2022'!$EA$3:$EN$220,4,0),"")</f>
        <v/>
      </c>
      <c r="M201" s="72" t="str">
        <f>IFERROR(VLOOKUP($D201,'FERC 2023'!$EA$3:$EN$221,4,0),"")</f>
        <v/>
      </c>
      <c r="N201" s="72" t="str">
        <f>IFERROR(VLOOKUP($D201,'FERC 2021'!$EA$3:$EN$221,5,0),"")</f>
        <v/>
      </c>
      <c r="O201" s="72" t="str">
        <f>IFERROR(VLOOKUP($D201,'FERC 2022'!$EA$3:$EN$220,5,0),"")</f>
        <v/>
      </c>
      <c r="P201" s="72" t="str">
        <f>IFERROR(VLOOKUP($D201,'FERC 2023'!$EA$3:$EN$221,5,0),"")</f>
        <v/>
      </c>
      <c r="Q201" s="72" t="str">
        <f>IFERROR(VLOOKUP($D201,'FERC 2021'!$EA$3:$EN$221,6,0),"")</f>
        <v/>
      </c>
      <c r="R201" s="72" t="str">
        <f>IFERROR(VLOOKUP($D201,'FERC 2022'!$EA$3:$EN$220,6,0),"")</f>
        <v/>
      </c>
      <c r="S201" s="72" t="str">
        <f>IFERROR(VLOOKUP($D201,'FERC 2023'!$EA$3:$EN$221,6,0),"")</f>
        <v/>
      </c>
      <c r="T201" s="72" t="str">
        <f>IFERROR(VLOOKUP($D201,'FERC 2021'!$EA$3:$EN$221,7,0),"")</f>
        <v/>
      </c>
      <c r="U201" s="72" t="str">
        <f>IFERROR(VLOOKUP($D201,'FERC 2022'!$EA$3:$EN$220,7,0),"")</f>
        <v/>
      </c>
      <c r="V201" s="72" t="str">
        <f>IFERROR(VLOOKUP($D201,'FERC 2023'!$EA$3:$EN$221,7,0),"")</f>
        <v/>
      </c>
      <c r="W201" s="72" t="str">
        <f>IFERROR(VLOOKUP($D201,'FERC 2021'!$EA$3:$EN$221,8,0),"")</f>
        <v/>
      </c>
      <c r="X201" s="72" t="str">
        <f>IFERROR(VLOOKUP($D201,'FERC 2022'!$EA$3:$EN$220,8,0),"")</f>
        <v/>
      </c>
      <c r="Y201" s="72" t="str">
        <f>IFERROR(VLOOKUP($D201,'FERC 2023'!$EA$3:$EN$221,8,0),"")</f>
        <v/>
      </c>
      <c r="Z201" s="72" t="str">
        <f>IFERROR(VLOOKUP($D201,'FERC 2021'!$EA$3:$EN$222,9,0),"")</f>
        <v/>
      </c>
      <c r="AA201" s="72" t="str">
        <f>IFERROR(VLOOKUP($D201,'FERC 2022'!$EA$3:$EN$220,9,0),"")</f>
        <v/>
      </c>
      <c r="AB201" s="72" t="str">
        <f>IFERROR(VLOOKUP($D201,'FERC 2023'!$EA$3:$EN$221,9,0),"")</f>
        <v/>
      </c>
      <c r="AC201" s="72" t="str">
        <f>IFERROR(VLOOKUP($D201,'FERC 2021'!$EA$3:$EN$221,10,0),"")</f>
        <v/>
      </c>
      <c r="AD201" s="72" t="str">
        <f>IFERROR(VLOOKUP($D201,'FERC 2022'!$EA$3:$EN$220,10,0),"")</f>
        <v/>
      </c>
      <c r="AE201" s="72" t="str">
        <f>IFERROR(VLOOKUP($D201,'FERC 2023'!$EA$3:$EN$221,10,0),"")</f>
        <v/>
      </c>
      <c r="AF201" s="72" t="str">
        <f>IFERROR(VLOOKUP($D201,'FERC 2021'!$EA$3:$EN$221,11,0),"")</f>
        <v/>
      </c>
      <c r="AG201" s="72" t="str">
        <f>IFERROR(VLOOKUP($D201,'FERC 2022'!$EA$3:$EN$220,11,0),"")</f>
        <v/>
      </c>
      <c r="AH201" s="72" t="str">
        <f>IFERROR(VLOOKUP($D201,'FERC 2023'!$EA$3:$EN$221,11,0),"")</f>
        <v/>
      </c>
      <c r="AI201" s="72" t="str">
        <f>IFERROR(VLOOKUP($D201,'FERC 2021'!$EA$3:$EN$221,12,0),"")</f>
        <v/>
      </c>
      <c r="AJ201" s="72" t="str">
        <f>IFERROR(VLOOKUP($D201,'FERC 2022'!$EA$3:$EN$220,12,0),"")</f>
        <v/>
      </c>
      <c r="AK201" s="72" t="str">
        <f>IFERROR(VLOOKUP($D201,'FERC 2023'!$EA$3:$EN$221,12,0),"")</f>
        <v/>
      </c>
      <c r="AL201" s="72" t="str">
        <f>VLOOKUP($D201,'FERC 2021'!$EA$3:$EN$221,13,0)</f>
        <v/>
      </c>
      <c r="AM201" s="72" t="str">
        <f>VLOOKUP($D201,'FERC 2022'!$EA$3:$EN$220,13,0)</f>
        <v/>
      </c>
      <c r="AN201" s="72" t="str">
        <f>VLOOKUP($D201,'FERC 2023'!$EA$3:$EN$221,13,0)</f>
        <v/>
      </c>
      <c r="AO201" s="72" t="str">
        <f>IFERROR(VLOOKUP($D201,'FERC 2021'!$EA$3:$EN$221,14,0),"")</f>
        <v/>
      </c>
      <c r="AP201" s="72" t="str">
        <f>IFERROR(VLOOKUP($D201,'FERC 2022'!$EA$3:$EN$220,14,0),"")</f>
        <v/>
      </c>
      <c r="AQ201" s="72" t="str">
        <f>IFERROR(VLOOKUP($D201,'FERC 2023'!$EA$3:$EN$221,14,0),"")</f>
        <v/>
      </c>
    </row>
    <row r="202" spans="1:43" ht="15.75" hidden="1" customHeight="1">
      <c r="A202" s="7" t="s">
        <v>802</v>
      </c>
      <c r="B202" s="7" t="s">
        <v>803</v>
      </c>
      <c r="C202" s="311" t="str">
        <f>'BD DEA'!P202</f>
        <v/>
      </c>
      <c r="D202" s="44" t="str">
        <f t="shared" si="0"/>
        <v>C008998</v>
      </c>
      <c r="E202" s="72">
        <f>IFERROR(VLOOKUP($D202,'FERC 2021'!$EA$3:$EN$221,2,0),"")</f>
        <v>5987795561.0401354</v>
      </c>
      <c r="F202" s="72">
        <f>IFERROR(VLOOKUP($D202,'FERC 2022'!$EA$3:$EN$220,2,0),"")</f>
        <v>6150846369.8509808</v>
      </c>
      <c r="G202" s="72">
        <f>IFERROR(VLOOKUP($D202,'FERC 2023'!$EA$3:$EN$221,2,0),"")</f>
        <v>6823440749.3764677</v>
      </c>
      <c r="H202" s="72">
        <f>IFERROR(VLOOKUP($D202,'FERC 2021'!$EA$3:$EN$225,3,0),"")</f>
        <v>269555099.03573585</v>
      </c>
      <c r="I202" s="72">
        <f>IFERROR(VLOOKUP($D202,'FERC 2022'!$EA$3:$EN$229,3,0),"")</f>
        <v>309845049.04735374</v>
      </c>
      <c r="J202" s="72">
        <f>IFERROR(VLOOKUP($D202,'FERC 2023'!$EA$3:$EN$229,3,0),"")</f>
        <v>346915733.99658686</v>
      </c>
      <c r="K202" s="72">
        <f>IFERROR(VLOOKUP($D202,'FERC 2021'!$EA$3:$EN$229,4,0),"")</f>
        <v>106143193.22378035</v>
      </c>
      <c r="L202" s="72">
        <f>IFERROR(VLOOKUP($D202,'FERC 2022'!$EA$3:$EN$220,4,0),"")</f>
        <v>121281989.5454661</v>
      </c>
      <c r="M202" s="72">
        <f>IFERROR(VLOOKUP($D202,'FERC 2023'!$EA$3:$EN$221,4,0),"")</f>
        <v>112175807.8081045</v>
      </c>
      <c r="N202" s="72">
        <f>IFERROR(VLOOKUP($D202,'FERC 2021'!$EA$3:$EN$221,5,0),"")</f>
        <v>120770948.34194636</v>
      </c>
      <c r="O202" s="72">
        <f>IFERROR(VLOOKUP($D202,'FERC 2022'!$EA$3:$EN$220,5,0),"")</f>
        <v>121315911.54604609</v>
      </c>
      <c r="P202" s="72">
        <f>IFERROR(VLOOKUP($D202,'FERC 2023'!$EA$3:$EN$221,5,0),"")</f>
        <v>120190745.70359764</v>
      </c>
      <c r="Q202" s="72">
        <f>IFERROR(VLOOKUP($D202,'FERC 2021'!$EA$3:$EN$221,6,0),"")</f>
        <v>90351729.878207102</v>
      </c>
      <c r="R202" s="72">
        <f>IFERROR(VLOOKUP($D202,'FERC 2022'!$EA$3:$EN$220,6,0),"")</f>
        <v>84985324.221415356</v>
      </c>
      <c r="S202" s="72">
        <f>IFERROR(VLOOKUP($D202,'FERC 2023'!$EA$3:$EN$221,6,0),"")</f>
        <v>84047476.730420068</v>
      </c>
      <c r="T202" s="72">
        <f>IFERROR(VLOOKUP($D202,'FERC 2021'!$EA$3:$EN$221,7,0),"")</f>
        <v>4664</v>
      </c>
      <c r="U202" s="72">
        <f>IFERROR(VLOOKUP($D202,'FERC 2022'!$EA$3:$EN$220,7,0),"")</f>
        <v>4759</v>
      </c>
      <c r="V202" s="72">
        <f>IFERROR(VLOOKUP($D202,'FERC 2023'!$EA$3:$EN$221,7,0),"")</f>
        <v>4795</v>
      </c>
      <c r="W202" s="72">
        <f>IFERROR(VLOOKUP($D202,'FERC 2021'!$EA$3:$EN$221,8,0),"")</f>
        <v>727744</v>
      </c>
      <c r="X202" s="72">
        <f>IFERROR(VLOOKUP($D202,'FERC 2022'!$EA$3:$EN$220,8,0),"")</f>
        <v>725188</v>
      </c>
      <c r="Y202" s="72">
        <f>IFERROR(VLOOKUP($D202,'FERC 2023'!$EA$3:$EN$221,8,0),"")</f>
        <v>729558</v>
      </c>
      <c r="Z202" s="72">
        <f>IFERROR(VLOOKUP($D202,'FERC 2021'!$EA$3:$EN$222,9,0),"")</f>
        <v>1112407</v>
      </c>
      <c r="AA202" s="72">
        <f>IFERROR(VLOOKUP($D202,'FERC 2022'!$EA$3:$EN$220,9,0),"")</f>
        <v>1472868</v>
      </c>
      <c r="AB202" s="72">
        <f>IFERROR(VLOOKUP($D202,'FERC 2023'!$EA$3:$EN$221,9,0),"")</f>
        <v>1131955</v>
      </c>
      <c r="AC202" s="72">
        <f>IFERROR(VLOOKUP($D202,'FERC 2021'!$EA$3:$EN$221,10,0),"")</f>
        <v>22281971</v>
      </c>
      <c r="AD202" s="72">
        <f>IFERROR(VLOOKUP($D202,'FERC 2022'!$EA$3:$EN$220,10,0),"")</f>
        <v>22326106</v>
      </c>
      <c r="AE202" s="72">
        <f>IFERROR(VLOOKUP($D202,'FERC 2023'!$EA$3:$EN$221,10,0),"")</f>
        <v>22518603</v>
      </c>
      <c r="AF202" s="72">
        <f>IFERROR(VLOOKUP($D202,'FERC 2021'!$EA$3:$EN$221,11,0),"")</f>
        <v>23266402.857868019</v>
      </c>
      <c r="AG202" s="72">
        <f>IFERROR(VLOOKUP($D202,'FERC 2022'!$EA$3:$EN$220,11,0),"")</f>
        <v>23670654.223350253</v>
      </c>
      <c r="AH202" s="72">
        <f>IFERROR(VLOOKUP($D202,'FERC 2023'!$EA$3:$EN$221,11,0),"")</f>
        <v>23531993.888324872</v>
      </c>
      <c r="AI202" s="72">
        <f>IFERROR(VLOOKUP($D202,'FERC 2021'!$EA$3:$EN$221,12,0),"")</f>
        <v>191614995.20000002</v>
      </c>
      <c r="AJ202" s="72">
        <f>IFERROR(VLOOKUP($D202,'FERC 2022'!$EA$3:$EN$220,12,0),"")</f>
        <v>285433996.80000001</v>
      </c>
      <c r="AK202" s="72">
        <f>IFERROR(VLOOKUP($D202,'FERC 2023'!$EA$3:$EN$221,12,0),"")</f>
        <v>207705162.59999999</v>
      </c>
      <c r="AL202" s="72">
        <f>VLOOKUP($D202,'FERC 2021'!$EA$3:$EN$221,13,0)</f>
        <v>1282284.9280000001</v>
      </c>
      <c r="AM202" s="72">
        <f>VLOOKUP($D202,'FERC 2022'!$EA$3:$EN$220,13,0)</f>
        <v>1669382.7760000001</v>
      </c>
      <c r="AN202" s="72">
        <f>VLOOKUP($D202,'FERC 2023'!$EA$3:$EN$221,13,0)</f>
        <v>1497782.574</v>
      </c>
      <c r="AO202" s="72">
        <f>IFERROR(VLOOKUP($D202,'FERC 2021'!$EA$3:$EN$221,14,0),"")</f>
        <v>873512</v>
      </c>
      <c r="AP202" s="72">
        <f>IFERROR(VLOOKUP($D202,'FERC 2022'!$EA$3:$EN$220,14,0),"")</f>
        <v>724291</v>
      </c>
      <c r="AQ202" s="72">
        <f>IFERROR(VLOOKUP($D202,'FERC 2023'!$EA$3:$EN$221,14,0),"")</f>
        <v>832801</v>
      </c>
    </row>
    <row r="203" spans="1:43" ht="15.75" hidden="1" customHeight="1">
      <c r="A203" s="7" t="s">
        <v>805</v>
      </c>
      <c r="B203" s="7" t="s">
        <v>806</v>
      </c>
      <c r="C203" s="311" t="str">
        <f>'BD DEA'!P203</f>
        <v/>
      </c>
      <c r="D203" s="44" t="str">
        <f t="shared" si="0"/>
        <v>C008999</v>
      </c>
      <c r="E203" s="72">
        <f>IFERROR(VLOOKUP($D203,'FERC 2021'!$EA$3:$EN$221,2,0),"")</f>
        <v>4070371476.6149054</v>
      </c>
      <c r="F203" s="72">
        <f>IFERROR(VLOOKUP($D203,'FERC 2022'!$EA$3:$EN$220,2,0),"")</f>
        <v>4276042592.6650262</v>
      </c>
      <c r="G203" s="72">
        <f>IFERROR(VLOOKUP($D203,'FERC 2023'!$EA$3:$EN$221,2,0),"")</f>
        <v>4559109585.565999</v>
      </c>
      <c r="H203" s="72">
        <f>IFERROR(VLOOKUP($D203,'FERC 2021'!$EA$3:$EN$225,3,0),"")</f>
        <v>169098167.36036259</v>
      </c>
      <c r="I203" s="72">
        <f>IFERROR(VLOOKUP($D203,'FERC 2022'!$EA$3:$EN$229,3,0),"")</f>
        <v>203524911.56841424</v>
      </c>
      <c r="J203" s="72">
        <f>IFERROR(VLOOKUP($D203,'FERC 2023'!$EA$3:$EN$229,3,0),"")</f>
        <v>220178234.57623261</v>
      </c>
      <c r="K203" s="72">
        <f>IFERROR(VLOOKUP($D203,'FERC 2021'!$EA$3:$EN$229,4,0),"")</f>
        <v>79118069.471771672</v>
      </c>
      <c r="L203" s="72">
        <f>IFERROR(VLOOKUP($D203,'FERC 2022'!$EA$3:$EN$220,4,0),"")</f>
        <v>81128200.417331457</v>
      </c>
      <c r="M203" s="72">
        <f>IFERROR(VLOOKUP($D203,'FERC 2023'!$EA$3:$EN$221,4,0),"")</f>
        <v>73884676.813541859</v>
      </c>
      <c r="N203" s="72">
        <f>IFERROR(VLOOKUP($D203,'FERC 2021'!$EA$3:$EN$221,5,0),"")</f>
        <v>42621562.868747301</v>
      </c>
      <c r="O203" s="72">
        <f>IFERROR(VLOOKUP($D203,'FERC 2022'!$EA$3:$EN$220,5,0),"")</f>
        <v>47239365.369550347</v>
      </c>
      <c r="P203" s="72">
        <f>IFERROR(VLOOKUP($D203,'FERC 2023'!$EA$3:$EN$221,5,0),"")</f>
        <v>46102421.482932001</v>
      </c>
      <c r="Q203" s="72">
        <f>IFERROR(VLOOKUP($D203,'FERC 2021'!$EA$3:$EN$221,6,0),"")</f>
        <v>70931341.990013644</v>
      </c>
      <c r="R203" s="72">
        <f>IFERROR(VLOOKUP($D203,'FERC 2022'!$EA$3:$EN$220,6,0),"")</f>
        <v>66898446.061148249</v>
      </c>
      <c r="S203" s="72">
        <f>IFERROR(VLOOKUP($D203,'FERC 2023'!$EA$3:$EN$221,6,0),"")</f>
        <v>77181101.040040001</v>
      </c>
      <c r="T203" s="72">
        <f>IFERROR(VLOOKUP($D203,'FERC 2021'!$EA$3:$EN$221,7,0),"")</f>
        <v>2884</v>
      </c>
      <c r="U203" s="72">
        <f>IFERROR(VLOOKUP($D203,'FERC 2022'!$EA$3:$EN$220,7,0),"")</f>
        <v>2938</v>
      </c>
      <c r="V203" s="72">
        <f>IFERROR(VLOOKUP($D203,'FERC 2023'!$EA$3:$EN$221,7,0),"")</f>
        <v>3127</v>
      </c>
      <c r="W203" s="72">
        <f>IFERROR(VLOOKUP($D203,'FERC 2021'!$EA$3:$EN$221,8,0),"")</f>
        <v>458987</v>
      </c>
      <c r="X203" s="72">
        <f>IFERROR(VLOOKUP($D203,'FERC 2022'!$EA$3:$EN$220,8,0),"")</f>
        <v>459673</v>
      </c>
      <c r="Y203" s="72">
        <f>IFERROR(VLOOKUP($D203,'FERC 2023'!$EA$3:$EN$221,8,0),"")</f>
        <v>460082</v>
      </c>
      <c r="Z203" s="72">
        <f>IFERROR(VLOOKUP($D203,'FERC 2021'!$EA$3:$EN$222,9,0),"")</f>
        <v>629099</v>
      </c>
      <c r="AA203" s="72">
        <f>IFERROR(VLOOKUP($D203,'FERC 2022'!$EA$3:$EN$220,9,0),"")</f>
        <v>817635</v>
      </c>
      <c r="AB203" s="72">
        <f>IFERROR(VLOOKUP($D203,'FERC 2023'!$EA$3:$EN$221,9,0),"")</f>
        <v>674405</v>
      </c>
      <c r="AC203" s="72">
        <f>IFERROR(VLOOKUP($D203,'FERC 2021'!$EA$3:$EN$221,10,0),"")</f>
        <v>12744935</v>
      </c>
      <c r="AD203" s="72">
        <f>IFERROR(VLOOKUP($D203,'FERC 2022'!$EA$3:$EN$220,10,0),"")</f>
        <v>12948406</v>
      </c>
      <c r="AE203" s="72">
        <f>IFERROR(VLOOKUP($D203,'FERC 2023'!$EA$3:$EN$221,10,0),"")</f>
        <v>12885232</v>
      </c>
      <c r="AF203" s="72">
        <f>IFERROR(VLOOKUP($D203,'FERC 2021'!$EA$3:$EN$221,11,0),"")</f>
        <v>13307583.710659899</v>
      </c>
      <c r="AG203" s="72">
        <f>IFERROR(VLOOKUP($D203,'FERC 2022'!$EA$3:$EN$220,11,0),"")</f>
        <v>13721665.54822335</v>
      </c>
      <c r="AH203" s="72">
        <f>IFERROR(VLOOKUP($D203,'FERC 2023'!$EA$3:$EN$221,11,0),"")</f>
        <v>13492373.086294416</v>
      </c>
      <c r="AI203" s="72">
        <f>IFERROR(VLOOKUP($D203,'FERC 2021'!$EA$3:$EN$221,12,0),"")</f>
        <v>129388435.29999998</v>
      </c>
      <c r="AJ203" s="72">
        <f>IFERROR(VLOOKUP($D203,'FERC 2022'!$EA$3:$EN$220,12,0),"")</f>
        <v>152243697.59999999</v>
      </c>
      <c r="AK203" s="72">
        <f>IFERROR(VLOOKUP($D203,'FERC 2023'!$EA$3:$EN$221,12,0),"")</f>
        <v>134067894.79999998</v>
      </c>
      <c r="AL203" s="72">
        <f>VLOOKUP($D203,'FERC 2021'!$EA$3:$EN$221,13,0)</f>
        <v>1119010.3060000001</v>
      </c>
      <c r="AM203" s="72">
        <f>VLOOKUP($D203,'FERC 2022'!$EA$3:$EN$220,13,0)</f>
        <v>1094021.74</v>
      </c>
      <c r="AN203" s="72">
        <f>VLOOKUP($D203,'FERC 2023'!$EA$3:$EN$221,13,0)</f>
        <v>985495.64399999997</v>
      </c>
      <c r="AO203" s="72">
        <f>IFERROR(VLOOKUP($D203,'FERC 2021'!$EA$3:$EN$221,14,0),"")</f>
        <v>548633</v>
      </c>
      <c r="AP203" s="72">
        <f>IFERROR(VLOOKUP($D203,'FERC 2022'!$EA$3:$EN$220,14,0),"")</f>
        <v>460268</v>
      </c>
      <c r="AQ203" s="72">
        <f>IFERROR(VLOOKUP($D203,'FERC 2023'!$EA$3:$EN$221,14,0),"")</f>
        <v>526582</v>
      </c>
    </row>
    <row r="204" spans="1:43" ht="15.75" hidden="1" customHeight="1">
      <c r="A204" s="7" t="s">
        <v>808</v>
      </c>
      <c r="B204" s="7" t="s">
        <v>809</v>
      </c>
      <c r="C204" s="311" t="str">
        <f>'BD DEA'!P204</f>
        <v/>
      </c>
      <c r="D204" s="44" t="str">
        <f t="shared" si="0"/>
        <v>C009068</v>
      </c>
      <c r="E204" s="72" t="str">
        <f>IFERROR(VLOOKUP($D204,'FERC 2021'!$EA$3:$EN$221,2,0),"")</f>
        <v/>
      </c>
      <c r="F204" s="72" t="str">
        <f>IFERROR(VLOOKUP($D204,'FERC 2022'!$EA$3:$EN$220,2,0),"")</f>
        <v/>
      </c>
      <c r="G204" s="72" t="str">
        <f>IFERROR(VLOOKUP($D204,'FERC 2023'!$EA$3:$EN$221,2,0),"")</f>
        <v/>
      </c>
      <c r="H204" s="72" t="str">
        <f>IFERROR(VLOOKUP($D204,'FERC 2021'!$EA$3:$EN$225,3,0),"")</f>
        <v/>
      </c>
      <c r="I204" s="72" t="str">
        <f>IFERROR(VLOOKUP($D204,'FERC 2022'!$EA$3:$EN$229,3,0),"")</f>
        <v/>
      </c>
      <c r="J204" s="72" t="str">
        <f>IFERROR(VLOOKUP($D204,'FERC 2023'!$EA$3:$EN$229,3,0),"")</f>
        <v/>
      </c>
      <c r="K204" s="72" t="str">
        <f>IFERROR(VLOOKUP($D204,'FERC 2021'!$EA$3:$EN$229,4,0),"")</f>
        <v/>
      </c>
      <c r="L204" s="72" t="str">
        <f>IFERROR(VLOOKUP($D204,'FERC 2022'!$EA$3:$EN$220,4,0),"")</f>
        <v/>
      </c>
      <c r="M204" s="72" t="str">
        <f>IFERROR(VLOOKUP($D204,'FERC 2023'!$EA$3:$EN$221,4,0),"")</f>
        <v/>
      </c>
      <c r="N204" s="72" t="str">
        <f>IFERROR(VLOOKUP($D204,'FERC 2021'!$EA$3:$EN$221,5,0),"")</f>
        <v/>
      </c>
      <c r="O204" s="72" t="str">
        <f>IFERROR(VLOOKUP($D204,'FERC 2022'!$EA$3:$EN$220,5,0),"")</f>
        <v/>
      </c>
      <c r="P204" s="72" t="str">
        <f>IFERROR(VLOOKUP($D204,'FERC 2023'!$EA$3:$EN$221,5,0),"")</f>
        <v/>
      </c>
      <c r="Q204" s="72" t="str">
        <f>IFERROR(VLOOKUP($D204,'FERC 2021'!$EA$3:$EN$221,6,0),"")</f>
        <v/>
      </c>
      <c r="R204" s="72" t="str">
        <f>IFERROR(VLOOKUP($D204,'FERC 2022'!$EA$3:$EN$220,6,0),"")</f>
        <v/>
      </c>
      <c r="S204" s="72" t="str">
        <f>IFERROR(VLOOKUP($D204,'FERC 2023'!$EA$3:$EN$221,6,0),"")</f>
        <v/>
      </c>
      <c r="T204" s="72" t="str">
        <f>IFERROR(VLOOKUP($D204,'FERC 2021'!$EA$3:$EN$221,7,0),"")</f>
        <v/>
      </c>
      <c r="U204" s="72" t="str">
        <f>IFERROR(VLOOKUP($D204,'FERC 2022'!$EA$3:$EN$220,7,0),"")</f>
        <v/>
      </c>
      <c r="V204" s="72" t="str">
        <f>IFERROR(VLOOKUP($D204,'FERC 2023'!$EA$3:$EN$221,7,0),"")</f>
        <v/>
      </c>
      <c r="W204" s="72" t="str">
        <f>IFERROR(VLOOKUP($D204,'FERC 2021'!$EA$3:$EN$221,8,0),"")</f>
        <v/>
      </c>
      <c r="X204" s="72" t="str">
        <f>IFERROR(VLOOKUP($D204,'FERC 2022'!$EA$3:$EN$220,8,0),"")</f>
        <v/>
      </c>
      <c r="Y204" s="72" t="str">
        <f>IFERROR(VLOOKUP($D204,'FERC 2023'!$EA$3:$EN$221,8,0),"")</f>
        <v/>
      </c>
      <c r="Z204" s="72" t="str">
        <f>IFERROR(VLOOKUP($D204,'FERC 2021'!$EA$3:$EN$222,9,0),"")</f>
        <v/>
      </c>
      <c r="AA204" s="72" t="str">
        <f>IFERROR(VLOOKUP($D204,'FERC 2022'!$EA$3:$EN$220,9,0),"")</f>
        <v/>
      </c>
      <c r="AB204" s="72" t="str">
        <f>IFERROR(VLOOKUP($D204,'FERC 2023'!$EA$3:$EN$221,9,0),"")</f>
        <v/>
      </c>
      <c r="AC204" s="72" t="str">
        <f>IFERROR(VLOOKUP($D204,'FERC 2021'!$EA$3:$EN$221,10,0),"")</f>
        <v/>
      </c>
      <c r="AD204" s="72" t="str">
        <f>IFERROR(VLOOKUP($D204,'FERC 2022'!$EA$3:$EN$220,10,0),"")</f>
        <v/>
      </c>
      <c r="AE204" s="72" t="str">
        <f>IFERROR(VLOOKUP($D204,'FERC 2023'!$EA$3:$EN$221,10,0),"")</f>
        <v/>
      </c>
      <c r="AF204" s="72" t="str">
        <f>IFERROR(VLOOKUP($D204,'FERC 2021'!$EA$3:$EN$221,11,0),"")</f>
        <v/>
      </c>
      <c r="AG204" s="72" t="str">
        <f>IFERROR(VLOOKUP($D204,'FERC 2022'!$EA$3:$EN$220,11,0),"")</f>
        <v/>
      </c>
      <c r="AH204" s="72" t="str">
        <f>IFERROR(VLOOKUP($D204,'FERC 2023'!$EA$3:$EN$221,11,0),"")</f>
        <v/>
      </c>
      <c r="AI204" s="72" t="str">
        <f>IFERROR(VLOOKUP($D204,'FERC 2021'!$EA$3:$EN$221,12,0),"")</f>
        <v/>
      </c>
      <c r="AJ204" s="72" t="str">
        <f>IFERROR(VLOOKUP($D204,'FERC 2022'!$EA$3:$EN$220,12,0),"")</f>
        <v/>
      </c>
      <c r="AK204" s="72" t="str">
        <f>IFERROR(VLOOKUP($D204,'FERC 2023'!$EA$3:$EN$221,12,0),"")</f>
        <v/>
      </c>
      <c r="AL204" s="72" t="str">
        <f>VLOOKUP($D204,'FERC 2021'!$EA$3:$EN$221,13,0)</f>
        <v/>
      </c>
      <c r="AM204" s="72" t="str">
        <f>VLOOKUP($D204,'FERC 2022'!$EA$3:$EN$220,13,0)</f>
        <v/>
      </c>
      <c r="AN204" s="72" t="str">
        <f>VLOOKUP($D204,'FERC 2023'!$EA$3:$EN$221,13,0)</f>
        <v/>
      </c>
      <c r="AO204" s="72" t="str">
        <f>IFERROR(VLOOKUP($D204,'FERC 2021'!$EA$3:$EN$221,14,0),"")</f>
        <v/>
      </c>
      <c r="AP204" s="72" t="str">
        <f>IFERROR(VLOOKUP($D204,'FERC 2022'!$EA$3:$EN$220,14,0),"")</f>
        <v/>
      </c>
      <c r="AQ204" s="72" t="str">
        <f>IFERROR(VLOOKUP($D204,'FERC 2023'!$EA$3:$EN$221,14,0),"")</f>
        <v/>
      </c>
    </row>
    <row r="205" spans="1:43" ht="15.75" hidden="1" customHeight="1">
      <c r="A205" s="7" t="s">
        <v>811</v>
      </c>
      <c r="B205" s="7" t="s">
        <v>812</v>
      </c>
      <c r="C205" s="311" t="str">
        <f>'BD DEA'!P205</f>
        <v/>
      </c>
      <c r="D205" s="44" t="str">
        <f t="shared" si="0"/>
        <v>C010151</v>
      </c>
      <c r="E205" s="72" t="str">
        <f>IFERROR(VLOOKUP($D205,'FERC 2021'!$EA$3:$EN$221,2,0),"")</f>
        <v/>
      </c>
      <c r="F205" s="72" t="str">
        <f>IFERROR(VLOOKUP($D205,'FERC 2022'!$EA$3:$EN$220,2,0),"")</f>
        <v/>
      </c>
      <c r="G205" s="72" t="str">
        <f>IFERROR(VLOOKUP($D205,'FERC 2023'!$EA$3:$EN$221,2,0),"")</f>
        <v/>
      </c>
      <c r="H205" s="72" t="str">
        <f>IFERROR(VLOOKUP($D205,'FERC 2021'!$EA$3:$EN$225,3,0),"")</f>
        <v/>
      </c>
      <c r="I205" s="72" t="str">
        <f>IFERROR(VLOOKUP($D205,'FERC 2022'!$EA$3:$EN$229,3,0),"")</f>
        <v/>
      </c>
      <c r="J205" s="72" t="str">
        <f>IFERROR(VLOOKUP($D205,'FERC 2023'!$EA$3:$EN$229,3,0),"")</f>
        <v/>
      </c>
      <c r="K205" s="72" t="str">
        <f>IFERROR(VLOOKUP($D205,'FERC 2021'!$EA$3:$EN$229,4,0),"")</f>
        <v/>
      </c>
      <c r="L205" s="72" t="str">
        <f>IFERROR(VLOOKUP($D205,'FERC 2022'!$EA$3:$EN$220,4,0),"")</f>
        <v/>
      </c>
      <c r="M205" s="72" t="str">
        <f>IFERROR(VLOOKUP($D205,'FERC 2023'!$EA$3:$EN$221,4,0),"")</f>
        <v/>
      </c>
      <c r="N205" s="72" t="str">
        <f>IFERROR(VLOOKUP($D205,'FERC 2021'!$EA$3:$EN$221,5,0),"")</f>
        <v/>
      </c>
      <c r="O205" s="72" t="str">
        <f>IFERROR(VLOOKUP($D205,'FERC 2022'!$EA$3:$EN$220,5,0),"")</f>
        <v/>
      </c>
      <c r="P205" s="72" t="str">
        <f>IFERROR(VLOOKUP($D205,'FERC 2023'!$EA$3:$EN$221,5,0),"")</f>
        <v/>
      </c>
      <c r="Q205" s="72" t="str">
        <f>IFERROR(VLOOKUP($D205,'FERC 2021'!$EA$3:$EN$221,6,0),"")</f>
        <v/>
      </c>
      <c r="R205" s="72" t="str">
        <f>IFERROR(VLOOKUP($D205,'FERC 2022'!$EA$3:$EN$220,6,0),"")</f>
        <v/>
      </c>
      <c r="S205" s="72" t="str">
        <f>IFERROR(VLOOKUP($D205,'FERC 2023'!$EA$3:$EN$221,6,0),"")</f>
        <v/>
      </c>
      <c r="T205" s="72" t="str">
        <f>IFERROR(VLOOKUP($D205,'FERC 2021'!$EA$3:$EN$221,7,0),"")</f>
        <v/>
      </c>
      <c r="U205" s="72" t="str">
        <f>IFERROR(VLOOKUP($D205,'FERC 2022'!$EA$3:$EN$220,7,0),"")</f>
        <v/>
      </c>
      <c r="V205" s="72" t="str">
        <f>IFERROR(VLOOKUP($D205,'FERC 2023'!$EA$3:$EN$221,7,0),"")</f>
        <v/>
      </c>
      <c r="W205" s="72" t="str">
        <f>IFERROR(VLOOKUP($D205,'FERC 2021'!$EA$3:$EN$221,8,0),"")</f>
        <v/>
      </c>
      <c r="X205" s="72" t="str">
        <f>IFERROR(VLOOKUP($D205,'FERC 2022'!$EA$3:$EN$220,8,0),"")</f>
        <v/>
      </c>
      <c r="Y205" s="72" t="str">
        <f>IFERROR(VLOOKUP($D205,'FERC 2023'!$EA$3:$EN$221,8,0),"")</f>
        <v/>
      </c>
      <c r="Z205" s="72" t="str">
        <f>IFERROR(VLOOKUP($D205,'FERC 2021'!$EA$3:$EN$222,9,0),"")</f>
        <v/>
      </c>
      <c r="AA205" s="72" t="str">
        <f>IFERROR(VLOOKUP($D205,'FERC 2022'!$EA$3:$EN$220,9,0),"")</f>
        <v/>
      </c>
      <c r="AB205" s="72" t="str">
        <f>IFERROR(VLOOKUP($D205,'FERC 2023'!$EA$3:$EN$221,9,0),"")</f>
        <v/>
      </c>
      <c r="AC205" s="72" t="str">
        <f>IFERROR(VLOOKUP($D205,'FERC 2021'!$EA$3:$EN$221,10,0),"")</f>
        <v/>
      </c>
      <c r="AD205" s="72" t="str">
        <f>IFERROR(VLOOKUP($D205,'FERC 2022'!$EA$3:$EN$220,10,0),"")</f>
        <v/>
      </c>
      <c r="AE205" s="72" t="str">
        <f>IFERROR(VLOOKUP($D205,'FERC 2023'!$EA$3:$EN$221,10,0),"")</f>
        <v/>
      </c>
      <c r="AF205" s="72" t="str">
        <f>IFERROR(VLOOKUP($D205,'FERC 2021'!$EA$3:$EN$221,11,0),"")</f>
        <v/>
      </c>
      <c r="AG205" s="72" t="str">
        <f>IFERROR(VLOOKUP($D205,'FERC 2022'!$EA$3:$EN$220,11,0),"")</f>
        <v/>
      </c>
      <c r="AH205" s="72" t="str">
        <f>IFERROR(VLOOKUP($D205,'FERC 2023'!$EA$3:$EN$221,11,0),"")</f>
        <v/>
      </c>
      <c r="AI205" s="72" t="str">
        <f>IFERROR(VLOOKUP($D205,'FERC 2021'!$EA$3:$EN$221,12,0),"")</f>
        <v/>
      </c>
      <c r="AJ205" s="72" t="str">
        <f>IFERROR(VLOOKUP($D205,'FERC 2022'!$EA$3:$EN$220,12,0),"")</f>
        <v/>
      </c>
      <c r="AK205" s="72" t="str">
        <f>IFERROR(VLOOKUP($D205,'FERC 2023'!$EA$3:$EN$221,12,0),"")</f>
        <v/>
      </c>
      <c r="AL205" s="72" t="str">
        <f>VLOOKUP($D205,'FERC 2021'!$EA$3:$EN$221,13,0)</f>
        <v/>
      </c>
      <c r="AM205" s="72" t="str">
        <f>VLOOKUP($D205,'FERC 2022'!$EA$3:$EN$220,13,0)</f>
        <v/>
      </c>
      <c r="AN205" s="72" t="str">
        <f>VLOOKUP($D205,'FERC 2023'!$EA$3:$EN$221,13,0)</f>
        <v/>
      </c>
      <c r="AO205" s="72" t="str">
        <f>IFERROR(VLOOKUP($D205,'FERC 2021'!$EA$3:$EN$221,14,0),"")</f>
        <v/>
      </c>
      <c r="AP205" s="72" t="str">
        <f>IFERROR(VLOOKUP($D205,'FERC 2022'!$EA$3:$EN$220,14,0),"")</f>
        <v/>
      </c>
      <c r="AQ205" s="72" t="str">
        <f>IFERROR(VLOOKUP($D205,'FERC 2023'!$EA$3:$EN$221,14,0),"")</f>
        <v/>
      </c>
    </row>
    <row r="206" spans="1:43" ht="15.75" hidden="1" customHeight="1">
      <c r="A206" s="7" t="s">
        <v>814</v>
      </c>
      <c r="B206" s="7" t="s">
        <v>815</v>
      </c>
      <c r="C206" s="311" t="str">
        <f>'BD DEA'!P206</f>
        <v/>
      </c>
      <c r="D206" s="44" t="str">
        <f t="shared" si="0"/>
        <v>C010388</v>
      </c>
      <c r="E206" s="72" t="str">
        <f>IFERROR(VLOOKUP($D206,'FERC 2021'!$EA$3:$EN$221,2,0),"")</f>
        <v/>
      </c>
      <c r="F206" s="72" t="str">
        <f>IFERROR(VLOOKUP($D206,'FERC 2022'!$EA$3:$EN$220,2,0),"")</f>
        <v/>
      </c>
      <c r="G206" s="72" t="str">
        <f>IFERROR(VLOOKUP($D206,'FERC 2023'!$EA$3:$EN$221,2,0),"")</f>
        <v/>
      </c>
      <c r="H206" s="72" t="str">
        <f>IFERROR(VLOOKUP($D206,'FERC 2021'!$EA$3:$EN$225,3,0),"")</f>
        <v/>
      </c>
      <c r="I206" s="72" t="str">
        <f>IFERROR(VLOOKUP($D206,'FERC 2022'!$EA$3:$EN$229,3,0),"")</f>
        <v/>
      </c>
      <c r="J206" s="72" t="str">
        <f>IFERROR(VLOOKUP($D206,'FERC 2023'!$EA$3:$EN$229,3,0),"")</f>
        <v/>
      </c>
      <c r="K206" s="72" t="str">
        <f>IFERROR(VLOOKUP($D206,'FERC 2021'!$EA$3:$EN$229,4,0),"")</f>
        <v/>
      </c>
      <c r="L206" s="72" t="str">
        <f>IFERROR(VLOOKUP($D206,'FERC 2022'!$EA$3:$EN$220,4,0),"")</f>
        <v/>
      </c>
      <c r="M206" s="72" t="str">
        <f>IFERROR(VLOOKUP($D206,'FERC 2023'!$EA$3:$EN$221,4,0),"")</f>
        <v/>
      </c>
      <c r="N206" s="72" t="str">
        <f>IFERROR(VLOOKUP($D206,'FERC 2021'!$EA$3:$EN$221,5,0),"")</f>
        <v/>
      </c>
      <c r="O206" s="72" t="str">
        <f>IFERROR(VLOOKUP($D206,'FERC 2022'!$EA$3:$EN$220,5,0),"")</f>
        <v/>
      </c>
      <c r="P206" s="72" t="str">
        <f>IFERROR(VLOOKUP($D206,'FERC 2023'!$EA$3:$EN$221,5,0),"")</f>
        <v/>
      </c>
      <c r="Q206" s="72" t="str">
        <f>IFERROR(VLOOKUP($D206,'FERC 2021'!$EA$3:$EN$221,6,0),"")</f>
        <v/>
      </c>
      <c r="R206" s="72" t="str">
        <f>IFERROR(VLOOKUP($D206,'FERC 2022'!$EA$3:$EN$220,6,0),"")</f>
        <v/>
      </c>
      <c r="S206" s="72" t="str">
        <f>IFERROR(VLOOKUP($D206,'FERC 2023'!$EA$3:$EN$221,6,0),"")</f>
        <v/>
      </c>
      <c r="T206" s="72" t="str">
        <f>IFERROR(VLOOKUP($D206,'FERC 2021'!$EA$3:$EN$221,7,0),"")</f>
        <v/>
      </c>
      <c r="U206" s="72" t="str">
        <f>IFERROR(VLOOKUP($D206,'FERC 2022'!$EA$3:$EN$220,7,0),"")</f>
        <v/>
      </c>
      <c r="V206" s="72" t="str">
        <f>IFERROR(VLOOKUP($D206,'FERC 2023'!$EA$3:$EN$221,7,0),"")</f>
        <v/>
      </c>
      <c r="W206" s="72" t="str">
        <f>IFERROR(VLOOKUP($D206,'FERC 2021'!$EA$3:$EN$221,8,0),"")</f>
        <v/>
      </c>
      <c r="X206" s="72" t="str">
        <f>IFERROR(VLOOKUP($D206,'FERC 2022'!$EA$3:$EN$220,8,0),"")</f>
        <v/>
      </c>
      <c r="Y206" s="72" t="str">
        <f>IFERROR(VLOOKUP($D206,'FERC 2023'!$EA$3:$EN$221,8,0),"")</f>
        <v/>
      </c>
      <c r="Z206" s="72" t="str">
        <f>IFERROR(VLOOKUP($D206,'FERC 2021'!$EA$3:$EN$222,9,0),"")</f>
        <v/>
      </c>
      <c r="AA206" s="72" t="str">
        <f>IFERROR(VLOOKUP($D206,'FERC 2022'!$EA$3:$EN$220,9,0),"")</f>
        <v/>
      </c>
      <c r="AB206" s="72" t="str">
        <f>IFERROR(VLOOKUP($D206,'FERC 2023'!$EA$3:$EN$221,9,0),"")</f>
        <v/>
      </c>
      <c r="AC206" s="72" t="str">
        <f>IFERROR(VLOOKUP($D206,'FERC 2021'!$EA$3:$EN$221,10,0),"")</f>
        <v/>
      </c>
      <c r="AD206" s="72" t="str">
        <f>IFERROR(VLOOKUP($D206,'FERC 2022'!$EA$3:$EN$220,10,0),"")</f>
        <v/>
      </c>
      <c r="AE206" s="72" t="str">
        <f>IFERROR(VLOOKUP($D206,'FERC 2023'!$EA$3:$EN$221,10,0),"")</f>
        <v/>
      </c>
      <c r="AF206" s="72" t="str">
        <f>IFERROR(VLOOKUP($D206,'FERC 2021'!$EA$3:$EN$221,11,0),"")</f>
        <v/>
      </c>
      <c r="AG206" s="72" t="str">
        <f>IFERROR(VLOOKUP($D206,'FERC 2022'!$EA$3:$EN$220,11,0),"")</f>
        <v/>
      </c>
      <c r="AH206" s="72" t="str">
        <f>IFERROR(VLOOKUP($D206,'FERC 2023'!$EA$3:$EN$221,11,0),"")</f>
        <v/>
      </c>
      <c r="AI206" s="72" t="str">
        <f>IFERROR(VLOOKUP($D206,'FERC 2021'!$EA$3:$EN$221,12,0),"")</f>
        <v/>
      </c>
      <c r="AJ206" s="72" t="str">
        <f>IFERROR(VLOOKUP($D206,'FERC 2022'!$EA$3:$EN$220,12,0),"")</f>
        <v/>
      </c>
      <c r="AK206" s="72" t="str">
        <f>IFERROR(VLOOKUP($D206,'FERC 2023'!$EA$3:$EN$221,12,0),"")</f>
        <v/>
      </c>
      <c r="AL206" s="72" t="str">
        <f>VLOOKUP($D206,'FERC 2021'!$EA$3:$EN$221,13,0)</f>
        <v/>
      </c>
      <c r="AM206" s="72" t="e">
        <f>VLOOKUP($D206,'FERC 2022'!$EA$3:$EN$220,13,0)</f>
        <v>#N/A</v>
      </c>
      <c r="AN206" s="72" t="str">
        <f>VLOOKUP($D206,'FERC 2023'!$EA$3:$EN$221,13,0)</f>
        <v/>
      </c>
      <c r="AO206" s="72" t="str">
        <f>IFERROR(VLOOKUP($D206,'FERC 2021'!$EA$3:$EN$221,14,0),"")</f>
        <v/>
      </c>
      <c r="AP206" s="72" t="str">
        <f>IFERROR(VLOOKUP($D206,'FERC 2022'!$EA$3:$EN$220,14,0),"")</f>
        <v/>
      </c>
      <c r="AQ206" s="72" t="str">
        <f>IFERROR(VLOOKUP($D206,'FERC 2023'!$EA$3:$EN$221,14,0),"")</f>
        <v/>
      </c>
    </row>
    <row r="207" spans="1:43" ht="15.75" hidden="1" customHeight="1">
      <c r="A207" s="7" t="s">
        <v>817</v>
      </c>
      <c r="B207" s="7" t="s">
        <v>818</v>
      </c>
      <c r="C207" s="311" t="str">
        <f>'BD DEA'!P207</f>
        <v/>
      </c>
      <c r="D207" s="44" t="str">
        <f t="shared" si="0"/>
        <v>C010432</v>
      </c>
      <c r="E207" s="72">
        <f>IFERROR(VLOOKUP($D207,'FERC 2021'!$EA$3:$EN$221,2,0),"")</f>
        <v>0</v>
      </c>
      <c r="F207" s="72" t="str">
        <f>IFERROR(VLOOKUP($D207,'FERC 2022'!$EA$3:$EN$220,2,0),"")</f>
        <v/>
      </c>
      <c r="G207" s="72">
        <f>IFERROR(VLOOKUP($D207,'FERC 2023'!$EA$3:$EN$221,2,0),"")</f>
        <v>221564036.11671016</v>
      </c>
      <c r="H207" s="72">
        <f>IFERROR(VLOOKUP($D207,'FERC 2021'!$EA$3:$EN$225,3,0),"")</f>
        <v>18816581.810995191</v>
      </c>
      <c r="I207" s="72" t="str">
        <f>IFERROR(VLOOKUP($D207,'FERC 2022'!$EA$3:$EN$229,3,0),"")</f>
        <v/>
      </c>
      <c r="J207" s="72">
        <f>IFERROR(VLOOKUP($D207,'FERC 2023'!$EA$3:$EN$229,3,0),"")</f>
        <v>17658546.985156208</v>
      </c>
      <c r="K207" s="72">
        <f>IFERROR(VLOOKUP($D207,'FERC 2021'!$EA$3:$EN$229,4,0),"")</f>
        <v>8441746.1179208253</v>
      </c>
      <c r="L207" s="72" t="str">
        <f>IFERROR(VLOOKUP($D207,'FERC 2022'!$EA$3:$EN$220,4,0),"")</f>
        <v/>
      </c>
      <c r="M207" s="72">
        <f>IFERROR(VLOOKUP($D207,'FERC 2023'!$EA$3:$EN$221,4,0),"")</f>
        <v>8977790.6831816137</v>
      </c>
      <c r="N207" s="72">
        <f>IFERROR(VLOOKUP($D207,'FERC 2021'!$EA$3:$EN$221,5,0),"")</f>
        <v>562609.48897660931</v>
      </c>
      <c r="O207" s="72" t="str">
        <f>IFERROR(VLOOKUP($D207,'FERC 2022'!$EA$3:$EN$220,5,0),"")</f>
        <v/>
      </c>
      <c r="P207" s="72">
        <f>IFERROR(VLOOKUP($D207,'FERC 2023'!$EA$3:$EN$221,5,0),"")</f>
        <v>1461645.9989485713</v>
      </c>
      <c r="Q207" s="72">
        <f>IFERROR(VLOOKUP($D207,'FERC 2021'!$EA$3:$EN$221,6,0),"")</f>
        <v>6749186.6437621992</v>
      </c>
      <c r="R207" s="72" t="str">
        <f>IFERROR(VLOOKUP($D207,'FERC 2022'!$EA$3:$EN$220,6,0),"")</f>
        <v/>
      </c>
      <c r="S207" s="72">
        <f>IFERROR(VLOOKUP($D207,'FERC 2023'!$EA$3:$EN$221,6,0),"")</f>
        <v>15560436.80953965</v>
      </c>
      <c r="T207" s="72">
        <f>IFERROR(VLOOKUP($D207,'FERC 2021'!$EA$3:$EN$221,7,0),"")</f>
        <v>708</v>
      </c>
      <c r="U207" s="72" t="str">
        <f>IFERROR(VLOOKUP($D207,'FERC 2022'!$EA$3:$EN$220,7,0),"")</f>
        <v/>
      </c>
      <c r="V207" s="72">
        <f>IFERROR(VLOOKUP($D207,'FERC 2023'!$EA$3:$EN$221,7,0),"")</f>
        <v>804</v>
      </c>
      <c r="W207" s="72">
        <f>IFERROR(VLOOKUP($D207,'FERC 2021'!$EA$3:$EN$221,8,0),"")</f>
        <v>13320</v>
      </c>
      <c r="X207" s="72" t="str">
        <f>IFERROR(VLOOKUP($D207,'FERC 2022'!$EA$3:$EN$220,8,0),"")</f>
        <v/>
      </c>
      <c r="Y207" s="72">
        <f>IFERROR(VLOOKUP($D207,'FERC 2023'!$EA$3:$EN$221,8,0),"")</f>
        <v>13627</v>
      </c>
      <c r="Z207" s="72">
        <f>IFERROR(VLOOKUP($D207,'FERC 2021'!$EA$3:$EN$222,9,0),"")</f>
        <v>103625</v>
      </c>
      <c r="AA207" s="72" t="str">
        <f>IFERROR(VLOOKUP($D207,'FERC 2022'!$EA$3:$EN$220,9,0),"")</f>
        <v/>
      </c>
      <c r="AB207" s="72">
        <f>IFERROR(VLOOKUP($D207,'FERC 2023'!$EA$3:$EN$221,9,0),"")</f>
        <v>142366</v>
      </c>
      <c r="AC207" s="72">
        <f>IFERROR(VLOOKUP($D207,'FERC 2021'!$EA$3:$EN$221,10,0),"")</f>
        <v>5164127</v>
      </c>
      <c r="AD207" s="72" t="str">
        <f>IFERROR(VLOOKUP($D207,'FERC 2022'!$EA$3:$EN$220,10,0),"")</f>
        <v/>
      </c>
      <c r="AE207" s="72">
        <f>IFERROR(VLOOKUP($D207,'FERC 2023'!$EA$3:$EN$221,10,0),"")</f>
        <v>5970846</v>
      </c>
      <c r="AF207" s="72">
        <f>IFERROR(VLOOKUP($D207,'FERC 2021'!$EA$3:$EN$221,11,0),"")</f>
        <v>5267752</v>
      </c>
      <c r="AG207" s="72" t="str">
        <f>IFERROR(VLOOKUP($D207,'FERC 2022'!$EA$3:$EN$220,11,0),"")</f>
        <v/>
      </c>
      <c r="AH207" s="72">
        <f>IFERROR(VLOOKUP($D207,'FERC 2023'!$EA$3:$EN$221,11,0),"")</f>
        <v>6113212</v>
      </c>
      <c r="AI207" s="72">
        <f>IFERROR(VLOOKUP($D207,'FERC 2021'!$EA$3:$EN$221,12,0),"")</f>
        <v>2161303.1999999997</v>
      </c>
      <c r="AJ207" s="72" t="str">
        <f>IFERROR(VLOOKUP($D207,'FERC 2022'!$EA$3:$EN$220,12,0),"")</f>
        <v/>
      </c>
      <c r="AK207" s="72">
        <f>IFERROR(VLOOKUP($D207,'FERC 2023'!$EA$3:$EN$221,12,0),"")</f>
        <v>1942256.31</v>
      </c>
      <c r="AL207" s="72">
        <f>VLOOKUP($D207,'FERC 2021'!$EA$3:$EN$221,13,0)</f>
        <v>18914.399999999998</v>
      </c>
      <c r="AM207" s="72" t="e">
        <f>VLOOKUP($D207,'FERC 2022'!$EA$3:$EN$220,13,0)</f>
        <v>#N/A</v>
      </c>
      <c r="AN207" s="72">
        <f>VLOOKUP($D207,'FERC 2023'!$EA$3:$EN$221,13,0)</f>
        <v>16897.48</v>
      </c>
      <c r="AO207" s="72">
        <f>IFERROR(VLOOKUP($D207,'FERC 2021'!$EA$3:$EN$221,14,0),"")</f>
        <v>115</v>
      </c>
      <c r="AP207" s="72" t="str">
        <f>IFERROR(VLOOKUP($D207,'FERC 2022'!$EA$3:$EN$220,14,0),"")</f>
        <v/>
      </c>
      <c r="AQ207" s="72">
        <f>IFERROR(VLOOKUP($D207,'FERC 2023'!$EA$3:$EN$221,14,0),"")</f>
        <v>116</v>
      </c>
    </row>
    <row r="208" spans="1:43" ht="15.75" hidden="1" customHeight="1">
      <c r="A208" s="7" t="s">
        <v>820</v>
      </c>
      <c r="B208" s="7" t="s">
        <v>821</v>
      </c>
      <c r="C208" s="311" t="str">
        <f>'BD DEA'!P208</f>
        <v/>
      </c>
      <c r="D208" s="44" t="str">
        <f t="shared" si="0"/>
        <v>C010446</v>
      </c>
      <c r="E208" s="72" t="str">
        <f>IFERROR(VLOOKUP($D208,'FERC 2021'!$EA$3:$EN$221,2,0),"")</f>
        <v/>
      </c>
      <c r="F208" s="72" t="str">
        <f>IFERROR(VLOOKUP($D208,'FERC 2022'!$EA$3:$EN$220,2,0),"")</f>
        <v/>
      </c>
      <c r="G208" s="72" t="str">
        <f>IFERROR(VLOOKUP($D208,'FERC 2023'!$EA$3:$EN$221,2,0),"")</f>
        <v/>
      </c>
      <c r="H208" s="72" t="str">
        <f>IFERROR(VLOOKUP($D208,'FERC 2021'!$EA$3:$EN$225,3,0),"")</f>
        <v/>
      </c>
      <c r="I208" s="72" t="str">
        <f>IFERROR(VLOOKUP($D208,'FERC 2022'!$EA$3:$EN$229,3,0),"")</f>
        <v/>
      </c>
      <c r="J208" s="72" t="str">
        <f>IFERROR(VLOOKUP($D208,'FERC 2023'!$EA$3:$EN$229,3,0),"")</f>
        <v/>
      </c>
      <c r="K208" s="72" t="str">
        <f>IFERROR(VLOOKUP($D208,'FERC 2021'!$EA$3:$EN$229,4,0),"")</f>
        <v/>
      </c>
      <c r="L208" s="72" t="str">
        <f>IFERROR(VLOOKUP($D208,'FERC 2022'!$EA$3:$EN$220,4,0),"")</f>
        <v/>
      </c>
      <c r="M208" s="72" t="str">
        <f>IFERROR(VLOOKUP($D208,'FERC 2023'!$EA$3:$EN$221,4,0),"")</f>
        <v/>
      </c>
      <c r="N208" s="72" t="str">
        <f>IFERROR(VLOOKUP($D208,'FERC 2021'!$EA$3:$EN$221,5,0),"")</f>
        <v/>
      </c>
      <c r="O208" s="72" t="str">
        <f>IFERROR(VLOOKUP($D208,'FERC 2022'!$EA$3:$EN$220,5,0),"")</f>
        <v/>
      </c>
      <c r="P208" s="72" t="str">
        <f>IFERROR(VLOOKUP($D208,'FERC 2023'!$EA$3:$EN$221,5,0),"")</f>
        <v/>
      </c>
      <c r="Q208" s="72" t="str">
        <f>IFERROR(VLOOKUP($D208,'FERC 2021'!$EA$3:$EN$221,6,0),"")</f>
        <v/>
      </c>
      <c r="R208" s="72" t="str">
        <f>IFERROR(VLOOKUP($D208,'FERC 2022'!$EA$3:$EN$220,6,0),"")</f>
        <v/>
      </c>
      <c r="S208" s="72" t="str">
        <f>IFERROR(VLOOKUP($D208,'FERC 2023'!$EA$3:$EN$221,6,0),"")</f>
        <v/>
      </c>
      <c r="T208" s="72" t="str">
        <f>IFERROR(VLOOKUP($D208,'FERC 2021'!$EA$3:$EN$221,7,0),"")</f>
        <v/>
      </c>
      <c r="U208" s="72" t="str">
        <f>IFERROR(VLOOKUP($D208,'FERC 2022'!$EA$3:$EN$220,7,0),"")</f>
        <v/>
      </c>
      <c r="V208" s="72" t="str">
        <f>IFERROR(VLOOKUP($D208,'FERC 2023'!$EA$3:$EN$221,7,0),"")</f>
        <v/>
      </c>
      <c r="W208" s="72" t="str">
        <f>IFERROR(VLOOKUP($D208,'FERC 2021'!$EA$3:$EN$221,8,0),"")</f>
        <v/>
      </c>
      <c r="X208" s="72" t="str">
        <f>IFERROR(VLOOKUP($D208,'FERC 2022'!$EA$3:$EN$220,8,0),"")</f>
        <v/>
      </c>
      <c r="Y208" s="72" t="str">
        <f>IFERROR(VLOOKUP($D208,'FERC 2023'!$EA$3:$EN$221,8,0),"")</f>
        <v/>
      </c>
      <c r="Z208" s="72" t="str">
        <f>IFERROR(VLOOKUP($D208,'FERC 2021'!$EA$3:$EN$222,9,0),"")</f>
        <v/>
      </c>
      <c r="AA208" s="72" t="str">
        <f>IFERROR(VLOOKUP($D208,'FERC 2022'!$EA$3:$EN$220,9,0),"")</f>
        <v/>
      </c>
      <c r="AB208" s="72" t="str">
        <f>IFERROR(VLOOKUP($D208,'FERC 2023'!$EA$3:$EN$221,9,0),"")</f>
        <v/>
      </c>
      <c r="AC208" s="72" t="str">
        <f>IFERROR(VLOOKUP($D208,'FERC 2021'!$EA$3:$EN$221,10,0),"")</f>
        <v/>
      </c>
      <c r="AD208" s="72" t="str">
        <f>IFERROR(VLOOKUP($D208,'FERC 2022'!$EA$3:$EN$220,10,0),"")</f>
        <v/>
      </c>
      <c r="AE208" s="72" t="str">
        <f>IFERROR(VLOOKUP($D208,'FERC 2023'!$EA$3:$EN$221,10,0),"")</f>
        <v/>
      </c>
      <c r="AF208" s="72" t="str">
        <f>IFERROR(VLOOKUP($D208,'FERC 2021'!$EA$3:$EN$221,11,0),"")</f>
        <v/>
      </c>
      <c r="AG208" s="72" t="str">
        <f>IFERROR(VLOOKUP($D208,'FERC 2022'!$EA$3:$EN$220,11,0),"")</f>
        <v/>
      </c>
      <c r="AH208" s="72" t="str">
        <f>IFERROR(VLOOKUP($D208,'FERC 2023'!$EA$3:$EN$221,11,0),"")</f>
        <v/>
      </c>
      <c r="AI208" s="72" t="str">
        <f>IFERROR(VLOOKUP($D208,'FERC 2021'!$EA$3:$EN$221,12,0),"")</f>
        <v/>
      </c>
      <c r="AJ208" s="72" t="str">
        <f>IFERROR(VLOOKUP($D208,'FERC 2022'!$EA$3:$EN$220,12,0),"")</f>
        <v/>
      </c>
      <c r="AK208" s="72" t="str">
        <f>IFERROR(VLOOKUP($D208,'FERC 2023'!$EA$3:$EN$221,12,0),"")</f>
        <v/>
      </c>
      <c r="AL208" s="72" t="str">
        <f>VLOOKUP($D208,'FERC 2021'!$EA$3:$EN$221,13,0)</f>
        <v/>
      </c>
      <c r="AM208" s="72" t="e">
        <f>VLOOKUP($D208,'FERC 2022'!$EA$3:$EN$220,13,0)</f>
        <v>#N/A</v>
      </c>
      <c r="AN208" s="72" t="str">
        <f>VLOOKUP($D208,'FERC 2023'!$EA$3:$EN$221,13,0)</f>
        <v/>
      </c>
      <c r="AO208" s="72" t="str">
        <f>IFERROR(VLOOKUP($D208,'FERC 2021'!$EA$3:$EN$221,14,0),"")</f>
        <v/>
      </c>
      <c r="AP208" s="72" t="str">
        <f>IFERROR(VLOOKUP($D208,'FERC 2022'!$EA$3:$EN$220,14,0),"")</f>
        <v/>
      </c>
      <c r="AQ208" s="72" t="str">
        <f>IFERROR(VLOOKUP($D208,'FERC 2023'!$EA$3:$EN$221,14,0),"")</f>
        <v/>
      </c>
    </row>
    <row r="209" spans="1:43" ht="15.75" hidden="1" customHeight="1">
      <c r="A209" s="7" t="s">
        <v>823</v>
      </c>
      <c r="B209" s="7" t="s">
        <v>824</v>
      </c>
      <c r="C209" s="311" t="str">
        <f>'BD DEA'!P209</f>
        <v/>
      </c>
      <c r="D209" s="44" t="str">
        <f t="shared" si="0"/>
        <v>C010464</v>
      </c>
      <c r="E209" s="72">
        <f>IFERROR(VLOOKUP($D209,'FERC 2021'!$EA$3:$EN$221,2,0),"")</f>
        <v>110499725.91127242</v>
      </c>
      <c r="F209" s="72" t="str">
        <f>IFERROR(VLOOKUP($D209,'FERC 2022'!$EA$3:$EN$220,2,0),"")</f>
        <v/>
      </c>
      <c r="G209" s="72">
        <f>IFERROR(VLOOKUP($D209,'FERC 2023'!$EA$3:$EN$221,2,0),"")</f>
        <v>165929768.32407814</v>
      </c>
      <c r="H209" s="72">
        <f>IFERROR(VLOOKUP($D209,'FERC 2021'!$EA$3:$EN$225,3,0),"")</f>
        <v>11351891.765090842</v>
      </c>
      <c r="I209" s="72" t="str">
        <f>IFERROR(VLOOKUP($D209,'FERC 2022'!$EA$3:$EN$229,3,0),"")</f>
        <v/>
      </c>
      <c r="J209" s="72">
        <f>IFERROR(VLOOKUP($D209,'FERC 2023'!$EA$3:$EN$229,3,0),"")</f>
        <v>12063976.89095702</v>
      </c>
      <c r="K209" s="72">
        <f>IFERROR(VLOOKUP($D209,'FERC 2021'!$EA$3:$EN$229,4,0),"")</f>
        <v>3164907.217997056</v>
      </c>
      <c r="L209" s="72" t="str">
        <f>IFERROR(VLOOKUP($D209,'FERC 2022'!$EA$3:$EN$220,4,0),"")</f>
        <v/>
      </c>
      <c r="M209" s="72">
        <f>IFERROR(VLOOKUP($D209,'FERC 2023'!$EA$3:$EN$221,4,0),"")</f>
        <v>3758769.7083371221</v>
      </c>
      <c r="N209" s="72">
        <f>IFERROR(VLOOKUP($D209,'FERC 2021'!$EA$3:$EN$221,5,0),"")</f>
        <v>917392.08709159167</v>
      </c>
      <c r="O209" s="72" t="str">
        <f>IFERROR(VLOOKUP($D209,'FERC 2022'!$EA$3:$EN$220,5,0),"")</f>
        <v/>
      </c>
      <c r="P209" s="72">
        <f>IFERROR(VLOOKUP($D209,'FERC 2023'!$EA$3:$EN$221,5,0),"")</f>
        <v>997734.27284232143</v>
      </c>
      <c r="Q209" s="72">
        <f>IFERROR(VLOOKUP($D209,'FERC 2021'!$EA$3:$EN$221,6,0),"")</f>
        <v>9915150.0954770539</v>
      </c>
      <c r="R209" s="72" t="str">
        <f>IFERROR(VLOOKUP($D209,'FERC 2022'!$EA$3:$EN$220,6,0),"")</f>
        <v/>
      </c>
      <c r="S209" s="72">
        <f>IFERROR(VLOOKUP($D209,'FERC 2023'!$EA$3:$EN$221,6,0),"")</f>
        <v>7953244.5321069984</v>
      </c>
      <c r="T209" s="72">
        <f>IFERROR(VLOOKUP($D209,'FERC 2021'!$EA$3:$EN$221,7,0),"")</f>
        <v>34</v>
      </c>
      <c r="U209" s="72" t="str">
        <f>IFERROR(VLOOKUP($D209,'FERC 2022'!$EA$3:$EN$220,7,0),"")</f>
        <v/>
      </c>
      <c r="V209" s="72">
        <f>IFERROR(VLOOKUP($D209,'FERC 2023'!$EA$3:$EN$221,7,0),"")</f>
        <v>40</v>
      </c>
      <c r="W209" s="72">
        <f>IFERROR(VLOOKUP($D209,'FERC 2021'!$EA$3:$EN$221,8,0),"")</f>
        <v>24598</v>
      </c>
      <c r="X209" s="72" t="str">
        <f>IFERROR(VLOOKUP($D209,'FERC 2022'!$EA$3:$EN$220,8,0),"")</f>
        <v/>
      </c>
      <c r="Y209" s="72">
        <f>IFERROR(VLOOKUP($D209,'FERC 2023'!$EA$3:$EN$221,8,0),"")</f>
        <v>24728</v>
      </c>
      <c r="Z209" s="72">
        <f>IFERROR(VLOOKUP($D209,'FERC 2021'!$EA$3:$EN$222,9,0),"")</f>
        <v>21672</v>
      </c>
      <c r="AA209" s="72" t="str">
        <f>IFERROR(VLOOKUP($D209,'FERC 2022'!$EA$3:$EN$220,9,0),"")</f>
        <v/>
      </c>
      <c r="AB209" s="72">
        <f>IFERROR(VLOOKUP($D209,'FERC 2023'!$EA$3:$EN$221,9,0),"")</f>
        <v>27772</v>
      </c>
      <c r="AC209" s="72">
        <f>IFERROR(VLOOKUP($D209,'FERC 2021'!$EA$3:$EN$221,10,0),"")</f>
        <v>133706</v>
      </c>
      <c r="AD209" s="72" t="str">
        <f>IFERROR(VLOOKUP($D209,'FERC 2022'!$EA$3:$EN$220,10,0),"")</f>
        <v/>
      </c>
      <c r="AE209" s="72">
        <f>IFERROR(VLOOKUP($D209,'FERC 2023'!$EA$3:$EN$221,10,0),"")</f>
        <v>138271</v>
      </c>
      <c r="AF209" s="72">
        <f>IFERROR(VLOOKUP($D209,'FERC 2021'!$EA$3:$EN$221,11,0),"")</f>
        <v>155378</v>
      </c>
      <c r="AG209" s="72" t="str">
        <f>IFERROR(VLOOKUP($D209,'FERC 2022'!$EA$3:$EN$220,11,0),"")</f>
        <v/>
      </c>
      <c r="AH209" s="72">
        <f>IFERROR(VLOOKUP($D209,'FERC 2023'!$EA$3:$EN$221,11,0),"")</f>
        <v>166043</v>
      </c>
      <c r="AI209" s="72">
        <f>IFERROR(VLOOKUP($D209,'FERC 2021'!$EA$3:$EN$221,12,0),"")</f>
        <v>2289089.88</v>
      </c>
      <c r="AJ209" s="72" t="str">
        <f>IFERROR(VLOOKUP($D209,'FERC 2022'!$EA$3:$EN$220,12,0),"")</f>
        <v/>
      </c>
      <c r="AK209" s="72">
        <f>IFERROR(VLOOKUP($D209,'FERC 2023'!$EA$3:$EN$221,12,0),"")</f>
        <v>2831454.912</v>
      </c>
      <c r="AL209" s="72">
        <f>VLOOKUP($D209,'FERC 2021'!$EA$3:$EN$221,13,0)</f>
        <v>139224.68</v>
      </c>
      <c r="AM209" s="72" t="e">
        <f>VLOOKUP($D209,'FERC 2022'!$EA$3:$EN$220,13,0)</f>
        <v>#N/A</v>
      </c>
      <c r="AN209" s="72">
        <f>VLOOKUP($D209,'FERC 2023'!$EA$3:$EN$221,13,0)</f>
        <v>81874.407999999996</v>
      </c>
      <c r="AO209" s="72">
        <f>IFERROR(VLOOKUP($D209,'FERC 2021'!$EA$3:$EN$221,14,0),"")</f>
        <v>24920</v>
      </c>
      <c r="AP209" s="72" t="str">
        <f>IFERROR(VLOOKUP($D209,'FERC 2022'!$EA$3:$EN$220,14,0),"")</f>
        <v/>
      </c>
      <c r="AQ209" s="72">
        <f>IFERROR(VLOOKUP($D209,'FERC 2023'!$EA$3:$EN$221,14,0),"")</f>
        <v>24994</v>
      </c>
    </row>
    <row r="210" spans="1:43" ht="15.75" hidden="1" customHeight="1">
      <c r="A210" s="7" t="s">
        <v>826</v>
      </c>
      <c r="B210" s="7" t="s">
        <v>827</v>
      </c>
      <c r="C210" s="311" t="str">
        <f>'BD DEA'!P210</f>
        <v/>
      </c>
      <c r="D210" s="44" t="str">
        <f t="shared" si="0"/>
        <v>C010473</v>
      </c>
      <c r="E210" s="72" t="str">
        <f>IFERROR(VLOOKUP($D210,'FERC 2021'!$EA$3:$EN$221,2,0),"")</f>
        <v/>
      </c>
      <c r="F210" s="72" t="str">
        <f>IFERROR(VLOOKUP($D210,'FERC 2022'!$EA$3:$EN$220,2,0),"")</f>
        <v/>
      </c>
      <c r="G210" s="72" t="str">
        <f>IFERROR(VLOOKUP($D210,'FERC 2023'!$EA$3:$EN$221,2,0),"")</f>
        <v/>
      </c>
      <c r="H210" s="72" t="str">
        <f>IFERROR(VLOOKUP($D210,'FERC 2021'!$EA$3:$EN$225,3,0),"")</f>
        <v/>
      </c>
      <c r="I210" s="72" t="str">
        <f>IFERROR(VLOOKUP($D210,'FERC 2022'!$EA$3:$EN$229,3,0),"")</f>
        <v/>
      </c>
      <c r="J210" s="72" t="str">
        <f>IFERROR(VLOOKUP($D210,'FERC 2023'!$EA$3:$EN$229,3,0),"")</f>
        <v/>
      </c>
      <c r="K210" s="72" t="str">
        <f>IFERROR(VLOOKUP($D210,'FERC 2021'!$EA$3:$EN$229,4,0),"")</f>
        <v/>
      </c>
      <c r="L210" s="72" t="str">
        <f>IFERROR(VLOOKUP($D210,'FERC 2022'!$EA$3:$EN$220,4,0),"")</f>
        <v/>
      </c>
      <c r="M210" s="72" t="str">
        <f>IFERROR(VLOOKUP($D210,'FERC 2023'!$EA$3:$EN$221,4,0),"")</f>
        <v/>
      </c>
      <c r="N210" s="72" t="str">
        <f>IFERROR(VLOOKUP($D210,'FERC 2021'!$EA$3:$EN$221,5,0),"")</f>
        <v/>
      </c>
      <c r="O210" s="72" t="str">
        <f>IFERROR(VLOOKUP($D210,'FERC 2022'!$EA$3:$EN$220,5,0),"")</f>
        <v/>
      </c>
      <c r="P210" s="72" t="str">
        <f>IFERROR(VLOOKUP($D210,'FERC 2023'!$EA$3:$EN$221,5,0),"")</f>
        <v/>
      </c>
      <c r="Q210" s="72" t="str">
        <f>IFERROR(VLOOKUP($D210,'FERC 2021'!$EA$3:$EN$221,6,0),"")</f>
        <v/>
      </c>
      <c r="R210" s="72" t="str">
        <f>IFERROR(VLOOKUP($D210,'FERC 2022'!$EA$3:$EN$220,6,0),"")</f>
        <v/>
      </c>
      <c r="S210" s="72" t="str">
        <f>IFERROR(VLOOKUP($D210,'FERC 2023'!$EA$3:$EN$221,6,0),"")</f>
        <v/>
      </c>
      <c r="T210" s="72" t="str">
        <f>IFERROR(VLOOKUP($D210,'FERC 2021'!$EA$3:$EN$221,7,0),"")</f>
        <v/>
      </c>
      <c r="U210" s="72" t="str">
        <f>IFERROR(VLOOKUP($D210,'FERC 2022'!$EA$3:$EN$220,7,0),"")</f>
        <v/>
      </c>
      <c r="V210" s="72" t="str">
        <f>IFERROR(VLOOKUP($D210,'FERC 2023'!$EA$3:$EN$221,7,0),"")</f>
        <v/>
      </c>
      <c r="W210" s="72" t="str">
        <f>IFERROR(VLOOKUP($D210,'FERC 2021'!$EA$3:$EN$221,8,0),"")</f>
        <v/>
      </c>
      <c r="X210" s="72" t="str">
        <f>IFERROR(VLOOKUP($D210,'FERC 2022'!$EA$3:$EN$220,8,0),"")</f>
        <v/>
      </c>
      <c r="Y210" s="72" t="str">
        <f>IFERROR(VLOOKUP($D210,'FERC 2023'!$EA$3:$EN$221,8,0),"")</f>
        <v/>
      </c>
      <c r="Z210" s="72" t="str">
        <f>IFERROR(VLOOKUP($D210,'FERC 2021'!$EA$3:$EN$222,9,0),"")</f>
        <v/>
      </c>
      <c r="AA210" s="72" t="str">
        <f>IFERROR(VLOOKUP($D210,'FERC 2022'!$EA$3:$EN$220,9,0),"")</f>
        <v/>
      </c>
      <c r="AB210" s="72" t="str">
        <f>IFERROR(VLOOKUP($D210,'FERC 2023'!$EA$3:$EN$221,9,0),"")</f>
        <v/>
      </c>
      <c r="AC210" s="72" t="str">
        <f>IFERROR(VLOOKUP($D210,'FERC 2021'!$EA$3:$EN$221,10,0),"")</f>
        <v/>
      </c>
      <c r="AD210" s="72" t="str">
        <f>IFERROR(VLOOKUP($D210,'FERC 2022'!$EA$3:$EN$220,10,0),"")</f>
        <v/>
      </c>
      <c r="AE210" s="72" t="str">
        <f>IFERROR(VLOOKUP($D210,'FERC 2023'!$EA$3:$EN$221,10,0),"")</f>
        <v/>
      </c>
      <c r="AF210" s="72" t="str">
        <f>IFERROR(VLOOKUP($D210,'FERC 2021'!$EA$3:$EN$221,11,0),"")</f>
        <v/>
      </c>
      <c r="AG210" s="72" t="str">
        <f>IFERROR(VLOOKUP($D210,'FERC 2022'!$EA$3:$EN$220,11,0),"")</f>
        <v/>
      </c>
      <c r="AH210" s="72" t="str">
        <f>IFERROR(VLOOKUP($D210,'FERC 2023'!$EA$3:$EN$221,11,0),"")</f>
        <v/>
      </c>
      <c r="AI210" s="72" t="str">
        <f>IFERROR(VLOOKUP($D210,'FERC 2021'!$EA$3:$EN$221,12,0),"")</f>
        <v/>
      </c>
      <c r="AJ210" s="72" t="str">
        <f>IFERROR(VLOOKUP($D210,'FERC 2022'!$EA$3:$EN$220,12,0),"")</f>
        <v/>
      </c>
      <c r="AK210" s="72" t="str">
        <f>IFERROR(VLOOKUP($D210,'FERC 2023'!$EA$3:$EN$221,12,0),"")</f>
        <v/>
      </c>
      <c r="AL210" s="72" t="str">
        <f>VLOOKUP($D210,'FERC 2021'!$EA$3:$EN$221,13,0)</f>
        <v/>
      </c>
      <c r="AM210" s="72" t="e">
        <f>VLOOKUP($D210,'FERC 2022'!$EA$3:$EN$220,13,0)</f>
        <v>#N/A</v>
      </c>
      <c r="AN210" s="72" t="str">
        <f>VLOOKUP($D210,'FERC 2023'!$EA$3:$EN$221,13,0)</f>
        <v/>
      </c>
      <c r="AO210" s="72" t="str">
        <f>IFERROR(VLOOKUP($D210,'FERC 2021'!$EA$3:$EN$221,14,0),"")</f>
        <v/>
      </c>
      <c r="AP210" s="72" t="str">
        <f>IFERROR(VLOOKUP($D210,'FERC 2022'!$EA$3:$EN$220,14,0),"")</f>
        <v/>
      </c>
      <c r="AQ210" s="72" t="str">
        <f>IFERROR(VLOOKUP($D210,'FERC 2023'!$EA$3:$EN$221,14,0),"")</f>
        <v/>
      </c>
    </row>
    <row r="211" spans="1:43" ht="15.75" hidden="1" customHeight="1">
      <c r="A211" s="7" t="s">
        <v>829</v>
      </c>
      <c r="B211" s="7" t="s">
        <v>830</v>
      </c>
      <c r="C211" s="311" t="str">
        <f>'BD DEA'!P211</f>
        <v/>
      </c>
      <c r="D211" s="44" t="str">
        <f t="shared" si="0"/>
        <v>C010474</v>
      </c>
      <c r="E211" s="72" t="str">
        <f>IFERROR(VLOOKUP($D211,'FERC 2021'!$EA$3:$EN$221,2,0),"")</f>
        <v/>
      </c>
      <c r="F211" s="72" t="str">
        <f>IFERROR(VLOOKUP($D211,'FERC 2022'!$EA$3:$EN$220,2,0),"")</f>
        <v/>
      </c>
      <c r="G211" s="72" t="str">
        <f>IFERROR(VLOOKUP($D211,'FERC 2023'!$EA$3:$EN$221,2,0),"")</f>
        <v/>
      </c>
      <c r="H211" s="72" t="str">
        <f>IFERROR(VLOOKUP($D211,'FERC 2021'!$EA$3:$EN$225,3,0),"")</f>
        <v/>
      </c>
      <c r="I211" s="72" t="str">
        <f>IFERROR(VLOOKUP($D211,'FERC 2022'!$EA$3:$EN$229,3,0),"")</f>
        <v/>
      </c>
      <c r="J211" s="72" t="str">
        <f>IFERROR(VLOOKUP($D211,'FERC 2023'!$EA$3:$EN$229,3,0),"")</f>
        <v/>
      </c>
      <c r="K211" s="72" t="str">
        <f>IFERROR(VLOOKUP($D211,'FERC 2021'!$EA$3:$EN$229,4,0),"")</f>
        <v/>
      </c>
      <c r="L211" s="72" t="str">
        <f>IFERROR(VLOOKUP($D211,'FERC 2022'!$EA$3:$EN$220,4,0),"")</f>
        <v/>
      </c>
      <c r="M211" s="72" t="str">
        <f>IFERROR(VLOOKUP($D211,'FERC 2023'!$EA$3:$EN$221,4,0),"")</f>
        <v/>
      </c>
      <c r="N211" s="72" t="str">
        <f>IFERROR(VLOOKUP($D211,'FERC 2021'!$EA$3:$EN$221,5,0),"")</f>
        <v/>
      </c>
      <c r="O211" s="72" t="str">
        <f>IFERROR(VLOOKUP($D211,'FERC 2022'!$EA$3:$EN$220,5,0),"")</f>
        <v/>
      </c>
      <c r="P211" s="72" t="str">
        <f>IFERROR(VLOOKUP($D211,'FERC 2023'!$EA$3:$EN$221,5,0),"")</f>
        <v/>
      </c>
      <c r="Q211" s="72" t="str">
        <f>IFERROR(VLOOKUP($D211,'FERC 2021'!$EA$3:$EN$221,6,0),"")</f>
        <v/>
      </c>
      <c r="R211" s="72" t="str">
        <f>IFERROR(VLOOKUP($D211,'FERC 2022'!$EA$3:$EN$220,6,0),"")</f>
        <v/>
      </c>
      <c r="S211" s="72" t="str">
        <f>IFERROR(VLOOKUP($D211,'FERC 2023'!$EA$3:$EN$221,6,0),"")</f>
        <v/>
      </c>
      <c r="T211" s="72" t="str">
        <f>IFERROR(VLOOKUP($D211,'FERC 2021'!$EA$3:$EN$221,7,0),"")</f>
        <v/>
      </c>
      <c r="U211" s="72" t="str">
        <f>IFERROR(VLOOKUP($D211,'FERC 2022'!$EA$3:$EN$220,7,0),"")</f>
        <v/>
      </c>
      <c r="V211" s="72" t="str">
        <f>IFERROR(VLOOKUP($D211,'FERC 2023'!$EA$3:$EN$221,7,0),"")</f>
        <v/>
      </c>
      <c r="W211" s="72" t="str">
        <f>IFERROR(VLOOKUP($D211,'FERC 2021'!$EA$3:$EN$221,8,0),"")</f>
        <v/>
      </c>
      <c r="X211" s="72" t="str">
        <f>IFERROR(VLOOKUP($D211,'FERC 2022'!$EA$3:$EN$220,8,0),"")</f>
        <v/>
      </c>
      <c r="Y211" s="72" t="str">
        <f>IFERROR(VLOOKUP($D211,'FERC 2023'!$EA$3:$EN$221,8,0),"")</f>
        <v/>
      </c>
      <c r="Z211" s="72" t="str">
        <f>IFERROR(VLOOKUP($D211,'FERC 2021'!$EA$3:$EN$222,9,0),"")</f>
        <v/>
      </c>
      <c r="AA211" s="72" t="str">
        <f>IFERROR(VLOOKUP($D211,'FERC 2022'!$EA$3:$EN$220,9,0),"")</f>
        <v/>
      </c>
      <c r="AB211" s="72" t="str">
        <f>IFERROR(VLOOKUP($D211,'FERC 2023'!$EA$3:$EN$221,9,0),"")</f>
        <v/>
      </c>
      <c r="AC211" s="72" t="str">
        <f>IFERROR(VLOOKUP($D211,'FERC 2021'!$EA$3:$EN$221,10,0),"")</f>
        <v/>
      </c>
      <c r="AD211" s="72" t="str">
        <f>IFERROR(VLOOKUP($D211,'FERC 2022'!$EA$3:$EN$220,10,0),"")</f>
        <v/>
      </c>
      <c r="AE211" s="72" t="str">
        <f>IFERROR(VLOOKUP($D211,'FERC 2023'!$EA$3:$EN$221,10,0),"")</f>
        <v/>
      </c>
      <c r="AF211" s="72" t="str">
        <f>IFERROR(VLOOKUP($D211,'FERC 2021'!$EA$3:$EN$221,11,0),"")</f>
        <v/>
      </c>
      <c r="AG211" s="72" t="str">
        <f>IFERROR(VLOOKUP($D211,'FERC 2022'!$EA$3:$EN$220,11,0),"")</f>
        <v/>
      </c>
      <c r="AH211" s="72" t="str">
        <f>IFERROR(VLOOKUP($D211,'FERC 2023'!$EA$3:$EN$221,11,0),"")</f>
        <v/>
      </c>
      <c r="AI211" s="72" t="str">
        <f>IFERROR(VLOOKUP($D211,'FERC 2021'!$EA$3:$EN$221,12,0),"")</f>
        <v/>
      </c>
      <c r="AJ211" s="72" t="str">
        <f>IFERROR(VLOOKUP($D211,'FERC 2022'!$EA$3:$EN$220,12,0),"")</f>
        <v/>
      </c>
      <c r="AK211" s="72" t="str">
        <f>IFERROR(VLOOKUP($D211,'FERC 2023'!$EA$3:$EN$221,12,0),"")</f>
        <v/>
      </c>
      <c r="AL211" s="72" t="str">
        <f>VLOOKUP($D211,'FERC 2021'!$EA$3:$EN$221,13,0)</f>
        <v/>
      </c>
      <c r="AM211" s="72" t="e">
        <f>VLOOKUP($D211,'FERC 2022'!$EA$3:$EN$220,13,0)</f>
        <v>#N/A</v>
      </c>
      <c r="AN211" s="72" t="str">
        <f>VLOOKUP($D211,'FERC 2023'!$EA$3:$EN$221,13,0)</f>
        <v/>
      </c>
      <c r="AO211" s="72" t="str">
        <f>IFERROR(VLOOKUP($D211,'FERC 2021'!$EA$3:$EN$221,14,0),"")</f>
        <v/>
      </c>
      <c r="AP211" s="72" t="str">
        <f>IFERROR(VLOOKUP($D211,'FERC 2022'!$EA$3:$EN$220,14,0),"")</f>
        <v/>
      </c>
      <c r="AQ211" s="72" t="str">
        <f>IFERROR(VLOOKUP($D211,'FERC 2023'!$EA$3:$EN$221,14,0),"")</f>
        <v/>
      </c>
    </row>
    <row r="212" spans="1:43" ht="15.75" hidden="1" customHeight="1">
      <c r="A212" s="7" t="s">
        <v>832</v>
      </c>
      <c r="B212" s="7" t="s">
        <v>833</v>
      </c>
      <c r="C212" s="311" t="str">
        <f>'BD DEA'!P212</f>
        <v/>
      </c>
      <c r="D212" s="44" t="str">
        <f t="shared" si="0"/>
        <v>C010523</v>
      </c>
      <c r="E212" s="72" t="str">
        <f>IFERROR(VLOOKUP($D212,'FERC 2021'!$EA$3:$EN$221,2,0),"")</f>
        <v/>
      </c>
      <c r="F212" s="72" t="str">
        <f>IFERROR(VLOOKUP($D212,'FERC 2022'!$EA$3:$EN$220,2,0),"")</f>
        <v/>
      </c>
      <c r="G212" s="72" t="str">
        <f>IFERROR(VLOOKUP($D212,'FERC 2023'!$EA$3:$EN$221,2,0),"")</f>
        <v/>
      </c>
      <c r="H212" s="72" t="str">
        <f>IFERROR(VLOOKUP($D212,'FERC 2021'!$EA$3:$EN$225,3,0),"")</f>
        <v/>
      </c>
      <c r="I212" s="72" t="str">
        <f>IFERROR(VLOOKUP($D212,'FERC 2022'!$EA$3:$EN$229,3,0),"")</f>
        <v/>
      </c>
      <c r="J212" s="72" t="str">
        <f>IFERROR(VLOOKUP($D212,'FERC 2023'!$EA$3:$EN$229,3,0),"")</f>
        <v/>
      </c>
      <c r="K212" s="72" t="str">
        <f>IFERROR(VLOOKUP($D212,'FERC 2021'!$EA$3:$EN$229,4,0),"")</f>
        <v/>
      </c>
      <c r="L212" s="72" t="str">
        <f>IFERROR(VLOOKUP($D212,'FERC 2022'!$EA$3:$EN$220,4,0),"")</f>
        <v/>
      </c>
      <c r="M212" s="72" t="str">
        <f>IFERROR(VLOOKUP($D212,'FERC 2023'!$EA$3:$EN$221,4,0),"")</f>
        <v/>
      </c>
      <c r="N212" s="72" t="str">
        <f>IFERROR(VLOOKUP($D212,'FERC 2021'!$EA$3:$EN$221,5,0),"")</f>
        <v/>
      </c>
      <c r="O212" s="72" t="str">
        <f>IFERROR(VLOOKUP($D212,'FERC 2022'!$EA$3:$EN$220,5,0),"")</f>
        <v/>
      </c>
      <c r="P212" s="72" t="str">
        <f>IFERROR(VLOOKUP($D212,'FERC 2023'!$EA$3:$EN$221,5,0),"")</f>
        <v/>
      </c>
      <c r="Q212" s="72" t="str">
        <f>IFERROR(VLOOKUP($D212,'FERC 2021'!$EA$3:$EN$221,6,0),"")</f>
        <v/>
      </c>
      <c r="R212" s="72" t="str">
        <f>IFERROR(VLOOKUP($D212,'FERC 2022'!$EA$3:$EN$220,6,0),"")</f>
        <v/>
      </c>
      <c r="S212" s="72" t="str">
        <f>IFERROR(VLOOKUP($D212,'FERC 2023'!$EA$3:$EN$221,6,0),"")</f>
        <v/>
      </c>
      <c r="T212" s="72" t="str">
        <f>IFERROR(VLOOKUP($D212,'FERC 2021'!$EA$3:$EN$221,7,0),"")</f>
        <v/>
      </c>
      <c r="U212" s="72" t="str">
        <f>IFERROR(VLOOKUP($D212,'FERC 2022'!$EA$3:$EN$220,7,0),"")</f>
        <v/>
      </c>
      <c r="V212" s="72" t="str">
        <f>IFERROR(VLOOKUP($D212,'FERC 2023'!$EA$3:$EN$221,7,0),"")</f>
        <v/>
      </c>
      <c r="W212" s="72" t="str">
        <f>IFERROR(VLOOKUP($D212,'FERC 2021'!$EA$3:$EN$221,8,0),"")</f>
        <v/>
      </c>
      <c r="X212" s="72" t="str">
        <f>IFERROR(VLOOKUP($D212,'FERC 2022'!$EA$3:$EN$220,8,0),"")</f>
        <v/>
      </c>
      <c r="Y212" s="72" t="str">
        <f>IFERROR(VLOOKUP($D212,'FERC 2023'!$EA$3:$EN$221,8,0),"")</f>
        <v/>
      </c>
      <c r="Z212" s="72" t="str">
        <f>IFERROR(VLOOKUP($D212,'FERC 2021'!$EA$3:$EN$222,9,0),"")</f>
        <v/>
      </c>
      <c r="AA212" s="72" t="str">
        <f>IFERROR(VLOOKUP($D212,'FERC 2022'!$EA$3:$EN$220,9,0),"")</f>
        <v/>
      </c>
      <c r="AB212" s="72" t="str">
        <f>IFERROR(VLOOKUP($D212,'FERC 2023'!$EA$3:$EN$221,9,0),"")</f>
        <v/>
      </c>
      <c r="AC212" s="72" t="str">
        <f>IFERROR(VLOOKUP($D212,'FERC 2021'!$EA$3:$EN$221,10,0),"")</f>
        <v/>
      </c>
      <c r="AD212" s="72" t="str">
        <f>IFERROR(VLOOKUP($D212,'FERC 2022'!$EA$3:$EN$220,10,0),"")</f>
        <v/>
      </c>
      <c r="AE212" s="72" t="str">
        <f>IFERROR(VLOOKUP($D212,'FERC 2023'!$EA$3:$EN$221,10,0),"")</f>
        <v/>
      </c>
      <c r="AF212" s="72" t="str">
        <f>IFERROR(VLOOKUP($D212,'FERC 2021'!$EA$3:$EN$221,11,0),"")</f>
        <v/>
      </c>
      <c r="AG212" s="72" t="str">
        <f>IFERROR(VLOOKUP($D212,'FERC 2022'!$EA$3:$EN$220,11,0),"")</f>
        <v/>
      </c>
      <c r="AH212" s="72" t="str">
        <f>IFERROR(VLOOKUP($D212,'FERC 2023'!$EA$3:$EN$221,11,0),"")</f>
        <v/>
      </c>
      <c r="AI212" s="72" t="str">
        <f>IFERROR(VLOOKUP($D212,'FERC 2021'!$EA$3:$EN$221,12,0),"")</f>
        <v/>
      </c>
      <c r="AJ212" s="72" t="str">
        <f>IFERROR(VLOOKUP($D212,'FERC 2022'!$EA$3:$EN$220,12,0),"")</f>
        <v/>
      </c>
      <c r="AK212" s="72" t="str">
        <f>IFERROR(VLOOKUP($D212,'FERC 2023'!$EA$3:$EN$221,12,0),"")</f>
        <v/>
      </c>
      <c r="AL212" s="72" t="str">
        <f>VLOOKUP($D212,'FERC 2021'!$EA$3:$EN$221,13,0)</f>
        <v/>
      </c>
      <c r="AM212" s="72" t="e">
        <f>VLOOKUP($D212,'FERC 2022'!$EA$3:$EN$220,13,0)</f>
        <v>#N/A</v>
      </c>
      <c r="AN212" s="72" t="str">
        <f>VLOOKUP($D212,'FERC 2023'!$EA$3:$EN$221,13,0)</f>
        <v/>
      </c>
      <c r="AO212" s="72" t="str">
        <f>IFERROR(VLOOKUP($D212,'FERC 2021'!$EA$3:$EN$221,14,0),"")</f>
        <v/>
      </c>
      <c r="AP212" s="72" t="str">
        <f>IFERROR(VLOOKUP($D212,'FERC 2022'!$EA$3:$EN$220,14,0),"")</f>
        <v/>
      </c>
      <c r="AQ212" s="72" t="str">
        <f>IFERROR(VLOOKUP($D212,'FERC 2023'!$EA$3:$EN$221,14,0),"")</f>
        <v/>
      </c>
    </row>
    <row r="213" spans="1:43" ht="15.75" hidden="1" customHeight="1">
      <c r="A213" s="7" t="s">
        <v>835</v>
      </c>
      <c r="B213" s="7" t="s">
        <v>836</v>
      </c>
      <c r="C213" s="311" t="str">
        <f>'BD DEA'!P213</f>
        <v/>
      </c>
      <c r="D213" s="44" t="str">
        <f t="shared" si="0"/>
        <v>C010845</v>
      </c>
      <c r="E213" s="72" t="str">
        <f>IFERROR(VLOOKUP($D213,'FERC 2021'!$EA$3:$EN$221,2,0),"")</f>
        <v/>
      </c>
      <c r="F213" s="72" t="str">
        <f>IFERROR(VLOOKUP($D213,'FERC 2022'!$EA$3:$EN$220,2,0),"")</f>
        <v/>
      </c>
      <c r="G213" s="72" t="str">
        <f>IFERROR(VLOOKUP($D213,'FERC 2023'!$EA$3:$EN$221,2,0),"")</f>
        <v/>
      </c>
      <c r="H213" s="72" t="str">
        <f>IFERROR(VLOOKUP($D213,'FERC 2021'!$EA$3:$EN$225,3,0),"")</f>
        <v/>
      </c>
      <c r="I213" s="72" t="str">
        <f>IFERROR(VLOOKUP($D213,'FERC 2022'!$EA$3:$EN$229,3,0),"")</f>
        <v/>
      </c>
      <c r="J213" s="72" t="str">
        <f>IFERROR(VLOOKUP($D213,'FERC 2023'!$EA$3:$EN$229,3,0),"")</f>
        <v/>
      </c>
      <c r="K213" s="72" t="str">
        <f>IFERROR(VLOOKUP($D213,'FERC 2021'!$EA$3:$EN$229,4,0),"")</f>
        <v/>
      </c>
      <c r="L213" s="72" t="str">
        <f>IFERROR(VLOOKUP($D213,'FERC 2022'!$EA$3:$EN$220,4,0),"")</f>
        <v/>
      </c>
      <c r="M213" s="72" t="str">
        <f>IFERROR(VLOOKUP($D213,'FERC 2023'!$EA$3:$EN$221,4,0),"")</f>
        <v/>
      </c>
      <c r="N213" s="72" t="str">
        <f>IFERROR(VLOOKUP($D213,'FERC 2021'!$EA$3:$EN$221,5,0),"")</f>
        <v/>
      </c>
      <c r="O213" s="72" t="str">
        <f>IFERROR(VLOOKUP($D213,'FERC 2022'!$EA$3:$EN$220,5,0),"")</f>
        <v/>
      </c>
      <c r="P213" s="72" t="str">
        <f>IFERROR(VLOOKUP($D213,'FERC 2023'!$EA$3:$EN$221,5,0),"")</f>
        <v/>
      </c>
      <c r="Q213" s="72" t="str">
        <f>IFERROR(VLOOKUP($D213,'FERC 2021'!$EA$3:$EN$221,6,0),"")</f>
        <v/>
      </c>
      <c r="R213" s="72" t="str">
        <f>IFERROR(VLOOKUP($D213,'FERC 2022'!$EA$3:$EN$220,6,0),"")</f>
        <v/>
      </c>
      <c r="S213" s="72" t="str">
        <f>IFERROR(VLOOKUP($D213,'FERC 2023'!$EA$3:$EN$221,6,0),"")</f>
        <v/>
      </c>
      <c r="T213" s="72" t="str">
        <f>IFERROR(VLOOKUP($D213,'FERC 2021'!$EA$3:$EN$221,7,0),"")</f>
        <v/>
      </c>
      <c r="U213" s="72" t="str">
        <f>IFERROR(VLOOKUP($D213,'FERC 2022'!$EA$3:$EN$220,7,0),"")</f>
        <v/>
      </c>
      <c r="V213" s="72" t="str">
        <f>IFERROR(VLOOKUP($D213,'FERC 2023'!$EA$3:$EN$221,7,0),"")</f>
        <v/>
      </c>
      <c r="W213" s="72" t="str">
        <f>IFERROR(VLOOKUP($D213,'FERC 2021'!$EA$3:$EN$221,8,0),"")</f>
        <v/>
      </c>
      <c r="X213" s="72" t="str">
        <f>IFERROR(VLOOKUP($D213,'FERC 2022'!$EA$3:$EN$220,8,0),"")</f>
        <v/>
      </c>
      <c r="Y213" s="72" t="str">
        <f>IFERROR(VLOOKUP($D213,'FERC 2023'!$EA$3:$EN$221,8,0),"")</f>
        <v/>
      </c>
      <c r="Z213" s="72" t="str">
        <f>IFERROR(VLOOKUP($D213,'FERC 2021'!$EA$3:$EN$222,9,0),"")</f>
        <v/>
      </c>
      <c r="AA213" s="72" t="str">
        <f>IFERROR(VLOOKUP($D213,'FERC 2022'!$EA$3:$EN$220,9,0),"")</f>
        <v/>
      </c>
      <c r="AB213" s="72" t="str">
        <f>IFERROR(VLOOKUP($D213,'FERC 2023'!$EA$3:$EN$221,9,0),"")</f>
        <v/>
      </c>
      <c r="AC213" s="72" t="str">
        <f>IFERROR(VLOOKUP($D213,'FERC 2021'!$EA$3:$EN$221,10,0),"")</f>
        <v/>
      </c>
      <c r="AD213" s="72" t="str">
        <f>IFERROR(VLOOKUP($D213,'FERC 2022'!$EA$3:$EN$220,10,0),"")</f>
        <v/>
      </c>
      <c r="AE213" s="72" t="str">
        <f>IFERROR(VLOOKUP($D213,'FERC 2023'!$EA$3:$EN$221,10,0),"")</f>
        <v/>
      </c>
      <c r="AF213" s="72" t="str">
        <f>IFERROR(VLOOKUP($D213,'FERC 2021'!$EA$3:$EN$221,11,0),"")</f>
        <v/>
      </c>
      <c r="AG213" s="72" t="str">
        <f>IFERROR(VLOOKUP($D213,'FERC 2022'!$EA$3:$EN$220,11,0),"")</f>
        <v/>
      </c>
      <c r="AH213" s="72" t="str">
        <f>IFERROR(VLOOKUP($D213,'FERC 2023'!$EA$3:$EN$221,11,0),"")</f>
        <v/>
      </c>
      <c r="AI213" s="72" t="str">
        <f>IFERROR(VLOOKUP($D213,'FERC 2021'!$EA$3:$EN$221,12,0),"")</f>
        <v/>
      </c>
      <c r="AJ213" s="72" t="str">
        <f>IFERROR(VLOOKUP($D213,'FERC 2022'!$EA$3:$EN$220,12,0),"")</f>
        <v/>
      </c>
      <c r="AK213" s="72" t="str">
        <f>IFERROR(VLOOKUP($D213,'FERC 2023'!$EA$3:$EN$221,12,0),"")</f>
        <v/>
      </c>
      <c r="AL213" s="72" t="str">
        <f>VLOOKUP($D213,'FERC 2021'!$EA$3:$EN$221,13,0)</f>
        <v/>
      </c>
      <c r="AM213" s="72" t="e">
        <f>VLOOKUP($D213,'FERC 2022'!$EA$3:$EN$220,13,0)</f>
        <v>#N/A</v>
      </c>
      <c r="AN213" s="72" t="str">
        <f>VLOOKUP($D213,'FERC 2023'!$EA$3:$EN$221,13,0)</f>
        <v/>
      </c>
      <c r="AO213" s="72" t="str">
        <f>IFERROR(VLOOKUP($D213,'FERC 2021'!$EA$3:$EN$221,14,0),"")</f>
        <v/>
      </c>
      <c r="AP213" s="72" t="str">
        <f>IFERROR(VLOOKUP($D213,'FERC 2022'!$EA$3:$EN$220,14,0),"")</f>
        <v/>
      </c>
      <c r="AQ213" s="72" t="str">
        <f>IFERROR(VLOOKUP($D213,'FERC 2023'!$EA$3:$EN$221,14,0),"")</f>
        <v/>
      </c>
    </row>
    <row r="214" spans="1:43" ht="15.75" hidden="1" customHeight="1">
      <c r="A214" s="7" t="s">
        <v>1316</v>
      </c>
      <c r="B214" s="7" t="s">
        <v>1317</v>
      </c>
      <c r="C214" s="311" t="str">
        <f>'BD DEA'!P214</f>
        <v/>
      </c>
      <c r="D214" s="44" t="str">
        <f t="shared" si="0"/>
        <v>C010996</v>
      </c>
      <c r="E214" s="72" t="str">
        <f>IFERROR(VLOOKUP($D214,'FERC 2021'!$EA$3:$EN$221,2,0),"")</f>
        <v/>
      </c>
      <c r="F214" s="72" t="str">
        <f>IFERROR(VLOOKUP($D214,'FERC 2022'!$EA$3:$EN$220,2,0),"")</f>
        <v/>
      </c>
      <c r="G214" s="72" t="str">
        <f>IFERROR(VLOOKUP($D214,'FERC 2023'!$EA$3:$EN$221,2,0),"")</f>
        <v/>
      </c>
      <c r="H214" s="72" t="str">
        <f>IFERROR(VLOOKUP($D214,'FERC 2021'!$EA$3:$EN$225,3,0),"")</f>
        <v/>
      </c>
      <c r="I214" s="72" t="str">
        <f>IFERROR(VLOOKUP($D214,'FERC 2022'!$EA$3:$EN$229,3,0),"")</f>
        <v/>
      </c>
      <c r="J214" s="72" t="str">
        <f>IFERROR(VLOOKUP($D214,'FERC 2023'!$EA$3:$EN$229,3,0),"")</f>
        <v/>
      </c>
      <c r="K214" s="72" t="str">
        <f>IFERROR(VLOOKUP($D214,'FERC 2021'!$EA$3:$EN$229,4,0),"")</f>
        <v/>
      </c>
      <c r="L214" s="72" t="str">
        <f>IFERROR(VLOOKUP($D214,'FERC 2022'!$EA$3:$EN$220,4,0),"")</f>
        <v/>
      </c>
      <c r="M214" s="72" t="str">
        <f>IFERROR(VLOOKUP($D214,'FERC 2023'!$EA$3:$EN$221,4,0),"")</f>
        <v/>
      </c>
      <c r="N214" s="72" t="str">
        <f>IFERROR(VLOOKUP($D214,'FERC 2021'!$EA$3:$EN$221,5,0),"")</f>
        <v/>
      </c>
      <c r="O214" s="72" t="str">
        <f>IFERROR(VLOOKUP($D214,'FERC 2022'!$EA$3:$EN$220,5,0),"")</f>
        <v/>
      </c>
      <c r="P214" s="72" t="str">
        <f>IFERROR(VLOOKUP($D214,'FERC 2023'!$EA$3:$EN$221,5,0),"")</f>
        <v/>
      </c>
      <c r="Q214" s="72" t="str">
        <f>IFERROR(VLOOKUP($D214,'FERC 2021'!$EA$3:$EN$221,6,0),"")</f>
        <v/>
      </c>
      <c r="R214" s="72" t="str">
        <f>IFERROR(VLOOKUP($D214,'FERC 2022'!$EA$3:$EN$220,6,0),"")</f>
        <v/>
      </c>
      <c r="S214" s="72" t="str">
        <f>IFERROR(VLOOKUP($D214,'FERC 2023'!$EA$3:$EN$221,6,0),"")</f>
        <v/>
      </c>
      <c r="T214" s="72" t="str">
        <f>IFERROR(VLOOKUP($D214,'FERC 2021'!$EA$3:$EN$221,7,0),"")</f>
        <v/>
      </c>
      <c r="U214" s="72" t="str">
        <f>IFERROR(VLOOKUP($D214,'FERC 2022'!$EA$3:$EN$220,7,0),"")</f>
        <v/>
      </c>
      <c r="V214" s="72" t="str">
        <f>IFERROR(VLOOKUP($D214,'FERC 2023'!$EA$3:$EN$221,7,0),"")</f>
        <v/>
      </c>
      <c r="W214" s="72" t="str">
        <f>IFERROR(VLOOKUP($D214,'FERC 2021'!$EA$3:$EN$221,8,0),"")</f>
        <v/>
      </c>
      <c r="X214" s="72" t="str">
        <f>IFERROR(VLOOKUP($D214,'FERC 2022'!$EA$3:$EN$220,8,0),"")</f>
        <v/>
      </c>
      <c r="Y214" s="72" t="str">
        <f>IFERROR(VLOOKUP($D214,'FERC 2023'!$EA$3:$EN$221,8,0),"")</f>
        <v/>
      </c>
      <c r="Z214" s="72" t="str">
        <f>IFERROR(VLOOKUP($D214,'FERC 2021'!$EA$3:$EN$222,9,0),"")</f>
        <v/>
      </c>
      <c r="AA214" s="72" t="str">
        <f>IFERROR(VLOOKUP($D214,'FERC 2022'!$EA$3:$EN$220,9,0),"")</f>
        <v/>
      </c>
      <c r="AB214" s="72" t="str">
        <f>IFERROR(VLOOKUP($D214,'FERC 2023'!$EA$3:$EN$221,9,0),"")</f>
        <v/>
      </c>
      <c r="AC214" s="72" t="str">
        <f>IFERROR(VLOOKUP($D214,'FERC 2021'!$EA$3:$EN$221,10,0),"")</f>
        <v/>
      </c>
      <c r="AD214" s="72" t="str">
        <f>IFERROR(VLOOKUP($D214,'FERC 2022'!$EA$3:$EN$220,10,0),"")</f>
        <v/>
      </c>
      <c r="AE214" s="72" t="str">
        <f>IFERROR(VLOOKUP($D214,'FERC 2023'!$EA$3:$EN$221,10,0),"")</f>
        <v/>
      </c>
      <c r="AF214" s="72" t="str">
        <f>IFERROR(VLOOKUP($D214,'FERC 2021'!$EA$3:$EN$221,11,0),"")</f>
        <v/>
      </c>
      <c r="AG214" s="72" t="str">
        <f>IFERROR(VLOOKUP($D214,'FERC 2022'!$EA$3:$EN$220,11,0),"")</f>
        <v/>
      </c>
      <c r="AH214" s="72" t="str">
        <f>IFERROR(VLOOKUP($D214,'FERC 2023'!$EA$3:$EN$221,11,0),"")</f>
        <v/>
      </c>
      <c r="AI214" s="72" t="str">
        <f>IFERROR(VLOOKUP($D214,'FERC 2021'!$EA$3:$EN$221,12,0),"")</f>
        <v/>
      </c>
      <c r="AJ214" s="72" t="str">
        <f>IFERROR(VLOOKUP($D214,'FERC 2022'!$EA$3:$EN$220,12,0),"")</f>
        <v/>
      </c>
      <c r="AK214" s="72" t="str">
        <f>IFERROR(VLOOKUP($D214,'FERC 2023'!$EA$3:$EN$221,12,0),"")</f>
        <v/>
      </c>
      <c r="AL214" s="72" t="e">
        <f>VLOOKUP($D214,'FERC 2021'!$EA$3:$EN$221,13,0)</f>
        <v>#N/A</v>
      </c>
      <c r="AM214" s="72" t="e">
        <f>VLOOKUP($D214,'FERC 2022'!$EA$3:$EN$220,13,0)</f>
        <v>#N/A</v>
      </c>
      <c r="AN214" s="72" t="e">
        <f>VLOOKUP($D214,'FERC 2023'!$EA$3:$EN$221,13,0)</f>
        <v>#N/A</v>
      </c>
      <c r="AO214" s="72" t="str">
        <f>IFERROR(VLOOKUP($D214,'FERC 2021'!$EA$3:$EN$221,14,0),"")</f>
        <v/>
      </c>
      <c r="AP214" s="72" t="str">
        <f>IFERROR(VLOOKUP($D214,'FERC 2022'!$EA$3:$EN$220,14,0),"")</f>
        <v/>
      </c>
      <c r="AQ214" s="72" t="str">
        <f>IFERROR(VLOOKUP($D214,'FERC 2023'!$EA$3:$EN$221,14,0),"")</f>
        <v/>
      </c>
    </row>
    <row r="215" spans="1:43" ht="15.75" hidden="1" customHeight="1">
      <c r="A215" s="7" t="s">
        <v>838</v>
      </c>
      <c r="B215" s="7" t="s">
        <v>839</v>
      </c>
      <c r="C215" s="311" t="str">
        <f>'BD DEA'!P215</f>
        <v/>
      </c>
      <c r="D215" s="44" t="str">
        <f t="shared" si="0"/>
        <v>C011100</v>
      </c>
      <c r="E215" s="72">
        <f>IFERROR(VLOOKUP($D215,'FERC 2021'!$EA$3:$EN$221,2,0),"")</f>
        <v>775293367.55621374</v>
      </c>
      <c r="F215" s="72" t="str">
        <f>IFERROR(VLOOKUP($D215,'FERC 2022'!$EA$3:$EN$220,2,0),"")</f>
        <v/>
      </c>
      <c r="G215" s="72">
        <f>IFERROR(VLOOKUP($D215,'FERC 2023'!$EA$3:$EN$221,2,0),"")</f>
        <v>867698847.85692692</v>
      </c>
      <c r="H215" s="72">
        <f>IFERROR(VLOOKUP($D215,'FERC 2021'!$EA$3:$EN$225,3,0),"")</f>
        <v>51733367.964317344</v>
      </c>
      <c r="I215" s="72" t="str">
        <f>IFERROR(VLOOKUP($D215,'FERC 2022'!$EA$3:$EN$229,3,0),"")</f>
        <v/>
      </c>
      <c r="J215" s="72">
        <f>IFERROR(VLOOKUP($D215,'FERC 2023'!$EA$3:$EN$229,3,0),"")</f>
        <v>56421654.389321379</v>
      </c>
      <c r="K215" s="72">
        <f>IFERROR(VLOOKUP($D215,'FERC 2021'!$EA$3:$EN$229,4,0),"")</f>
        <v>29745002.539719883</v>
      </c>
      <c r="L215" s="72" t="str">
        <f>IFERROR(VLOOKUP($D215,'FERC 2022'!$EA$3:$EN$220,4,0),"")</f>
        <v/>
      </c>
      <c r="M215" s="72">
        <f>IFERROR(VLOOKUP($D215,'FERC 2023'!$EA$3:$EN$221,4,0),"")</f>
        <v>27004755.053592298</v>
      </c>
      <c r="N215" s="72">
        <f>IFERROR(VLOOKUP($D215,'FERC 2021'!$EA$3:$EN$221,5,0),"")</f>
        <v>13320956.362421807</v>
      </c>
      <c r="O215" s="72" t="str">
        <f>IFERROR(VLOOKUP($D215,'FERC 2022'!$EA$3:$EN$220,5,0),"")</f>
        <v/>
      </c>
      <c r="P215" s="72">
        <f>IFERROR(VLOOKUP($D215,'FERC 2023'!$EA$3:$EN$221,5,0),"")</f>
        <v>11930372.463214895</v>
      </c>
      <c r="Q215" s="72">
        <f>IFERROR(VLOOKUP($D215,'FERC 2021'!$EA$3:$EN$221,6,0),"")</f>
        <v>21304899.499141272</v>
      </c>
      <c r="R215" s="72" t="str">
        <f>IFERROR(VLOOKUP($D215,'FERC 2022'!$EA$3:$EN$220,6,0),"")</f>
        <v/>
      </c>
      <c r="S215" s="72">
        <f>IFERROR(VLOOKUP($D215,'FERC 2023'!$EA$3:$EN$221,6,0),"")</f>
        <v>18789484.979465019</v>
      </c>
      <c r="T215" s="72">
        <f>IFERROR(VLOOKUP($D215,'FERC 2021'!$EA$3:$EN$221,7,0),"")</f>
        <v>350</v>
      </c>
      <c r="U215" s="72" t="str">
        <f>IFERROR(VLOOKUP($D215,'FERC 2022'!$EA$3:$EN$220,7,0),"")</f>
        <v/>
      </c>
      <c r="V215" s="72">
        <f>IFERROR(VLOOKUP($D215,'FERC 2023'!$EA$3:$EN$221,7,0),"")</f>
        <v>323</v>
      </c>
      <c r="W215" s="72">
        <f>IFERROR(VLOOKUP($D215,'FERC 2021'!$EA$3:$EN$221,8,0),"")</f>
        <v>112802</v>
      </c>
      <c r="X215" s="72" t="str">
        <f>IFERROR(VLOOKUP($D215,'FERC 2022'!$EA$3:$EN$220,8,0),"")</f>
        <v/>
      </c>
      <c r="Y215" s="72">
        <f>IFERROR(VLOOKUP($D215,'FERC 2023'!$EA$3:$EN$221,8,0),"")</f>
        <v>113257</v>
      </c>
      <c r="Z215" s="72">
        <f>IFERROR(VLOOKUP($D215,'FERC 2021'!$EA$3:$EN$222,9,0),"")</f>
        <v>102669</v>
      </c>
      <c r="AA215" s="72" t="str">
        <f>IFERROR(VLOOKUP($D215,'FERC 2022'!$EA$3:$EN$220,9,0),"")</f>
        <v/>
      </c>
      <c r="AB215" s="72">
        <f>IFERROR(VLOOKUP($D215,'FERC 2023'!$EA$3:$EN$221,9,0),"")</f>
        <v>92521</v>
      </c>
      <c r="AC215" s="72">
        <f>IFERROR(VLOOKUP($D215,'FERC 2021'!$EA$3:$EN$221,10,0),"")</f>
        <v>1922934</v>
      </c>
      <c r="AD215" s="72" t="str">
        <f>IFERROR(VLOOKUP($D215,'FERC 2022'!$EA$3:$EN$220,10,0),"")</f>
        <v/>
      </c>
      <c r="AE215" s="72">
        <f>IFERROR(VLOOKUP($D215,'FERC 2023'!$EA$3:$EN$221,10,0),"")</f>
        <v>1891088</v>
      </c>
      <c r="AF215" s="72">
        <f>IFERROR(VLOOKUP($D215,'FERC 2021'!$EA$3:$EN$221,11,0),"")</f>
        <v>2022570.883248731</v>
      </c>
      <c r="AG215" s="72" t="str">
        <f>IFERROR(VLOOKUP($D215,'FERC 2022'!$EA$3:$EN$220,11,0),"")</f>
        <v/>
      </c>
      <c r="AH215" s="72">
        <f>IFERROR(VLOOKUP($D215,'FERC 2023'!$EA$3:$EN$221,11,0),"")</f>
        <v>1977705.5939086294</v>
      </c>
      <c r="AI215" s="72" t="str">
        <f>IFERROR(VLOOKUP($D215,'FERC 2021'!$EA$3:$EN$221,12,0),"")</f>
        <v/>
      </c>
      <c r="AJ215" s="72" t="str">
        <f>IFERROR(VLOOKUP($D215,'FERC 2022'!$EA$3:$EN$220,12,0),"")</f>
        <v/>
      </c>
      <c r="AK215" s="72" t="str">
        <f>IFERROR(VLOOKUP($D215,'FERC 2023'!$EA$3:$EN$221,12,0),"")</f>
        <v/>
      </c>
      <c r="AL215" s="72">
        <f>VLOOKUP($D215,'FERC 2021'!$EA$3:$EN$221,13,0)</f>
        <v>119570.12000000001</v>
      </c>
      <c r="AM215" s="72" t="e">
        <f>VLOOKUP($D215,'FERC 2022'!$EA$3:$EN$220,13,0)</f>
        <v>#N/A</v>
      </c>
      <c r="AN215" s="72">
        <f>VLOOKUP($D215,'FERC 2023'!$EA$3:$EN$221,13,0)</f>
        <v>169885.5</v>
      </c>
      <c r="AO215" s="72">
        <f>IFERROR(VLOOKUP($D215,'FERC 2021'!$EA$3:$EN$221,14,0),"")</f>
        <v>115381</v>
      </c>
      <c r="AP215" s="72" t="str">
        <f>IFERROR(VLOOKUP($D215,'FERC 2022'!$EA$3:$EN$220,14,0),"")</f>
        <v/>
      </c>
      <c r="AQ215" s="72">
        <f>IFERROR(VLOOKUP($D215,'FERC 2023'!$EA$3:$EN$221,14,0),"")</f>
        <v>115458</v>
      </c>
    </row>
    <row r="216" spans="1:43" ht="15.75" customHeight="1">
      <c r="A216" s="7" t="s">
        <v>841</v>
      </c>
      <c r="B216" s="7" t="s">
        <v>842</v>
      </c>
      <c r="C216" s="311">
        <f>'BD DEA'!P216</f>
        <v>1</v>
      </c>
      <c r="D216" s="44" t="str">
        <f t="shared" si="0"/>
        <v>C011150</v>
      </c>
      <c r="E216" s="72">
        <f>IFERROR(VLOOKUP($D216,'FERC 2021'!$EA$3:$EN$221,2,0),"")</f>
        <v>162682037.55073944</v>
      </c>
      <c r="F216" s="72">
        <f>IFERROR(VLOOKUP($D216,'FERC 2022'!$EA$3:$EN$220,2,0),"")</f>
        <v>162929958.1708149</v>
      </c>
      <c r="G216" s="72">
        <f>IFERROR(VLOOKUP($D216,'FERC 2023'!$EA$3:$EN$221,2,0),"")</f>
        <v>162491514.33976036</v>
      </c>
      <c r="H216" s="72">
        <f>IFERROR(VLOOKUP($D216,'FERC 2021'!$EA$3:$EN$225,3,0),"")</f>
        <v>18108074.706058625</v>
      </c>
      <c r="I216" s="72">
        <f>IFERROR(VLOOKUP($D216,'FERC 2022'!$EA$3:$EN$229,3,0),"")</f>
        <v>20448895.75608046</v>
      </c>
      <c r="J216" s="72">
        <f>IFERROR(VLOOKUP($D216,'FERC 2023'!$EA$3:$EN$229,3,0),"")</f>
        <v>23926052.516229916</v>
      </c>
      <c r="K216" s="72">
        <f>IFERROR(VLOOKUP($D216,'FERC 2021'!$EA$3:$EN$229,4,0),"")</f>
        <v>3967128.8488071053</v>
      </c>
      <c r="L216" s="72">
        <f>IFERROR(VLOOKUP($D216,'FERC 2022'!$EA$3:$EN$220,4,0),"")</f>
        <v>3570242.4316851324</v>
      </c>
      <c r="M216" s="72">
        <f>IFERROR(VLOOKUP($D216,'FERC 2023'!$EA$3:$EN$221,4,0),"")</f>
        <v>4631513.2180649787</v>
      </c>
      <c r="N216" s="72">
        <f>IFERROR(VLOOKUP($D216,'FERC 2021'!$EA$3:$EN$221,5,0),"")</f>
        <v>2189947.3688822906</v>
      </c>
      <c r="O216" s="72">
        <f>IFERROR(VLOOKUP($D216,'FERC 2022'!$EA$3:$EN$220,5,0),"")</f>
        <v>2006178.0476069544</v>
      </c>
      <c r="P216" s="72">
        <f>IFERROR(VLOOKUP($D216,'FERC 2023'!$EA$3:$EN$221,5,0),"")</f>
        <v>2093027.2694538271</v>
      </c>
      <c r="Q216" s="72">
        <f>IFERROR(VLOOKUP($D216,'FERC 2021'!$EA$3:$EN$221,6,0),"")</f>
        <v>3674927.6009007813</v>
      </c>
      <c r="R216" s="72">
        <f>IFERROR(VLOOKUP($D216,'FERC 2022'!$EA$3:$EN$220,6,0),"")</f>
        <v>3583113.2099803039</v>
      </c>
      <c r="S216" s="72">
        <f>IFERROR(VLOOKUP($D216,'FERC 2023'!$EA$3:$EN$221,6,0),"")</f>
        <v>4719151.4973916002</v>
      </c>
      <c r="T216" s="72">
        <f>IFERROR(VLOOKUP($D216,'FERC 2021'!$EA$3:$EN$221,7,0),"")</f>
        <v>87</v>
      </c>
      <c r="U216" s="72">
        <f>IFERROR(VLOOKUP($D216,'FERC 2022'!$EA$3:$EN$220,7,0),"")</f>
        <v>88</v>
      </c>
      <c r="V216" s="72">
        <f>IFERROR(VLOOKUP($D216,'FERC 2023'!$EA$3:$EN$221,7,0),"")</f>
        <v>76</v>
      </c>
      <c r="W216" s="72">
        <f>IFERROR(VLOOKUP($D216,'FERC 2021'!$EA$3:$EN$221,8,0),"")</f>
        <v>17533</v>
      </c>
      <c r="X216" s="72">
        <f>IFERROR(VLOOKUP($D216,'FERC 2022'!$EA$3:$EN$220,8,0),"")</f>
        <v>17701</v>
      </c>
      <c r="Y216" s="72">
        <f>IFERROR(VLOOKUP($D216,'FERC 2023'!$EA$3:$EN$221,8,0),"")</f>
        <v>17869</v>
      </c>
      <c r="Z216" s="72">
        <f>IFERROR(VLOOKUP($D216,'FERC 2021'!$EA$3:$EN$222,9,0),"")</f>
        <v>23123</v>
      </c>
      <c r="AA216" s="72">
        <f>IFERROR(VLOOKUP($D216,'FERC 2022'!$EA$3:$EN$220,9,0),"")</f>
        <v>19545</v>
      </c>
      <c r="AB216" s="72">
        <f>IFERROR(VLOOKUP($D216,'FERC 2023'!$EA$3:$EN$221,9,0),"")</f>
        <v>17575</v>
      </c>
      <c r="AC216" s="72">
        <f>IFERROR(VLOOKUP($D216,'FERC 2021'!$EA$3:$EN$221,10,0),"")</f>
        <v>404334</v>
      </c>
      <c r="AD216" s="72">
        <f>IFERROR(VLOOKUP($D216,'FERC 2022'!$EA$3:$EN$220,10,0),"")</f>
        <v>405072</v>
      </c>
      <c r="AE216" s="72">
        <f>IFERROR(VLOOKUP($D216,'FERC 2023'!$EA$3:$EN$221,10,0),"")</f>
        <v>411690</v>
      </c>
      <c r="AF216" s="72">
        <f>IFERROR(VLOOKUP($D216,'FERC 2021'!$EA$3:$EN$221,11,0),"")</f>
        <v>427457</v>
      </c>
      <c r="AG216" s="72">
        <f>IFERROR(VLOOKUP($D216,'FERC 2022'!$EA$3:$EN$220,11,0),"")</f>
        <v>424617</v>
      </c>
      <c r="AH216" s="72">
        <f>IFERROR(VLOOKUP($D216,'FERC 2023'!$EA$3:$EN$221,11,0),"")</f>
        <v>429265</v>
      </c>
      <c r="AI216" s="72">
        <f>IFERROR(VLOOKUP($D216,'FERC 2021'!$EA$3:$EN$221,12,0),"")</f>
        <v>1525371</v>
      </c>
      <c r="AJ216" s="72">
        <f>IFERROR(VLOOKUP($D216,'FERC 2022'!$EA$3:$EN$220,12,0),"")</f>
        <v>2483804.3199999998</v>
      </c>
      <c r="AK216" s="72">
        <f>IFERROR(VLOOKUP($D216,'FERC 2023'!$EA$3:$EN$221,12,0),"")</f>
        <v>1322306</v>
      </c>
      <c r="AL216" s="72">
        <f>VLOOKUP($D216,'FERC 2021'!$EA$3:$EN$221,13,0)</f>
        <v>47689.760000000002</v>
      </c>
      <c r="AM216" s="72">
        <f>VLOOKUP($D216,'FERC 2022'!$EA$3:$EN$220,13,0)</f>
        <v>72220.08</v>
      </c>
      <c r="AN216" s="72">
        <f>VLOOKUP($D216,'FERC 2023'!$EA$3:$EN$221,13,0)</f>
        <v>34665.86</v>
      </c>
      <c r="AO216" s="72">
        <f>IFERROR(VLOOKUP($D216,'FERC 2021'!$EA$3:$EN$221,14,0),"")</f>
        <v>17366</v>
      </c>
      <c r="AP216" s="72">
        <f>IFERROR(VLOOKUP($D216,'FERC 2022'!$EA$3:$EN$220,14,0),"")</f>
        <v>17583</v>
      </c>
      <c r="AQ216" s="72">
        <f>IFERROR(VLOOKUP($D216,'FERC 2023'!$EA$3:$EN$221,14,0),"")</f>
        <v>18020</v>
      </c>
    </row>
    <row r="217" spans="1:43" ht="15.75" customHeight="1">
      <c r="A217" s="7" t="s">
        <v>844</v>
      </c>
      <c r="B217" s="7" t="s">
        <v>845</v>
      </c>
      <c r="C217" s="311">
        <f>'BD DEA'!P217</f>
        <v>1</v>
      </c>
      <c r="D217" s="44" t="str">
        <f t="shared" si="0"/>
        <v>C011163</v>
      </c>
      <c r="E217" s="72">
        <f>IFERROR(VLOOKUP($D217,'FERC 2021'!$EA$3:$EN$221,2,0),"")</f>
        <v>69002005.686326161</v>
      </c>
      <c r="F217" s="72">
        <f>IFERROR(VLOOKUP($D217,'FERC 2022'!$EA$3:$EN$220,2,0),"")</f>
        <v>67608511.556230277</v>
      </c>
      <c r="G217" s="72">
        <f>IFERROR(VLOOKUP($D217,'FERC 2023'!$EA$3:$EN$221,2,0),"")</f>
        <v>66446144.085333087</v>
      </c>
      <c r="H217" s="72">
        <f>IFERROR(VLOOKUP($D217,'FERC 2021'!$EA$3:$EN$225,3,0),"")</f>
        <v>6525330.4213758698</v>
      </c>
      <c r="I217" s="72">
        <f>IFERROR(VLOOKUP($D217,'FERC 2022'!$EA$3:$EN$229,3,0),"")</f>
        <v>6340215.4595364276</v>
      </c>
      <c r="J217" s="72">
        <f>IFERROR(VLOOKUP($D217,'FERC 2023'!$EA$3:$EN$229,3,0),"")</f>
        <v>5931855.2933099233</v>
      </c>
      <c r="K217" s="72">
        <f>IFERROR(VLOOKUP($D217,'FERC 2021'!$EA$3:$EN$229,4,0),"")</f>
        <v>1439534.2675881349</v>
      </c>
      <c r="L217" s="72">
        <f>IFERROR(VLOOKUP($D217,'FERC 2022'!$EA$3:$EN$220,4,0),"")</f>
        <v>1376654.2350290527</v>
      </c>
      <c r="M217" s="72">
        <f>IFERROR(VLOOKUP($D217,'FERC 2023'!$EA$3:$EN$221,4,0),"")</f>
        <v>1375180.4507260406</v>
      </c>
      <c r="N217" s="72">
        <f>IFERROR(VLOOKUP($D217,'FERC 2021'!$EA$3:$EN$221,5,0),"")</f>
        <v>2572097.5290934802</v>
      </c>
      <c r="O217" s="72">
        <f>IFERROR(VLOOKUP($D217,'FERC 2022'!$EA$3:$EN$220,5,0),"")</f>
        <v>2318573.7141892589</v>
      </c>
      <c r="P217" s="72">
        <f>IFERROR(VLOOKUP($D217,'FERC 2023'!$EA$3:$EN$221,5,0),"")</f>
        <v>2215565.8437242899</v>
      </c>
      <c r="Q217" s="72">
        <f>IFERROR(VLOOKUP($D217,'FERC 2021'!$EA$3:$EN$221,6,0),"")</f>
        <v>3770865.0490823328</v>
      </c>
      <c r="R217" s="72">
        <f>IFERROR(VLOOKUP($D217,'FERC 2022'!$EA$3:$EN$220,6,0),"")</f>
        <v>4135060.0767794508</v>
      </c>
      <c r="S217" s="72">
        <f>IFERROR(VLOOKUP($D217,'FERC 2023'!$EA$3:$EN$221,6,0),"")</f>
        <v>3781238.6972135729</v>
      </c>
      <c r="T217" s="72">
        <f>IFERROR(VLOOKUP($D217,'FERC 2021'!$EA$3:$EN$221,7,0),"")</f>
        <v>130</v>
      </c>
      <c r="U217" s="72">
        <f>IFERROR(VLOOKUP($D217,'FERC 2022'!$EA$3:$EN$220,7,0),"")</f>
        <v>139</v>
      </c>
      <c r="V217" s="72">
        <f>IFERROR(VLOOKUP($D217,'FERC 2023'!$EA$3:$EN$221,7,0),"")</f>
        <v>139</v>
      </c>
      <c r="W217" s="72">
        <f>IFERROR(VLOOKUP($D217,'FERC 2021'!$EA$3:$EN$221,8,0),"")</f>
        <v>15198</v>
      </c>
      <c r="X217" s="72">
        <f>IFERROR(VLOOKUP($D217,'FERC 2022'!$EA$3:$EN$220,8,0),"")</f>
        <v>15242</v>
      </c>
      <c r="Y217" s="72">
        <f>IFERROR(VLOOKUP($D217,'FERC 2023'!$EA$3:$EN$221,8,0),"")</f>
        <v>15315</v>
      </c>
      <c r="Z217" s="72">
        <f>IFERROR(VLOOKUP($D217,'FERC 2021'!$EA$3:$EN$222,9,0),"")</f>
        <v>8557</v>
      </c>
      <c r="AA217" s="72">
        <f>IFERROR(VLOOKUP($D217,'FERC 2022'!$EA$3:$EN$220,9,0),"")</f>
        <v>4729</v>
      </c>
      <c r="AB217" s="72">
        <f>IFERROR(VLOOKUP($D217,'FERC 2023'!$EA$3:$EN$221,9,0),"")</f>
        <v>9541</v>
      </c>
      <c r="AC217" s="72">
        <f>IFERROR(VLOOKUP($D217,'FERC 2021'!$EA$3:$EN$221,10,0),"")</f>
        <v>795136</v>
      </c>
      <c r="AD217" s="72">
        <f>IFERROR(VLOOKUP($D217,'FERC 2022'!$EA$3:$EN$220,10,0),"")</f>
        <v>920325</v>
      </c>
      <c r="AE217" s="72">
        <f>IFERROR(VLOOKUP($D217,'FERC 2023'!$EA$3:$EN$221,10,0),"")</f>
        <v>1002907</v>
      </c>
      <c r="AF217" s="72">
        <f>IFERROR(VLOOKUP($D217,'FERC 2021'!$EA$3:$EN$221,11,0),"")</f>
        <v>803693</v>
      </c>
      <c r="AG217" s="72">
        <f>IFERROR(VLOOKUP($D217,'FERC 2022'!$EA$3:$EN$220,11,0),"")</f>
        <v>925054</v>
      </c>
      <c r="AH217" s="72">
        <f>IFERROR(VLOOKUP($D217,'FERC 2023'!$EA$3:$EN$221,11,0),"")</f>
        <v>1012448</v>
      </c>
      <c r="AI217" s="72">
        <f>IFERROR(VLOOKUP($D217,'FERC 2021'!$EA$3:$EN$221,12,0),"")</f>
        <v>324629.27999999997</v>
      </c>
      <c r="AJ217" s="72">
        <f>IFERROR(VLOOKUP($D217,'FERC 2022'!$EA$3:$EN$220,12,0),"")</f>
        <v>544596.65999999992</v>
      </c>
      <c r="AK217" s="72">
        <f>IFERROR(VLOOKUP($D217,'FERC 2023'!$EA$3:$EN$221,12,0),"")</f>
        <v>260355</v>
      </c>
      <c r="AL217" s="72">
        <f>VLOOKUP($D217,'FERC 2021'!$EA$3:$EN$221,13,0)</f>
        <v>6687.12</v>
      </c>
      <c r="AM217" s="72">
        <f>VLOOKUP($D217,'FERC 2022'!$EA$3:$EN$220,13,0)</f>
        <v>9754.880000000001</v>
      </c>
      <c r="AN217" s="72">
        <f>VLOOKUP($D217,'FERC 2023'!$EA$3:$EN$221,13,0)</f>
        <v>18990.599999999999</v>
      </c>
      <c r="AO217" s="72">
        <f>IFERROR(VLOOKUP($D217,'FERC 2021'!$EA$3:$EN$221,14,0),"")</f>
        <v>14761</v>
      </c>
      <c r="AP217" s="72">
        <f>IFERROR(VLOOKUP($D217,'FERC 2022'!$EA$3:$EN$220,14,0),"")</f>
        <v>14896</v>
      </c>
      <c r="AQ217" s="72">
        <f>IFERROR(VLOOKUP($D217,'FERC 2023'!$EA$3:$EN$221,14,0),"")</f>
        <v>15016</v>
      </c>
    </row>
    <row r="218" spans="1:43" ht="15.75" hidden="1" customHeight="1">
      <c r="A218" s="7" t="s">
        <v>847</v>
      </c>
      <c r="B218" s="7" t="s">
        <v>848</v>
      </c>
      <c r="C218" s="311" t="str">
        <f>'BD DEA'!P218</f>
        <v/>
      </c>
      <c r="D218" s="44" t="str">
        <f t="shared" si="0"/>
        <v>C011285</v>
      </c>
      <c r="E218" s="72">
        <f>IFERROR(VLOOKUP($D218,'FERC 2021'!$EA$3:$EN$221,2,0),"")</f>
        <v>1841032647.4275877</v>
      </c>
      <c r="F218" s="72" t="str">
        <f>IFERROR(VLOOKUP($D218,'FERC 2022'!$EA$3:$EN$220,2,0),"")</f>
        <v/>
      </c>
      <c r="G218" s="72" t="str">
        <f>IFERROR(VLOOKUP($D218,'FERC 2023'!$EA$3:$EN$221,2,0),"")</f>
        <v/>
      </c>
      <c r="H218" s="72">
        <f>IFERROR(VLOOKUP($D218,'FERC 2021'!$EA$3:$EN$225,3,0),"")</f>
        <v>72066510.477981612</v>
      </c>
      <c r="I218" s="72" t="str">
        <f>IFERROR(VLOOKUP($D218,'FERC 2022'!$EA$3:$EN$229,3,0),"")</f>
        <v/>
      </c>
      <c r="J218" s="72" t="str">
        <f>IFERROR(VLOOKUP($D218,'FERC 2023'!$EA$3:$EN$229,3,0),"")</f>
        <v/>
      </c>
      <c r="K218" s="72">
        <f>IFERROR(VLOOKUP($D218,'FERC 2021'!$EA$3:$EN$229,4,0),"")</f>
        <v>96849260.162133425</v>
      </c>
      <c r="L218" s="72" t="str">
        <f>IFERROR(VLOOKUP($D218,'FERC 2022'!$EA$3:$EN$220,4,0),"")</f>
        <v/>
      </c>
      <c r="M218" s="72" t="str">
        <f>IFERROR(VLOOKUP($D218,'FERC 2023'!$EA$3:$EN$221,4,0),"")</f>
        <v/>
      </c>
      <c r="N218" s="72">
        <f>IFERROR(VLOOKUP($D218,'FERC 2021'!$EA$3:$EN$221,5,0),"")</f>
        <v>99743432.905298352</v>
      </c>
      <c r="O218" s="72" t="str">
        <f>IFERROR(VLOOKUP($D218,'FERC 2022'!$EA$3:$EN$220,5,0),"")</f>
        <v/>
      </c>
      <c r="P218" s="72" t="str">
        <f>IFERROR(VLOOKUP($D218,'FERC 2023'!$EA$3:$EN$221,5,0),"")</f>
        <v/>
      </c>
      <c r="Q218" s="72">
        <f>IFERROR(VLOOKUP($D218,'FERC 2021'!$EA$3:$EN$221,6,0),"")</f>
        <v>73446739.815223426</v>
      </c>
      <c r="R218" s="72" t="str">
        <f>IFERROR(VLOOKUP($D218,'FERC 2022'!$EA$3:$EN$220,6,0),"")</f>
        <v/>
      </c>
      <c r="S218" s="72" t="str">
        <f>IFERROR(VLOOKUP($D218,'FERC 2023'!$EA$3:$EN$221,6,0),"")</f>
        <v/>
      </c>
      <c r="T218" s="72">
        <f>IFERROR(VLOOKUP($D218,'FERC 2021'!$EA$3:$EN$221,7,0),"")</f>
        <v>1148</v>
      </c>
      <c r="U218" s="72" t="str">
        <f>IFERROR(VLOOKUP($D218,'FERC 2022'!$EA$3:$EN$220,7,0),"")</f>
        <v/>
      </c>
      <c r="V218" s="72" t="str">
        <f>IFERROR(VLOOKUP($D218,'FERC 2023'!$EA$3:$EN$221,7,0),"")</f>
        <v/>
      </c>
      <c r="W218" s="72">
        <f>IFERROR(VLOOKUP($D218,'FERC 2021'!$EA$3:$EN$221,8,0),"")</f>
        <v>249492</v>
      </c>
      <c r="X218" s="72" t="str">
        <f>IFERROR(VLOOKUP($D218,'FERC 2022'!$EA$3:$EN$220,8,0),"")</f>
        <v/>
      </c>
      <c r="Y218" s="72" t="str">
        <f>IFERROR(VLOOKUP($D218,'FERC 2023'!$EA$3:$EN$221,8,0),"")</f>
        <v/>
      </c>
      <c r="Z218" s="72">
        <f>IFERROR(VLOOKUP($D218,'FERC 2021'!$EA$3:$EN$222,9,0),"")</f>
        <v>260977</v>
      </c>
      <c r="AA218" s="72" t="str">
        <f>IFERROR(VLOOKUP($D218,'FERC 2022'!$EA$3:$EN$220,9,0),"")</f>
        <v/>
      </c>
      <c r="AB218" s="72" t="str">
        <f>IFERROR(VLOOKUP($D218,'FERC 2023'!$EA$3:$EN$221,9,0),"")</f>
        <v/>
      </c>
      <c r="AC218" s="72">
        <f>IFERROR(VLOOKUP($D218,'FERC 2021'!$EA$3:$EN$221,10,0),"")</f>
        <v>2665685</v>
      </c>
      <c r="AD218" s="72" t="str">
        <f>IFERROR(VLOOKUP($D218,'FERC 2022'!$EA$3:$EN$220,10,0),"")</f>
        <v/>
      </c>
      <c r="AE218" s="72" t="str">
        <f>IFERROR(VLOOKUP($D218,'FERC 2023'!$EA$3:$EN$221,10,0),"")</f>
        <v/>
      </c>
      <c r="AF218" s="72">
        <f>IFERROR(VLOOKUP($D218,'FERC 2021'!$EA$3:$EN$221,11,0),"")</f>
        <v>2925808.8578680204</v>
      </c>
      <c r="AG218" s="72" t="str">
        <f>IFERROR(VLOOKUP($D218,'FERC 2022'!$EA$3:$EN$220,11,0),"")</f>
        <v/>
      </c>
      <c r="AH218" s="72" t="str">
        <f>IFERROR(VLOOKUP($D218,'FERC 2023'!$EA$3:$EN$221,11,0),"")</f>
        <v/>
      </c>
      <c r="AI218" s="72" t="str">
        <f>IFERROR(VLOOKUP($D218,'FERC 2021'!$EA$3:$EN$221,12,0),"")</f>
        <v/>
      </c>
      <c r="AJ218" s="72" t="str">
        <f>IFERROR(VLOOKUP($D218,'FERC 2022'!$EA$3:$EN$220,12,0),"")</f>
        <v/>
      </c>
      <c r="AK218" s="72" t="str">
        <f>IFERROR(VLOOKUP($D218,'FERC 2023'!$EA$3:$EN$221,12,0),"")</f>
        <v/>
      </c>
      <c r="AL218" s="72" t="e">
        <f>VLOOKUP($D218,'FERC 2021'!$EA$3:$EN$221,13,0)</f>
        <v>#VALUE!</v>
      </c>
      <c r="AM218" s="72" t="e">
        <f>VLOOKUP($D218,'FERC 2022'!$EA$3:$EN$220,13,0)</f>
        <v>#N/A</v>
      </c>
      <c r="AN218" s="72" t="e">
        <f>VLOOKUP($D218,'FERC 2023'!$EA$3:$EN$221,13,0)</f>
        <v>#N/A</v>
      </c>
      <c r="AO218" s="72">
        <f>IFERROR(VLOOKUP($D218,'FERC 2021'!$EA$3:$EN$221,14,0),"")</f>
        <v>0</v>
      </c>
      <c r="AP218" s="72" t="str">
        <f>IFERROR(VLOOKUP($D218,'FERC 2022'!$EA$3:$EN$220,14,0),"")</f>
        <v/>
      </c>
      <c r="AQ218" s="72" t="str">
        <f>IFERROR(VLOOKUP($D218,'FERC 2023'!$EA$3:$EN$221,14,0),"")</f>
        <v/>
      </c>
    </row>
    <row r="219" spans="1:43" ht="15.75" hidden="1" customHeight="1">
      <c r="A219" s="7" t="s">
        <v>850</v>
      </c>
      <c r="B219" s="7" t="s">
        <v>851</v>
      </c>
      <c r="C219" s="311" t="str">
        <f>'BD DEA'!P219</f>
        <v/>
      </c>
      <c r="D219" s="44" t="str">
        <f t="shared" si="0"/>
        <v>C011301</v>
      </c>
      <c r="E219" s="72">
        <f>IFERROR(VLOOKUP($D219,'FERC 2021'!$EA$3:$EN$221,2,0),"")</f>
        <v>45273381.058126889</v>
      </c>
      <c r="F219" s="72">
        <f>IFERROR(VLOOKUP($D219,'FERC 2022'!$EA$3:$EN$220,2,0),"")</f>
        <v>46096527.184001744</v>
      </c>
      <c r="G219" s="72">
        <f>IFERROR(VLOOKUP($D219,'FERC 2023'!$EA$3:$EN$221,2,0),"")</f>
        <v>45505935.385854937</v>
      </c>
      <c r="H219" s="72">
        <f>IFERROR(VLOOKUP($D219,'FERC 2021'!$EA$3:$EN$225,3,0),"")</f>
        <v>2771737.1027793824</v>
      </c>
      <c r="I219" s="72">
        <f>IFERROR(VLOOKUP($D219,'FERC 2022'!$EA$3:$EN$229,3,0),"")</f>
        <v>2719655.3692107652</v>
      </c>
      <c r="J219" s="72">
        <f>IFERROR(VLOOKUP($D219,'FERC 2023'!$EA$3:$EN$229,3,0),"")</f>
        <v>2665068.8385862573</v>
      </c>
      <c r="K219" s="72">
        <f>IFERROR(VLOOKUP($D219,'FERC 2021'!$EA$3:$EN$229,4,0),"")</f>
        <v>1785965.8884257523</v>
      </c>
      <c r="L219" s="72">
        <f>IFERROR(VLOOKUP($D219,'FERC 2022'!$EA$3:$EN$220,4,0),"")</f>
        <v>1949409.8057387494</v>
      </c>
      <c r="M219" s="72">
        <f>IFERROR(VLOOKUP($D219,'FERC 2023'!$EA$3:$EN$221,4,0),"")</f>
        <v>1665968.7177409008</v>
      </c>
      <c r="N219" s="72">
        <f>IFERROR(VLOOKUP($D219,'FERC 2021'!$EA$3:$EN$221,5,0),"")</f>
        <v>1109949.2763419952</v>
      </c>
      <c r="O219" s="72">
        <f>IFERROR(VLOOKUP($D219,'FERC 2022'!$EA$3:$EN$220,5,0),"")</f>
        <v>1005052.8288358126</v>
      </c>
      <c r="P219" s="72">
        <f>IFERROR(VLOOKUP($D219,'FERC 2023'!$EA$3:$EN$221,5,0),"")</f>
        <v>872778.13860540709</v>
      </c>
      <c r="Q219" s="72">
        <f>IFERROR(VLOOKUP($D219,'FERC 2021'!$EA$3:$EN$221,6,0),"")</f>
        <v>2228846.2476467295</v>
      </c>
      <c r="R219" s="72">
        <f>IFERROR(VLOOKUP($D219,'FERC 2022'!$EA$3:$EN$220,6,0),"")</f>
        <v>1463050.3598322503</v>
      </c>
      <c r="S219" s="72">
        <f>IFERROR(VLOOKUP($D219,'FERC 2023'!$EA$3:$EN$221,6,0),"")</f>
        <v>1613444.4447998304</v>
      </c>
      <c r="T219" s="72">
        <f>IFERROR(VLOOKUP($D219,'FERC 2021'!$EA$3:$EN$221,7,0),"")</f>
        <v>23</v>
      </c>
      <c r="U219" s="72">
        <f>IFERROR(VLOOKUP($D219,'FERC 2022'!$EA$3:$EN$220,7,0),"")</f>
        <v>23</v>
      </c>
      <c r="V219" s="72">
        <f>IFERROR(VLOOKUP($D219,'FERC 2023'!$EA$3:$EN$221,7,0),"")</f>
        <v>24</v>
      </c>
      <c r="W219" s="72">
        <f>IFERROR(VLOOKUP($D219,'FERC 2021'!$EA$3:$EN$221,8,0),"")</f>
        <v>5262</v>
      </c>
      <c r="X219" s="72">
        <f>IFERROR(VLOOKUP($D219,'FERC 2022'!$EA$3:$EN$220,8,0),"")</f>
        <v>5253</v>
      </c>
      <c r="Y219" s="72">
        <f>IFERROR(VLOOKUP($D219,'FERC 2023'!$EA$3:$EN$221,8,0),"")</f>
        <v>5237</v>
      </c>
      <c r="Z219" s="72">
        <f>IFERROR(VLOOKUP($D219,'FERC 2021'!$EA$3:$EN$222,9,0),"")</f>
        <v>5773</v>
      </c>
      <c r="AA219" s="72">
        <f>IFERROR(VLOOKUP($D219,'FERC 2022'!$EA$3:$EN$220,9,0),"")</f>
        <v>7232</v>
      </c>
      <c r="AB219" s="72">
        <f>IFERROR(VLOOKUP($D219,'FERC 2023'!$EA$3:$EN$221,9,0),"")</f>
        <v>5792</v>
      </c>
      <c r="AC219" s="72">
        <f>IFERROR(VLOOKUP($D219,'FERC 2021'!$EA$3:$EN$221,10,0),"")</f>
        <v>85344</v>
      </c>
      <c r="AD219" s="72">
        <f>IFERROR(VLOOKUP($D219,'FERC 2022'!$EA$3:$EN$220,10,0),"")</f>
        <v>86409</v>
      </c>
      <c r="AE219" s="72">
        <f>IFERROR(VLOOKUP($D219,'FERC 2023'!$EA$3:$EN$221,10,0),"")</f>
        <v>82599</v>
      </c>
      <c r="AF219" s="72">
        <f>IFERROR(VLOOKUP($D219,'FERC 2021'!$EA$3:$EN$221,11,0),"")</f>
        <v>91064.157360406098</v>
      </c>
      <c r="AG219" s="72">
        <f>IFERROR(VLOOKUP($D219,'FERC 2022'!$EA$3:$EN$220,11,0),"")</f>
        <v>93588.903553299489</v>
      </c>
      <c r="AH219" s="72">
        <f>IFERROR(VLOOKUP($D219,'FERC 2023'!$EA$3:$EN$221,11,0),"")</f>
        <v>88340.578680203049</v>
      </c>
      <c r="AI219" s="72">
        <f>IFERROR(VLOOKUP($D219,'FERC 2021'!$EA$3:$EN$221,12,0),"")</f>
        <v>245109.22200000001</v>
      </c>
      <c r="AJ219" s="72">
        <f>IFERROR(VLOOKUP($D219,'FERC 2022'!$EA$3:$EN$220,12,0),"")</f>
        <v>562785.40799999994</v>
      </c>
      <c r="AK219" s="72">
        <f>IFERROR(VLOOKUP($D219,'FERC 2023'!$EA$3:$EN$221,12,0),"")</f>
        <v>391203.9</v>
      </c>
      <c r="AL219" s="72">
        <f>VLOOKUP($D219,'FERC 2021'!$EA$3:$EN$221,13,0)</f>
        <v>7051.0800000000008</v>
      </c>
      <c r="AM219" s="72">
        <f>VLOOKUP($D219,'FERC 2022'!$EA$3:$EN$220,13,0)</f>
        <v>18017.79</v>
      </c>
      <c r="AN219" s="72">
        <f>VLOOKUP($D219,'FERC 2023'!$EA$3:$EN$221,13,0)</f>
        <v>16967.88</v>
      </c>
      <c r="AO219" s="72">
        <f>IFERROR(VLOOKUP($D219,'FERC 2021'!$EA$3:$EN$221,14,0),"")</f>
        <v>0</v>
      </c>
      <c r="AP219" s="72">
        <f>IFERROR(VLOOKUP($D219,'FERC 2022'!$EA$3:$EN$220,14,0),"")</f>
        <v>0</v>
      </c>
      <c r="AQ219" s="72">
        <f>IFERROR(VLOOKUP($D219,'FERC 2023'!$EA$3:$EN$221,14,0),"")</f>
        <v>0</v>
      </c>
    </row>
    <row r="220" spans="1:43" ht="15.75" hidden="1" customHeight="1">
      <c r="A220" s="7" t="s">
        <v>853</v>
      </c>
      <c r="B220" s="7" t="s">
        <v>854</v>
      </c>
      <c r="C220" s="311" t="str">
        <f>'BD DEA'!P220</f>
        <v/>
      </c>
      <c r="D220" s="44" t="str">
        <f t="shared" si="0"/>
        <v>C011302</v>
      </c>
      <c r="E220" s="72" t="str">
        <f>IFERROR(VLOOKUP($D220,'FERC 2021'!$EA$3:$EN$221,2,0),"")</f>
        <v/>
      </c>
      <c r="F220" s="72" t="str">
        <f>IFERROR(VLOOKUP($D220,'FERC 2022'!$EA$3:$EN$220,2,0),"")</f>
        <v/>
      </c>
      <c r="G220" s="72" t="str">
        <f>IFERROR(VLOOKUP($D220,'FERC 2023'!$EA$3:$EN$221,2,0),"")</f>
        <v/>
      </c>
      <c r="H220" s="72" t="str">
        <f>IFERROR(VLOOKUP($D220,'FERC 2021'!$EA$3:$EN$225,3,0),"")</f>
        <v/>
      </c>
      <c r="I220" s="72" t="str">
        <f>IFERROR(VLOOKUP($D220,'FERC 2022'!$EA$3:$EN$229,3,0),"")</f>
        <v/>
      </c>
      <c r="J220" s="72" t="str">
        <f>IFERROR(VLOOKUP($D220,'FERC 2023'!$EA$3:$EN$229,3,0),"")</f>
        <v/>
      </c>
      <c r="K220" s="72" t="str">
        <f>IFERROR(VLOOKUP($D220,'FERC 2021'!$EA$3:$EN$229,4,0),"")</f>
        <v/>
      </c>
      <c r="L220" s="72" t="str">
        <f>IFERROR(VLOOKUP($D220,'FERC 2022'!$EA$3:$EN$220,4,0),"")</f>
        <v/>
      </c>
      <c r="M220" s="72" t="str">
        <f>IFERROR(VLOOKUP($D220,'FERC 2023'!$EA$3:$EN$221,4,0),"")</f>
        <v/>
      </c>
      <c r="N220" s="72" t="str">
        <f>IFERROR(VLOOKUP($D220,'FERC 2021'!$EA$3:$EN$221,5,0),"")</f>
        <v/>
      </c>
      <c r="O220" s="72" t="str">
        <f>IFERROR(VLOOKUP($D220,'FERC 2022'!$EA$3:$EN$220,5,0),"")</f>
        <v/>
      </c>
      <c r="P220" s="72" t="str">
        <f>IFERROR(VLOOKUP($D220,'FERC 2023'!$EA$3:$EN$221,5,0),"")</f>
        <v/>
      </c>
      <c r="Q220" s="72" t="str">
        <f>IFERROR(VLOOKUP($D220,'FERC 2021'!$EA$3:$EN$221,6,0),"")</f>
        <v/>
      </c>
      <c r="R220" s="72" t="str">
        <f>IFERROR(VLOOKUP($D220,'FERC 2022'!$EA$3:$EN$220,6,0),"")</f>
        <v/>
      </c>
      <c r="S220" s="72" t="str">
        <f>IFERROR(VLOOKUP($D220,'FERC 2023'!$EA$3:$EN$221,6,0),"")</f>
        <v/>
      </c>
      <c r="T220" s="72" t="str">
        <f>IFERROR(VLOOKUP($D220,'FERC 2021'!$EA$3:$EN$221,7,0),"")</f>
        <v/>
      </c>
      <c r="U220" s="72" t="str">
        <f>IFERROR(VLOOKUP($D220,'FERC 2022'!$EA$3:$EN$220,7,0),"")</f>
        <v/>
      </c>
      <c r="V220" s="72" t="str">
        <f>IFERROR(VLOOKUP($D220,'FERC 2023'!$EA$3:$EN$221,7,0),"")</f>
        <v/>
      </c>
      <c r="W220" s="72" t="str">
        <f>IFERROR(VLOOKUP($D220,'FERC 2021'!$EA$3:$EN$221,8,0),"")</f>
        <v/>
      </c>
      <c r="X220" s="72" t="str">
        <f>IFERROR(VLOOKUP($D220,'FERC 2022'!$EA$3:$EN$220,8,0),"")</f>
        <v/>
      </c>
      <c r="Y220" s="72" t="str">
        <f>IFERROR(VLOOKUP($D220,'FERC 2023'!$EA$3:$EN$221,8,0),"")</f>
        <v/>
      </c>
      <c r="Z220" s="72" t="str">
        <f>IFERROR(VLOOKUP($D220,'FERC 2021'!$EA$3:$EN$222,9,0),"")</f>
        <v/>
      </c>
      <c r="AA220" s="72" t="str">
        <f>IFERROR(VLOOKUP($D220,'FERC 2022'!$EA$3:$EN$220,9,0),"")</f>
        <v/>
      </c>
      <c r="AB220" s="72" t="str">
        <f>IFERROR(VLOOKUP($D220,'FERC 2023'!$EA$3:$EN$221,9,0),"")</f>
        <v/>
      </c>
      <c r="AC220" s="72" t="str">
        <f>IFERROR(VLOOKUP($D220,'FERC 2021'!$EA$3:$EN$221,10,0),"")</f>
        <v/>
      </c>
      <c r="AD220" s="72" t="str">
        <f>IFERROR(VLOOKUP($D220,'FERC 2022'!$EA$3:$EN$220,10,0),"")</f>
        <v/>
      </c>
      <c r="AE220" s="72" t="str">
        <f>IFERROR(VLOOKUP($D220,'FERC 2023'!$EA$3:$EN$221,10,0),"")</f>
        <v/>
      </c>
      <c r="AF220" s="72" t="str">
        <f>IFERROR(VLOOKUP($D220,'FERC 2021'!$EA$3:$EN$221,11,0),"")</f>
        <v/>
      </c>
      <c r="AG220" s="72" t="str">
        <f>IFERROR(VLOOKUP($D220,'FERC 2022'!$EA$3:$EN$220,11,0),"")</f>
        <v/>
      </c>
      <c r="AH220" s="72" t="str">
        <f>IFERROR(VLOOKUP($D220,'FERC 2023'!$EA$3:$EN$221,11,0),"")</f>
        <v/>
      </c>
      <c r="AI220" s="72" t="str">
        <f>IFERROR(VLOOKUP($D220,'FERC 2021'!$EA$3:$EN$221,12,0),"")</f>
        <v/>
      </c>
      <c r="AJ220" s="72" t="str">
        <f>IFERROR(VLOOKUP($D220,'FERC 2022'!$EA$3:$EN$220,12,0),"")</f>
        <v/>
      </c>
      <c r="AK220" s="72" t="str">
        <f>IFERROR(VLOOKUP($D220,'FERC 2023'!$EA$3:$EN$221,12,0),"")</f>
        <v/>
      </c>
      <c r="AL220" s="72" t="str">
        <f>VLOOKUP($D220,'FERC 2021'!$EA$3:$EN$221,13,0)</f>
        <v/>
      </c>
      <c r="AM220" s="72" t="str">
        <f>VLOOKUP($D220,'FERC 2022'!$EA$3:$EN$220,13,0)</f>
        <v/>
      </c>
      <c r="AN220" s="72" t="e">
        <f>VLOOKUP($D220,'FERC 2023'!$EA$3:$EN$221,13,0)</f>
        <v>#N/A</v>
      </c>
      <c r="AO220" s="72" t="str">
        <f>IFERROR(VLOOKUP($D220,'FERC 2021'!$EA$3:$EN$221,14,0),"")</f>
        <v/>
      </c>
      <c r="AP220" s="72" t="str">
        <f>IFERROR(VLOOKUP($D220,'FERC 2022'!$EA$3:$EN$220,14,0),"")</f>
        <v/>
      </c>
      <c r="AQ220" s="72" t="str">
        <f>IFERROR(VLOOKUP($D220,'FERC 2023'!$EA$3:$EN$221,14,0),"")</f>
        <v/>
      </c>
    </row>
    <row r="221" spans="1:43" ht="15.75" hidden="1" customHeight="1">
      <c r="A221" s="7" t="s">
        <v>856</v>
      </c>
      <c r="B221" s="7" t="s">
        <v>857</v>
      </c>
      <c r="C221" s="311" t="str">
        <f>'BD DEA'!P221</f>
        <v/>
      </c>
      <c r="D221" s="44" t="str">
        <f t="shared" si="0"/>
        <v>C011304</v>
      </c>
      <c r="E221" s="72" t="str">
        <f>IFERROR(VLOOKUP($D221,'FERC 2021'!$EA$3:$EN$221,2,0),"")</f>
        <v/>
      </c>
      <c r="F221" s="72" t="str">
        <f>IFERROR(VLOOKUP($D221,'FERC 2022'!$EA$3:$EN$220,2,0),"")</f>
        <v/>
      </c>
      <c r="G221" s="72" t="str">
        <f>IFERROR(VLOOKUP($D221,'FERC 2023'!$EA$3:$EN$221,2,0),"")</f>
        <v/>
      </c>
      <c r="H221" s="72" t="str">
        <f>IFERROR(VLOOKUP($D221,'FERC 2021'!$EA$3:$EN$225,3,0),"")</f>
        <v/>
      </c>
      <c r="I221" s="72" t="str">
        <f>IFERROR(VLOOKUP($D221,'FERC 2022'!$EA$3:$EN$229,3,0),"")</f>
        <v/>
      </c>
      <c r="J221" s="72" t="str">
        <f>IFERROR(VLOOKUP($D221,'FERC 2023'!$EA$3:$EN$229,3,0),"")</f>
        <v/>
      </c>
      <c r="K221" s="72" t="str">
        <f>IFERROR(VLOOKUP($D221,'FERC 2021'!$EA$3:$EN$229,4,0),"")</f>
        <v/>
      </c>
      <c r="L221" s="72" t="str">
        <f>IFERROR(VLOOKUP($D221,'FERC 2022'!$EA$3:$EN$220,4,0),"")</f>
        <v/>
      </c>
      <c r="M221" s="72" t="str">
        <f>IFERROR(VLOOKUP($D221,'FERC 2023'!$EA$3:$EN$221,4,0),"")</f>
        <v/>
      </c>
      <c r="N221" s="72" t="str">
        <f>IFERROR(VLOOKUP($D221,'FERC 2021'!$EA$3:$EN$221,5,0),"")</f>
        <v/>
      </c>
      <c r="O221" s="72" t="str">
        <f>IFERROR(VLOOKUP($D221,'FERC 2022'!$EA$3:$EN$220,5,0),"")</f>
        <v/>
      </c>
      <c r="P221" s="72" t="str">
        <f>IFERROR(VLOOKUP($D221,'FERC 2023'!$EA$3:$EN$221,5,0),"")</f>
        <v/>
      </c>
      <c r="Q221" s="72" t="str">
        <f>IFERROR(VLOOKUP($D221,'FERC 2021'!$EA$3:$EN$221,6,0),"")</f>
        <v/>
      </c>
      <c r="R221" s="72" t="str">
        <f>IFERROR(VLOOKUP($D221,'FERC 2022'!$EA$3:$EN$220,6,0),"")</f>
        <v/>
      </c>
      <c r="S221" s="72" t="str">
        <f>IFERROR(VLOOKUP($D221,'FERC 2023'!$EA$3:$EN$221,6,0),"")</f>
        <v/>
      </c>
      <c r="T221" s="72" t="str">
        <f>IFERROR(VLOOKUP($D221,'FERC 2021'!$EA$3:$EN$221,7,0),"")</f>
        <v/>
      </c>
      <c r="U221" s="72" t="str">
        <f>IFERROR(VLOOKUP($D221,'FERC 2022'!$EA$3:$EN$220,7,0),"")</f>
        <v/>
      </c>
      <c r="V221" s="72" t="str">
        <f>IFERROR(VLOOKUP($D221,'FERC 2023'!$EA$3:$EN$221,7,0),"")</f>
        <v/>
      </c>
      <c r="W221" s="72" t="str">
        <f>IFERROR(VLOOKUP($D221,'FERC 2021'!$EA$3:$EN$221,8,0),"")</f>
        <v/>
      </c>
      <c r="X221" s="72" t="str">
        <f>IFERROR(VLOOKUP($D221,'FERC 2022'!$EA$3:$EN$220,8,0),"")</f>
        <v/>
      </c>
      <c r="Y221" s="72" t="str">
        <f>IFERROR(VLOOKUP($D221,'FERC 2023'!$EA$3:$EN$221,8,0),"")</f>
        <v/>
      </c>
      <c r="Z221" s="72" t="str">
        <f>IFERROR(VLOOKUP($D221,'FERC 2021'!$EA$3:$EN$222,9,0),"")</f>
        <v/>
      </c>
      <c r="AA221" s="72" t="str">
        <f>IFERROR(VLOOKUP($D221,'FERC 2022'!$EA$3:$EN$220,9,0),"")</f>
        <v/>
      </c>
      <c r="AB221" s="72" t="str">
        <f>IFERROR(VLOOKUP($D221,'FERC 2023'!$EA$3:$EN$221,9,0),"")</f>
        <v/>
      </c>
      <c r="AC221" s="72" t="str">
        <f>IFERROR(VLOOKUP($D221,'FERC 2021'!$EA$3:$EN$221,10,0),"")</f>
        <v/>
      </c>
      <c r="AD221" s="72" t="str">
        <f>IFERROR(VLOOKUP($D221,'FERC 2022'!$EA$3:$EN$220,10,0),"")</f>
        <v/>
      </c>
      <c r="AE221" s="72" t="str">
        <f>IFERROR(VLOOKUP($D221,'FERC 2023'!$EA$3:$EN$221,10,0),"")</f>
        <v/>
      </c>
      <c r="AF221" s="72" t="str">
        <f>IFERROR(VLOOKUP($D221,'FERC 2021'!$EA$3:$EN$221,11,0),"")</f>
        <v/>
      </c>
      <c r="AG221" s="72" t="str">
        <f>IFERROR(VLOOKUP($D221,'FERC 2022'!$EA$3:$EN$220,11,0),"")</f>
        <v/>
      </c>
      <c r="AH221" s="72" t="str">
        <f>IFERROR(VLOOKUP($D221,'FERC 2023'!$EA$3:$EN$221,11,0),"")</f>
        <v/>
      </c>
      <c r="AI221" s="72" t="str">
        <f>IFERROR(VLOOKUP($D221,'FERC 2021'!$EA$3:$EN$221,12,0),"")</f>
        <v/>
      </c>
      <c r="AJ221" s="72" t="str">
        <f>IFERROR(VLOOKUP($D221,'FERC 2022'!$EA$3:$EN$220,12,0),"")</f>
        <v/>
      </c>
      <c r="AK221" s="72" t="str">
        <f>IFERROR(VLOOKUP($D221,'FERC 2023'!$EA$3:$EN$221,12,0),"")</f>
        <v/>
      </c>
      <c r="AL221" s="72" t="str">
        <f>VLOOKUP($D221,'FERC 2021'!$EA$3:$EN$221,13,0)</f>
        <v/>
      </c>
      <c r="AM221" s="72" t="str">
        <f>VLOOKUP($D221,'FERC 2022'!$EA$3:$EN$220,13,0)</f>
        <v/>
      </c>
      <c r="AN221" s="72" t="str">
        <f>VLOOKUP($D221,'FERC 2023'!$EA$3:$EN$221,13,0)</f>
        <v/>
      </c>
      <c r="AO221" s="72" t="str">
        <f>IFERROR(VLOOKUP($D221,'FERC 2021'!$EA$3:$EN$221,14,0),"")</f>
        <v/>
      </c>
      <c r="AP221" s="72" t="str">
        <f>IFERROR(VLOOKUP($D221,'FERC 2022'!$EA$3:$EN$220,14,0),"")</f>
        <v/>
      </c>
      <c r="AQ221" s="72" t="str">
        <f>IFERROR(VLOOKUP($D221,'FERC 2023'!$EA$3:$EN$221,14,0),"")</f>
        <v/>
      </c>
    </row>
    <row r="222" spans="1:43" ht="15.75" hidden="1" customHeight="1">
      <c r="A222" s="7" t="s">
        <v>859</v>
      </c>
      <c r="B222" s="7" t="s">
        <v>860</v>
      </c>
      <c r="C222" s="311" t="str">
        <f>'BD DEA'!P222</f>
        <v/>
      </c>
      <c r="D222" s="44" t="str">
        <f t="shared" si="0"/>
        <v>C011318</v>
      </c>
      <c r="E222" s="72">
        <f>IFERROR(VLOOKUP($D222,'FERC 2021'!$EA$3:$EN$221,2,0),"")</f>
        <v>82900944.020856619</v>
      </c>
      <c r="F222" s="72">
        <f>IFERROR(VLOOKUP($D222,'FERC 2022'!$EA$3:$EN$220,2,0),"")</f>
        <v>84226526.448983699</v>
      </c>
      <c r="G222" s="72">
        <f>IFERROR(VLOOKUP($D222,'FERC 2023'!$EA$3:$EN$221,2,0),"")</f>
        <v>84888831.895656943</v>
      </c>
      <c r="H222" s="72">
        <f>IFERROR(VLOOKUP($D222,'FERC 2021'!$EA$3:$EN$225,3,0),"")</f>
        <v>3409998.1448721853</v>
      </c>
      <c r="I222" s="72">
        <f>IFERROR(VLOOKUP($D222,'FERC 2022'!$EA$3:$EN$229,3,0),"")</f>
        <v>3401637.5594297932</v>
      </c>
      <c r="J222" s="72">
        <f>IFERROR(VLOOKUP($D222,'FERC 2023'!$EA$3:$EN$229,3,0),"")</f>
        <v>3282812.3840521402</v>
      </c>
      <c r="K222" s="72">
        <f>IFERROR(VLOOKUP($D222,'FERC 2021'!$EA$3:$EN$229,4,0),"")</f>
        <v>2029065.7624539034</v>
      </c>
      <c r="L222" s="72">
        <f>IFERROR(VLOOKUP($D222,'FERC 2022'!$EA$3:$EN$220,4,0),"")</f>
        <v>2154994.6659214883</v>
      </c>
      <c r="M222" s="72">
        <f>IFERROR(VLOOKUP($D222,'FERC 2023'!$EA$3:$EN$221,4,0),"")</f>
        <v>2005821.4637357565</v>
      </c>
      <c r="N222" s="72">
        <f>IFERROR(VLOOKUP($D222,'FERC 2021'!$EA$3:$EN$221,5,0),"")</f>
        <v>901435.42893439159</v>
      </c>
      <c r="O222" s="72">
        <f>IFERROR(VLOOKUP($D222,'FERC 2022'!$EA$3:$EN$220,5,0),"")</f>
        <v>841447.28273424634</v>
      </c>
      <c r="P222" s="72">
        <f>IFERROR(VLOOKUP($D222,'FERC 2023'!$EA$3:$EN$221,5,0),"")</f>
        <v>833852.63503900496</v>
      </c>
      <c r="Q222" s="72">
        <f>IFERROR(VLOOKUP($D222,'FERC 2021'!$EA$3:$EN$221,6,0),"")</f>
        <v>1801381.7545327642</v>
      </c>
      <c r="R222" s="72">
        <f>IFERROR(VLOOKUP($D222,'FERC 2022'!$EA$3:$EN$220,6,0),"")</f>
        <v>1927069.0971387415</v>
      </c>
      <c r="S222" s="72">
        <f>IFERROR(VLOOKUP($D222,'FERC 2023'!$EA$3:$EN$221,6,0),"")</f>
        <v>1815979.2038600207</v>
      </c>
      <c r="T222" s="72">
        <f>IFERROR(VLOOKUP($D222,'FERC 2021'!$EA$3:$EN$221,7,0),"")</f>
        <v>41.966000000000001</v>
      </c>
      <c r="U222" s="72">
        <f>IFERROR(VLOOKUP($D222,'FERC 2022'!$EA$3:$EN$220,7,0),"")</f>
        <v>40.180999999999997</v>
      </c>
      <c r="V222" s="72">
        <f>IFERROR(VLOOKUP($D222,'FERC 2023'!$EA$3:$EN$221,7,0),"")</f>
        <v>40.713000000000001</v>
      </c>
      <c r="W222" s="72">
        <f>IFERROR(VLOOKUP($D222,'FERC 2021'!$EA$3:$EN$221,8,0),"")</f>
        <v>14863</v>
      </c>
      <c r="X222" s="72">
        <f>IFERROR(VLOOKUP($D222,'FERC 2022'!$EA$3:$EN$220,8,0),"")</f>
        <v>14908</v>
      </c>
      <c r="Y222" s="72">
        <f>IFERROR(VLOOKUP($D222,'FERC 2023'!$EA$3:$EN$221,8,0),"")</f>
        <v>15020</v>
      </c>
      <c r="Z222" s="72">
        <f>IFERROR(VLOOKUP($D222,'FERC 2021'!$EA$3:$EN$222,9,0),"")</f>
        <v>14801.556</v>
      </c>
      <c r="AA222" s="72">
        <f>IFERROR(VLOOKUP($D222,'FERC 2022'!$EA$3:$EN$220,9,0),"")</f>
        <v>16725.304</v>
      </c>
      <c r="AB222" s="72">
        <f>IFERROR(VLOOKUP($D222,'FERC 2023'!$EA$3:$EN$221,9,0),"")</f>
        <v>14401.271000000001</v>
      </c>
      <c r="AC222" s="72">
        <f>IFERROR(VLOOKUP($D222,'FERC 2021'!$EA$3:$EN$221,10,0),"")</f>
        <v>182699.84400000001</v>
      </c>
      <c r="AD222" s="72">
        <f>IFERROR(VLOOKUP($D222,'FERC 2022'!$EA$3:$EN$220,10,0),"")</f>
        <v>180941.49299999999</v>
      </c>
      <c r="AE222" s="72">
        <f>IFERROR(VLOOKUP($D222,'FERC 2023'!$EA$3:$EN$221,10,0),"")</f>
        <v>178498.97</v>
      </c>
      <c r="AF222" s="72">
        <f>IFERROR(VLOOKUP($D222,'FERC 2021'!$EA$3:$EN$221,11,0),"")</f>
        <v>197501.40000000002</v>
      </c>
      <c r="AG222" s="72">
        <f>IFERROR(VLOOKUP($D222,'FERC 2022'!$EA$3:$EN$220,11,0),"")</f>
        <v>197666.79699999999</v>
      </c>
      <c r="AH222" s="72">
        <f>IFERROR(VLOOKUP($D222,'FERC 2023'!$EA$3:$EN$221,11,0),"")</f>
        <v>192900.24100000001</v>
      </c>
      <c r="AI222" s="72" t="str">
        <f>IFERROR(VLOOKUP($D222,'FERC 2021'!$EA$3:$EN$221,12,0),"")</f>
        <v/>
      </c>
      <c r="AJ222" s="72" t="str">
        <f>IFERROR(VLOOKUP($D222,'FERC 2022'!$EA$3:$EN$220,12,0),"")</f>
        <v/>
      </c>
      <c r="AK222" s="72" t="str">
        <f>IFERROR(VLOOKUP($D222,'FERC 2023'!$EA$3:$EN$221,12,0),"")</f>
        <v/>
      </c>
      <c r="AL222" s="72" t="e">
        <f>VLOOKUP($D222,'FERC 2021'!$EA$3:$EN$221,13,0)</f>
        <v>#VALUE!</v>
      </c>
      <c r="AM222" s="72" t="e">
        <f>VLOOKUP($D222,'FERC 2022'!$EA$3:$EN$220,13,0)</f>
        <v>#VALUE!</v>
      </c>
      <c r="AN222" s="72" t="e">
        <f>VLOOKUP($D222,'FERC 2023'!$EA$3:$EN$221,13,0)</f>
        <v>#VALUE!</v>
      </c>
      <c r="AO222" s="72">
        <f>IFERROR(VLOOKUP($D222,'FERC 2021'!$EA$3:$EN$221,14,0),"")</f>
        <v>95</v>
      </c>
      <c r="AP222" s="72">
        <f>IFERROR(VLOOKUP($D222,'FERC 2022'!$EA$3:$EN$220,14,0),"")</f>
        <v>96</v>
      </c>
      <c r="AQ222" s="72">
        <f>IFERROR(VLOOKUP($D222,'FERC 2023'!$EA$3:$EN$221,14,0),"")</f>
        <v>96</v>
      </c>
    </row>
    <row r="223" spans="1:43" ht="15.75" hidden="1" customHeight="1">
      <c r="A223" s="7" t="s">
        <v>862</v>
      </c>
      <c r="B223" s="7" t="s">
        <v>863</v>
      </c>
      <c r="C223" s="311" t="str">
        <f>'BD DEA'!P223</f>
        <v/>
      </c>
      <c r="D223" s="44" t="str">
        <f t="shared" si="0"/>
        <v>C011423</v>
      </c>
      <c r="E223" s="72">
        <f>IFERROR(VLOOKUP($D223,'FERC 2021'!$EA$3:$EN$221,2,0),"")</f>
        <v>501814560.33048296</v>
      </c>
      <c r="F223" s="72">
        <f>IFERROR(VLOOKUP($D223,'FERC 2022'!$EA$3:$EN$220,2,0),"")</f>
        <v>498189600.28407955</v>
      </c>
      <c r="G223" s="72">
        <f>IFERROR(VLOOKUP($D223,'FERC 2023'!$EA$3:$EN$221,2,0),"")</f>
        <v>500157339.57175761</v>
      </c>
      <c r="H223" s="72">
        <f>IFERROR(VLOOKUP($D223,'FERC 2021'!$EA$3:$EN$225,3,0),"")</f>
        <v>33449923.047949962</v>
      </c>
      <c r="I223" s="72">
        <f>IFERROR(VLOOKUP($D223,'FERC 2022'!$EA$3:$EN$229,3,0),"")</f>
        <v>32710286.857761171</v>
      </c>
      <c r="J223" s="72">
        <f>IFERROR(VLOOKUP($D223,'FERC 2023'!$EA$3:$EN$229,3,0),"")</f>
        <v>32809834.66518496</v>
      </c>
      <c r="K223" s="72">
        <f>IFERROR(VLOOKUP($D223,'FERC 2021'!$EA$3:$EN$229,4,0),"")</f>
        <v>8886687.8693596907</v>
      </c>
      <c r="L223" s="72">
        <f>IFERROR(VLOOKUP($D223,'FERC 2022'!$EA$3:$EN$220,4,0),"")</f>
        <v>8720859.2365414221</v>
      </c>
      <c r="M223" s="72">
        <f>IFERROR(VLOOKUP($D223,'FERC 2023'!$EA$3:$EN$221,4,0),"")</f>
        <v>8237983.1923476076</v>
      </c>
      <c r="N223" s="72">
        <f>IFERROR(VLOOKUP($D223,'FERC 2021'!$EA$3:$EN$221,5,0),"")</f>
        <v>3297464.9320288538</v>
      </c>
      <c r="O223" s="72">
        <f>IFERROR(VLOOKUP($D223,'FERC 2022'!$EA$3:$EN$220,5,0),"")</f>
        <v>3239834.3555967705</v>
      </c>
      <c r="P223" s="72">
        <f>IFERROR(VLOOKUP($D223,'FERC 2023'!$EA$3:$EN$221,5,0),"")</f>
        <v>3359509.178544526</v>
      </c>
      <c r="Q223" s="72">
        <f>IFERROR(VLOOKUP($D223,'FERC 2021'!$EA$3:$EN$221,6,0),"")</f>
        <v>5891552.7787655517</v>
      </c>
      <c r="R223" s="72">
        <f>IFERROR(VLOOKUP($D223,'FERC 2022'!$EA$3:$EN$220,6,0),"")</f>
        <v>6325471.911381688</v>
      </c>
      <c r="S223" s="72">
        <f>IFERROR(VLOOKUP($D223,'FERC 2023'!$EA$3:$EN$221,6,0),"")</f>
        <v>6435460.7702764049</v>
      </c>
      <c r="T223" s="72">
        <f>IFERROR(VLOOKUP($D223,'FERC 2021'!$EA$3:$EN$221,7,0),"")</f>
        <v>363.31</v>
      </c>
      <c r="U223" s="72">
        <f>IFERROR(VLOOKUP($D223,'FERC 2022'!$EA$3:$EN$220,7,0),"")</f>
        <v>388</v>
      </c>
      <c r="V223" s="72">
        <f>IFERROR(VLOOKUP($D223,'FERC 2023'!$EA$3:$EN$221,7,0),"")</f>
        <v>375</v>
      </c>
      <c r="W223" s="72">
        <f>IFERROR(VLOOKUP($D223,'FERC 2021'!$EA$3:$EN$221,8,0),"")</f>
        <v>49941</v>
      </c>
      <c r="X223" s="72">
        <f>IFERROR(VLOOKUP($D223,'FERC 2022'!$EA$3:$EN$220,8,0),"")</f>
        <v>50085</v>
      </c>
      <c r="Y223" s="72">
        <f>IFERROR(VLOOKUP($D223,'FERC 2023'!$EA$3:$EN$221,8,0),"")</f>
        <v>50292</v>
      </c>
      <c r="Z223" s="72">
        <f>IFERROR(VLOOKUP($D223,'FERC 2021'!$EA$3:$EN$222,9,0),"")</f>
        <v>187519</v>
      </c>
      <c r="AA223" s="72">
        <f>IFERROR(VLOOKUP($D223,'FERC 2022'!$EA$3:$EN$220,9,0),"")</f>
        <v>208654</v>
      </c>
      <c r="AB223" s="72">
        <f>IFERROR(VLOOKUP($D223,'FERC 2023'!$EA$3:$EN$221,9,0),"")</f>
        <v>194878</v>
      </c>
      <c r="AC223" s="72">
        <f>IFERROR(VLOOKUP($D223,'FERC 2021'!$EA$3:$EN$221,10,0),"")</f>
        <v>1413552</v>
      </c>
      <c r="AD223" s="72">
        <f>IFERROR(VLOOKUP($D223,'FERC 2022'!$EA$3:$EN$220,10,0),"")</f>
        <v>1486255</v>
      </c>
      <c r="AE223" s="72">
        <f>IFERROR(VLOOKUP($D223,'FERC 2023'!$EA$3:$EN$221,10,0),"")</f>
        <v>1485011</v>
      </c>
      <c r="AF223" s="72">
        <f>IFERROR(VLOOKUP($D223,'FERC 2021'!$EA$3:$EN$221,11,0),"")</f>
        <v>1598896.1522842639</v>
      </c>
      <c r="AG223" s="72">
        <f>IFERROR(VLOOKUP($D223,'FERC 2022'!$EA$3:$EN$220,11,0),"")</f>
        <v>1692719.9441624365</v>
      </c>
      <c r="AH223" s="72">
        <f>IFERROR(VLOOKUP($D223,'FERC 2023'!$EA$3:$EN$221,11,0),"")</f>
        <v>1677759.304568528</v>
      </c>
      <c r="AI223" s="72">
        <f>IFERROR(VLOOKUP($D223,'FERC 2021'!$EA$3:$EN$221,12,0),"")</f>
        <v>8120406.5999999996</v>
      </c>
      <c r="AJ223" s="72">
        <f>IFERROR(VLOOKUP($D223,'FERC 2022'!$EA$3:$EN$220,12,0),"")</f>
        <v>8985249</v>
      </c>
      <c r="AK223" s="72">
        <f>IFERROR(VLOOKUP($D223,'FERC 2023'!$EA$3:$EN$221,12,0),"")</f>
        <v>8177479.1999999993</v>
      </c>
      <c r="AL223" s="72">
        <f>VLOOKUP($D223,'FERC 2021'!$EA$3:$EN$221,13,0)</f>
        <v>119858.4</v>
      </c>
      <c r="AM223" s="72">
        <f>VLOOKUP($D223,'FERC 2022'!$EA$3:$EN$220,13,0)</f>
        <v>107181.90000000001</v>
      </c>
      <c r="AN223" s="72">
        <f>VLOOKUP($D223,'FERC 2023'!$EA$3:$EN$221,13,0)</f>
        <v>75940.92</v>
      </c>
      <c r="AO223" s="72">
        <f>IFERROR(VLOOKUP($D223,'FERC 2021'!$EA$3:$EN$221,14,0),"")</f>
        <v>50051</v>
      </c>
      <c r="AP223" s="72">
        <f>IFERROR(VLOOKUP($D223,'FERC 2022'!$EA$3:$EN$220,14,0),"")</f>
        <v>50306</v>
      </c>
      <c r="AQ223" s="72">
        <f>IFERROR(VLOOKUP($D223,'FERC 2023'!$EA$3:$EN$221,14,0),"")</f>
        <v>50335</v>
      </c>
    </row>
    <row r="224" spans="1:43" ht="15.75" hidden="1" customHeight="1">
      <c r="A224" s="7" t="s">
        <v>865</v>
      </c>
      <c r="B224" s="7" t="s">
        <v>866</v>
      </c>
      <c r="C224" s="311" t="str">
        <f>'BD DEA'!P224</f>
        <v/>
      </c>
      <c r="D224" s="44" t="str">
        <f t="shared" si="0"/>
        <v>C011644</v>
      </c>
      <c r="E224" s="72">
        <f>IFERROR(VLOOKUP($D224,'FERC 2021'!$EA$3:$EN$221,2,0),"")</f>
        <v>13406864.239913451</v>
      </c>
      <c r="F224" s="72">
        <f>IFERROR(VLOOKUP($D224,'FERC 2022'!$EA$3:$EN$220,2,0),"")</f>
        <v>13492715.914561553</v>
      </c>
      <c r="G224" s="72" t="str">
        <f>IFERROR(VLOOKUP($D224,'FERC 2023'!$EA$3:$EN$221,2,0),"")</f>
        <v/>
      </c>
      <c r="H224" s="72">
        <f>IFERROR(VLOOKUP($D224,'FERC 2021'!$EA$3:$EN$225,3,0),"")</f>
        <v>851050.49041127809</v>
      </c>
      <c r="I224" s="72">
        <f>IFERROR(VLOOKUP($D224,'FERC 2022'!$EA$3:$EN$229,3,0),"")</f>
        <v>834960.62718985556</v>
      </c>
      <c r="J224" s="72" t="str">
        <f>IFERROR(VLOOKUP($D224,'FERC 2023'!$EA$3:$EN$229,3,0),"")</f>
        <v/>
      </c>
      <c r="K224" s="72">
        <f>IFERROR(VLOOKUP($D224,'FERC 2021'!$EA$3:$EN$229,4,0),"")</f>
        <v>321539.32081803057</v>
      </c>
      <c r="L224" s="72">
        <f>IFERROR(VLOOKUP($D224,'FERC 2022'!$EA$3:$EN$220,4,0),"")</f>
        <v>526305.76158189017</v>
      </c>
      <c r="M224" s="72" t="str">
        <f>IFERROR(VLOOKUP($D224,'FERC 2023'!$EA$3:$EN$221,4,0),"")</f>
        <v/>
      </c>
      <c r="N224" s="72">
        <f>IFERROR(VLOOKUP($D224,'FERC 2021'!$EA$3:$EN$221,5,0),"")</f>
        <v>116661.43899779777</v>
      </c>
      <c r="O224" s="72">
        <f>IFERROR(VLOOKUP($D224,'FERC 2022'!$EA$3:$EN$220,5,0),"")</f>
        <v>125942.74278950646</v>
      </c>
      <c r="P224" s="72" t="str">
        <f>IFERROR(VLOOKUP($D224,'FERC 2023'!$EA$3:$EN$221,5,0),"")</f>
        <v/>
      </c>
      <c r="Q224" s="72">
        <f>IFERROR(VLOOKUP($D224,'FERC 2021'!$EA$3:$EN$221,6,0),"")</f>
        <v>704472.84062074567</v>
      </c>
      <c r="R224" s="72">
        <f>IFERROR(VLOOKUP($D224,'FERC 2022'!$EA$3:$EN$220,6,0),"")</f>
        <v>754012.47383327724</v>
      </c>
      <c r="S224" s="72" t="str">
        <f>IFERROR(VLOOKUP($D224,'FERC 2023'!$EA$3:$EN$221,6,0),"")</f>
        <v/>
      </c>
      <c r="T224" s="72">
        <f>IFERROR(VLOOKUP($D224,'FERC 2021'!$EA$3:$EN$221,7,0),"")</f>
        <v>7.875</v>
      </c>
      <c r="U224" s="72">
        <f>IFERROR(VLOOKUP($D224,'FERC 2022'!$EA$3:$EN$220,7,0),"")</f>
        <v>7.452</v>
      </c>
      <c r="V224" s="72" t="str">
        <f>IFERROR(VLOOKUP($D224,'FERC 2023'!$EA$3:$EN$221,7,0),"")</f>
        <v/>
      </c>
      <c r="W224" s="72">
        <f>IFERROR(VLOOKUP($D224,'FERC 2021'!$EA$3:$EN$221,8,0),"")</f>
        <v>2535</v>
      </c>
      <c r="X224" s="72">
        <f>IFERROR(VLOOKUP($D224,'FERC 2022'!$EA$3:$EN$220,8,0),"")</f>
        <v>2451</v>
      </c>
      <c r="Y224" s="72" t="str">
        <f>IFERROR(VLOOKUP($D224,'FERC 2023'!$EA$3:$EN$221,8,0),"")</f>
        <v/>
      </c>
      <c r="Z224" s="72">
        <f>IFERROR(VLOOKUP($D224,'FERC 2021'!$EA$3:$EN$222,9,0),"")</f>
        <v>2168</v>
      </c>
      <c r="AA224" s="72">
        <f>IFERROR(VLOOKUP($D224,'FERC 2022'!$EA$3:$EN$220,9,0),"")</f>
        <v>1659</v>
      </c>
      <c r="AB224" s="72" t="str">
        <f>IFERROR(VLOOKUP($D224,'FERC 2023'!$EA$3:$EN$221,9,0),"")</f>
        <v/>
      </c>
      <c r="AC224" s="72">
        <f>IFERROR(VLOOKUP($D224,'FERC 2021'!$EA$3:$EN$221,10,0),"")</f>
        <v>18188</v>
      </c>
      <c r="AD224" s="72">
        <f>IFERROR(VLOOKUP($D224,'FERC 2022'!$EA$3:$EN$220,10,0),"")</f>
        <v>18328</v>
      </c>
      <c r="AE224" s="72" t="str">
        <f>IFERROR(VLOOKUP($D224,'FERC 2023'!$EA$3:$EN$221,10,0),"")</f>
        <v/>
      </c>
      <c r="AF224" s="72">
        <f>IFERROR(VLOOKUP($D224,'FERC 2021'!$EA$3:$EN$221,11,0),"")</f>
        <v>20159.766497461929</v>
      </c>
      <c r="AG224" s="72">
        <f>IFERROR(VLOOKUP($D224,'FERC 2022'!$EA$3:$EN$220,11,0),"")</f>
        <v>19791.040609137053</v>
      </c>
      <c r="AH224" s="72" t="str">
        <f>IFERROR(VLOOKUP($D224,'FERC 2023'!$EA$3:$EN$221,11,0),"")</f>
        <v/>
      </c>
      <c r="AI224" s="72" t="str">
        <f>IFERROR(VLOOKUP($D224,'FERC 2021'!$EA$3:$EN$221,12,0),"")</f>
        <v/>
      </c>
      <c r="AJ224" s="72" t="str">
        <f>IFERROR(VLOOKUP($D224,'FERC 2022'!$EA$3:$EN$220,12,0),"")</f>
        <v/>
      </c>
      <c r="AK224" s="72" t="str">
        <f>IFERROR(VLOOKUP($D224,'FERC 2023'!$EA$3:$EN$221,12,0),"")</f>
        <v/>
      </c>
      <c r="AL224" s="72" t="e">
        <f>VLOOKUP($D224,'FERC 2021'!$EA$3:$EN$221,13,0)</f>
        <v>#VALUE!</v>
      </c>
      <c r="AM224" s="72" t="e">
        <f>VLOOKUP($D224,'FERC 2022'!$EA$3:$EN$220,13,0)</f>
        <v>#VALUE!</v>
      </c>
      <c r="AN224" s="72" t="str">
        <f>VLOOKUP($D224,'FERC 2023'!$EA$3:$EN$221,13,0)</f>
        <v/>
      </c>
      <c r="AO224" s="72">
        <f>IFERROR(VLOOKUP($D224,'FERC 2021'!$EA$3:$EN$221,14,0),"")</f>
        <v>2270</v>
      </c>
      <c r="AP224" s="72">
        <f>IFERROR(VLOOKUP($D224,'FERC 2022'!$EA$3:$EN$220,14,0),"")</f>
        <v>2264</v>
      </c>
      <c r="AQ224" s="72" t="str">
        <f>IFERROR(VLOOKUP($D224,'FERC 2023'!$EA$3:$EN$221,14,0),"")</f>
        <v/>
      </c>
    </row>
    <row r="225" spans="1:43" ht="15.75" hidden="1" customHeight="1">
      <c r="A225" s="7" t="s">
        <v>1302</v>
      </c>
      <c r="B225" s="7" t="s">
        <v>1303</v>
      </c>
      <c r="C225" s="311" t="str">
        <f>'BD DEA'!P225</f>
        <v/>
      </c>
      <c r="D225" s="44" t="str">
        <f t="shared" si="0"/>
        <v>C011745</v>
      </c>
      <c r="E225" s="72" t="str">
        <f>IFERROR(VLOOKUP($D225,'FERC 2021'!$EA$3:$EN$221,2,0),"")</f>
        <v/>
      </c>
      <c r="F225" s="72" t="str">
        <f>IFERROR(VLOOKUP($D225,'FERC 2022'!$EA$3:$EN$220,2,0),"")</f>
        <v/>
      </c>
      <c r="G225" s="72" t="str">
        <f>IFERROR(VLOOKUP($D225,'FERC 2023'!$EA$3:$EN$221,2,0),"")</f>
        <v/>
      </c>
      <c r="H225" s="72" t="str">
        <f>IFERROR(VLOOKUP($D225,'FERC 2021'!$EA$3:$EN$225,3,0),"")</f>
        <v/>
      </c>
      <c r="I225" s="72" t="str">
        <f>IFERROR(VLOOKUP($D225,'FERC 2022'!$EA$3:$EN$229,3,0),"")</f>
        <v/>
      </c>
      <c r="J225" s="72" t="str">
        <f>IFERROR(VLOOKUP($D225,'FERC 2023'!$EA$3:$EN$229,3,0),"")</f>
        <v/>
      </c>
      <c r="K225" s="72" t="str">
        <f>IFERROR(VLOOKUP($D225,'FERC 2021'!$EA$3:$EN$229,4,0),"")</f>
        <v/>
      </c>
      <c r="L225" s="72" t="str">
        <f>IFERROR(VLOOKUP($D225,'FERC 2022'!$EA$3:$EN$220,4,0),"")</f>
        <v/>
      </c>
      <c r="M225" s="72" t="str">
        <f>IFERROR(VLOOKUP($D225,'FERC 2023'!$EA$3:$EN$221,4,0),"")</f>
        <v/>
      </c>
      <c r="N225" s="72" t="str">
        <f>IFERROR(VLOOKUP($D225,'FERC 2021'!$EA$3:$EN$221,5,0),"")</f>
        <v/>
      </c>
      <c r="O225" s="72" t="str">
        <f>IFERROR(VLOOKUP($D225,'FERC 2022'!$EA$3:$EN$220,5,0),"")</f>
        <v/>
      </c>
      <c r="P225" s="72" t="str">
        <f>IFERROR(VLOOKUP($D225,'FERC 2023'!$EA$3:$EN$221,5,0),"")</f>
        <v/>
      </c>
      <c r="Q225" s="72" t="str">
        <f>IFERROR(VLOOKUP($D225,'FERC 2021'!$EA$3:$EN$221,6,0),"")</f>
        <v/>
      </c>
      <c r="R225" s="72" t="str">
        <f>IFERROR(VLOOKUP($D225,'FERC 2022'!$EA$3:$EN$220,6,0),"")</f>
        <v/>
      </c>
      <c r="S225" s="72" t="str">
        <f>IFERROR(VLOOKUP($D225,'FERC 2023'!$EA$3:$EN$221,6,0),"")</f>
        <v/>
      </c>
      <c r="T225" s="72" t="str">
        <f>IFERROR(VLOOKUP($D225,'FERC 2021'!$EA$3:$EN$221,7,0),"")</f>
        <v/>
      </c>
      <c r="U225" s="72" t="str">
        <f>IFERROR(VLOOKUP($D225,'FERC 2022'!$EA$3:$EN$220,7,0),"")</f>
        <v/>
      </c>
      <c r="V225" s="72" t="str">
        <f>IFERROR(VLOOKUP($D225,'FERC 2023'!$EA$3:$EN$221,7,0),"")</f>
        <v/>
      </c>
      <c r="W225" s="72" t="str">
        <f>IFERROR(VLOOKUP($D225,'FERC 2021'!$EA$3:$EN$221,8,0),"")</f>
        <v/>
      </c>
      <c r="X225" s="72" t="str">
        <f>IFERROR(VLOOKUP($D225,'FERC 2022'!$EA$3:$EN$220,8,0),"")</f>
        <v/>
      </c>
      <c r="Y225" s="72" t="str">
        <f>IFERROR(VLOOKUP($D225,'FERC 2023'!$EA$3:$EN$221,8,0),"")</f>
        <v/>
      </c>
      <c r="Z225" s="72" t="str">
        <f>IFERROR(VLOOKUP($D225,'FERC 2021'!$EA$3:$EN$222,9,0),"")</f>
        <v/>
      </c>
      <c r="AA225" s="72" t="str">
        <f>IFERROR(VLOOKUP($D225,'FERC 2022'!$EA$3:$EN$220,9,0),"")</f>
        <v/>
      </c>
      <c r="AB225" s="72" t="str">
        <f>IFERROR(VLOOKUP($D225,'FERC 2023'!$EA$3:$EN$221,9,0),"")</f>
        <v/>
      </c>
      <c r="AC225" s="72" t="str">
        <f>IFERROR(VLOOKUP($D225,'FERC 2021'!$EA$3:$EN$221,10,0),"")</f>
        <v/>
      </c>
      <c r="AD225" s="72" t="str">
        <f>IFERROR(VLOOKUP($D225,'FERC 2022'!$EA$3:$EN$220,10,0),"")</f>
        <v/>
      </c>
      <c r="AE225" s="72" t="str">
        <f>IFERROR(VLOOKUP($D225,'FERC 2023'!$EA$3:$EN$221,10,0),"")</f>
        <v/>
      </c>
      <c r="AF225" s="72" t="str">
        <f>IFERROR(VLOOKUP($D225,'FERC 2021'!$EA$3:$EN$221,11,0),"")</f>
        <v/>
      </c>
      <c r="AG225" s="72" t="str">
        <f>IFERROR(VLOOKUP($D225,'FERC 2022'!$EA$3:$EN$220,11,0),"")</f>
        <v/>
      </c>
      <c r="AH225" s="72" t="str">
        <f>IFERROR(VLOOKUP($D225,'FERC 2023'!$EA$3:$EN$221,11,0),"")</f>
        <v/>
      </c>
      <c r="AI225" s="72" t="str">
        <f>IFERROR(VLOOKUP($D225,'FERC 2021'!$EA$3:$EN$221,12,0),"")</f>
        <v/>
      </c>
      <c r="AJ225" s="72" t="str">
        <f>IFERROR(VLOOKUP($D225,'FERC 2022'!$EA$3:$EN$220,12,0),"")</f>
        <v/>
      </c>
      <c r="AK225" s="72" t="str">
        <f>IFERROR(VLOOKUP($D225,'FERC 2023'!$EA$3:$EN$221,12,0),"")</f>
        <v/>
      </c>
      <c r="AL225" s="72" t="e">
        <f>VLOOKUP($D225,'FERC 2021'!$EA$3:$EN$221,13,0)</f>
        <v>#N/A</v>
      </c>
      <c r="AM225" s="72" t="e">
        <f>VLOOKUP($D225,'FERC 2022'!$EA$3:$EN$220,13,0)</f>
        <v>#N/A</v>
      </c>
      <c r="AN225" s="72" t="str">
        <f>VLOOKUP($D225,'FERC 2023'!$EA$3:$EN$221,13,0)</f>
        <v/>
      </c>
      <c r="AO225" s="72" t="str">
        <f>IFERROR(VLOOKUP($D225,'FERC 2021'!$EA$3:$EN$221,14,0),"")</f>
        <v/>
      </c>
      <c r="AP225" s="72" t="str">
        <f>IFERROR(VLOOKUP($D225,'FERC 2022'!$EA$3:$EN$220,14,0),"")</f>
        <v/>
      </c>
      <c r="AQ225" s="72" t="str">
        <f>IFERROR(VLOOKUP($D225,'FERC 2023'!$EA$3:$EN$221,14,0),"")</f>
        <v/>
      </c>
    </row>
    <row r="226" spans="1:43" ht="15.75" hidden="1" customHeight="1">
      <c r="A226" s="7" t="s">
        <v>1083</v>
      </c>
      <c r="B226" s="7" t="s">
        <v>1084</v>
      </c>
      <c r="C226" s="311" t="str">
        <f>'BD DEA'!P226</f>
        <v/>
      </c>
      <c r="D226" s="44" t="str">
        <f t="shared" si="0"/>
        <v>C011785</v>
      </c>
      <c r="E226" s="72" t="str">
        <f>IFERROR(VLOOKUP($D226,'FERC 2021'!$EA$3:$EN$221,2,0),"")</f>
        <v/>
      </c>
      <c r="F226" s="72">
        <f>IFERROR(VLOOKUP($D226,'FERC 2022'!$EA$3:$EN$220,2,0),"")</f>
        <v>699319060.33700681</v>
      </c>
      <c r="G226" s="72">
        <f>IFERROR(VLOOKUP($D226,'FERC 2023'!$EA$3:$EN$221,2,0),"")</f>
        <v>705925282.5915544</v>
      </c>
      <c r="H226" s="72" t="str">
        <f>IFERROR(VLOOKUP($D226,'FERC 2021'!$EA$3:$EN$225,3,0),"")</f>
        <v/>
      </c>
      <c r="I226" s="72">
        <f>IFERROR(VLOOKUP($D226,'FERC 2022'!$EA$3:$EN$229,3,0),"")</f>
        <v>23404286.432016771</v>
      </c>
      <c r="J226" s="72">
        <f>IFERROR(VLOOKUP($D226,'FERC 2023'!$EA$3:$EN$229,3,0),"")</f>
        <v>23592729.219005931</v>
      </c>
      <c r="K226" s="72" t="str">
        <f>IFERROR(VLOOKUP($D226,'FERC 2021'!$EA$3:$EN$229,4,0),"")</f>
        <v/>
      </c>
      <c r="L226" s="72">
        <f>IFERROR(VLOOKUP($D226,'FERC 2022'!$EA$3:$EN$220,4,0),"")</f>
        <v>17951525.400863592</v>
      </c>
      <c r="M226" s="72">
        <f>IFERROR(VLOOKUP($D226,'FERC 2023'!$EA$3:$EN$221,4,0),"")</f>
        <v>21445070.646913793</v>
      </c>
      <c r="N226" s="72" t="str">
        <f>IFERROR(VLOOKUP($D226,'FERC 2021'!$EA$3:$EN$221,5,0),"")</f>
        <v/>
      </c>
      <c r="O226" s="72">
        <f>IFERROR(VLOOKUP($D226,'FERC 2022'!$EA$3:$EN$220,5,0),"")</f>
        <v>3351199.0384763931</v>
      </c>
      <c r="P226" s="72">
        <f>IFERROR(VLOOKUP($D226,'FERC 2023'!$EA$3:$EN$221,5,0),"")</f>
        <v>3044191.5164063619</v>
      </c>
      <c r="Q226" s="72" t="str">
        <f>IFERROR(VLOOKUP($D226,'FERC 2021'!$EA$3:$EN$221,6,0),"")</f>
        <v/>
      </c>
      <c r="R226" s="72">
        <f>IFERROR(VLOOKUP($D226,'FERC 2022'!$EA$3:$EN$220,6,0),"")</f>
        <v>6168116.4022985352</v>
      </c>
      <c r="S226" s="72">
        <f>IFERROR(VLOOKUP($D226,'FERC 2023'!$EA$3:$EN$221,6,0),"")</f>
        <v>7007491.9644861966</v>
      </c>
      <c r="T226" s="72" t="str">
        <f>IFERROR(VLOOKUP($D226,'FERC 2021'!$EA$3:$EN$221,7,0),"")</f>
        <v/>
      </c>
      <c r="U226" s="72">
        <f>IFERROR(VLOOKUP($D226,'FERC 2022'!$EA$3:$EN$220,7,0),"")</f>
        <v>648</v>
      </c>
      <c r="V226" s="72">
        <f>IFERROR(VLOOKUP($D226,'FERC 2023'!$EA$3:$EN$221,7,0),"")</f>
        <v>818</v>
      </c>
      <c r="W226" s="72" t="str">
        <f>IFERROR(VLOOKUP($D226,'FERC 2021'!$EA$3:$EN$221,8,0),"")</f>
        <v/>
      </c>
      <c r="X226" s="72">
        <f>IFERROR(VLOOKUP($D226,'FERC 2022'!$EA$3:$EN$220,8,0),"")</f>
        <v>21003</v>
      </c>
      <c r="Y226" s="72">
        <f>IFERROR(VLOOKUP($D226,'FERC 2023'!$EA$3:$EN$221,8,0),"")</f>
        <v>21124</v>
      </c>
      <c r="Z226" s="72" t="str">
        <f>IFERROR(VLOOKUP($D226,'FERC 2021'!$EA$3:$EN$222,9,0),"")</f>
        <v/>
      </c>
      <c r="AA226" s="72">
        <f>IFERROR(VLOOKUP($D226,'FERC 2022'!$EA$3:$EN$220,9,0),"")</f>
        <v>91959</v>
      </c>
      <c r="AB226" s="72">
        <f>IFERROR(VLOOKUP($D226,'FERC 2023'!$EA$3:$EN$221,9,0),"")</f>
        <v>98206</v>
      </c>
      <c r="AC226" s="72" t="str">
        <f>IFERROR(VLOOKUP($D226,'FERC 2021'!$EA$3:$EN$221,10,0),"")</f>
        <v/>
      </c>
      <c r="AD226" s="72">
        <f>IFERROR(VLOOKUP($D226,'FERC 2022'!$EA$3:$EN$220,10,0),"")</f>
        <v>4091405</v>
      </c>
      <c r="AE226" s="72">
        <f>IFERROR(VLOOKUP($D226,'FERC 2023'!$EA$3:$EN$221,10,0),"")</f>
        <v>5665701</v>
      </c>
      <c r="AF226" s="72" t="str">
        <f>IFERROR(VLOOKUP($D226,'FERC 2021'!$EA$3:$EN$221,11,0),"")</f>
        <v/>
      </c>
      <c r="AG226" s="72">
        <f>IFERROR(VLOOKUP($D226,'FERC 2022'!$EA$3:$EN$220,11,0),"")</f>
        <v>4183364</v>
      </c>
      <c r="AH226" s="72">
        <f>IFERROR(VLOOKUP($D226,'FERC 2023'!$EA$3:$EN$221,11,0),"")</f>
        <v>5763907</v>
      </c>
      <c r="AI226" s="72" t="str">
        <f>IFERROR(VLOOKUP($D226,'FERC 2021'!$EA$3:$EN$221,12,0),"")</f>
        <v/>
      </c>
      <c r="AJ226" s="72" t="str">
        <f>IFERROR(VLOOKUP($D226,'FERC 2022'!$EA$3:$EN$220,12,0),"")</f>
        <v/>
      </c>
      <c r="AK226" s="72" t="str">
        <f>IFERROR(VLOOKUP($D226,'FERC 2023'!$EA$3:$EN$221,12,0),"")</f>
        <v/>
      </c>
      <c r="AL226" s="72" t="e">
        <f>VLOOKUP($D226,'FERC 2021'!$EA$3:$EN$221,13,0)</f>
        <v>#N/A</v>
      </c>
      <c r="AM226" s="72" t="e">
        <f>VLOOKUP($D226,'FERC 2022'!$EA$3:$EN$220,13,0)</f>
        <v>#VALUE!</v>
      </c>
      <c r="AN226" s="72" t="e">
        <f>VLOOKUP($D226,'FERC 2023'!$EA$3:$EN$221,13,0)</f>
        <v>#VALUE!</v>
      </c>
      <c r="AO226" s="72" t="str">
        <f>IFERROR(VLOOKUP($D226,'FERC 2021'!$EA$3:$EN$221,14,0),"")</f>
        <v/>
      </c>
      <c r="AP226" s="72">
        <f>IFERROR(VLOOKUP($D226,'FERC 2022'!$EA$3:$EN$220,14,0),"")</f>
        <v>0</v>
      </c>
      <c r="AQ226" s="72">
        <f>IFERROR(VLOOKUP($D226,'FERC 2023'!$EA$3:$EN$221,14,0),"")</f>
        <v>0</v>
      </c>
    </row>
    <row r="227" spans="1:43" ht="15.75" hidden="1" customHeight="1">
      <c r="A227" s="7" t="s">
        <v>1318</v>
      </c>
      <c r="B227" s="7" t="s">
        <v>1319</v>
      </c>
      <c r="C227" s="311" t="str">
        <f>'BD DEA'!P227</f>
        <v/>
      </c>
      <c r="D227" s="44" t="str">
        <f t="shared" si="0"/>
        <v>C011902</v>
      </c>
      <c r="E227" s="72" t="str">
        <f>IFERROR(VLOOKUP($D227,'FERC 2021'!$EA$3:$EN$221,2,0),"")</f>
        <v/>
      </c>
      <c r="F227" s="72" t="str">
        <f>IFERROR(VLOOKUP($D227,'FERC 2022'!$EA$3:$EN$220,2,0),"")</f>
        <v/>
      </c>
      <c r="G227" s="72" t="str">
        <f>IFERROR(VLOOKUP($D227,'FERC 2023'!$EA$3:$EN$221,2,0),"")</f>
        <v/>
      </c>
      <c r="H227" s="72" t="str">
        <f>IFERROR(VLOOKUP($D227,'FERC 2021'!$EA$3:$EN$225,3,0),"")</f>
        <v/>
      </c>
      <c r="I227" s="72" t="str">
        <f>IFERROR(VLOOKUP($D227,'FERC 2022'!$EA$3:$EN$229,3,0),"")</f>
        <v/>
      </c>
      <c r="J227" s="72" t="str">
        <f>IFERROR(VLOOKUP($D227,'FERC 2023'!$EA$3:$EN$229,3,0),"")</f>
        <v/>
      </c>
      <c r="K227" s="72" t="str">
        <f>IFERROR(VLOOKUP($D227,'FERC 2021'!$EA$3:$EN$229,4,0),"")</f>
        <v/>
      </c>
      <c r="L227" s="72" t="str">
        <f>IFERROR(VLOOKUP($D227,'FERC 2022'!$EA$3:$EN$220,4,0),"")</f>
        <v/>
      </c>
      <c r="M227" s="72" t="str">
        <f>IFERROR(VLOOKUP($D227,'FERC 2023'!$EA$3:$EN$221,4,0),"")</f>
        <v/>
      </c>
      <c r="N227" s="72" t="str">
        <f>IFERROR(VLOOKUP($D227,'FERC 2021'!$EA$3:$EN$221,5,0),"")</f>
        <v/>
      </c>
      <c r="O227" s="72" t="str">
        <f>IFERROR(VLOOKUP($D227,'FERC 2022'!$EA$3:$EN$220,5,0),"")</f>
        <v/>
      </c>
      <c r="P227" s="72" t="str">
        <f>IFERROR(VLOOKUP($D227,'FERC 2023'!$EA$3:$EN$221,5,0),"")</f>
        <v/>
      </c>
      <c r="Q227" s="72" t="str">
        <f>IFERROR(VLOOKUP($D227,'FERC 2021'!$EA$3:$EN$221,6,0),"")</f>
        <v/>
      </c>
      <c r="R227" s="72" t="str">
        <f>IFERROR(VLOOKUP($D227,'FERC 2022'!$EA$3:$EN$220,6,0),"")</f>
        <v/>
      </c>
      <c r="S227" s="72" t="str">
        <f>IFERROR(VLOOKUP($D227,'FERC 2023'!$EA$3:$EN$221,6,0),"")</f>
        <v/>
      </c>
      <c r="T227" s="72" t="str">
        <f>IFERROR(VLOOKUP($D227,'FERC 2021'!$EA$3:$EN$221,7,0),"")</f>
        <v/>
      </c>
      <c r="U227" s="72" t="str">
        <f>IFERROR(VLOOKUP($D227,'FERC 2022'!$EA$3:$EN$220,7,0),"")</f>
        <v/>
      </c>
      <c r="V227" s="72" t="str">
        <f>IFERROR(VLOOKUP($D227,'FERC 2023'!$EA$3:$EN$221,7,0),"")</f>
        <v/>
      </c>
      <c r="W227" s="72" t="str">
        <f>IFERROR(VLOOKUP($D227,'FERC 2021'!$EA$3:$EN$221,8,0),"")</f>
        <v/>
      </c>
      <c r="X227" s="72" t="str">
        <f>IFERROR(VLOOKUP($D227,'FERC 2022'!$EA$3:$EN$220,8,0),"")</f>
        <v/>
      </c>
      <c r="Y227" s="72" t="str">
        <f>IFERROR(VLOOKUP($D227,'FERC 2023'!$EA$3:$EN$221,8,0),"")</f>
        <v/>
      </c>
      <c r="Z227" s="72" t="str">
        <f>IFERROR(VLOOKUP($D227,'FERC 2021'!$EA$3:$EN$222,9,0),"")</f>
        <v/>
      </c>
      <c r="AA227" s="72" t="str">
        <f>IFERROR(VLOOKUP($D227,'FERC 2022'!$EA$3:$EN$220,9,0),"")</f>
        <v/>
      </c>
      <c r="AB227" s="72" t="str">
        <f>IFERROR(VLOOKUP($D227,'FERC 2023'!$EA$3:$EN$221,9,0),"")</f>
        <v/>
      </c>
      <c r="AC227" s="72" t="str">
        <f>IFERROR(VLOOKUP($D227,'FERC 2021'!$EA$3:$EN$221,10,0),"")</f>
        <v/>
      </c>
      <c r="AD227" s="72" t="str">
        <f>IFERROR(VLOOKUP($D227,'FERC 2022'!$EA$3:$EN$220,10,0),"")</f>
        <v/>
      </c>
      <c r="AE227" s="72" t="str">
        <f>IFERROR(VLOOKUP($D227,'FERC 2023'!$EA$3:$EN$221,10,0),"")</f>
        <v/>
      </c>
      <c r="AF227" s="72" t="str">
        <f>IFERROR(VLOOKUP($D227,'FERC 2021'!$EA$3:$EN$221,11,0),"")</f>
        <v/>
      </c>
      <c r="AG227" s="72" t="str">
        <f>IFERROR(VLOOKUP($D227,'FERC 2022'!$EA$3:$EN$220,11,0),"")</f>
        <v/>
      </c>
      <c r="AH227" s="72" t="str">
        <f>IFERROR(VLOOKUP($D227,'FERC 2023'!$EA$3:$EN$221,11,0),"")</f>
        <v/>
      </c>
      <c r="AI227" s="72" t="str">
        <f>IFERROR(VLOOKUP($D227,'FERC 2021'!$EA$3:$EN$221,12,0),"")</f>
        <v/>
      </c>
      <c r="AJ227" s="72" t="str">
        <f>IFERROR(VLOOKUP($D227,'FERC 2022'!$EA$3:$EN$220,12,0),"")</f>
        <v/>
      </c>
      <c r="AK227" s="72" t="str">
        <f>IFERROR(VLOOKUP($D227,'FERC 2023'!$EA$3:$EN$221,12,0),"")</f>
        <v/>
      </c>
      <c r="AL227" s="72" t="e">
        <f>VLOOKUP($D227,'FERC 2021'!$EA$3:$EN$221,13,0)</f>
        <v>#N/A</v>
      </c>
      <c r="AM227" s="72" t="e">
        <f>VLOOKUP($D227,'FERC 2022'!$EA$3:$EN$220,13,0)</f>
        <v>#N/A</v>
      </c>
      <c r="AN227" s="72" t="e">
        <f>VLOOKUP($D227,'FERC 2023'!$EA$3:$EN$221,13,0)</f>
        <v>#N/A</v>
      </c>
      <c r="AO227" s="72" t="str">
        <f>IFERROR(VLOOKUP($D227,'FERC 2021'!$EA$3:$EN$221,14,0),"")</f>
        <v/>
      </c>
      <c r="AP227" s="72" t="str">
        <f>IFERROR(VLOOKUP($D227,'FERC 2022'!$EA$3:$EN$220,14,0),"")</f>
        <v/>
      </c>
      <c r="AQ227" s="72" t="str">
        <f>IFERROR(VLOOKUP($D227,'FERC 2023'!$EA$3:$EN$221,14,0),"")</f>
        <v/>
      </c>
    </row>
    <row r="228" spans="1:43" ht="15.75" hidden="1" customHeight="1">
      <c r="A228" s="7" t="s">
        <v>1320</v>
      </c>
      <c r="B228" s="7" t="s">
        <v>1321</v>
      </c>
      <c r="C228" s="311" t="str">
        <f>'BD DEA'!P228</f>
        <v/>
      </c>
      <c r="D228" s="44" t="str">
        <f t="shared" si="0"/>
        <v>C011963</v>
      </c>
      <c r="E228" s="72" t="str">
        <f>IFERROR(VLOOKUP($D228,'FERC 2021'!$EA$3:$EN$221,2,0),"")</f>
        <v/>
      </c>
      <c r="F228" s="72" t="str">
        <f>IFERROR(VLOOKUP($D228,'FERC 2022'!$EA$3:$EN$220,2,0),"")</f>
        <v/>
      </c>
      <c r="G228" s="72" t="str">
        <f>IFERROR(VLOOKUP($D228,'FERC 2023'!$EA$3:$EN$221,2,0),"")</f>
        <v/>
      </c>
      <c r="H228" s="72" t="str">
        <f>IFERROR(VLOOKUP($D228,'FERC 2021'!$EA$3:$EN$225,3,0),"")</f>
        <v/>
      </c>
      <c r="I228" s="72" t="str">
        <f>IFERROR(VLOOKUP($D228,'FERC 2022'!$EA$3:$EN$229,3,0),"")</f>
        <v/>
      </c>
      <c r="J228" s="72" t="str">
        <f>IFERROR(VLOOKUP($D228,'FERC 2023'!$EA$3:$EN$229,3,0),"")</f>
        <v/>
      </c>
      <c r="K228" s="72" t="str">
        <f>IFERROR(VLOOKUP($D228,'FERC 2021'!$EA$3:$EN$229,4,0),"")</f>
        <v/>
      </c>
      <c r="L228" s="72" t="str">
        <f>IFERROR(VLOOKUP($D228,'FERC 2022'!$EA$3:$EN$220,4,0),"")</f>
        <v/>
      </c>
      <c r="M228" s="72" t="str">
        <f>IFERROR(VLOOKUP($D228,'FERC 2023'!$EA$3:$EN$221,4,0),"")</f>
        <v/>
      </c>
      <c r="N228" s="72" t="str">
        <f>IFERROR(VLOOKUP($D228,'FERC 2021'!$EA$3:$EN$221,5,0),"")</f>
        <v/>
      </c>
      <c r="O228" s="72" t="str">
        <f>IFERROR(VLOOKUP($D228,'FERC 2022'!$EA$3:$EN$220,5,0),"")</f>
        <v/>
      </c>
      <c r="P228" s="72" t="str">
        <f>IFERROR(VLOOKUP($D228,'FERC 2023'!$EA$3:$EN$221,5,0),"")</f>
        <v/>
      </c>
      <c r="Q228" s="72" t="str">
        <f>IFERROR(VLOOKUP($D228,'FERC 2021'!$EA$3:$EN$221,6,0),"")</f>
        <v/>
      </c>
      <c r="R228" s="72" t="str">
        <f>IFERROR(VLOOKUP($D228,'FERC 2022'!$EA$3:$EN$220,6,0),"")</f>
        <v/>
      </c>
      <c r="S228" s="72" t="str">
        <f>IFERROR(VLOOKUP($D228,'FERC 2023'!$EA$3:$EN$221,6,0),"")</f>
        <v/>
      </c>
      <c r="T228" s="72" t="str">
        <f>IFERROR(VLOOKUP($D228,'FERC 2021'!$EA$3:$EN$221,7,0),"")</f>
        <v/>
      </c>
      <c r="U228" s="72" t="str">
        <f>IFERROR(VLOOKUP($D228,'FERC 2022'!$EA$3:$EN$220,7,0),"")</f>
        <v/>
      </c>
      <c r="V228" s="72" t="str">
        <f>IFERROR(VLOOKUP($D228,'FERC 2023'!$EA$3:$EN$221,7,0),"")</f>
        <v/>
      </c>
      <c r="W228" s="72" t="str">
        <f>IFERROR(VLOOKUP($D228,'FERC 2021'!$EA$3:$EN$221,8,0),"")</f>
        <v/>
      </c>
      <c r="X228" s="72" t="str">
        <f>IFERROR(VLOOKUP($D228,'FERC 2022'!$EA$3:$EN$220,8,0),"")</f>
        <v/>
      </c>
      <c r="Y228" s="72" t="str">
        <f>IFERROR(VLOOKUP($D228,'FERC 2023'!$EA$3:$EN$221,8,0),"")</f>
        <v/>
      </c>
      <c r="Z228" s="72" t="str">
        <f>IFERROR(VLOOKUP($D228,'FERC 2021'!$EA$3:$EN$222,9,0),"")</f>
        <v/>
      </c>
      <c r="AA228" s="72" t="str">
        <f>IFERROR(VLOOKUP($D228,'FERC 2022'!$EA$3:$EN$220,9,0),"")</f>
        <v/>
      </c>
      <c r="AB228" s="72" t="str">
        <f>IFERROR(VLOOKUP($D228,'FERC 2023'!$EA$3:$EN$221,9,0),"")</f>
        <v/>
      </c>
      <c r="AC228" s="72" t="str">
        <f>IFERROR(VLOOKUP($D228,'FERC 2021'!$EA$3:$EN$221,10,0),"")</f>
        <v/>
      </c>
      <c r="AD228" s="72" t="str">
        <f>IFERROR(VLOOKUP($D228,'FERC 2022'!$EA$3:$EN$220,10,0),"")</f>
        <v/>
      </c>
      <c r="AE228" s="72" t="str">
        <f>IFERROR(VLOOKUP($D228,'FERC 2023'!$EA$3:$EN$221,10,0),"")</f>
        <v/>
      </c>
      <c r="AF228" s="72" t="str">
        <f>IFERROR(VLOOKUP($D228,'FERC 2021'!$EA$3:$EN$221,11,0),"")</f>
        <v/>
      </c>
      <c r="AG228" s="72" t="str">
        <f>IFERROR(VLOOKUP($D228,'FERC 2022'!$EA$3:$EN$220,11,0),"")</f>
        <v/>
      </c>
      <c r="AH228" s="72" t="str">
        <f>IFERROR(VLOOKUP($D228,'FERC 2023'!$EA$3:$EN$221,11,0),"")</f>
        <v/>
      </c>
      <c r="AI228" s="72" t="str">
        <f>IFERROR(VLOOKUP($D228,'FERC 2021'!$EA$3:$EN$221,12,0),"")</f>
        <v/>
      </c>
      <c r="AJ228" s="72" t="str">
        <f>IFERROR(VLOOKUP($D228,'FERC 2022'!$EA$3:$EN$220,12,0),"")</f>
        <v/>
      </c>
      <c r="AK228" s="72" t="str">
        <f>IFERROR(VLOOKUP($D228,'FERC 2023'!$EA$3:$EN$221,12,0),"")</f>
        <v/>
      </c>
      <c r="AL228" s="72" t="e">
        <f>VLOOKUP($D228,'FERC 2021'!$EA$3:$EN$221,13,0)</f>
        <v>#N/A</v>
      </c>
      <c r="AM228" s="72" t="e">
        <f>VLOOKUP($D228,'FERC 2022'!$EA$3:$EN$220,13,0)</f>
        <v>#N/A</v>
      </c>
      <c r="AN228" s="72" t="e">
        <f>VLOOKUP($D228,'FERC 2023'!$EA$3:$EN$221,13,0)</f>
        <v>#N/A</v>
      </c>
      <c r="AO228" s="72" t="str">
        <f>IFERROR(VLOOKUP($D228,'FERC 2021'!$EA$3:$EN$221,14,0),"")</f>
        <v/>
      </c>
      <c r="AP228" s="72" t="str">
        <f>IFERROR(VLOOKUP($D228,'FERC 2022'!$EA$3:$EN$220,14,0),"")</f>
        <v/>
      </c>
      <c r="AQ228" s="72" t="str">
        <f>IFERROR(VLOOKUP($D228,'FERC 2023'!$EA$3:$EN$221,14,0),"")</f>
        <v/>
      </c>
    </row>
    <row r="229" spans="1:43" ht="15.75" hidden="1" customHeight="1">
      <c r="A229" s="7" t="s">
        <v>1322</v>
      </c>
      <c r="B229" s="7" t="s">
        <v>1323</v>
      </c>
      <c r="C229" s="311" t="str">
        <f>'BD DEA'!P229</f>
        <v/>
      </c>
      <c r="D229" s="44" t="str">
        <f t="shared" si="0"/>
        <v>C012020</v>
      </c>
      <c r="E229" s="72" t="str">
        <f>IFERROR(VLOOKUP($D229,'FERC 2021'!$EA$3:$EN$221,2,0),"")</f>
        <v/>
      </c>
      <c r="F229" s="72" t="str">
        <f>IFERROR(VLOOKUP($D229,'FERC 2022'!$EA$3:$EN$220,2,0),"")</f>
        <v/>
      </c>
      <c r="G229" s="72" t="str">
        <f>IFERROR(VLOOKUP($D229,'FERC 2023'!$EA$3:$EN$221,2,0),"")</f>
        <v/>
      </c>
      <c r="H229" s="72" t="str">
        <f>IFERROR(VLOOKUP($D229,'FERC 2021'!$EA$3:$EN$225,3,0),"")</f>
        <v/>
      </c>
      <c r="I229" s="72" t="str">
        <f>IFERROR(VLOOKUP($D229,'FERC 2022'!$EA$3:$EN$229,3,0),"")</f>
        <v/>
      </c>
      <c r="J229" s="72" t="str">
        <f>IFERROR(VLOOKUP($D229,'FERC 2023'!$EA$3:$EN$229,3,0),"")</f>
        <v/>
      </c>
      <c r="K229" s="72" t="str">
        <f>IFERROR(VLOOKUP($D229,'FERC 2021'!$EA$3:$EN$229,4,0),"")</f>
        <v/>
      </c>
      <c r="L229" s="72" t="str">
        <f>IFERROR(VLOOKUP($D229,'FERC 2022'!$EA$3:$EN$220,4,0),"")</f>
        <v/>
      </c>
      <c r="M229" s="72" t="str">
        <f>IFERROR(VLOOKUP($D229,'FERC 2023'!$EA$3:$EN$221,4,0),"")</f>
        <v/>
      </c>
      <c r="N229" s="72" t="str">
        <f>IFERROR(VLOOKUP($D229,'FERC 2021'!$EA$3:$EN$221,5,0),"")</f>
        <v/>
      </c>
      <c r="O229" s="72" t="str">
        <f>IFERROR(VLOOKUP($D229,'FERC 2022'!$EA$3:$EN$220,5,0),"")</f>
        <v/>
      </c>
      <c r="P229" s="72" t="str">
        <f>IFERROR(VLOOKUP($D229,'FERC 2023'!$EA$3:$EN$221,5,0),"")</f>
        <v/>
      </c>
      <c r="Q229" s="72" t="str">
        <f>IFERROR(VLOOKUP($D229,'FERC 2021'!$EA$3:$EN$221,6,0),"")</f>
        <v/>
      </c>
      <c r="R229" s="72" t="str">
        <f>IFERROR(VLOOKUP($D229,'FERC 2022'!$EA$3:$EN$220,6,0),"")</f>
        <v/>
      </c>
      <c r="S229" s="72" t="str">
        <f>IFERROR(VLOOKUP($D229,'FERC 2023'!$EA$3:$EN$221,6,0),"")</f>
        <v/>
      </c>
      <c r="T229" s="72" t="str">
        <f>IFERROR(VLOOKUP($D229,'FERC 2021'!$EA$3:$EN$221,7,0),"")</f>
        <v/>
      </c>
      <c r="U229" s="72" t="str">
        <f>IFERROR(VLOOKUP($D229,'FERC 2022'!$EA$3:$EN$220,7,0),"")</f>
        <v/>
      </c>
      <c r="V229" s="72" t="str">
        <f>IFERROR(VLOOKUP($D229,'FERC 2023'!$EA$3:$EN$221,7,0),"")</f>
        <v/>
      </c>
      <c r="W229" s="72" t="str">
        <f>IFERROR(VLOOKUP($D229,'FERC 2021'!$EA$3:$EN$221,8,0),"")</f>
        <v/>
      </c>
      <c r="X229" s="72" t="str">
        <f>IFERROR(VLOOKUP($D229,'FERC 2022'!$EA$3:$EN$220,8,0),"")</f>
        <v/>
      </c>
      <c r="Y229" s="72" t="str">
        <f>IFERROR(VLOOKUP($D229,'FERC 2023'!$EA$3:$EN$221,8,0),"")</f>
        <v/>
      </c>
      <c r="Z229" s="72" t="str">
        <f>IFERROR(VLOOKUP($D229,'FERC 2021'!$EA$3:$EN$222,9,0),"")</f>
        <v/>
      </c>
      <c r="AA229" s="72" t="str">
        <f>IFERROR(VLOOKUP($D229,'FERC 2022'!$EA$3:$EN$220,9,0),"")</f>
        <v/>
      </c>
      <c r="AB229" s="72" t="str">
        <f>IFERROR(VLOOKUP($D229,'FERC 2023'!$EA$3:$EN$221,9,0),"")</f>
        <v/>
      </c>
      <c r="AC229" s="72" t="str">
        <f>IFERROR(VLOOKUP($D229,'FERC 2021'!$EA$3:$EN$221,10,0),"")</f>
        <v/>
      </c>
      <c r="AD229" s="72" t="str">
        <f>IFERROR(VLOOKUP($D229,'FERC 2022'!$EA$3:$EN$220,10,0),"")</f>
        <v/>
      </c>
      <c r="AE229" s="72" t="str">
        <f>IFERROR(VLOOKUP($D229,'FERC 2023'!$EA$3:$EN$221,10,0),"")</f>
        <v/>
      </c>
      <c r="AF229" s="72" t="str">
        <f>IFERROR(VLOOKUP($D229,'FERC 2021'!$EA$3:$EN$221,11,0),"")</f>
        <v/>
      </c>
      <c r="AG229" s="72" t="str">
        <f>IFERROR(VLOOKUP($D229,'FERC 2022'!$EA$3:$EN$220,11,0),"")</f>
        <v/>
      </c>
      <c r="AH229" s="72" t="str">
        <f>IFERROR(VLOOKUP($D229,'FERC 2023'!$EA$3:$EN$221,11,0),"")</f>
        <v/>
      </c>
      <c r="AI229" s="72" t="str">
        <f>IFERROR(VLOOKUP($D229,'FERC 2021'!$EA$3:$EN$221,12,0),"")</f>
        <v/>
      </c>
      <c r="AJ229" s="72" t="str">
        <f>IFERROR(VLOOKUP($D229,'FERC 2022'!$EA$3:$EN$220,12,0),"")</f>
        <v/>
      </c>
      <c r="AK229" s="72" t="str">
        <f>IFERROR(VLOOKUP($D229,'FERC 2023'!$EA$3:$EN$221,12,0),"")</f>
        <v/>
      </c>
      <c r="AL229" s="72" t="e">
        <f>VLOOKUP($D229,'FERC 2021'!$EA$3:$EN$221,13,0)</f>
        <v>#N/A</v>
      </c>
      <c r="AM229" s="72" t="e">
        <f>VLOOKUP($D229,'FERC 2022'!$EA$3:$EN$220,13,0)</f>
        <v>#N/A</v>
      </c>
      <c r="AN229" s="72" t="e">
        <f>VLOOKUP($D229,'FERC 2023'!$EA$3:$EN$221,13,0)</f>
        <v>#N/A</v>
      </c>
      <c r="AO229" s="72" t="str">
        <f>IFERROR(VLOOKUP($D229,'FERC 2021'!$EA$3:$EN$221,14,0),"")</f>
        <v/>
      </c>
      <c r="AP229" s="72" t="str">
        <f>IFERROR(VLOOKUP($D229,'FERC 2022'!$EA$3:$EN$220,14,0),"")</f>
        <v/>
      </c>
      <c r="AQ229" s="72" t="str">
        <f>IFERROR(VLOOKUP($D229,'FERC 2023'!$EA$3:$EN$221,14,0),"")</f>
        <v/>
      </c>
    </row>
    <row r="230" spans="1:43" ht="15.75" hidden="1" customHeight="1">
      <c r="A230" s="7" t="s">
        <v>1324</v>
      </c>
      <c r="B230" s="7" t="s">
        <v>1325</v>
      </c>
      <c r="C230" s="311" t="str">
        <f>'BD DEA'!P230</f>
        <v/>
      </c>
      <c r="D230" s="44" t="str">
        <f t="shared" si="0"/>
        <v>C012021</v>
      </c>
      <c r="E230" s="72" t="str">
        <f>IFERROR(VLOOKUP($D230,'FERC 2021'!$EA$3:$EN$221,2,0),"")</f>
        <v/>
      </c>
      <c r="F230" s="72" t="str">
        <f>IFERROR(VLOOKUP($D230,'FERC 2022'!$EA$3:$EN$220,2,0),"")</f>
        <v/>
      </c>
      <c r="G230" s="72" t="str">
        <f>IFERROR(VLOOKUP($D230,'FERC 2023'!$EA$3:$EN$221,2,0),"")</f>
        <v/>
      </c>
      <c r="H230" s="72" t="str">
        <f>IFERROR(VLOOKUP($D230,'FERC 2021'!$EA$3:$EN$225,3,0),"")</f>
        <v/>
      </c>
      <c r="I230" s="72" t="str">
        <f>IFERROR(VLOOKUP($D230,'FERC 2022'!$EA$3:$EN$229,3,0),"")</f>
        <v/>
      </c>
      <c r="J230" s="72" t="str">
        <f>IFERROR(VLOOKUP($D230,'FERC 2023'!$EA$3:$EN$229,3,0),"")</f>
        <v/>
      </c>
      <c r="K230" s="72" t="str">
        <f>IFERROR(VLOOKUP($D230,'FERC 2021'!$EA$3:$EN$229,4,0),"")</f>
        <v/>
      </c>
      <c r="L230" s="72" t="str">
        <f>IFERROR(VLOOKUP($D230,'FERC 2022'!$EA$3:$EN$220,4,0),"")</f>
        <v/>
      </c>
      <c r="M230" s="72" t="str">
        <f>IFERROR(VLOOKUP($D230,'FERC 2023'!$EA$3:$EN$221,4,0),"")</f>
        <v/>
      </c>
      <c r="N230" s="72" t="str">
        <f>IFERROR(VLOOKUP($D230,'FERC 2021'!$EA$3:$EN$221,5,0),"")</f>
        <v/>
      </c>
      <c r="O230" s="72" t="str">
        <f>IFERROR(VLOOKUP($D230,'FERC 2022'!$EA$3:$EN$220,5,0),"")</f>
        <v/>
      </c>
      <c r="P230" s="72" t="str">
        <f>IFERROR(VLOOKUP($D230,'FERC 2023'!$EA$3:$EN$221,5,0),"")</f>
        <v/>
      </c>
      <c r="Q230" s="72" t="str">
        <f>IFERROR(VLOOKUP($D230,'FERC 2021'!$EA$3:$EN$221,6,0),"")</f>
        <v/>
      </c>
      <c r="R230" s="72" t="str">
        <f>IFERROR(VLOOKUP($D230,'FERC 2022'!$EA$3:$EN$220,6,0),"")</f>
        <v/>
      </c>
      <c r="S230" s="72" t="str">
        <f>IFERROR(VLOOKUP($D230,'FERC 2023'!$EA$3:$EN$221,6,0),"")</f>
        <v/>
      </c>
      <c r="T230" s="72" t="str">
        <f>IFERROR(VLOOKUP($D230,'FERC 2021'!$EA$3:$EN$221,7,0),"")</f>
        <v/>
      </c>
      <c r="U230" s="72" t="str">
        <f>IFERROR(VLOOKUP($D230,'FERC 2022'!$EA$3:$EN$220,7,0),"")</f>
        <v/>
      </c>
      <c r="V230" s="72" t="str">
        <f>IFERROR(VLOOKUP($D230,'FERC 2023'!$EA$3:$EN$221,7,0),"")</f>
        <v/>
      </c>
      <c r="W230" s="72" t="str">
        <f>IFERROR(VLOOKUP($D230,'FERC 2021'!$EA$3:$EN$221,8,0),"")</f>
        <v/>
      </c>
      <c r="X230" s="72" t="str">
        <f>IFERROR(VLOOKUP($D230,'FERC 2022'!$EA$3:$EN$220,8,0),"")</f>
        <v/>
      </c>
      <c r="Y230" s="72" t="str">
        <f>IFERROR(VLOOKUP($D230,'FERC 2023'!$EA$3:$EN$221,8,0),"")</f>
        <v/>
      </c>
      <c r="Z230" s="72" t="str">
        <f>IFERROR(VLOOKUP($D230,'FERC 2021'!$EA$3:$EN$222,9,0),"")</f>
        <v/>
      </c>
      <c r="AA230" s="72" t="str">
        <f>IFERROR(VLOOKUP($D230,'FERC 2022'!$EA$3:$EN$220,9,0),"")</f>
        <v/>
      </c>
      <c r="AB230" s="72" t="str">
        <f>IFERROR(VLOOKUP($D230,'FERC 2023'!$EA$3:$EN$221,9,0),"")</f>
        <v/>
      </c>
      <c r="AC230" s="72" t="str">
        <f>IFERROR(VLOOKUP($D230,'FERC 2021'!$EA$3:$EN$221,10,0),"")</f>
        <v/>
      </c>
      <c r="AD230" s="72" t="str">
        <f>IFERROR(VLOOKUP($D230,'FERC 2022'!$EA$3:$EN$220,10,0),"")</f>
        <v/>
      </c>
      <c r="AE230" s="72" t="str">
        <f>IFERROR(VLOOKUP($D230,'FERC 2023'!$EA$3:$EN$221,10,0),"")</f>
        <v/>
      </c>
      <c r="AF230" s="72" t="str">
        <f>IFERROR(VLOOKUP($D230,'FERC 2021'!$EA$3:$EN$221,11,0),"")</f>
        <v/>
      </c>
      <c r="AG230" s="72" t="str">
        <f>IFERROR(VLOOKUP($D230,'FERC 2022'!$EA$3:$EN$220,11,0),"")</f>
        <v/>
      </c>
      <c r="AH230" s="72" t="str">
        <f>IFERROR(VLOOKUP($D230,'FERC 2023'!$EA$3:$EN$221,11,0),"")</f>
        <v/>
      </c>
      <c r="AI230" s="72" t="str">
        <f>IFERROR(VLOOKUP($D230,'FERC 2021'!$EA$3:$EN$221,12,0),"")</f>
        <v/>
      </c>
      <c r="AJ230" s="72" t="str">
        <f>IFERROR(VLOOKUP($D230,'FERC 2022'!$EA$3:$EN$220,12,0),"")</f>
        <v/>
      </c>
      <c r="AK230" s="72" t="str">
        <f>IFERROR(VLOOKUP($D230,'FERC 2023'!$EA$3:$EN$221,12,0),"")</f>
        <v/>
      </c>
      <c r="AL230" s="72" t="e">
        <f>VLOOKUP($D230,'FERC 2021'!$EA$3:$EN$221,13,0)</f>
        <v>#N/A</v>
      </c>
      <c r="AM230" s="72" t="e">
        <f>VLOOKUP($D230,'FERC 2022'!$EA$3:$EN$220,13,0)</f>
        <v>#N/A</v>
      </c>
      <c r="AN230" s="72" t="e">
        <f>VLOOKUP($D230,'FERC 2023'!$EA$3:$EN$221,13,0)</f>
        <v>#N/A</v>
      </c>
      <c r="AO230" s="72" t="str">
        <f>IFERROR(VLOOKUP($D230,'FERC 2021'!$EA$3:$EN$221,14,0),"")</f>
        <v/>
      </c>
      <c r="AP230" s="72" t="str">
        <f>IFERROR(VLOOKUP($D230,'FERC 2022'!$EA$3:$EN$220,14,0),"")</f>
        <v/>
      </c>
      <c r="AQ230" s="72" t="str">
        <f>IFERROR(VLOOKUP($D230,'FERC 2023'!$EA$3:$EN$221,14,0),"")</f>
        <v/>
      </c>
    </row>
    <row r="231" spans="1:43" ht="15.75" hidden="1" customHeight="1">
      <c r="A231" s="44" t="s">
        <v>1584</v>
      </c>
      <c r="B231" s="44" t="s">
        <v>1442</v>
      </c>
      <c r="C231" s="311">
        <f>'BD DEA'!P231</f>
        <v>0</v>
      </c>
      <c r="D231" s="44" t="str">
        <f t="shared" si="0"/>
        <v>PA00001</v>
      </c>
      <c r="E231" s="72">
        <f>'BD Panama'!C3</f>
        <v>1818705524.0084832</v>
      </c>
      <c r="F231" s="72">
        <f>'BD Panama'!C9</f>
        <v>1829898246.9259701</v>
      </c>
      <c r="G231" s="72">
        <f>'BD Panama'!C15</f>
        <v>1902524677.8979867</v>
      </c>
      <c r="H231" s="72">
        <f>'BD Panama'!D3</f>
        <v>180476393.38787311</v>
      </c>
      <c r="I231" s="72">
        <f>'BD Panama'!D9</f>
        <v>180525505.25015211</v>
      </c>
      <c r="J231" s="72">
        <f>'BD Panama'!D15</f>
        <v>194638271.92233762</v>
      </c>
      <c r="K231" s="72">
        <f>'BD Panama'!E3</f>
        <v>45386548.973117717</v>
      </c>
      <c r="L231" s="72">
        <f>'BD Panama'!E9</f>
        <v>38501530.244034462</v>
      </c>
      <c r="M231" s="72">
        <f>'BD Panama'!E15</f>
        <v>43961840.175151683</v>
      </c>
      <c r="N231" s="72">
        <f>'BD Panama'!F3</f>
        <v>50337171.812481485</v>
      </c>
      <c r="O231" s="72">
        <f>'BD Panama'!F9</f>
        <v>49316666.924006522</v>
      </c>
      <c r="P231" s="72">
        <f>'BD Panama'!F15</f>
        <v>56853713.365331769</v>
      </c>
      <c r="Q231" s="72">
        <f>'BD Panama'!G3</f>
        <v>53243427.403116778</v>
      </c>
      <c r="R231" s="72">
        <f>'BD Panama'!G9</f>
        <v>60203884.017914794</v>
      </c>
      <c r="S231" s="72">
        <f>'BD Panama'!G15</f>
        <v>60280759.426066361</v>
      </c>
      <c r="T231" s="72">
        <f>'BD Panama'!H3</f>
        <v>583</v>
      </c>
      <c r="U231" s="72">
        <f>'BD Panama'!H9</f>
        <v>556.5</v>
      </c>
      <c r="V231" s="72">
        <f>'BD Panama'!H15</f>
        <v>576.1</v>
      </c>
      <c r="W231" s="72">
        <f>'BD Panama'!I3</f>
        <v>510000</v>
      </c>
      <c r="X231" s="72">
        <f>'BD Panama'!I9</f>
        <v>531617</v>
      </c>
      <c r="Y231" s="72">
        <f>'BD Panama'!I15</f>
        <v>550835</v>
      </c>
      <c r="Z231" s="72">
        <f>'BD Panama'!J3</f>
        <v>481156.7</v>
      </c>
      <c r="AA231" s="72">
        <f>'BD Panama'!J9</f>
        <v>449599.7</v>
      </c>
      <c r="AB231" s="72">
        <f>'BD Panama'!J15</f>
        <v>470096.3</v>
      </c>
      <c r="AC231" s="72">
        <f>'BD Panama'!K3</f>
        <v>2942138</v>
      </c>
      <c r="AD231" s="72">
        <f>'BD Panama'!K9</f>
        <v>3027192</v>
      </c>
      <c r="AE231" s="72">
        <f>'BD Panama'!K15</f>
        <v>3223420</v>
      </c>
      <c r="AF231" s="72">
        <f>'BD Panama'!L3</f>
        <v>3423294.7</v>
      </c>
      <c r="AG231" s="72">
        <f>'BD Panama'!L9</f>
        <v>3476791.7</v>
      </c>
      <c r="AH231" s="72">
        <f>'BD Panama'!L15</f>
        <v>3693516.3</v>
      </c>
      <c r="AI231" s="72">
        <f>'BD Panama'!M3</f>
        <v>281962339.79999995</v>
      </c>
      <c r="AJ231" s="72">
        <f>'BD Panama'!M9</f>
        <v>251521332.33999997</v>
      </c>
      <c r="AK231" s="72">
        <f>'BD Panama'!M15</f>
        <v>373308988.95999998</v>
      </c>
      <c r="AL231" s="72">
        <f>'BD Panama'!N3</f>
        <v>4485781.26</v>
      </c>
      <c r="AM231" s="72">
        <f>'BD Panama'!N9</f>
        <v>4920792.1899999995</v>
      </c>
      <c r="AN231" s="72">
        <f>'BD Panama'!N15</f>
        <v>6609845.8099999996</v>
      </c>
      <c r="AO231" s="72">
        <f>'BD Panama'!O3</f>
        <v>1356</v>
      </c>
      <c r="AP231" s="72">
        <f>'BD Panama'!O9</f>
        <v>4342</v>
      </c>
      <c r="AQ231" s="72">
        <f>'BD Panama'!O15</f>
        <v>4330</v>
      </c>
    </row>
    <row r="232" spans="1:43" ht="15.75" hidden="1" customHeight="1">
      <c r="A232" s="44" t="s">
        <v>1585</v>
      </c>
      <c r="B232" s="44" t="s">
        <v>1445</v>
      </c>
      <c r="C232" s="311">
        <f>'BD DEA'!P232</f>
        <v>0</v>
      </c>
      <c r="D232" s="44" t="str">
        <f t="shared" si="0"/>
        <v>PA00002</v>
      </c>
      <c r="E232" s="72">
        <f>'BD Panama'!C4</f>
        <v>3099266284.0465555</v>
      </c>
      <c r="F232" s="72">
        <f>'BD Panama'!C10</f>
        <v>3654350176.7094378</v>
      </c>
      <c r="G232" s="72">
        <f>'BD Panama'!C16</f>
        <v>3804266846.7280259</v>
      </c>
      <c r="H232" s="72">
        <f>'BD Panama'!D4</f>
        <v>185624205.27093011</v>
      </c>
      <c r="I232" s="72">
        <f>'BD Panama'!D10</f>
        <v>145386203.34164745</v>
      </c>
      <c r="J232" s="72">
        <f>'BD Panama'!D16</f>
        <v>157113504.36753076</v>
      </c>
      <c r="K232" s="72">
        <f>'BD Panama'!E4</f>
        <v>51342325.364001855</v>
      </c>
      <c r="L232" s="72">
        <f>'BD Panama'!E10</f>
        <v>51366688.438057378</v>
      </c>
      <c r="M232" s="72">
        <f>'BD Panama'!E16</f>
        <v>52851439.013438985</v>
      </c>
      <c r="N232" s="72">
        <f>'BD Panama'!F4</f>
        <v>17790831.29853731</v>
      </c>
      <c r="O232" s="72">
        <f>'BD Panama'!F10</f>
        <v>23228170.250672419</v>
      </c>
      <c r="P232" s="72">
        <f>'BD Panama'!F16</f>
        <v>24208932.605837811</v>
      </c>
      <c r="Q232" s="72">
        <f>'BD Panama'!G4</f>
        <v>19732487.480334092</v>
      </c>
      <c r="R232" s="72">
        <f>'BD Panama'!G10</f>
        <v>29110380.928058289</v>
      </c>
      <c r="S232" s="72">
        <f>'BD Panama'!G16</f>
        <v>24086658.598333009</v>
      </c>
      <c r="T232" s="72">
        <f>'BD Panama'!H4</f>
        <v>741.5</v>
      </c>
      <c r="U232" s="72">
        <f>'BD Panama'!H10</f>
        <v>781.3</v>
      </c>
      <c r="V232" s="72">
        <f>'BD Panama'!H16</f>
        <v>881.1</v>
      </c>
      <c r="W232" s="72">
        <f>'BD Panama'!I4</f>
        <v>585501</v>
      </c>
      <c r="X232" s="72">
        <f>'BD Panama'!I10</f>
        <v>601655</v>
      </c>
      <c r="Y232" s="72">
        <f>'BD Panama'!I16</f>
        <v>614714</v>
      </c>
      <c r="Z232" s="72">
        <f>'BD Panama'!J4</f>
        <v>735262</v>
      </c>
      <c r="AA232" s="72">
        <f>'BD Panama'!J10</f>
        <v>749959.7</v>
      </c>
      <c r="AB232" s="72">
        <f>'BD Panama'!J16</f>
        <v>827923.3</v>
      </c>
      <c r="AC232" s="72">
        <f>'BD Panama'!K4</f>
        <v>3351609.8</v>
      </c>
      <c r="AD232" s="72">
        <f>'BD Panama'!K10</f>
        <v>3477150.3</v>
      </c>
      <c r="AE232" s="72">
        <f>'BD Panama'!K16</f>
        <v>3739226</v>
      </c>
      <c r="AF232" s="72">
        <f>'BD Panama'!L4</f>
        <v>4086871.8</v>
      </c>
      <c r="AG232" s="72">
        <f>'BD Panama'!L10</f>
        <v>4227110</v>
      </c>
      <c r="AH232" s="72">
        <f>'BD Panama'!L16</f>
        <v>4567149.3</v>
      </c>
      <c r="AI232" s="72">
        <f>'BD Panama'!M4</f>
        <v>2332917024.48</v>
      </c>
      <c r="AJ232" s="72">
        <f>'BD Panama'!M10</f>
        <v>2010508397.6500001</v>
      </c>
      <c r="AK232" s="72">
        <f>'BD Panama'!M16</f>
        <v>2824278884.4400001</v>
      </c>
      <c r="AL232" s="72">
        <f>'BD Panama'!N4</f>
        <v>10983998.760000002</v>
      </c>
      <c r="AM232" s="72">
        <f>'BD Panama'!N10</f>
        <v>10161952.950000001</v>
      </c>
      <c r="AN232" s="72">
        <f>'BD Panama'!N16</f>
        <v>14316689.059999999</v>
      </c>
      <c r="AO232" s="72">
        <f>'BD Panama'!O4</f>
        <v>2315</v>
      </c>
      <c r="AP232" s="72">
        <f>'BD Panama'!O10</f>
        <v>2348</v>
      </c>
      <c r="AQ232" s="72">
        <f>'BD Panama'!O16</f>
        <v>2407</v>
      </c>
    </row>
    <row r="233" spans="1:43" ht="15.75" hidden="1" customHeight="1">
      <c r="A233" s="44" t="s">
        <v>1586</v>
      </c>
      <c r="B233" s="44" t="s">
        <v>1446</v>
      </c>
      <c r="C233" s="311">
        <f>'BD DEA'!P233</f>
        <v>0</v>
      </c>
      <c r="D233" s="44" t="str">
        <f t="shared" si="0"/>
        <v>PA00003</v>
      </c>
      <c r="E233" s="72">
        <f>'BD Panama'!C5</f>
        <v>805026159.69249833</v>
      </c>
      <c r="F233" s="72">
        <f>'BD Panama'!C11</f>
        <v>850328483.51745737</v>
      </c>
      <c r="G233" s="72">
        <f>'BD Panama'!C17</f>
        <v>796882914.96175754</v>
      </c>
      <c r="H233" s="72">
        <f>'BD Panama'!D5</f>
        <v>24812145.37816181</v>
      </c>
      <c r="I233" s="72">
        <f>'BD Panama'!D11</f>
        <v>23635409.62510144</v>
      </c>
      <c r="J233" s="72">
        <f>'BD Panama'!D17</f>
        <v>22294814.703765307</v>
      </c>
      <c r="K233" s="72">
        <f>'BD Panama'!E5</f>
        <v>10810115.832090972</v>
      </c>
      <c r="L233" s="72">
        <f>'BD Panama'!E11</f>
        <v>14885199.597463084</v>
      </c>
      <c r="M233" s="72">
        <f>'BD Panama'!E17</f>
        <v>10289840.199259054</v>
      </c>
      <c r="N233" s="72">
        <f>'BD Panama'!F5</f>
        <v>2789847.0566973952</v>
      </c>
      <c r="O233" s="72">
        <f>'BD Panama'!F11</f>
        <v>2866493.4418517728</v>
      </c>
      <c r="P233" s="72">
        <f>'BD Panama'!F17</f>
        <v>2525260.1016052961</v>
      </c>
      <c r="Q233" s="72">
        <f>'BD Panama'!G5</f>
        <v>1682334.8890328924</v>
      </c>
      <c r="R233" s="72">
        <f>'BD Panama'!G11</f>
        <v>2504187.560564979</v>
      </c>
      <c r="S233" s="72">
        <f>'BD Panama'!G17</f>
        <v>3175989.895677404</v>
      </c>
      <c r="T233" s="72">
        <f>'BD Panama'!H5</f>
        <v>139.30000000000001</v>
      </c>
      <c r="U233" s="72">
        <f>'BD Panama'!H11</f>
        <v>147.6</v>
      </c>
      <c r="V233" s="72">
        <f>'BD Panama'!H17</f>
        <v>180.9</v>
      </c>
      <c r="W233" s="72">
        <f>'BD Panama'!I5</f>
        <v>177442</v>
      </c>
      <c r="X233" s="72">
        <f>'BD Panama'!I11</f>
        <v>182741</v>
      </c>
      <c r="Y233" s="72">
        <f>'BD Panama'!I17</f>
        <v>187806</v>
      </c>
      <c r="Z233" s="72">
        <f>'BD Panama'!J5</f>
        <v>148975</v>
      </c>
      <c r="AA233" s="72">
        <f>'BD Panama'!J11</f>
        <v>152247.1</v>
      </c>
      <c r="AB233" s="72">
        <f>'BD Panama'!J17</f>
        <v>169956.7</v>
      </c>
      <c r="AC233" s="72">
        <f>'BD Panama'!K5</f>
        <v>810961.7</v>
      </c>
      <c r="AD233" s="72">
        <f>'BD Panama'!K11</f>
        <v>851734.4</v>
      </c>
      <c r="AE233" s="72">
        <f>'BD Panama'!K17</f>
        <v>912099.8</v>
      </c>
      <c r="AF233" s="72">
        <f>'BD Panama'!L5</f>
        <v>959936.7</v>
      </c>
      <c r="AG233" s="72">
        <f>'BD Panama'!L11</f>
        <v>1003981.5</v>
      </c>
      <c r="AH233" s="72">
        <f>'BD Panama'!L17</f>
        <v>1082056.5</v>
      </c>
      <c r="AI233" s="72">
        <f>'BD Panama'!M5</f>
        <v>636521716.82000005</v>
      </c>
      <c r="AJ233" s="72">
        <f>'BD Panama'!M11</f>
        <v>542245541.88999999</v>
      </c>
      <c r="AK233" s="72">
        <f>'BD Panama'!M17</f>
        <v>681401485.31999993</v>
      </c>
      <c r="AL233" s="72">
        <f>'BD Panama'!N5</f>
        <v>3912596.1</v>
      </c>
      <c r="AM233" s="72">
        <f>'BD Panama'!N11</f>
        <v>3276546.13</v>
      </c>
      <c r="AN233" s="72">
        <f>'BD Panama'!N17</f>
        <v>4310147.7</v>
      </c>
      <c r="AO233" s="72">
        <f>'BD Panama'!O5</f>
        <v>431</v>
      </c>
      <c r="AP233" s="72">
        <f>'BD Panama'!O11</f>
        <v>424</v>
      </c>
      <c r="AQ233" s="72">
        <f>'BD Panama'!O17</f>
        <v>426</v>
      </c>
    </row>
    <row r="234" spans="1:43" ht="15.75" customHeight="1"/>
    <row r="235" spans="1:43" ht="15.75" customHeight="1">
      <c r="R235" s="72"/>
      <c r="S235" s="72"/>
    </row>
    <row r="236" spans="1:43" ht="15.75" customHeight="1">
      <c r="R236" s="72"/>
      <c r="S236" s="72"/>
    </row>
    <row r="237" spans="1:43" ht="15.75" customHeight="1">
      <c r="R237" s="72"/>
      <c r="S237" s="72"/>
    </row>
    <row r="238" spans="1:43" ht="15.75" customHeight="1"/>
    <row r="239" spans="1:43" ht="15.75" customHeight="1"/>
    <row r="240" spans="1:4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3:AQ233" xr:uid="{00000000-0009-0000-0000-000014000000}">
    <filterColumn colId="2">
      <filters>
        <filter val="1"/>
      </filters>
    </filterColumn>
  </autoFilter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filterMode="1">
    <tabColor rgb="FF00FF00"/>
    <outlinePr summaryBelow="0" summaryRight="0"/>
  </sheetPr>
  <dimension ref="A1:O1002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4.453125" defaultRowHeight="15" customHeight="1"/>
  <cols>
    <col min="1" max="1" width="10.7265625" customWidth="1"/>
    <col min="2" max="2" width="45.453125" customWidth="1"/>
    <col min="3" max="3" width="12.08984375" customWidth="1"/>
    <col min="4" max="4" width="10.7265625" customWidth="1"/>
    <col min="5" max="5" width="10.7265625" hidden="1" customWidth="1"/>
    <col min="6" max="7" width="10.7265625" customWidth="1"/>
    <col min="8" max="8" width="10.7265625" hidden="1" customWidth="1"/>
    <col min="9" max="10" width="10.7265625" customWidth="1"/>
    <col min="11" max="11" width="8.08984375" customWidth="1"/>
    <col min="12" max="12" width="10.7265625" hidden="1" customWidth="1"/>
    <col min="13" max="15" width="10.7265625" customWidth="1"/>
  </cols>
  <sheetData>
    <row r="1" spans="1:15" ht="14.5">
      <c r="B1" s="64"/>
      <c r="C1" s="64"/>
      <c r="D1" s="315" t="s">
        <v>1645</v>
      </c>
      <c r="E1" s="316"/>
      <c r="F1" s="317">
        <v>0.06</v>
      </c>
      <c r="O1" s="317"/>
    </row>
    <row r="2" spans="1:15" ht="14.5">
      <c r="A2" s="64"/>
      <c r="B2" s="64"/>
      <c r="C2" s="44"/>
      <c r="D2" s="44"/>
      <c r="E2" s="44" t="s">
        <v>1646</v>
      </c>
      <c r="M2" s="316"/>
      <c r="N2" s="316"/>
    </row>
    <row r="3" spans="1:15" ht="29">
      <c r="A3" s="61" t="s">
        <v>0</v>
      </c>
      <c r="B3" s="3" t="s">
        <v>1</v>
      </c>
      <c r="C3" s="308" t="s">
        <v>1603</v>
      </c>
      <c r="D3" s="313" t="s">
        <v>0</v>
      </c>
      <c r="E3" s="314" t="s">
        <v>1627</v>
      </c>
      <c r="F3" s="314" t="s">
        <v>1628</v>
      </c>
      <c r="G3" s="314" t="s">
        <v>1629</v>
      </c>
      <c r="H3" s="314" t="s">
        <v>1633</v>
      </c>
      <c r="I3" s="314" t="s">
        <v>1634</v>
      </c>
      <c r="J3" s="314" t="s">
        <v>1635</v>
      </c>
      <c r="L3" s="173" t="s">
        <v>1647</v>
      </c>
      <c r="M3" s="316" t="s">
        <v>1648</v>
      </c>
      <c r="N3" s="316" t="s">
        <v>1649</v>
      </c>
      <c r="O3" s="173" t="s">
        <v>1383</v>
      </c>
    </row>
    <row r="4" spans="1:15" ht="14.5" hidden="1">
      <c r="A4" s="7" t="s">
        <v>210</v>
      </c>
      <c r="B4" s="7" t="s">
        <v>211</v>
      </c>
      <c r="C4" s="44" t="str">
        <f>IF('BD Comp'!C4=1,IF(AND(M4&gt;=$F$1,N4&gt;=$F$1),1,""),"")</f>
        <v/>
      </c>
      <c r="D4" s="44" t="str">
        <f t="shared" ref="D4:D230" si="0">A4</f>
        <v>C000029</v>
      </c>
      <c r="E4" s="72" t="str">
        <f>VLOOKUP($D4,'FERC 2021'!$EA$3:$ER$221,18,0)</f>
        <v/>
      </c>
      <c r="F4" s="72" t="str">
        <f>IFERROR(VLOOKUP($D4,'FERC 2022'!$EA$3:$ER$220,18,0),"")</f>
        <v/>
      </c>
      <c r="G4" s="72" t="str">
        <f>IFERROR(VLOOKUP($D4,'FERC 2023'!$EA$3:$ER$221,18,0),"")</f>
        <v/>
      </c>
      <c r="H4" s="72" t="str">
        <f>VLOOKUP($D4,'FERC 2021'!$EA$3:$EN$221,11,0)</f>
        <v/>
      </c>
      <c r="I4" s="72" t="str">
        <f>IFERROR(VLOOKUP($D4,'FERC 2022'!$EA$3:$EN$220,11,0),"")</f>
        <v/>
      </c>
      <c r="J4" s="72" t="str">
        <f>IFERROR(VLOOKUP($D4,'FERC 2023'!$EA$3:$EN$221,11,0),"")</f>
        <v/>
      </c>
      <c r="K4" s="44"/>
      <c r="L4" s="44" t="e">
        <f t="shared" ref="L4:L230" si="1">E4/H4</f>
        <v>#VALUE!</v>
      </c>
      <c r="M4" s="17" t="str">
        <f t="shared" ref="M4:N4" si="2">IFERROR(F4/I4,"")</f>
        <v/>
      </c>
      <c r="N4" s="17" t="str">
        <f t="shared" si="2"/>
        <v/>
      </c>
      <c r="O4" s="44"/>
    </row>
    <row r="5" spans="1:15" ht="14.5" hidden="1">
      <c r="A5" s="7" t="s">
        <v>213</v>
      </c>
      <c r="B5" s="7" t="s">
        <v>214</v>
      </c>
      <c r="C5" s="44" t="str">
        <f>IF('BD Comp'!C5=1,IF(AND(M5&gt;=$F$1,N5&gt;=$F$1),1,""),"")</f>
        <v/>
      </c>
      <c r="D5" s="44" t="str">
        <f t="shared" si="0"/>
        <v>C000030</v>
      </c>
      <c r="E5" s="72" t="str">
        <f>VLOOKUP($D5,'FERC 2021'!$EA$3:$ER$221,18,0)</f>
        <v/>
      </c>
      <c r="F5" s="72" t="str">
        <f>IFERROR(VLOOKUP($D5,'FERC 2022'!$EA$3:$ER$220,18,0),"")</f>
        <v/>
      </c>
      <c r="G5" s="72" t="str">
        <f>IFERROR(VLOOKUP($D5,'FERC 2023'!$EA$3:$ER$221,18,0),"")</f>
        <v/>
      </c>
      <c r="H5" s="72" t="str">
        <f>VLOOKUP($D5,'FERC 2021'!$EA$3:$EN$221,11,0)</f>
        <v/>
      </c>
      <c r="I5" s="72" t="str">
        <f>IFERROR(VLOOKUP($D5,'FERC 2022'!$EA$3:$EN$220,11,0),"")</f>
        <v/>
      </c>
      <c r="J5" s="72" t="str">
        <f>IFERROR(VLOOKUP($D5,'FERC 2023'!$EA$3:$EN$221,11,0),"")</f>
        <v/>
      </c>
      <c r="K5" s="17"/>
      <c r="L5" s="17" t="e">
        <f t="shared" si="1"/>
        <v>#VALUE!</v>
      </c>
      <c r="M5" s="17" t="str">
        <f t="shared" ref="M5:N5" si="3">IFERROR(F5/I5,"")</f>
        <v/>
      </c>
      <c r="N5" s="17" t="str">
        <f t="shared" si="3"/>
        <v/>
      </c>
      <c r="O5" s="44"/>
    </row>
    <row r="6" spans="1:15" ht="14.5" hidden="1">
      <c r="A6" s="7" t="s">
        <v>216</v>
      </c>
      <c r="B6" s="7" t="s">
        <v>217</v>
      </c>
      <c r="C6" s="44" t="str">
        <f>IF('BD Comp'!C6=1,IF(AND(M6&gt;=$F$1,N6&gt;=$F$1),1,""),"")</f>
        <v/>
      </c>
      <c r="D6" s="44" t="str">
        <f t="shared" si="0"/>
        <v>C000038</v>
      </c>
      <c r="E6" s="72" t="str">
        <f>VLOOKUP($D6,'FERC 2021'!$EA$3:$ER$221,18,0)</f>
        <v/>
      </c>
      <c r="F6" s="72" t="str">
        <f>IFERROR(VLOOKUP($D6,'FERC 2022'!$EA$3:$ER$220,18,0),"")</f>
        <v/>
      </c>
      <c r="G6" s="72" t="str">
        <f>IFERROR(VLOOKUP($D6,'FERC 2023'!$EA$3:$ER$221,18,0),"")</f>
        <v/>
      </c>
      <c r="H6" s="72" t="str">
        <f>VLOOKUP($D6,'FERC 2021'!$EA$3:$EN$221,11,0)</f>
        <v/>
      </c>
      <c r="I6" s="72" t="str">
        <f>IFERROR(VLOOKUP($D6,'FERC 2022'!$EA$3:$EN$220,11,0),"")</f>
        <v/>
      </c>
      <c r="J6" s="72" t="str">
        <f>IFERROR(VLOOKUP($D6,'FERC 2023'!$EA$3:$EN$221,11,0),"")</f>
        <v/>
      </c>
      <c r="K6" s="17"/>
      <c r="L6" s="17" t="e">
        <f t="shared" si="1"/>
        <v>#VALUE!</v>
      </c>
      <c r="M6" s="17" t="str">
        <f t="shared" ref="M6:N6" si="4">IFERROR(F6/I6,"")</f>
        <v/>
      </c>
      <c r="N6" s="17" t="str">
        <f t="shared" si="4"/>
        <v/>
      </c>
      <c r="O6" s="44"/>
    </row>
    <row r="7" spans="1:15" ht="14.5" hidden="1">
      <c r="A7" s="7" t="s">
        <v>219</v>
      </c>
      <c r="B7" s="7" t="s">
        <v>220</v>
      </c>
      <c r="C7" s="44" t="str">
        <f>IF('BD Comp'!C7=1,IF(AND(M7&gt;=$F$1,N7&gt;=$F$1),1,""),"")</f>
        <v/>
      </c>
      <c r="D7" s="44" t="str">
        <f t="shared" si="0"/>
        <v>C000041</v>
      </c>
      <c r="E7" s="72">
        <f>VLOOKUP($D7,'FERC 2021'!$EA$3:$ER$221,18,0)</f>
        <v>5430918.1776649747</v>
      </c>
      <c r="F7" s="72">
        <f>IFERROR(VLOOKUP($D7,'FERC 2022'!$EA$3:$ER$220,18,0),"")</f>
        <v>3634405.8629441615</v>
      </c>
      <c r="G7" s="72">
        <f>IFERROR(VLOOKUP($D7,'FERC 2023'!$EA$3:$ER$221,18,0),"")</f>
        <v>3688606.7157360408</v>
      </c>
      <c r="H7" s="72">
        <f>VLOOKUP($D7,'FERC 2021'!$EA$3:$EN$221,11,0)</f>
        <v>86245246.17766498</v>
      </c>
      <c r="I7" s="72">
        <f>IFERROR(VLOOKUP($D7,'FERC 2022'!$EA$3:$EN$220,11,0),"")</f>
        <v>86834573.862944156</v>
      </c>
      <c r="J7" s="72">
        <f>IFERROR(VLOOKUP($D7,'FERC 2023'!$EA$3:$EN$221,11,0),"")</f>
        <v>80680361.715736046</v>
      </c>
      <c r="K7" s="17"/>
      <c r="L7" s="17">
        <f t="shared" si="1"/>
        <v>6.2970638016120878E-2</v>
      </c>
      <c r="M7" s="17">
        <f t="shared" ref="M7:N7" si="5">IFERROR(F7/I7,"")</f>
        <v>4.1854364008056824E-2</v>
      </c>
      <c r="N7" s="17">
        <f t="shared" si="5"/>
        <v>4.5718767706226189E-2</v>
      </c>
      <c r="O7" s="44"/>
    </row>
    <row r="8" spans="1:15" ht="14.5" hidden="1">
      <c r="A8" s="7" t="s">
        <v>222</v>
      </c>
      <c r="B8" s="7" t="s">
        <v>223</v>
      </c>
      <c r="C8" s="44" t="str">
        <f>IF('BD Comp'!C8=1,IF(AND(M8&gt;=$F$1,N8&gt;=$F$1),1,""),"")</f>
        <v/>
      </c>
      <c r="D8" s="44" t="str">
        <f t="shared" si="0"/>
        <v>C000045</v>
      </c>
      <c r="E8" s="72" t="str">
        <f>VLOOKUP($D8,'FERC 2021'!$EA$3:$ER$221,18,0)</f>
        <v/>
      </c>
      <c r="F8" s="72" t="str">
        <f>IFERROR(VLOOKUP($D8,'FERC 2022'!$EA$3:$ER$220,18,0),"")</f>
        <v/>
      </c>
      <c r="G8" s="72" t="str">
        <f>IFERROR(VLOOKUP($D8,'FERC 2023'!$EA$3:$ER$221,18,0),"")</f>
        <v/>
      </c>
      <c r="H8" s="72" t="str">
        <f>VLOOKUP($D8,'FERC 2021'!$EA$3:$EN$221,11,0)</f>
        <v/>
      </c>
      <c r="I8" s="72" t="str">
        <f>IFERROR(VLOOKUP($D8,'FERC 2022'!$EA$3:$EN$220,11,0),"")</f>
        <v/>
      </c>
      <c r="J8" s="72" t="str">
        <f>IFERROR(VLOOKUP($D8,'FERC 2023'!$EA$3:$EN$221,11,0),"")</f>
        <v/>
      </c>
      <c r="K8" s="17"/>
      <c r="L8" s="17" t="e">
        <f t="shared" si="1"/>
        <v>#VALUE!</v>
      </c>
      <c r="M8" s="17" t="str">
        <f t="shared" ref="M8:N8" si="6">IFERROR(F8/I8,"")</f>
        <v/>
      </c>
      <c r="N8" s="17" t="str">
        <f t="shared" si="6"/>
        <v/>
      </c>
      <c r="O8" s="44"/>
    </row>
    <row r="9" spans="1:15" ht="15" hidden="1" customHeight="1">
      <c r="A9" s="7" t="s">
        <v>225</v>
      </c>
      <c r="B9" s="7" t="s">
        <v>226</v>
      </c>
      <c r="C9" s="44" t="str">
        <f>IF('BD Comp'!C9=1,IF(AND(M9&gt;=$F$1,N9&gt;=$F$1),1,""),"")</f>
        <v/>
      </c>
      <c r="D9" s="44" t="str">
        <f t="shared" si="0"/>
        <v>C000116</v>
      </c>
      <c r="E9" s="72">
        <f>VLOOKUP($D9,'FERC 2021'!$EA$3:$ER$221,18,0)</f>
        <v>928964.50761421316</v>
      </c>
      <c r="F9" s="72">
        <f>IFERROR(VLOOKUP($D9,'FERC 2022'!$EA$3:$ER$220,18,0),"")</f>
        <v>1093188.9644670051</v>
      </c>
      <c r="G9" s="72">
        <f>IFERROR(VLOOKUP($D9,'FERC 2023'!$EA$3:$ER$221,18,0),"")</f>
        <v>969818.18781725888</v>
      </c>
      <c r="H9" s="72">
        <f>VLOOKUP($D9,'FERC 2021'!$EA$3:$EN$221,11,0)</f>
        <v>21021607.507614214</v>
      </c>
      <c r="I9" s="72">
        <f>IFERROR(VLOOKUP($D9,'FERC 2022'!$EA$3:$EN$220,11,0),"")</f>
        <v>21559917.964467004</v>
      </c>
      <c r="J9" s="72">
        <f>IFERROR(VLOOKUP($D9,'FERC 2023'!$EA$3:$EN$221,11,0),"")</f>
        <v>21760518.187817261</v>
      </c>
      <c r="K9" s="17"/>
      <c r="L9" s="17">
        <f t="shared" si="1"/>
        <v>4.4190935792028936E-2</v>
      </c>
      <c r="M9" s="17">
        <f t="shared" ref="M9:N9" si="7">IFERROR(F9/I9,"")</f>
        <v>5.0704690354976982E-2</v>
      </c>
      <c r="N9" s="17">
        <f t="shared" si="7"/>
        <v>4.4567789215617881E-2</v>
      </c>
      <c r="O9" s="44"/>
    </row>
    <row r="10" spans="1:15" ht="15" hidden="1" customHeight="1">
      <c r="A10" s="7" t="s">
        <v>228</v>
      </c>
      <c r="B10" s="7" t="s">
        <v>229</v>
      </c>
      <c r="C10" s="44" t="str">
        <f>IF('BD Comp'!C10=1,IF(AND(M10&gt;=$F$1,N10&gt;=$F$1),1,""),"")</f>
        <v/>
      </c>
      <c r="D10" s="44" t="str">
        <f t="shared" si="0"/>
        <v>C000120</v>
      </c>
      <c r="E10" s="72" t="str">
        <f>VLOOKUP($D10,'FERC 2021'!$EA$3:$ER$221,18,0)</f>
        <v/>
      </c>
      <c r="F10" s="72" t="str">
        <f>IFERROR(VLOOKUP($D10,'FERC 2022'!$EA$3:$ER$220,18,0),"")</f>
        <v/>
      </c>
      <c r="G10" s="72" t="str">
        <f>IFERROR(VLOOKUP($D10,'FERC 2023'!$EA$3:$ER$221,18,0),"")</f>
        <v/>
      </c>
      <c r="H10" s="72" t="str">
        <f>VLOOKUP($D10,'FERC 2021'!$EA$3:$EN$221,11,0)</f>
        <v/>
      </c>
      <c r="I10" s="72" t="str">
        <f>IFERROR(VLOOKUP($D10,'FERC 2022'!$EA$3:$EN$220,11,0),"")</f>
        <v/>
      </c>
      <c r="J10" s="72" t="str">
        <f>IFERROR(VLOOKUP($D10,'FERC 2023'!$EA$3:$EN$221,11,0),"")</f>
        <v/>
      </c>
      <c r="K10" s="17"/>
      <c r="L10" s="17" t="e">
        <f t="shared" si="1"/>
        <v>#VALUE!</v>
      </c>
      <c r="M10" s="17" t="str">
        <f t="shared" ref="M10:N10" si="8">IFERROR(F10/I10,"")</f>
        <v/>
      </c>
      <c r="N10" s="17" t="str">
        <f t="shared" si="8"/>
        <v/>
      </c>
      <c r="O10" s="44"/>
    </row>
    <row r="11" spans="1:15" ht="15" hidden="1" customHeight="1">
      <c r="A11" s="7" t="s">
        <v>231</v>
      </c>
      <c r="B11" s="7" t="s">
        <v>232</v>
      </c>
      <c r="C11" s="44" t="str">
        <f>IF('BD Comp'!C11=1,IF(AND(M11&gt;=$F$1,N11&gt;=$F$1),1,""),"")</f>
        <v/>
      </c>
      <c r="D11" s="44" t="str">
        <f t="shared" si="0"/>
        <v>C000134</v>
      </c>
      <c r="E11" s="72">
        <f>VLOOKUP($D11,'FERC 2021'!$EA$3:$ER$221,18,0)</f>
        <v>4783372.7715736041</v>
      </c>
      <c r="F11" s="72">
        <f>IFERROR(VLOOKUP($D11,'FERC 2022'!$EA$3:$ER$220,18,0),"")</f>
        <v>3348271.9492385788</v>
      </c>
      <c r="G11" s="72">
        <f>IFERROR(VLOOKUP($D11,'FERC 2023'!$EA$3:$ER$221,18,0),"")</f>
        <v>1368275.9086294416</v>
      </c>
      <c r="H11" s="72">
        <f>VLOOKUP($D11,'FERC 2021'!$EA$3:$EN$221,11,0)</f>
        <v>47086530.771573603</v>
      </c>
      <c r="I11" s="72">
        <f>IFERROR(VLOOKUP($D11,'FERC 2022'!$EA$3:$EN$220,11,0),"")</f>
        <v>46895411.949238576</v>
      </c>
      <c r="J11" s="72">
        <f>IFERROR(VLOOKUP($D11,'FERC 2023'!$EA$3:$EN$221,11,0),"")</f>
        <v>44450775.90862944</v>
      </c>
      <c r="K11" s="17"/>
      <c r="L11" s="17">
        <f t="shared" si="1"/>
        <v>0.10158685919713908</v>
      </c>
      <c r="M11" s="17">
        <f t="shared" ref="M11:N11" si="9">IFERROR(F11/I11,"")</f>
        <v>7.1398710664123802E-2</v>
      </c>
      <c r="N11" s="17">
        <f t="shared" si="9"/>
        <v>3.0781822828964651E-2</v>
      </c>
      <c r="O11" s="44"/>
    </row>
    <row r="12" spans="1:15" ht="15" hidden="1" customHeight="1">
      <c r="A12" s="7" t="s">
        <v>234</v>
      </c>
      <c r="B12" s="7" t="s">
        <v>235</v>
      </c>
      <c r="C12" s="44" t="str">
        <f>IF('BD Comp'!C12=1,IF(AND(M12&gt;=$F$1,N12&gt;=$F$1),1,""),"")</f>
        <v/>
      </c>
      <c r="D12" s="44" t="str">
        <f t="shared" si="0"/>
        <v>C000135</v>
      </c>
      <c r="E12" s="72">
        <f>VLOOKUP($D12,'FERC 2021'!$EA$3:$ER$221,18,0)</f>
        <v>1987730.0710659884</v>
      </c>
      <c r="F12" s="72">
        <f>IFERROR(VLOOKUP($D12,'FERC 2022'!$EA$3:$ER$220,18,0),"")</f>
        <v>1093592.8426395953</v>
      </c>
      <c r="G12" s="72">
        <f>IFERROR(VLOOKUP($D12,'FERC 2023'!$EA$3:$ER$221,18,0),"")</f>
        <v>2046344.2030456848</v>
      </c>
      <c r="H12" s="72">
        <f>VLOOKUP($D12,'FERC 2021'!$EA$3:$EN$221,11,0)</f>
        <v>45324689.071065992</v>
      </c>
      <c r="I12" s="72">
        <f>IFERROR(VLOOKUP($D12,'FERC 2022'!$EA$3:$EN$220,11,0),"")</f>
        <v>45945327.842639595</v>
      </c>
      <c r="J12" s="72">
        <f>IFERROR(VLOOKUP($D12,'FERC 2023'!$EA$3:$EN$221,11,0),"")</f>
        <v>43937731.203045681</v>
      </c>
      <c r="K12" s="17"/>
      <c r="L12" s="17">
        <f t="shared" si="1"/>
        <v>4.3855349298687181E-2</v>
      </c>
      <c r="M12" s="17">
        <f t="shared" ref="M12:N12" si="10">IFERROR(F12/I12,"")</f>
        <v>2.3802046780144762E-2</v>
      </c>
      <c r="N12" s="17">
        <f t="shared" si="10"/>
        <v>4.6573733941543072E-2</v>
      </c>
      <c r="O12" s="44"/>
    </row>
    <row r="13" spans="1:15" ht="14.5" hidden="1">
      <c r="A13" s="7" t="s">
        <v>237</v>
      </c>
      <c r="B13" s="7" t="s">
        <v>238</v>
      </c>
      <c r="C13" s="44" t="str">
        <f>IF('BD Comp'!C13=1,IF(AND(M13&gt;=$F$1,N13&gt;=$F$1),1,""),"")</f>
        <v/>
      </c>
      <c r="D13" s="44" t="str">
        <f t="shared" si="0"/>
        <v>C000136</v>
      </c>
      <c r="E13" s="72">
        <f>VLOOKUP($D13,'FERC 2021'!$EA$3:$ER$221,18,0)</f>
        <v>1864422.7868020306</v>
      </c>
      <c r="F13" s="72">
        <f>IFERROR(VLOOKUP($D13,'FERC 2022'!$EA$3:$ER$220,18,0),"")</f>
        <v>2131675.0456852792</v>
      </c>
      <c r="G13" s="72">
        <f>IFERROR(VLOOKUP($D13,'FERC 2023'!$EA$3:$ER$221,18,0),"")</f>
        <v>1977184.4619289339</v>
      </c>
      <c r="H13" s="72">
        <f>VLOOKUP($D13,'FERC 2021'!$EA$3:$EN$221,11,0)</f>
        <v>41546219.786802031</v>
      </c>
      <c r="I13" s="72">
        <f>IFERROR(VLOOKUP($D13,'FERC 2022'!$EA$3:$EN$220,11,0),"")</f>
        <v>42643648.045685276</v>
      </c>
      <c r="J13" s="72">
        <f>IFERROR(VLOOKUP($D13,'FERC 2023'!$EA$3:$EN$221,11,0),"")</f>
        <v>42809370.461928934</v>
      </c>
      <c r="K13" s="17"/>
      <c r="L13" s="17">
        <f t="shared" si="1"/>
        <v>4.4875870689787788E-2</v>
      </c>
      <c r="M13" s="17">
        <f t="shared" ref="M13:N13" si="11">IFERROR(F13/I13,"")</f>
        <v>4.9988102410974761E-2</v>
      </c>
      <c r="N13" s="17">
        <f t="shared" si="11"/>
        <v>4.6185786910538103E-2</v>
      </c>
      <c r="O13" s="44"/>
    </row>
    <row r="14" spans="1:15" ht="14.5" hidden="1">
      <c r="A14" s="7" t="s">
        <v>240</v>
      </c>
      <c r="B14" s="7" t="s">
        <v>241</v>
      </c>
      <c r="C14" s="44" t="str">
        <f>IF('BD Comp'!C14=1,IF(AND(M14&gt;=$F$1,N14&gt;=$F$1),1,""),"")</f>
        <v/>
      </c>
      <c r="D14" s="44" t="str">
        <f t="shared" si="0"/>
        <v>C000171</v>
      </c>
      <c r="E14" s="72">
        <f>VLOOKUP($D14,'FERC 2021'!$EA$3:$ER$221,18,0)</f>
        <v>1358580.756345178</v>
      </c>
      <c r="F14" s="72">
        <f>IFERROR(VLOOKUP($D14,'FERC 2022'!$EA$3:$ER$220,18,0),"")</f>
        <v>1251893.7969543142</v>
      </c>
      <c r="G14" s="72">
        <f>IFERROR(VLOOKUP($D14,'FERC 2023'!$EA$3:$ER$221,18,0),"")</f>
        <v>953133.12182741053</v>
      </c>
      <c r="H14" s="72">
        <f>VLOOKUP($D14,'FERC 2021'!$EA$3:$EN$221,11,0)</f>
        <v>22395194.756345179</v>
      </c>
      <c r="I14" s="72">
        <f>IFERROR(VLOOKUP($D14,'FERC 2022'!$EA$3:$EN$220,11,0),"")</f>
        <v>22865308.796954315</v>
      </c>
      <c r="J14" s="72">
        <f>IFERROR(VLOOKUP($D14,'FERC 2023'!$EA$3:$EN$221,11,0),"")</f>
        <v>22118895.121827409</v>
      </c>
      <c r="K14" s="17"/>
      <c r="L14" s="17">
        <f t="shared" si="1"/>
        <v>6.0663940239245047E-2</v>
      </c>
      <c r="M14" s="17">
        <f t="shared" ref="M14:N14" si="12">IFERROR(F14/I14,"")</f>
        <v>5.4750793355612497E-2</v>
      </c>
      <c r="N14" s="17">
        <f t="shared" si="12"/>
        <v>4.3091353188199621E-2</v>
      </c>
      <c r="O14" s="44"/>
    </row>
    <row r="15" spans="1:15" ht="14.5" hidden="1">
      <c r="A15" s="7" t="s">
        <v>243</v>
      </c>
      <c r="B15" s="7" t="s">
        <v>244</v>
      </c>
      <c r="C15" s="44" t="str">
        <f>IF('BD Comp'!C15=1,IF(AND(M15&gt;=$F$1,N15&gt;=$F$1),1,""),"")</f>
        <v/>
      </c>
      <c r="D15" s="44" t="str">
        <f t="shared" si="0"/>
        <v>C000191</v>
      </c>
      <c r="E15" s="72">
        <f>VLOOKUP($D15,'FERC 2021'!$EA$3:$ER$221,18,0)</f>
        <v>1683783.5888324874</v>
      </c>
      <c r="F15" s="72">
        <f>IFERROR(VLOOKUP($D15,'FERC 2022'!$EA$3:$ER$220,18,0),"")</f>
        <v>1854972.0101522841</v>
      </c>
      <c r="G15" s="72">
        <f>IFERROR(VLOOKUP($D15,'FERC 2023'!$EA$3:$ER$221,18,0),"")</f>
        <v>1582492.5279187816</v>
      </c>
      <c r="H15" s="72">
        <f>VLOOKUP($D15,'FERC 2021'!$EA$3:$EN$221,11,0)</f>
        <v>33935185.58883249</v>
      </c>
      <c r="I15" s="72">
        <f>IFERROR(VLOOKUP($D15,'FERC 2022'!$EA$3:$EN$220,11,0),"")</f>
        <v>35104114.01015228</v>
      </c>
      <c r="J15" s="72">
        <f>IFERROR(VLOOKUP($D15,'FERC 2023'!$EA$3:$EN$221,11,0),"")</f>
        <v>34031502.527918778</v>
      </c>
      <c r="K15" s="17"/>
      <c r="L15" s="17">
        <f t="shared" si="1"/>
        <v>4.9617633132573551E-2</v>
      </c>
      <c r="M15" s="17">
        <f t="shared" ref="M15:N15" si="13">IFERROR(F15/I15,"")</f>
        <v>5.2842011896834004E-2</v>
      </c>
      <c r="N15" s="17">
        <f t="shared" si="13"/>
        <v>4.6500812787226647E-2</v>
      </c>
      <c r="O15" s="44"/>
    </row>
    <row r="16" spans="1:15" ht="14.5" hidden="1">
      <c r="A16" s="7" t="s">
        <v>246</v>
      </c>
      <c r="B16" s="7" t="s">
        <v>247</v>
      </c>
      <c r="C16" s="44" t="str">
        <f>IF('BD Comp'!C16=1,IF(AND(M16&gt;=$F$1,N16&gt;=$F$1),1,""),"")</f>
        <v/>
      </c>
      <c r="D16" s="44" t="str">
        <f t="shared" si="0"/>
        <v>C000196</v>
      </c>
      <c r="E16" s="72" t="str">
        <f>VLOOKUP($D16,'FERC 2021'!$EA$3:$ER$221,18,0)</f>
        <v/>
      </c>
      <c r="F16" s="72" t="str">
        <f>IFERROR(VLOOKUP($D16,'FERC 2022'!$EA$3:$ER$220,18,0),"")</f>
        <v/>
      </c>
      <c r="G16" s="72">
        <f>IFERROR(VLOOKUP($D16,'FERC 2023'!$EA$3:$ER$221,18,0),"")</f>
        <v>1117732.4010152284</v>
      </c>
      <c r="H16" s="72" t="str">
        <f>VLOOKUP($D16,'FERC 2021'!$EA$3:$EN$221,11,0)</f>
        <v/>
      </c>
      <c r="I16" s="72" t="str">
        <f>IFERROR(VLOOKUP($D16,'FERC 2022'!$EA$3:$EN$220,11,0),"")</f>
        <v/>
      </c>
      <c r="J16" s="72">
        <f>IFERROR(VLOOKUP($D16,'FERC 2023'!$EA$3:$EN$221,11,0),"")</f>
        <v>89535418.401015222</v>
      </c>
      <c r="K16" s="17"/>
      <c r="L16" s="17" t="e">
        <f t="shared" si="1"/>
        <v>#VALUE!</v>
      </c>
      <c r="M16" s="17" t="str">
        <f t="shared" ref="M16:N16" si="14">IFERROR(F16/I16,"")</f>
        <v/>
      </c>
      <c r="N16" s="17">
        <f t="shared" si="14"/>
        <v>1.2483689929376089E-2</v>
      </c>
      <c r="O16" s="44"/>
    </row>
    <row r="17" spans="1:15" ht="14.5">
      <c r="A17" s="7" t="s">
        <v>249</v>
      </c>
      <c r="B17" s="7" t="s">
        <v>250</v>
      </c>
      <c r="C17" s="44">
        <f>IF('BD Comp'!C17=1,IF(AND(M17&gt;=$F$1,N17&gt;=$F$1),1,""),"")</f>
        <v>1</v>
      </c>
      <c r="D17" s="44" t="str">
        <f t="shared" si="0"/>
        <v>C000199</v>
      </c>
      <c r="E17" s="72">
        <f>VLOOKUP($D17,'FERC 2021'!$EA$3:$ER$221,18,0)</f>
        <v>6239129.7309644669</v>
      </c>
      <c r="F17" s="72">
        <f>IFERROR(VLOOKUP($D17,'FERC 2022'!$EA$3:$ER$220,18,0),"")</f>
        <v>6273765.5786802033</v>
      </c>
      <c r="G17" s="72">
        <f>IFERROR(VLOOKUP($D17,'FERC 2023'!$EA$3:$ER$221,18,0),"")</f>
        <v>5891177.4568527918</v>
      </c>
      <c r="H17" s="72">
        <f>VLOOKUP($D17,'FERC 2021'!$EA$3:$EN$221,11,0)</f>
        <v>91649143.730964467</v>
      </c>
      <c r="I17" s="72">
        <f>IFERROR(VLOOKUP($D17,'FERC 2022'!$EA$3:$EN$220,11,0),"")</f>
        <v>91673042.578680202</v>
      </c>
      <c r="J17" s="72">
        <f>IFERROR(VLOOKUP($D17,'FERC 2023'!$EA$3:$EN$221,11,0),"")</f>
        <v>88181398.456852794</v>
      </c>
      <c r="K17" s="17"/>
      <c r="L17" s="17">
        <f t="shared" si="1"/>
        <v>6.8076246836297746E-2</v>
      </c>
      <c r="M17" s="17">
        <f t="shared" ref="M17:N17" si="15">IFERROR(F17/I17,"")</f>
        <v>6.8436318924351397E-2</v>
      </c>
      <c r="N17" s="17">
        <f t="shared" si="15"/>
        <v>6.6807485024580879E-2</v>
      </c>
      <c r="O17" s="44"/>
    </row>
    <row r="18" spans="1:15" ht="14.5" hidden="1">
      <c r="A18" s="7" t="s">
        <v>252</v>
      </c>
      <c r="B18" s="7" t="s">
        <v>253</v>
      </c>
      <c r="C18" s="44" t="str">
        <f>IF('BD Comp'!C18=1,IF(AND(M18&gt;=$F$1,N18&gt;=$F$1),1,""),"")</f>
        <v/>
      </c>
      <c r="D18" s="44" t="str">
        <f t="shared" si="0"/>
        <v>C000200</v>
      </c>
      <c r="E18" s="72" t="str">
        <f>VLOOKUP($D18,'FERC 2021'!$EA$3:$ER$221,18,0)</f>
        <v/>
      </c>
      <c r="F18" s="72" t="str">
        <f>IFERROR(VLOOKUP($D18,'FERC 2022'!$EA$3:$ER$220,18,0),"")</f>
        <v/>
      </c>
      <c r="G18" s="72" t="str">
        <f>IFERROR(VLOOKUP($D18,'FERC 2023'!$EA$3:$ER$221,18,0),"")</f>
        <v/>
      </c>
      <c r="H18" s="72" t="str">
        <f>VLOOKUP($D18,'FERC 2021'!$EA$3:$EN$221,11,0)</f>
        <v/>
      </c>
      <c r="I18" s="72" t="str">
        <f>IFERROR(VLOOKUP($D18,'FERC 2022'!$EA$3:$EN$220,11,0),"")</f>
        <v/>
      </c>
      <c r="J18" s="72" t="str">
        <f>IFERROR(VLOOKUP($D18,'FERC 2023'!$EA$3:$EN$221,11,0),"")</f>
        <v/>
      </c>
      <c r="K18" s="17"/>
      <c r="L18" s="17" t="e">
        <f t="shared" si="1"/>
        <v>#VALUE!</v>
      </c>
      <c r="M18" s="17" t="str">
        <f t="shared" ref="M18:N18" si="16">IFERROR(F18/I18,"")</f>
        <v/>
      </c>
      <c r="N18" s="17" t="str">
        <f t="shared" si="16"/>
        <v/>
      </c>
      <c r="O18" s="44"/>
    </row>
    <row r="19" spans="1:15" ht="14.5" hidden="1">
      <c r="A19" s="7" t="s">
        <v>255</v>
      </c>
      <c r="B19" s="7" t="s">
        <v>256</v>
      </c>
      <c r="C19" s="44" t="str">
        <f>IF('BD Comp'!C19=1,IF(AND(M19&gt;=$F$1,N19&gt;=$F$1),1,""),"")</f>
        <v/>
      </c>
      <c r="D19" s="44" t="str">
        <f t="shared" si="0"/>
        <v>C000201</v>
      </c>
      <c r="E19" s="72">
        <f>VLOOKUP($D19,'FERC 2021'!$EA$3:$ER$221,18,0)</f>
        <v>1973856.6497461929</v>
      </c>
      <c r="F19" s="72">
        <f>IFERROR(VLOOKUP($D19,'FERC 2022'!$EA$3:$ER$220,18,0),"")</f>
        <v>1853442.502538071</v>
      </c>
      <c r="G19" s="72">
        <f>IFERROR(VLOOKUP($D19,'FERC 2023'!$EA$3:$ER$221,18,0),"")</f>
        <v>1781020.614213198</v>
      </c>
      <c r="H19" s="72">
        <f>VLOOKUP($D19,'FERC 2021'!$EA$3:$EN$221,11,0)</f>
        <v>38401908.649746194</v>
      </c>
      <c r="I19" s="72">
        <f>IFERROR(VLOOKUP($D19,'FERC 2022'!$EA$3:$EN$220,11,0),"")</f>
        <v>38621997.50253807</v>
      </c>
      <c r="J19" s="72">
        <f>IFERROR(VLOOKUP($D19,'FERC 2023'!$EA$3:$EN$221,11,0),"")</f>
        <v>36660006.614213198</v>
      </c>
      <c r="K19" s="17"/>
      <c r="L19" s="17">
        <f t="shared" si="1"/>
        <v>5.1399962115144464E-2</v>
      </c>
      <c r="M19" s="17">
        <f t="shared" ref="M19:N19" si="17">IFERROR(F19/I19,"")</f>
        <v>4.7989296835728674E-2</v>
      </c>
      <c r="N19" s="17">
        <f t="shared" si="17"/>
        <v>4.858211382653408E-2</v>
      </c>
      <c r="O19" s="44"/>
    </row>
    <row r="20" spans="1:15" ht="14.5" hidden="1">
      <c r="A20" s="7" t="s">
        <v>258</v>
      </c>
      <c r="B20" s="7" t="s">
        <v>259</v>
      </c>
      <c r="C20" s="44" t="str">
        <f>IF('BD Comp'!C20=1,IF(AND(M20&gt;=$F$1,N20&gt;=$F$1),1,""),"")</f>
        <v/>
      </c>
      <c r="D20" s="44" t="str">
        <f t="shared" si="0"/>
        <v>C000241</v>
      </c>
      <c r="E20" s="72">
        <f>VLOOKUP($D20,'FERC 2021'!$EA$3:$ER$221,18,0)</f>
        <v>1091531.2284263959</v>
      </c>
      <c r="F20" s="72">
        <f>IFERROR(VLOOKUP($D20,'FERC 2022'!$EA$3:$ER$220,18,0),"")</f>
        <v>1080830.7918781727</v>
      </c>
      <c r="G20" s="72">
        <f>IFERROR(VLOOKUP($D20,'FERC 2023'!$EA$3:$ER$221,18,0),"")</f>
        <v>1015365.7563451777</v>
      </c>
      <c r="H20" s="72">
        <f>VLOOKUP($D20,'FERC 2021'!$EA$3:$EN$221,11,0)</f>
        <v>22502773.228426397</v>
      </c>
      <c r="I20" s="72">
        <f>IFERROR(VLOOKUP($D20,'FERC 2022'!$EA$3:$EN$220,11,0),"")</f>
        <v>22901225.791878171</v>
      </c>
      <c r="J20" s="72">
        <f>IFERROR(VLOOKUP($D20,'FERC 2023'!$EA$3:$EN$221,11,0),"")</f>
        <v>22041442.756345179</v>
      </c>
      <c r="K20" s="17"/>
      <c r="L20" s="17">
        <f t="shared" si="1"/>
        <v>4.8506520389563823E-2</v>
      </c>
      <c r="M20" s="17">
        <f t="shared" ref="M20:N20" si="18">IFERROR(F20/I20,"")</f>
        <v>4.7195324900970365E-2</v>
      </c>
      <c r="N20" s="17">
        <f t="shared" si="18"/>
        <v>4.6066211162737035E-2</v>
      </c>
      <c r="O20" s="44"/>
    </row>
    <row r="21" spans="1:15" ht="15.75" customHeight="1">
      <c r="A21" s="7" t="s">
        <v>261</v>
      </c>
      <c r="B21" s="7" t="s">
        <v>262</v>
      </c>
      <c r="C21" s="44">
        <f>IF('BD Comp'!C21=1,IF(AND(M21&gt;=$F$1,N21&gt;=$F$1),1,""),"")</f>
        <v>1</v>
      </c>
      <c r="D21" s="44" t="str">
        <f t="shared" si="0"/>
        <v>C000289</v>
      </c>
      <c r="E21" s="72">
        <f>VLOOKUP($D21,'FERC 2021'!$EA$3:$ER$221,18,0)</f>
        <v>1625189.4771573599</v>
      </c>
      <c r="F21" s="72">
        <f>IFERROR(VLOOKUP($D21,'FERC 2022'!$EA$3:$ER$220,18,0),"")</f>
        <v>1746379.497461929</v>
      </c>
      <c r="G21" s="72">
        <f>IFERROR(VLOOKUP($D21,'FERC 2023'!$EA$3:$ER$221,18,0),"")</f>
        <v>2420295.1370558375</v>
      </c>
      <c r="H21" s="72">
        <f>VLOOKUP($D21,'FERC 2021'!$EA$3:$EN$221,11,0)</f>
        <v>28564006.477157362</v>
      </c>
      <c r="I21" s="72">
        <f>IFERROR(VLOOKUP($D21,'FERC 2022'!$EA$3:$EN$220,11,0),"")</f>
        <v>29036292.49746193</v>
      </c>
      <c r="J21" s="72">
        <f>IFERROR(VLOOKUP($D21,'FERC 2023'!$EA$3:$EN$221,11,0),"")</f>
        <v>28039180.137055837</v>
      </c>
      <c r="K21" s="17"/>
      <c r="L21" s="17">
        <f t="shared" si="1"/>
        <v>5.6896411869148122E-2</v>
      </c>
      <c r="M21" s="17">
        <f t="shared" ref="M21:N21" si="19">IFERROR(F21/I21,"")</f>
        <v>6.0144713641198527E-2</v>
      </c>
      <c r="N21" s="17">
        <f t="shared" si="19"/>
        <v>8.6318327612483925E-2</v>
      </c>
      <c r="O21" s="44"/>
    </row>
    <row r="22" spans="1:15" ht="15.75" hidden="1" customHeight="1">
      <c r="A22" s="7" t="s">
        <v>264</v>
      </c>
      <c r="B22" s="7" t="s">
        <v>265</v>
      </c>
      <c r="C22" s="44" t="str">
        <f>IF('BD Comp'!C22=1,IF(AND(M22&gt;=$F$1,N22&gt;=$F$1),1,""),"")</f>
        <v/>
      </c>
      <c r="D22" s="44" t="str">
        <f t="shared" si="0"/>
        <v>C000290</v>
      </c>
      <c r="E22" s="72">
        <f>VLOOKUP($D22,'FERC 2021'!$EA$3:$ER$221,18,0)</f>
        <v>5078301.8781725895</v>
      </c>
      <c r="F22" s="72">
        <f>IFERROR(VLOOKUP($D22,'FERC 2022'!$EA$3:$ER$220,18,0),"")</f>
        <v>4417784.6243654825</v>
      </c>
      <c r="G22" s="72">
        <f>IFERROR(VLOOKUP($D22,'FERC 2023'!$EA$3:$ER$221,18,0),"")</f>
        <v>4897566.4263959397</v>
      </c>
      <c r="H22" s="72">
        <f>VLOOKUP($D22,'FERC 2021'!$EA$3:$EN$221,11,0)</f>
        <v>83469215.878172591</v>
      </c>
      <c r="I22" s="72">
        <f>IFERROR(VLOOKUP($D22,'FERC 2022'!$EA$3:$EN$220,11,0),"")</f>
        <v>85694803.624365479</v>
      </c>
      <c r="J22" s="72">
        <f>IFERROR(VLOOKUP($D22,'FERC 2023'!$EA$3:$EN$221,11,0),"")</f>
        <v>82744961.426395938</v>
      </c>
      <c r="K22" s="17"/>
      <c r="L22" s="17">
        <f t="shared" si="1"/>
        <v>6.0840416730218477E-2</v>
      </c>
      <c r="M22" s="17">
        <f t="shared" ref="M22:N22" si="20">IFERROR(F22/I22,"")</f>
        <v>5.1552538048052425E-2</v>
      </c>
      <c r="N22" s="17">
        <f t="shared" si="20"/>
        <v>5.9188696713001289E-2</v>
      </c>
      <c r="O22" s="44"/>
    </row>
    <row r="23" spans="1:15" ht="15.75" hidden="1" customHeight="1">
      <c r="A23" s="7" t="s">
        <v>267</v>
      </c>
      <c r="B23" s="7" t="s">
        <v>268</v>
      </c>
      <c r="C23" s="44" t="str">
        <f>IF('BD Comp'!C23=1,IF(AND(M23&gt;=$F$1,N23&gt;=$F$1),1,""),"")</f>
        <v/>
      </c>
      <c r="D23" s="44" t="str">
        <f t="shared" si="0"/>
        <v>C000291</v>
      </c>
      <c r="E23" s="72">
        <f>VLOOKUP($D23,'FERC 2021'!$EA$3:$ER$221,18,0)</f>
        <v>192799.07614213193</v>
      </c>
      <c r="F23" s="72">
        <f>IFERROR(VLOOKUP($D23,'FERC 2022'!$EA$3:$ER$220,18,0),"")</f>
        <v>280945.87817258883</v>
      </c>
      <c r="G23" s="72">
        <f>IFERROR(VLOOKUP($D23,'FERC 2023'!$EA$3:$ER$221,18,0),"")</f>
        <v>182305.63959390862</v>
      </c>
      <c r="H23" s="72">
        <f>VLOOKUP($D23,'FERC 2021'!$EA$3:$EN$221,11,0)</f>
        <v>4138808.0761421318</v>
      </c>
      <c r="I23" s="72">
        <f>IFERROR(VLOOKUP($D23,'FERC 2022'!$EA$3:$EN$220,11,0),"")</f>
        <v>4257504.8781725885</v>
      </c>
      <c r="J23" s="72">
        <f>IFERROR(VLOOKUP($D23,'FERC 2023'!$EA$3:$EN$221,11,0),"")</f>
        <v>4031201.6395939086</v>
      </c>
      <c r="K23" s="17"/>
      <c r="L23" s="17">
        <f t="shared" si="1"/>
        <v>4.6583236669878132E-2</v>
      </c>
      <c r="M23" s="17">
        <f t="shared" ref="M23:N23" si="21">IFERROR(F23/I23,"")</f>
        <v>6.5988386675243635E-2</v>
      </c>
      <c r="N23" s="17">
        <f t="shared" si="21"/>
        <v>4.5223646915432777E-2</v>
      </c>
      <c r="O23" s="44"/>
    </row>
    <row r="24" spans="1:15" ht="15.75" hidden="1" customHeight="1">
      <c r="A24" s="7" t="s">
        <v>270</v>
      </c>
      <c r="B24" s="7" t="s">
        <v>271</v>
      </c>
      <c r="C24" s="44" t="str">
        <f>IF('BD Comp'!C24=1,IF(AND(M24&gt;=$F$1,N24&gt;=$F$1),1,""),"")</f>
        <v/>
      </c>
      <c r="D24" s="44" t="str">
        <f t="shared" si="0"/>
        <v>C000292</v>
      </c>
      <c r="E24" s="72">
        <f>VLOOKUP($D24,'FERC 2021'!$EA$3:$ER$221,18,0)</f>
        <v>265112.34010152286</v>
      </c>
      <c r="F24" s="72">
        <f>IFERROR(VLOOKUP($D24,'FERC 2022'!$EA$3:$ER$220,18,0),"")</f>
        <v>1015273.5736040609</v>
      </c>
      <c r="G24" s="72">
        <f>IFERROR(VLOOKUP($D24,'FERC 2023'!$EA$3:$ER$221,18,0),"")</f>
        <v>1029343.847715736</v>
      </c>
      <c r="H24" s="72">
        <f>VLOOKUP($D24,'FERC 2021'!$EA$3:$EN$221,11,0)</f>
        <v>19895573.340101521</v>
      </c>
      <c r="I24" s="72">
        <f>IFERROR(VLOOKUP($D24,'FERC 2022'!$EA$3:$EN$220,11,0),"")</f>
        <v>20818021.573604062</v>
      </c>
      <c r="J24" s="72">
        <f>IFERROR(VLOOKUP($D24,'FERC 2023'!$EA$3:$EN$221,11,0),"")</f>
        <v>20091604.847715735</v>
      </c>
      <c r="K24" s="17"/>
      <c r="L24" s="17">
        <f t="shared" si="1"/>
        <v>1.3325192271145179E-2</v>
      </c>
      <c r="M24" s="17">
        <f t="shared" ref="M24:N24" si="22">IFERROR(F24/I24,"")</f>
        <v>4.8768974996709763E-2</v>
      </c>
      <c r="N24" s="17">
        <f t="shared" si="22"/>
        <v>5.1232534957642503E-2</v>
      </c>
      <c r="O24" s="44"/>
    </row>
    <row r="25" spans="1:15" ht="15.75" hidden="1" customHeight="1">
      <c r="A25" s="7" t="s">
        <v>273</v>
      </c>
      <c r="B25" s="7" t="s">
        <v>274</v>
      </c>
      <c r="C25" s="44" t="str">
        <f>IF('BD Comp'!C25=1,IF(AND(M25&gt;=$F$1,N25&gt;=$F$1),1,""),"")</f>
        <v/>
      </c>
      <c r="D25" s="44" t="str">
        <f t="shared" si="0"/>
        <v>C000312</v>
      </c>
      <c r="E25" s="72">
        <f>VLOOKUP($D25,'FERC 2021'!$EA$3:$ER$221,18,0)</f>
        <v>964398.98984771571</v>
      </c>
      <c r="F25" s="72">
        <f>IFERROR(VLOOKUP($D25,'FERC 2022'!$EA$3:$ER$220,18,0),"")</f>
        <v>334561.39086294419</v>
      </c>
      <c r="G25" s="72">
        <f>IFERROR(VLOOKUP($D25,'FERC 2023'!$EA$3:$ER$221,18,0),"")</f>
        <v>1442651.9644670051</v>
      </c>
      <c r="H25" s="72">
        <f>VLOOKUP($D25,'FERC 2021'!$EA$3:$EN$221,11,0)</f>
        <v>20829952.989847716</v>
      </c>
      <c r="I25" s="72">
        <f>IFERROR(VLOOKUP($D25,'FERC 2022'!$EA$3:$EN$220,11,0),"")</f>
        <v>20782346.390862945</v>
      </c>
      <c r="J25" s="72">
        <f>IFERROR(VLOOKUP($D25,'FERC 2023'!$EA$3:$EN$221,11,0),"")</f>
        <v>20728828.964467004</v>
      </c>
      <c r="K25" s="17"/>
      <c r="L25" s="17">
        <f t="shared" si="1"/>
        <v>4.6298663771241005E-2</v>
      </c>
      <c r="M25" s="17">
        <f t="shared" ref="M25:N25" si="23">IFERROR(F25/I25,"")</f>
        <v>1.6098345421190537E-2</v>
      </c>
      <c r="N25" s="17">
        <f t="shared" si="23"/>
        <v>6.9596404453911687E-2</v>
      </c>
      <c r="O25" s="44"/>
    </row>
    <row r="26" spans="1:15" ht="15.75" hidden="1" customHeight="1">
      <c r="A26" s="7" t="s">
        <v>276</v>
      </c>
      <c r="B26" s="7" t="s">
        <v>277</v>
      </c>
      <c r="C26" s="44" t="str">
        <f>IF('BD Comp'!C26=1,IF(AND(M26&gt;=$F$1,N26&gt;=$F$1),1,""),"")</f>
        <v/>
      </c>
      <c r="D26" s="44" t="str">
        <f t="shared" si="0"/>
        <v>C000313</v>
      </c>
      <c r="E26" s="72">
        <f>VLOOKUP($D26,'FERC 2021'!$EA$3:$ER$221,18,0)</f>
        <v>249329</v>
      </c>
      <c r="F26" s="72">
        <f>IFERROR(VLOOKUP($D26,'FERC 2022'!$EA$3:$ER$220,18,0),"")</f>
        <v>175728</v>
      </c>
      <c r="G26" s="72">
        <f>IFERROR(VLOOKUP($D26,'FERC 2023'!$EA$3:$ER$221,18,0),"")</f>
        <v>257142</v>
      </c>
      <c r="H26" s="72">
        <f>VLOOKUP($D26,'FERC 2021'!$EA$3:$EN$221,11,0)</f>
        <v>23459318</v>
      </c>
      <c r="I26" s="72">
        <f>IFERROR(VLOOKUP($D26,'FERC 2022'!$EA$3:$EN$220,11,0),"")</f>
        <v>23809925</v>
      </c>
      <c r="J26" s="72">
        <f>IFERROR(VLOOKUP($D26,'FERC 2023'!$EA$3:$EN$221,11,0),"")</f>
        <v>23756901</v>
      </c>
      <c r="K26" s="17"/>
      <c r="L26" s="17">
        <f t="shared" si="1"/>
        <v>1.062814358030357E-2</v>
      </c>
      <c r="M26" s="17">
        <f t="shared" ref="M26:N26" si="24">IFERROR(F26/I26,"")</f>
        <v>7.3804516393898767E-3</v>
      </c>
      <c r="N26" s="17">
        <f t="shared" si="24"/>
        <v>1.0823886499337604E-2</v>
      </c>
      <c r="O26" s="44"/>
    </row>
    <row r="27" spans="1:15" ht="15.75" hidden="1" customHeight="1">
      <c r="A27" s="7" t="s">
        <v>279</v>
      </c>
      <c r="B27" s="7" t="s">
        <v>280</v>
      </c>
      <c r="C27" s="44" t="str">
        <f>IF('BD Comp'!C27=1,IF(AND(M27&gt;=$F$1,N27&gt;=$F$1),1,""),"")</f>
        <v/>
      </c>
      <c r="D27" s="44" t="str">
        <f t="shared" si="0"/>
        <v>C000314</v>
      </c>
      <c r="E27" s="72">
        <f>VLOOKUP($D27,'FERC 2021'!$EA$3:$ER$221,18,0)</f>
        <v>220026</v>
      </c>
      <c r="F27" s="72">
        <f>IFERROR(VLOOKUP($D27,'FERC 2022'!$EA$3:$ER$220,18,0),"")</f>
        <v>20755</v>
      </c>
      <c r="G27" s="72">
        <f>IFERROR(VLOOKUP($D27,'FERC 2023'!$EA$3:$ER$221,18,0),"")</f>
        <v>159223</v>
      </c>
      <c r="H27" s="72">
        <f>VLOOKUP($D27,'FERC 2021'!$EA$3:$EN$221,11,0)</f>
        <v>17783196</v>
      </c>
      <c r="I27" s="72">
        <f>IFERROR(VLOOKUP($D27,'FERC 2022'!$EA$3:$EN$220,11,0),"")</f>
        <v>17739942</v>
      </c>
      <c r="J27" s="72">
        <f>IFERROR(VLOOKUP($D27,'FERC 2023'!$EA$3:$EN$221,11,0),"")</f>
        <v>17201290</v>
      </c>
      <c r="K27" s="17"/>
      <c r="L27" s="17">
        <f t="shared" si="1"/>
        <v>1.2372691612913675E-2</v>
      </c>
      <c r="M27" s="17">
        <f t="shared" ref="M27:N27" si="25">IFERROR(F27/I27,"")</f>
        <v>1.1699587292900958E-3</v>
      </c>
      <c r="N27" s="17">
        <f t="shared" si="25"/>
        <v>9.2564569285210584E-3</v>
      </c>
      <c r="O27" s="44"/>
    </row>
    <row r="28" spans="1:15" ht="15.75" hidden="1" customHeight="1">
      <c r="A28" s="7" t="s">
        <v>282</v>
      </c>
      <c r="B28" s="7" t="s">
        <v>283</v>
      </c>
      <c r="C28" s="44" t="str">
        <f>IF('BD Comp'!C28=1,IF(AND(M28&gt;=$F$1,N28&gt;=$F$1),1,""),"")</f>
        <v/>
      </c>
      <c r="D28" s="44" t="str">
        <f t="shared" si="0"/>
        <v>C000315</v>
      </c>
      <c r="E28" s="72">
        <f>VLOOKUP($D28,'FERC 2021'!$EA$3:$ER$221,18,0)</f>
        <v>61494</v>
      </c>
      <c r="F28" s="72">
        <f>IFERROR(VLOOKUP($D28,'FERC 2022'!$EA$3:$ER$220,18,0),"")</f>
        <v>173204</v>
      </c>
      <c r="G28" s="72">
        <f>IFERROR(VLOOKUP($D28,'FERC 2023'!$EA$3:$ER$221,18,0),"")</f>
        <v>135390</v>
      </c>
      <c r="H28" s="72">
        <f>VLOOKUP($D28,'FERC 2021'!$EA$3:$EN$221,11,0)</f>
        <v>10807420</v>
      </c>
      <c r="I28" s="72">
        <f>IFERROR(VLOOKUP($D28,'FERC 2022'!$EA$3:$EN$220,11,0),"")</f>
        <v>10981287</v>
      </c>
      <c r="J28" s="72">
        <f>IFERROR(VLOOKUP($D28,'FERC 2023'!$EA$3:$EN$221,11,0),"")</f>
        <v>10965456</v>
      </c>
      <c r="K28" s="17"/>
      <c r="L28" s="17">
        <f t="shared" si="1"/>
        <v>5.6899796621210242E-3</v>
      </c>
      <c r="M28" s="17">
        <f t="shared" ref="M28:N28" si="26">IFERROR(F28/I28,"")</f>
        <v>1.577265032778034E-2</v>
      </c>
      <c r="N28" s="17">
        <f t="shared" si="26"/>
        <v>1.2346955749035882E-2</v>
      </c>
      <c r="O28" s="44"/>
    </row>
    <row r="29" spans="1:15" ht="15.75" hidden="1" customHeight="1">
      <c r="A29" s="7" t="s">
        <v>285</v>
      </c>
      <c r="B29" s="7" t="s">
        <v>286</v>
      </c>
      <c r="C29" s="44" t="str">
        <f>IF('BD Comp'!C29=1,IF(AND(M29&gt;=$F$1,N29&gt;=$F$1),1,""),"")</f>
        <v/>
      </c>
      <c r="D29" s="44" t="str">
        <f t="shared" si="0"/>
        <v>C000316</v>
      </c>
      <c r="E29" s="72">
        <f>VLOOKUP($D29,'FERC 2021'!$EA$3:$ER$221,18,0)</f>
        <v>60513.081218274114</v>
      </c>
      <c r="F29" s="72">
        <f>IFERROR(VLOOKUP($D29,'FERC 2022'!$EA$3:$ER$220,18,0),"")</f>
        <v>14172.431472081218</v>
      </c>
      <c r="G29" s="72">
        <f>IFERROR(VLOOKUP($D29,'FERC 2023'!$EA$3:$ER$221,18,0),"")</f>
        <v>4072.5076142131984</v>
      </c>
      <c r="H29" s="72">
        <f>VLOOKUP($D29,'FERC 2021'!$EA$3:$EN$221,11,0)</f>
        <v>4495326.0812182743</v>
      </c>
      <c r="I29" s="72">
        <f>IFERROR(VLOOKUP($D29,'FERC 2022'!$EA$3:$EN$220,11,0),"")</f>
        <v>4603961.4314720808</v>
      </c>
      <c r="J29" s="72">
        <f>IFERROR(VLOOKUP($D29,'FERC 2023'!$EA$3:$EN$221,11,0),"")</f>
        <v>4434844.507614213</v>
      </c>
      <c r="K29" s="17"/>
      <c r="L29" s="17">
        <f t="shared" si="1"/>
        <v>1.3461332976733584E-2</v>
      </c>
      <c r="M29" s="17">
        <f t="shared" ref="M29:N29" si="27">IFERROR(F29/I29,"")</f>
        <v>3.0783123801168973E-3</v>
      </c>
      <c r="N29" s="17">
        <f t="shared" si="27"/>
        <v>9.1829772322819521E-4</v>
      </c>
      <c r="O29" s="44"/>
    </row>
    <row r="30" spans="1:15" ht="15.75" hidden="1" customHeight="1">
      <c r="A30" s="7" t="s">
        <v>288</v>
      </c>
      <c r="B30" s="7" t="s">
        <v>289</v>
      </c>
      <c r="C30" s="44" t="str">
        <f>IF('BD Comp'!C30=1,IF(AND(M30&gt;=$F$1,N30&gt;=$F$1),1,""),"")</f>
        <v/>
      </c>
      <c r="D30" s="44" t="str">
        <f t="shared" si="0"/>
        <v>C000317</v>
      </c>
      <c r="E30" s="72">
        <f>VLOOKUP($D30,'FERC 2021'!$EA$3:$ER$221,18,0)</f>
        <v>292962.70050761418</v>
      </c>
      <c r="F30" s="72">
        <f>IFERROR(VLOOKUP($D30,'FERC 2022'!$EA$3:$ER$220,18,0),"")</f>
        <v>279209.26395939087</v>
      </c>
      <c r="G30" s="72">
        <f>IFERROR(VLOOKUP($D30,'FERC 2023'!$EA$3:$ER$221,18,0),"")</f>
        <v>218426.73096446699</v>
      </c>
      <c r="H30" s="72">
        <f>VLOOKUP($D30,'FERC 2021'!$EA$3:$EN$221,11,0)</f>
        <v>13505496.700507615</v>
      </c>
      <c r="I30" s="72">
        <f>IFERROR(VLOOKUP($D30,'FERC 2022'!$EA$3:$EN$220,11,0),"")</f>
        <v>13586500.263959391</v>
      </c>
      <c r="J30" s="72">
        <f>IFERROR(VLOOKUP($D30,'FERC 2023'!$EA$3:$EN$221,11,0),"")</f>
        <v>13126498.730964467</v>
      </c>
      <c r="K30" s="17"/>
      <c r="L30" s="17">
        <f t="shared" si="1"/>
        <v>2.1692108554334247E-2</v>
      </c>
      <c r="M30" s="17">
        <f t="shared" ref="M30:N30" si="28">IFERROR(F30/I30,"")</f>
        <v>2.0550491924696983E-2</v>
      </c>
      <c r="N30" s="17">
        <f t="shared" si="28"/>
        <v>1.6640136523931856E-2</v>
      </c>
      <c r="O30" s="44"/>
    </row>
    <row r="31" spans="1:15" ht="15.75" hidden="1" customHeight="1">
      <c r="A31" s="7" t="s">
        <v>291</v>
      </c>
      <c r="B31" s="7" t="s">
        <v>292</v>
      </c>
      <c r="C31" s="44" t="str">
        <f>IF('BD Comp'!C31=1,IF(AND(M31&gt;=$F$1,N31&gt;=$F$1),1,""),"")</f>
        <v/>
      </c>
      <c r="D31" s="44" t="str">
        <f t="shared" si="0"/>
        <v>C000318</v>
      </c>
      <c r="E31" s="72">
        <f>VLOOKUP($D31,'FERC 2021'!$EA$3:$ER$221,18,0)</f>
        <v>411255.02030456852</v>
      </c>
      <c r="F31" s="72">
        <f>IFERROR(VLOOKUP($D31,'FERC 2022'!$EA$3:$ER$220,18,0),"")</f>
        <v>319852.67512690357</v>
      </c>
      <c r="G31" s="72">
        <f>IFERROR(VLOOKUP($D31,'FERC 2023'!$EA$3:$ER$221,18,0),"")</f>
        <v>221133.14213197969</v>
      </c>
      <c r="H31" s="72">
        <f>VLOOKUP($D31,'FERC 2021'!$EA$3:$EN$221,11,0)</f>
        <v>14622471.020304568</v>
      </c>
      <c r="I31" s="72">
        <f>IFERROR(VLOOKUP($D31,'FERC 2022'!$EA$3:$EN$220,11,0),"")</f>
        <v>14729177.675126903</v>
      </c>
      <c r="J31" s="72">
        <f>IFERROR(VLOOKUP($D31,'FERC 2023'!$EA$3:$EN$221,11,0),"")</f>
        <v>13897510.142131981</v>
      </c>
      <c r="K31" s="17"/>
      <c r="L31" s="17">
        <f t="shared" si="1"/>
        <v>2.8124864787456599E-2</v>
      </c>
      <c r="M31" s="17">
        <f t="shared" ref="M31:N31" si="29">IFERROR(F31/I31,"")</f>
        <v>2.1715582647022946E-2</v>
      </c>
      <c r="N31" s="17">
        <f t="shared" si="29"/>
        <v>1.5911709354439533E-2</v>
      </c>
      <c r="O31" s="44"/>
    </row>
    <row r="32" spans="1:15" ht="15.75" hidden="1" customHeight="1">
      <c r="A32" s="7" t="s">
        <v>294</v>
      </c>
      <c r="B32" s="7" t="s">
        <v>295</v>
      </c>
      <c r="C32" s="44" t="str">
        <f>IF('BD Comp'!C32=1,IF(AND(M32&gt;=$F$1,N32&gt;=$F$1),1,""),"")</f>
        <v/>
      </c>
      <c r="D32" s="44" t="str">
        <f t="shared" si="0"/>
        <v>C000319</v>
      </c>
      <c r="E32" s="72" t="str">
        <f>VLOOKUP($D32,'FERC 2021'!$EA$3:$ER$221,18,0)</f>
        <v/>
      </c>
      <c r="F32" s="72" t="str">
        <f>IFERROR(VLOOKUP($D32,'FERC 2022'!$EA$3:$ER$220,18,0),"")</f>
        <v/>
      </c>
      <c r="G32" s="72" t="str">
        <f>IFERROR(VLOOKUP($D32,'FERC 2023'!$EA$3:$ER$221,18,0),"")</f>
        <v/>
      </c>
      <c r="H32" s="72" t="str">
        <f>VLOOKUP($D32,'FERC 2021'!$EA$3:$EN$221,11,0)</f>
        <v/>
      </c>
      <c r="I32" s="72" t="str">
        <f>IFERROR(VLOOKUP($D32,'FERC 2022'!$EA$3:$EN$220,11,0),"")</f>
        <v/>
      </c>
      <c r="J32" s="72" t="str">
        <f>IFERROR(VLOOKUP($D32,'FERC 2023'!$EA$3:$EN$221,11,0),"")</f>
        <v/>
      </c>
      <c r="K32" s="17"/>
      <c r="L32" s="17" t="e">
        <f t="shared" si="1"/>
        <v>#VALUE!</v>
      </c>
      <c r="M32" s="17" t="str">
        <f t="shared" ref="M32:N32" si="30">IFERROR(F32/I32,"")</f>
        <v/>
      </c>
      <c r="N32" s="17" t="str">
        <f t="shared" si="30"/>
        <v/>
      </c>
      <c r="O32" s="44"/>
    </row>
    <row r="33" spans="1:15" ht="15.75" hidden="1" customHeight="1">
      <c r="A33" s="7" t="s">
        <v>297</v>
      </c>
      <c r="B33" s="7" t="s">
        <v>298</v>
      </c>
      <c r="C33" s="44" t="str">
        <f>IF('BD Comp'!C33=1,IF(AND(M33&gt;=$F$1,N33&gt;=$F$1),1,""),"")</f>
        <v/>
      </c>
      <c r="D33" s="44" t="str">
        <f t="shared" si="0"/>
        <v>C000367</v>
      </c>
      <c r="E33" s="72" t="str">
        <f>VLOOKUP($D33,'FERC 2021'!$EA$3:$ER$221,18,0)</f>
        <v/>
      </c>
      <c r="F33" s="72" t="str">
        <f>IFERROR(VLOOKUP($D33,'FERC 2022'!$EA$3:$ER$220,18,0),"")</f>
        <v/>
      </c>
      <c r="G33" s="72" t="str">
        <f>IFERROR(VLOOKUP($D33,'FERC 2023'!$EA$3:$ER$221,18,0),"")</f>
        <v/>
      </c>
      <c r="H33" s="72" t="str">
        <f>VLOOKUP($D33,'FERC 2021'!$EA$3:$EN$221,11,0)</f>
        <v/>
      </c>
      <c r="I33" s="72" t="str">
        <f>IFERROR(VLOOKUP($D33,'FERC 2022'!$EA$3:$EN$220,11,0),"")</f>
        <v/>
      </c>
      <c r="J33" s="72" t="str">
        <f>IFERROR(VLOOKUP($D33,'FERC 2023'!$EA$3:$EN$221,11,0),"")</f>
        <v/>
      </c>
      <c r="K33" s="17"/>
      <c r="L33" s="17" t="e">
        <f t="shared" si="1"/>
        <v>#VALUE!</v>
      </c>
      <c r="M33" s="17" t="str">
        <f t="shared" ref="M33:N33" si="31">IFERROR(F33/I33,"")</f>
        <v/>
      </c>
      <c r="N33" s="17" t="str">
        <f t="shared" si="31"/>
        <v/>
      </c>
      <c r="O33" s="44"/>
    </row>
    <row r="34" spans="1:15" ht="15.75" hidden="1" customHeight="1">
      <c r="A34" s="7" t="s">
        <v>300</v>
      </c>
      <c r="B34" s="7" t="s">
        <v>301</v>
      </c>
      <c r="C34" s="44" t="str">
        <f>IF('BD Comp'!C34=1,IF(AND(M34&gt;=$F$1,N34&gt;=$F$1),1,""),"")</f>
        <v/>
      </c>
      <c r="D34" s="44" t="str">
        <f t="shared" si="0"/>
        <v>C000379</v>
      </c>
      <c r="E34" s="72">
        <f>VLOOKUP($D34,'FERC 2021'!$EA$3:$ER$221,18,0)</f>
        <v>454380.20812182734</v>
      </c>
      <c r="F34" s="72">
        <f>IFERROR(VLOOKUP($D34,'FERC 2022'!$EA$3:$ER$220,18,0),"")</f>
        <v>399287.4263959392</v>
      </c>
      <c r="G34" s="72">
        <f>IFERROR(VLOOKUP($D34,'FERC 2023'!$EA$3:$ER$221,18,0),"")</f>
        <v>403417.23350253794</v>
      </c>
      <c r="H34" s="72">
        <f>VLOOKUP($D34,'FERC 2021'!$EA$3:$EN$221,11,0)</f>
        <v>9689228.2081218269</v>
      </c>
      <c r="I34" s="72">
        <f>IFERROR(VLOOKUP($D34,'FERC 2022'!$EA$3:$EN$220,11,0),"")</f>
        <v>9916977.4263959397</v>
      </c>
      <c r="J34" s="72">
        <f>IFERROR(VLOOKUP($D34,'FERC 2023'!$EA$3:$EN$221,11,0),"")</f>
        <v>9711286.233502537</v>
      </c>
      <c r="K34" s="17"/>
      <c r="L34" s="17">
        <f t="shared" si="1"/>
        <v>4.6895397482840898E-2</v>
      </c>
      <c r="M34" s="17">
        <f t="shared" ref="M34:N34" si="32">IFERROR(F34/I34,"")</f>
        <v>4.0263016565224706E-2</v>
      </c>
      <c r="N34" s="17">
        <f t="shared" si="32"/>
        <v>4.1541071265184901E-2</v>
      </c>
      <c r="O34" s="44"/>
    </row>
    <row r="35" spans="1:15" ht="15.75" hidden="1" customHeight="1">
      <c r="A35" s="7" t="s">
        <v>303</v>
      </c>
      <c r="B35" s="7" t="s">
        <v>304</v>
      </c>
      <c r="C35" s="44" t="str">
        <f>IF('BD Comp'!C35=1,IF(AND(M35&gt;=$F$1,N35&gt;=$F$1),1,""),"")</f>
        <v/>
      </c>
      <c r="D35" s="44" t="str">
        <f t="shared" si="0"/>
        <v>C000388</v>
      </c>
      <c r="E35" s="72">
        <f>VLOOKUP($D35,'FERC 2021'!$EA$3:$ER$221,18,0)</f>
        <v>33463187.131979696</v>
      </c>
      <c r="F35" s="72">
        <f>IFERROR(VLOOKUP($D35,'FERC 2022'!$EA$3:$ER$220,18,0),"")</f>
        <v>25700555.786802031</v>
      </c>
      <c r="G35" s="72">
        <f>IFERROR(VLOOKUP($D35,'FERC 2023'!$EA$3:$ER$221,18,0),"")</f>
        <v>30987708.852791879</v>
      </c>
      <c r="H35" s="72">
        <f>VLOOKUP($D35,'FERC 2021'!$EA$3:$EN$221,11,0)</f>
        <v>112320249.1319797</v>
      </c>
      <c r="I35" s="72">
        <f>IFERROR(VLOOKUP($D35,'FERC 2022'!$EA$3:$EN$220,11,0),"")</f>
        <v>103739331.78680202</v>
      </c>
      <c r="J35" s="72">
        <f>IFERROR(VLOOKUP($D35,'FERC 2023'!$EA$3:$EN$221,11,0),"")</f>
        <v>104190881.85279188</v>
      </c>
      <c r="K35" s="17"/>
      <c r="L35" s="17">
        <f t="shared" si="1"/>
        <v>0.2979265750440015</v>
      </c>
      <c r="M35" s="17">
        <f t="shared" ref="M35:N35" si="33">IFERROR(F35/I35,"")</f>
        <v>0.24774167467764352</v>
      </c>
      <c r="N35" s="17">
        <f t="shared" si="33"/>
        <v>0.2974128666707464</v>
      </c>
      <c r="O35" s="44"/>
    </row>
    <row r="36" spans="1:15" ht="15.75" hidden="1" customHeight="1">
      <c r="A36" s="7" t="s">
        <v>306</v>
      </c>
      <c r="B36" s="7" t="s">
        <v>307</v>
      </c>
      <c r="C36" s="44" t="str">
        <f>IF('BD Comp'!C36=1,IF(AND(M36&gt;=$F$1,N36&gt;=$F$1),1,""),"")</f>
        <v/>
      </c>
      <c r="D36" s="44" t="str">
        <f t="shared" si="0"/>
        <v>C000415</v>
      </c>
      <c r="E36" s="72">
        <f>VLOOKUP($D36,'FERC 2021'!$EA$3:$ER$221,18,0)</f>
        <v>1795047.6497461926</v>
      </c>
      <c r="F36" s="72">
        <f>IFERROR(VLOOKUP($D36,'FERC 2022'!$EA$3:$ER$220,18,0),"")</f>
        <v>1501125.0456852792</v>
      </c>
      <c r="G36" s="72">
        <f>IFERROR(VLOOKUP($D36,'FERC 2023'!$EA$3:$ER$221,18,0),"")</f>
        <v>1046206.6040609134</v>
      </c>
      <c r="H36" s="72">
        <f>VLOOKUP($D36,'FERC 2021'!$EA$3:$EN$221,11,0)</f>
        <v>43277013.649746194</v>
      </c>
      <c r="I36" s="72">
        <f>IFERROR(VLOOKUP($D36,'FERC 2022'!$EA$3:$EN$220,11,0),"")</f>
        <v>42398767.045685276</v>
      </c>
      <c r="J36" s="72">
        <f>IFERROR(VLOOKUP($D36,'FERC 2023'!$EA$3:$EN$221,11,0),"")</f>
        <v>40168154.604060911</v>
      </c>
      <c r="K36" s="17"/>
      <c r="L36" s="17">
        <f t="shared" si="1"/>
        <v>4.1478084977721652E-2</v>
      </c>
      <c r="M36" s="17">
        <f t="shared" ref="M36:N36" si="34">IFERROR(F36/I36,"")</f>
        <v>3.5404922130584493E-2</v>
      </c>
      <c r="N36" s="17">
        <f t="shared" si="34"/>
        <v>2.6045672607402887E-2</v>
      </c>
      <c r="O36" s="44"/>
    </row>
    <row r="37" spans="1:15" ht="15.75" hidden="1" customHeight="1">
      <c r="A37" s="7" t="s">
        <v>309</v>
      </c>
      <c r="B37" s="7" t="s">
        <v>310</v>
      </c>
      <c r="C37" s="44" t="str">
        <f>IF('BD Comp'!C37=1,IF(AND(M37&gt;=$F$1,N37&gt;=$F$1),1,""),"")</f>
        <v/>
      </c>
      <c r="D37" s="44" t="str">
        <f t="shared" si="0"/>
        <v>C000447</v>
      </c>
      <c r="E37" s="72">
        <f>VLOOKUP($D37,'FERC 2021'!$EA$3:$ER$221,18,0)</f>
        <v>589352.44670050777</v>
      </c>
      <c r="F37" s="72">
        <f>IFERROR(VLOOKUP($D37,'FERC 2022'!$EA$3:$ER$220,18,0),"")</f>
        <v>621308.73096446693</v>
      </c>
      <c r="G37" s="72">
        <f>IFERROR(VLOOKUP($D37,'FERC 2023'!$EA$3:$ER$221,18,0),"")</f>
        <v>478526.83248730982</v>
      </c>
      <c r="H37" s="72">
        <f>VLOOKUP($D37,'FERC 2021'!$EA$3:$EN$221,11,0)</f>
        <v>9101880.4467005078</v>
      </c>
      <c r="I37" s="72">
        <f>IFERROR(VLOOKUP($D37,'FERC 2022'!$EA$3:$EN$220,11,0),"")</f>
        <v>9485503.7309644669</v>
      </c>
      <c r="J37" s="72">
        <f>IFERROR(VLOOKUP($D37,'FERC 2023'!$EA$3:$EN$221,11,0),"")</f>
        <v>9326902.8324873094</v>
      </c>
      <c r="K37" s="17"/>
      <c r="L37" s="17">
        <f t="shared" si="1"/>
        <v>6.4750624901269926E-2</v>
      </c>
      <c r="M37" s="17">
        <f t="shared" ref="M37:N37" si="35">IFERROR(F37/I37,"")</f>
        <v>6.5500868334094631E-2</v>
      </c>
      <c r="N37" s="17">
        <f t="shared" si="35"/>
        <v>5.1306081030512429E-2</v>
      </c>
      <c r="O37" s="44"/>
    </row>
    <row r="38" spans="1:15" ht="15.75" hidden="1" customHeight="1">
      <c r="A38" s="7" t="s">
        <v>312</v>
      </c>
      <c r="B38" s="7" t="s">
        <v>313</v>
      </c>
      <c r="C38" s="44" t="str">
        <f>IF('BD Comp'!C38=1,IF(AND(M38&gt;=$F$1,N38&gt;=$F$1),1,""),"")</f>
        <v/>
      </c>
      <c r="D38" s="44" t="str">
        <f t="shared" si="0"/>
        <v>C000465</v>
      </c>
      <c r="E38" s="72">
        <f>VLOOKUP($D38,'FERC 2021'!$EA$3:$ER$221,18,0)</f>
        <v>403185.31979695428</v>
      </c>
      <c r="F38" s="72">
        <f>IFERROR(VLOOKUP($D38,'FERC 2022'!$EA$3:$ER$220,18,0),"")</f>
        <v>473649.76142131956</v>
      </c>
      <c r="G38" s="72">
        <f>IFERROR(VLOOKUP($D38,'FERC 2023'!$EA$3:$ER$221,18,0),"")</f>
        <v>440330.45685279183</v>
      </c>
      <c r="H38" s="72">
        <f>VLOOKUP($D38,'FERC 2021'!$EA$3:$EN$221,11,0)</f>
        <v>8527321.3197969534</v>
      </c>
      <c r="I38" s="72">
        <f>IFERROR(VLOOKUP($D38,'FERC 2022'!$EA$3:$EN$220,11,0),"")</f>
        <v>8858184.7614213191</v>
      </c>
      <c r="J38" s="72">
        <f>IFERROR(VLOOKUP($D38,'FERC 2023'!$EA$3:$EN$221,11,0),"")</f>
        <v>9064422.4568527918</v>
      </c>
      <c r="K38" s="17"/>
      <c r="L38" s="17">
        <f t="shared" si="1"/>
        <v>4.7281591097185799E-2</v>
      </c>
      <c r="M38" s="17">
        <f t="shared" ref="M38:N38" si="36">IFERROR(F38/I38,"")</f>
        <v>5.3470296023191234E-2</v>
      </c>
      <c r="N38" s="17">
        <f t="shared" si="36"/>
        <v>4.8577883361989344E-2</v>
      </c>
      <c r="O38" s="44"/>
    </row>
    <row r="39" spans="1:15" ht="15.75" hidden="1" customHeight="1">
      <c r="A39" s="7" t="s">
        <v>315</v>
      </c>
      <c r="B39" s="7" t="s">
        <v>316</v>
      </c>
      <c r="C39" s="44" t="str">
        <f>IF('BD Comp'!C39=1,IF(AND(M39&gt;=$F$1,N39&gt;=$F$1),1,""),"")</f>
        <v/>
      </c>
      <c r="D39" s="44" t="str">
        <f t="shared" si="0"/>
        <v>C000500</v>
      </c>
      <c r="E39" s="72">
        <f>VLOOKUP($D39,'FERC 2021'!$EA$3:$ER$221,18,0)</f>
        <v>351101.01522842655</v>
      </c>
      <c r="F39" s="72">
        <f>IFERROR(VLOOKUP($D39,'FERC 2022'!$EA$3:$ER$220,18,0),"")</f>
        <v>347097.01015228406</v>
      </c>
      <c r="G39" s="72">
        <f>IFERROR(VLOOKUP($D39,'FERC 2023'!$EA$3:$ER$221,18,0),"")</f>
        <v>338678.1522842641</v>
      </c>
      <c r="H39" s="72">
        <f>VLOOKUP($D39,'FERC 2021'!$EA$3:$EN$221,11,0)</f>
        <v>11397197.015228426</v>
      </c>
      <c r="I39" s="72">
        <f>IFERROR(VLOOKUP($D39,'FERC 2022'!$EA$3:$EN$220,11,0),"")</f>
        <v>11411737.010152284</v>
      </c>
      <c r="J39" s="72">
        <f>IFERROR(VLOOKUP($D39,'FERC 2023'!$EA$3:$EN$221,11,0),"")</f>
        <v>11155926.152284265</v>
      </c>
      <c r="K39" s="17"/>
      <c r="L39" s="17">
        <f t="shared" si="1"/>
        <v>3.0805909098465267E-2</v>
      </c>
      <c r="M39" s="17">
        <f t="shared" ref="M39:N39" si="37">IFERROR(F39/I39,"")</f>
        <v>3.0415791201943605E-2</v>
      </c>
      <c r="N39" s="17">
        <f t="shared" si="37"/>
        <v>3.0358586787069854E-2</v>
      </c>
      <c r="O39" s="44"/>
    </row>
    <row r="40" spans="1:15" ht="15.75" hidden="1" customHeight="1">
      <c r="A40" s="7" t="s">
        <v>318</v>
      </c>
      <c r="B40" s="7" t="s">
        <v>319</v>
      </c>
      <c r="C40" s="44" t="str">
        <f>IF('BD Comp'!C40=1,IF(AND(M40&gt;=$F$1,N40&gt;=$F$1),1,""),"")</f>
        <v/>
      </c>
      <c r="D40" s="44" t="str">
        <f t="shared" si="0"/>
        <v>C000501</v>
      </c>
      <c r="E40" s="72">
        <f>VLOOKUP($D40,'FERC 2021'!$EA$3:$ER$221,18,0)</f>
        <v>25988.461928934012</v>
      </c>
      <c r="F40" s="72">
        <f>IFERROR(VLOOKUP($D40,'FERC 2022'!$EA$3:$ER$220,18,0),"")</f>
        <v>59339.451776649745</v>
      </c>
      <c r="G40" s="72">
        <f>IFERROR(VLOOKUP($D40,'FERC 2023'!$EA$3:$ER$221,18,0),"")</f>
        <v>51685.954314720817</v>
      </c>
      <c r="H40" s="72">
        <f>VLOOKUP($D40,'FERC 2021'!$EA$3:$EN$221,11,0)</f>
        <v>779192.46192893398</v>
      </c>
      <c r="I40" s="72">
        <f>IFERROR(VLOOKUP($D40,'FERC 2022'!$EA$3:$EN$220,11,0),"")</f>
        <v>770109.4517766498</v>
      </c>
      <c r="J40" s="72">
        <f>IFERROR(VLOOKUP($D40,'FERC 2023'!$EA$3:$EN$221,11,0),"")</f>
        <v>713114.95431472082</v>
      </c>
      <c r="K40" s="17"/>
      <c r="L40" s="17">
        <f t="shared" si="1"/>
        <v>3.3353071543580054E-2</v>
      </c>
      <c r="M40" s="17">
        <f t="shared" ref="M40:N40" si="38">IFERROR(F40/I40,"")</f>
        <v>7.7053270336772353E-2</v>
      </c>
      <c r="N40" s="17">
        <f t="shared" si="38"/>
        <v>7.2479133976918575E-2</v>
      </c>
      <c r="O40" s="44"/>
    </row>
    <row r="41" spans="1:15" ht="15.75" hidden="1" customHeight="1">
      <c r="A41" s="7" t="s">
        <v>321</v>
      </c>
      <c r="B41" s="7" t="s">
        <v>322</v>
      </c>
      <c r="C41" s="44" t="str">
        <f>IF('BD Comp'!C41=1,IF(AND(M41&gt;=$F$1,N41&gt;=$F$1),1,""),"")</f>
        <v/>
      </c>
      <c r="D41" s="44" t="str">
        <f t="shared" si="0"/>
        <v>C000502</v>
      </c>
      <c r="E41" s="72" t="str">
        <f>VLOOKUP($D41,'FERC 2021'!$EA$3:$ER$221,18,0)</f>
        <v/>
      </c>
      <c r="F41" s="72" t="str">
        <f>IFERROR(VLOOKUP($D41,'FERC 2022'!$EA$3:$ER$220,18,0),"")</f>
        <v/>
      </c>
      <c r="G41" s="72" t="str">
        <f>IFERROR(VLOOKUP($D41,'FERC 2023'!$EA$3:$ER$221,18,0),"")</f>
        <v/>
      </c>
      <c r="H41" s="72" t="str">
        <f>VLOOKUP($D41,'FERC 2021'!$EA$3:$EN$221,11,0)</f>
        <v/>
      </c>
      <c r="I41" s="72" t="str">
        <f>IFERROR(VLOOKUP($D41,'FERC 2022'!$EA$3:$EN$220,11,0),"")</f>
        <v/>
      </c>
      <c r="J41" s="72" t="str">
        <f>IFERROR(VLOOKUP($D41,'FERC 2023'!$EA$3:$EN$221,11,0),"")</f>
        <v/>
      </c>
      <c r="K41" s="17"/>
      <c r="L41" s="17" t="e">
        <f t="shared" si="1"/>
        <v>#VALUE!</v>
      </c>
      <c r="M41" s="17" t="str">
        <f t="shared" ref="M41:N41" si="39">IFERROR(F41/I41,"")</f>
        <v/>
      </c>
      <c r="N41" s="17" t="str">
        <f t="shared" si="39"/>
        <v/>
      </c>
      <c r="O41" s="44"/>
    </row>
    <row r="42" spans="1:15" ht="15.75" hidden="1" customHeight="1">
      <c r="A42" s="7" t="s">
        <v>324</v>
      </c>
      <c r="B42" s="7" t="s">
        <v>325</v>
      </c>
      <c r="C42" s="44" t="str">
        <f>IF('BD Comp'!C42=1,IF(AND(M42&gt;=$F$1,N42&gt;=$F$1),1,""),"")</f>
        <v/>
      </c>
      <c r="D42" s="44" t="str">
        <f t="shared" si="0"/>
        <v>C000507</v>
      </c>
      <c r="E42" s="72">
        <f>VLOOKUP($D42,'FERC 2021'!$EA$3:$ER$221,18,0)</f>
        <v>15621.964467005077</v>
      </c>
      <c r="F42" s="72">
        <f>IFERROR(VLOOKUP($D42,'FERC 2022'!$EA$3:$ER$220,18,0),"")</f>
        <v>58844.553299492371</v>
      </c>
      <c r="G42" s="72">
        <f>IFERROR(VLOOKUP($D42,'FERC 2023'!$EA$3:$ER$221,18,0),"")</f>
        <v>53540.101522842626</v>
      </c>
      <c r="H42" s="72">
        <f>VLOOKUP($D42,'FERC 2021'!$EA$3:$EN$221,11,0)</f>
        <v>4061433.9644670049</v>
      </c>
      <c r="I42" s="72">
        <f>IFERROR(VLOOKUP($D42,'FERC 2022'!$EA$3:$EN$220,11,0),"")</f>
        <v>4079830.5532994922</v>
      </c>
      <c r="J42" s="72">
        <f>IFERROR(VLOOKUP($D42,'FERC 2023'!$EA$3:$EN$221,11,0),"")</f>
        <v>3978283.1015228424</v>
      </c>
      <c r="K42" s="17"/>
      <c r="L42" s="17">
        <f t="shared" si="1"/>
        <v>3.8464159712258668E-3</v>
      </c>
      <c r="M42" s="17">
        <f t="shared" ref="M42:N42" si="40">IFERROR(F42/I42,"")</f>
        <v>1.4423283646401162E-2</v>
      </c>
      <c r="N42" s="17">
        <f t="shared" si="40"/>
        <v>1.3458092387228067E-2</v>
      </c>
      <c r="O42" s="44"/>
    </row>
    <row r="43" spans="1:15" ht="15.75" hidden="1" customHeight="1">
      <c r="A43" s="7" t="s">
        <v>327</v>
      </c>
      <c r="B43" s="7" t="s">
        <v>328</v>
      </c>
      <c r="C43" s="44" t="str">
        <f>IF('BD Comp'!C43=1,IF(AND(M43&gt;=$F$1,N43&gt;=$F$1),1,""),"")</f>
        <v/>
      </c>
      <c r="D43" s="44" t="str">
        <f t="shared" si="0"/>
        <v>C000509</v>
      </c>
      <c r="E43" s="72">
        <f>VLOOKUP($D43,'FERC 2021'!$EA$3:$ER$221,18,0)</f>
        <v>37309</v>
      </c>
      <c r="F43" s="72">
        <f>IFERROR(VLOOKUP($D43,'FERC 2022'!$EA$3:$ER$220,18,0),"")</f>
        <v>7700</v>
      </c>
      <c r="G43" s="72">
        <f>IFERROR(VLOOKUP($D43,'FERC 2023'!$EA$3:$ER$221,18,0),"")</f>
        <v>16275</v>
      </c>
      <c r="H43" s="72">
        <f>VLOOKUP($D43,'FERC 2021'!$EA$3:$EN$221,11,0)</f>
        <v>1532898</v>
      </c>
      <c r="I43" s="72">
        <f>IFERROR(VLOOKUP($D43,'FERC 2022'!$EA$3:$EN$220,11,0),"")</f>
        <v>1540034</v>
      </c>
      <c r="J43" s="72">
        <f>IFERROR(VLOOKUP($D43,'FERC 2023'!$EA$3:$EN$221,11,0),"")</f>
        <v>1476599</v>
      </c>
      <c r="K43" s="17"/>
      <c r="L43" s="17">
        <f t="shared" si="1"/>
        <v>2.4338866643442682E-2</v>
      </c>
      <c r="M43" s="17">
        <f t="shared" ref="M43:N43" si="41">IFERROR(F43/I43,"")</f>
        <v>4.9998896128267299E-3</v>
      </c>
      <c r="N43" s="17">
        <f t="shared" si="41"/>
        <v>1.1021949764289425E-2</v>
      </c>
      <c r="O43" s="44"/>
    </row>
    <row r="44" spans="1:15" ht="15.75" hidden="1" customHeight="1">
      <c r="A44" s="7" t="s">
        <v>330</v>
      </c>
      <c r="B44" s="7" t="s">
        <v>331</v>
      </c>
      <c r="C44" s="44" t="str">
        <f>IF('BD Comp'!C44=1,IF(AND(M44&gt;=$F$1,N44&gt;=$F$1),1,""),"")</f>
        <v/>
      </c>
      <c r="D44" s="44" t="str">
        <f t="shared" si="0"/>
        <v>C000522</v>
      </c>
      <c r="E44" s="72" t="str">
        <f>VLOOKUP($D44,'FERC 2021'!$EA$3:$ER$221,18,0)</f>
        <v/>
      </c>
      <c r="F44" s="72" t="str">
        <f>IFERROR(VLOOKUP($D44,'FERC 2022'!$EA$3:$ER$220,18,0),"")</f>
        <v/>
      </c>
      <c r="G44" s="72" t="str">
        <f>IFERROR(VLOOKUP($D44,'FERC 2023'!$EA$3:$ER$221,18,0),"")</f>
        <v/>
      </c>
      <c r="H44" s="72" t="str">
        <f>VLOOKUP($D44,'FERC 2021'!$EA$3:$EN$221,11,0)</f>
        <v/>
      </c>
      <c r="I44" s="72" t="str">
        <f>IFERROR(VLOOKUP($D44,'FERC 2022'!$EA$3:$EN$220,11,0),"")</f>
        <v/>
      </c>
      <c r="J44" s="72" t="str">
        <f>IFERROR(VLOOKUP($D44,'FERC 2023'!$EA$3:$EN$221,11,0),"")</f>
        <v/>
      </c>
      <c r="K44" s="17"/>
      <c r="L44" s="17" t="e">
        <f t="shared" si="1"/>
        <v>#VALUE!</v>
      </c>
      <c r="M44" s="17" t="str">
        <f t="shared" ref="M44:N44" si="42">IFERROR(F44/I44,"")</f>
        <v/>
      </c>
      <c r="N44" s="17" t="str">
        <f t="shared" si="42"/>
        <v/>
      </c>
      <c r="O44" s="44"/>
    </row>
    <row r="45" spans="1:15" ht="15.75" hidden="1" customHeight="1">
      <c r="A45" s="7" t="s">
        <v>333</v>
      </c>
      <c r="B45" s="7" t="s">
        <v>334</v>
      </c>
      <c r="C45" s="44" t="str">
        <f>IF('BD Comp'!C45=1,IF(AND(M45&gt;=$F$1,N45&gt;=$F$1),1,""),"")</f>
        <v/>
      </c>
      <c r="D45" s="44" t="str">
        <f t="shared" si="0"/>
        <v>C000523</v>
      </c>
      <c r="E45" s="72" t="str">
        <f>VLOOKUP($D45,'FERC 2021'!$EA$3:$ER$221,18,0)</f>
        <v/>
      </c>
      <c r="F45" s="72" t="str">
        <f>IFERROR(VLOOKUP($D45,'FERC 2022'!$EA$3:$ER$220,18,0),"")</f>
        <v/>
      </c>
      <c r="G45" s="72" t="str">
        <f>IFERROR(VLOOKUP($D45,'FERC 2023'!$EA$3:$ER$221,18,0),"")</f>
        <v/>
      </c>
      <c r="H45" s="72" t="str">
        <f>VLOOKUP($D45,'FERC 2021'!$EA$3:$EN$221,11,0)</f>
        <v/>
      </c>
      <c r="I45" s="72" t="str">
        <f>IFERROR(VLOOKUP($D45,'FERC 2022'!$EA$3:$EN$220,11,0),"")</f>
        <v/>
      </c>
      <c r="J45" s="72" t="str">
        <f>IFERROR(VLOOKUP($D45,'FERC 2023'!$EA$3:$EN$221,11,0),"")</f>
        <v/>
      </c>
      <c r="K45" s="17"/>
      <c r="L45" s="17" t="e">
        <f t="shared" si="1"/>
        <v>#VALUE!</v>
      </c>
      <c r="M45" s="17" t="str">
        <f t="shared" ref="M45:N45" si="43">IFERROR(F45/I45,"")</f>
        <v/>
      </c>
      <c r="N45" s="17" t="str">
        <f t="shared" si="43"/>
        <v/>
      </c>
      <c r="O45" s="44"/>
    </row>
    <row r="46" spans="1:15" ht="15.75" hidden="1" customHeight="1">
      <c r="A46" s="7" t="s">
        <v>336</v>
      </c>
      <c r="B46" s="7" t="s">
        <v>337</v>
      </c>
      <c r="C46" s="44" t="str">
        <f>IF('BD Comp'!C46=1,IF(AND(M46&gt;=$F$1,N46&gt;=$F$1),1,""),"")</f>
        <v/>
      </c>
      <c r="D46" s="44" t="str">
        <f t="shared" si="0"/>
        <v>C000524</v>
      </c>
      <c r="E46" s="72" t="str">
        <f>VLOOKUP($D46,'FERC 2021'!$EA$3:$ER$221,18,0)</f>
        <v/>
      </c>
      <c r="F46" s="72" t="str">
        <f>IFERROR(VLOOKUP($D46,'FERC 2022'!$EA$3:$ER$220,18,0),"")</f>
        <v/>
      </c>
      <c r="G46" s="72" t="str">
        <f>IFERROR(VLOOKUP($D46,'FERC 2023'!$EA$3:$ER$221,18,0),"")</f>
        <v/>
      </c>
      <c r="H46" s="72" t="str">
        <f>VLOOKUP($D46,'FERC 2021'!$EA$3:$EN$221,11,0)</f>
        <v/>
      </c>
      <c r="I46" s="72" t="str">
        <f>IFERROR(VLOOKUP($D46,'FERC 2022'!$EA$3:$EN$220,11,0),"")</f>
        <v/>
      </c>
      <c r="J46" s="72" t="str">
        <f>IFERROR(VLOOKUP($D46,'FERC 2023'!$EA$3:$EN$221,11,0),"")</f>
        <v/>
      </c>
      <c r="K46" s="17"/>
      <c r="L46" s="17" t="e">
        <f t="shared" si="1"/>
        <v>#VALUE!</v>
      </c>
      <c r="M46" s="17" t="str">
        <f t="shared" ref="M46:N46" si="44">IFERROR(F46/I46,"")</f>
        <v/>
      </c>
      <c r="N46" s="17" t="str">
        <f t="shared" si="44"/>
        <v/>
      </c>
      <c r="O46" s="44"/>
    </row>
    <row r="47" spans="1:15" ht="15.75" hidden="1" customHeight="1">
      <c r="A47" s="7" t="s">
        <v>339</v>
      </c>
      <c r="B47" s="7" t="s">
        <v>340</v>
      </c>
      <c r="C47" s="44" t="str">
        <f>IF('BD Comp'!C47=1,IF(AND(M47&gt;=$F$1,N47&gt;=$F$1),1,""),"")</f>
        <v/>
      </c>
      <c r="D47" s="44" t="str">
        <f t="shared" si="0"/>
        <v>C000525</v>
      </c>
      <c r="E47" s="72" t="str">
        <f>VLOOKUP($D47,'FERC 2021'!$EA$3:$ER$221,18,0)</f>
        <v/>
      </c>
      <c r="F47" s="72" t="str">
        <f>IFERROR(VLOOKUP($D47,'FERC 2022'!$EA$3:$ER$220,18,0),"")</f>
        <v/>
      </c>
      <c r="G47" s="72" t="str">
        <f>IFERROR(VLOOKUP($D47,'FERC 2023'!$EA$3:$ER$221,18,0),"")</f>
        <v/>
      </c>
      <c r="H47" s="72" t="str">
        <f>VLOOKUP($D47,'FERC 2021'!$EA$3:$EN$221,11,0)</f>
        <v/>
      </c>
      <c r="I47" s="72" t="str">
        <f>IFERROR(VLOOKUP($D47,'FERC 2022'!$EA$3:$EN$220,11,0),"")</f>
        <v/>
      </c>
      <c r="J47" s="72" t="str">
        <f>IFERROR(VLOOKUP($D47,'FERC 2023'!$EA$3:$EN$221,11,0),"")</f>
        <v/>
      </c>
      <c r="K47" s="17"/>
      <c r="L47" s="17" t="e">
        <f t="shared" si="1"/>
        <v>#VALUE!</v>
      </c>
      <c r="M47" s="17" t="str">
        <f t="shared" ref="M47:N47" si="45">IFERROR(F47/I47,"")</f>
        <v/>
      </c>
      <c r="N47" s="17" t="str">
        <f t="shared" si="45"/>
        <v/>
      </c>
      <c r="O47" s="44"/>
    </row>
    <row r="48" spans="1:15" ht="15.75" hidden="1" customHeight="1">
      <c r="A48" s="7" t="s">
        <v>342</v>
      </c>
      <c r="B48" s="7" t="s">
        <v>343</v>
      </c>
      <c r="C48" s="44" t="str">
        <f>IF('BD Comp'!C48=1,IF(AND(M48&gt;=$F$1,N48&gt;=$F$1),1,""),"")</f>
        <v/>
      </c>
      <c r="D48" s="44" t="str">
        <f t="shared" si="0"/>
        <v>C000526</v>
      </c>
      <c r="E48" s="72" t="str">
        <f>VLOOKUP($D48,'FERC 2021'!$EA$3:$ER$221,18,0)</f>
        <v/>
      </c>
      <c r="F48" s="72" t="str">
        <f>IFERROR(VLOOKUP($D48,'FERC 2022'!$EA$3:$ER$220,18,0),"")</f>
        <v/>
      </c>
      <c r="G48" s="72" t="str">
        <f>IFERROR(VLOOKUP($D48,'FERC 2023'!$EA$3:$ER$221,18,0),"")</f>
        <v/>
      </c>
      <c r="H48" s="72" t="str">
        <f>VLOOKUP($D48,'FERC 2021'!$EA$3:$EN$221,11,0)</f>
        <v/>
      </c>
      <c r="I48" s="72" t="str">
        <f>IFERROR(VLOOKUP($D48,'FERC 2022'!$EA$3:$EN$220,11,0),"")</f>
        <v/>
      </c>
      <c r="J48" s="72" t="str">
        <f>IFERROR(VLOOKUP($D48,'FERC 2023'!$EA$3:$EN$221,11,0),"")</f>
        <v/>
      </c>
      <c r="K48" s="17"/>
      <c r="L48" s="17" t="e">
        <f t="shared" si="1"/>
        <v>#VALUE!</v>
      </c>
      <c r="M48" s="17" t="str">
        <f t="shared" ref="M48:N48" si="46">IFERROR(F48/I48,"")</f>
        <v/>
      </c>
      <c r="N48" s="17" t="str">
        <f t="shared" si="46"/>
        <v/>
      </c>
      <c r="O48" s="44"/>
    </row>
    <row r="49" spans="1:15" ht="15.75" hidden="1" customHeight="1">
      <c r="A49" s="7" t="s">
        <v>345</v>
      </c>
      <c r="B49" s="7" t="s">
        <v>346</v>
      </c>
      <c r="C49" s="44" t="str">
        <f>IF('BD Comp'!C49=1,IF(AND(M49&gt;=$F$1,N49&gt;=$F$1),1,""),"")</f>
        <v/>
      </c>
      <c r="D49" s="44" t="str">
        <f t="shared" si="0"/>
        <v>C000527</v>
      </c>
      <c r="E49" s="72" t="str">
        <f>VLOOKUP($D49,'FERC 2021'!$EA$3:$ER$221,18,0)</f>
        <v/>
      </c>
      <c r="F49" s="72" t="str">
        <f>IFERROR(VLOOKUP($D49,'FERC 2022'!$EA$3:$ER$220,18,0),"")</f>
        <v/>
      </c>
      <c r="G49" s="72" t="str">
        <f>IFERROR(VLOOKUP($D49,'FERC 2023'!$EA$3:$ER$221,18,0),"")</f>
        <v/>
      </c>
      <c r="H49" s="72" t="str">
        <f>VLOOKUP($D49,'FERC 2021'!$EA$3:$EN$221,11,0)</f>
        <v/>
      </c>
      <c r="I49" s="72" t="str">
        <f>IFERROR(VLOOKUP($D49,'FERC 2022'!$EA$3:$EN$220,11,0),"")</f>
        <v/>
      </c>
      <c r="J49" s="72" t="str">
        <f>IFERROR(VLOOKUP($D49,'FERC 2023'!$EA$3:$EN$221,11,0),"")</f>
        <v/>
      </c>
      <c r="K49" s="17"/>
      <c r="L49" s="17" t="e">
        <f t="shared" si="1"/>
        <v>#VALUE!</v>
      </c>
      <c r="M49" s="17" t="str">
        <f t="shared" ref="M49:N49" si="47">IFERROR(F49/I49,"")</f>
        <v/>
      </c>
      <c r="N49" s="17" t="str">
        <f t="shared" si="47"/>
        <v/>
      </c>
      <c r="O49" s="44"/>
    </row>
    <row r="50" spans="1:15" ht="15.75" hidden="1" customHeight="1">
      <c r="A50" s="7" t="s">
        <v>348</v>
      </c>
      <c r="B50" s="7" t="s">
        <v>349</v>
      </c>
      <c r="C50" s="44" t="str">
        <f>IF('BD Comp'!C50=1,IF(AND(M50&gt;=$F$1,N50&gt;=$F$1),1,""),"")</f>
        <v/>
      </c>
      <c r="D50" s="44" t="str">
        <f t="shared" si="0"/>
        <v>C000530</v>
      </c>
      <c r="E50" s="72">
        <f>VLOOKUP($D50,'FERC 2021'!$EA$3:$ER$221,18,0)</f>
        <v>2040205.4213197967</v>
      </c>
      <c r="F50" s="72">
        <f>IFERROR(VLOOKUP($D50,'FERC 2022'!$EA$3:$ER$220,18,0),"")</f>
        <v>1969339.0456852792</v>
      </c>
      <c r="G50" s="72">
        <f>IFERROR(VLOOKUP($D50,'FERC 2023'!$EA$3:$ER$221,18,0),"")</f>
        <v>1785314.1827411167</v>
      </c>
      <c r="H50" s="72">
        <f>VLOOKUP($D50,'FERC 2021'!$EA$3:$EN$221,11,0)</f>
        <v>28885491.421319798</v>
      </c>
      <c r="I50" s="72">
        <f>IFERROR(VLOOKUP($D50,'FERC 2022'!$EA$3:$EN$220,11,0),"")</f>
        <v>28886053.04568528</v>
      </c>
      <c r="J50" s="72">
        <f>IFERROR(VLOOKUP($D50,'FERC 2023'!$EA$3:$EN$221,11,0),"")</f>
        <v>27152991.182741117</v>
      </c>
      <c r="K50" s="17"/>
      <c r="L50" s="17">
        <f t="shared" si="1"/>
        <v>7.063080186387144E-2</v>
      </c>
      <c r="M50" s="17">
        <f t="shared" ref="M50:N50" si="48">IFERROR(F50/I50,"")</f>
        <v>6.8176120931808651E-2</v>
      </c>
      <c r="N50" s="17">
        <f t="shared" si="48"/>
        <v>6.5750184601241699E-2</v>
      </c>
      <c r="O50" s="44"/>
    </row>
    <row r="51" spans="1:15" ht="15.75" hidden="1" customHeight="1">
      <c r="A51" s="7" t="s">
        <v>351</v>
      </c>
      <c r="B51" s="7" t="s">
        <v>352</v>
      </c>
      <c r="C51" s="44" t="str">
        <f>IF('BD Comp'!C51=1,IF(AND(M51&gt;=$F$1,N51&gt;=$F$1),1,""),"")</f>
        <v/>
      </c>
      <c r="D51" s="44" t="str">
        <f t="shared" si="0"/>
        <v>C000532</v>
      </c>
      <c r="E51" s="72">
        <f>VLOOKUP($D51,'FERC 2021'!$EA$3:$ER$221,18,0)</f>
        <v>1273847.8121827412</v>
      </c>
      <c r="F51" s="72">
        <f>IFERROR(VLOOKUP($D51,'FERC 2022'!$EA$3:$ER$220,18,0),"")</f>
        <v>1348580.1675126906</v>
      </c>
      <c r="G51" s="72">
        <f>IFERROR(VLOOKUP($D51,'FERC 2023'!$EA$3:$ER$221,18,0),"")</f>
        <v>1108985.3299492383</v>
      </c>
      <c r="H51" s="72">
        <f>VLOOKUP($D51,'FERC 2021'!$EA$3:$EN$221,11,0)</f>
        <v>18767891.812182739</v>
      </c>
      <c r="I51" s="72">
        <f>IFERROR(VLOOKUP($D51,'FERC 2022'!$EA$3:$EN$220,11,0),"")</f>
        <v>19143681.167512693</v>
      </c>
      <c r="J51" s="72">
        <f>IFERROR(VLOOKUP($D51,'FERC 2023'!$EA$3:$EN$221,11,0),"")</f>
        <v>18612926.329949237</v>
      </c>
      <c r="K51" s="17"/>
      <c r="L51" s="17">
        <f t="shared" si="1"/>
        <v>6.7873782784481557E-2</v>
      </c>
      <c r="M51" s="17">
        <f t="shared" ref="M51:N51" si="49">IFERROR(F51/I51,"")</f>
        <v>7.0445185317924389E-2</v>
      </c>
      <c r="N51" s="17">
        <f t="shared" si="49"/>
        <v>5.9581460233086456E-2</v>
      </c>
      <c r="O51" s="44"/>
    </row>
    <row r="52" spans="1:15" ht="15.75" customHeight="1">
      <c r="A52" s="7" t="s">
        <v>354</v>
      </c>
      <c r="B52" s="7" t="s">
        <v>355</v>
      </c>
      <c r="C52" s="44">
        <f>IF('BD Comp'!C52=1,IF(AND(M52&gt;=$F$1,N52&gt;=$F$1),1,""),"")</f>
        <v>1</v>
      </c>
      <c r="D52" s="44" t="str">
        <f t="shared" si="0"/>
        <v>C000533</v>
      </c>
      <c r="E52" s="72">
        <f>VLOOKUP($D52,'FERC 2021'!$EA$3:$ER$221,18,0)</f>
        <v>585035.45685279183</v>
      </c>
      <c r="F52" s="72">
        <f>IFERROR(VLOOKUP($D52,'FERC 2022'!$EA$3:$ER$220,18,0),"")</f>
        <v>422004.44162436551</v>
      </c>
      <c r="G52" s="72">
        <f>IFERROR(VLOOKUP($D52,'FERC 2023'!$EA$3:$ER$221,18,0),"")</f>
        <v>347398.20304568531</v>
      </c>
      <c r="H52" s="72">
        <f>VLOOKUP($D52,'FERC 2021'!$EA$3:$EN$221,11,0)</f>
        <v>5678344.4568527918</v>
      </c>
      <c r="I52" s="72">
        <f>IFERROR(VLOOKUP($D52,'FERC 2022'!$EA$3:$EN$220,11,0),"")</f>
        <v>5813302.4416243657</v>
      </c>
      <c r="J52" s="72">
        <f>IFERROR(VLOOKUP($D52,'FERC 2023'!$EA$3:$EN$221,11,0),"")</f>
        <v>5515743.2030456848</v>
      </c>
      <c r="K52" s="17"/>
      <c r="L52" s="17">
        <f t="shared" si="1"/>
        <v>0.10302922996274978</v>
      </c>
      <c r="M52" s="17">
        <f t="shared" ref="M52:N52" si="50">IFERROR(F52/I52,"")</f>
        <v>7.2592892914487367E-2</v>
      </c>
      <c r="N52" s="17">
        <f t="shared" si="50"/>
        <v>6.2983026993326821E-2</v>
      </c>
      <c r="O52" s="44"/>
    </row>
    <row r="53" spans="1:15" ht="15.75" hidden="1" customHeight="1">
      <c r="A53" s="7" t="s">
        <v>357</v>
      </c>
      <c r="B53" s="7" t="s">
        <v>358</v>
      </c>
      <c r="C53" s="44" t="str">
        <f>IF('BD Comp'!C53=1,IF(AND(M53&gt;=$F$1,N53&gt;=$F$1),1,""),"")</f>
        <v/>
      </c>
      <c r="D53" s="44" t="str">
        <f t="shared" si="0"/>
        <v>C000534</v>
      </c>
      <c r="E53" s="72">
        <f>VLOOKUP($D53,'FERC 2021'!$EA$3:$ER$221,18,0)</f>
        <v>48633</v>
      </c>
      <c r="F53" s="72">
        <f>IFERROR(VLOOKUP($D53,'FERC 2022'!$EA$3:$ER$220,18,0),"")</f>
        <v>72100</v>
      </c>
      <c r="G53" s="72">
        <f>IFERROR(VLOOKUP($D53,'FERC 2023'!$EA$3:$ER$221,18,0),"")</f>
        <v>49401</v>
      </c>
      <c r="H53" s="72">
        <f>VLOOKUP($D53,'FERC 2021'!$EA$3:$EN$221,11,0)</f>
        <v>1675182</v>
      </c>
      <c r="I53" s="72">
        <f>IFERROR(VLOOKUP($D53,'FERC 2022'!$EA$3:$EN$220,11,0),"")</f>
        <v>1938878</v>
      </c>
      <c r="J53" s="72">
        <f>IFERROR(VLOOKUP($D53,'FERC 2023'!$EA$3:$EN$221,11,0),"")</f>
        <v>1942232</v>
      </c>
      <c r="K53" s="17"/>
      <c r="L53" s="17">
        <f t="shared" si="1"/>
        <v>2.903147240120775E-2</v>
      </c>
      <c r="M53" s="17">
        <f t="shared" ref="M53:N53" si="51">IFERROR(F53/I53,"")</f>
        <v>3.7186455259175667E-2</v>
      </c>
      <c r="N53" s="17">
        <f t="shared" si="51"/>
        <v>2.5435169433929622E-2</v>
      </c>
      <c r="O53" s="44"/>
    </row>
    <row r="54" spans="1:15" ht="15.75" hidden="1" customHeight="1">
      <c r="A54" s="7" t="s">
        <v>360</v>
      </c>
      <c r="B54" s="7" t="s">
        <v>361</v>
      </c>
      <c r="C54" s="44" t="str">
        <f>IF('BD Comp'!C54=1,IF(AND(M54&gt;=$F$1,N54&gt;=$F$1),1,""),"")</f>
        <v/>
      </c>
      <c r="D54" s="44" t="str">
        <f t="shared" si="0"/>
        <v>C000535</v>
      </c>
      <c r="E54" s="72">
        <f>VLOOKUP($D54,'FERC 2021'!$EA$3:$ER$221,18,0)</f>
        <v>571759.04568527918</v>
      </c>
      <c r="F54" s="72">
        <f>IFERROR(VLOOKUP($D54,'FERC 2022'!$EA$3:$ER$220,18,0),"")</f>
        <v>623439.02538071061</v>
      </c>
      <c r="G54" s="72">
        <f>IFERROR(VLOOKUP($D54,'FERC 2023'!$EA$3:$ER$221,18,0),"")</f>
        <v>387951.90862944163</v>
      </c>
      <c r="H54" s="72">
        <f>VLOOKUP($D54,'FERC 2021'!$EA$3:$EN$221,11,0)</f>
        <v>44587768.045685276</v>
      </c>
      <c r="I54" s="72">
        <f>IFERROR(VLOOKUP($D54,'FERC 2022'!$EA$3:$EN$220,11,0),"")</f>
        <v>45265931.025380708</v>
      </c>
      <c r="J54" s="72">
        <f>IFERROR(VLOOKUP($D54,'FERC 2023'!$EA$3:$EN$221,11,0),"")</f>
        <v>44705684.90862944</v>
      </c>
      <c r="K54" s="17"/>
      <c r="L54" s="17">
        <f t="shared" si="1"/>
        <v>1.282322643060865E-2</v>
      </c>
      <c r="M54" s="17">
        <f t="shared" ref="M54:N54" si="52">IFERROR(F54/I54,"")</f>
        <v>1.377280906983106E-2</v>
      </c>
      <c r="N54" s="17">
        <f t="shared" si="52"/>
        <v>8.6779099665366295E-3</v>
      </c>
      <c r="O54" s="44"/>
    </row>
    <row r="55" spans="1:15" ht="15.75" hidden="1" customHeight="1">
      <c r="A55" s="7" t="s">
        <v>363</v>
      </c>
      <c r="B55" s="7" t="s">
        <v>364</v>
      </c>
      <c r="C55" s="44" t="str">
        <f>IF('BD Comp'!C55=1,IF(AND(M55&gt;=$F$1,N55&gt;=$F$1),1,""),"")</f>
        <v/>
      </c>
      <c r="D55" s="44" t="str">
        <f t="shared" si="0"/>
        <v>C000536</v>
      </c>
      <c r="E55" s="72" t="str">
        <f>VLOOKUP($D55,'FERC 2021'!$EA$3:$ER$221,18,0)</f>
        <v/>
      </c>
      <c r="F55" s="72">
        <f>IFERROR(VLOOKUP($D55,'FERC 2022'!$EA$3:$ER$220,18,0),"")</f>
        <v>1164300.8020304567</v>
      </c>
      <c r="G55" s="72">
        <f>IFERROR(VLOOKUP($D55,'FERC 2023'!$EA$3:$ER$221,18,0),"")</f>
        <v>1153299.7005076143</v>
      </c>
      <c r="H55" s="72" t="str">
        <f>VLOOKUP($D55,'FERC 2021'!$EA$3:$EN$221,11,0)</f>
        <v/>
      </c>
      <c r="I55" s="72">
        <f>IFERROR(VLOOKUP($D55,'FERC 2022'!$EA$3:$EN$220,11,0),"")</f>
        <v>20305065.802030455</v>
      </c>
      <c r="J55" s="72">
        <f>IFERROR(VLOOKUP($D55,'FERC 2023'!$EA$3:$EN$221,11,0),"")</f>
        <v>19668496.700507615</v>
      </c>
      <c r="K55" s="17"/>
      <c r="L55" s="17" t="e">
        <f t="shared" si="1"/>
        <v>#VALUE!</v>
      </c>
      <c r="M55" s="17">
        <f t="shared" ref="M55:N55" si="53">IFERROR(F55/I55,"")</f>
        <v>5.7340410190349127E-2</v>
      </c>
      <c r="N55" s="17">
        <f t="shared" si="53"/>
        <v>5.8636901338669639E-2</v>
      </c>
      <c r="O55" s="44"/>
    </row>
    <row r="56" spans="1:15" ht="15.75" hidden="1" customHeight="1">
      <c r="A56" s="7" t="s">
        <v>366</v>
      </c>
      <c r="B56" s="7" t="s">
        <v>367</v>
      </c>
      <c r="C56" s="44" t="str">
        <f>IF('BD Comp'!C56=1,IF(AND(M56&gt;=$F$1,N56&gt;=$F$1),1,""),"")</f>
        <v/>
      </c>
      <c r="D56" s="44" t="str">
        <f t="shared" si="0"/>
        <v>C000537</v>
      </c>
      <c r="E56" s="72">
        <f>VLOOKUP($D56,'FERC 2021'!$EA$3:$ER$221,18,0)</f>
        <v>339676.96446700487</v>
      </c>
      <c r="F56" s="72">
        <f>IFERROR(VLOOKUP($D56,'FERC 2022'!$EA$3:$ER$220,18,0),"")</f>
        <v>492147.81725888327</v>
      </c>
      <c r="G56" s="72">
        <f>IFERROR(VLOOKUP($D56,'FERC 2023'!$EA$3:$ER$221,18,0),"")</f>
        <v>1195138.8832487306</v>
      </c>
      <c r="H56" s="72">
        <f>VLOOKUP($D56,'FERC 2021'!$EA$3:$EN$221,11,0)</f>
        <v>16792057.964467004</v>
      </c>
      <c r="I56" s="72">
        <f>IFERROR(VLOOKUP($D56,'FERC 2022'!$EA$3:$EN$220,11,0),"")</f>
        <v>18010982.817258883</v>
      </c>
      <c r="J56" s="72">
        <f>IFERROR(VLOOKUP($D56,'FERC 2023'!$EA$3:$EN$221,11,0),"")</f>
        <v>18089791.883248731</v>
      </c>
      <c r="K56" s="17"/>
      <c r="L56" s="17">
        <f t="shared" si="1"/>
        <v>2.0228429724681845E-2</v>
      </c>
      <c r="M56" s="17">
        <f t="shared" ref="M56:N56" si="54">IFERROR(F56/I56,"")</f>
        <v>2.7324872954033717E-2</v>
      </c>
      <c r="N56" s="17">
        <f t="shared" si="54"/>
        <v>6.6067033328085834E-2</v>
      </c>
      <c r="O56" s="44"/>
    </row>
    <row r="57" spans="1:15" ht="15.75" hidden="1" customHeight="1">
      <c r="A57" s="7" t="s">
        <v>369</v>
      </c>
      <c r="B57" s="7" t="s">
        <v>370</v>
      </c>
      <c r="C57" s="44" t="str">
        <f>IF('BD Comp'!C57=1,IF(AND(M57&gt;=$F$1,N57&gt;=$F$1),1,""),"")</f>
        <v/>
      </c>
      <c r="D57" s="44" t="str">
        <f t="shared" si="0"/>
        <v>C000538</v>
      </c>
      <c r="E57" s="72">
        <f>VLOOKUP($D57,'FERC 2021'!$EA$3:$ER$221,18,0)</f>
        <v>202403.15228426398</v>
      </c>
      <c r="F57" s="72">
        <f>IFERROR(VLOOKUP($D57,'FERC 2022'!$EA$3:$ER$220,18,0),"")</f>
        <v>129575.47715736041</v>
      </c>
      <c r="G57" s="72">
        <f>IFERROR(VLOOKUP($D57,'FERC 2023'!$EA$3:$ER$221,18,0),"")</f>
        <v>73892.944162436528</v>
      </c>
      <c r="H57" s="72">
        <f>VLOOKUP($D57,'FERC 2021'!$EA$3:$EN$221,11,0)</f>
        <v>4862444.1522842636</v>
      </c>
      <c r="I57" s="72">
        <f>IFERROR(VLOOKUP($D57,'FERC 2022'!$EA$3:$EN$220,11,0),"")</f>
        <v>4953507.4771573599</v>
      </c>
      <c r="J57" s="72">
        <f>IFERROR(VLOOKUP($D57,'FERC 2023'!$EA$3:$EN$221,11,0),"")</f>
        <v>4879070.9441624368</v>
      </c>
      <c r="K57" s="17"/>
      <c r="L57" s="17">
        <f t="shared" si="1"/>
        <v>4.1625805036584258E-2</v>
      </c>
      <c r="M57" s="17">
        <f t="shared" ref="M57:N57" si="55">IFERROR(F57/I57,"")</f>
        <v>2.6158328771054791E-2</v>
      </c>
      <c r="N57" s="17">
        <f t="shared" si="55"/>
        <v>1.5144880041321335E-2</v>
      </c>
      <c r="O57" s="44"/>
    </row>
    <row r="58" spans="1:15" ht="15.75" hidden="1" customHeight="1">
      <c r="A58" s="7" t="s">
        <v>372</v>
      </c>
      <c r="B58" s="7" t="s">
        <v>373</v>
      </c>
      <c r="C58" s="44" t="str">
        <f>IF('BD Comp'!C58=1,IF(AND(M58&gt;=$F$1,N58&gt;=$F$1),1,""),"")</f>
        <v/>
      </c>
      <c r="D58" s="44" t="str">
        <f t="shared" si="0"/>
        <v>C000542</v>
      </c>
      <c r="E58" s="72">
        <f>VLOOKUP($D58,'FERC 2021'!$EA$3:$ER$221,18,0)</f>
        <v>888808.74619289336</v>
      </c>
      <c r="F58" s="72">
        <f>IFERROR(VLOOKUP($D58,'FERC 2022'!$EA$3:$ER$220,18,0),"")</f>
        <v>1270433.9898477157</v>
      </c>
      <c r="G58" s="72">
        <f>IFERROR(VLOOKUP($D58,'FERC 2023'!$EA$3:$ER$221,18,0),"")</f>
        <v>401830.88832487311</v>
      </c>
      <c r="H58" s="72">
        <f>VLOOKUP($D58,'FERC 2021'!$EA$3:$EN$221,11,0)</f>
        <v>16495816.746192893</v>
      </c>
      <c r="I58" s="72">
        <f>IFERROR(VLOOKUP($D58,'FERC 2022'!$EA$3:$EN$220,11,0),"")</f>
        <v>16440575.989847716</v>
      </c>
      <c r="J58" s="72">
        <f>IFERROR(VLOOKUP($D58,'FERC 2023'!$EA$3:$EN$221,11,0),"")</f>
        <v>15178175.888324874</v>
      </c>
      <c r="K58" s="17"/>
      <c r="L58" s="17">
        <f t="shared" si="1"/>
        <v>5.3880857181444114E-2</v>
      </c>
      <c r="M58" s="17">
        <f t="shared" ref="M58:N58" si="56">IFERROR(F58/I58,"")</f>
        <v>7.7274299308748448E-2</v>
      </c>
      <c r="N58" s="17">
        <f t="shared" si="56"/>
        <v>2.6474254303111837E-2</v>
      </c>
      <c r="O58" s="44"/>
    </row>
    <row r="59" spans="1:15" ht="15.75" hidden="1" customHeight="1">
      <c r="A59" s="7" t="s">
        <v>375</v>
      </c>
      <c r="B59" s="7" t="s">
        <v>376</v>
      </c>
      <c r="C59" s="44" t="str">
        <f>IF('BD Comp'!C59=1,IF(AND(M59&gt;=$F$1,N59&gt;=$F$1),1,""),"")</f>
        <v/>
      </c>
      <c r="D59" s="44" t="str">
        <f t="shared" si="0"/>
        <v>C000553</v>
      </c>
      <c r="E59" s="72">
        <f>VLOOKUP($D59,'FERC 2021'!$EA$3:$ER$221,18,0)</f>
        <v>479978.22335025389</v>
      </c>
      <c r="F59" s="72">
        <f>IFERROR(VLOOKUP($D59,'FERC 2022'!$EA$3:$ER$220,18,0),"")</f>
        <v>526267.05076142121</v>
      </c>
      <c r="G59" s="72">
        <f>IFERROR(VLOOKUP($D59,'FERC 2023'!$EA$3:$ER$221,18,0),"")</f>
        <v>463962.94416243653</v>
      </c>
      <c r="H59" s="72">
        <f>VLOOKUP($D59,'FERC 2021'!$EA$3:$EN$221,11,0)</f>
        <v>11769395.223350253</v>
      </c>
      <c r="I59" s="72">
        <f>IFERROR(VLOOKUP($D59,'FERC 2022'!$EA$3:$EN$220,11,0),"")</f>
        <v>11880969.05076142</v>
      </c>
      <c r="J59" s="72">
        <f>IFERROR(VLOOKUP($D59,'FERC 2023'!$EA$3:$EN$221,11,0),"")</f>
        <v>11322857.944162436</v>
      </c>
      <c r="K59" s="17"/>
      <c r="L59" s="17">
        <f t="shared" si="1"/>
        <v>4.0781893567308061E-2</v>
      </c>
      <c r="M59" s="17">
        <f t="shared" ref="M59:N59" si="57">IFERROR(F59/I59,"")</f>
        <v>4.4294960159642377E-2</v>
      </c>
      <c r="N59" s="17">
        <f t="shared" si="57"/>
        <v>4.097578071282218E-2</v>
      </c>
      <c r="O59" s="44"/>
    </row>
    <row r="60" spans="1:15" ht="15.75" hidden="1" customHeight="1">
      <c r="A60" s="7" t="s">
        <v>378</v>
      </c>
      <c r="B60" s="7" t="s">
        <v>379</v>
      </c>
      <c r="C60" s="44" t="str">
        <f>IF('BD Comp'!C60=1,IF(AND(M60&gt;=$F$1,N60&gt;=$F$1),1,""),"")</f>
        <v/>
      </c>
      <c r="D60" s="44" t="str">
        <f t="shared" si="0"/>
        <v>C000555</v>
      </c>
      <c r="E60" s="72">
        <f>VLOOKUP($D60,'FERC 2021'!$EA$3:$ER$221,18,0)</f>
        <v>1146961.6395939086</v>
      </c>
      <c r="F60" s="72">
        <f>IFERROR(VLOOKUP($D60,'FERC 2022'!$EA$3:$ER$220,18,0),"")</f>
        <v>1156364.1725888324</v>
      </c>
      <c r="G60" s="72">
        <f>IFERROR(VLOOKUP($D60,'FERC 2023'!$EA$3:$ER$221,18,0),"")</f>
        <v>1041563.2994923858</v>
      </c>
      <c r="H60" s="72">
        <f>VLOOKUP($D60,'FERC 2021'!$EA$3:$EN$221,11,0)</f>
        <v>19286136.639593907</v>
      </c>
      <c r="I60" s="72">
        <f>IFERROR(VLOOKUP($D60,'FERC 2022'!$EA$3:$EN$220,11,0),"")</f>
        <v>19613240.172588833</v>
      </c>
      <c r="J60" s="72">
        <f>IFERROR(VLOOKUP($D60,'FERC 2023'!$EA$3:$EN$221,11,0),"")</f>
        <v>18460773.299492385</v>
      </c>
      <c r="K60" s="17"/>
      <c r="L60" s="17">
        <f t="shared" si="1"/>
        <v>5.9470782615903897E-2</v>
      </c>
      <c r="M60" s="17">
        <f t="shared" ref="M60:N60" si="58">IFERROR(F60/I60,"")</f>
        <v>5.8958344588312825E-2</v>
      </c>
      <c r="N60" s="17">
        <f t="shared" si="58"/>
        <v>5.6420350469339527E-2</v>
      </c>
      <c r="O60" s="44"/>
    </row>
    <row r="61" spans="1:15" ht="15.75" hidden="1" customHeight="1">
      <c r="A61" s="7" t="s">
        <v>381</v>
      </c>
      <c r="B61" s="7" t="s">
        <v>382</v>
      </c>
      <c r="C61" s="44" t="str">
        <f>IF('BD Comp'!C61=1,IF(AND(M61&gt;=$F$1,N61&gt;=$F$1),1,""),"")</f>
        <v/>
      </c>
      <c r="D61" s="44" t="str">
        <f t="shared" si="0"/>
        <v>C000602</v>
      </c>
      <c r="E61" s="72">
        <f>VLOOKUP($D61,'FERC 2021'!$EA$3:$ER$221,18,0)</f>
        <v>126235.54314720811</v>
      </c>
      <c r="F61" s="72">
        <f>IFERROR(VLOOKUP($D61,'FERC 2022'!$EA$3:$ER$220,18,0),"")</f>
        <v>160824.30456852796</v>
      </c>
      <c r="G61" s="72">
        <f>IFERROR(VLOOKUP($D61,'FERC 2023'!$EA$3:$ER$221,18,0),"")</f>
        <v>86087.360406091379</v>
      </c>
      <c r="H61" s="72">
        <f>VLOOKUP($D61,'FERC 2021'!$EA$3:$EN$221,11,0)</f>
        <v>-366885.45685279189</v>
      </c>
      <c r="I61" s="72">
        <f>IFERROR(VLOOKUP($D61,'FERC 2022'!$EA$3:$EN$220,11,0),"")</f>
        <v>4262075.3045685282</v>
      </c>
      <c r="J61" s="72">
        <f>IFERROR(VLOOKUP($D61,'FERC 2023'!$EA$3:$EN$221,11,0),"")</f>
        <v>2758502.3604060914</v>
      </c>
      <c r="K61" s="17"/>
      <c r="L61" s="17">
        <f t="shared" si="1"/>
        <v>-0.34407344523840994</v>
      </c>
      <c r="M61" s="17">
        <f t="shared" ref="M61:N61" si="59">IFERROR(F61/I61,"")</f>
        <v>3.7733801745863105E-2</v>
      </c>
      <c r="N61" s="17">
        <f t="shared" si="59"/>
        <v>3.1208006794461497E-2</v>
      </c>
      <c r="O61" s="44"/>
    </row>
    <row r="62" spans="1:15" ht="15.75" hidden="1" customHeight="1">
      <c r="A62" s="7" t="s">
        <v>384</v>
      </c>
      <c r="B62" s="7" t="s">
        <v>385</v>
      </c>
      <c r="C62" s="44" t="str">
        <f>IF('BD Comp'!C62=1,IF(AND(M62&gt;=$F$1,N62&gt;=$F$1),1,""),"")</f>
        <v/>
      </c>
      <c r="D62" s="44" t="str">
        <f t="shared" si="0"/>
        <v>C000615</v>
      </c>
      <c r="E62" s="72" t="str">
        <f>VLOOKUP($D62,'FERC 2021'!$EA$3:$ER$221,18,0)</f>
        <v/>
      </c>
      <c r="F62" s="72" t="str">
        <f>IFERROR(VLOOKUP($D62,'FERC 2022'!$EA$3:$ER$220,18,0),"")</f>
        <v/>
      </c>
      <c r="G62" s="72" t="str">
        <f>IFERROR(VLOOKUP($D62,'FERC 2023'!$EA$3:$ER$221,18,0),"")</f>
        <v/>
      </c>
      <c r="H62" s="72" t="str">
        <f>VLOOKUP($D62,'FERC 2021'!$EA$3:$EN$221,11,0)</f>
        <v/>
      </c>
      <c r="I62" s="72" t="str">
        <f>IFERROR(VLOOKUP($D62,'FERC 2022'!$EA$3:$EN$220,11,0),"")</f>
        <v/>
      </c>
      <c r="J62" s="72" t="str">
        <f>IFERROR(VLOOKUP($D62,'FERC 2023'!$EA$3:$EN$221,11,0),"")</f>
        <v/>
      </c>
      <c r="K62" s="17"/>
      <c r="L62" s="17" t="e">
        <f t="shared" si="1"/>
        <v>#VALUE!</v>
      </c>
      <c r="M62" s="17" t="str">
        <f t="shared" ref="M62:N62" si="60">IFERROR(F62/I62,"")</f>
        <v/>
      </c>
      <c r="N62" s="17" t="str">
        <f t="shared" si="60"/>
        <v/>
      </c>
      <c r="O62" s="44"/>
    </row>
    <row r="63" spans="1:15" ht="15.75" hidden="1" customHeight="1">
      <c r="A63" s="7" t="s">
        <v>387</v>
      </c>
      <c r="B63" s="7" t="s">
        <v>388</v>
      </c>
      <c r="C63" s="44" t="str">
        <f>IF('BD Comp'!C63=1,IF(AND(M63&gt;=$F$1,N63&gt;=$F$1),1,""),"")</f>
        <v/>
      </c>
      <c r="D63" s="44" t="str">
        <f t="shared" si="0"/>
        <v>C000616</v>
      </c>
      <c r="E63" s="72" t="str">
        <f>VLOOKUP($D63,'FERC 2021'!$EA$3:$ER$221,18,0)</f>
        <v/>
      </c>
      <c r="F63" s="72" t="str">
        <f>IFERROR(VLOOKUP($D63,'FERC 2022'!$EA$3:$ER$220,18,0),"")</f>
        <v/>
      </c>
      <c r="G63" s="72" t="str">
        <f>IFERROR(VLOOKUP($D63,'FERC 2023'!$EA$3:$ER$221,18,0),"")</f>
        <v/>
      </c>
      <c r="H63" s="72" t="str">
        <f>VLOOKUP($D63,'FERC 2021'!$EA$3:$EN$221,11,0)</f>
        <v/>
      </c>
      <c r="I63" s="72" t="str">
        <f>IFERROR(VLOOKUP($D63,'FERC 2022'!$EA$3:$EN$220,11,0),"")</f>
        <v/>
      </c>
      <c r="J63" s="72" t="str">
        <f>IFERROR(VLOOKUP($D63,'FERC 2023'!$EA$3:$EN$221,11,0),"")</f>
        <v/>
      </c>
      <c r="K63" s="17"/>
      <c r="L63" s="17" t="e">
        <f t="shared" si="1"/>
        <v>#VALUE!</v>
      </c>
      <c r="M63" s="17" t="str">
        <f t="shared" ref="M63:N63" si="61">IFERROR(F63/I63,"")</f>
        <v/>
      </c>
      <c r="N63" s="17" t="str">
        <f t="shared" si="61"/>
        <v/>
      </c>
      <c r="O63" s="44"/>
    </row>
    <row r="64" spans="1:15" ht="15.75" hidden="1" customHeight="1">
      <c r="A64" s="7" t="s">
        <v>390</v>
      </c>
      <c r="B64" s="7" t="s">
        <v>391</v>
      </c>
      <c r="C64" s="44" t="str">
        <f>IF('BD Comp'!C64=1,IF(AND(M64&gt;=$F$1,N64&gt;=$F$1),1,""),"")</f>
        <v/>
      </c>
      <c r="D64" s="44" t="str">
        <f t="shared" si="0"/>
        <v>C000617</v>
      </c>
      <c r="E64" s="72">
        <f>VLOOKUP($D64,'FERC 2021'!$EA$3:$ER$221,18,0)</f>
        <v>464411.22842639592</v>
      </c>
      <c r="F64" s="72">
        <f>IFERROR(VLOOKUP($D64,'FERC 2022'!$EA$3:$ER$220,18,0),"")</f>
        <v>390221.08629441622</v>
      </c>
      <c r="G64" s="72">
        <f>IFERROR(VLOOKUP($D64,'FERC 2023'!$EA$3:$ER$221,18,0),"")</f>
        <v>257403.80203045683</v>
      </c>
      <c r="H64" s="72">
        <f>VLOOKUP($D64,'FERC 2021'!$EA$3:$EN$221,11,0)</f>
        <v>7447788.2284263959</v>
      </c>
      <c r="I64" s="72">
        <f>IFERROR(VLOOKUP($D64,'FERC 2022'!$EA$3:$EN$220,11,0),"")</f>
        <v>7414678.0862944163</v>
      </c>
      <c r="J64" s="72">
        <f>IFERROR(VLOOKUP($D64,'FERC 2023'!$EA$3:$EN$221,11,0),"")</f>
        <v>7182831.8020304572</v>
      </c>
      <c r="K64" s="17"/>
      <c r="L64" s="17">
        <f t="shared" si="1"/>
        <v>6.2355589899005352E-2</v>
      </c>
      <c r="M64" s="17">
        <f t="shared" ref="M64:N64" si="62">IFERROR(F64/I64,"")</f>
        <v>5.2628189889418975E-2</v>
      </c>
      <c r="N64" s="17">
        <f t="shared" si="62"/>
        <v>3.5835977943642426E-2</v>
      </c>
      <c r="O64" s="44"/>
    </row>
    <row r="65" spans="1:15" ht="15.75" hidden="1" customHeight="1">
      <c r="A65" s="7" t="s">
        <v>393</v>
      </c>
      <c r="B65" s="7" t="s">
        <v>394</v>
      </c>
      <c r="C65" s="44" t="str">
        <f>IF('BD Comp'!C65=1,IF(AND(M65&gt;=$F$1,N65&gt;=$F$1),1,""),"")</f>
        <v/>
      </c>
      <c r="D65" s="44" t="str">
        <f t="shared" si="0"/>
        <v>C000618</v>
      </c>
      <c r="E65" s="72">
        <f>VLOOKUP($D65,'FERC 2021'!$EA$3:$ER$221,18,0)</f>
        <v>867988.21827411163</v>
      </c>
      <c r="F65" s="72">
        <f>IFERROR(VLOOKUP($D65,'FERC 2022'!$EA$3:$ER$220,18,0),"")</f>
        <v>944036.68527918775</v>
      </c>
      <c r="G65" s="72">
        <f>IFERROR(VLOOKUP($D65,'FERC 2023'!$EA$3:$ER$221,18,0),"")</f>
        <v>721930.32994923857</v>
      </c>
      <c r="H65" s="72">
        <f>VLOOKUP($D65,'FERC 2021'!$EA$3:$EN$221,11,0)</f>
        <v>16262928.218274111</v>
      </c>
      <c r="I65" s="72">
        <f>IFERROR(VLOOKUP($D65,'FERC 2022'!$EA$3:$EN$220,11,0),"")</f>
        <v>16396416.685279187</v>
      </c>
      <c r="J65" s="72">
        <f>IFERROR(VLOOKUP($D65,'FERC 2023'!$EA$3:$EN$221,11,0),"")</f>
        <v>15933565.329949239</v>
      </c>
      <c r="K65" s="17"/>
      <c r="L65" s="17">
        <f t="shared" si="1"/>
        <v>5.3372197591008377E-2</v>
      </c>
      <c r="M65" s="17">
        <f t="shared" ref="M65:N65" si="63">IFERROR(F65/I65,"")</f>
        <v>5.7575792528299807E-2</v>
      </c>
      <c r="N65" s="17">
        <f t="shared" si="63"/>
        <v>4.5308775217576397E-2</v>
      </c>
      <c r="O65" s="44"/>
    </row>
    <row r="66" spans="1:15" ht="15.75" hidden="1" customHeight="1">
      <c r="A66" s="7" t="s">
        <v>396</v>
      </c>
      <c r="B66" s="7" t="s">
        <v>397</v>
      </c>
      <c r="C66" s="44" t="str">
        <f>IF('BD Comp'!C66=1,IF(AND(M66&gt;=$F$1,N66&gt;=$F$1),1,""),"")</f>
        <v/>
      </c>
      <c r="D66" s="44" t="str">
        <f t="shared" si="0"/>
        <v>C000620</v>
      </c>
      <c r="E66" s="72">
        <f>VLOOKUP($D66,'FERC 2021'!$EA$3:$ER$221,18,0)</f>
        <v>1056462.7817258884</v>
      </c>
      <c r="F66" s="72">
        <f>IFERROR(VLOOKUP($D66,'FERC 2022'!$EA$3:$ER$220,18,0),"")</f>
        <v>1218662.923857868</v>
      </c>
      <c r="G66" s="72">
        <f>IFERROR(VLOOKUP($D66,'FERC 2023'!$EA$3:$ER$221,18,0),"")</f>
        <v>1175676.23857868</v>
      </c>
      <c r="H66" s="72">
        <f>VLOOKUP($D66,'FERC 2021'!$EA$3:$EN$221,11,0)</f>
        <v>16462261.781725889</v>
      </c>
      <c r="I66" s="72">
        <f>IFERROR(VLOOKUP($D66,'FERC 2022'!$EA$3:$EN$220,11,0),"")</f>
        <v>17041117.923857868</v>
      </c>
      <c r="J66" s="72">
        <f>IFERROR(VLOOKUP($D66,'FERC 2023'!$EA$3:$EN$221,11,0),"")</f>
        <v>16690668.238578681</v>
      </c>
      <c r="K66" s="17"/>
      <c r="L66" s="17">
        <f t="shared" si="1"/>
        <v>6.4174825776287081E-2</v>
      </c>
      <c r="M66" s="17">
        <f t="shared" ref="M66:N66" si="64">IFERROR(F66/I66,"")</f>
        <v>7.1513085544212929E-2</v>
      </c>
      <c r="N66" s="17">
        <f t="shared" si="64"/>
        <v>7.0439135316417767E-2</v>
      </c>
      <c r="O66" s="44"/>
    </row>
    <row r="67" spans="1:15" ht="15.75" hidden="1" customHeight="1">
      <c r="A67" s="7" t="s">
        <v>399</v>
      </c>
      <c r="B67" s="7" t="s">
        <v>400</v>
      </c>
      <c r="C67" s="44" t="str">
        <f>IF('BD Comp'!C67=1,IF(AND(M67&gt;=$F$1,N67&gt;=$F$1),1,""),"")</f>
        <v/>
      </c>
      <c r="D67" s="44" t="str">
        <f t="shared" si="0"/>
        <v>C000622</v>
      </c>
      <c r="E67" s="72" t="str">
        <f>VLOOKUP($D67,'FERC 2021'!$EA$3:$ER$221,18,0)</f>
        <v/>
      </c>
      <c r="F67" s="72" t="str">
        <f>IFERROR(VLOOKUP($D67,'FERC 2022'!$EA$3:$ER$220,18,0),"")</f>
        <v/>
      </c>
      <c r="G67" s="72" t="str">
        <f>IFERROR(VLOOKUP($D67,'FERC 2023'!$EA$3:$ER$221,18,0),"")</f>
        <v/>
      </c>
      <c r="H67" s="72" t="str">
        <f>VLOOKUP($D67,'FERC 2021'!$EA$3:$EN$221,11,0)</f>
        <v/>
      </c>
      <c r="I67" s="72" t="str">
        <f>IFERROR(VLOOKUP($D67,'FERC 2022'!$EA$3:$EN$220,11,0),"")</f>
        <v/>
      </c>
      <c r="J67" s="72" t="str">
        <f>IFERROR(VLOOKUP($D67,'FERC 2023'!$EA$3:$EN$221,11,0),"")</f>
        <v/>
      </c>
      <c r="K67" s="17"/>
      <c r="L67" s="17" t="e">
        <f t="shared" si="1"/>
        <v>#VALUE!</v>
      </c>
      <c r="M67" s="17" t="str">
        <f t="shared" ref="M67:N67" si="65">IFERROR(F67/I67,"")</f>
        <v/>
      </c>
      <c r="N67" s="17" t="str">
        <f t="shared" si="65"/>
        <v/>
      </c>
      <c r="O67" s="44"/>
    </row>
    <row r="68" spans="1:15" ht="15.75" hidden="1" customHeight="1">
      <c r="A68" s="7" t="s">
        <v>402</v>
      </c>
      <c r="B68" s="7" t="s">
        <v>403</v>
      </c>
      <c r="C68" s="44" t="str">
        <f>IF('BD Comp'!C68=1,IF(AND(M68&gt;=$F$1,N68&gt;=$F$1),1,""),"")</f>
        <v/>
      </c>
      <c r="D68" s="44" t="str">
        <f t="shared" si="0"/>
        <v>C000685</v>
      </c>
      <c r="E68" s="72">
        <f>VLOOKUP($D68,'FERC 2021'!$EA$3:$ER$221,18,0)</f>
        <v>214612.39593908563</v>
      </c>
      <c r="F68" s="72">
        <f>IFERROR(VLOOKUP($D68,'FERC 2022'!$EA$3:$ER$220,18,0),"")</f>
        <v>-79227.761421319097</v>
      </c>
      <c r="G68" s="72">
        <f>IFERROR(VLOOKUP($D68,'FERC 2023'!$EA$3:$ER$221,18,0),"")</f>
        <v>682543.85786801949</v>
      </c>
      <c r="H68" s="72">
        <f>VLOOKUP($D68,'FERC 2021'!$EA$3:$EN$221,11,0)</f>
        <v>11513112.395939086</v>
      </c>
      <c r="I68" s="72">
        <f>IFERROR(VLOOKUP($D68,'FERC 2022'!$EA$3:$EN$220,11,0),"")</f>
        <v>7720784.2385786809</v>
      </c>
      <c r="J68" s="72">
        <f>IFERROR(VLOOKUP($D68,'FERC 2023'!$EA$3:$EN$221,11,0),"")</f>
        <v>5302012.8578680195</v>
      </c>
      <c r="K68" s="17"/>
      <c r="L68" s="17">
        <f t="shared" si="1"/>
        <v>1.8640693199067863E-2</v>
      </c>
      <c r="M68" s="17">
        <f t="shared" ref="M68:N68" si="66">IFERROR(F68/I68,"")</f>
        <v>-1.0261620966616227E-2</v>
      </c>
      <c r="N68" s="17">
        <f t="shared" si="66"/>
        <v>0.12873296918832364</v>
      </c>
      <c r="O68" s="44"/>
    </row>
    <row r="69" spans="1:15" ht="15.75" hidden="1" customHeight="1">
      <c r="A69" s="7" t="s">
        <v>405</v>
      </c>
      <c r="B69" s="7" t="s">
        <v>406</v>
      </c>
      <c r="C69" s="44" t="str">
        <f>IF('BD Comp'!C69=1,IF(AND(M69&gt;=$F$1,N69&gt;=$F$1),1,""),"")</f>
        <v/>
      </c>
      <c r="D69" s="44" t="str">
        <f t="shared" si="0"/>
        <v>C000691</v>
      </c>
      <c r="E69" s="72">
        <f>VLOOKUP($D69,'FERC 2021'!$EA$3:$ER$221,18,0)</f>
        <v>301654.47208121791</v>
      </c>
      <c r="F69" s="72">
        <f>IFERROR(VLOOKUP($D69,'FERC 2022'!$EA$3:$ER$220,18,0),"")</f>
        <v>321272.4213197967</v>
      </c>
      <c r="G69" s="72">
        <f>IFERROR(VLOOKUP($D69,'FERC 2023'!$EA$3:$ER$221,18,0),"")</f>
        <v>304981.11167512648</v>
      </c>
      <c r="H69" s="72">
        <f>VLOOKUP($D69,'FERC 2021'!$EA$3:$EN$221,11,0)</f>
        <v>11487099.472081218</v>
      </c>
      <c r="I69" s="72">
        <f>IFERROR(VLOOKUP($D69,'FERC 2022'!$EA$3:$EN$220,11,0),"")</f>
        <v>11489936.421319798</v>
      </c>
      <c r="J69" s="72">
        <f>IFERROR(VLOOKUP($D69,'FERC 2023'!$EA$3:$EN$221,11,0),"")</f>
        <v>11362003.111675126</v>
      </c>
      <c r="K69" s="17"/>
      <c r="L69" s="17">
        <f t="shared" si="1"/>
        <v>2.6260282050692866E-2</v>
      </c>
      <c r="M69" s="17">
        <f t="shared" ref="M69:N69" si="67">IFERROR(F69/I69,"")</f>
        <v>2.7961200962232442E-2</v>
      </c>
      <c r="N69" s="17">
        <f t="shared" si="67"/>
        <v>2.6842195753470657E-2</v>
      </c>
      <c r="O69" s="44"/>
    </row>
    <row r="70" spans="1:15" ht="15.75" hidden="1" customHeight="1">
      <c r="A70" s="7" t="s">
        <v>408</v>
      </c>
      <c r="B70" s="7" t="s">
        <v>409</v>
      </c>
      <c r="C70" s="44" t="str">
        <f>IF('BD Comp'!C70=1,IF(AND(M70&gt;=$F$1,N70&gt;=$F$1),1,""),"")</f>
        <v/>
      </c>
      <c r="D70" s="44" t="str">
        <f t="shared" si="0"/>
        <v>C000692</v>
      </c>
      <c r="E70" s="72">
        <f>VLOOKUP($D70,'FERC 2021'!$EA$3:$ER$221,18,0)</f>
        <v>126091.85279187793</v>
      </c>
      <c r="F70" s="72">
        <f>IFERROR(VLOOKUP($D70,'FERC 2022'!$EA$3:$ER$220,18,0),"")</f>
        <v>207553.10152284242</v>
      </c>
      <c r="G70" s="72">
        <f>IFERROR(VLOOKUP($D70,'FERC 2023'!$EA$3:$ER$221,18,0),"")</f>
        <v>144989.18274111673</v>
      </c>
      <c r="H70" s="72">
        <f>VLOOKUP($D70,'FERC 2021'!$EA$3:$EN$221,11,0)</f>
        <v>14444011.852791877</v>
      </c>
      <c r="I70" s="72">
        <f>IFERROR(VLOOKUP($D70,'FERC 2022'!$EA$3:$EN$220,11,0),"")</f>
        <v>14510819.101522842</v>
      </c>
      <c r="J70" s="72">
        <f>IFERROR(VLOOKUP($D70,'FERC 2023'!$EA$3:$EN$221,11,0),"")</f>
        <v>14085023.182741117</v>
      </c>
      <c r="K70" s="17"/>
      <c r="L70" s="17">
        <f t="shared" si="1"/>
        <v>8.7296974051918746E-3</v>
      </c>
      <c r="M70" s="17">
        <f t="shared" ref="M70:N70" si="68">IFERROR(F70/I70,"")</f>
        <v>1.4303334640913599E-2</v>
      </c>
      <c r="N70" s="17">
        <f t="shared" si="68"/>
        <v>1.0293854746279521E-2</v>
      </c>
      <c r="O70" s="44"/>
    </row>
    <row r="71" spans="1:15" ht="15.75" hidden="1" customHeight="1">
      <c r="A71" s="7" t="s">
        <v>411</v>
      </c>
      <c r="B71" s="7" t="s">
        <v>412</v>
      </c>
      <c r="C71" s="44" t="str">
        <f>IF('BD Comp'!C71=1,IF(AND(M71&gt;=$F$1,N71&gt;=$F$1),1,""),"")</f>
        <v/>
      </c>
      <c r="D71" s="44" t="str">
        <f t="shared" si="0"/>
        <v>C000744</v>
      </c>
      <c r="E71" s="72">
        <f>VLOOKUP($D71,'FERC 2021'!$EA$3:$ER$221,18,0)</f>
        <v>1341070.3451776644</v>
      </c>
      <c r="F71" s="72">
        <f>IFERROR(VLOOKUP($D71,'FERC 2022'!$EA$3:$ER$220,18,0),"")</f>
        <v>1285687.8629441625</v>
      </c>
      <c r="G71" s="72">
        <f>IFERROR(VLOOKUP($D71,'FERC 2023'!$EA$3:$ER$221,18,0),"")</f>
        <v>1304296.7664974621</v>
      </c>
      <c r="H71" s="72">
        <f>VLOOKUP($D71,'FERC 2021'!$EA$3:$EN$221,11,0)</f>
        <v>32461942.345177665</v>
      </c>
      <c r="I71" s="72">
        <f>IFERROR(VLOOKUP($D71,'FERC 2022'!$EA$3:$EN$220,11,0),"")</f>
        <v>33151929.862944163</v>
      </c>
      <c r="J71" s="72">
        <f>IFERROR(VLOOKUP($D71,'FERC 2023'!$EA$3:$EN$221,11,0),"")</f>
        <v>31606432.766497463</v>
      </c>
      <c r="K71" s="17"/>
      <c r="L71" s="17">
        <f t="shared" si="1"/>
        <v>4.1312079570521604E-2</v>
      </c>
      <c r="M71" s="17">
        <f t="shared" ref="M71:N71" si="69">IFERROR(F71/I71,"")</f>
        <v>3.8781689882290998E-2</v>
      </c>
      <c r="N71" s="17">
        <f t="shared" si="69"/>
        <v>4.1266813503863839E-2</v>
      </c>
      <c r="O71" s="44"/>
    </row>
    <row r="72" spans="1:15" ht="15.75" hidden="1" customHeight="1">
      <c r="A72" s="7" t="s">
        <v>414</v>
      </c>
      <c r="B72" s="7" t="s">
        <v>415</v>
      </c>
      <c r="C72" s="44" t="str">
        <f>IF('BD Comp'!C72=1,IF(AND(M72&gt;=$F$1,N72&gt;=$F$1),1,""),"")</f>
        <v/>
      </c>
      <c r="D72" s="44" t="str">
        <f t="shared" si="0"/>
        <v>C000746</v>
      </c>
      <c r="E72" s="72">
        <f>VLOOKUP($D72,'FERC 2021'!$EA$3:$ER$221,18,0)</f>
        <v>342409.64974619285</v>
      </c>
      <c r="F72" s="72">
        <f>IFERROR(VLOOKUP($D72,'FERC 2022'!$EA$3:$ER$220,18,0),"")</f>
        <v>546994.16243654815</v>
      </c>
      <c r="G72" s="72">
        <f>IFERROR(VLOOKUP($D72,'FERC 2023'!$EA$3:$ER$221,18,0),"")</f>
        <v>235196.73604060919</v>
      </c>
      <c r="H72" s="72">
        <f>VLOOKUP($D72,'FERC 2021'!$EA$3:$EN$221,11,0)</f>
        <v>8191759.6497461926</v>
      </c>
      <c r="I72" s="72">
        <f>IFERROR(VLOOKUP($D72,'FERC 2022'!$EA$3:$EN$220,11,0),"")</f>
        <v>10226700.162436549</v>
      </c>
      <c r="J72" s="72">
        <f>IFERROR(VLOOKUP($D72,'FERC 2023'!$EA$3:$EN$221,11,0),"")</f>
        <v>9411557.736040609</v>
      </c>
      <c r="K72" s="17"/>
      <c r="L72" s="17">
        <f t="shared" si="1"/>
        <v>4.1799279322947643E-2</v>
      </c>
      <c r="M72" s="17">
        <f t="shared" ref="M72:N72" si="70">IFERROR(F72/I72,"")</f>
        <v>5.3486868075559656E-2</v>
      </c>
      <c r="N72" s="17">
        <f t="shared" si="70"/>
        <v>2.499020275251004E-2</v>
      </c>
      <c r="O72" s="44"/>
    </row>
    <row r="73" spans="1:15" ht="15.75" hidden="1" customHeight="1">
      <c r="A73" s="7" t="s">
        <v>417</v>
      </c>
      <c r="B73" s="7" t="s">
        <v>418</v>
      </c>
      <c r="C73" s="44" t="str">
        <f>IF('BD Comp'!C73=1,IF(AND(M73&gt;=$F$1,N73&gt;=$F$1),1,""),"")</f>
        <v/>
      </c>
      <c r="D73" s="44" t="str">
        <f t="shared" si="0"/>
        <v>C000771</v>
      </c>
      <c r="E73" s="72" t="str">
        <f>VLOOKUP($D73,'FERC 2021'!$EA$3:$ER$221,18,0)</f>
        <v/>
      </c>
      <c r="F73" s="72" t="str">
        <f>IFERROR(VLOOKUP($D73,'FERC 2022'!$EA$3:$ER$220,18,0),"")</f>
        <v/>
      </c>
      <c r="G73" s="72" t="str">
        <f>IFERROR(VLOOKUP($D73,'FERC 2023'!$EA$3:$ER$221,18,0),"")</f>
        <v/>
      </c>
      <c r="H73" s="72" t="str">
        <f>VLOOKUP($D73,'FERC 2021'!$EA$3:$EN$221,11,0)</f>
        <v/>
      </c>
      <c r="I73" s="72" t="str">
        <f>IFERROR(VLOOKUP($D73,'FERC 2022'!$EA$3:$EN$220,11,0),"")</f>
        <v/>
      </c>
      <c r="J73" s="72" t="str">
        <f>IFERROR(VLOOKUP($D73,'FERC 2023'!$EA$3:$EN$221,11,0),"")</f>
        <v/>
      </c>
      <c r="K73" s="17"/>
      <c r="L73" s="17" t="e">
        <f t="shared" si="1"/>
        <v>#VALUE!</v>
      </c>
      <c r="M73" s="17" t="str">
        <f t="shared" ref="M73:N73" si="71">IFERROR(F73/I73,"")</f>
        <v/>
      </c>
      <c r="N73" s="17" t="str">
        <f t="shared" si="71"/>
        <v/>
      </c>
      <c r="O73" s="44"/>
    </row>
    <row r="74" spans="1:15" ht="15.75" hidden="1" customHeight="1">
      <c r="A74" s="7" t="s">
        <v>420</v>
      </c>
      <c r="B74" s="7" t="s">
        <v>421</v>
      </c>
      <c r="C74" s="44" t="str">
        <f>IF('BD Comp'!C74=1,IF(AND(M74&gt;=$F$1,N74&gt;=$F$1),1,""),"")</f>
        <v/>
      </c>
      <c r="D74" s="44" t="str">
        <f t="shared" si="0"/>
        <v>C000772</v>
      </c>
      <c r="E74" s="72">
        <f>VLOOKUP($D74,'FERC 2021'!$EA$3:$ER$221,18,0)</f>
        <v>1003859.4314720808</v>
      </c>
      <c r="F74" s="72">
        <f>IFERROR(VLOOKUP($D74,'FERC 2022'!$EA$3:$ER$220,18,0),"")</f>
        <v>187840.14720812254</v>
      </c>
      <c r="G74" s="72">
        <f>IFERROR(VLOOKUP($D74,'FERC 2023'!$EA$3:$ER$221,18,0),"")</f>
        <v>467278.05583756324</v>
      </c>
      <c r="H74" s="72">
        <f>VLOOKUP($D74,'FERC 2021'!$EA$3:$EN$221,11,0)</f>
        <v>10622650.431472082</v>
      </c>
      <c r="I74" s="72">
        <f>IFERROR(VLOOKUP($D74,'FERC 2022'!$EA$3:$EN$220,11,0),"")</f>
        <v>10036719.147208123</v>
      </c>
      <c r="J74" s="72">
        <f>IFERROR(VLOOKUP($D74,'FERC 2023'!$EA$3:$EN$221,11,0),"")</f>
        <v>10148789.055837564</v>
      </c>
      <c r="K74" s="17"/>
      <c r="L74" s="17">
        <f t="shared" si="1"/>
        <v>9.450178540168401E-2</v>
      </c>
      <c r="M74" s="17">
        <f t="shared" ref="M74:N74" si="72">IFERROR(F74/I74,"")</f>
        <v>1.871529375815735E-2</v>
      </c>
      <c r="N74" s="17">
        <f t="shared" si="72"/>
        <v>4.6042740002442538E-2</v>
      </c>
      <c r="O74" s="44"/>
    </row>
    <row r="75" spans="1:15" ht="15.75" hidden="1" customHeight="1">
      <c r="A75" s="7" t="s">
        <v>423</v>
      </c>
      <c r="B75" s="7" t="s">
        <v>424</v>
      </c>
      <c r="C75" s="44" t="str">
        <f>IF('BD Comp'!C75=1,IF(AND(M75&gt;=$F$1,N75&gt;=$F$1),1,""),"")</f>
        <v/>
      </c>
      <c r="D75" s="44" t="str">
        <f t="shared" si="0"/>
        <v>C000822</v>
      </c>
      <c r="E75" s="72">
        <f>VLOOKUP($D75,'FERC 2021'!$EA$3:$ER$221,18,0)</f>
        <v>1103885.3045685282</v>
      </c>
      <c r="F75" s="72">
        <f>IFERROR(VLOOKUP($D75,'FERC 2022'!$EA$3:$ER$220,18,0),"")</f>
        <v>1509753.9847715739</v>
      </c>
      <c r="G75" s="72">
        <f>IFERROR(VLOOKUP($D75,'FERC 2023'!$EA$3:$ER$221,18,0),"")</f>
        <v>406989.19289340079</v>
      </c>
      <c r="H75" s="72">
        <f>VLOOKUP($D75,'FERC 2021'!$EA$3:$EN$221,11,0)</f>
        <v>30036559.304568529</v>
      </c>
      <c r="I75" s="72">
        <f>IFERROR(VLOOKUP($D75,'FERC 2022'!$EA$3:$EN$220,11,0),"")</f>
        <v>30303464.984771572</v>
      </c>
      <c r="J75" s="72">
        <f>IFERROR(VLOOKUP($D75,'FERC 2023'!$EA$3:$EN$221,11,0),"")</f>
        <v>28446972.192893401</v>
      </c>
      <c r="K75" s="17"/>
      <c r="L75" s="17">
        <f t="shared" si="1"/>
        <v>3.6751389976968113E-2</v>
      </c>
      <c r="M75" s="17">
        <f t="shared" ref="M75:N75" si="73">IFERROR(F75/I75,"")</f>
        <v>4.9821166837860684E-2</v>
      </c>
      <c r="N75" s="17">
        <f t="shared" si="73"/>
        <v>1.4306942409676714E-2</v>
      </c>
      <c r="O75" s="44"/>
    </row>
    <row r="76" spans="1:15" ht="15.75" hidden="1" customHeight="1">
      <c r="A76" s="7" t="s">
        <v>426</v>
      </c>
      <c r="B76" s="7" t="s">
        <v>427</v>
      </c>
      <c r="C76" s="44" t="str">
        <f>IF('BD Comp'!C76=1,IF(AND(M76&gt;=$F$1,N76&gt;=$F$1),1,""),"")</f>
        <v/>
      </c>
      <c r="D76" s="44" t="str">
        <f t="shared" si="0"/>
        <v>C000823</v>
      </c>
      <c r="E76" s="72">
        <f>VLOOKUP($D76,'FERC 2021'!$EA$3:$ER$221,18,0)</f>
        <v>476953</v>
      </c>
      <c r="F76" s="72">
        <f>IFERROR(VLOOKUP($D76,'FERC 2022'!$EA$3:$ER$220,18,0),"")</f>
        <v>527543</v>
      </c>
      <c r="G76" s="72">
        <f>IFERROR(VLOOKUP($D76,'FERC 2023'!$EA$3:$ER$221,18,0),"")</f>
        <v>529673</v>
      </c>
      <c r="H76" s="72">
        <f>VLOOKUP($D76,'FERC 2021'!$EA$3:$EN$221,11,0)</f>
        <v>7265084</v>
      </c>
      <c r="I76" s="72">
        <f>IFERROR(VLOOKUP($D76,'FERC 2022'!$EA$3:$EN$220,11,0),"")</f>
        <v>7494337</v>
      </c>
      <c r="J76" s="72">
        <f>IFERROR(VLOOKUP($D76,'FERC 2023'!$EA$3:$EN$221,11,0),"")</f>
        <v>7417867</v>
      </c>
      <c r="K76" s="17"/>
      <c r="L76" s="17">
        <f t="shared" si="1"/>
        <v>6.5650032401552413E-2</v>
      </c>
      <c r="M76" s="17">
        <f t="shared" ref="M76:N76" si="74">IFERROR(F76/I76,"")</f>
        <v>7.0392217483681352E-2</v>
      </c>
      <c r="N76" s="17">
        <f t="shared" si="74"/>
        <v>7.1405027887396735E-2</v>
      </c>
      <c r="O76" s="44"/>
    </row>
    <row r="77" spans="1:15" ht="15.75" hidden="1" customHeight="1">
      <c r="A77" s="7" t="s">
        <v>429</v>
      </c>
      <c r="B77" s="7" t="s">
        <v>430</v>
      </c>
      <c r="C77" s="44" t="str">
        <f>IF('BD Comp'!C77=1,IF(AND(M77&gt;=$F$1,N77&gt;=$F$1),1,""),"")</f>
        <v/>
      </c>
      <c r="D77" s="44" t="str">
        <f t="shared" si="0"/>
        <v>C000824</v>
      </c>
      <c r="E77" s="72">
        <f>VLOOKUP($D77,'FERC 2021'!$EA$3:$ER$221,18,0)</f>
        <v>1534672.3045685273</v>
      </c>
      <c r="F77" s="72">
        <f>IFERROR(VLOOKUP($D77,'FERC 2022'!$EA$3:$ER$220,18,0),"")</f>
        <v>1318273.6598984767</v>
      </c>
      <c r="G77" s="72">
        <f>IFERROR(VLOOKUP($D77,'FERC 2023'!$EA$3:$ER$221,18,0),"")</f>
        <v>-23419.121827410534</v>
      </c>
      <c r="H77" s="72">
        <f>VLOOKUP($D77,'FERC 2021'!$EA$3:$EN$221,11,0)</f>
        <v>34670479.304568529</v>
      </c>
      <c r="I77" s="72">
        <f>IFERROR(VLOOKUP($D77,'FERC 2022'!$EA$3:$EN$220,11,0),"")</f>
        <v>34714555.659898475</v>
      </c>
      <c r="J77" s="72">
        <f>IFERROR(VLOOKUP($D77,'FERC 2023'!$EA$3:$EN$221,11,0),"")</f>
        <v>33078191.878172591</v>
      </c>
      <c r="K77" s="17"/>
      <c r="L77" s="17">
        <f t="shared" si="1"/>
        <v>4.4264525191213711E-2</v>
      </c>
      <c r="M77" s="17">
        <f t="shared" ref="M77:N77" si="75">IFERROR(F77/I77,"")</f>
        <v>3.7974666097233635E-2</v>
      </c>
      <c r="N77" s="17">
        <f t="shared" si="75"/>
        <v>-7.0799280425192109E-4</v>
      </c>
      <c r="O77" s="44"/>
    </row>
    <row r="78" spans="1:15" ht="15.75" hidden="1" customHeight="1">
      <c r="A78" s="7" t="s">
        <v>432</v>
      </c>
      <c r="B78" s="7" t="s">
        <v>433</v>
      </c>
      <c r="C78" s="44" t="str">
        <f>IF('BD Comp'!C78=1,IF(AND(M78&gt;=$F$1,N78&gt;=$F$1),1,""),"")</f>
        <v/>
      </c>
      <c r="D78" s="44" t="str">
        <f t="shared" si="0"/>
        <v>C000825</v>
      </c>
      <c r="E78" s="72">
        <f>VLOOKUP($D78,'FERC 2021'!$EA$3:$ER$221,18,0)</f>
        <v>3139.0456852782518</v>
      </c>
      <c r="F78" s="72">
        <f>IFERROR(VLOOKUP($D78,'FERC 2022'!$EA$3:$ER$220,18,0),"")</f>
        <v>697892.94416243676</v>
      </c>
      <c r="G78" s="72">
        <f>IFERROR(VLOOKUP($D78,'FERC 2023'!$EA$3:$ER$221,18,0),"")</f>
        <v>784932.06091370527</v>
      </c>
      <c r="H78" s="72">
        <f>VLOOKUP($D78,'FERC 2021'!$EA$3:$EN$221,11,0)</f>
        <v>20863056.045685276</v>
      </c>
      <c r="I78" s="72">
        <f>IFERROR(VLOOKUP($D78,'FERC 2022'!$EA$3:$EN$220,11,0),"")</f>
        <v>23309463.944162436</v>
      </c>
      <c r="J78" s="72">
        <f>IFERROR(VLOOKUP($D78,'FERC 2023'!$EA$3:$EN$221,11,0),"")</f>
        <v>24219293.060913704</v>
      </c>
      <c r="K78" s="17"/>
      <c r="L78" s="17">
        <f t="shared" si="1"/>
        <v>1.5045953375212464E-4</v>
      </c>
      <c r="M78" s="17">
        <f t="shared" ref="M78:N78" si="76">IFERROR(F78/I78,"")</f>
        <v>2.9940325776441346E-2</v>
      </c>
      <c r="N78" s="17">
        <f t="shared" si="76"/>
        <v>3.2409371278489855E-2</v>
      </c>
      <c r="O78" s="44"/>
    </row>
    <row r="79" spans="1:15" ht="15.75" hidden="1" customHeight="1">
      <c r="A79" s="7" t="s">
        <v>435</v>
      </c>
      <c r="B79" s="7" t="s">
        <v>436</v>
      </c>
      <c r="C79" s="44" t="str">
        <f>IF('BD Comp'!C79=1,IF(AND(M79&gt;=$F$1,N79&gt;=$F$1),1,""),"")</f>
        <v/>
      </c>
      <c r="D79" s="44" t="str">
        <f t="shared" si="0"/>
        <v>C000851</v>
      </c>
      <c r="E79" s="72">
        <f>VLOOKUP($D79,'FERC 2021'!$EA$3:$ER$221,18,0)</f>
        <v>759101.49238578696</v>
      </c>
      <c r="F79" s="72">
        <f>IFERROR(VLOOKUP($D79,'FERC 2022'!$EA$3:$ER$220,18,0),"")</f>
        <v>740155.59390862938</v>
      </c>
      <c r="G79" s="72">
        <f>IFERROR(VLOOKUP($D79,'FERC 2023'!$EA$3:$ER$221,18,0),"")</f>
        <v>725709.36040609144</v>
      </c>
      <c r="H79" s="72">
        <f>VLOOKUP($D79,'FERC 2021'!$EA$3:$EN$221,11,0)</f>
        <v>20438525.492385786</v>
      </c>
      <c r="I79" s="72">
        <f>IFERROR(VLOOKUP($D79,'FERC 2022'!$EA$3:$EN$220,11,0),"")</f>
        <v>22005708.59390863</v>
      </c>
      <c r="J79" s="72">
        <f>IFERROR(VLOOKUP($D79,'FERC 2023'!$EA$3:$EN$221,11,0),"")</f>
        <v>21890193.36040609</v>
      </c>
      <c r="K79" s="17"/>
      <c r="L79" s="17">
        <f t="shared" si="1"/>
        <v>3.7140717057528652E-2</v>
      </c>
      <c r="M79" s="17">
        <f t="shared" ref="M79:N79" si="77">IFERROR(F79/I79,"")</f>
        <v>3.3634708500752883E-2</v>
      </c>
      <c r="N79" s="17">
        <f t="shared" si="77"/>
        <v>3.3152259025665758E-2</v>
      </c>
      <c r="O79" s="44"/>
    </row>
    <row r="80" spans="1:15" ht="15.75" hidden="1" customHeight="1">
      <c r="A80" s="7" t="s">
        <v>438</v>
      </c>
      <c r="B80" s="7" t="s">
        <v>439</v>
      </c>
      <c r="C80" s="44" t="str">
        <f>IF('BD Comp'!C80=1,IF(AND(M80&gt;=$F$1,N80&gt;=$F$1),1,""),"")</f>
        <v/>
      </c>
      <c r="D80" s="44" t="str">
        <f t="shared" si="0"/>
        <v>C000852</v>
      </c>
      <c r="E80" s="72" t="str">
        <f>VLOOKUP($D80,'FERC 2021'!$EA$3:$ER$221,18,0)</f>
        <v/>
      </c>
      <c r="F80" s="72" t="str">
        <f>IFERROR(VLOOKUP($D80,'FERC 2022'!$EA$3:$ER$220,18,0),"")</f>
        <v/>
      </c>
      <c r="G80" s="72" t="str">
        <f>IFERROR(VLOOKUP($D80,'FERC 2023'!$EA$3:$ER$221,18,0),"")</f>
        <v/>
      </c>
      <c r="H80" s="72" t="str">
        <f>VLOOKUP($D80,'FERC 2021'!$EA$3:$EN$221,11,0)</f>
        <v/>
      </c>
      <c r="I80" s="72" t="str">
        <f>IFERROR(VLOOKUP($D80,'FERC 2022'!$EA$3:$EN$220,11,0),"")</f>
        <v/>
      </c>
      <c r="J80" s="72" t="str">
        <f>IFERROR(VLOOKUP($D80,'FERC 2023'!$EA$3:$EN$221,11,0),"")</f>
        <v/>
      </c>
      <c r="K80" s="17"/>
      <c r="L80" s="17" t="e">
        <f t="shared" si="1"/>
        <v>#VALUE!</v>
      </c>
      <c r="M80" s="17" t="str">
        <f t="shared" ref="M80:N80" si="78">IFERROR(F80/I80,"")</f>
        <v/>
      </c>
      <c r="N80" s="17" t="str">
        <f t="shared" si="78"/>
        <v/>
      </c>
      <c r="O80" s="44"/>
    </row>
    <row r="81" spans="1:15" ht="15.75" hidden="1" customHeight="1">
      <c r="A81" s="7" t="s">
        <v>441</v>
      </c>
      <c r="B81" s="7" t="s">
        <v>442</v>
      </c>
      <c r="C81" s="44" t="str">
        <f>IF('BD Comp'!C81=1,IF(AND(M81&gt;=$F$1,N81&gt;=$F$1),1,""),"")</f>
        <v/>
      </c>
      <c r="D81" s="44" t="str">
        <f t="shared" si="0"/>
        <v>C000862</v>
      </c>
      <c r="E81" s="72" t="str">
        <f>VLOOKUP($D81,'FERC 2021'!$EA$3:$ER$221,18,0)</f>
        <v/>
      </c>
      <c r="F81" s="72" t="str">
        <f>IFERROR(VLOOKUP($D81,'FERC 2022'!$EA$3:$ER$220,18,0),"")</f>
        <v/>
      </c>
      <c r="G81" s="72" t="str">
        <f>IFERROR(VLOOKUP($D81,'FERC 2023'!$EA$3:$ER$221,18,0),"")</f>
        <v/>
      </c>
      <c r="H81" s="72" t="str">
        <f>VLOOKUP($D81,'FERC 2021'!$EA$3:$EN$221,11,0)</f>
        <v/>
      </c>
      <c r="I81" s="72" t="str">
        <f>IFERROR(VLOOKUP($D81,'FERC 2022'!$EA$3:$EN$220,11,0),"")</f>
        <v/>
      </c>
      <c r="J81" s="72" t="str">
        <f>IFERROR(VLOOKUP($D81,'FERC 2023'!$EA$3:$EN$221,11,0),"")</f>
        <v/>
      </c>
      <c r="K81" s="17"/>
      <c r="L81" s="17" t="e">
        <f t="shared" si="1"/>
        <v>#VALUE!</v>
      </c>
      <c r="M81" s="17" t="str">
        <f t="shared" ref="M81:N81" si="79">IFERROR(F81/I81,"")</f>
        <v/>
      </c>
      <c r="N81" s="17" t="str">
        <f t="shared" si="79"/>
        <v/>
      </c>
      <c r="O81" s="44"/>
    </row>
    <row r="82" spans="1:15" ht="15.75" hidden="1" customHeight="1">
      <c r="A82" s="7" t="s">
        <v>444</v>
      </c>
      <c r="B82" s="7" t="s">
        <v>445</v>
      </c>
      <c r="C82" s="44" t="str">
        <f>IF('BD Comp'!C82=1,IF(AND(M82&gt;=$F$1,N82&gt;=$F$1),1,""),"")</f>
        <v/>
      </c>
      <c r="D82" s="44" t="str">
        <f t="shared" si="0"/>
        <v>C000905</v>
      </c>
      <c r="E82" s="72">
        <f>VLOOKUP($D82,'FERC 2021'!$EA$3:$ER$221,18,0)</f>
        <v>367927.73096446699</v>
      </c>
      <c r="F82" s="72">
        <f>IFERROR(VLOOKUP($D82,'FERC 2022'!$EA$3:$ER$220,18,0),"")</f>
        <v>327426.26903553301</v>
      </c>
      <c r="G82" s="72">
        <f>IFERROR(VLOOKUP($D82,'FERC 2023'!$EA$3:$ER$221,18,0),"")</f>
        <v>244089.45685279189</v>
      </c>
      <c r="H82" s="72">
        <f>VLOOKUP($D82,'FERC 2021'!$EA$3:$EN$221,11,0)</f>
        <v>19644474.730964467</v>
      </c>
      <c r="I82" s="72">
        <f>IFERROR(VLOOKUP($D82,'FERC 2022'!$EA$3:$EN$220,11,0),"")</f>
        <v>19903352.269035533</v>
      </c>
      <c r="J82" s="72">
        <f>IFERROR(VLOOKUP($D82,'FERC 2023'!$EA$3:$EN$221,11,0),"")</f>
        <v>18920692.456852794</v>
      </c>
      <c r="K82" s="17"/>
      <c r="L82" s="17">
        <f t="shared" si="1"/>
        <v>1.8729323944942314E-2</v>
      </c>
      <c r="M82" s="17">
        <f t="shared" ref="M82:N82" si="80">IFERROR(F82/I82,"")</f>
        <v>1.6450810125333691E-2</v>
      </c>
      <c r="N82" s="17">
        <f t="shared" si="80"/>
        <v>1.2900661929230096E-2</v>
      </c>
      <c r="O82" s="44"/>
    </row>
    <row r="83" spans="1:15" ht="15.75" hidden="1" customHeight="1">
      <c r="A83" s="7" t="s">
        <v>447</v>
      </c>
      <c r="B83" s="7" t="s">
        <v>448</v>
      </c>
      <c r="C83" s="44" t="str">
        <f>IF('BD Comp'!C83=1,IF(AND(M83&gt;=$F$1,N83&gt;=$F$1),1,""),"")</f>
        <v/>
      </c>
      <c r="D83" s="44" t="str">
        <f t="shared" si="0"/>
        <v>C000906</v>
      </c>
      <c r="E83" s="72">
        <f>VLOOKUP($D83,'FERC 2021'!$EA$3:$ER$221,18,0)</f>
        <v>375136.09644670039</v>
      </c>
      <c r="F83" s="72">
        <f>IFERROR(VLOOKUP($D83,'FERC 2022'!$EA$3:$ER$220,18,0),"")</f>
        <v>575744.24365482247</v>
      </c>
      <c r="G83" s="72">
        <f>IFERROR(VLOOKUP($D83,'FERC 2023'!$EA$3:$ER$221,18,0),"")</f>
        <v>560514.83248730982</v>
      </c>
      <c r="H83" s="72">
        <f>VLOOKUP($D83,'FERC 2021'!$EA$3:$EN$221,11,0)</f>
        <v>12642633.0964467</v>
      </c>
      <c r="I83" s="72">
        <f>IFERROR(VLOOKUP($D83,'FERC 2022'!$EA$3:$EN$220,11,0),"")</f>
        <v>12866357.243654823</v>
      </c>
      <c r="J83" s="72">
        <f>IFERROR(VLOOKUP($D83,'FERC 2023'!$EA$3:$EN$221,11,0),"")</f>
        <v>12670192.832487309</v>
      </c>
      <c r="K83" s="17"/>
      <c r="L83" s="17">
        <f t="shared" si="1"/>
        <v>2.9672307468302232E-2</v>
      </c>
      <c r="M83" s="17">
        <f t="shared" ref="M83:N83" si="81">IFERROR(F83/I83,"")</f>
        <v>4.4748038061725413E-2</v>
      </c>
      <c r="N83" s="17">
        <f t="shared" si="81"/>
        <v>4.4238855706292678E-2</v>
      </c>
      <c r="O83" s="44"/>
    </row>
    <row r="84" spans="1:15" ht="15.75" hidden="1" customHeight="1">
      <c r="A84" s="7" t="s">
        <v>450</v>
      </c>
      <c r="B84" s="7" t="s">
        <v>451</v>
      </c>
      <c r="C84" s="44" t="str">
        <f>IF('BD Comp'!C84=1,IF(AND(M84&gt;=$F$1,N84&gt;=$F$1),1,""),"")</f>
        <v/>
      </c>
      <c r="D84" s="44" t="str">
        <f t="shared" si="0"/>
        <v>C000911</v>
      </c>
      <c r="E84" s="72" t="str">
        <f>VLOOKUP($D84,'FERC 2021'!$EA$3:$ER$221,18,0)</f>
        <v/>
      </c>
      <c r="F84" s="72" t="str">
        <f>IFERROR(VLOOKUP($D84,'FERC 2022'!$EA$3:$ER$220,18,0),"")</f>
        <v/>
      </c>
      <c r="G84" s="72" t="str">
        <f>IFERROR(VLOOKUP($D84,'FERC 2023'!$EA$3:$ER$221,18,0),"")</f>
        <v/>
      </c>
      <c r="H84" s="72" t="str">
        <f>VLOOKUP($D84,'FERC 2021'!$EA$3:$EN$221,11,0)</f>
        <v/>
      </c>
      <c r="I84" s="72" t="str">
        <f>IFERROR(VLOOKUP($D84,'FERC 2022'!$EA$3:$EN$220,11,0),"")</f>
        <v/>
      </c>
      <c r="J84" s="72" t="str">
        <f>IFERROR(VLOOKUP($D84,'FERC 2023'!$EA$3:$EN$221,11,0),"")</f>
        <v/>
      </c>
      <c r="K84" s="17"/>
      <c r="L84" s="17" t="e">
        <f t="shared" si="1"/>
        <v>#VALUE!</v>
      </c>
      <c r="M84" s="17" t="str">
        <f t="shared" ref="M84:N84" si="82">IFERROR(F84/I84,"")</f>
        <v/>
      </c>
      <c r="N84" s="17" t="str">
        <f t="shared" si="82"/>
        <v/>
      </c>
      <c r="O84" s="44"/>
    </row>
    <row r="85" spans="1:15" ht="15.75" hidden="1" customHeight="1">
      <c r="A85" s="7" t="s">
        <v>453</v>
      </c>
      <c r="B85" s="7" t="s">
        <v>454</v>
      </c>
      <c r="C85" s="44" t="str">
        <f>IF('BD Comp'!C85=1,IF(AND(M85&gt;=$F$1,N85&gt;=$F$1),1,""),"")</f>
        <v/>
      </c>
      <c r="D85" s="44" t="str">
        <f t="shared" si="0"/>
        <v>C000913</v>
      </c>
      <c r="E85" s="72">
        <f>VLOOKUP($D85,'FERC 2021'!$EA$3:$ER$221,18,0)</f>
        <v>135200.71573604061</v>
      </c>
      <c r="F85" s="72">
        <f>IFERROR(VLOOKUP($D85,'FERC 2022'!$EA$3:$ER$220,18,0),"")</f>
        <v>199358.21827411163</v>
      </c>
      <c r="G85" s="72">
        <f>IFERROR(VLOOKUP($D85,'FERC 2023'!$EA$3:$ER$221,18,0),"")</f>
        <v>195718.36548223352</v>
      </c>
      <c r="H85" s="72">
        <f>VLOOKUP($D85,'FERC 2021'!$EA$3:$EN$221,11,0)</f>
        <v>10598392.715736041</v>
      </c>
      <c r="I85" s="72">
        <f>IFERROR(VLOOKUP($D85,'FERC 2022'!$EA$3:$EN$220,11,0),"")</f>
        <v>10898158.218274111</v>
      </c>
      <c r="J85" s="72">
        <f>IFERROR(VLOOKUP($D85,'FERC 2023'!$EA$3:$EN$221,11,0),"")</f>
        <v>10384593.365482233</v>
      </c>
      <c r="K85" s="17"/>
      <c r="L85" s="17">
        <f t="shared" si="1"/>
        <v>1.2756718812212003E-2</v>
      </c>
      <c r="M85" s="17">
        <f t="shared" ref="M85:N85" si="83">IFERROR(F85/I85,"")</f>
        <v>1.8292835750891037E-2</v>
      </c>
      <c r="N85" s="17">
        <f t="shared" si="83"/>
        <v>1.8846993675533764E-2</v>
      </c>
      <c r="O85" s="44"/>
    </row>
    <row r="86" spans="1:15" ht="15.75" hidden="1" customHeight="1">
      <c r="A86" s="7" t="s">
        <v>456</v>
      </c>
      <c r="B86" s="7" t="s">
        <v>457</v>
      </c>
      <c r="C86" s="44" t="str">
        <f>IF('BD Comp'!C86=1,IF(AND(M86&gt;=$F$1,N86&gt;=$F$1),1,""),"")</f>
        <v/>
      </c>
      <c r="D86" s="44" t="str">
        <f t="shared" si="0"/>
        <v>C000945</v>
      </c>
      <c r="E86" s="72">
        <f>VLOOKUP($D86,'FERC 2021'!$EA$3:$ER$221,18,0)</f>
        <v>37670.923857868023</v>
      </c>
      <c r="F86" s="72" t="str">
        <f>IFERROR(VLOOKUP($D86,'FERC 2022'!$EA$3:$ER$220,18,0),"")</f>
        <v/>
      </c>
      <c r="G86" s="72" t="str">
        <f>IFERROR(VLOOKUP($D86,'FERC 2023'!$EA$3:$ER$221,18,0),"")</f>
        <v/>
      </c>
      <c r="H86" s="72">
        <f>VLOOKUP($D86,'FERC 2021'!$EA$3:$EN$221,11,0)</f>
        <v>587032.92385786807</v>
      </c>
      <c r="I86" s="72" t="str">
        <f>IFERROR(VLOOKUP($D86,'FERC 2022'!$EA$3:$EN$220,11,0),"")</f>
        <v/>
      </c>
      <c r="J86" s="72" t="str">
        <f>IFERROR(VLOOKUP($D86,'FERC 2023'!$EA$3:$EN$221,11,0),"")</f>
        <v/>
      </c>
      <c r="K86" s="17"/>
      <c r="L86" s="17">
        <f t="shared" si="1"/>
        <v>6.4171739483199541E-2</v>
      </c>
      <c r="M86" s="17" t="str">
        <f t="shared" ref="M86:N86" si="84">IFERROR(F86/I86,"")</f>
        <v/>
      </c>
      <c r="N86" s="17" t="str">
        <f t="shared" si="84"/>
        <v/>
      </c>
      <c r="O86" s="44"/>
    </row>
    <row r="87" spans="1:15" ht="15.75" hidden="1" customHeight="1">
      <c r="A87" s="7" t="s">
        <v>459</v>
      </c>
      <c r="B87" s="7" t="s">
        <v>460</v>
      </c>
      <c r="C87" s="44" t="str">
        <f>IF('BD Comp'!C87=1,IF(AND(M87&gt;=$F$1,N87&gt;=$F$1),1,""),"")</f>
        <v/>
      </c>
      <c r="D87" s="44" t="str">
        <f t="shared" si="0"/>
        <v>C001009</v>
      </c>
      <c r="E87" s="72">
        <f>VLOOKUP($D87,'FERC 2021'!$EA$3:$ER$221,18,0)</f>
        <v>262073.74619289348</v>
      </c>
      <c r="F87" s="72">
        <f>IFERROR(VLOOKUP($D87,'FERC 2022'!$EA$3:$ER$220,18,0),"")</f>
        <v>222041.37055837561</v>
      </c>
      <c r="G87" s="72">
        <f>IFERROR(VLOOKUP($D87,'FERC 2023'!$EA$3:$ER$221,18,0),"")</f>
        <v>227881.9340101523</v>
      </c>
      <c r="H87" s="72">
        <f>VLOOKUP($D87,'FERC 2021'!$EA$3:$EN$221,11,0)</f>
        <v>4906737.746192893</v>
      </c>
      <c r="I87" s="72">
        <f>IFERROR(VLOOKUP($D87,'FERC 2022'!$EA$3:$EN$220,11,0),"")</f>
        <v>4813792.3705583755</v>
      </c>
      <c r="J87" s="72">
        <f>IFERROR(VLOOKUP($D87,'FERC 2023'!$EA$3:$EN$221,11,0),"")</f>
        <v>4622371.9340101527</v>
      </c>
      <c r="K87" s="17"/>
      <c r="L87" s="17">
        <f t="shared" si="1"/>
        <v>5.3410995196601828E-2</v>
      </c>
      <c r="M87" s="17">
        <f t="shared" ref="M87:N87" si="85">IFERROR(F87/I87,"")</f>
        <v>4.6126079703063705E-2</v>
      </c>
      <c r="N87" s="17">
        <f t="shared" si="85"/>
        <v>4.9299783155366435E-2</v>
      </c>
      <c r="O87" s="44"/>
    </row>
    <row r="88" spans="1:15" ht="15.75" hidden="1" customHeight="1">
      <c r="A88" s="7" t="s">
        <v>462</v>
      </c>
      <c r="B88" s="7" t="s">
        <v>463</v>
      </c>
      <c r="C88" s="44" t="str">
        <f>IF('BD Comp'!C88=1,IF(AND(M88&gt;=$F$1,N88&gt;=$F$1),1,""),"")</f>
        <v/>
      </c>
      <c r="D88" s="44" t="str">
        <f t="shared" si="0"/>
        <v>C001016</v>
      </c>
      <c r="E88" s="72">
        <f>VLOOKUP($D88,'FERC 2021'!$EA$3:$ER$221,18,0)</f>
        <v>257054.6954314718</v>
      </c>
      <c r="F88" s="72">
        <f>IFERROR(VLOOKUP($D88,'FERC 2022'!$EA$3:$ER$220,18,0),"")</f>
        <v>334774.97461928986</v>
      </c>
      <c r="G88" s="72">
        <f>IFERROR(VLOOKUP($D88,'FERC 2023'!$EA$3:$ER$221,18,0),"")</f>
        <v>-6431.0812182743102</v>
      </c>
      <c r="H88" s="72">
        <f>VLOOKUP($D88,'FERC 2021'!$EA$3:$EN$221,11,0)</f>
        <v>20758387.695431471</v>
      </c>
      <c r="I88" s="72">
        <f>IFERROR(VLOOKUP($D88,'FERC 2022'!$EA$3:$EN$220,11,0),"")</f>
        <v>20894329.974619292</v>
      </c>
      <c r="J88" s="72">
        <f>IFERROR(VLOOKUP($D88,'FERC 2023'!$EA$3:$EN$221,11,0),"")</f>
        <v>19570337.918781728</v>
      </c>
      <c r="K88" s="17"/>
      <c r="L88" s="17">
        <f t="shared" si="1"/>
        <v>1.2383172489260555E-2</v>
      </c>
      <c r="M88" s="17">
        <f t="shared" ref="M88:N88" si="86">IFERROR(F88/I88,"")</f>
        <v>1.6022288105239407E-2</v>
      </c>
      <c r="N88" s="17">
        <f t="shared" si="86"/>
        <v>-3.2861370329749783E-4</v>
      </c>
      <c r="O88" s="44"/>
    </row>
    <row r="89" spans="1:15" ht="15.75" hidden="1" customHeight="1">
      <c r="A89" s="7" t="s">
        <v>465</v>
      </c>
      <c r="B89" s="7" t="s">
        <v>466</v>
      </c>
      <c r="C89" s="44" t="str">
        <f>IF('BD Comp'!C89=1,IF(AND(M89&gt;=$F$1,N89&gt;=$F$1),1,""),"")</f>
        <v/>
      </c>
      <c r="D89" s="44" t="str">
        <f t="shared" si="0"/>
        <v>C001017</v>
      </c>
      <c r="E89" s="72">
        <f>VLOOKUP($D89,'FERC 2021'!$EA$3:$ER$221,18,0)</f>
        <v>329604.85786802031</v>
      </c>
      <c r="F89" s="72">
        <f>IFERROR(VLOOKUP($D89,'FERC 2022'!$EA$3:$ER$220,18,0),"")</f>
        <v>316598.63451776654</v>
      </c>
      <c r="G89" s="72">
        <f>IFERROR(VLOOKUP($D89,'FERC 2023'!$EA$3:$ER$221,18,0),"")</f>
        <v>297084.4873096447</v>
      </c>
      <c r="H89" s="72">
        <f>VLOOKUP($D89,'FERC 2021'!$EA$3:$EN$221,11,0)</f>
        <v>8111429.8578680204</v>
      </c>
      <c r="I89" s="72">
        <f>IFERROR(VLOOKUP($D89,'FERC 2022'!$EA$3:$EN$220,11,0),"")</f>
        <v>8080743.6345177665</v>
      </c>
      <c r="J89" s="72">
        <f>IFERROR(VLOOKUP($D89,'FERC 2023'!$EA$3:$EN$221,11,0),"")</f>
        <v>7886670.4873096449</v>
      </c>
      <c r="K89" s="17"/>
      <c r="L89" s="17">
        <f t="shared" si="1"/>
        <v>4.0634618512826848E-2</v>
      </c>
      <c r="M89" s="17">
        <f t="shared" ref="M89:N89" si="87">IFERROR(F89/I89,"")</f>
        <v>3.9179393486186272E-2</v>
      </c>
      <c r="N89" s="17">
        <f t="shared" si="87"/>
        <v>3.7669189778840144E-2</v>
      </c>
      <c r="O89" s="44"/>
    </row>
    <row r="90" spans="1:15" ht="15.75" hidden="1" customHeight="1">
      <c r="A90" s="7" t="s">
        <v>468</v>
      </c>
      <c r="B90" s="7" t="s">
        <v>469</v>
      </c>
      <c r="C90" s="44" t="str">
        <f>IF('BD Comp'!C90=1,IF(AND(M90&gt;=$F$1,N90&gt;=$F$1),1,""),"")</f>
        <v/>
      </c>
      <c r="D90" s="44" t="str">
        <f t="shared" si="0"/>
        <v>C001025</v>
      </c>
      <c r="E90" s="72">
        <f>VLOOKUP($D90,'FERC 2021'!$EA$3:$ER$221,18,0)</f>
        <v>260123.85786802031</v>
      </c>
      <c r="F90" s="72">
        <f>IFERROR(VLOOKUP($D90,'FERC 2022'!$EA$3:$ER$220,18,0),"")</f>
        <v>139532.90862944163</v>
      </c>
      <c r="G90" s="72">
        <f>IFERROR(VLOOKUP($D90,'FERC 2023'!$EA$3:$ER$221,18,0),"")</f>
        <v>237087.69543147209</v>
      </c>
      <c r="H90" s="72">
        <f>VLOOKUP($D90,'FERC 2021'!$EA$3:$EN$221,11,0)</f>
        <v>2925808.8578680204</v>
      </c>
      <c r="I90" s="72">
        <f>IFERROR(VLOOKUP($D90,'FERC 2022'!$EA$3:$EN$220,11,0),"")</f>
        <v>2995220.9086294416</v>
      </c>
      <c r="J90" s="72">
        <f>IFERROR(VLOOKUP($D90,'FERC 2023'!$EA$3:$EN$221,11,0),"")</f>
        <v>3106892.6954314723</v>
      </c>
      <c r="K90" s="17"/>
      <c r="L90" s="17">
        <f t="shared" si="1"/>
        <v>8.8906647872263073E-2</v>
      </c>
      <c r="M90" s="17">
        <f t="shared" ref="M90:N90" si="88">IFERROR(F90/I90,"")</f>
        <v>4.6585181155566036E-2</v>
      </c>
      <c r="N90" s="17">
        <f t="shared" si="88"/>
        <v>7.6310229761104242E-2</v>
      </c>
      <c r="O90" s="44"/>
    </row>
    <row r="91" spans="1:15" ht="15.75" customHeight="1">
      <c r="A91" s="7" t="s">
        <v>471</v>
      </c>
      <c r="B91" s="7" t="s">
        <v>472</v>
      </c>
      <c r="C91" s="44">
        <f>IF('BD Comp'!C91=1,IF(AND(M91&gt;=$F$1,N91&gt;=$F$1),1,""),"")</f>
        <v>1</v>
      </c>
      <c r="D91" s="44" t="str">
        <f t="shared" si="0"/>
        <v>C001030</v>
      </c>
      <c r="E91" s="72">
        <f>VLOOKUP($D91,'FERC 2021'!$EA$3:$ER$221,18,0)</f>
        <v>7670154.6091370564</v>
      </c>
      <c r="F91" s="72">
        <f>IFERROR(VLOOKUP($D91,'FERC 2022'!$EA$3:$ER$220,18,0),"")</f>
        <v>10400362.690355329</v>
      </c>
      <c r="G91" s="72">
        <f>IFERROR(VLOOKUP($D91,'FERC 2023'!$EA$3:$ER$221,18,0),"")</f>
        <v>10129087.38071066</v>
      </c>
      <c r="H91" s="72">
        <f>VLOOKUP($D91,'FERC 2021'!$EA$3:$EN$221,11,0)</f>
        <v>119846708.60913706</v>
      </c>
      <c r="I91" s="72">
        <f>IFERROR(VLOOKUP($D91,'FERC 2022'!$EA$3:$EN$220,11,0),"")</f>
        <v>136850258.69035533</v>
      </c>
      <c r="J91" s="72">
        <f>IFERROR(VLOOKUP($D91,'FERC 2023'!$EA$3:$EN$221,11,0),"")</f>
        <v>138032880.38071066</v>
      </c>
      <c r="K91" s="17"/>
      <c r="L91" s="17">
        <f t="shared" si="1"/>
        <v>6.3999710114294187E-2</v>
      </c>
      <c r="M91" s="17">
        <f t="shared" ref="M91:N91" si="89">IFERROR(F91/I91,"")</f>
        <v>7.599812225337288E-2</v>
      </c>
      <c r="N91" s="17">
        <f t="shared" si="89"/>
        <v>7.3381699728162331E-2</v>
      </c>
      <c r="O91" s="44"/>
    </row>
    <row r="92" spans="1:15" ht="15.75" hidden="1" customHeight="1">
      <c r="A92" s="7" t="s">
        <v>474</v>
      </c>
      <c r="B92" s="7" t="s">
        <v>475</v>
      </c>
      <c r="C92" s="44" t="str">
        <f>IF('BD Comp'!C92=1,IF(AND(M92&gt;=$F$1,N92&gt;=$F$1),1,""),"")</f>
        <v/>
      </c>
      <c r="D92" s="44" t="str">
        <f t="shared" si="0"/>
        <v>C001111</v>
      </c>
      <c r="E92" s="72">
        <f>VLOOKUP($D92,'FERC 2021'!$EA$3:$ER$221,18,0)</f>
        <v>1907700</v>
      </c>
      <c r="F92" s="72">
        <f>IFERROR(VLOOKUP($D92,'FERC 2022'!$EA$3:$ER$220,18,0),"")</f>
        <v>1851248</v>
      </c>
      <c r="G92" s="72">
        <f>IFERROR(VLOOKUP($D92,'FERC 2023'!$EA$3:$ER$221,18,0),"")</f>
        <v>1792040</v>
      </c>
      <c r="H92" s="72">
        <f>VLOOKUP($D92,'FERC 2021'!$EA$3:$EN$221,11,0)</f>
        <v>30998643</v>
      </c>
      <c r="I92" s="72">
        <f>IFERROR(VLOOKUP($D92,'FERC 2022'!$EA$3:$EN$220,11,0),"")</f>
        <v>31070150</v>
      </c>
      <c r="J92" s="72">
        <f>IFERROR(VLOOKUP($D92,'FERC 2023'!$EA$3:$EN$221,11,0),"")</f>
        <v>29504411</v>
      </c>
      <c r="K92" s="17"/>
      <c r="L92" s="17">
        <f t="shared" si="1"/>
        <v>6.1541403602731901E-2</v>
      </c>
      <c r="M92" s="17">
        <f t="shared" ref="M92:N92" si="90">IFERROR(F92/I92,"")</f>
        <v>5.9582847202218209E-2</v>
      </c>
      <c r="N92" s="17">
        <f t="shared" si="90"/>
        <v>6.0738036763384295E-2</v>
      </c>
      <c r="O92" s="44"/>
    </row>
    <row r="93" spans="1:15" ht="15.75" hidden="1" customHeight="1">
      <c r="A93" s="7" t="s">
        <v>477</v>
      </c>
      <c r="B93" s="7" t="s">
        <v>478</v>
      </c>
      <c r="C93" s="44" t="str">
        <f>IF('BD Comp'!C93=1,IF(AND(M93&gt;=$F$1,N93&gt;=$F$1),1,""),"")</f>
        <v/>
      </c>
      <c r="D93" s="44" t="str">
        <f t="shared" si="0"/>
        <v>C001130</v>
      </c>
      <c r="E93" s="72" t="str">
        <f>VLOOKUP($D93,'FERC 2021'!$EA$3:$ER$221,18,0)</f>
        <v/>
      </c>
      <c r="F93" s="72">
        <f>IFERROR(VLOOKUP($D93,'FERC 2022'!$EA$3:$ER$220,18,0),"")</f>
        <v>25323.791878172662</v>
      </c>
      <c r="G93" s="72">
        <f>IFERROR(VLOOKUP($D93,'FERC 2023'!$EA$3:$ER$221,18,0),"")</f>
        <v>143768.31979695428</v>
      </c>
      <c r="H93" s="72" t="str">
        <f>VLOOKUP($D93,'FERC 2021'!$EA$3:$EN$221,11,0)</f>
        <v/>
      </c>
      <c r="I93" s="72">
        <f>IFERROR(VLOOKUP($D93,'FERC 2022'!$EA$3:$EN$220,11,0),"")</f>
        <v>4955650.7918781731</v>
      </c>
      <c r="J93" s="72">
        <f>IFERROR(VLOOKUP($D93,'FERC 2023'!$EA$3:$EN$221,11,0),"")</f>
        <v>4848795.3197969543</v>
      </c>
      <c r="K93" s="17"/>
      <c r="L93" s="17" t="e">
        <f t="shared" si="1"/>
        <v>#VALUE!</v>
      </c>
      <c r="M93" s="17">
        <f t="shared" ref="M93:N93" si="91">IFERROR(F93/I93,"")</f>
        <v>5.1100840115037727E-3</v>
      </c>
      <c r="N93" s="17">
        <f t="shared" si="91"/>
        <v>2.9650317308707239E-2</v>
      </c>
      <c r="O93" s="44"/>
    </row>
    <row r="94" spans="1:15" ht="15.75" hidden="1" customHeight="1">
      <c r="A94" s="7" t="s">
        <v>480</v>
      </c>
      <c r="B94" s="7" t="s">
        <v>481</v>
      </c>
      <c r="C94" s="44" t="str">
        <f>IF('BD Comp'!C94=1,IF(AND(M94&gt;=$F$1,N94&gt;=$F$1),1,""),"")</f>
        <v/>
      </c>
      <c r="D94" s="44" t="str">
        <f t="shared" si="0"/>
        <v>C001132</v>
      </c>
      <c r="E94" s="72">
        <f>VLOOKUP($D94,'FERC 2021'!$EA$3:$ER$221,18,0)</f>
        <v>905452.24873096403</v>
      </c>
      <c r="F94" s="72">
        <f>IFERROR(VLOOKUP($D94,'FERC 2022'!$EA$3:$ER$220,18,0),"")</f>
        <v>1107231.1522842636</v>
      </c>
      <c r="G94" s="72">
        <f>IFERROR(VLOOKUP($D94,'FERC 2023'!$EA$3:$ER$221,18,0),"")</f>
        <v>941236.03553299513</v>
      </c>
      <c r="H94" s="72">
        <f>VLOOKUP($D94,'FERC 2021'!$EA$3:$EN$221,11,0)</f>
        <v>19201506.248730965</v>
      </c>
      <c r="I94" s="72">
        <f>IFERROR(VLOOKUP($D94,'FERC 2022'!$EA$3:$EN$220,11,0),"")</f>
        <v>20012292.152284265</v>
      </c>
      <c r="J94" s="72">
        <f>IFERROR(VLOOKUP($D94,'FERC 2023'!$EA$3:$EN$221,11,0),"")</f>
        <v>20072964.035532996</v>
      </c>
      <c r="K94" s="17"/>
      <c r="L94" s="17">
        <f t="shared" si="1"/>
        <v>4.7155271935544418E-2</v>
      </c>
      <c r="M94" s="17">
        <f t="shared" ref="M94:N94" si="92">IFERROR(F94/I94,"")</f>
        <v>5.5327552878938001E-2</v>
      </c>
      <c r="N94" s="17">
        <f t="shared" si="92"/>
        <v>4.689073491422726E-2</v>
      </c>
      <c r="O94" s="44"/>
    </row>
    <row r="95" spans="1:15" ht="15.75" hidden="1" customHeight="1">
      <c r="A95" s="7" t="s">
        <v>483</v>
      </c>
      <c r="B95" s="7" t="s">
        <v>484</v>
      </c>
      <c r="C95" s="44" t="str">
        <f>IF('BD Comp'!C95=1,IF(AND(M95&gt;=$F$1,N95&gt;=$F$1),1,""),"")</f>
        <v/>
      </c>
      <c r="D95" s="44" t="str">
        <f t="shared" si="0"/>
        <v>C001143</v>
      </c>
      <c r="E95" s="72">
        <f>VLOOKUP($D95,'FERC 2021'!$EA$3:$ER$221,18,0)</f>
        <v>523501.15736040659</v>
      </c>
      <c r="F95" s="72">
        <f>IFERROR(VLOOKUP($D95,'FERC 2022'!$EA$3:$ER$220,18,0),"")</f>
        <v>529969.74111675099</v>
      </c>
      <c r="G95" s="72">
        <f>IFERROR(VLOOKUP($D95,'FERC 2023'!$EA$3:$ER$221,18,0),"")</f>
        <v>516739.55329949223</v>
      </c>
      <c r="H95" s="72">
        <f>VLOOKUP($D95,'FERC 2021'!$EA$3:$EN$221,11,0)</f>
        <v>28597601.157360405</v>
      </c>
      <c r="I95" s="72">
        <f>IFERROR(VLOOKUP($D95,'FERC 2022'!$EA$3:$EN$220,11,0),"")</f>
        <v>29819624.741116751</v>
      </c>
      <c r="J95" s="72">
        <f>IFERROR(VLOOKUP($D95,'FERC 2023'!$EA$3:$EN$221,11,0),"")</f>
        <v>30191897.553299494</v>
      </c>
      <c r="K95" s="17"/>
      <c r="L95" s="17">
        <f t="shared" si="1"/>
        <v>1.8305771679232918E-2</v>
      </c>
      <c r="M95" s="17">
        <f t="shared" ref="M95:N95" si="93">IFERROR(F95/I95,"")</f>
        <v>1.777251543967295E-2</v>
      </c>
      <c r="N95" s="17">
        <f t="shared" si="93"/>
        <v>1.7115173115146612E-2</v>
      </c>
      <c r="O95" s="44"/>
    </row>
    <row r="96" spans="1:15" ht="15.75" hidden="1" customHeight="1">
      <c r="A96" s="7" t="s">
        <v>486</v>
      </c>
      <c r="B96" s="7" t="s">
        <v>487</v>
      </c>
      <c r="C96" s="44" t="str">
        <f>IF('BD Comp'!C96=1,IF(AND(M96&gt;=$F$1,N96&gt;=$F$1),1,""),"")</f>
        <v/>
      </c>
      <c r="D96" s="44" t="str">
        <f t="shared" si="0"/>
        <v>C001153</v>
      </c>
      <c r="E96" s="72" t="str">
        <f>VLOOKUP($D96,'FERC 2021'!$EA$3:$ER$221,18,0)</f>
        <v/>
      </c>
      <c r="F96" s="72" t="str">
        <f>IFERROR(VLOOKUP($D96,'FERC 2022'!$EA$3:$ER$220,18,0),"")</f>
        <v/>
      </c>
      <c r="G96" s="72" t="str">
        <f>IFERROR(VLOOKUP($D96,'FERC 2023'!$EA$3:$ER$221,18,0),"")</f>
        <v/>
      </c>
      <c r="H96" s="72" t="str">
        <f>VLOOKUP($D96,'FERC 2021'!$EA$3:$EN$221,11,0)</f>
        <v/>
      </c>
      <c r="I96" s="72" t="str">
        <f>IFERROR(VLOOKUP($D96,'FERC 2022'!$EA$3:$EN$220,11,0),"")</f>
        <v/>
      </c>
      <c r="J96" s="72" t="str">
        <f>IFERROR(VLOOKUP($D96,'FERC 2023'!$EA$3:$EN$221,11,0),"")</f>
        <v/>
      </c>
      <c r="K96" s="17"/>
      <c r="L96" s="17" t="e">
        <f t="shared" si="1"/>
        <v>#VALUE!</v>
      </c>
      <c r="M96" s="17" t="str">
        <f t="shared" ref="M96:N96" si="94">IFERROR(F96/I96,"")</f>
        <v/>
      </c>
      <c r="N96" s="17" t="str">
        <f t="shared" si="94"/>
        <v/>
      </c>
      <c r="O96" s="44"/>
    </row>
    <row r="97" spans="1:15" ht="15.75" hidden="1" customHeight="1">
      <c r="A97" s="7" t="s">
        <v>490</v>
      </c>
      <c r="B97" s="7" t="s">
        <v>491</v>
      </c>
      <c r="C97" s="44" t="str">
        <f>IF('BD Comp'!C97=1,IF(AND(M97&gt;=$F$1,N97&gt;=$F$1),1,""),"")</f>
        <v/>
      </c>
      <c r="D97" s="44" t="str">
        <f t="shared" si="0"/>
        <v>C001181</v>
      </c>
      <c r="E97" s="72">
        <f>VLOOKUP($D97,'FERC 2021'!$EA$3:$ER$221,18,0)</f>
        <v>727924.28426395915</v>
      </c>
      <c r="F97" s="72">
        <f>IFERROR(VLOOKUP($D97,'FERC 2022'!$EA$3:$ER$220,18,0),"")</f>
        <v>158228.67512690369</v>
      </c>
      <c r="G97" s="72">
        <f>IFERROR(VLOOKUP($D97,'FERC 2023'!$EA$3:$ER$221,18,0),"")</f>
        <v>438954.41116751265</v>
      </c>
      <c r="H97" s="72">
        <f>VLOOKUP($D97,'FERC 2021'!$EA$3:$EN$221,11,0)</f>
        <v>15269961.284263959</v>
      </c>
      <c r="I97" s="72">
        <f>IFERROR(VLOOKUP($D97,'FERC 2022'!$EA$3:$EN$220,11,0),"")</f>
        <v>15126915.675126903</v>
      </c>
      <c r="J97" s="72">
        <f>IFERROR(VLOOKUP($D97,'FERC 2023'!$EA$3:$EN$221,11,0),"")</f>
        <v>15027008.411167514</v>
      </c>
      <c r="K97" s="17"/>
      <c r="L97" s="17">
        <f t="shared" si="1"/>
        <v>4.7670342492230261E-2</v>
      </c>
      <c r="M97" s="17">
        <f t="shared" ref="M97:N97" si="95">IFERROR(F97/I97,"")</f>
        <v>1.046007517494648E-2</v>
      </c>
      <c r="N97" s="17">
        <f t="shared" si="95"/>
        <v>2.9211031175127182E-2</v>
      </c>
      <c r="O97" s="44"/>
    </row>
    <row r="98" spans="1:15" ht="15.75" hidden="1" customHeight="1">
      <c r="A98" s="7" t="s">
        <v>493</v>
      </c>
      <c r="B98" s="7" t="s">
        <v>494</v>
      </c>
      <c r="C98" s="44" t="str">
        <f>IF('BD Comp'!C98=1,IF(AND(M98&gt;=$F$1,N98&gt;=$F$1),1,""),"")</f>
        <v/>
      </c>
      <c r="D98" s="44" t="str">
        <f t="shared" si="0"/>
        <v>C001182</v>
      </c>
      <c r="E98" s="72" t="str">
        <f>VLOOKUP($D98,'FERC 2021'!$EA$3:$ER$221,18,0)</f>
        <v/>
      </c>
      <c r="F98" s="72">
        <f>IFERROR(VLOOKUP($D98,'FERC 2022'!$EA$3:$ER$220,18,0),"")</f>
        <v>480738.65989847714</v>
      </c>
      <c r="G98" s="72">
        <f>IFERROR(VLOOKUP($D98,'FERC 2023'!$EA$3:$ER$221,18,0),"")</f>
        <v>195857.73604060913</v>
      </c>
      <c r="H98" s="72" t="str">
        <f>VLOOKUP($D98,'FERC 2021'!$EA$3:$EN$221,11,0)</f>
        <v/>
      </c>
      <c r="I98" s="72">
        <f>IFERROR(VLOOKUP($D98,'FERC 2022'!$EA$3:$EN$220,11,0),"")</f>
        <v>9147445.6598984767</v>
      </c>
      <c r="J98" s="72">
        <f>IFERROR(VLOOKUP($D98,'FERC 2023'!$EA$3:$EN$221,11,0),"")</f>
        <v>8656343.736040609</v>
      </c>
      <c r="K98" s="17"/>
      <c r="L98" s="17" t="e">
        <f t="shared" si="1"/>
        <v>#VALUE!</v>
      </c>
      <c r="M98" s="17">
        <f t="shared" ref="M98:N98" si="96">IFERROR(F98/I98,"")</f>
        <v>5.2554415491746428E-2</v>
      </c>
      <c r="N98" s="17">
        <f t="shared" si="96"/>
        <v>2.2625919442773191E-2</v>
      </c>
      <c r="O98" s="44"/>
    </row>
    <row r="99" spans="1:15" ht="15.75" hidden="1" customHeight="1">
      <c r="A99" s="7" t="s">
        <v>496</v>
      </c>
      <c r="B99" s="7" t="s">
        <v>497</v>
      </c>
      <c r="C99" s="44" t="str">
        <f>IF('BD Comp'!C99=1,IF(AND(M99&gt;=$F$1,N99&gt;=$F$1),1,""),"")</f>
        <v/>
      </c>
      <c r="D99" s="44" t="str">
        <f t="shared" si="0"/>
        <v>C001183</v>
      </c>
      <c r="E99" s="72" t="str">
        <f>VLOOKUP($D99,'FERC 2021'!$EA$3:$ER$221,18,0)</f>
        <v/>
      </c>
      <c r="F99" s="72" t="str">
        <f>IFERROR(VLOOKUP($D99,'FERC 2022'!$EA$3:$ER$220,18,0),"")</f>
        <v/>
      </c>
      <c r="G99" s="72" t="str">
        <f>IFERROR(VLOOKUP($D99,'FERC 2023'!$EA$3:$ER$221,18,0),"")</f>
        <v/>
      </c>
      <c r="H99" s="72" t="str">
        <f>VLOOKUP($D99,'FERC 2021'!$EA$3:$EN$221,11,0)</f>
        <v/>
      </c>
      <c r="I99" s="72" t="str">
        <f>IFERROR(VLOOKUP($D99,'FERC 2022'!$EA$3:$EN$220,11,0),"")</f>
        <v/>
      </c>
      <c r="J99" s="72" t="str">
        <f>IFERROR(VLOOKUP($D99,'FERC 2023'!$EA$3:$EN$221,11,0),"")</f>
        <v/>
      </c>
      <c r="K99" s="17"/>
      <c r="L99" s="17" t="e">
        <f t="shared" si="1"/>
        <v>#VALUE!</v>
      </c>
      <c r="M99" s="17" t="str">
        <f t="shared" ref="M99:N99" si="97">IFERROR(F99/I99,"")</f>
        <v/>
      </c>
      <c r="N99" s="17" t="str">
        <f t="shared" si="97"/>
        <v/>
      </c>
      <c r="O99" s="44"/>
    </row>
    <row r="100" spans="1:15" ht="15.75" hidden="1" customHeight="1">
      <c r="A100" s="7" t="s">
        <v>499</v>
      </c>
      <c r="B100" s="7" t="s">
        <v>500</v>
      </c>
      <c r="C100" s="44" t="str">
        <f>IF('BD Comp'!C100=1,IF(AND(M100&gt;=$F$1,N100&gt;=$F$1),1,""),"")</f>
        <v/>
      </c>
      <c r="D100" s="44" t="str">
        <f t="shared" si="0"/>
        <v>C001184</v>
      </c>
      <c r="E100" s="72">
        <f>VLOOKUP($D100,'FERC 2021'!$EA$3:$ER$221,18,0)</f>
        <v>726425.18781725876</v>
      </c>
      <c r="F100" s="72">
        <f>IFERROR(VLOOKUP($D100,'FERC 2022'!$EA$3:$ER$220,18,0),"")</f>
        <v>789849.24873096403</v>
      </c>
      <c r="G100" s="72">
        <f>IFERROR(VLOOKUP($D100,'FERC 2023'!$EA$3:$ER$221,18,0),"")</f>
        <v>669037.756345178</v>
      </c>
      <c r="H100" s="72">
        <f>VLOOKUP($D100,'FERC 2021'!$EA$3:$EN$221,11,0)</f>
        <v>9444172.1878172588</v>
      </c>
      <c r="I100" s="72">
        <f>IFERROR(VLOOKUP($D100,'FERC 2022'!$EA$3:$EN$220,11,0),"")</f>
        <v>9599586.248730965</v>
      </c>
      <c r="J100" s="72">
        <f>IFERROR(VLOOKUP($D100,'FERC 2023'!$EA$3:$EN$221,11,0),"")</f>
        <v>9622723.7563451789</v>
      </c>
      <c r="K100" s="17"/>
      <c r="L100" s="17">
        <f t="shared" si="1"/>
        <v>7.6917825445233692E-2</v>
      </c>
      <c r="M100" s="17">
        <f t="shared" ref="M100:N100" si="98">IFERROR(F100/I100,"")</f>
        <v>8.2279509581507176E-2</v>
      </c>
      <c r="N100" s="17">
        <f t="shared" si="98"/>
        <v>6.9526858848464573E-2</v>
      </c>
      <c r="O100" s="44"/>
    </row>
    <row r="101" spans="1:15" ht="15.75" hidden="1" customHeight="1">
      <c r="A101" s="7" t="s">
        <v>502</v>
      </c>
      <c r="B101" s="7" t="s">
        <v>503</v>
      </c>
      <c r="C101" s="44" t="str">
        <f>IF('BD Comp'!C101=1,IF(AND(M101&gt;=$F$1,N101&gt;=$F$1),1,""),"")</f>
        <v/>
      </c>
      <c r="D101" s="44" t="str">
        <f t="shared" si="0"/>
        <v>C001187</v>
      </c>
      <c r="E101" s="72">
        <f>VLOOKUP($D101,'FERC 2021'!$EA$3:$ER$221,18,0)</f>
        <v>162140.22842639592</v>
      </c>
      <c r="F101" s="72">
        <f>IFERROR(VLOOKUP($D101,'FERC 2022'!$EA$3:$ER$220,18,0),"")</f>
        <v>46021.472081218264</v>
      </c>
      <c r="G101" s="72">
        <f>IFERROR(VLOOKUP($D101,'FERC 2023'!$EA$3:$ER$221,18,0),"")</f>
        <v>11544.771573604085</v>
      </c>
      <c r="H101" s="72">
        <f>VLOOKUP($D101,'FERC 2021'!$EA$3:$EN$221,11,0)</f>
        <v>2002981.2284263959</v>
      </c>
      <c r="I101" s="72">
        <f>IFERROR(VLOOKUP($D101,'FERC 2022'!$EA$3:$EN$220,11,0),"")</f>
        <v>1893516.4720812184</v>
      </c>
      <c r="J101" s="72">
        <f>IFERROR(VLOOKUP($D101,'FERC 2023'!$EA$3:$EN$221,11,0),"")</f>
        <v>1843968.7715736041</v>
      </c>
      <c r="K101" s="17"/>
      <c r="L101" s="17">
        <f t="shared" si="1"/>
        <v>8.0949449812756508E-2</v>
      </c>
      <c r="M101" s="17">
        <f t="shared" ref="M101:N101" si="99">IFERROR(F101/I101,"")</f>
        <v>2.4304764579436026E-2</v>
      </c>
      <c r="N101" s="17">
        <f t="shared" si="99"/>
        <v>6.2608281395958891E-3</v>
      </c>
      <c r="O101" s="44"/>
    </row>
    <row r="102" spans="1:15" ht="15.75" hidden="1" customHeight="1">
      <c r="A102" s="7" t="s">
        <v>505</v>
      </c>
      <c r="B102" s="7" t="s">
        <v>506</v>
      </c>
      <c r="C102" s="44" t="str">
        <f>IF('BD Comp'!C102=1,IF(AND(M102&gt;=$F$1,N102&gt;=$F$1),1,""),"")</f>
        <v/>
      </c>
      <c r="D102" s="44" t="str">
        <f t="shared" si="0"/>
        <v>C001188</v>
      </c>
      <c r="E102" s="72" t="str">
        <f>VLOOKUP($D102,'FERC 2021'!$EA$3:$ER$221,18,0)</f>
        <v/>
      </c>
      <c r="F102" s="72" t="str">
        <f>IFERROR(VLOOKUP($D102,'FERC 2022'!$EA$3:$ER$220,18,0),"")</f>
        <v/>
      </c>
      <c r="G102" s="72" t="str">
        <f>IFERROR(VLOOKUP($D102,'FERC 2023'!$EA$3:$ER$221,18,0),"")</f>
        <v/>
      </c>
      <c r="H102" s="72" t="str">
        <f>VLOOKUP($D102,'FERC 2021'!$EA$3:$EN$221,11,0)</f>
        <v/>
      </c>
      <c r="I102" s="72" t="str">
        <f>IFERROR(VLOOKUP($D102,'FERC 2022'!$EA$3:$EN$220,11,0),"")</f>
        <v/>
      </c>
      <c r="J102" s="72" t="str">
        <f>IFERROR(VLOOKUP($D102,'FERC 2023'!$EA$3:$EN$221,11,0),"")</f>
        <v/>
      </c>
      <c r="K102" s="17"/>
      <c r="L102" s="17" t="e">
        <f t="shared" si="1"/>
        <v>#VALUE!</v>
      </c>
      <c r="M102" s="17" t="str">
        <f t="shared" ref="M102:N102" si="100">IFERROR(F102/I102,"")</f>
        <v/>
      </c>
      <c r="N102" s="17" t="str">
        <f t="shared" si="100"/>
        <v/>
      </c>
      <c r="O102" s="44"/>
    </row>
    <row r="103" spans="1:15" ht="15.75" hidden="1" customHeight="1">
      <c r="A103" s="7" t="s">
        <v>508</v>
      </c>
      <c r="B103" s="7" t="s">
        <v>509</v>
      </c>
      <c r="C103" s="44" t="str">
        <f>IF('BD Comp'!C103=1,IF(AND(M103&gt;=$F$1,N103&gt;=$F$1),1,""),"")</f>
        <v/>
      </c>
      <c r="D103" s="44" t="str">
        <f t="shared" si="0"/>
        <v>C001194</v>
      </c>
      <c r="E103" s="72">
        <f>VLOOKUP($D103,'FERC 2021'!$EA$3:$ER$221,18,0)</f>
        <v>1181117.6497461929</v>
      </c>
      <c r="F103" s="72">
        <f>IFERROR(VLOOKUP($D103,'FERC 2022'!$EA$3:$ER$220,18,0),"")</f>
        <v>1021257.5076142132</v>
      </c>
      <c r="G103" s="72">
        <f>IFERROR(VLOOKUP($D103,'FERC 2023'!$EA$3:$ER$221,18,0),"")</f>
        <v>2057732.1269035533</v>
      </c>
      <c r="H103" s="72">
        <f>VLOOKUP($D103,'FERC 2021'!$EA$3:$EN$221,11,0)</f>
        <v>41352223.649746194</v>
      </c>
      <c r="I103" s="72">
        <f>IFERROR(VLOOKUP($D103,'FERC 2022'!$EA$3:$EN$220,11,0),"")</f>
        <v>41845191.50761421</v>
      </c>
      <c r="J103" s="72">
        <f>IFERROR(VLOOKUP($D103,'FERC 2023'!$EA$3:$EN$221,11,0),"")</f>
        <v>41150570.126903556</v>
      </c>
      <c r="K103" s="17"/>
      <c r="L103" s="17">
        <f t="shared" si="1"/>
        <v>2.8562373326045845E-2</v>
      </c>
      <c r="M103" s="17">
        <f t="shared" ref="M103:N103" si="101">IFERROR(F103/I103,"")</f>
        <v>2.4405611990768013E-2</v>
      </c>
      <c r="N103" s="17">
        <f t="shared" si="101"/>
        <v>5.0004948183166052E-2</v>
      </c>
      <c r="O103" s="44"/>
    </row>
    <row r="104" spans="1:15" ht="15.75" hidden="1" customHeight="1">
      <c r="A104" s="7" t="s">
        <v>511</v>
      </c>
      <c r="B104" s="7" t="s">
        <v>512</v>
      </c>
      <c r="C104" s="53"/>
      <c r="D104" s="44" t="str">
        <f t="shared" si="0"/>
        <v>C001218</v>
      </c>
      <c r="E104" s="72">
        <f>VLOOKUP($D104,'FERC 2021'!$EA$3:$ER$221,18,0)</f>
        <v>997139.37563451752</v>
      </c>
      <c r="F104" s="72">
        <f>IFERROR(VLOOKUP($D104,'FERC 2022'!$EA$3:$ER$220,18,0),"")</f>
        <v>1946892.1218274115</v>
      </c>
      <c r="G104" s="72">
        <f>IFERROR(VLOOKUP($D104,'FERC 2023'!$EA$3:$ER$221,18,0),"")</f>
        <v>1971207.3197969543</v>
      </c>
      <c r="H104" s="72">
        <f>VLOOKUP($D104,'FERC 2021'!$EA$3:$EN$221,11,0)</f>
        <v>10160171.375634518</v>
      </c>
      <c r="I104" s="72">
        <f>IFERROR(VLOOKUP($D104,'FERC 2022'!$EA$3:$EN$220,11,0),"")</f>
        <v>11463926.121827412</v>
      </c>
      <c r="J104" s="72">
        <f>IFERROR(VLOOKUP($D104,'FERC 2023'!$EA$3:$EN$221,11,0),"")</f>
        <v>11638226.319796953</v>
      </c>
      <c r="K104" s="17"/>
      <c r="L104" s="17">
        <f t="shared" si="1"/>
        <v>9.8141983906471733E-2</v>
      </c>
      <c r="M104" s="56">
        <f t="shared" ref="M104:N104" si="102">IFERROR(F104/I104,"")</f>
        <v>0.16982769263668862</v>
      </c>
      <c r="N104" s="56">
        <f t="shared" si="102"/>
        <v>0.16937351668818079</v>
      </c>
      <c r="O104" s="44" t="s">
        <v>1650</v>
      </c>
    </row>
    <row r="105" spans="1:15" ht="15.75" hidden="1" customHeight="1">
      <c r="A105" s="7" t="s">
        <v>514</v>
      </c>
      <c r="B105" s="7" t="s">
        <v>515</v>
      </c>
      <c r="C105" s="44" t="str">
        <f>IF('BD Comp'!C105=1,IF(AND(M105&gt;=$F$1,N105&gt;=$F$1),1,""),"")</f>
        <v/>
      </c>
      <c r="D105" s="44" t="str">
        <f t="shared" si="0"/>
        <v>C001221</v>
      </c>
      <c r="E105" s="72">
        <f>VLOOKUP($D105,'FERC 2021'!$EA$3:$ER$221,18,0)</f>
        <v>14142.025380710656</v>
      </c>
      <c r="F105" s="72">
        <f>IFERROR(VLOOKUP($D105,'FERC 2022'!$EA$3:$ER$220,18,0),"")</f>
        <v>21885.710659898476</v>
      </c>
      <c r="G105" s="72">
        <f>IFERROR(VLOOKUP($D105,'FERC 2023'!$EA$3:$ER$221,18,0),"")</f>
        <v>34637.918781725886</v>
      </c>
      <c r="H105" s="72">
        <f>VLOOKUP($D105,'FERC 2021'!$EA$3:$EN$221,11,0)</f>
        <v>187442.02538071066</v>
      </c>
      <c r="I105" s="72">
        <f>IFERROR(VLOOKUP($D105,'FERC 2022'!$EA$3:$EN$220,11,0),"")</f>
        <v>187684.71065989847</v>
      </c>
      <c r="J105" s="72">
        <f>IFERROR(VLOOKUP($D105,'FERC 2023'!$EA$3:$EN$221,11,0),"")</f>
        <v>112855.91878172589</v>
      </c>
      <c r="K105" s="17"/>
      <c r="L105" s="17">
        <f t="shared" si="1"/>
        <v>7.5447463566332057E-2</v>
      </c>
      <c r="M105" s="17">
        <f t="shared" ref="M105:N105" si="103">IFERROR(F105/I105,"")</f>
        <v>0.11660891600039465</v>
      </c>
      <c r="N105" s="17">
        <f t="shared" si="103"/>
        <v>0.3069215966308238</v>
      </c>
      <c r="O105" s="44"/>
    </row>
    <row r="106" spans="1:15" ht="15.75" hidden="1" customHeight="1">
      <c r="A106" s="7" t="s">
        <v>517</v>
      </c>
      <c r="B106" s="7" t="s">
        <v>518</v>
      </c>
      <c r="C106" s="44" t="str">
        <f>IF('BD Comp'!C106=1,IF(AND(M106&gt;=$F$1,N106&gt;=$F$1),1,""),"")</f>
        <v/>
      </c>
      <c r="D106" s="44" t="str">
        <f t="shared" si="0"/>
        <v>C001222</v>
      </c>
      <c r="E106" s="72">
        <f>VLOOKUP($D106,'FERC 2021'!$EA$3:$ER$221,18,0)</f>
        <v>49744.791878172589</v>
      </c>
      <c r="F106" s="72">
        <f>IFERROR(VLOOKUP($D106,'FERC 2022'!$EA$3:$ER$220,18,0),"")</f>
        <v>38557.335025380715</v>
      </c>
      <c r="G106" s="72">
        <f>IFERROR(VLOOKUP($D106,'FERC 2023'!$EA$3:$ER$221,18,0),"")</f>
        <v>22538.776649746185</v>
      </c>
      <c r="H106" s="72">
        <f>VLOOKUP($D106,'FERC 2021'!$EA$3:$EN$221,11,0)</f>
        <v>749765.79187817255</v>
      </c>
      <c r="I106" s="72">
        <f>IFERROR(VLOOKUP($D106,'FERC 2022'!$EA$3:$EN$220,11,0),"")</f>
        <v>721855.33502538071</v>
      </c>
      <c r="J106" s="72">
        <f>IFERROR(VLOOKUP($D106,'FERC 2023'!$EA$3:$EN$221,11,0),"")</f>
        <v>586640.77664974623</v>
      </c>
      <c r="K106" s="17"/>
      <c r="L106" s="17">
        <f t="shared" si="1"/>
        <v>6.6347107879597009E-2</v>
      </c>
      <c r="M106" s="17">
        <f t="shared" ref="M106:N106" si="104">IFERROR(F106/I106,"")</f>
        <v>5.34142135612602E-2</v>
      </c>
      <c r="N106" s="17">
        <f t="shared" si="104"/>
        <v>3.8420064794103051E-2</v>
      </c>
      <c r="O106" s="44"/>
    </row>
    <row r="107" spans="1:15" ht="15.75" hidden="1" customHeight="1">
      <c r="A107" s="7" t="s">
        <v>520</v>
      </c>
      <c r="B107" s="7" t="s">
        <v>521</v>
      </c>
      <c r="C107" s="44" t="str">
        <f>IF('BD Comp'!C107=1,IF(AND(M107&gt;=$F$1,N107&gt;=$F$1),1,""),"")</f>
        <v/>
      </c>
      <c r="D107" s="44" t="str">
        <f t="shared" si="0"/>
        <v>C001230</v>
      </c>
      <c r="E107" s="72">
        <f>VLOOKUP($D107,'FERC 2021'!$EA$3:$ER$221,18,0)</f>
        <v>2305372.6598984771</v>
      </c>
      <c r="F107" s="72">
        <f>IFERROR(VLOOKUP($D107,'FERC 2022'!$EA$3:$ER$220,18,0),"")</f>
        <v>2318786.8680203045</v>
      </c>
      <c r="G107" s="72">
        <f>IFERROR(VLOOKUP($D107,'FERC 2023'!$EA$3:$ER$221,18,0),"")</f>
        <v>2259302.5634517767</v>
      </c>
      <c r="H107" s="72">
        <f>VLOOKUP($D107,'FERC 2021'!$EA$3:$EN$221,11,0)</f>
        <v>39303176.659898475</v>
      </c>
      <c r="I107" s="72">
        <f>IFERROR(VLOOKUP($D107,'FERC 2022'!$EA$3:$EN$220,11,0),"")</f>
        <v>39904322.868020304</v>
      </c>
      <c r="J107" s="72">
        <f>IFERROR(VLOOKUP($D107,'FERC 2023'!$EA$3:$EN$221,11,0),"")</f>
        <v>37955774.563451774</v>
      </c>
      <c r="K107" s="17"/>
      <c r="L107" s="17">
        <f t="shared" si="1"/>
        <v>5.8656140694364735E-2</v>
      </c>
      <c r="M107" s="17">
        <f t="shared" ref="M107:N107" si="105">IFERROR(F107/I107,"")</f>
        <v>5.8108663457076271E-2</v>
      </c>
      <c r="N107" s="17">
        <f t="shared" si="105"/>
        <v>5.9524606978441051E-2</v>
      </c>
      <c r="O107" s="44"/>
    </row>
    <row r="108" spans="1:15" ht="15.75" hidden="1" customHeight="1">
      <c r="A108" s="7" t="s">
        <v>523</v>
      </c>
      <c r="B108" s="7" t="s">
        <v>524</v>
      </c>
      <c r="C108" s="44" t="str">
        <f>IF('BD Comp'!C108=1,IF(AND(M108&gt;=$F$1,N108&gt;=$F$1),1,""),"")</f>
        <v/>
      </c>
      <c r="D108" s="44" t="str">
        <f t="shared" si="0"/>
        <v>C001245</v>
      </c>
      <c r="E108" s="72" t="str">
        <f>VLOOKUP($D108,'FERC 2021'!$EA$3:$ER$221,18,0)</f>
        <v/>
      </c>
      <c r="F108" s="72" t="str">
        <f>IFERROR(VLOOKUP($D108,'FERC 2022'!$EA$3:$ER$220,18,0),"")</f>
        <v/>
      </c>
      <c r="G108" s="72" t="str">
        <f>IFERROR(VLOOKUP($D108,'FERC 2023'!$EA$3:$ER$221,18,0),"")</f>
        <v/>
      </c>
      <c r="H108" s="72" t="str">
        <f>VLOOKUP($D108,'FERC 2021'!$EA$3:$EN$221,11,0)</f>
        <v/>
      </c>
      <c r="I108" s="72" t="str">
        <f>IFERROR(VLOOKUP($D108,'FERC 2022'!$EA$3:$EN$220,11,0),"")</f>
        <v/>
      </c>
      <c r="J108" s="72" t="str">
        <f>IFERROR(VLOOKUP($D108,'FERC 2023'!$EA$3:$EN$221,11,0),"")</f>
        <v/>
      </c>
      <c r="K108" s="17"/>
      <c r="L108" s="17" t="e">
        <f t="shared" si="1"/>
        <v>#VALUE!</v>
      </c>
      <c r="M108" s="17" t="str">
        <f t="shared" ref="M108:N108" si="106">IFERROR(F108/I108,"")</f>
        <v/>
      </c>
      <c r="N108" s="17" t="str">
        <f t="shared" si="106"/>
        <v/>
      </c>
      <c r="O108" s="44"/>
    </row>
    <row r="109" spans="1:15" ht="15.75" hidden="1" customHeight="1">
      <c r="A109" s="7" t="s">
        <v>526</v>
      </c>
      <c r="B109" s="7" t="s">
        <v>527</v>
      </c>
      <c r="C109" s="44" t="str">
        <f>IF('BD Comp'!C109=1,IF(AND(M109&gt;=$F$1,N109&gt;=$F$1),1,""),"")</f>
        <v/>
      </c>
      <c r="D109" s="44" t="str">
        <f t="shared" si="0"/>
        <v>C001252</v>
      </c>
      <c r="E109" s="72" t="str">
        <f>VLOOKUP($D109,'FERC 2021'!$EA$3:$ER$221,18,0)</f>
        <v/>
      </c>
      <c r="F109" s="72" t="str">
        <f>IFERROR(VLOOKUP($D109,'FERC 2022'!$EA$3:$ER$220,18,0),"")</f>
        <v/>
      </c>
      <c r="G109" s="72" t="str">
        <f>IFERROR(VLOOKUP($D109,'FERC 2023'!$EA$3:$ER$221,18,0),"")</f>
        <v/>
      </c>
      <c r="H109" s="72" t="str">
        <f>VLOOKUP($D109,'FERC 2021'!$EA$3:$EN$221,11,0)</f>
        <v/>
      </c>
      <c r="I109" s="72" t="str">
        <f>IFERROR(VLOOKUP($D109,'FERC 2022'!$EA$3:$EN$220,11,0),"")</f>
        <v/>
      </c>
      <c r="J109" s="72" t="str">
        <f>IFERROR(VLOOKUP($D109,'FERC 2023'!$EA$3:$EN$221,11,0),"")</f>
        <v/>
      </c>
      <c r="K109" s="17"/>
      <c r="L109" s="17" t="e">
        <f t="shared" si="1"/>
        <v>#VALUE!</v>
      </c>
      <c r="M109" s="17" t="str">
        <f t="shared" ref="M109:N109" si="107">IFERROR(F109/I109,"")</f>
        <v/>
      </c>
      <c r="N109" s="17" t="str">
        <f t="shared" si="107"/>
        <v/>
      </c>
      <c r="O109" s="44"/>
    </row>
    <row r="110" spans="1:15" ht="15.75" hidden="1" customHeight="1">
      <c r="A110" s="7" t="s">
        <v>529</v>
      </c>
      <c r="B110" s="7" t="s">
        <v>530</v>
      </c>
      <c r="C110" s="44" t="str">
        <f>IF('BD Comp'!C110=1,IF(AND(M110&gt;=$F$1,N110&gt;=$F$1),1,""),"")</f>
        <v/>
      </c>
      <c r="D110" s="44" t="str">
        <f t="shared" si="0"/>
        <v>C001257</v>
      </c>
      <c r="E110" s="72">
        <f>VLOOKUP($D110,'FERC 2021'!$EA$3:$ER$221,18,0)</f>
        <v>1791406.4822335024</v>
      </c>
      <c r="F110" s="72" t="str">
        <f>IFERROR(VLOOKUP($D110,'FERC 2022'!$EA$3:$ER$220,18,0),"")</f>
        <v/>
      </c>
      <c r="G110" s="72" t="str">
        <f>IFERROR(VLOOKUP($D110,'FERC 2023'!$EA$3:$ER$221,18,0),"")</f>
        <v/>
      </c>
      <c r="H110" s="72">
        <f>VLOOKUP($D110,'FERC 2021'!$EA$3:$EN$221,11,0)</f>
        <v>24518113.482233502</v>
      </c>
      <c r="I110" s="72" t="str">
        <f>IFERROR(VLOOKUP($D110,'FERC 2022'!$EA$3:$EN$220,11,0),"")</f>
        <v/>
      </c>
      <c r="J110" s="72" t="str">
        <f>IFERROR(VLOOKUP($D110,'FERC 2023'!$EA$3:$EN$221,11,0),"")</f>
        <v/>
      </c>
      <c r="K110" s="17"/>
      <c r="L110" s="17">
        <f t="shared" si="1"/>
        <v>7.3064613373765672E-2</v>
      </c>
      <c r="M110" s="17" t="str">
        <f t="shared" ref="M110:N110" si="108">IFERROR(F110/I110,"")</f>
        <v/>
      </c>
      <c r="N110" s="17" t="str">
        <f t="shared" si="108"/>
        <v/>
      </c>
      <c r="O110" s="44"/>
    </row>
    <row r="111" spans="1:15" ht="15.75" hidden="1" customHeight="1">
      <c r="A111" s="7" t="s">
        <v>532</v>
      </c>
      <c r="B111" s="7" t="s">
        <v>533</v>
      </c>
      <c r="C111" s="44" t="str">
        <f>IF('BD Comp'!C111=1,IF(AND(M111&gt;=$F$1,N111&gt;=$F$1),1,""),"")</f>
        <v/>
      </c>
      <c r="D111" s="44" t="str">
        <f t="shared" si="0"/>
        <v>C001288</v>
      </c>
      <c r="E111" s="72">
        <f>VLOOKUP($D111,'FERC 2021'!$EA$3:$ER$221,18,0)</f>
        <v>25948.050761421327</v>
      </c>
      <c r="F111" s="72">
        <f>IFERROR(VLOOKUP($D111,'FERC 2022'!$EA$3:$ER$220,18,0),"")</f>
        <v>222168.08629441622</v>
      </c>
      <c r="G111" s="72">
        <f>IFERROR(VLOOKUP($D111,'FERC 2023'!$EA$3:$ER$221,18,0),"")</f>
        <v>112117.53299492388</v>
      </c>
      <c r="H111" s="72">
        <f>VLOOKUP($D111,'FERC 2021'!$EA$3:$EN$221,11,0)</f>
        <v>4815827.0507614212</v>
      </c>
      <c r="I111" s="72">
        <f>IFERROR(VLOOKUP($D111,'FERC 2022'!$EA$3:$EN$220,11,0),"")</f>
        <v>5814536.0862944163</v>
      </c>
      <c r="J111" s="72">
        <f>IFERROR(VLOOKUP($D111,'FERC 2023'!$EA$3:$EN$221,11,0),"")</f>
        <v>5884332.5329949241</v>
      </c>
      <c r="K111" s="17"/>
      <c r="L111" s="17">
        <f t="shared" si="1"/>
        <v>5.3880777876603213E-3</v>
      </c>
      <c r="M111" s="17">
        <f t="shared" ref="M111:N111" si="109">IFERROR(F111/I111,"")</f>
        <v>3.8209082031169087E-2</v>
      </c>
      <c r="N111" s="17">
        <f t="shared" si="109"/>
        <v>1.9053568500123477E-2</v>
      </c>
      <c r="O111" s="44"/>
    </row>
    <row r="112" spans="1:15" ht="15.75" hidden="1" customHeight="1">
      <c r="A112" s="7" t="s">
        <v>535</v>
      </c>
      <c r="B112" s="7" t="s">
        <v>536</v>
      </c>
      <c r="C112" s="44" t="str">
        <f>IF('BD Comp'!C112=1,IF(AND(M112&gt;=$F$1,N112&gt;=$F$1),1,""),"")</f>
        <v/>
      </c>
      <c r="D112" s="44" t="str">
        <f t="shared" si="0"/>
        <v>C001298</v>
      </c>
      <c r="E112" s="72" t="str">
        <f>VLOOKUP($D112,'FERC 2021'!$EA$3:$ER$221,18,0)</f>
        <v/>
      </c>
      <c r="F112" s="72" t="str">
        <f>IFERROR(VLOOKUP($D112,'FERC 2022'!$EA$3:$ER$220,18,0),"")</f>
        <v/>
      </c>
      <c r="G112" s="72" t="str">
        <f>IFERROR(VLOOKUP($D112,'FERC 2023'!$EA$3:$ER$221,18,0),"")</f>
        <v/>
      </c>
      <c r="H112" s="72" t="str">
        <f>VLOOKUP($D112,'FERC 2021'!$EA$3:$EN$221,11,0)</f>
        <v/>
      </c>
      <c r="I112" s="72" t="str">
        <f>IFERROR(VLOOKUP($D112,'FERC 2022'!$EA$3:$EN$220,11,0),"")</f>
        <v/>
      </c>
      <c r="J112" s="72" t="str">
        <f>IFERROR(VLOOKUP($D112,'FERC 2023'!$EA$3:$EN$221,11,0),"")</f>
        <v/>
      </c>
      <c r="K112" s="17"/>
      <c r="L112" s="17" t="e">
        <f t="shared" si="1"/>
        <v>#VALUE!</v>
      </c>
      <c r="M112" s="17" t="str">
        <f t="shared" ref="M112:N112" si="110">IFERROR(F112/I112,"")</f>
        <v/>
      </c>
      <c r="N112" s="17" t="str">
        <f t="shared" si="110"/>
        <v/>
      </c>
      <c r="O112" s="44"/>
    </row>
    <row r="113" spans="1:15" ht="15.75" hidden="1" customHeight="1">
      <c r="A113" s="7" t="s">
        <v>538</v>
      </c>
      <c r="B113" s="7" t="s">
        <v>539</v>
      </c>
      <c r="C113" s="44" t="str">
        <f>IF('BD Comp'!C113=1,IF(AND(M113&gt;=$F$1,N113&gt;=$F$1),1,""),"")</f>
        <v/>
      </c>
      <c r="D113" s="44" t="str">
        <f t="shared" si="0"/>
        <v>C001305</v>
      </c>
      <c r="E113" s="72" t="str">
        <f>VLOOKUP($D113,'FERC 2021'!$EA$3:$ER$221,18,0)</f>
        <v/>
      </c>
      <c r="F113" s="72" t="str">
        <f>IFERROR(VLOOKUP($D113,'FERC 2022'!$EA$3:$ER$220,18,0),"")</f>
        <v/>
      </c>
      <c r="G113" s="72" t="str">
        <f>IFERROR(VLOOKUP($D113,'FERC 2023'!$EA$3:$ER$221,18,0),"")</f>
        <v/>
      </c>
      <c r="H113" s="72" t="str">
        <f>VLOOKUP($D113,'FERC 2021'!$EA$3:$EN$221,11,0)</f>
        <v/>
      </c>
      <c r="I113" s="72" t="str">
        <f>IFERROR(VLOOKUP($D113,'FERC 2022'!$EA$3:$EN$220,11,0),"")</f>
        <v/>
      </c>
      <c r="J113" s="72" t="str">
        <f>IFERROR(VLOOKUP($D113,'FERC 2023'!$EA$3:$EN$221,11,0),"")</f>
        <v/>
      </c>
      <c r="K113" s="17"/>
      <c r="L113" s="17" t="e">
        <f t="shared" si="1"/>
        <v>#VALUE!</v>
      </c>
      <c r="M113" s="17" t="str">
        <f t="shared" ref="M113:N113" si="111">IFERROR(F113/I113,"")</f>
        <v/>
      </c>
      <c r="N113" s="17" t="str">
        <f t="shared" si="111"/>
        <v/>
      </c>
      <c r="O113" s="44"/>
    </row>
    <row r="114" spans="1:15" ht="15.75" hidden="1" customHeight="1">
      <c r="A114" s="7" t="s">
        <v>541</v>
      </c>
      <c r="B114" s="7" t="s">
        <v>542</v>
      </c>
      <c r="C114" s="44" t="str">
        <f>IF('BD Comp'!C114=1,IF(AND(M114&gt;=$F$1,N114&gt;=$F$1),1,""),"")</f>
        <v/>
      </c>
      <c r="D114" s="44" t="str">
        <f t="shared" si="0"/>
        <v>C001306</v>
      </c>
      <c r="E114" s="72" t="str">
        <f>VLOOKUP($D114,'FERC 2021'!$EA$3:$ER$221,18,0)</f>
        <v/>
      </c>
      <c r="F114" s="72" t="str">
        <f>IFERROR(VLOOKUP($D114,'FERC 2022'!$EA$3:$ER$220,18,0),"")</f>
        <v/>
      </c>
      <c r="G114" s="72">
        <f>IFERROR(VLOOKUP($D114,'FERC 2023'!$EA$3:$ER$221,18,0),"")</f>
        <v>1139692.923857868</v>
      </c>
      <c r="H114" s="72" t="str">
        <f>VLOOKUP($D114,'FERC 2021'!$EA$3:$EN$221,11,0)</f>
        <v/>
      </c>
      <c r="I114" s="72" t="str">
        <f>IFERROR(VLOOKUP($D114,'FERC 2022'!$EA$3:$EN$220,11,0),"")</f>
        <v/>
      </c>
      <c r="J114" s="72">
        <f>IFERROR(VLOOKUP($D114,'FERC 2023'!$EA$3:$EN$221,11,0),"")</f>
        <v>16466154.923857868</v>
      </c>
      <c r="K114" s="17"/>
      <c r="L114" s="17" t="e">
        <f t="shared" si="1"/>
        <v>#VALUE!</v>
      </c>
      <c r="M114" s="17" t="str">
        <f t="shared" ref="M114:N114" si="112">IFERROR(F114/I114,"")</f>
        <v/>
      </c>
      <c r="N114" s="17">
        <f t="shared" si="112"/>
        <v>6.9214271888488249E-2</v>
      </c>
      <c r="O114" s="44"/>
    </row>
    <row r="115" spans="1:15" ht="15.75" hidden="1" customHeight="1">
      <c r="A115" s="7" t="s">
        <v>544</v>
      </c>
      <c r="B115" s="7" t="s">
        <v>545</v>
      </c>
      <c r="C115" s="44" t="str">
        <f>IF('BD Comp'!C115=1,IF(AND(M115&gt;=$F$1,N115&gt;=$F$1),1,""),"")</f>
        <v/>
      </c>
      <c r="D115" s="44" t="str">
        <f t="shared" si="0"/>
        <v>C001307</v>
      </c>
      <c r="E115" s="72">
        <f>VLOOKUP($D115,'FERC 2021'!$EA$3:$ER$221,18,0)</f>
        <v>29734.274111675128</v>
      </c>
      <c r="F115" s="72">
        <f>IFERROR(VLOOKUP($D115,'FERC 2022'!$EA$3:$ER$220,18,0),"")</f>
        <v>26728.228426395937</v>
      </c>
      <c r="G115" s="72">
        <f>IFERROR(VLOOKUP($D115,'FERC 2023'!$EA$3:$ER$221,18,0),"")</f>
        <v>11199.598984771574</v>
      </c>
      <c r="H115" s="72">
        <f>VLOOKUP($D115,'FERC 2021'!$EA$3:$EN$221,11,0)</f>
        <v>930825.2741116751</v>
      </c>
      <c r="I115" s="72">
        <f>IFERROR(VLOOKUP($D115,'FERC 2022'!$EA$3:$EN$220,11,0),"")</f>
        <v>915199.22842639592</v>
      </c>
      <c r="J115" s="72">
        <f>IFERROR(VLOOKUP($D115,'FERC 2023'!$EA$3:$EN$221,11,0),"")</f>
        <v>910871.59898477152</v>
      </c>
      <c r="K115" s="17"/>
      <c r="L115" s="17">
        <f t="shared" si="1"/>
        <v>3.1943990927891137E-2</v>
      </c>
      <c r="M115" s="17">
        <f t="shared" ref="M115:N115" si="113">IFERROR(F115/I115,"")</f>
        <v>2.9204819667901994E-2</v>
      </c>
      <c r="N115" s="17">
        <f t="shared" si="113"/>
        <v>1.2295475012344539E-2</v>
      </c>
      <c r="O115" s="44"/>
    </row>
    <row r="116" spans="1:15" ht="15.75" hidden="1" customHeight="1">
      <c r="A116" s="7" t="s">
        <v>547</v>
      </c>
      <c r="B116" s="7" t="s">
        <v>548</v>
      </c>
      <c r="C116" s="44" t="str">
        <f>IF('BD Comp'!C116=1,IF(AND(M116&gt;=$F$1,N116&gt;=$F$1),1,""),"")</f>
        <v/>
      </c>
      <c r="D116" s="44" t="str">
        <f t="shared" si="0"/>
        <v>C001308</v>
      </c>
      <c r="E116" s="72">
        <f>VLOOKUP($D116,'FERC 2021'!$EA$3:$ER$221,18,0)</f>
        <v>249442.07614213199</v>
      </c>
      <c r="F116" s="72">
        <f>IFERROR(VLOOKUP($D116,'FERC 2022'!$EA$3:$ER$220,18,0),"")</f>
        <v>170986.01015228426</v>
      </c>
      <c r="G116" s="72">
        <f>IFERROR(VLOOKUP($D116,'FERC 2023'!$EA$3:$ER$221,18,0),"")</f>
        <v>141496.89403140362</v>
      </c>
      <c r="H116" s="72">
        <f>VLOOKUP($D116,'FERC 2021'!$EA$3:$EN$221,11,0)</f>
        <v>5753125.0761421323</v>
      </c>
      <c r="I116" s="72">
        <f>IFERROR(VLOOKUP($D116,'FERC 2022'!$EA$3:$EN$220,11,0),"")</f>
        <v>5723030.0101522841</v>
      </c>
      <c r="J116" s="72">
        <f>IFERROR(VLOOKUP($D116,'FERC 2023'!$EA$3:$EN$221,11,0),"")</f>
        <v>4736203.8940314036</v>
      </c>
      <c r="K116" s="17"/>
      <c r="L116" s="17">
        <f t="shared" si="1"/>
        <v>4.3357666110294291E-2</v>
      </c>
      <c r="M116" s="17">
        <f t="shared" ref="M116:N116" si="114">IFERROR(F116/I116,"")</f>
        <v>2.9876832700329401E-2</v>
      </c>
      <c r="N116" s="17">
        <f t="shared" si="114"/>
        <v>2.9875591760253176E-2</v>
      </c>
      <c r="O116" s="44"/>
    </row>
    <row r="117" spans="1:15" ht="15.75" hidden="1" customHeight="1">
      <c r="A117" s="7" t="s">
        <v>550</v>
      </c>
      <c r="B117" s="7" t="s">
        <v>551</v>
      </c>
      <c r="C117" s="44" t="str">
        <f>IF('BD Comp'!C117=1,IF(AND(M117&gt;=$F$1,N117&gt;=$F$1),1,""),"")</f>
        <v/>
      </c>
      <c r="D117" s="44" t="str">
        <f t="shared" si="0"/>
        <v>C001309</v>
      </c>
      <c r="E117" s="72">
        <f>VLOOKUP($D117,'FERC 2021'!$EA$3:$ER$221,18,0)</f>
        <v>191285</v>
      </c>
      <c r="F117" s="72">
        <f>IFERROR(VLOOKUP($D117,'FERC 2022'!$EA$3:$ER$220,18,0),"")</f>
        <v>207768</v>
      </c>
      <c r="G117" s="72">
        <f>IFERROR(VLOOKUP($D117,'FERC 2023'!$EA$3:$ER$221,18,0),"")</f>
        <v>228551</v>
      </c>
      <c r="H117" s="72">
        <f>VLOOKUP($D117,'FERC 2021'!$EA$3:$EN$221,11,0)</f>
        <v>4237119</v>
      </c>
      <c r="I117" s="72">
        <f>IFERROR(VLOOKUP($D117,'FERC 2022'!$EA$3:$EN$220,11,0),"")</f>
        <v>4355552</v>
      </c>
      <c r="J117" s="72">
        <f>IFERROR(VLOOKUP($D117,'FERC 2023'!$EA$3:$EN$221,11,0),"")</f>
        <v>3689837</v>
      </c>
      <c r="K117" s="17"/>
      <c r="L117" s="17">
        <f t="shared" si="1"/>
        <v>4.5145062010295202E-2</v>
      </c>
      <c r="M117" s="17">
        <f t="shared" ref="M117:N117" si="115">IFERROR(F117/I117,"")</f>
        <v>4.7701875675000553E-2</v>
      </c>
      <c r="N117" s="17">
        <f t="shared" si="115"/>
        <v>6.19406765122687E-2</v>
      </c>
      <c r="O117" s="44"/>
    </row>
    <row r="118" spans="1:15" ht="15.75" hidden="1" customHeight="1">
      <c r="A118" s="7" t="s">
        <v>553</v>
      </c>
      <c r="B118" s="7" t="s">
        <v>554</v>
      </c>
      <c r="C118" s="44" t="str">
        <f>IF('BD Comp'!C118=1,IF(AND(M118&gt;=$F$1,N118&gt;=$F$1),1,""),"")</f>
        <v/>
      </c>
      <c r="D118" s="44" t="str">
        <f t="shared" si="0"/>
        <v>C001315</v>
      </c>
      <c r="E118" s="72">
        <f>VLOOKUP($D118,'FERC 2021'!$EA$3:$ER$221,18,0)</f>
        <v>450353.54314720805</v>
      </c>
      <c r="F118" s="72">
        <f>IFERROR(VLOOKUP($D118,'FERC 2022'!$EA$3:$ER$220,18,0),"")</f>
        <v>125383.79695431469</v>
      </c>
      <c r="G118" s="72">
        <f>IFERROR(VLOOKUP($D118,'FERC 2023'!$EA$3:$ER$221,18,0),"")</f>
        <v>332386.83248730958</v>
      </c>
      <c r="H118" s="72">
        <f>VLOOKUP($D118,'FERC 2021'!$EA$3:$EN$221,11,0)</f>
        <v>13421229.543147208</v>
      </c>
      <c r="I118" s="72">
        <f>IFERROR(VLOOKUP($D118,'FERC 2022'!$EA$3:$EN$220,11,0),"")</f>
        <v>13363455.796954315</v>
      </c>
      <c r="J118" s="72">
        <f>IFERROR(VLOOKUP($D118,'FERC 2023'!$EA$3:$EN$221,11,0),"")</f>
        <v>12802581.832487309</v>
      </c>
      <c r="K118" s="17"/>
      <c r="L118" s="17">
        <f t="shared" si="1"/>
        <v>3.3555311881030725E-2</v>
      </c>
      <c r="M118" s="17">
        <f t="shared" ref="M118:N118" si="116">IFERROR(F118/I118,"")</f>
        <v>9.3825877721607828E-3</v>
      </c>
      <c r="N118" s="17">
        <f t="shared" si="116"/>
        <v>2.596248450791842E-2</v>
      </c>
      <c r="O118" s="44"/>
    </row>
    <row r="119" spans="1:15" ht="15.75" hidden="1" customHeight="1">
      <c r="A119" s="7" t="s">
        <v>556</v>
      </c>
      <c r="B119" s="7" t="s">
        <v>557</v>
      </c>
      <c r="C119" s="44" t="str">
        <f>IF('BD Comp'!C119=1,IF(AND(M119&gt;=$F$1,N119&gt;=$F$1),1,""),"")</f>
        <v/>
      </c>
      <c r="D119" s="44" t="str">
        <f t="shared" si="0"/>
        <v>C001316</v>
      </c>
      <c r="E119" s="72">
        <f>VLOOKUP($D119,'FERC 2021'!$EA$3:$ER$221,18,0)</f>
        <v>662803.64974619262</v>
      </c>
      <c r="F119" s="72">
        <f>IFERROR(VLOOKUP($D119,'FERC 2022'!$EA$3:$ER$220,18,0),"")</f>
        <v>709628.08121827431</v>
      </c>
      <c r="G119" s="72">
        <f>IFERROR(VLOOKUP($D119,'FERC 2023'!$EA$3:$ER$221,18,0),"")</f>
        <v>648006.49746192899</v>
      </c>
      <c r="H119" s="72">
        <f>VLOOKUP($D119,'FERC 2021'!$EA$3:$EN$221,11,0)</f>
        <v>24235864.649746194</v>
      </c>
      <c r="I119" s="72">
        <f>IFERROR(VLOOKUP($D119,'FERC 2022'!$EA$3:$EN$220,11,0),"")</f>
        <v>24235136.081218272</v>
      </c>
      <c r="J119" s="72">
        <f>IFERROR(VLOOKUP($D119,'FERC 2023'!$EA$3:$EN$221,11,0),"")</f>
        <v>23566899.49746193</v>
      </c>
      <c r="K119" s="17"/>
      <c r="L119" s="17">
        <f t="shared" si="1"/>
        <v>2.7348050474986198E-2</v>
      </c>
      <c r="M119" s="17">
        <f t="shared" ref="M119:N119" si="117">IFERROR(F119/I119,"")</f>
        <v>2.9280961280354491E-2</v>
      </c>
      <c r="N119" s="17">
        <f t="shared" si="117"/>
        <v>2.7496467981785934E-2</v>
      </c>
      <c r="O119" s="44"/>
    </row>
    <row r="120" spans="1:15" ht="15.75" hidden="1" customHeight="1">
      <c r="A120" s="7" t="s">
        <v>559</v>
      </c>
      <c r="B120" s="7" t="s">
        <v>560</v>
      </c>
      <c r="C120" s="44" t="str">
        <f>IF('BD Comp'!C120=1,IF(AND(M120&gt;=$F$1,N120&gt;=$F$1),1,""),"")</f>
        <v/>
      </c>
      <c r="D120" s="44" t="str">
        <f t="shared" si="0"/>
        <v>C001322</v>
      </c>
      <c r="E120" s="72" t="str">
        <f>VLOOKUP($D120,'FERC 2021'!$EA$3:$ER$221,18,0)</f>
        <v/>
      </c>
      <c r="F120" s="72" t="str">
        <f>IFERROR(VLOOKUP($D120,'FERC 2022'!$EA$3:$ER$220,18,0),"")</f>
        <v/>
      </c>
      <c r="G120" s="72" t="str">
        <f>IFERROR(VLOOKUP($D120,'FERC 2023'!$EA$3:$ER$221,18,0),"")</f>
        <v/>
      </c>
      <c r="H120" s="72" t="str">
        <f>VLOOKUP($D120,'FERC 2021'!$EA$3:$EN$221,11,0)</f>
        <v/>
      </c>
      <c r="I120" s="72" t="str">
        <f>IFERROR(VLOOKUP($D120,'FERC 2022'!$EA$3:$EN$220,11,0),"")</f>
        <v/>
      </c>
      <c r="J120" s="72" t="str">
        <f>IFERROR(VLOOKUP($D120,'FERC 2023'!$EA$3:$EN$221,11,0),"")</f>
        <v/>
      </c>
      <c r="K120" s="17"/>
      <c r="L120" s="17" t="e">
        <f t="shared" si="1"/>
        <v>#VALUE!</v>
      </c>
      <c r="M120" s="17" t="str">
        <f t="shared" ref="M120:N120" si="118">IFERROR(F120/I120,"")</f>
        <v/>
      </c>
      <c r="N120" s="17" t="str">
        <f t="shared" si="118"/>
        <v/>
      </c>
      <c r="O120" s="44"/>
    </row>
    <row r="121" spans="1:15" ht="15.75" hidden="1" customHeight="1">
      <c r="A121" s="7" t="s">
        <v>562</v>
      </c>
      <c r="B121" s="7" t="s">
        <v>563</v>
      </c>
      <c r="C121" s="44" t="str">
        <f>IF('BD Comp'!C121=1,IF(AND(M121&gt;=$F$1,N121&gt;=$F$1),1,""),"")</f>
        <v/>
      </c>
      <c r="D121" s="44" t="str">
        <f t="shared" si="0"/>
        <v>C001330</v>
      </c>
      <c r="E121" s="72" t="str">
        <f>VLOOKUP($D121,'FERC 2021'!$EA$3:$ER$221,18,0)</f>
        <v/>
      </c>
      <c r="F121" s="72" t="str">
        <f>IFERROR(VLOOKUP($D121,'FERC 2022'!$EA$3:$ER$220,18,0),"")</f>
        <v/>
      </c>
      <c r="G121" s="72" t="str">
        <f>IFERROR(VLOOKUP($D121,'FERC 2023'!$EA$3:$ER$221,18,0),"")</f>
        <v/>
      </c>
      <c r="H121" s="72" t="str">
        <f>VLOOKUP($D121,'FERC 2021'!$EA$3:$EN$221,11,0)</f>
        <v/>
      </c>
      <c r="I121" s="72" t="str">
        <f>IFERROR(VLOOKUP($D121,'FERC 2022'!$EA$3:$EN$220,11,0),"")</f>
        <v/>
      </c>
      <c r="J121" s="72" t="str">
        <f>IFERROR(VLOOKUP($D121,'FERC 2023'!$EA$3:$EN$221,11,0),"")</f>
        <v/>
      </c>
      <c r="K121" s="17"/>
      <c r="L121" s="17" t="e">
        <f t="shared" si="1"/>
        <v>#VALUE!</v>
      </c>
      <c r="M121" s="17" t="str">
        <f t="shared" ref="M121:N121" si="119">IFERROR(F121/I121,"")</f>
        <v/>
      </c>
      <c r="N121" s="17" t="str">
        <f t="shared" si="119"/>
        <v/>
      </c>
      <c r="O121" s="44"/>
    </row>
    <row r="122" spans="1:15" ht="15.75" hidden="1" customHeight="1">
      <c r="A122" s="7" t="s">
        <v>565</v>
      </c>
      <c r="B122" s="7" t="s">
        <v>566</v>
      </c>
      <c r="C122" s="44" t="str">
        <f>IF('BD Comp'!C122=1,IF(AND(M122&gt;=$F$1,N122&gt;=$F$1),1,""),"")</f>
        <v/>
      </c>
      <c r="D122" s="44" t="str">
        <f t="shared" si="0"/>
        <v>C001344</v>
      </c>
      <c r="E122" s="72" t="str">
        <f>VLOOKUP($D122,'FERC 2021'!$EA$3:$ER$221,18,0)</f>
        <v/>
      </c>
      <c r="F122" s="72" t="str">
        <f>IFERROR(VLOOKUP($D122,'FERC 2022'!$EA$3:$ER$220,18,0),"")</f>
        <v/>
      </c>
      <c r="G122" s="72" t="str">
        <f>IFERROR(VLOOKUP($D122,'FERC 2023'!$EA$3:$ER$221,18,0),"")</f>
        <v/>
      </c>
      <c r="H122" s="72" t="str">
        <f>VLOOKUP($D122,'FERC 2021'!$EA$3:$EN$221,11,0)</f>
        <v/>
      </c>
      <c r="I122" s="72" t="str">
        <f>IFERROR(VLOOKUP($D122,'FERC 2022'!$EA$3:$EN$220,11,0),"")</f>
        <v/>
      </c>
      <c r="J122" s="72" t="str">
        <f>IFERROR(VLOOKUP($D122,'FERC 2023'!$EA$3:$EN$221,11,0),"")</f>
        <v/>
      </c>
      <c r="K122" s="17"/>
      <c r="L122" s="17" t="e">
        <f t="shared" si="1"/>
        <v>#VALUE!</v>
      </c>
      <c r="M122" s="17" t="str">
        <f t="shared" ref="M122:N122" si="120">IFERROR(F122/I122,"")</f>
        <v/>
      </c>
      <c r="N122" s="17" t="str">
        <f t="shared" si="120"/>
        <v/>
      </c>
      <c r="O122" s="44"/>
    </row>
    <row r="123" spans="1:15" ht="15.75" hidden="1" customHeight="1">
      <c r="A123" s="7" t="s">
        <v>568</v>
      </c>
      <c r="B123" s="7" t="s">
        <v>569</v>
      </c>
      <c r="C123" s="44" t="str">
        <f>IF('BD Comp'!C123=1,IF(AND(M123&gt;=$F$1,N123&gt;=$F$1),1,""),"")</f>
        <v/>
      </c>
      <c r="D123" s="44" t="str">
        <f t="shared" si="0"/>
        <v>C001346</v>
      </c>
      <c r="E123" s="72">
        <f>VLOOKUP($D123,'FERC 2021'!$EA$3:$ER$221,18,0)</f>
        <v>556566.89847715735</v>
      </c>
      <c r="F123" s="72">
        <f>IFERROR(VLOOKUP($D123,'FERC 2022'!$EA$3:$ER$220,18,0),"")</f>
        <v>798002.68020304572</v>
      </c>
      <c r="G123" s="72">
        <f>IFERROR(VLOOKUP($D123,'FERC 2023'!$EA$3:$ER$221,18,0),"")</f>
        <v>775625.6314238715</v>
      </c>
      <c r="H123" s="72">
        <f>VLOOKUP($D123,'FERC 2021'!$EA$3:$EN$221,11,0)</f>
        <v>13113866.898477158</v>
      </c>
      <c r="I123" s="72">
        <f>IFERROR(VLOOKUP($D123,'FERC 2022'!$EA$3:$EN$220,11,0),"")</f>
        <v>13243115.680203045</v>
      </c>
      <c r="J123" s="72">
        <f>IFERROR(VLOOKUP($D123,'FERC 2023'!$EA$3:$EN$221,11,0),"")</f>
        <v>12872051.63142387</v>
      </c>
      <c r="K123" s="17"/>
      <c r="L123" s="17">
        <f t="shared" si="1"/>
        <v>4.2441097106284374E-2</v>
      </c>
      <c r="M123" s="17">
        <f t="shared" ref="M123:N123" si="121">IFERROR(F123/I123,"")</f>
        <v>6.0257925662913991E-2</v>
      </c>
      <c r="N123" s="17">
        <f t="shared" si="121"/>
        <v>6.025656621283098E-2</v>
      </c>
      <c r="O123" s="44"/>
    </row>
    <row r="124" spans="1:15" ht="15.75" hidden="1" customHeight="1">
      <c r="A124" s="7" t="s">
        <v>571</v>
      </c>
      <c r="B124" s="7" t="s">
        <v>572</v>
      </c>
      <c r="C124" s="44" t="str">
        <f>IF('BD Comp'!C124=1,IF(AND(M124&gt;=$F$1,N124&gt;=$F$1),1,""),"")</f>
        <v/>
      </c>
      <c r="D124" s="44" t="str">
        <f t="shared" si="0"/>
        <v>C001421</v>
      </c>
      <c r="E124" s="72">
        <f>VLOOKUP($D124,'FERC 2021'!$EA$3:$ER$221,18,0)</f>
        <v>221050.01522842632</v>
      </c>
      <c r="F124" s="72">
        <f>IFERROR(VLOOKUP($D124,'FERC 2022'!$EA$3:$ER$220,18,0),"")</f>
        <v>353969.80710659898</v>
      </c>
      <c r="G124" s="72">
        <f>IFERROR(VLOOKUP($D124,'FERC 2023'!$EA$3:$ER$221,18,0),"")</f>
        <v>5876.7918781725457</v>
      </c>
      <c r="H124" s="72">
        <f>VLOOKUP($D124,'FERC 2021'!$EA$3:$EN$221,11,0)</f>
        <v>2050503.0152284263</v>
      </c>
      <c r="I124" s="72">
        <f>IFERROR(VLOOKUP($D124,'FERC 2022'!$EA$3:$EN$220,11,0),"")</f>
        <v>2229182.8071065992</v>
      </c>
      <c r="J124" s="72">
        <f>IFERROR(VLOOKUP($D124,'FERC 2023'!$EA$3:$EN$221,11,0),"")</f>
        <v>1845828.7918781727</v>
      </c>
      <c r="K124" s="17"/>
      <c r="L124" s="17">
        <f t="shared" si="1"/>
        <v>0.10780282378848456</v>
      </c>
      <c r="M124" s="17">
        <f t="shared" ref="M124:N124" si="122">IFERROR(F124/I124,"")</f>
        <v>0.15878904411883532</v>
      </c>
      <c r="N124" s="17">
        <f t="shared" si="122"/>
        <v>3.1838228464259551E-3</v>
      </c>
      <c r="O124" s="44"/>
    </row>
    <row r="125" spans="1:15" ht="15.75" hidden="1" customHeight="1">
      <c r="A125" s="7" t="s">
        <v>574</v>
      </c>
      <c r="B125" s="7" t="s">
        <v>575</v>
      </c>
      <c r="C125" s="44" t="str">
        <f>IF('BD Comp'!C125=1,IF(AND(M125&gt;=$F$1,N125&gt;=$F$1),1,""),"")</f>
        <v/>
      </c>
      <c r="D125" s="44" t="str">
        <f t="shared" si="0"/>
        <v>C001436</v>
      </c>
      <c r="E125" s="72">
        <f>VLOOKUP($D125,'FERC 2021'!$EA$3:$ER$221,18,0)</f>
        <v>1722754.7817258881</v>
      </c>
      <c r="F125" s="72">
        <f>IFERROR(VLOOKUP($D125,'FERC 2022'!$EA$3:$ER$220,18,0),"")</f>
        <v>1903593.1472081216</v>
      </c>
      <c r="G125" s="72">
        <f>IFERROR(VLOOKUP($D125,'FERC 2023'!$EA$3:$ER$221,18,0),"")</f>
        <v>1914614.9086294416</v>
      </c>
      <c r="H125" s="72">
        <f>VLOOKUP($D125,'FERC 2021'!$EA$3:$EN$221,11,0)</f>
        <v>30950990.781725887</v>
      </c>
      <c r="I125" s="72">
        <f>IFERROR(VLOOKUP($D125,'FERC 2022'!$EA$3:$EN$220,11,0),"")</f>
        <v>32425550.147208121</v>
      </c>
      <c r="J125" s="72">
        <f>IFERROR(VLOOKUP($D125,'FERC 2023'!$EA$3:$EN$221,11,0),"")</f>
        <v>33284926.90862944</v>
      </c>
      <c r="K125" s="17"/>
      <c r="L125" s="17">
        <f t="shared" si="1"/>
        <v>5.5660731311484822E-2</v>
      </c>
      <c r="M125" s="17">
        <f t="shared" ref="M125:N125" si="123">IFERROR(F125/I125,"")</f>
        <v>5.8706579797907402E-2</v>
      </c>
      <c r="N125" s="17">
        <f t="shared" si="123"/>
        <v>5.7521980261073045E-2</v>
      </c>
      <c r="O125" s="44"/>
    </row>
    <row r="126" spans="1:15" ht="15.75" hidden="1" customHeight="1">
      <c r="A126" s="7" t="s">
        <v>577</v>
      </c>
      <c r="B126" s="7" t="s">
        <v>578</v>
      </c>
      <c r="C126" s="44" t="str">
        <f>IF('BD Comp'!C126=1,IF(AND(M126&gt;=$F$1,N126&gt;=$F$1),1,""),"")</f>
        <v/>
      </c>
      <c r="D126" s="44" t="str">
        <f t="shared" si="0"/>
        <v>C001444</v>
      </c>
      <c r="E126" s="72" t="str">
        <f>VLOOKUP($D126,'FERC 2021'!$EA$3:$ER$221,18,0)</f>
        <v/>
      </c>
      <c r="F126" s="72" t="str">
        <f>IFERROR(VLOOKUP($D126,'FERC 2022'!$EA$3:$ER$220,18,0),"")</f>
        <v/>
      </c>
      <c r="G126" s="72" t="str">
        <f>IFERROR(VLOOKUP($D126,'FERC 2023'!$EA$3:$ER$221,18,0),"")</f>
        <v/>
      </c>
      <c r="H126" s="72" t="str">
        <f>VLOOKUP($D126,'FERC 2021'!$EA$3:$EN$221,11,0)</f>
        <v/>
      </c>
      <c r="I126" s="72" t="str">
        <f>IFERROR(VLOOKUP($D126,'FERC 2022'!$EA$3:$EN$220,11,0),"")</f>
        <v/>
      </c>
      <c r="J126" s="72" t="str">
        <f>IFERROR(VLOOKUP($D126,'FERC 2023'!$EA$3:$EN$221,11,0),"")</f>
        <v/>
      </c>
      <c r="K126" s="17"/>
      <c r="L126" s="17" t="e">
        <f t="shared" si="1"/>
        <v>#VALUE!</v>
      </c>
      <c r="M126" s="17" t="str">
        <f t="shared" ref="M126:N126" si="124">IFERROR(F126/I126,"")</f>
        <v/>
      </c>
      <c r="N126" s="17" t="str">
        <f t="shared" si="124"/>
        <v/>
      </c>
      <c r="O126" s="44"/>
    </row>
    <row r="127" spans="1:15" ht="15.75" hidden="1" customHeight="1">
      <c r="A127" s="7" t="s">
        <v>580</v>
      </c>
      <c r="B127" s="7" t="s">
        <v>581</v>
      </c>
      <c r="C127" s="44" t="str">
        <f>IF('BD Comp'!C127=1,IF(AND(M127&gt;=$F$1,N127&gt;=$F$1),1,""),"")</f>
        <v/>
      </c>
      <c r="D127" s="44" t="str">
        <f t="shared" si="0"/>
        <v>C001446</v>
      </c>
      <c r="E127" s="72" t="str">
        <f>VLOOKUP($D127,'FERC 2021'!$EA$3:$ER$221,18,0)</f>
        <v/>
      </c>
      <c r="F127" s="72" t="str">
        <f>IFERROR(VLOOKUP($D127,'FERC 2022'!$EA$3:$ER$220,18,0),"")</f>
        <v/>
      </c>
      <c r="G127" s="72" t="str">
        <f>IFERROR(VLOOKUP($D127,'FERC 2023'!$EA$3:$ER$221,18,0),"")</f>
        <v/>
      </c>
      <c r="H127" s="72" t="str">
        <f>VLOOKUP($D127,'FERC 2021'!$EA$3:$EN$221,11,0)</f>
        <v/>
      </c>
      <c r="I127" s="72" t="str">
        <f>IFERROR(VLOOKUP($D127,'FERC 2022'!$EA$3:$EN$220,11,0),"")</f>
        <v/>
      </c>
      <c r="J127" s="72" t="str">
        <f>IFERROR(VLOOKUP($D127,'FERC 2023'!$EA$3:$EN$221,11,0),"")</f>
        <v/>
      </c>
      <c r="K127" s="17"/>
      <c r="L127" s="17" t="e">
        <f t="shared" si="1"/>
        <v>#VALUE!</v>
      </c>
      <c r="M127" s="17" t="str">
        <f t="shared" ref="M127:N127" si="125">IFERROR(F127/I127,"")</f>
        <v/>
      </c>
      <c r="N127" s="17" t="str">
        <f t="shared" si="125"/>
        <v/>
      </c>
      <c r="O127" s="44"/>
    </row>
    <row r="128" spans="1:15" ht="15.75" hidden="1" customHeight="1">
      <c r="A128" s="7" t="s">
        <v>583</v>
      </c>
      <c r="B128" s="7" t="s">
        <v>584</v>
      </c>
      <c r="C128" s="44" t="str">
        <f>IF('BD Comp'!C128=1,IF(AND(M128&gt;=$F$1,N128&gt;=$F$1),1,""),"")</f>
        <v/>
      </c>
      <c r="D128" s="44" t="str">
        <f t="shared" si="0"/>
        <v>C001454</v>
      </c>
      <c r="E128" s="72">
        <f>VLOOKUP($D128,'FERC 2021'!$EA$3:$ER$221,18,0)</f>
        <v>108150.30456852791</v>
      </c>
      <c r="F128" s="72">
        <f>IFERROR(VLOOKUP($D128,'FERC 2022'!$EA$3:$ER$220,18,0),"")</f>
        <v>92905.197969543136</v>
      </c>
      <c r="G128" s="72">
        <f>IFERROR(VLOOKUP($D128,'FERC 2023'!$EA$3:$ER$221,18,0),"")</f>
        <v>175275.2233502538</v>
      </c>
      <c r="H128" s="72">
        <f>VLOOKUP($D128,'FERC 2021'!$EA$3:$EN$221,11,0)</f>
        <v>1841751.304568528</v>
      </c>
      <c r="I128" s="72">
        <f>IFERROR(VLOOKUP($D128,'FERC 2022'!$EA$3:$EN$220,11,0),"")</f>
        <v>1996650.197969543</v>
      </c>
      <c r="J128" s="72">
        <f>IFERROR(VLOOKUP($D128,'FERC 2023'!$EA$3:$EN$221,11,0),"")</f>
        <v>2295183.2233502539</v>
      </c>
      <c r="K128" s="17"/>
      <c r="L128" s="17">
        <f t="shared" si="1"/>
        <v>5.8721448601804886E-2</v>
      </c>
      <c r="M128" s="17">
        <f t="shared" ref="M128:N128" si="126">IFERROR(F128/I128,"")</f>
        <v>4.653053302176885E-2</v>
      </c>
      <c r="N128" s="17">
        <f t="shared" si="126"/>
        <v>7.6366549549105919E-2</v>
      </c>
      <c r="O128" s="44"/>
    </row>
    <row r="129" spans="1:15" ht="15.75" hidden="1" customHeight="1">
      <c r="A129" s="7" t="s">
        <v>586</v>
      </c>
      <c r="B129" s="7" t="s">
        <v>587</v>
      </c>
      <c r="C129" s="44" t="str">
        <f>IF('BD Comp'!C129=1,IF(AND(M129&gt;=$F$1,N129&gt;=$F$1),1,""),"")</f>
        <v/>
      </c>
      <c r="D129" s="44" t="str">
        <f t="shared" si="0"/>
        <v>C001464</v>
      </c>
      <c r="E129" s="72">
        <f>VLOOKUP($D129,'FERC 2021'!$EA$3:$ER$221,18,0)</f>
        <v>1118188</v>
      </c>
      <c r="F129" s="72">
        <f>IFERROR(VLOOKUP($D129,'FERC 2022'!$EA$3:$ER$220,18,0),"")</f>
        <v>1035847.9746192894</v>
      </c>
      <c r="G129" s="72">
        <f>IFERROR(VLOOKUP($D129,'FERC 2023'!$EA$3:$ER$221,18,0),"")</f>
        <v>642132.3807106599</v>
      </c>
      <c r="H129" s="72">
        <f>VLOOKUP($D129,'FERC 2021'!$EA$3:$EN$221,11,0)</f>
        <v>24567674</v>
      </c>
      <c r="I129" s="72">
        <f>IFERROR(VLOOKUP($D129,'FERC 2022'!$EA$3:$EN$220,11,0),"")</f>
        <v>24725305.974619288</v>
      </c>
      <c r="J129" s="72">
        <f>IFERROR(VLOOKUP($D129,'FERC 2023'!$EA$3:$EN$221,11,0),"")</f>
        <v>23685499.380710661</v>
      </c>
      <c r="K129" s="17"/>
      <c r="L129" s="17">
        <f t="shared" si="1"/>
        <v>4.5514605900420203E-2</v>
      </c>
      <c r="M129" s="17">
        <f t="shared" ref="M129:N129" si="127">IFERROR(F129/I129,"")</f>
        <v>4.1894242913822585E-2</v>
      </c>
      <c r="N129" s="17">
        <f t="shared" si="127"/>
        <v>2.7110780751940105E-2</v>
      </c>
      <c r="O129" s="44"/>
    </row>
    <row r="130" spans="1:15" ht="15.75" hidden="1" customHeight="1">
      <c r="A130" s="7" t="s">
        <v>589</v>
      </c>
      <c r="B130" s="7" t="s">
        <v>590</v>
      </c>
      <c r="C130" s="44" t="str">
        <f>IF('BD Comp'!C130=1,IF(AND(M130&gt;=$F$1,N130&gt;=$F$1),1,""),"")</f>
        <v/>
      </c>
      <c r="D130" s="44" t="str">
        <f t="shared" si="0"/>
        <v>C001465</v>
      </c>
      <c r="E130" s="72">
        <f>VLOOKUP($D130,'FERC 2021'!$EA$3:$ER$221,18,0)</f>
        <v>553795.30456852796</v>
      </c>
      <c r="F130" s="72">
        <f>IFERROR(VLOOKUP($D130,'FERC 2022'!$EA$3:$ER$220,18,0),"")</f>
        <v>728717.62944162427</v>
      </c>
      <c r="G130" s="72">
        <f>IFERROR(VLOOKUP($D130,'FERC 2023'!$EA$3:$ER$221,18,0),"")</f>
        <v>491483.18781725888</v>
      </c>
      <c r="H130" s="72">
        <f>VLOOKUP($D130,'FERC 2021'!$EA$3:$EN$221,11,0)</f>
        <v>12558610.304568527</v>
      </c>
      <c r="I130" s="72">
        <f>IFERROR(VLOOKUP($D130,'FERC 2022'!$EA$3:$EN$220,11,0),"")</f>
        <v>12830944.629441625</v>
      </c>
      <c r="J130" s="72">
        <f>IFERROR(VLOOKUP($D130,'FERC 2023'!$EA$3:$EN$221,11,0),"")</f>
        <v>12089709.187817259</v>
      </c>
      <c r="K130" s="17"/>
      <c r="L130" s="17">
        <f t="shared" si="1"/>
        <v>4.4096861924847706E-2</v>
      </c>
      <c r="M130" s="17">
        <f t="shared" ref="M130:N130" si="128">IFERROR(F130/I130,"")</f>
        <v>5.6793763085028336E-2</v>
      </c>
      <c r="N130" s="17">
        <f t="shared" si="128"/>
        <v>4.0653019868544409E-2</v>
      </c>
      <c r="O130" s="44"/>
    </row>
    <row r="131" spans="1:15" ht="15.75" hidden="1" customHeight="1">
      <c r="A131" s="7" t="s">
        <v>592</v>
      </c>
      <c r="B131" s="7" t="s">
        <v>593</v>
      </c>
      <c r="C131" s="44" t="str">
        <f>IF('BD Comp'!C131=1,IF(AND(M131&gt;=$F$1,N131&gt;=$F$1),1,""),"")</f>
        <v/>
      </c>
      <c r="D131" s="44" t="str">
        <f t="shared" si="0"/>
        <v>C001466</v>
      </c>
      <c r="E131" s="72">
        <f>VLOOKUP($D131,'FERC 2021'!$EA$3:$ER$221,18,0)</f>
        <v>535356.86294416245</v>
      </c>
      <c r="F131" s="72">
        <f>IFERROR(VLOOKUP($D131,'FERC 2022'!$EA$3:$ER$220,18,0),"")</f>
        <v>594399.35532994918</v>
      </c>
      <c r="G131" s="72">
        <f>IFERROR(VLOOKUP($D131,'FERC 2023'!$EA$3:$ER$221,18,0),"")</f>
        <v>226057.97461928934</v>
      </c>
      <c r="H131" s="72">
        <f>VLOOKUP($D131,'FERC 2021'!$EA$3:$EN$221,11,0)</f>
        <v>9356596.8629441634</v>
      </c>
      <c r="I131" s="72">
        <f>IFERROR(VLOOKUP($D131,'FERC 2022'!$EA$3:$EN$220,11,0),"")</f>
        <v>9373546.3553299494</v>
      </c>
      <c r="J131" s="72">
        <f>IFERROR(VLOOKUP($D131,'FERC 2023'!$EA$3:$EN$221,11,0),"")</f>
        <v>8962286.9746192899</v>
      </c>
      <c r="K131" s="17"/>
      <c r="L131" s="17">
        <f t="shared" si="1"/>
        <v>5.7217049188512982E-2</v>
      </c>
      <c r="M131" s="17">
        <f t="shared" ref="M131:N131" si="129">IFERROR(F131/I131,"")</f>
        <v>6.3412430343608869E-2</v>
      </c>
      <c r="N131" s="17">
        <f t="shared" si="129"/>
        <v>2.5223246617685113E-2</v>
      </c>
      <c r="O131" s="44"/>
    </row>
    <row r="132" spans="1:15" ht="15.75" hidden="1" customHeight="1">
      <c r="A132" s="7" t="s">
        <v>595</v>
      </c>
      <c r="B132" s="7" t="s">
        <v>596</v>
      </c>
      <c r="C132" s="44" t="str">
        <f>IF('BD Comp'!C132=1,IF(AND(M132&gt;=$F$1,N132&gt;=$F$1),1,""),"")</f>
        <v/>
      </c>
      <c r="D132" s="44" t="str">
        <f t="shared" si="0"/>
        <v>C001486</v>
      </c>
      <c r="E132" s="72" t="str">
        <f>VLOOKUP($D132,'FERC 2021'!$EA$3:$ER$221,18,0)</f>
        <v/>
      </c>
      <c r="F132" s="72" t="str">
        <f>IFERROR(VLOOKUP($D132,'FERC 2022'!$EA$3:$ER$220,18,0),"")</f>
        <v/>
      </c>
      <c r="G132" s="72" t="str">
        <f>IFERROR(VLOOKUP($D132,'FERC 2023'!$EA$3:$ER$221,18,0),"")</f>
        <v/>
      </c>
      <c r="H132" s="72" t="str">
        <f>VLOOKUP($D132,'FERC 2021'!$EA$3:$EN$221,11,0)</f>
        <v/>
      </c>
      <c r="I132" s="72" t="str">
        <f>IFERROR(VLOOKUP($D132,'FERC 2022'!$EA$3:$EN$220,11,0),"")</f>
        <v/>
      </c>
      <c r="J132" s="72" t="str">
        <f>IFERROR(VLOOKUP($D132,'FERC 2023'!$EA$3:$EN$221,11,0),"")</f>
        <v/>
      </c>
      <c r="K132" s="17"/>
      <c r="L132" s="17" t="e">
        <f t="shared" si="1"/>
        <v>#VALUE!</v>
      </c>
      <c r="M132" s="17" t="str">
        <f t="shared" ref="M132:N132" si="130">IFERROR(F132/I132,"")</f>
        <v/>
      </c>
      <c r="N132" s="17" t="str">
        <f t="shared" si="130"/>
        <v/>
      </c>
      <c r="O132" s="44"/>
    </row>
    <row r="133" spans="1:15" ht="15.75" hidden="1" customHeight="1">
      <c r="A133" s="7" t="s">
        <v>598</v>
      </c>
      <c r="B133" s="7" t="s">
        <v>599</v>
      </c>
      <c r="C133" s="44" t="str">
        <f>IF('BD Comp'!C133=1,IF(AND(M133&gt;=$F$1,N133&gt;=$F$1),1,""),"")</f>
        <v/>
      </c>
      <c r="D133" s="44" t="str">
        <f t="shared" si="0"/>
        <v>C001552</v>
      </c>
      <c r="E133" s="72">
        <f>VLOOKUP($D133,'FERC 2021'!$EA$3:$ER$221,18,0)</f>
        <v>2468451.4720812179</v>
      </c>
      <c r="F133" s="72">
        <f>IFERROR(VLOOKUP($D133,'FERC 2022'!$EA$3:$ER$220,18,0),"")</f>
        <v>2964075.492385786</v>
      </c>
      <c r="G133" s="72">
        <f>IFERROR(VLOOKUP($D133,'FERC 2023'!$EA$3:$ER$221,18,0),"")</f>
        <v>3280284.0355329942</v>
      </c>
      <c r="H133" s="72">
        <f>VLOOKUP($D133,'FERC 2021'!$EA$3:$EN$221,11,0)</f>
        <v>53640279.472081214</v>
      </c>
      <c r="I133" s="72">
        <f>IFERROR(VLOOKUP($D133,'FERC 2022'!$EA$3:$EN$220,11,0),"")</f>
        <v>55505608.49238579</v>
      </c>
      <c r="J133" s="72">
        <f>IFERROR(VLOOKUP($D133,'FERC 2023'!$EA$3:$EN$221,11,0),"")</f>
        <v>54026472.035532996</v>
      </c>
      <c r="K133" s="17"/>
      <c r="L133" s="17">
        <f t="shared" si="1"/>
        <v>4.6018616912053972E-2</v>
      </c>
      <c r="M133" s="17">
        <f t="shared" ref="M133:N133" si="131">IFERROR(F133/I133,"")</f>
        <v>5.3401369211048197E-2</v>
      </c>
      <c r="N133" s="17">
        <f t="shared" si="131"/>
        <v>6.0716236169845859E-2</v>
      </c>
      <c r="O133" s="44"/>
    </row>
    <row r="134" spans="1:15" ht="15.75" hidden="1" customHeight="1">
      <c r="A134" s="7" t="s">
        <v>601</v>
      </c>
      <c r="B134" s="7" t="s">
        <v>602</v>
      </c>
      <c r="C134" s="44" t="str">
        <f>IF('BD Comp'!C134=1,IF(AND(M134&gt;=$F$1,N134&gt;=$F$1),1,""),"")</f>
        <v/>
      </c>
      <c r="D134" s="44" t="str">
        <f t="shared" si="0"/>
        <v>C001553</v>
      </c>
      <c r="E134" s="72">
        <f>VLOOKUP($D134,'FERC 2021'!$EA$3:$ER$221,18,0)</f>
        <v>3269207.4213197967</v>
      </c>
      <c r="F134" s="72">
        <f>IFERROR(VLOOKUP($D134,'FERC 2022'!$EA$3:$ER$220,18,0),"")</f>
        <v>3496836.0456852792</v>
      </c>
      <c r="G134" s="72">
        <f>IFERROR(VLOOKUP($D134,'FERC 2023'!$EA$3:$ER$221,18,0),"")</f>
        <v>3534710.8274111673</v>
      </c>
      <c r="H134" s="72">
        <f>VLOOKUP($D134,'FERC 2021'!$EA$3:$EN$221,11,0)</f>
        <v>86213248.421319798</v>
      </c>
      <c r="I134" s="72">
        <f>IFERROR(VLOOKUP($D134,'FERC 2022'!$EA$3:$EN$220,11,0),"")</f>
        <v>89453322.045685276</v>
      </c>
      <c r="J134" s="72">
        <f>IFERROR(VLOOKUP($D134,'FERC 2023'!$EA$3:$EN$221,11,0),"")</f>
        <v>87664745.827411175</v>
      </c>
      <c r="K134" s="17"/>
      <c r="L134" s="17">
        <f t="shared" si="1"/>
        <v>3.7920012076837019E-2</v>
      </c>
      <c r="M134" s="17">
        <f t="shared" ref="M134:N134" si="132">IFERROR(F134/I134,"")</f>
        <v>3.9091181475623543E-2</v>
      </c>
      <c r="N134" s="17">
        <f t="shared" si="132"/>
        <v>4.0320778826759884E-2</v>
      </c>
      <c r="O134" s="44"/>
    </row>
    <row r="135" spans="1:15" ht="15.75" hidden="1" customHeight="1">
      <c r="A135" s="7" t="s">
        <v>604</v>
      </c>
      <c r="B135" s="7" t="s">
        <v>605</v>
      </c>
      <c r="C135" s="44" t="str">
        <f>IF('BD Comp'!C135=1,IF(AND(M135&gt;=$F$1,N135&gt;=$F$1),1,""),"")</f>
        <v/>
      </c>
      <c r="D135" s="44" t="str">
        <f t="shared" si="0"/>
        <v>C001554</v>
      </c>
      <c r="E135" s="72">
        <f>VLOOKUP($D135,'FERC 2021'!$EA$3:$ER$221,18,0)</f>
        <v>495388.13705583755</v>
      </c>
      <c r="F135" s="72" t="str">
        <f>IFERROR(VLOOKUP($D135,'FERC 2022'!$EA$3:$ER$220,18,0),"")</f>
        <v/>
      </c>
      <c r="G135" s="72" t="str">
        <f>IFERROR(VLOOKUP($D135,'FERC 2023'!$EA$3:$ER$221,18,0),"")</f>
        <v/>
      </c>
      <c r="H135" s="72">
        <f>VLOOKUP($D135,'FERC 2021'!$EA$3:$EN$221,11,0)</f>
        <v>11226798.137055837</v>
      </c>
      <c r="I135" s="72" t="str">
        <f>IFERROR(VLOOKUP($D135,'FERC 2022'!$EA$3:$EN$220,11,0),"")</f>
        <v/>
      </c>
      <c r="J135" s="72" t="str">
        <f>IFERROR(VLOOKUP($D135,'FERC 2023'!$EA$3:$EN$221,11,0),"")</f>
        <v/>
      </c>
      <c r="K135" s="17"/>
      <c r="L135" s="17">
        <f t="shared" si="1"/>
        <v>4.4125504975521923E-2</v>
      </c>
      <c r="M135" s="17" t="str">
        <f t="shared" ref="M135:N135" si="133">IFERROR(F135/I135,"")</f>
        <v/>
      </c>
      <c r="N135" s="17" t="str">
        <f t="shared" si="133"/>
        <v/>
      </c>
      <c r="O135" s="44"/>
    </row>
    <row r="136" spans="1:15" ht="15.75" hidden="1" customHeight="1">
      <c r="A136" s="7" t="s">
        <v>607</v>
      </c>
      <c r="B136" s="7" t="s">
        <v>608</v>
      </c>
      <c r="C136" s="44" t="str">
        <f>IF('BD Comp'!C136=1,IF(AND(M136&gt;=$F$1,N136&gt;=$F$1),1,""),"")</f>
        <v/>
      </c>
      <c r="D136" s="44" t="str">
        <f t="shared" si="0"/>
        <v>C001555</v>
      </c>
      <c r="E136" s="72">
        <f>VLOOKUP($D136,'FERC 2021'!$EA$3:$ER$221,18,0)</f>
        <v>433399.44670050777</v>
      </c>
      <c r="F136" s="72">
        <f>IFERROR(VLOOKUP($D136,'FERC 2022'!$EA$3:$ER$220,18,0),"")</f>
        <v>436918.61421319842</v>
      </c>
      <c r="G136" s="72">
        <f>IFERROR(VLOOKUP($D136,'FERC 2023'!$EA$3:$ER$221,18,0),"")</f>
        <v>387425.58375634439</v>
      </c>
      <c r="H136" s="72">
        <f>VLOOKUP($D136,'FERC 2021'!$EA$3:$EN$221,11,0)</f>
        <v>9687778.4467005078</v>
      </c>
      <c r="I136" s="72">
        <f>IFERROR(VLOOKUP($D136,'FERC 2022'!$EA$3:$EN$220,11,0),"")</f>
        <v>9919685.6142131984</v>
      </c>
      <c r="J136" s="72">
        <f>IFERROR(VLOOKUP($D136,'FERC 2023'!$EA$3:$EN$221,11,0),"")</f>
        <v>10042506.583756344</v>
      </c>
      <c r="K136" s="17"/>
      <c r="L136" s="17">
        <f t="shared" si="1"/>
        <v>4.473672153889071E-2</v>
      </c>
      <c r="M136" s="17">
        <f t="shared" ref="M136:N136" si="134">IFERROR(F136/I136,"")</f>
        <v>4.4045611041056525E-2</v>
      </c>
      <c r="N136" s="17">
        <f t="shared" si="134"/>
        <v>3.8578574036784948E-2</v>
      </c>
      <c r="O136" s="44"/>
    </row>
    <row r="137" spans="1:15" ht="15.75" hidden="1" customHeight="1">
      <c r="A137" s="7" t="s">
        <v>610</v>
      </c>
      <c r="B137" s="7" t="s">
        <v>611</v>
      </c>
      <c r="C137" s="44" t="str">
        <f>IF('BD Comp'!C137=1,IF(AND(M137&gt;=$F$1,N137&gt;=$F$1),1,""),"")</f>
        <v/>
      </c>
      <c r="D137" s="44" t="str">
        <f t="shared" si="0"/>
        <v>C001559</v>
      </c>
      <c r="E137" s="72" t="str">
        <f>VLOOKUP($D137,'FERC 2021'!$EA$3:$ER$221,18,0)</f>
        <v/>
      </c>
      <c r="F137" s="72" t="str">
        <f>IFERROR(VLOOKUP($D137,'FERC 2022'!$EA$3:$ER$220,18,0),"")</f>
        <v/>
      </c>
      <c r="G137" s="72" t="str">
        <f>IFERROR(VLOOKUP($D137,'FERC 2023'!$EA$3:$ER$221,18,0),"")</f>
        <v/>
      </c>
      <c r="H137" s="72" t="str">
        <f>VLOOKUP($D137,'FERC 2021'!$EA$3:$EN$221,11,0)</f>
        <v/>
      </c>
      <c r="I137" s="72" t="str">
        <f>IFERROR(VLOOKUP($D137,'FERC 2022'!$EA$3:$EN$220,11,0),"")</f>
        <v/>
      </c>
      <c r="J137" s="72" t="str">
        <f>IFERROR(VLOOKUP($D137,'FERC 2023'!$EA$3:$EN$221,11,0),"")</f>
        <v/>
      </c>
      <c r="K137" s="17"/>
      <c r="L137" s="17" t="e">
        <f t="shared" si="1"/>
        <v>#VALUE!</v>
      </c>
      <c r="M137" s="17" t="str">
        <f t="shared" ref="M137:N137" si="135">IFERROR(F137/I137,"")</f>
        <v/>
      </c>
      <c r="N137" s="17" t="str">
        <f t="shared" si="135"/>
        <v/>
      </c>
      <c r="O137" s="44"/>
    </row>
    <row r="138" spans="1:15" ht="15.75" hidden="1" customHeight="1">
      <c r="A138" s="7" t="s">
        <v>613</v>
      </c>
      <c r="B138" s="7" t="s">
        <v>614</v>
      </c>
      <c r="C138" s="44" t="str">
        <f>IF('BD Comp'!C138=1,IF(AND(M138&gt;=$F$1,N138&gt;=$F$1),1,""),"")</f>
        <v/>
      </c>
      <c r="D138" s="44" t="str">
        <f t="shared" si="0"/>
        <v>C001607</v>
      </c>
      <c r="E138" s="72">
        <f>VLOOKUP($D138,'FERC 2021'!$EA$3:$ER$221,18,0)</f>
        <v>89937</v>
      </c>
      <c r="F138" s="72">
        <f>IFERROR(VLOOKUP($D138,'FERC 2022'!$EA$3:$ER$220,18,0),"")</f>
        <v>188728</v>
      </c>
      <c r="G138" s="72">
        <f>IFERROR(VLOOKUP($D138,'FERC 2023'!$EA$3:$ER$221,18,0),"")</f>
        <v>198173</v>
      </c>
      <c r="H138" s="72">
        <f>VLOOKUP($D138,'FERC 2021'!$EA$3:$EN$221,11,0)</f>
        <v>5032802</v>
      </c>
      <c r="I138" s="72">
        <f>IFERROR(VLOOKUP($D138,'FERC 2022'!$EA$3:$EN$220,11,0),"")</f>
        <v>5151863</v>
      </c>
      <c r="J138" s="72">
        <f>IFERROR(VLOOKUP($D138,'FERC 2023'!$EA$3:$EN$221,11,0),"")</f>
        <v>4946509</v>
      </c>
      <c r="K138" s="17"/>
      <c r="L138" s="17">
        <f t="shared" si="1"/>
        <v>1.7870164572339624E-2</v>
      </c>
      <c r="M138" s="17">
        <f t="shared" ref="M138:N138" si="136">IFERROR(F138/I138,"")</f>
        <v>3.6632961707250368E-2</v>
      </c>
      <c r="N138" s="17">
        <f t="shared" si="136"/>
        <v>4.0063204170860699E-2</v>
      </c>
      <c r="O138" s="44"/>
    </row>
    <row r="139" spans="1:15" ht="15.75" hidden="1" customHeight="1">
      <c r="A139" s="7" t="s">
        <v>616</v>
      </c>
      <c r="B139" s="7" t="s">
        <v>617</v>
      </c>
      <c r="C139" s="44" t="str">
        <f>IF('BD Comp'!C139=1,IF(AND(M139&gt;=$F$1,N139&gt;=$F$1),1,""),"")</f>
        <v/>
      </c>
      <c r="D139" s="44" t="str">
        <f t="shared" si="0"/>
        <v>C001609</v>
      </c>
      <c r="E139" s="72">
        <f>VLOOKUP($D139,'FERC 2021'!$EA$3:$ER$221,18,0)</f>
        <v>656496.63451776654</v>
      </c>
      <c r="F139" s="72">
        <f>IFERROR(VLOOKUP($D139,'FERC 2022'!$EA$3:$ER$220,18,0),"")</f>
        <v>336113.12690355326</v>
      </c>
      <c r="G139" s="72">
        <f>IFERROR(VLOOKUP($D139,'FERC 2023'!$EA$3:$ER$221,18,0),"")</f>
        <v>708937.08629441622</v>
      </c>
      <c r="H139" s="72">
        <f>VLOOKUP($D139,'FERC 2021'!$EA$3:$EN$221,11,0)</f>
        <v>10213224.634517767</v>
      </c>
      <c r="I139" s="72">
        <f>IFERROR(VLOOKUP($D139,'FERC 2022'!$EA$3:$EN$220,11,0),"")</f>
        <v>9087506.1269035526</v>
      </c>
      <c r="J139" s="72">
        <f>IFERROR(VLOOKUP($D139,'FERC 2023'!$EA$3:$EN$221,11,0),"")</f>
        <v>9056509.0862944163</v>
      </c>
      <c r="K139" s="17"/>
      <c r="L139" s="17">
        <f t="shared" si="1"/>
        <v>6.4279075219690798E-2</v>
      </c>
      <c r="M139" s="17">
        <f t="shared" ref="M139:N139" si="137">IFERROR(F139/I139,"")</f>
        <v>3.698628889046806E-2</v>
      </c>
      <c r="N139" s="17">
        <f t="shared" si="137"/>
        <v>7.8279288359272947E-2</v>
      </c>
      <c r="O139" s="44"/>
    </row>
    <row r="140" spans="1:15" ht="15.75" hidden="1" customHeight="1">
      <c r="A140" s="7" t="s">
        <v>619</v>
      </c>
      <c r="B140" s="7" t="s">
        <v>620</v>
      </c>
      <c r="C140" s="44" t="str">
        <f>IF('BD Comp'!C140=1,IF(AND(M140&gt;=$F$1,N140&gt;=$F$1),1,""),"")</f>
        <v/>
      </c>
      <c r="D140" s="44" t="str">
        <f t="shared" si="0"/>
        <v>C001610</v>
      </c>
      <c r="E140" s="72">
        <f>VLOOKUP($D140,'FERC 2021'!$EA$3:$ER$221,18,0)</f>
        <v>377131.0609137055</v>
      </c>
      <c r="F140" s="72">
        <f>IFERROR(VLOOKUP($D140,'FERC 2022'!$EA$3:$ER$220,18,0),"")</f>
        <v>318633.62436548225</v>
      </c>
      <c r="G140" s="72">
        <f>IFERROR(VLOOKUP($D140,'FERC 2023'!$EA$3:$ER$221,18,0),"")</f>
        <v>731385.43147208123</v>
      </c>
      <c r="H140" s="72">
        <f>VLOOKUP($D140,'FERC 2021'!$EA$3:$EN$221,11,0)</f>
        <v>21098302.060913704</v>
      </c>
      <c r="I140" s="72">
        <f>IFERROR(VLOOKUP($D140,'FERC 2022'!$EA$3:$EN$220,11,0),"")</f>
        <v>21343868.624365482</v>
      </c>
      <c r="J140" s="72">
        <f>IFERROR(VLOOKUP($D140,'FERC 2023'!$EA$3:$EN$221,11,0),"")</f>
        <v>21128454.431472082</v>
      </c>
      <c r="K140" s="17"/>
      <c r="L140" s="17">
        <f t="shared" si="1"/>
        <v>1.7874948411719396E-2</v>
      </c>
      <c r="M140" s="17">
        <f t="shared" ref="M140:N140" si="138">IFERROR(F140/I140,"")</f>
        <v>1.4928578786403334E-2</v>
      </c>
      <c r="N140" s="17">
        <f t="shared" si="138"/>
        <v>3.4616135025127032E-2</v>
      </c>
      <c r="O140" s="44"/>
    </row>
    <row r="141" spans="1:15" ht="15.75" customHeight="1">
      <c r="A141" s="7" t="s">
        <v>622</v>
      </c>
      <c r="B141" s="7" t="s">
        <v>623</v>
      </c>
      <c r="C141" s="44">
        <f>IF('BD Comp'!C141=1,IF(AND(M141&gt;=$F$1,N141&gt;=$F$1),1,""),"")</f>
        <v>1</v>
      </c>
      <c r="D141" s="44" t="str">
        <f t="shared" si="0"/>
        <v>C001646</v>
      </c>
      <c r="E141" s="72">
        <f>VLOOKUP($D141,'FERC 2021'!$EA$3:$ER$221,18,0)</f>
        <v>4258570.1472081216</v>
      </c>
      <c r="F141" s="72">
        <f>IFERROR(VLOOKUP($D141,'FERC 2022'!$EA$3:$ER$220,18,0),"")</f>
        <v>4269216.8832487306</v>
      </c>
      <c r="G141" s="72">
        <f>IFERROR(VLOOKUP($D141,'FERC 2023'!$EA$3:$ER$221,18,0),"")</f>
        <v>4412552.0913705584</v>
      </c>
      <c r="H141" s="72">
        <f>VLOOKUP($D141,'FERC 2021'!$EA$3:$EN$221,11,0)</f>
        <v>60532504.147208124</v>
      </c>
      <c r="I141" s="72">
        <f>IFERROR(VLOOKUP($D141,'FERC 2022'!$EA$3:$EN$220,11,0),"")</f>
        <v>61433312.883248731</v>
      </c>
      <c r="J141" s="72">
        <f>IFERROR(VLOOKUP($D141,'FERC 2023'!$EA$3:$EN$221,11,0),"")</f>
        <v>61108880.09137056</v>
      </c>
      <c r="K141" s="17"/>
      <c r="L141" s="17">
        <f t="shared" si="1"/>
        <v>7.0351792102500268E-2</v>
      </c>
      <c r="M141" s="17">
        <f t="shared" ref="M141:N141" si="139">IFERROR(F141/I141,"")</f>
        <v>6.9493515535491088E-2</v>
      </c>
      <c r="N141" s="17">
        <f t="shared" si="139"/>
        <v>7.2208034000506474E-2</v>
      </c>
      <c r="O141" s="44"/>
    </row>
    <row r="142" spans="1:15" ht="15.75" hidden="1" customHeight="1">
      <c r="A142" s="7" t="s">
        <v>625</v>
      </c>
      <c r="B142" s="7" t="s">
        <v>626</v>
      </c>
      <c r="C142" s="44" t="str">
        <f>IF('BD Comp'!C142=1,IF(AND(M142&gt;=$F$1,N142&gt;=$F$1),1,""),"")</f>
        <v/>
      </c>
      <c r="D142" s="44" t="str">
        <f t="shared" si="0"/>
        <v>C001654</v>
      </c>
      <c r="E142" s="72" t="str">
        <f>VLOOKUP($D142,'FERC 2021'!$EA$3:$ER$221,18,0)</f>
        <v/>
      </c>
      <c r="F142" s="72" t="str">
        <f>IFERROR(VLOOKUP($D142,'FERC 2022'!$EA$3:$ER$220,18,0),"")</f>
        <v/>
      </c>
      <c r="G142" s="72" t="str">
        <f>IFERROR(VLOOKUP($D142,'FERC 2023'!$EA$3:$ER$221,18,0),"")</f>
        <v/>
      </c>
      <c r="H142" s="72" t="str">
        <f>VLOOKUP($D142,'FERC 2021'!$EA$3:$EN$221,11,0)</f>
        <v/>
      </c>
      <c r="I142" s="72" t="str">
        <f>IFERROR(VLOOKUP($D142,'FERC 2022'!$EA$3:$EN$220,11,0),"")</f>
        <v/>
      </c>
      <c r="J142" s="72" t="str">
        <f>IFERROR(VLOOKUP($D142,'FERC 2023'!$EA$3:$EN$221,11,0),"")</f>
        <v/>
      </c>
      <c r="K142" s="17"/>
      <c r="L142" s="17" t="e">
        <f t="shared" si="1"/>
        <v>#VALUE!</v>
      </c>
      <c r="M142" s="17" t="str">
        <f t="shared" ref="M142:N142" si="140">IFERROR(F142/I142,"")</f>
        <v/>
      </c>
      <c r="N142" s="17" t="str">
        <f t="shared" si="140"/>
        <v/>
      </c>
      <c r="O142" s="44"/>
    </row>
    <row r="143" spans="1:15" ht="15.75" hidden="1" customHeight="1">
      <c r="A143" s="7" t="s">
        <v>628</v>
      </c>
      <c r="B143" s="7" t="s">
        <v>629</v>
      </c>
      <c r="C143" s="44" t="str">
        <f>IF('BD Comp'!C143=1,IF(AND(M143&gt;=$F$1,N143&gt;=$F$1),1,""),"")</f>
        <v/>
      </c>
      <c r="D143" s="44" t="str">
        <f t="shared" si="0"/>
        <v>C001655</v>
      </c>
      <c r="E143" s="72" t="str">
        <f>VLOOKUP($D143,'FERC 2021'!$EA$3:$ER$221,18,0)</f>
        <v/>
      </c>
      <c r="F143" s="72" t="str">
        <f>IFERROR(VLOOKUP($D143,'FERC 2022'!$EA$3:$ER$220,18,0),"")</f>
        <v/>
      </c>
      <c r="G143" s="72" t="str">
        <f>IFERROR(VLOOKUP($D143,'FERC 2023'!$EA$3:$ER$221,18,0),"")</f>
        <v/>
      </c>
      <c r="H143" s="72" t="str">
        <f>VLOOKUP($D143,'FERC 2021'!$EA$3:$EN$221,11,0)</f>
        <v/>
      </c>
      <c r="I143" s="72" t="str">
        <f>IFERROR(VLOOKUP($D143,'FERC 2022'!$EA$3:$EN$220,11,0),"")</f>
        <v/>
      </c>
      <c r="J143" s="72" t="str">
        <f>IFERROR(VLOOKUP($D143,'FERC 2023'!$EA$3:$EN$221,11,0),"")</f>
        <v/>
      </c>
      <c r="K143" s="17"/>
      <c r="L143" s="17" t="e">
        <f t="shared" si="1"/>
        <v>#VALUE!</v>
      </c>
      <c r="M143" s="17" t="str">
        <f t="shared" ref="M143:N143" si="141">IFERROR(F143/I143,"")</f>
        <v/>
      </c>
      <c r="N143" s="17" t="str">
        <f t="shared" si="141"/>
        <v/>
      </c>
      <c r="O143" s="44"/>
    </row>
    <row r="144" spans="1:15" ht="15.75" hidden="1" customHeight="1">
      <c r="A144" s="7" t="s">
        <v>631</v>
      </c>
      <c r="B144" s="7" t="s">
        <v>632</v>
      </c>
      <c r="C144" s="44" t="str">
        <f>IF('BD Comp'!C144=1,IF(AND(M144&gt;=$F$1,N144&gt;=$F$1),1,""),"")</f>
        <v/>
      </c>
      <c r="D144" s="44" t="str">
        <f t="shared" si="0"/>
        <v>C001656</v>
      </c>
      <c r="E144" s="72" t="str">
        <f>VLOOKUP($D144,'FERC 2021'!$EA$3:$ER$221,18,0)</f>
        <v/>
      </c>
      <c r="F144" s="72" t="str">
        <f>IFERROR(VLOOKUP($D144,'FERC 2022'!$EA$3:$ER$220,18,0),"")</f>
        <v/>
      </c>
      <c r="G144" s="72" t="str">
        <f>IFERROR(VLOOKUP($D144,'FERC 2023'!$EA$3:$ER$221,18,0),"")</f>
        <v/>
      </c>
      <c r="H144" s="72" t="str">
        <f>VLOOKUP($D144,'FERC 2021'!$EA$3:$EN$221,11,0)</f>
        <v/>
      </c>
      <c r="I144" s="72" t="str">
        <f>IFERROR(VLOOKUP($D144,'FERC 2022'!$EA$3:$EN$220,11,0),"")</f>
        <v/>
      </c>
      <c r="J144" s="72" t="str">
        <f>IFERROR(VLOOKUP($D144,'FERC 2023'!$EA$3:$EN$221,11,0),"")</f>
        <v/>
      </c>
      <c r="K144" s="17"/>
      <c r="L144" s="17" t="e">
        <f t="shared" si="1"/>
        <v>#VALUE!</v>
      </c>
      <c r="M144" s="17" t="str">
        <f t="shared" ref="M144:N144" si="142">IFERROR(F144/I144,"")</f>
        <v/>
      </c>
      <c r="N144" s="17" t="str">
        <f t="shared" si="142"/>
        <v/>
      </c>
      <c r="O144" s="44"/>
    </row>
    <row r="145" spans="1:15" ht="15.75" hidden="1" customHeight="1">
      <c r="A145" s="7" t="s">
        <v>634</v>
      </c>
      <c r="B145" s="7" t="s">
        <v>635</v>
      </c>
      <c r="C145" s="44" t="str">
        <f>IF('BD Comp'!C145=1,IF(AND(M145&gt;=$F$1,N145&gt;=$F$1),1,""),"")</f>
        <v/>
      </c>
      <c r="D145" s="44" t="str">
        <f t="shared" si="0"/>
        <v>C001673</v>
      </c>
      <c r="E145" s="72">
        <f>VLOOKUP($D145,'FERC 2021'!$EA$3:$ER$221,18,0)</f>
        <v>365850.5786802033</v>
      </c>
      <c r="F145" s="72">
        <f>IFERROR(VLOOKUP($D145,'FERC 2022'!$EA$3:$ER$220,18,0),"")</f>
        <v>397563.42639593873</v>
      </c>
      <c r="G145" s="72">
        <f>IFERROR(VLOOKUP($D145,'FERC 2023'!$EA$3:$ER$221,18,0),"")</f>
        <v>422807.17258883268</v>
      </c>
      <c r="H145" s="72">
        <f>VLOOKUP($D145,'FERC 2021'!$EA$3:$EN$221,11,0)</f>
        <v>9262689.5786802024</v>
      </c>
      <c r="I145" s="72">
        <f>IFERROR(VLOOKUP($D145,'FERC 2022'!$EA$3:$EN$220,11,0),"")</f>
        <v>8731299.4263959378</v>
      </c>
      <c r="J145" s="72">
        <f>IFERROR(VLOOKUP($D145,'FERC 2023'!$EA$3:$EN$221,11,0),"")</f>
        <v>8901590.1725888327</v>
      </c>
      <c r="K145" s="17"/>
      <c r="L145" s="17">
        <f t="shared" si="1"/>
        <v>3.9497229781107666E-2</v>
      </c>
      <c r="M145" s="17">
        <f t="shared" ref="M145:N145" si="143">IFERROR(F145/I145,"")</f>
        <v>4.5533133956447418E-2</v>
      </c>
      <c r="N145" s="17">
        <f t="shared" si="143"/>
        <v>4.7497937378740106E-2</v>
      </c>
      <c r="O145" s="44"/>
    </row>
    <row r="146" spans="1:15" ht="15.75" hidden="1" customHeight="1">
      <c r="A146" s="7" t="s">
        <v>637</v>
      </c>
      <c r="B146" s="7" t="s">
        <v>638</v>
      </c>
      <c r="C146" s="44" t="str">
        <f>IF('BD Comp'!C146=1,IF(AND(M146&gt;=$F$1,N146&gt;=$F$1),1,""),"")</f>
        <v/>
      </c>
      <c r="D146" s="44" t="str">
        <f t="shared" si="0"/>
        <v>C001675</v>
      </c>
      <c r="E146" s="72" t="str">
        <f>VLOOKUP($D146,'FERC 2021'!$EA$3:$ER$221,18,0)</f>
        <v/>
      </c>
      <c r="F146" s="72" t="str">
        <f>IFERROR(VLOOKUP($D146,'FERC 2022'!$EA$3:$ER$220,18,0),"")</f>
        <v/>
      </c>
      <c r="G146" s="72" t="str">
        <f>IFERROR(VLOOKUP($D146,'FERC 2023'!$EA$3:$ER$221,18,0),"")</f>
        <v/>
      </c>
      <c r="H146" s="72" t="str">
        <f>VLOOKUP($D146,'FERC 2021'!$EA$3:$EN$221,11,0)</f>
        <v/>
      </c>
      <c r="I146" s="72" t="str">
        <f>IFERROR(VLOOKUP($D146,'FERC 2022'!$EA$3:$EN$220,11,0),"")</f>
        <v/>
      </c>
      <c r="J146" s="72" t="str">
        <f>IFERROR(VLOOKUP($D146,'FERC 2023'!$EA$3:$EN$221,11,0),"")</f>
        <v/>
      </c>
      <c r="K146" s="17"/>
      <c r="L146" s="17" t="e">
        <f t="shared" si="1"/>
        <v>#VALUE!</v>
      </c>
      <c r="M146" s="17" t="str">
        <f t="shared" ref="M146:N146" si="144">IFERROR(F146/I146,"")</f>
        <v/>
      </c>
      <c r="N146" s="17" t="str">
        <f t="shared" si="144"/>
        <v/>
      </c>
      <c r="O146" s="44"/>
    </row>
    <row r="147" spans="1:15" ht="15.75" hidden="1" customHeight="1">
      <c r="A147" s="7" t="s">
        <v>640</v>
      </c>
      <c r="B147" s="7" t="s">
        <v>641</v>
      </c>
      <c r="C147" s="44" t="str">
        <f>IF('BD Comp'!C147=1,IF(AND(M147&gt;=$F$1,N147&gt;=$F$1),1,""),"")</f>
        <v/>
      </c>
      <c r="D147" s="44" t="str">
        <f t="shared" si="0"/>
        <v>C001696</v>
      </c>
      <c r="E147" s="72">
        <f>VLOOKUP($D147,'FERC 2021'!$EA$3:$ER$221,18,0)</f>
        <v>132618.22335025377</v>
      </c>
      <c r="F147" s="72">
        <f>IFERROR(VLOOKUP($D147,'FERC 2022'!$EA$3:$ER$220,18,0),"")</f>
        <v>99799.56345177663</v>
      </c>
      <c r="G147" s="72">
        <f>IFERROR(VLOOKUP($D147,'FERC 2023'!$EA$3:$ER$221,18,0),"")</f>
        <v>105749.4060913705</v>
      </c>
      <c r="H147" s="72">
        <f>VLOOKUP($D147,'FERC 2021'!$EA$3:$EN$221,11,0)</f>
        <v>2053529.2233502539</v>
      </c>
      <c r="I147" s="72">
        <f>IFERROR(VLOOKUP($D147,'FERC 2022'!$EA$3:$EN$220,11,0),"")</f>
        <v>1998477.5634517767</v>
      </c>
      <c r="J147" s="72">
        <f>IFERROR(VLOOKUP($D147,'FERC 2023'!$EA$3:$EN$221,11,0),"")</f>
        <v>1904404.4060913706</v>
      </c>
      <c r="K147" s="17"/>
      <c r="L147" s="17">
        <f t="shared" si="1"/>
        <v>6.458063603004989E-2</v>
      </c>
      <c r="M147" s="17">
        <f t="shared" ref="M147:N147" si="145">IFERROR(F147/I147,"")</f>
        <v>4.9937795288230565E-2</v>
      </c>
      <c r="N147" s="17">
        <f t="shared" si="145"/>
        <v>5.5528860232166882E-2</v>
      </c>
      <c r="O147" s="44"/>
    </row>
    <row r="148" spans="1:15" ht="15.75" hidden="1" customHeight="1">
      <c r="A148" s="7" t="s">
        <v>643</v>
      </c>
      <c r="B148" s="7" t="s">
        <v>644</v>
      </c>
      <c r="C148" s="44" t="str">
        <f>IF('BD Comp'!C148=1,IF(AND(M148&gt;=$F$1,N148&gt;=$F$1),1,""),"")</f>
        <v/>
      </c>
      <c r="D148" s="44" t="str">
        <f t="shared" si="0"/>
        <v>C001702</v>
      </c>
      <c r="E148" s="72" t="str">
        <f>VLOOKUP($D148,'FERC 2021'!$EA$3:$ER$221,18,0)</f>
        <v/>
      </c>
      <c r="F148" s="72" t="str">
        <f>IFERROR(VLOOKUP($D148,'FERC 2022'!$EA$3:$ER$220,18,0),"")</f>
        <v/>
      </c>
      <c r="G148" s="72" t="str">
        <f>IFERROR(VLOOKUP($D148,'FERC 2023'!$EA$3:$ER$221,18,0),"")</f>
        <v/>
      </c>
      <c r="H148" s="72" t="str">
        <f>VLOOKUP($D148,'FERC 2021'!$EA$3:$EN$221,11,0)</f>
        <v/>
      </c>
      <c r="I148" s="72" t="str">
        <f>IFERROR(VLOOKUP($D148,'FERC 2022'!$EA$3:$EN$220,11,0),"")</f>
        <v/>
      </c>
      <c r="J148" s="72" t="str">
        <f>IFERROR(VLOOKUP($D148,'FERC 2023'!$EA$3:$EN$221,11,0),"")</f>
        <v/>
      </c>
      <c r="K148" s="17"/>
      <c r="L148" s="17" t="e">
        <f t="shared" si="1"/>
        <v>#VALUE!</v>
      </c>
      <c r="M148" s="17" t="str">
        <f t="shared" ref="M148:N148" si="146">IFERROR(F148/I148,"")</f>
        <v/>
      </c>
      <c r="N148" s="17" t="str">
        <f t="shared" si="146"/>
        <v/>
      </c>
      <c r="O148" s="44"/>
    </row>
    <row r="149" spans="1:15" ht="15.75" hidden="1" customHeight="1">
      <c r="A149" s="7" t="s">
        <v>646</v>
      </c>
      <c r="B149" s="7" t="s">
        <v>647</v>
      </c>
      <c r="C149" s="44" t="str">
        <f>IF('BD Comp'!C149=1,IF(AND(M149&gt;=$F$1,N149&gt;=$F$1),1,""),"")</f>
        <v/>
      </c>
      <c r="D149" s="44" t="str">
        <f t="shared" si="0"/>
        <v>C001731</v>
      </c>
      <c r="E149" s="72" t="str">
        <f>VLOOKUP($D149,'FERC 2021'!$EA$3:$ER$221,18,0)</f>
        <v/>
      </c>
      <c r="F149" s="72" t="str">
        <f>IFERROR(VLOOKUP($D149,'FERC 2022'!$EA$3:$ER$220,18,0),"")</f>
        <v/>
      </c>
      <c r="G149" s="72" t="str">
        <f>IFERROR(VLOOKUP($D149,'FERC 2023'!$EA$3:$ER$221,18,0),"")</f>
        <v/>
      </c>
      <c r="H149" s="72" t="str">
        <f>VLOOKUP($D149,'FERC 2021'!$EA$3:$EN$221,11,0)</f>
        <v/>
      </c>
      <c r="I149" s="72" t="str">
        <f>IFERROR(VLOOKUP($D149,'FERC 2022'!$EA$3:$EN$220,11,0),"")</f>
        <v/>
      </c>
      <c r="J149" s="72" t="str">
        <f>IFERROR(VLOOKUP($D149,'FERC 2023'!$EA$3:$EN$221,11,0),"")</f>
        <v/>
      </c>
      <c r="K149" s="17"/>
      <c r="L149" s="17" t="e">
        <f t="shared" si="1"/>
        <v>#VALUE!</v>
      </c>
      <c r="M149" s="17" t="str">
        <f t="shared" ref="M149:N149" si="147">IFERROR(F149/I149,"")</f>
        <v/>
      </c>
      <c r="N149" s="17" t="str">
        <f t="shared" si="147"/>
        <v/>
      </c>
      <c r="O149" s="44"/>
    </row>
    <row r="150" spans="1:15" ht="15.75" hidden="1" customHeight="1">
      <c r="A150" s="7" t="s">
        <v>649</v>
      </c>
      <c r="B150" s="7" t="s">
        <v>650</v>
      </c>
      <c r="C150" s="44" t="str">
        <f>IF('BD Comp'!C150=1,IF(AND(M150&gt;=$F$1,N150&gt;=$F$1),1,""),"")</f>
        <v/>
      </c>
      <c r="D150" s="44" t="str">
        <f t="shared" si="0"/>
        <v>C001745</v>
      </c>
      <c r="E150" s="72">
        <f>VLOOKUP($D150,'FERC 2021'!$EA$3:$ER$221,18,0)</f>
        <v>249647.58375634515</v>
      </c>
      <c r="F150" s="72">
        <f>IFERROR(VLOOKUP($D150,'FERC 2022'!$EA$3:$ER$220,18,0),"")</f>
        <v>191739.74619289336</v>
      </c>
      <c r="G150" s="72">
        <f>IFERROR(VLOOKUP($D150,'FERC 2023'!$EA$3:$ER$221,18,0),"")</f>
        <v>223840.95939086296</v>
      </c>
      <c r="H150" s="72">
        <f>VLOOKUP($D150,'FERC 2021'!$EA$3:$EN$221,11,0)</f>
        <v>4350151.5837563453</v>
      </c>
      <c r="I150" s="72">
        <f>IFERROR(VLOOKUP($D150,'FERC 2022'!$EA$3:$EN$220,11,0),"")</f>
        <v>4321172.746192893</v>
      </c>
      <c r="J150" s="72">
        <f>IFERROR(VLOOKUP($D150,'FERC 2023'!$EA$3:$EN$221,11,0),"")</f>
        <v>4256868.9593908628</v>
      </c>
      <c r="K150" s="17"/>
      <c r="L150" s="17">
        <f t="shared" si="1"/>
        <v>5.7388249340216108E-2</v>
      </c>
      <c r="M150" s="17">
        <f t="shared" ref="M150:N150" si="148">IFERROR(F150/I150,"")</f>
        <v>4.4372154841951852E-2</v>
      </c>
      <c r="N150" s="17">
        <f t="shared" si="148"/>
        <v>5.2583474268583903E-2</v>
      </c>
      <c r="O150" s="44"/>
    </row>
    <row r="151" spans="1:15" ht="15.75" hidden="1" customHeight="1">
      <c r="A151" s="7" t="s">
        <v>652</v>
      </c>
      <c r="B151" s="7" t="s">
        <v>653</v>
      </c>
      <c r="C151" s="44" t="str">
        <f>IF('BD Comp'!C151=1,IF(AND(M151&gt;=$F$1,N151&gt;=$F$1),1,""),"")</f>
        <v/>
      </c>
      <c r="D151" s="44" t="str">
        <f t="shared" si="0"/>
        <v>C001775</v>
      </c>
      <c r="E151" s="72">
        <f>VLOOKUP($D151,'FERC 2021'!$EA$3:$ER$221,18,0)</f>
        <v>1456598.7563451775</v>
      </c>
      <c r="F151" s="72">
        <f>IFERROR(VLOOKUP($D151,'FERC 2022'!$EA$3:$ER$220,18,0),"")</f>
        <v>1402982.2944162437</v>
      </c>
      <c r="G151" s="72">
        <f>IFERROR(VLOOKUP($D151,'FERC 2023'!$EA$3:$ER$221,18,0),"")</f>
        <v>1457355.0913705584</v>
      </c>
      <c r="H151" s="72">
        <f>VLOOKUP($D151,'FERC 2021'!$EA$3:$EN$221,11,0)</f>
        <v>29113256.756345179</v>
      </c>
      <c r="I151" s="72">
        <f>IFERROR(VLOOKUP($D151,'FERC 2022'!$EA$3:$EN$220,11,0),"")</f>
        <v>31342885.294416245</v>
      </c>
      <c r="J151" s="72">
        <f>IFERROR(VLOOKUP($D151,'FERC 2023'!$EA$3:$EN$221,11,0),"")</f>
        <v>31196379.09137056</v>
      </c>
      <c r="K151" s="17"/>
      <c r="L151" s="17">
        <f t="shared" si="1"/>
        <v>5.0032147503652771E-2</v>
      </c>
      <c r="M151" s="17">
        <f t="shared" ref="M151:N151" si="149">IFERROR(F151/I151,"")</f>
        <v>4.4762384867808765E-2</v>
      </c>
      <c r="N151" s="17">
        <f t="shared" si="149"/>
        <v>4.6715520641101814E-2</v>
      </c>
      <c r="O151" s="44"/>
    </row>
    <row r="152" spans="1:15" ht="15.75" hidden="1" customHeight="1">
      <c r="A152" s="7" t="s">
        <v>655</v>
      </c>
      <c r="B152" s="7" t="s">
        <v>656</v>
      </c>
      <c r="C152" s="44" t="str">
        <f>IF('BD Comp'!C152=1,IF(AND(M152&gt;=$F$1,N152&gt;=$F$1),1,""),"")</f>
        <v/>
      </c>
      <c r="D152" s="44" t="str">
        <f t="shared" si="0"/>
        <v>C001789</v>
      </c>
      <c r="E152" s="72">
        <f>VLOOKUP($D152,'FERC 2021'!$EA$3:$ER$221,18,0)</f>
        <v>1090216.7969543147</v>
      </c>
      <c r="F152" s="72">
        <f>IFERROR(VLOOKUP($D152,'FERC 2022'!$EA$3:$ER$220,18,0),"")</f>
        <v>584337.4873096447</v>
      </c>
      <c r="G152" s="72">
        <f>IFERROR(VLOOKUP($D152,'FERC 2023'!$EA$3:$ER$221,18,0),"")</f>
        <v>587137.02538071061</v>
      </c>
      <c r="H152" s="72">
        <f>VLOOKUP($D152,'FERC 2021'!$EA$3:$EN$221,11,0)</f>
        <v>8967065.7969543152</v>
      </c>
      <c r="I152" s="72">
        <f>IFERROR(VLOOKUP($D152,'FERC 2022'!$EA$3:$EN$220,11,0),"")</f>
        <v>8721244.487309644</v>
      </c>
      <c r="J152" s="72">
        <f>IFERROR(VLOOKUP($D152,'FERC 2023'!$EA$3:$EN$221,11,0),"")</f>
        <v>8630240.0253807101</v>
      </c>
      <c r="K152" s="17"/>
      <c r="L152" s="17">
        <f t="shared" si="1"/>
        <v>0.12158010453370481</v>
      </c>
      <c r="M152" s="17">
        <f t="shared" ref="M152:N152" si="150">IFERROR(F152/I152,"")</f>
        <v>6.7001617505382291E-2</v>
      </c>
      <c r="N152" s="17">
        <f t="shared" si="150"/>
        <v>6.8032525590713211E-2</v>
      </c>
      <c r="O152" s="44"/>
    </row>
    <row r="153" spans="1:15" ht="15.75" hidden="1" customHeight="1">
      <c r="A153" s="7" t="s">
        <v>658</v>
      </c>
      <c r="B153" s="7" t="s">
        <v>659</v>
      </c>
      <c r="C153" s="44" t="str">
        <f>IF('BD Comp'!C153=1,IF(AND(M153&gt;=$F$1,N153&gt;=$F$1),1,""),"")</f>
        <v/>
      </c>
      <c r="D153" s="44" t="str">
        <f t="shared" si="0"/>
        <v>C002012</v>
      </c>
      <c r="E153" s="72" t="str">
        <f>VLOOKUP($D153,'FERC 2021'!$EA$3:$ER$221,18,0)</f>
        <v/>
      </c>
      <c r="F153" s="72" t="str">
        <f>IFERROR(VLOOKUP($D153,'FERC 2022'!$EA$3:$ER$220,18,0),"")</f>
        <v/>
      </c>
      <c r="G153" s="72" t="str">
        <f>IFERROR(VLOOKUP($D153,'FERC 2023'!$EA$3:$ER$221,18,0),"")</f>
        <v/>
      </c>
      <c r="H153" s="72" t="str">
        <f>VLOOKUP($D153,'FERC 2021'!$EA$3:$EN$221,11,0)</f>
        <v/>
      </c>
      <c r="I153" s="72" t="str">
        <f>IFERROR(VLOOKUP($D153,'FERC 2022'!$EA$3:$EN$220,11,0),"")</f>
        <v/>
      </c>
      <c r="J153" s="72" t="str">
        <f>IFERROR(VLOOKUP($D153,'FERC 2023'!$EA$3:$EN$221,11,0),"")</f>
        <v/>
      </c>
      <c r="K153" s="17"/>
      <c r="L153" s="17" t="e">
        <f t="shared" si="1"/>
        <v>#VALUE!</v>
      </c>
      <c r="M153" s="17" t="str">
        <f t="shared" ref="M153:N153" si="151">IFERROR(F153/I153,"")</f>
        <v/>
      </c>
      <c r="N153" s="17" t="str">
        <f t="shared" si="151"/>
        <v/>
      </c>
      <c r="O153" s="44"/>
    </row>
    <row r="154" spans="1:15" ht="15.75" hidden="1" customHeight="1">
      <c r="A154" s="7" t="s">
        <v>661</v>
      </c>
      <c r="B154" s="7" t="s">
        <v>662</v>
      </c>
      <c r="C154" s="44" t="str">
        <f>IF('BD Comp'!C154=1,IF(AND(M154&gt;=$F$1,N154&gt;=$F$1),1,""),"")</f>
        <v/>
      </c>
      <c r="D154" s="44" t="str">
        <f t="shared" si="0"/>
        <v>C002045</v>
      </c>
      <c r="E154" s="72">
        <f>VLOOKUP($D154,'FERC 2021'!$EA$3:$ER$221,18,0)</f>
        <v>253943.48223350255</v>
      </c>
      <c r="F154" s="72">
        <f>IFERROR(VLOOKUP($D154,'FERC 2022'!$EA$3:$ER$220,18,0),"")</f>
        <v>226749.85279187816</v>
      </c>
      <c r="G154" s="72">
        <f>IFERROR(VLOOKUP($D154,'FERC 2023'!$EA$3:$ER$221,18,0),"")</f>
        <v>280419.99492385786</v>
      </c>
      <c r="H154" s="72">
        <f>VLOOKUP($D154,'FERC 2021'!$EA$3:$EN$221,11,0)</f>
        <v>3525561.4822335024</v>
      </c>
      <c r="I154" s="72">
        <f>IFERROR(VLOOKUP($D154,'FERC 2022'!$EA$3:$EN$220,11,0),"")</f>
        <v>3570663.8527918784</v>
      </c>
      <c r="J154" s="72">
        <f>IFERROR(VLOOKUP($D154,'FERC 2023'!$EA$3:$EN$221,11,0),"")</f>
        <v>4476613.994923858</v>
      </c>
      <c r="K154" s="17"/>
      <c r="L154" s="17">
        <f t="shared" si="1"/>
        <v>7.2029230950363426E-2</v>
      </c>
      <c r="M154" s="17">
        <f t="shared" ref="M154:N154" si="152">IFERROR(F154/I154,"")</f>
        <v>6.3503556240552844E-2</v>
      </c>
      <c r="N154" s="17">
        <f t="shared" si="152"/>
        <v>6.2641093299943426E-2</v>
      </c>
      <c r="O154" s="44"/>
    </row>
    <row r="155" spans="1:15" ht="15.75" hidden="1" customHeight="1">
      <c r="A155" s="7" t="s">
        <v>664</v>
      </c>
      <c r="B155" s="7" t="s">
        <v>665</v>
      </c>
      <c r="C155" s="44" t="str">
        <f>IF('BD Comp'!C155=1,IF(AND(M155&gt;=$F$1,N155&gt;=$F$1),1,""),"")</f>
        <v/>
      </c>
      <c r="D155" s="44" t="str">
        <f t="shared" si="0"/>
        <v>C002073</v>
      </c>
      <c r="E155" s="72" t="str">
        <f>VLOOKUP($D155,'FERC 2021'!$EA$3:$ER$221,18,0)</f>
        <v/>
      </c>
      <c r="F155" s="72" t="str">
        <f>IFERROR(VLOOKUP($D155,'FERC 2022'!$EA$3:$ER$220,18,0),"")</f>
        <v/>
      </c>
      <c r="G155" s="72" t="str">
        <f>IFERROR(VLOOKUP($D155,'FERC 2023'!$EA$3:$ER$221,18,0),"")</f>
        <v/>
      </c>
      <c r="H155" s="72" t="str">
        <f>VLOOKUP($D155,'FERC 2021'!$EA$3:$EN$221,11,0)</f>
        <v/>
      </c>
      <c r="I155" s="72" t="str">
        <f>IFERROR(VLOOKUP($D155,'FERC 2022'!$EA$3:$EN$220,11,0),"")</f>
        <v/>
      </c>
      <c r="J155" s="72" t="str">
        <f>IFERROR(VLOOKUP($D155,'FERC 2023'!$EA$3:$EN$221,11,0),"")</f>
        <v/>
      </c>
      <c r="K155" s="17"/>
      <c r="L155" s="17" t="e">
        <f t="shared" si="1"/>
        <v>#VALUE!</v>
      </c>
      <c r="M155" s="17" t="str">
        <f t="shared" ref="M155:N155" si="153">IFERROR(F155/I155,"")</f>
        <v/>
      </c>
      <c r="N155" s="17" t="str">
        <f t="shared" si="153"/>
        <v/>
      </c>
      <c r="O155" s="44"/>
    </row>
    <row r="156" spans="1:15" ht="15.75" hidden="1" customHeight="1">
      <c r="A156" s="7" t="s">
        <v>667</v>
      </c>
      <c r="B156" s="7" t="s">
        <v>668</v>
      </c>
      <c r="C156" s="44" t="str">
        <f>IF('BD Comp'!C156=1,IF(AND(M156&gt;=$F$1,N156&gt;=$F$1),1,""),"")</f>
        <v/>
      </c>
      <c r="D156" s="44" t="str">
        <f t="shared" si="0"/>
        <v>C002083</v>
      </c>
      <c r="E156" s="72" t="str">
        <f>VLOOKUP($D156,'FERC 2021'!$EA$3:$ER$221,18,0)</f>
        <v/>
      </c>
      <c r="F156" s="72" t="str">
        <f>IFERROR(VLOOKUP($D156,'FERC 2022'!$EA$3:$ER$220,18,0),"")</f>
        <v/>
      </c>
      <c r="G156" s="72" t="str">
        <f>IFERROR(VLOOKUP($D156,'FERC 2023'!$EA$3:$ER$221,18,0),"")</f>
        <v/>
      </c>
      <c r="H156" s="72" t="str">
        <f>VLOOKUP($D156,'FERC 2021'!$EA$3:$EN$221,11,0)</f>
        <v/>
      </c>
      <c r="I156" s="72" t="str">
        <f>IFERROR(VLOOKUP($D156,'FERC 2022'!$EA$3:$EN$220,11,0),"")</f>
        <v/>
      </c>
      <c r="J156" s="72" t="str">
        <f>IFERROR(VLOOKUP($D156,'FERC 2023'!$EA$3:$EN$221,11,0),"")</f>
        <v/>
      </c>
      <c r="K156" s="17"/>
      <c r="L156" s="17" t="e">
        <f t="shared" si="1"/>
        <v>#VALUE!</v>
      </c>
      <c r="M156" s="17" t="str">
        <f t="shared" ref="M156:N156" si="154">IFERROR(F156/I156,"")</f>
        <v/>
      </c>
      <c r="N156" s="17" t="str">
        <f t="shared" si="154"/>
        <v/>
      </c>
      <c r="O156" s="44"/>
    </row>
    <row r="157" spans="1:15" ht="15.75" customHeight="1">
      <c r="A157" s="7" t="s">
        <v>670</v>
      </c>
      <c r="B157" s="7" t="s">
        <v>671</v>
      </c>
      <c r="C157" s="44">
        <f>IF('BD Comp'!C157=1,IF(AND(M157&gt;=$F$1,N157&gt;=$F$1),1,""),"")</f>
        <v>1</v>
      </c>
      <c r="D157" s="44" t="str">
        <f t="shared" si="0"/>
        <v>C002089</v>
      </c>
      <c r="E157" s="72">
        <f>VLOOKUP($D157,'FERC 2021'!$EA$3:$ER$221,18,0)</f>
        <v>67683.88324873097</v>
      </c>
      <c r="F157" s="72">
        <f>IFERROR(VLOOKUP($D157,'FERC 2022'!$EA$3:$ER$220,18,0),"")</f>
        <v>75734.88324873097</v>
      </c>
      <c r="G157" s="72">
        <f>IFERROR(VLOOKUP($D157,'FERC 2023'!$EA$3:$ER$221,18,0),"")</f>
        <v>92565.065989847717</v>
      </c>
      <c r="H157" s="72">
        <f>VLOOKUP($D157,'FERC 2021'!$EA$3:$EN$221,11,0)</f>
        <v>1063291.883248731</v>
      </c>
      <c r="I157" s="72">
        <f>IFERROR(VLOOKUP($D157,'FERC 2022'!$EA$3:$EN$220,11,0),"")</f>
        <v>1076797.883248731</v>
      </c>
      <c r="J157" s="72">
        <f>IFERROR(VLOOKUP($D157,'FERC 2023'!$EA$3:$EN$221,11,0),"")</f>
        <v>1046562.0659898478</v>
      </c>
      <c r="K157" s="17"/>
      <c r="L157" s="17">
        <f t="shared" si="1"/>
        <v>6.3655036133571222E-2</v>
      </c>
      <c r="M157" s="17">
        <f t="shared" ref="M157:N157" si="155">IFERROR(F157/I157,"")</f>
        <v>7.0333425080885734E-2</v>
      </c>
      <c r="N157" s="17">
        <f t="shared" si="155"/>
        <v>8.8446800240460519E-2</v>
      </c>
      <c r="O157" s="44"/>
    </row>
    <row r="158" spans="1:15" ht="15.75" hidden="1" customHeight="1">
      <c r="A158" s="7" t="s">
        <v>673</v>
      </c>
      <c r="B158" s="7" t="s">
        <v>674</v>
      </c>
      <c r="C158" s="44" t="str">
        <f>IF('BD Comp'!C158=1,IF(AND(M158&gt;=$F$1,N158&gt;=$F$1),1,""),"")</f>
        <v/>
      </c>
      <c r="D158" s="44" t="str">
        <f t="shared" si="0"/>
        <v>C002101</v>
      </c>
      <c r="E158" s="72" t="str">
        <f>VLOOKUP($D158,'FERC 2021'!$EA$3:$ER$221,18,0)</f>
        <v/>
      </c>
      <c r="F158" s="72" t="str">
        <f>IFERROR(VLOOKUP($D158,'FERC 2022'!$EA$3:$ER$220,18,0),"")</f>
        <v/>
      </c>
      <c r="G158" s="72" t="str">
        <f>IFERROR(VLOOKUP($D158,'FERC 2023'!$EA$3:$ER$221,18,0),"")</f>
        <v/>
      </c>
      <c r="H158" s="72" t="str">
        <f>VLOOKUP($D158,'FERC 2021'!$EA$3:$EN$221,11,0)</f>
        <v/>
      </c>
      <c r="I158" s="72" t="str">
        <f>IFERROR(VLOOKUP($D158,'FERC 2022'!$EA$3:$EN$220,11,0),"")</f>
        <v/>
      </c>
      <c r="J158" s="72" t="str">
        <f>IFERROR(VLOOKUP($D158,'FERC 2023'!$EA$3:$EN$221,11,0),"")</f>
        <v/>
      </c>
      <c r="K158" s="17"/>
      <c r="L158" s="17" t="e">
        <f t="shared" si="1"/>
        <v>#VALUE!</v>
      </c>
      <c r="M158" s="17" t="str">
        <f t="shared" ref="M158:N158" si="156">IFERROR(F158/I158,"")</f>
        <v/>
      </c>
      <c r="N158" s="17" t="str">
        <f t="shared" si="156"/>
        <v/>
      </c>
      <c r="O158" s="44"/>
    </row>
    <row r="159" spans="1:15" ht="15.75" hidden="1" customHeight="1">
      <c r="A159" s="7" t="s">
        <v>676</v>
      </c>
      <c r="B159" s="7" t="s">
        <v>677</v>
      </c>
      <c r="C159" s="44" t="str">
        <f>IF('BD Comp'!C159=1,IF(AND(M159&gt;=$F$1,N159&gt;=$F$1),1,""),"")</f>
        <v/>
      </c>
      <c r="D159" s="44" t="str">
        <f t="shared" si="0"/>
        <v>C002115</v>
      </c>
      <c r="E159" s="72" t="str">
        <f>VLOOKUP($D159,'FERC 2021'!$EA$3:$ER$221,18,0)</f>
        <v/>
      </c>
      <c r="F159" s="72" t="str">
        <f>IFERROR(VLOOKUP($D159,'FERC 2022'!$EA$3:$ER$220,18,0),"")</f>
        <v/>
      </c>
      <c r="G159" s="72" t="str">
        <f>IFERROR(VLOOKUP($D159,'FERC 2023'!$EA$3:$ER$221,18,0),"")</f>
        <v/>
      </c>
      <c r="H159" s="72" t="str">
        <f>VLOOKUP($D159,'FERC 2021'!$EA$3:$EN$221,11,0)</f>
        <v/>
      </c>
      <c r="I159" s="72" t="str">
        <f>IFERROR(VLOOKUP($D159,'FERC 2022'!$EA$3:$EN$220,11,0),"")</f>
        <v/>
      </c>
      <c r="J159" s="72" t="str">
        <f>IFERROR(VLOOKUP($D159,'FERC 2023'!$EA$3:$EN$221,11,0),"")</f>
        <v/>
      </c>
      <c r="K159" s="17"/>
      <c r="L159" s="17" t="e">
        <f t="shared" si="1"/>
        <v>#VALUE!</v>
      </c>
      <c r="M159" s="17" t="str">
        <f t="shared" ref="M159:N159" si="157">IFERROR(F159/I159,"")</f>
        <v/>
      </c>
      <c r="N159" s="17" t="str">
        <f t="shared" si="157"/>
        <v/>
      </c>
      <c r="O159" s="44"/>
    </row>
    <row r="160" spans="1:15" ht="15.75" hidden="1" customHeight="1">
      <c r="A160" s="7" t="s">
        <v>679</v>
      </c>
      <c r="B160" s="7" t="s">
        <v>680</v>
      </c>
      <c r="C160" s="44" t="str">
        <f>IF('BD Comp'!C160=1,IF(AND(M160&gt;=$F$1,N160&gt;=$F$1),1,""),"")</f>
        <v/>
      </c>
      <c r="D160" s="44" t="str">
        <f t="shared" si="0"/>
        <v>C002116</v>
      </c>
      <c r="E160" s="72" t="str">
        <f>VLOOKUP($D160,'FERC 2021'!$EA$3:$ER$221,18,0)</f>
        <v/>
      </c>
      <c r="F160" s="72" t="str">
        <f>IFERROR(VLOOKUP($D160,'FERC 2022'!$EA$3:$ER$220,18,0),"")</f>
        <v/>
      </c>
      <c r="G160" s="72" t="str">
        <f>IFERROR(VLOOKUP($D160,'FERC 2023'!$EA$3:$ER$221,18,0),"")</f>
        <v/>
      </c>
      <c r="H160" s="72" t="str">
        <f>VLOOKUP($D160,'FERC 2021'!$EA$3:$EN$221,11,0)</f>
        <v/>
      </c>
      <c r="I160" s="72" t="str">
        <f>IFERROR(VLOOKUP($D160,'FERC 2022'!$EA$3:$EN$220,11,0),"")</f>
        <v/>
      </c>
      <c r="J160" s="72" t="str">
        <f>IFERROR(VLOOKUP($D160,'FERC 2023'!$EA$3:$EN$221,11,0),"")</f>
        <v/>
      </c>
      <c r="K160" s="17"/>
      <c r="L160" s="17" t="e">
        <f t="shared" si="1"/>
        <v>#VALUE!</v>
      </c>
      <c r="M160" s="17" t="str">
        <f t="shared" ref="M160:N160" si="158">IFERROR(F160/I160,"")</f>
        <v/>
      </c>
      <c r="N160" s="17" t="str">
        <f t="shared" si="158"/>
        <v/>
      </c>
      <c r="O160" s="44"/>
    </row>
    <row r="161" spans="1:15" ht="15.75" hidden="1" customHeight="1">
      <c r="A161" s="7" t="s">
        <v>682</v>
      </c>
      <c r="B161" s="7" t="s">
        <v>683</v>
      </c>
      <c r="C161" s="44" t="str">
        <f>IF('BD Comp'!C161=1,IF(AND(M161&gt;=$F$1,N161&gt;=$F$1),1,""),"")</f>
        <v/>
      </c>
      <c r="D161" s="44" t="str">
        <f t="shared" si="0"/>
        <v>C002196</v>
      </c>
      <c r="E161" s="72" t="str">
        <f>VLOOKUP($D161,'FERC 2021'!$EA$3:$ER$221,18,0)</f>
        <v/>
      </c>
      <c r="F161" s="72" t="str">
        <f>IFERROR(VLOOKUP($D161,'FERC 2022'!$EA$3:$ER$220,18,0),"")</f>
        <v/>
      </c>
      <c r="G161" s="72" t="str">
        <f>IFERROR(VLOOKUP($D161,'FERC 2023'!$EA$3:$ER$221,18,0),"")</f>
        <v/>
      </c>
      <c r="H161" s="72" t="str">
        <f>VLOOKUP($D161,'FERC 2021'!$EA$3:$EN$221,11,0)</f>
        <v/>
      </c>
      <c r="I161" s="72" t="str">
        <f>IFERROR(VLOOKUP($D161,'FERC 2022'!$EA$3:$EN$220,11,0),"")</f>
        <v/>
      </c>
      <c r="J161" s="72" t="str">
        <f>IFERROR(VLOOKUP($D161,'FERC 2023'!$EA$3:$EN$221,11,0),"")</f>
        <v/>
      </c>
      <c r="K161" s="17"/>
      <c r="L161" s="17" t="e">
        <f t="shared" si="1"/>
        <v>#VALUE!</v>
      </c>
      <c r="M161" s="17" t="str">
        <f t="shared" ref="M161:N161" si="159">IFERROR(F161/I161,"")</f>
        <v/>
      </c>
      <c r="N161" s="17" t="str">
        <f t="shared" si="159"/>
        <v/>
      </c>
      <c r="O161" s="44"/>
    </row>
    <row r="162" spans="1:15" ht="15.75" hidden="1" customHeight="1">
      <c r="A162" s="7" t="s">
        <v>685</v>
      </c>
      <c r="B162" s="7" t="s">
        <v>686</v>
      </c>
      <c r="C162" s="44" t="str">
        <f>IF('BD Comp'!C162=1,IF(AND(M162&gt;=$F$1,N162&gt;=$F$1),1,""),"")</f>
        <v/>
      </c>
      <c r="D162" s="44" t="str">
        <f t="shared" si="0"/>
        <v>C002308</v>
      </c>
      <c r="E162" s="72" t="str">
        <f>VLOOKUP($D162,'FERC 2021'!$EA$3:$ER$221,18,0)</f>
        <v/>
      </c>
      <c r="F162" s="72" t="str">
        <f>IFERROR(VLOOKUP($D162,'FERC 2022'!$EA$3:$ER$220,18,0),"")</f>
        <v/>
      </c>
      <c r="G162" s="72" t="str">
        <f>IFERROR(VLOOKUP($D162,'FERC 2023'!$EA$3:$ER$221,18,0),"")</f>
        <v/>
      </c>
      <c r="H162" s="72" t="str">
        <f>VLOOKUP($D162,'FERC 2021'!$EA$3:$EN$221,11,0)</f>
        <v/>
      </c>
      <c r="I162" s="72" t="str">
        <f>IFERROR(VLOOKUP($D162,'FERC 2022'!$EA$3:$EN$220,11,0),"")</f>
        <v/>
      </c>
      <c r="J162" s="72" t="str">
        <f>IFERROR(VLOOKUP($D162,'FERC 2023'!$EA$3:$EN$221,11,0),"")</f>
        <v/>
      </c>
      <c r="K162" s="17"/>
      <c r="L162" s="17" t="e">
        <f t="shared" si="1"/>
        <v>#VALUE!</v>
      </c>
      <c r="M162" s="17" t="str">
        <f t="shared" ref="M162:N162" si="160">IFERROR(F162/I162,"")</f>
        <v/>
      </c>
      <c r="N162" s="17" t="str">
        <f t="shared" si="160"/>
        <v/>
      </c>
      <c r="O162" s="44"/>
    </row>
    <row r="163" spans="1:15" ht="15.75" hidden="1" customHeight="1">
      <c r="A163" s="7" t="s">
        <v>688</v>
      </c>
      <c r="B163" s="7" t="s">
        <v>689</v>
      </c>
      <c r="C163" s="44" t="str">
        <f>IF('BD Comp'!C163=1,IF(AND(M163&gt;=$F$1,N163&gt;=$F$1),1,""),"")</f>
        <v/>
      </c>
      <c r="D163" s="44" t="str">
        <f t="shared" si="0"/>
        <v>C002335</v>
      </c>
      <c r="E163" s="72" t="str">
        <f>VLOOKUP($D163,'FERC 2021'!$EA$3:$ER$221,18,0)</f>
        <v/>
      </c>
      <c r="F163" s="72" t="str">
        <f>IFERROR(VLOOKUP($D163,'FERC 2022'!$EA$3:$ER$220,18,0),"")</f>
        <v/>
      </c>
      <c r="G163" s="72" t="str">
        <f>IFERROR(VLOOKUP($D163,'FERC 2023'!$EA$3:$ER$221,18,0),"")</f>
        <v/>
      </c>
      <c r="H163" s="72" t="str">
        <f>VLOOKUP($D163,'FERC 2021'!$EA$3:$EN$221,11,0)</f>
        <v/>
      </c>
      <c r="I163" s="72" t="str">
        <f>IFERROR(VLOOKUP($D163,'FERC 2022'!$EA$3:$EN$220,11,0),"")</f>
        <v/>
      </c>
      <c r="J163" s="72" t="str">
        <f>IFERROR(VLOOKUP($D163,'FERC 2023'!$EA$3:$EN$221,11,0),"")</f>
        <v/>
      </c>
      <c r="K163" s="17"/>
      <c r="L163" s="17" t="e">
        <f t="shared" si="1"/>
        <v>#VALUE!</v>
      </c>
      <c r="M163" s="17" t="str">
        <f t="shared" ref="M163:N163" si="161">IFERROR(F163/I163,"")</f>
        <v/>
      </c>
      <c r="N163" s="17" t="str">
        <f t="shared" si="161"/>
        <v/>
      </c>
      <c r="O163" s="44"/>
    </row>
    <row r="164" spans="1:15" ht="15.75" hidden="1" customHeight="1">
      <c r="A164" s="7" t="s">
        <v>691</v>
      </c>
      <c r="B164" s="7" t="s">
        <v>692</v>
      </c>
      <c r="C164" s="44" t="str">
        <f>IF('BD Comp'!C164=1,IF(AND(M164&gt;=$F$1,N164&gt;=$F$1),1,""),"")</f>
        <v/>
      </c>
      <c r="D164" s="44" t="str">
        <f t="shared" si="0"/>
        <v>C002336</v>
      </c>
      <c r="E164" s="72" t="str">
        <f>VLOOKUP($D164,'FERC 2021'!$EA$3:$ER$221,18,0)</f>
        <v/>
      </c>
      <c r="F164" s="72" t="str">
        <f>IFERROR(VLOOKUP($D164,'FERC 2022'!$EA$3:$ER$220,18,0),"")</f>
        <v/>
      </c>
      <c r="G164" s="72" t="str">
        <f>IFERROR(VLOOKUP($D164,'FERC 2023'!$EA$3:$ER$221,18,0),"")</f>
        <v/>
      </c>
      <c r="H164" s="72" t="str">
        <f>VLOOKUP($D164,'FERC 2021'!$EA$3:$EN$221,11,0)</f>
        <v/>
      </c>
      <c r="I164" s="72" t="str">
        <f>IFERROR(VLOOKUP($D164,'FERC 2022'!$EA$3:$EN$220,11,0),"")</f>
        <v/>
      </c>
      <c r="J164" s="72" t="str">
        <f>IFERROR(VLOOKUP($D164,'FERC 2023'!$EA$3:$EN$221,11,0),"")</f>
        <v/>
      </c>
      <c r="K164" s="17"/>
      <c r="L164" s="17" t="e">
        <f t="shared" si="1"/>
        <v>#VALUE!</v>
      </c>
      <c r="M164" s="17" t="str">
        <f t="shared" ref="M164:N164" si="162">IFERROR(F164/I164,"")</f>
        <v/>
      </c>
      <c r="N164" s="17" t="str">
        <f t="shared" si="162"/>
        <v/>
      </c>
      <c r="O164" s="44"/>
    </row>
    <row r="165" spans="1:15" ht="15.75" hidden="1" customHeight="1">
      <c r="A165" s="7" t="s">
        <v>694</v>
      </c>
      <c r="B165" s="7" t="s">
        <v>695</v>
      </c>
      <c r="C165" s="44" t="str">
        <f>IF('BD Comp'!C165=1,IF(AND(M165&gt;=$F$1,N165&gt;=$F$1),1,""),"")</f>
        <v/>
      </c>
      <c r="D165" s="44" t="str">
        <f t="shared" si="0"/>
        <v>C002446</v>
      </c>
      <c r="E165" s="72" t="str">
        <f>VLOOKUP($D165,'FERC 2021'!$EA$3:$ER$221,18,0)</f>
        <v/>
      </c>
      <c r="F165" s="72" t="str">
        <f>IFERROR(VLOOKUP($D165,'FERC 2022'!$EA$3:$ER$220,18,0),"")</f>
        <v/>
      </c>
      <c r="G165" s="72" t="str">
        <f>IFERROR(VLOOKUP($D165,'FERC 2023'!$EA$3:$ER$221,18,0),"")</f>
        <v/>
      </c>
      <c r="H165" s="72" t="str">
        <f>VLOOKUP($D165,'FERC 2021'!$EA$3:$EN$221,11,0)</f>
        <v/>
      </c>
      <c r="I165" s="72" t="str">
        <f>IFERROR(VLOOKUP($D165,'FERC 2022'!$EA$3:$EN$220,11,0),"")</f>
        <v/>
      </c>
      <c r="J165" s="72" t="str">
        <f>IFERROR(VLOOKUP($D165,'FERC 2023'!$EA$3:$EN$221,11,0),"")</f>
        <v/>
      </c>
      <c r="K165" s="17"/>
      <c r="L165" s="17" t="e">
        <f t="shared" si="1"/>
        <v>#VALUE!</v>
      </c>
      <c r="M165" s="17" t="str">
        <f t="shared" ref="M165:N165" si="163">IFERROR(F165/I165,"")</f>
        <v/>
      </c>
      <c r="N165" s="17" t="str">
        <f t="shared" si="163"/>
        <v/>
      </c>
      <c r="O165" s="44"/>
    </row>
    <row r="166" spans="1:15" ht="15.75" hidden="1" customHeight="1">
      <c r="A166" s="7" t="s">
        <v>697</v>
      </c>
      <c r="B166" s="7" t="s">
        <v>698</v>
      </c>
      <c r="C166" s="44" t="str">
        <f>IF('BD Comp'!C166=1,IF(AND(M166&gt;=$F$1,N166&gt;=$F$1),1,""),"")</f>
        <v/>
      </c>
      <c r="D166" s="44" t="str">
        <f t="shared" si="0"/>
        <v>C002498</v>
      </c>
      <c r="E166" s="72">
        <f>VLOOKUP($D166,'FERC 2021'!$EA$3:$ER$221,18,0)</f>
        <v>88127.076142131991</v>
      </c>
      <c r="F166" s="72">
        <f>IFERROR(VLOOKUP($D166,'FERC 2022'!$EA$3:$ER$220,18,0),"")</f>
        <v>101845.91370558378</v>
      </c>
      <c r="G166" s="72">
        <f>IFERROR(VLOOKUP($D166,'FERC 2023'!$EA$3:$ER$221,18,0),"")</f>
        <v>82525.497461928928</v>
      </c>
      <c r="H166" s="72">
        <f>VLOOKUP($D166,'FERC 2021'!$EA$3:$EN$221,11,0)</f>
        <v>3289478.0761421318</v>
      </c>
      <c r="I166" s="72">
        <f>IFERROR(VLOOKUP($D166,'FERC 2022'!$EA$3:$EN$220,11,0),"")</f>
        <v>3292740.9137055837</v>
      </c>
      <c r="J166" s="72">
        <f>IFERROR(VLOOKUP($D166,'FERC 2023'!$EA$3:$EN$221,11,0),"")</f>
        <v>3241586.497461929</v>
      </c>
      <c r="K166" s="17"/>
      <c r="L166" s="17">
        <f t="shared" si="1"/>
        <v>2.6790595377819505E-2</v>
      </c>
      <c r="M166" s="17">
        <f t="shared" ref="M166:N166" si="164">IFERROR(F166/I166,"")</f>
        <v>3.09304364888425E-2</v>
      </c>
      <c r="N166" s="17">
        <f t="shared" si="164"/>
        <v>2.5458366613552982E-2</v>
      </c>
      <c r="O166" s="44"/>
    </row>
    <row r="167" spans="1:15" ht="15.75" hidden="1" customHeight="1">
      <c r="A167" s="7" t="s">
        <v>700</v>
      </c>
      <c r="B167" s="7" t="s">
        <v>701</v>
      </c>
      <c r="C167" s="44" t="str">
        <f>IF('BD Comp'!C167=1,IF(AND(M167&gt;=$F$1,N167&gt;=$F$1),1,""),"")</f>
        <v/>
      </c>
      <c r="D167" s="44" t="str">
        <f t="shared" si="0"/>
        <v>C002525</v>
      </c>
      <c r="E167" s="72" t="str">
        <f>VLOOKUP($D167,'FERC 2021'!$EA$3:$ER$221,18,0)</f>
        <v/>
      </c>
      <c r="F167" s="72" t="str">
        <f>IFERROR(VLOOKUP($D167,'FERC 2022'!$EA$3:$ER$220,18,0),"")</f>
        <v/>
      </c>
      <c r="G167" s="72" t="str">
        <f>IFERROR(VLOOKUP($D167,'FERC 2023'!$EA$3:$ER$221,18,0),"")</f>
        <v/>
      </c>
      <c r="H167" s="72" t="str">
        <f>VLOOKUP($D167,'FERC 2021'!$EA$3:$EN$221,11,0)</f>
        <v/>
      </c>
      <c r="I167" s="72" t="str">
        <f>IFERROR(VLOOKUP($D167,'FERC 2022'!$EA$3:$EN$220,11,0),"")</f>
        <v/>
      </c>
      <c r="J167" s="72" t="str">
        <f>IFERROR(VLOOKUP($D167,'FERC 2023'!$EA$3:$EN$221,11,0),"")</f>
        <v/>
      </c>
      <c r="K167" s="17"/>
      <c r="L167" s="17" t="e">
        <f t="shared" si="1"/>
        <v>#VALUE!</v>
      </c>
      <c r="M167" s="17" t="str">
        <f t="shared" ref="M167:N167" si="165">IFERROR(F167/I167,"")</f>
        <v/>
      </c>
      <c r="N167" s="17" t="str">
        <f t="shared" si="165"/>
        <v/>
      </c>
      <c r="O167" s="44"/>
    </row>
    <row r="168" spans="1:15" ht="15.75" hidden="1" customHeight="1">
      <c r="A168" s="7" t="s">
        <v>703</v>
      </c>
      <c r="B168" s="7" t="s">
        <v>704</v>
      </c>
      <c r="C168" s="44" t="str">
        <f>IF('BD Comp'!C168=1,IF(AND(M168&gt;=$F$1,N168&gt;=$F$1),1,""),"")</f>
        <v/>
      </c>
      <c r="D168" s="44" t="str">
        <f t="shared" si="0"/>
        <v>C002827</v>
      </c>
      <c r="E168" s="72" t="str">
        <f>VLOOKUP($D168,'FERC 2021'!$EA$3:$ER$221,18,0)</f>
        <v/>
      </c>
      <c r="F168" s="72" t="str">
        <f>IFERROR(VLOOKUP($D168,'FERC 2022'!$EA$3:$ER$220,18,0),"")</f>
        <v/>
      </c>
      <c r="G168" s="72" t="str">
        <f>IFERROR(VLOOKUP($D168,'FERC 2023'!$EA$3:$ER$221,18,0),"")</f>
        <v/>
      </c>
      <c r="H168" s="72" t="str">
        <f>VLOOKUP($D168,'FERC 2021'!$EA$3:$EN$221,11,0)</f>
        <v/>
      </c>
      <c r="I168" s="72" t="str">
        <f>IFERROR(VLOOKUP($D168,'FERC 2022'!$EA$3:$EN$220,11,0),"")</f>
        <v/>
      </c>
      <c r="J168" s="72" t="str">
        <f>IFERROR(VLOOKUP($D168,'FERC 2023'!$EA$3:$EN$221,11,0),"")</f>
        <v/>
      </c>
      <c r="K168" s="17"/>
      <c r="L168" s="17" t="e">
        <f t="shared" si="1"/>
        <v>#VALUE!</v>
      </c>
      <c r="M168" s="17" t="str">
        <f t="shared" ref="M168:N168" si="166">IFERROR(F168/I168,"")</f>
        <v/>
      </c>
      <c r="N168" s="17" t="str">
        <f t="shared" si="166"/>
        <v/>
      </c>
      <c r="O168" s="44"/>
    </row>
    <row r="169" spans="1:15" ht="15.75" hidden="1" customHeight="1">
      <c r="A169" s="7" t="s">
        <v>706</v>
      </c>
      <c r="B169" s="7" t="s">
        <v>707</v>
      </c>
      <c r="C169" s="44" t="str">
        <f>IF('BD Comp'!C169=1,IF(AND(M169&gt;=$F$1,N169&gt;=$F$1),1,""),"")</f>
        <v/>
      </c>
      <c r="D169" s="44" t="str">
        <f t="shared" si="0"/>
        <v>C002854</v>
      </c>
      <c r="E169" s="72" t="str">
        <f>VLOOKUP($D169,'FERC 2021'!$EA$3:$ER$221,18,0)</f>
        <v/>
      </c>
      <c r="F169" s="72" t="str">
        <f>IFERROR(VLOOKUP($D169,'FERC 2022'!$EA$3:$ER$220,18,0),"")</f>
        <v/>
      </c>
      <c r="G169" s="72" t="str">
        <f>IFERROR(VLOOKUP($D169,'FERC 2023'!$EA$3:$ER$221,18,0),"")</f>
        <v/>
      </c>
      <c r="H169" s="72" t="str">
        <f>VLOOKUP($D169,'FERC 2021'!$EA$3:$EN$221,11,0)</f>
        <v/>
      </c>
      <c r="I169" s="72" t="str">
        <f>IFERROR(VLOOKUP($D169,'FERC 2022'!$EA$3:$EN$220,11,0),"")</f>
        <v/>
      </c>
      <c r="J169" s="72" t="str">
        <f>IFERROR(VLOOKUP($D169,'FERC 2023'!$EA$3:$EN$221,11,0),"")</f>
        <v/>
      </c>
      <c r="K169" s="17"/>
      <c r="L169" s="17" t="e">
        <f t="shared" si="1"/>
        <v>#VALUE!</v>
      </c>
      <c r="M169" s="17" t="str">
        <f t="shared" ref="M169:N169" si="167">IFERROR(F169/I169,"")</f>
        <v/>
      </c>
      <c r="N169" s="17" t="str">
        <f t="shared" si="167"/>
        <v/>
      </c>
      <c r="O169" s="44"/>
    </row>
    <row r="170" spans="1:15" ht="15.75" hidden="1" customHeight="1">
      <c r="A170" s="7" t="s">
        <v>709</v>
      </c>
      <c r="B170" s="7" t="s">
        <v>710</v>
      </c>
      <c r="C170" s="44" t="str">
        <f>IF('BD Comp'!C170=1,IF(AND(M170&gt;=$F$1,N170&gt;=$F$1),1,""),"")</f>
        <v/>
      </c>
      <c r="D170" s="44" t="str">
        <f t="shared" si="0"/>
        <v>C003138</v>
      </c>
      <c r="E170" s="72" t="str">
        <f>VLOOKUP($D170,'FERC 2021'!$EA$3:$ER$221,18,0)</f>
        <v/>
      </c>
      <c r="F170" s="72" t="str">
        <f>IFERROR(VLOOKUP($D170,'FERC 2022'!$EA$3:$ER$220,18,0),"")</f>
        <v/>
      </c>
      <c r="G170" s="72" t="str">
        <f>IFERROR(VLOOKUP($D170,'FERC 2023'!$EA$3:$ER$221,18,0),"")</f>
        <v/>
      </c>
      <c r="H170" s="72" t="str">
        <f>VLOOKUP($D170,'FERC 2021'!$EA$3:$EN$221,11,0)</f>
        <v/>
      </c>
      <c r="I170" s="72" t="str">
        <f>IFERROR(VLOOKUP($D170,'FERC 2022'!$EA$3:$EN$220,11,0),"")</f>
        <v/>
      </c>
      <c r="J170" s="72" t="str">
        <f>IFERROR(VLOOKUP($D170,'FERC 2023'!$EA$3:$EN$221,11,0),"")</f>
        <v/>
      </c>
      <c r="K170" s="17"/>
      <c r="L170" s="17" t="e">
        <f t="shared" si="1"/>
        <v>#VALUE!</v>
      </c>
      <c r="M170" s="17" t="str">
        <f t="shared" ref="M170:N170" si="168">IFERROR(F170/I170,"")</f>
        <v/>
      </c>
      <c r="N170" s="17" t="str">
        <f t="shared" si="168"/>
        <v/>
      </c>
      <c r="O170" s="44"/>
    </row>
    <row r="171" spans="1:15" ht="15.75" hidden="1" customHeight="1">
      <c r="A171" s="7" t="s">
        <v>712</v>
      </c>
      <c r="B171" s="7" t="s">
        <v>713</v>
      </c>
      <c r="C171" s="44" t="str">
        <f>IF('BD Comp'!C171=1,IF(AND(M171&gt;=$F$1,N171&gt;=$F$1),1,""),"")</f>
        <v/>
      </c>
      <c r="D171" s="44" t="str">
        <f t="shared" si="0"/>
        <v>C003184</v>
      </c>
      <c r="E171" s="72" t="str">
        <f>VLOOKUP($D171,'FERC 2021'!$EA$3:$ER$221,18,0)</f>
        <v/>
      </c>
      <c r="F171" s="72" t="str">
        <f>IFERROR(VLOOKUP($D171,'FERC 2022'!$EA$3:$ER$220,18,0),"")</f>
        <v/>
      </c>
      <c r="G171" s="72" t="str">
        <f>IFERROR(VLOOKUP($D171,'FERC 2023'!$EA$3:$ER$221,18,0),"")</f>
        <v/>
      </c>
      <c r="H171" s="72" t="str">
        <f>VLOOKUP($D171,'FERC 2021'!$EA$3:$EN$221,11,0)</f>
        <v/>
      </c>
      <c r="I171" s="72" t="str">
        <f>IFERROR(VLOOKUP($D171,'FERC 2022'!$EA$3:$EN$220,11,0),"")</f>
        <v/>
      </c>
      <c r="J171" s="72" t="str">
        <f>IFERROR(VLOOKUP($D171,'FERC 2023'!$EA$3:$EN$221,11,0),"")</f>
        <v/>
      </c>
      <c r="K171" s="17"/>
      <c r="L171" s="17" t="e">
        <f t="shared" si="1"/>
        <v>#VALUE!</v>
      </c>
      <c r="M171" s="17" t="str">
        <f t="shared" ref="M171:N171" si="169">IFERROR(F171/I171,"")</f>
        <v/>
      </c>
      <c r="N171" s="17" t="str">
        <f t="shared" si="169"/>
        <v/>
      </c>
      <c r="O171" s="44"/>
    </row>
    <row r="172" spans="1:15" ht="15.75" hidden="1" customHeight="1">
      <c r="A172" s="7" t="s">
        <v>715</v>
      </c>
      <c r="B172" s="7" t="s">
        <v>716</v>
      </c>
      <c r="C172" s="44" t="str">
        <f>IF('BD Comp'!C172=1,IF(AND(M172&gt;=$F$1,N172&gt;=$F$1),1,""),"")</f>
        <v/>
      </c>
      <c r="D172" s="44" t="str">
        <f t="shared" si="0"/>
        <v>C003194</v>
      </c>
      <c r="E172" s="72" t="str">
        <f>VLOOKUP($D172,'FERC 2021'!$EA$3:$ER$221,18,0)</f>
        <v/>
      </c>
      <c r="F172" s="72" t="str">
        <f>IFERROR(VLOOKUP($D172,'FERC 2022'!$EA$3:$ER$220,18,0),"")</f>
        <v/>
      </c>
      <c r="G172" s="72" t="str">
        <f>IFERROR(VLOOKUP($D172,'FERC 2023'!$EA$3:$ER$221,18,0),"")</f>
        <v/>
      </c>
      <c r="H172" s="72" t="str">
        <f>VLOOKUP($D172,'FERC 2021'!$EA$3:$EN$221,11,0)</f>
        <v/>
      </c>
      <c r="I172" s="72" t="str">
        <f>IFERROR(VLOOKUP($D172,'FERC 2022'!$EA$3:$EN$220,11,0),"")</f>
        <v/>
      </c>
      <c r="J172" s="72" t="str">
        <f>IFERROR(VLOOKUP($D172,'FERC 2023'!$EA$3:$EN$221,11,0),"")</f>
        <v/>
      </c>
      <c r="K172" s="17"/>
      <c r="L172" s="17" t="e">
        <f t="shared" si="1"/>
        <v>#VALUE!</v>
      </c>
      <c r="M172" s="17" t="str">
        <f t="shared" ref="M172:N172" si="170">IFERROR(F172/I172,"")</f>
        <v/>
      </c>
      <c r="N172" s="17" t="str">
        <f t="shared" si="170"/>
        <v/>
      </c>
      <c r="O172" s="44"/>
    </row>
    <row r="173" spans="1:15" ht="15.75" hidden="1" customHeight="1">
      <c r="A173" s="7" t="s">
        <v>718</v>
      </c>
      <c r="B173" s="7" t="s">
        <v>719</v>
      </c>
      <c r="C173" s="44" t="str">
        <f>IF('BD Comp'!C173=1,IF(AND(M173&gt;=$F$1,N173&gt;=$F$1),1,""),"")</f>
        <v/>
      </c>
      <c r="D173" s="44" t="str">
        <f t="shared" si="0"/>
        <v>C003435</v>
      </c>
      <c r="E173" s="72" t="str">
        <f>VLOOKUP($D173,'FERC 2021'!$EA$3:$ER$221,18,0)</f>
        <v/>
      </c>
      <c r="F173" s="72" t="str">
        <f>IFERROR(VLOOKUP($D173,'FERC 2022'!$EA$3:$ER$220,18,0),"")</f>
        <v/>
      </c>
      <c r="G173" s="72" t="str">
        <f>IFERROR(VLOOKUP($D173,'FERC 2023'!$EA$3:$ER$221,18,0),"")</f>
        <v/>
      </c>
      <c r="H173" s="72" t="str">
        <f>VLOOKUP($D173,'FERC 2021'!$EA$3:$EN$221,11,0)</f>
        <v/>
      </c>
      <c r="I173" s="72" t="str">
        <f>IFERROR(VLOOKUP($D173,'FERC 2022'!$EA$3:$EN$220,11,0),"")</f>
        <v/>
      </c>
      <c r="J173" s="72" t="str">
        <f>IFERROR(VLOOKUP($D173,'FERC 2023'!$EA$3:$EN$221,11,0),"")</f>
        <v/>
      </c>
      <c r="K173" s="17"/>
      <c r="L173" s="17" t="e">
        <f t="shared" si="1"/>
        <v>#VALUE!</v>
      </c>
      <c r="M173" s="17" t="str">
        <f t="shared" ref="M173:N173" si="171">IFERROR(F173/I173,"")</f>
        <v/>
      </c>
      <c r="N173" s="17" t="str">
        <f t="shared" si="171"/>
        <v/>
      </c>
      <c r="O173" s="44"/>
    </row>
    <row r="174" spans="1:15" ht="15.75" hidden="1" customHeight="1">
      <c r="A174" s="7" t="s">
        <v>721</v>
      </c>
      <c r="B174" s="7" t="s">
        <v>722</v>
      </c>
      <c r="C174" s="44" t="str">
        <f>IF('BD Comp'!C174=1,IF(AND(M174&gt;=$F$1,N174&gt;=$F$1),1,""),"")</f>
        <v/>
      </c>
      <c r="D174" s="44" t="str">
        <f t="shared" si="0"/>
        <v>C003483</v>
      </c>
      <c r="E174" s="72" t="str">
        <f>VLOOKUP($D174,'FERC 2021'!$EA$3:$ER$221,18,0)</f>
        <v/>
      </c>
      <c r="F174" s="72" t="str">
        <f>IFERROR(VLOOKUP($D174,'FERC 2022'!$EA$3:$ER$220,18,0),"")</f>
        <v/>
      </c>
      <c r="G174" s="72" t="str">
        <f>IFERROR(VLOOKUP($D174,'FERC 2023'!$EA$3:$ER$221,18,0),"")</f>
        <v/>
      </c>
      <c r="H174" s="72" t="str">
        <f>VLOOKUP($D174,'FERC 2021'!$EA$3:$EN$221,11,0)</f>
        <v/>
      </c>
      <c r="I174" s="72" t="str">
        <f>IFERROR(VLOOKUP($D174,'FERC 2022'!$EA$3:$EN$220,11,0),"")</f>
        <v/>
      </c>
      <c r="J174" s="72" t="str">
        <f>IFERROR(VLOOKUP($D174,'FERC 2023'!$EA$3:$EN$221,11,0),"")</f>
        <v/>
      </c>
      <c r="K174" s="17"/>
      <c r="L174" s="17" t="e">
        <f t="shared" si="1"/>
        <v>#VALUE!</v>
      </c>
      <c r="M174" s="17" t="str">
        <f t="shared" ref="M174:N174" si="172">IFERROR(F174/I174,"")</f>
        <v/>
      </c>
      <c r="N174" s="17" t="str">
        <f t="shared" si="172"/>
        <v/>
      </c>
      <c r="O174" s="44"/>
    </row>
    <row r="175" spans="1:15" ht="15.75" hidden="1" customHeight="1">
      <c r="A175" s="7" t="s">
        <v>724</v>
      </c>
      <c r="B175" s="7" t="s">
        <v>725</v>
      </c>
      <c r="C175" s="44" t="str">
        <f>IF('BD Comp'!C175=1,IF(AND(M175&gt;=$F$1,N175&gt;=$F$1),1,""),"")</f>
        <v/>
      </c>
      <c r="D175" s="44" t="str">
        <f t="shared" si="0"/>
        <v>C003646</v>
      </c>
      <c r="E175" s="72" t="str">
        <f>VLOOKUP($D175,'FERC 2021'!$EA$3:$ER$221,18,0)</f>
        <v/>
      </c>
      <c r="F175" s="72" t="str">
        <f>IFERROR(VLOOKUP($D175,'FERC 2022'!$EA$3:$ER$220,18,0),"")</f>
        <v/>
      </c>
      <c r="G175" s="72" t="str">
        <f>IFERROR(VLOOKUP($D175,'FERC 2023'!$EA$3:$ER$221,18,0),"")</f>
        <v/>
      </c>
      <c r="H175" s="72" t="str">
        <f>VLOOKUP($D175,'FERC 2021'!$EA$3:$EN$221,11,0)</f>
        <v/>
      </c>
      <c r="I175" s="72" t="str">
        <f>IFERROR(VLOOKUP($D175,'FERC 2022'!$EA$3:$EN$220,11,0),"")</f>
        <v/>
      </c>
      <c r="J175" s="72" t="str">
        <f>IFERROR(VLOOKUP($D175,'FERC 2023'!$EA$3:$EN$221,11,0),"")</f>
        <v/>
      </c>
      <c r="K175" s="17"/>
      <c r="L175" s="17" t="e">
        <f t="shared" si="1"/>
        <v>#VALUE!</v>
      </c>
      <c r="M175" s="17" t="str">
        <f t="shared" ref="M175:N175" si="173">IFERROR(F175/I175,"")</f>
        <v/>
      </c>
      <c r="N175" s="17" t="str">
        <f t="shared" si="173"/>
        <v/>
      </c>
      <c r="O175" s="44"/>
    </row>
    <row r="176" spans="1:15" ht="15.75" hidden="1" customHeight="1">
      <c r="A176" s="7" t="s">
        <v>727</v>
      </c>
      <c r="B176" s="7" t="s">
        <v>728</v>
      </c>
      <c r="C176" s="44" t="str">
        <f>IF('BD Comp'!C176=1,IF(AND(M176&gt;=$F$1,N176&gt;=$F$1),1,""),"")</f>
        <v/>
      </c>
      <c r="D176" s="44" t="str">
        <f t="shared" si="0"/>
        <v>C003713</v>
      </c>
      <c r="E176" s="72" t="str">
        <f>VLOOKUP($D176,'FERC 2021'!$EA$3:$ER$221,18,0)</f>
        <v/>
      </c>
      <c r="F176" s="72" t="str">
        <f>IFERROR(VLOOKUP($D176,'FERC 2022'!$EA$3:$ER$220,18,0),"")</f>
        <v/>
      </c>
      <c r="G176" s="72" t="str">
        <f>IFERROR(VLOOKUP($D176,'FERC 2023'!$EA$3:$ER$221,18,0),"")</f>
        <v/>
      </c>
      <c r="H176" s="72" t="str">
        <f>VLOOKUP($D176,'FERC 2021'!$EA$3:$EN$221,11,0)</f>
        <v/>
      </c>
      <c r="I176" s="72" t="str">
        <f>IFERROR(VLOOKUP($D176,'FERC 2022'!$EA$3:$EN$220,11,0),"")</f>
        <v/>
      </c>
      <c r="J176" s="72" t="str">
        <f>IFERROR(VLOOKUP($D176,'FERC 2023'!$EA$3:$EN$221,11,0),"")</f>
        <v/>
      </c>
      <c r="K176" s="17"/>
      <c r="L176" s="17" t="e">
        <f t="shared" si="1"/>
        <v>#VALUE!</v>
      </c>
      <c r="M176" s="17" t="str">
        <f t="shared" ref="M176:N176" si="174">IFERROR(F176/I176,"")</f>
        <v/>
      </c>
      <c r="N176" s="17" t="str">
        <f t="shared" si="174"/>
        <v/>
      </c>
      <c r="O176" s="44"/>
    </row>
    <row r="177" spans="1:15" ht="15.75" hidden="1" customHeight="1">
      <c r="A177" s="7" t="s">
        <v>730</v>
      </c>
      <c r="B177" s="7" t="s">
        <v>731</v>
      </c>
      <c r="C177" s="44" t="str">
        <f>IF('BD Comp'!C177=1,IF(AND(M177&gt;=$F$1,N177&gt;=$F$1),1,""),"")</f>
        <v/>
      </c>
      <c r="D177" s="44" t="str">
        <f t="shared" si="0"/>
        <v>C003836</v>
      </c>
      <c r="E177" s="72" t="str">
        <f>VLOOKUP($D177,'FERC 2021'!$EA$3:$ER$221,18,0)</f>
        <v/>
      </c>
      <c r="F177" s="72" t="str">
        <f>IFERROR(VLOOKUP($D177,'FERC 2022'!$EA$3:$ER$220,18,0),"")</f>
        <v/>
      </c>
      <c r="G177" s="72" t="str">
        <f>IFERROR(VLOOKUP($D177,'FERC 2023'!$EA$3:$ER$221,18,0),"")</f>
        <v/>
      </c>
      <c r="H177" s="72" t="str">
        <f>VLOOKUP($D177,'FERC 2021'!$EA$3:$EN$221,11,0)</f>
        <v/>
      </c>
      <c r="I177" s="72" t="str">
        <f>IFERROR(VLOOKUP($D177,'FERC 2022'!$EA$3:$EN$220,11,0),"")</f>
        <v/>
      </c>
      <c r="J177" s="72" t="str">
        <f>IFERROR(VLOOKUP($D177,'FERC 2023'!$EA$3:$EN$221,11,0),"")</f>
        <v/>
      </c>
      <c r="K177" s="17"/>
      <c r="L177" s="17" t="e">
        <f t="shared" si="1"/>
        <v>#VALUE!</v>
      </c>
      <c r="M177" s="17" t="str">
        <f t="shared" ref="M177:N177" si="175">IFERROR(F177/I177,"")</f>
        <v/>
      </c>
      <c r="N177" s="17" t="str">
        <f t="shared" si="175"/>
        <v/>
      </c>
      <c r="O177" s="44"/>
    </row>
    <row r="178" spans="1:15" ht="15.75" hidden="1" customHeight="1">
      <c r="A178" s="7" t="s">
        <v>733</v>
      </c>
      <c r="B178" s="7" t="s">
        <v>734</v>
      </c>
      <c r="C178" s="44" t="str">
        <f>IF('BD Comp'!C178=1,IF(AND(M178&gt;=$F$1,N178&gt;=$F$1),1,""),"")</f>
        <v/>
      </c>
      <c r="D178" s="44" t="str">
        <f t="shared" si="0"/>
        <v>C003849</v>
      </c>
      <c r="E178" s="72" t="str">
        <f>VLOOKUP($D178,'FERC 2021'!$EA$3:$ER$221,18,0)</f>
        <v/>
      </c>
      <c r="F178" s="72" t="str">
        <f>IFERROR(VLOOKUP($D178,'FERC 2022'!$EA$3:$ER$220,18,0),"")</f>
        <v/>
      </c>
      <c r="G178" s="72" t="str">
        <f>IFERROR(VLOOKUP($D178,'FERC 2023'!$EA$3:$ER$221,18,0),"")</f>
        <v/>
      </c>
      <c r="H178" s="72" t="str">
        <f>VLOOKUP($D178,'FERC 2021'!$EA$3:$EN$221,11,0)</f>
        <v/>
      </c>
      <c r="I178" s="72" t="str">
        <f>IFERROR(VLOOKUP($D178,'FERC 2022'!$EA$3:$EN$220,11,0),"")</f>
        <v/>
      </c>
      <c r="J178" s="72" t="str">
        <f>IFERROR(VLOOKUP($D178,'FERC 2023'!$EA$3:$EN$221,11,0),"")</f>
        <v/>
      </c>
      <c r="K178" s="17"/>
      <c r="L178" s="17" t="e">
        <f t="shared" si="1"/>
        <v>#VALUE!</v>
      </c>
      <c r="M178" s="17" t="str">
        <f t="shared" ref="M178:N178" si="176">IFERROR(F178/I178,"")</f>
        <v/>
      </c>
      <c r="N178" s="17" t="str">
        <f t="shared" si="176"/>
        <v/>
      </c>
      <c r="O178" s="44"/>
    </row>
    <row r="179" spans="1:15" ht="15.75" hidden="1" customHeight="1">
      <c r="A179" s="7" t="s">
        <v>736</v>
      </c>
      <c r="B179" s="7" t="s">
        <v>737</v>
      </c>
      <c r="C179" s="44" t="str">
        <f>IF('BD Comp'!C179=1,IF(AND(M179&gt;=$F$1,N179&gt;=$F$1),1,""),"")</f>
        <v/>
      </c>
      <c r="D179" s="44" t="str">
        <f t="shared" si="0"/>
        <v>C003988</v>
      </c>
      <c r="E179" s="72" t="str">
        <f>VLOOKUP($D179,'FERC 2021'!$EA$3:$ER$221,18,0)</f>
        <v/>
      </c>
      <c r="F179" s="72" t="str">
        <f>IFERROR(VLOOKUP($D179,'FERC 2022'!$EA$3:$ER$220,18,0),"")</f>
        <v/>
      </c>
      <c r="G179" s="72" t="str">
        <f>IFERROR(VLOOKUP($D179,'FERC 2023'!$EA$3:$ER$221,18,0),"")</f>
        <v/>
      </c>
      <c r="H179" s="72" t="str">
        <f>VLOOKUP($D179,'FERC 2021'!$EA$3:$EN$221,11,0)</f>
        <v/>
      </c>
      <c r="I179" s="72" t="str">
        <f>IFERROR(VLOOKUP($D179,'FERC 2022'!$EA$3:$EN$220,11,0),"")</f>
        <v/>
      </c>
      <c r="J179" s="72" t="str">
        <f>IFERROR(VLOOKUP($D179,'FERC 2023'!$EA$3:$EN$221,11,0),"")</f>
        <v/>
      </c>
      <c r="K179" s="17"/>
      <c r="L179" s="17" t="e">
        <f t="shared" si="1"/>
        <v>#VALUE!</v>
      </c>
      <c r="M179" s="17" t="str">
        <f t="shared" ref="M179:N179" si="177">IFERROR(F179/I179,"")</f>
        <v/>
      </c>
      <c r="N179" s="17" t="str">
        <f t="shared" si="177"/>
        <v/>
      </c>
      <c r="O179" s="44"/>
    </row>
    <row r="180" spans="1:15" ht="15.75" hidden="1" customHeight="1">
      <c r="A180" s="7" t="s">
        <v>739</v>
      </c>
      <c r="B180" s="7" t="s">
        <v>740</v>
      </c>
      <c r="C180" s="44" t="str">
        <f>IF('BD Comp'!C180=1,IF(AND(M180&gt;=$F$1,N180&gt;=$F$1),1,""),"")</f>
        <v/>
      </c>
      <c r="D180" s="44" t="str">
        <f t="shared" si="0"/>
        <v>C004044</v>
      </c>
      <c r="E180" s="72">
        <f>VLOOKUP($D180,'FERC 2021'!$EA$3:$ER$221,18,0)</f>
        <v>551606.64974619285</v>
      </c>
      <c r="F180" s="72">
        <f>IFERROR(VLOOKUP($D180,'FERC 2022'!$EA$3:$ER$220,18,0),"")</f>
        <v>775616.04060913692</v>
      </c>
      <c r="G180" s="72">
        <f>IFERROR(VLOOKUP($D180,'FERC 2023'!$EA$3:$ER$221,18,0),"")</f>
        <v>995760.63959390856</v>
      </c>
      <c r="H180" s="72">
        <f>VLOOKUP($D180,'FERC 2021'!$EA$3:$EN$221,11,0)</f>
        <v>10182397.649746193</v>
      </c>
      <c r="I180" s="72">
        <f>IFERROR(VLOOKUP($D180,'FERC 2022'!$EA$3:$EN$220,11,0),"")</f>
        <v>10874246.040609136</v>
      </c>
      <c r="J180" s="72">
        <f>IFERROR(VLOOKUP($D180,'FERC 2023'!$EA$3:$EN$221,11,0),"")</f>
        <v>10678088.639593909</v>
      </c>
      <c r="K180" s="17"/>
      <c r="L180" s="17">
        <f t="shared" si="1"/>
        <v>5.4172570029215293E-2</v>
      </c>
      <c r="M180" s="17">
        <f t="shared" ref="M180:N180" si="178">IFERROR(F180/I180,"")</f>
        <v>7.1325960228658725E-2</v>
      </c>
      <c r="N180" s="17">
        <f t="shared" si="178"/>
        <v>9.3252704037468798E-2</v>
      </c>
      <c r="O180" s="44"/>
    </row>
    <row r="181" spans="1:15" ht="15.75" hidden="1" customHeight="1">
      <c r="A181" s="7" t="s">
        <v>1048</v>
      </c>
      <c r="B181" s="7" t="s">
        <v>1049</v>
      </c>
      <c r="C181" s="44" t="str">
        <f>IF('BD Comp'!C181=1,IF(AND(M181&gt;=$F$1,N181&gt;=$F$1),1,""),"")</f>
        <v/>
      </c>
      <c r="D181" s="44" t="str">
        <f t="shared" si="0"/>
        <v>C004679</v>
      </c>
      <c r="E181" s="72" t="e">
        <f>VLOOKUP($D181,'FERC 2021'!$EA$3:$ER$221,18,0)</f>
        <v>#N/A</v>
      </c>
      <c r="F181" s="72" t="str">
        <f>IFERROR(VLOOKUP($D181,'FERC 2022'!$EA$3:$ER$220,18,0),"")</f>
        <v/>
      </c>
      <c r="G181" s="72" t="str">
        <f>IFERROR(VLOOKUP($D181,'FERC 2023'!$EA$3:$ER$221,18,0),"")</f>
        <v/>
      </c>
      <c r="H181" s="72" t="e">
        <f>VLOOKUP($D181,'FERC 2021'!$EA$3:$EN$221,11,0)</f>
        <v>#N/A</v>
      </c>
      <c r="I181" s="72" t="str">
        <f>IFERROR(VLOOKUP($D181,'FERC 2022'!$EA$3:$EN$220,11,0),"")</f>
        <v/>
      </c>
      <c r="J181" s="72" t="str">
        <f>IFERROR(VLOOKUP($D181,'FERC 2023'!$EA$3:$EN$221,11,0),"")</f>
        <v/>
      </c>
      <c r="K181" s="17"/>
      <c r="L181" s="17" t="e">
        <f t="shared" si="1"/>
        <v>#N/A</v>
      </c>
      <c r="M181" s="17" t="str">
        <f t="shared" ref="M181:N181" si="179">IFERROR(F181/I181,"")</f>
        <v/>
      </c>
      <c r="N181" s="17" t="str">
        <f t="shared" si="179"/>
        <v/>
      </c>
      <c r="O181" s="44"/>
    </row>
    <row r="182" spans="1:15" ht="15.75" hidden="1" customHeight="1">
      <c r="A182" s="7" t="s">
        <v>742</v>
      </c>
      <c r="B182" s="7" t="s">
        <v>743</v>
      </c>
      <c r="C182" s="44" t="str">
        <f>IF('BD Comp'!C182=1,IF(AND(M182&gt;=$F$1,N182&gt;=$F$1),1,""),"")</f>
        <v/>
      </c>
      <c r="D182" s="44" t="str">
        <f t="shared" si="0"/>
        <v>C004872</v>
      </c>
      <c r="E182" s="72" t="str">
        <f>VLOOKUP($D182,'FERC 2021'!$EA$3:$ER$221,18,0)</f>
        <v/>
      </c>
      <c r="F182" s="72" t="str">
        <f>IFERROR(VLOOKUP($D182,'FERC 2022'!$EA$3:$ER$220,18,0),"")</f>
        <v/>
      </c>
      <c r="G182" s="72" t="str">
        <f>IFERROR(VLOOKUP($D182,'FERC 2023'!$EA$3:$ER$221,18,0),"")</f>
        <v/>
      </c>
      <c r="H182" s="72" t="str">
        <f>VLOOKUP($D182,'FERC 2021'!$EA$3:$EN$221,11,0)</f>
        <v/>
      </c>
      <c r="I182" s="72" t="str">
        <f>IFERROR(VLOOKUP($D182,'FERC 2022'!$EA$3:$EN$220,11,0),"")</f>
        <v/>
      </c>
      <c r="J182" s="72" t="str">
        <f>IFERROR(VLOOKUP($D182,'FERC 2023'!$EA$3:$EN$221,11,0),"")</f>
        <v/>
      </c>
      <c r="K182" s="17"/>
      <c r="L182" s="17" t="e">
        <f t="shared" si="1"/>
        <v>#VALUE!</v>
      </c>
      <c r="M182" s="17" t="str">
        <f t="shared" ref="M182:N182" si="180">IFERROR(F182/I182,"")</f>
        <v/>
      </c>
      <c r="N182" s="17" t="str">
        <f t="shared" si="180"/>
        <v/>
      </c>
      <c r="O182" s="44"/>
    </row>
    <row r="183" spans="1:15" ht="15.75" hidden="1" customHeight="1">
      <c r="A183" s="7" t="s">
        <v>745</v>
      </c>
      <c r="B183" s="7" t="s">
        <v>746</v>
      </c>
      <c r="C183" s="44" t="str">
        <f>IF('BD Comp'!C183=1,IF(AND(M183&gt;=$F$1,N183&gt;=$F$1),1,""),"")</f>
        <v/>
      </c>
      <c r="D183" s="44" t="str">
        <f t="shared" si="0"/>
        <v>C004881</v>
      </c>
      <c r="E183" s="72" t="str">
        <f>VLOOKUP($D183,'FERC 2021'!$EA$3:$ER$221,18,0)</f>
        <v/>
      </c>
      <c r="F183" s="72" t="str">
        <f>IFERROR(VLOOKUP($D183,'FERC 2022'!$EA$3:$ER$220,18,0),"")</f>
        <v/>
      </c>
      <c r="G183" s="72" t="str">
        <f>IFERROR(VLOOKUP($D183,'FERC 2023'!$EA$3:$ER$221,18,0),"")</f>
        <v/>
      </c>
      <c r="H183" s="72" t="str">
        <f>VLOOKUP($D183,'FERC 2021'!$EA$3:$EN$221,11,0)</f>
        <v/>
      </c>
      <c r="I183" s="72" t="str">
        <f>IFERROR(VLOOKUP($D183,'FERC 2022'!$EA$3:$EN$220,11,0),"")</f>
        <v/>
      </c>
      <c r="J183" s="72" t="str">
        <f>IFERROR(VLOOKUP($D183,'FERC 2023'!$EA$3:$EN$221,11,0),"")</f>
        <v/>
      </c>
      <c r="K183" s="17"/>
      <c r="L183" s="17" t="e">
        <f t="shared" si="1"/>
        <v>#VALUE!</v>
      </c>
      <c r="M183" s="17" t="str">
        <f t="shared" ref="M183:N183" si="181">IFERROR(F183/I183,"")</f>
        <v/>
      </c>
      <c r="N183" s="17" t="str">
        <f t="shared" si="181"/>
        <v/>
      </c>
      <c r="O183" s="44"/>
    </row>
    <row r="184" spans="1:15" ht="15.75" hidden="1" customHeight="1">
      <c r="A184" s="7" t="s">
        <v>748</v>
      </c>
      <c r="B184" s="7" t="s">
        <v>749</v>
      </c>
      <c r="C184" s="44" t="str">
        <f>IF('BD Comp'!C184=1,IF(AND(M184&gt;=$F$1,N184&gt;=$F$1),1,""),"")</f>
        <v/>
      </c>
      <c r="D184" s="44" t="str">
        <f t="shared" si="0"/>
        <v>C004936</v>
      </c>
      <c r="E184" s="72" t="str">
        <f>VLOOKUP($D184,'FERC 2021'!$EA$3:$ER$221,18,0)</f>
        <v/>
      </c>
      <c r="F184" s="72" t="str">
        <f>IFERROR(VLOOKUP($D184,'FERC 2022'!$EA$3:$ER$220,18,0),"")</f>
        <v/>
      </c>
      <c r="G184" s="72" t="str">
        <f>IFERROR(VLOOKUP($D184,'FERC 2023'!$EA$3:$ER$221,18,0),"")</f>
        <v/>
      </c>
      <c r="H184" s="72" t="str">
        <f>VLOOKUP($D184,'FERC 2021'!$EA$3:$EN$221,11,0)</f>
        <v/>
      </c>
      <c r="I184" s="72" t="str">
        <f>IFERROR(VLOOKUP($D184,'FERC 2022'!$EA$3:$EN$220,11,0),"")</f>
        <v/>
      </c>
      <c r="J184" s="72" t="str">
        <f>IFERROR(VLOOKUP($D184,'FERC 2023'!$EA$3:$EN$221,11,0),"")</f>
        <v/>
      </c>
      <c r="K184" s="17"/>
      <c r="L184" s="17" t="e">
        <f t="shared" si="1"/>
        <v>#VALUE!</v>
      </c>
      <c r="M184" s="17" t="str">
        <f t="shared" ref="M184:N184" si="182">IFERROR(F184/I184,"")</f>
        <v/>
      </c>
      <c r="N184" s="17" t="str">
        <f t="shared" si="182"/>
        <v/>
      </c>
      <c r="O184" s="44"/>
    </row>
    <row r="185" spans="1:15" ht="15.75" hidden="1" customHeight="1">
      <c r="A185" s="7" t="s">
        <v>751</v>
      </c>
      <c r="B185" s="7" t="s">
        <v>752</v>
      </c>
      <c r="C185" s="44" t="str">
        <f>IF('BD Comp'!C185=1,IF(AND(M185&gt;=$F$1,N185&gt;=$F$1),1,""),"")</f>
        <v/>
      </c>
      <c r="D185" s="44" t="str">
        <f t="shared" si="0"/>
        <v>C004995</v>
      </c>
      <c r="E185" s="72">
        <f>VLOOKUP($D185,'FERC 2021'!$EA$3:$ER$221,18,0)</f>
        <v>1826269.4213197967</v>
      </c>
      <c r="F185" s="72">
        <f>IFERROR(VLOOKUP($D185,'FERC 2022'!$EA$3:$ER$220,18,0),"")</f>
        <v>1569870.3959390856</v>
      </c>
      <c r="G185" s="72">
        <f>IFERROR(VLOOKUP($D185,'FERC 2023'!$EA$3:$ER$221,18,0),"")</f>
        <v>1585458.3553299494</v>
      </c>
      <c r="H185" s="72">
        <f>VLOOKUP($D185,'FERC 2021'!$EA$3:$EN$221,11,0)</f>
        <v>56459192.421319798</v>
      </c>
      <c r="I185" s="72">
        <f>IFERROR(VLOOKUP($D185,'FERC 2022'!$EA$3:$EN$220,11,0),"")</f>
        <v>59017203.395939082</v>
      </c>
      <c r="J185" s="72">
        <f>IFERROR(VLOOKUP($D185,'FERC 2023'!$EA$3:$EN$221,11,0),"")</f>
        <v>59262521.355329946</v>
      </c>
      <c r="K185" s="17"/>
      <c r="L185" s="17">
        <f t="shared" si="1"/>
        <v>3.2346715264566402E-2</v>
      </c>
      <c r="M185" s="17">
        <f t="shared" ref="M185:N185" si="183">IFERROR(F185/I185,"")</f>
        <v>2.6600216642036056E-2</v>
      </c>
      <c r="N185" s="17">
        <f t="shared" si="183"/>
        <v>2.6753137042950952E-2</v>
      </c>
      <c r="O185" s="44"/>
    </row>
    <row r="186" spans="1:15" ht="15.75" hidden="1" customHeight="1">
      <c r="A186" s="7" t="s">
        <v>754</v>
      </c>
      <c r="B186" s="7" t="s">
        <v>755</v>
      </c>
      <c r="C186" s="44" t="str">
        <f>IF('BD Comp'!C186=1,IF(AND(M186&gt;=$F$1,N186&gt;=$F$1),1,""),"")</f>
        <v/>
      </c>
      <c r="D186" s="44" t="str">
        <f t="shared" si="0"/>
        <v>C005059</v>
      </c>
      <c r="E186" s="72" t="str">
        <f>VLOOKUP($D186,'FERC 2021'!$EA$3:$ER$221,18,0)</f>
        <v/>
      </c>
      <c r="F186" s="72" t="str">
        <f>IFERROR(VLOOKUP($D186,'FERC 2022'!$EA$3:$ER$220,18,0),"")</f>
        <v/>
      </c>
      <c r="G186" s="72" t="str">
        <f>IFERROR(VLOOKUP($D186,'FERC 2023'!$EA$3:$ER$221,18,0),"")</f>
        <v/>
      </c>
      <c r="H186" s="72" t="str">
        <f>VLOOKUP($D186,'FERC 2021'!$EA$3:$EN$221,11,0)</f>
        <v/>
      </c>
      <c r="I186" s="72" t="str">
        <f>IFERROR(VLOOKUP($D186,'FERC 2022'!$EA$3:$EN$220,11,0),"")</f>
        <v/>
      </c>
      <c r="J186" s="72" t="str">
        <f>IFERROR(VLOOKUP($D186,'FERC 2023'!$EA$3:$EN$221,11,0),"")</f>
        <v/>
      </c>
      <c r="K186" s="17"/>
      <c r="L186" s="17" t="e">
        <f t="shared" si="1"/>
        <v>#VALUE!</v>
      </c>
      <c r="M186" s="17" t="str">
        <f t="shared" ref="M186:N186" si="184">IFERROR(F186/I186,"")</f>
        <v/>
      </c>
      <c r="N186" s="17" t="str">
        <f t="shared" si="184"/>
        <v/>
      </c>
      <c r="O186" s="44"/>
    </row>
    <row r="187" spans="1:15" ht="15.75" hidden="1" customHeight="1">
      <c r="A187" s="7" t="s">
        <v>757</v>
      </c>
      <c r="B187" s="7" t="s">
        <v>758</v>
      </c>
      <c r="C187" s="44" t="str">
        <f>IF('BD Comp'!C187=1,IF(AND(M187&gt;=$F$1,N187&gt;=$F$1),1,""),"")</f>
        <v/>
      </c>
      <c r="D187" s="44" t="str">
        <f t="shared" si="0"/>
        <v>C005067</v>
      </c>
      <c r="E187" s="72" t="str">
        <f>VLOOKUP($D187,'FERC 2021'!$EA$3:$ER$221,18,0)</f>
        <v/>
      </c>
      <c r="F187" s="72" t="str">
        <f>IFERROR(VLOOKUP($D187,'FERC 2022'!$EA$3:$ER$220,18,0),"")</f>
        <v/>
      </c>
      <c r="G187" s="72" t="str">
        <f>IFERROR(VLOOKUP($D187,'FERC 2023'!$EA$3:$ER$221,18,0),"")</f>
        <v/>
      </c>
      <c r="H187" s="72" t="str">
        <f>VLOOKUP($D187,'FERC 2021'!$EA$3:$EN$221,11,0)</f>
        <v/>
      </c>
      <c r="I187" s="72" t="str">
        <f>IFERROR(VLOOKUP($D187,'FERC 2022'!$EA$3:$EN$220,11,0),"")</f>
        <v/>
      </c>
      <c r="J187" s="72" t="str">
        <f>IFERROR(VLOOKUP($D187,'FERC 2023'!$EA$3:$EN$221,11,0),"")</f>
        <v/>
      </c>
      <c r="K187" s="17"/>
      <c r="L187" s="17" t="e">
        <f t="shared" si="1"/>
        <v>#VALUE!</v>
      </c>
      <c r="M187" s="17" t="str">
        <f t="shared" ref="M187:N187" si="185">IFERROR(F187/I187,"")</f>
        <v/>
      </c>
      <c r="N187" s="17" t="str">
        <f t="shared" si="185"/>
        <v/>
      </c>
      <c r="O187" s="44"/>
    </row>
    <row r="188" spans="1:15" ht="15.75" hidden="1" customHeight="1">
      <c r="A188" s="7" t="s">
        <v>760</v>
      </c>
      <c r="B188" s="7" t="s">
        <v>761</v>
      </c>
      <c r="C188" s="44" t="str">
        <f>IF('BD Comp'!C188=1,IF(AND(M188&gt;=$F$1,N188&gt;=$F$1),1,""),"")</f>
        <v/>
      </c>
      <c r="D188" s="44" t="str">
        <f t="shared" si="0"/>
        <v>C005423</v>
      </c>
      <c r="E188" s="72" t="str">
        <f>VLOOKUP($D188,'FERC 2021'!$EA$3:$ER$221,18,0)</f>
        <v/>
      </c>
      <c r="F188" s="72" t="str">
        <f>IFERROR(VLOOKUP($D188,'FERC 2022'!$EA$3:$ER$220,18,0),"")</f>
        <v/>
      </c>
      <c r="G188" s="72" t="str">
        <f>IFERROR(VLOOKUP($D188,'FERC 2023'!$EA$3:$ER$221,18,0),"")</f>
        <v/>
      </c>
      <c r="H188" s="72" t="str">
        <f>VLOOKUP($D188,'FERC 2021'!$EA$3:$EN$221,11,0)</f>
        <v/>
      </c>
      <c r="I188" s="72" t="str">
        <f>IFERROR(VLOOKUP($D188,'FERC 2022'!$EA$3:$EN$220,11,0),"")</f>
        <v/>
      </c>
      <c r="J188" s="72" t="str">
        <f>IFERROR(VLOOKUP($D188,'FERC 2023'!$EA$3:$EN$221,11,0),"")</f>
        <v/>
      </c>
      <c r="K188" s="17"/>
      <c r="L188" s="17" t="e">
        <f t="shared" si="1"/>
        <v>#VALUE!</v>
      </c>
      <c r="M188" s="17" t="str">
        <f t="shared" ref="M188:N188" si="186">IFERROR(F188/I188,"")</f>
        <v/>
      </c>
      <c r="N188" s="17" t="str">
        <f t="shared" si="186"/>
        <v/>
      </c>
      <c r="O188" s="44"/>
    </row>
    <row r="189" spans="1:15" ht="15.75" hidden="1" customHeight="1">
      <c r="A189" s="7" t="s">
        <v>763</v>
      </c>
      <c r="B189" s="7" t="s">
        <v>764</v>
      </c>
      <c r="C189" s="44" t="str">
        <f>IF('BD Comp'!C189=1,IF(AND(M189&gt;=$F$1,N189&gt;=$F$1),1,""),"")</f>
        <v/>
      </c>
      <c r="D189" s="44" t="str">
        <f t="shared" si="0"/>
        <v>C005424</v>
      </c>
      <c r="E189" s="72" t="str">
        <f>VLOOKUP($D189,'FERC 2021'!$EA$3:$ER$221,18,0)</f>
        <v/>
      </c>
      <c r="F189" s="72" t="str">
        <f>IFERROR(VLOOKUP($D189,'FERC 2022'!$EA$3:$ER$220,18,0),"")</f>
        <v/>
      </c>
      <c r="G189" s="72" t="str">
        <f>IFERROR(VLOOKUP($D189,'FERC 2023'!$EA$3:$ER$221,18,0),"")</f>
        <v/>
      </c>
      <c r="H189" s="72" t="str">
        <f>VLOOKUP($D189,'FERC 2021'!$EA$3:$EN$221,11,0)</f>
        <v/>
      </c>
      <c r="I189" s="72" t="str">
        <f>IFERROR(VLOOKUP($D189,'FERC 2022'!$EA$3:$EN$220,11,0),"")</f>
        <v/>
      </c>
      <c r="J189" s="72" t="str">
        <f>IFERROR(VLOOKUP($D189,'FERC 2023'!$EA$3:$EN$221,11,0),"")</f>
        <v/>
      </c>
      <c r="K189" s="17"/>
      <c r="L189" s="17" t="e">
        <f t="shared" si="1"/>
        <v>#VALUE!</v>
      </c>
      <c r="M189" s="17" t="str">
        <f t="shared" ref="M189:N189" si="187">IFERROR(F189/I189,"")</f>
        <v/>
      </c>
      <c r="N189" s="17" t="str">
        <f t="shared" si="187"/>
        <v/>
      </c>
      <c r="O189" s="44"/>
    </row>
    <row r="190" spans="1:15" ht="15.75" hidden="1" customHeight="1">
      <c r="A190" s="7" t="s">
        <v>766</v>
      </c>
      <c r="B190" s="7" t="s">
        <v>767</v>
      </c>
      <c r="C190" s="44" t="str">
        <f>IF('BD Comp'!C190=1,IF(AND(M190&gt;=$F$1,N190&gt;=$F$1),1,""),"")</f>
        <v/>
      </c>
      <c r="D190" s="44" t="str">
        <f t="shared" si="0"/>
        <v>C005443</v>
      </c>
      <c r="E190" s="72">
        <f>VLOOKUP($D190,'FERC 2021'!$EA$3:$ER$221,18,0)</f>
        <v>50630.802030456849</v>
      </c>
      <c r="F190" s="72">
        <f>IFERROR(VLOOKUP($D190,'FERC 2022'!$EA$3:$ER$220,18,0),"")</f>
        <v>80093.563451776659</v>
      </c>
      <c r="G190" s="72">
        <f>IFERROR(VLOOKUP($D190,'FERC 2023'!$EA$3:$ER$221,18,0),"")</f>
        <v>70063.746192893406</v>
      </c>
      <c r="H190" s="72">
        <f>VLOOKUP($D190,'FERC 2021'!$EA$3:$EN$221,11,0)</f>
        <v>1964683.802030457</v>
      </c>
      <c r="I190" s="72">
        <f>IFERROR(VLOOKUP($D190,'FERC 2022'!$EA$3:$EN$220,11,0),"")</f>
        <v>1785833.5634517767</v>
      </c>
      <c r="J190" s="72">
        <f>IFERROR(VLOOKUP($D190,'FERC 2023'!$EA$3:$EN$221,11,0),"")</f>
        <v>1896324.7461928935</v>
      </c>
      <c r="K190" s="17"/>
      <c r="L190" s="17">
        <f t="shared" si="1"/>
        <v>2.57704583191102E-2</v>
      </c>
      <c r="M190" s="17">
        <f t="shared" ref="M190:N190" si="188">IFERROR(F190/I190,"")</f>
        <v>4.4849399793431222E-2</v>
      </c>
      <c r="N190" s="17">
        <f t="shared" si="188"/>
        <v>3.6947124343314638E-2</v>
      </c>
      <c r="O190" s="44"/>
    </row>
    <row r="191" spans="1:15" ht="15.75" hidden="1" customHeight="1">
      <c r="A191" s="7" t="s">
        <v>769</v>
      </c>
      <c r="B191" s="7" t="s">
        <v>770</v>
      </c>
      <c r="C191" s="44" t="str">
        <f>IF('BD Comp'!C191=1,IF(AND(M191&gt;=$F$1,N191&gt;=$F$1),1,""),"")</f>
        <v/>
      </c>
      <c r="D191" s="44" t="str">
        <f t="shared" si="0"/>
        <v>C005444</v>
      </c>
      <c r="E191" s="72" t="str">
        <f>VLOOKUP($D191,'FERC 2021'!$EA$3:$ER$221,18,0)</f>
        <v/>
      </c>
      <c r="F191" s="72" t="str">
        <f>IFERROR(VLOOKUP($D191,'FERC 2022'!$EA$3:$ER$220,18,0),"")</f>
        <v/>
      </c>
      <c r="G191" s="72" t="str">
        <f>IFERROR(VLOOKUP($D191,'FERC 2023'!$EA$3:$ER$221,18,0),"")</f>
        <v/>
      </c>
      <c r="H191" s="72" t="str">
        <f>VLOOKUP($D191,'FERC 2021'!$EA$3:$EN$221,11,0)</f>
        <v/>
      </c>
      <c r="I191" s="72" t="str">
        <f>IFERROR(VLOOKUP($D191,'FERC 2022'!$EA$3:$EN$220,11,0),"")</f>
        <v/>
      </c>
      <c r="J191" s="72" t="str">
        <f>IFERROR(VLOOKUP($D191,'FERC 2023'!$EA$3:$EN$221,11,0),"")</f>
        <v/>
      </c>
      <c r="K191" s="17"/>
      <c r="L191" s="17" t="e">
        <f t="shared" si="1"/>
        <v>#VALUE!</v>
      </c>
      <c r="M191" s="17" t="str">
        <f t="shared" ref="M191:N191" si="189">IFERROR(F191/I191,"")</f>
        <v/>
      </c>
      <c r="N191" s="17" t="str">
        <f t="shared" si="189"/>
        <v/>
      </c>
      <c r="O191" s="44"/>
    </row>
    <row r="192" spans="1:15" ht="15.75" hidden="1" customHeight="1">
      <c r="A192" s="7" t="s">
        <v>772</v>
      </c>
      <c r="B192" s="7" t="s">
        <v>773</v>
      </c>
      <c r="C192" s="44" t="str">
        <f>IF('BD Comp'!C192=1,IF(AND(M192&gt;=$F$1,N192&gt;=$F$1),1,""),"")</f>
        <v/>
      </c>
      <c r="D192" s="44" t="str">
        <f t="shared" si="0"/>
        <v>C005475</v>
      </c>
      <c r="E192" s="72" t="str">
        <f>VLOOKUP($D192,'FERC 2021'!$EA$3:$ER$221,18,0)</f>
        <v/>
      </c>
      <c r="F192" s="72" t="str">
        <f>IFERROR(VLOOKUP($D192,'FERC 2022'!$EA$3:$ER$220,18,0),"")</f>
        <v/>
      </c>
      <c r="G192" s="72" t="str">
        <f>IFERROR(VLOOKUP($D192,'FERC 2023'!$EA$3:$ER$221,18,0),"")</f>
        <v/>
      </c>
      <c r="H192" s="72" t="str">
        <f>VLOOKUP($D192,'FERC 2021'!$EA$3:$EN$221,11,0)</f>
        <v/>
      </c>
      <c r="I192" s="72" t="str">
        <f>IFERROR(VLOOKUP($D192,'FERC 2022'!$EA$3:$EN$220,11,0),"")</f>
        <v/>
      </c>
      <c r="J192" s="72" t="str">
        <f>IFERROR(VLOOKUP($D192,'FERC 2023'!$EA$3:$EN$221,11,0),"")</f>
        <v/>
      </c>
      <c r="K192" s="17"/>
      <c r="L192" s="17" t="e">
        <f t="shared" si="1"/>
        <v>#VALUE!</v>
      </c>
      <c r="M192" s="17" t="str">
        <f t="shared" ref="M192:N192" si="190">IFERROR(F192/I192,"")</f>
        <v/>
      </c>
      <c r="N192" s="17" t="str">
        <f t="shared" si="190"/>
        <v/>
      </c>
      <c r="O192" s="44"/>
    </row>
    <row r="193" spans="1:15" ht="15.75" hidden="1" customHeight="1">
      <c r="A193" s="7" t="s">
        <v>775</v>
      </c>
      <c r="B193" s="7" t="s">
        <v>776</v>
      </c>
      <c r="C193" s="44" t="str">
        <f>IF('BD Comp'!C193=1,IF(AND(M193&gt;=$F$1,N193&gt;=$F$1),1,""),"")</f>
        <v/>
      </c>
      <c r="D193" s="44" t="str">
        <f t="shared" si="0"/>
        <v>C005519</v>
      </c>
      <c r="E193" s="72" t="str">
        <f>VLOOKUP($D193,'FERC 2021'!$EA$3:$ER$221,18,0)</f>
        <v/>
      </c>
      <c r="F193" s="72" t="str">
        <f>IFERROR(VLOOKUP($D193,'FERC 2022'!$EA$3:$ER$220,18,0),"")</f>
        <v/>
      </c>
      <c r="G193" s="72" t="str">
        <f>IFERROR(VLOOKUP($D193,'FERC 2023'!$EA$3:$ER$221,18,0),"")</f>
        <v/>
      </c>
      <c r="H193" s="72" t="str">
        <f>VLOOKUP($D193,'FERC 2021'!$EA$3:$EN$221,11,0)</f>
        <v/>
      </c>
      <c r="I193" s="72" t="str">
        <f>IFERROR(VLOOKUP($D193,'FERC 2022'!$EA$3:$EN$220,11,0),"")</f>
        <v/>
      </c>
      <c r="J193" s="72" t="str">
        <f>IFERROR(VLOOKUP($D193,'FERC 2023'!$EA$3:$EN$221,11,0),"")</f>
        <v/>
      </c>
      <c r="K193" s="17"/>
      <c r="L193" s="17" t="e">
        <f t="shared" si="1"/>
        <v>#VALUE!</v>
      </c>
      <c r="M193" s="17" t="str">
        <f t="shared" ref="M193:N193" si="191">IFERROR(F193/I193,"")</f>
        <v/>
      </c>
      <c r="N193" s="17" t="str">
        <f t="shared" si="191"/>
        <v/>
      </c>
      <c r="O193" s="44"/>
    </row>
    <row r="194" spans="1:15" ht="15.75" hidden="1" customHeight="1">
      <c r="A194" s="7" t="s">
        <v>778</v>
      </c>
      <c r="B194" s="7" t="s">
        <v>779</v>
      </c>
      <c r="C194" s="44" t="str">
        <f>IF('BD Comp'!C194=1,IF(AND(M194&gt;=$F$1,N194&gt;=$F$1),1,""),"")</f>
        <v/>
      </c>
      <c r="D194" s="44" t="str">
        <f t="shared" si="0"/>
        <v>C007565</v>
      </c>
      <c r="E194" s="72" t="str">
        <f>VLOOKUP($D194,'FERC 2021'!$EA$3:$ER$221,18,0)</f>
        <v/>
      </c>
      <c r="F194" s="72" t="str">
        <f>IFERROR(VLOOKUP($D194,'FERC 2022'!$EA$3:$ER$220,18,0),"")</f>
        <v/>
      </c>
      <c r="G194" s="72" t="str">
        <f>IFERROR(VLOOKUP($D194,'FERC 2023'!$EA$3:$ER$221,18,0),"")</f>
        <v/>
      </c>
      <c r="H194" s="72" t="str">
        <f>VLOOKUP($D194,'FERC 2021'!$EA$3:$EN$221,11,0)</f>
        <v/>
      </c>
      <c r="I194" s="72" t="str">
        <f>IFERROR(VLOOKUP($D194,'FERC 2022'!$EA$3:$EN$220,11,0),"")</f>
        <v/>
      </c>
      <c r="J194" s="72" t="str">
        <f>IFERROR(VLOOKUP($D194,'FERC 2023'!$EA$3:$EN$221,11,0),"")</f>
        <v/>
      </c>
      <c r="K194" s="17"/>
      <c r="L194" s="17" t="e">
        <f t="shared" si="1"/>
        <v>#VALUE!</v>
      </c>
      <c r="M194" s="17" t="str">
        <f t="shared" ref="M194:N194" si="192">IFERROR(F194/I194,"")</f>
        <v/>
      </c>
      <c r="N194" s="17" t="str">
        <f t="shared" si="192"/>
        <v/>
      </c>
      <c r="O194" s="44"/>
    </row>
    <row r="195" spans="1:15" ht="15.75" hidden="1" customHeight="1">
      <c r="A195" s="7" t="s">
        <v>781</v>
      </c>
      <c r="B195" s="7" t="s">
        <v>782</v>
      </c>
      <c r="C195" s="44" t="str">
        <f>IF('BD Comp'!C195=1,IF(AND(M195&gt;=$F$1,N195&gt;=$F$1),1,""),"")</f>
        <v/>
      </c>
      <c r="D195" s="44" t="str">
        <f t="shared" si="0"/>
        <v>C007581</v>
      </c>
      <c r="E195" s="72" t="str">
        <f>VLOOKUP($D195,'FERC 2021'!$EA$3:$ER$221,18,0)</f>
        <v/>
      </c>
      <c r="F195" s="72" t="str">
        <f>IFERROR(VLOOKUP($D195,'FERC 2022'!$EA$3:$ER$220,18,0),"")</f>
        <v/>
      </c>
      <c r="G195" s="72" t="str">
        <f>IFERROR(VLOOKUP($D195,'FERC 2023'!$EA$3:$ER$221,18,0),"")</f>
        <v/>
      </c>
      <c r="H195" s="72" t="str">
        <f>VLOOKUP($D195,'FERC 2021'!$EA$3:$EN$221,11,0)</f>
        <v/>
      </c>
      <c r="I195" s="72" t="str">
        <f>IFERROR(VLOOKUP($D195,'FERC 2022'!$EA$3:$EN$220,11,0),"")</f>
        <v/>
      </c>
      <c r="J195" s="72" t="str">
        <f>IFERROR(VLOOKUP($D195,'FERC 2023'!$EA$3:$EN$221,11,0),"")</f>
        <v/>
      </c>
      <c r="K195" s="17"/>
      <c r="L195" s="17" t="e">
        <f t="shared" si="1"/>
        <v>#VALUE!</v>
      </c>
      <c r="M195" s="17" t="str">
        <f t="shared" ref="M195:N195" si="193">IFERROR(F195/I195,"")</f>
        <v/>
      </c>
      <c r="N195" s="17" t="str">
        <f t="shared" si="193"/>
        <v/>
      </c>
      <c r="O195" s="44"/>
    </row>
    <row r="196" spans="1:15" ht="15.75" hidden="1" customHeight="1">
      <c r="A196" s="7" t="s">
        <v>784</v>
      </c>
      <c r="B196" s="7" t="s">
        <v>785</v>
      </c>
      <c r="C196" s="44" t="str">
        <f>IF('BD Comp'!C196=1,IF(AND(M196&gt;=$F$1,N196&gt;=$F$1),1,""),"")</f>
        <v/>
      </c>
      <c r="D196" s="44" t="str">
        <f t="shared" si="0"/>
        <v>C007582</v>
      </c>
      <c r="E196" s="72" t="str">
        <f>VLOOKUP($D196,'FERC 2021'!$EA$3:$ER$221,18,0)</f>
        <v/>
      </c>
      <c r="F196" s="72" t="str">
        <f>IFERROR(VLOOKUP($D196,'FERC 2022'!$EA$3:$ER$220,18,0),"")</f>
        <v/>
      </c>
      <c r="G196" s="72" t="str">
        <f>IFERROR(VLOOKUP($D196,'FERC 2023'!$EA$3:$ER$221,18,0),"")</f>
        <v/>
      </c>
      <c r="H196" s="72" t="str">
        <f>VLOOKUP($D196,'FERC 2021'!$EA$3:$EN$221,11,0)</f>
        <v/>
      </c>
      <c r="I196" s="72" t="str">
        <f>IFERROR(VLOOKUP($D196,'FERC 2022'!$EA$3:$EN$220,11,0),"")</f>
        <v/>
      </c>
      <c r="J196" s="72" t="str">
        <f>IFERROR(VLOOKUP($D196,'FERC 2023'!$EA$3:$EN$221,11,0),"")</f>
        <v/>
      </c>
      <c r="K196" s="17"/>
      <c r="L196" s="17" t="e">
        <f t="shared" si="1"/>
        <v>#VALUE!</v>
      </c>
      <c r="M196" s="17" t="str">
        <f t="shared" ref="M196:N196" si="194">IFERROR(F196/I196,"")</f>
        <v/>
      </c>
      <c r="N196" s="17" t="str">
        <f t="shared" si="194"/>
        <v/>
      </c>
      <c r="O196" s="44"/>
    </row>
    <row r="197" spans="1:15" ht="15.75" hidden="1" customHeight="1">
      <c r="A197" s="7" t="s">
        <v>787</v>
      </c>
      <c r="B197" s="7" t="s">
        <v>788</v>
      </c>
      <c r="C197" s="44" t="str">
        <f>IF('BD Comp'!C197=1,IF(AND(M197&gt;=$F$1,N197&gt;=$F$1),1,""),"")</f>
        <v/>
      </c>
      <c r="D197" s="44" t="str">
        <f t="shared" si="0"/>
        <v>C007584</v>
      </c>
      <c r="E197" s="72" t="str">
        <f>VLOOKUP($D197,'FERC 2021'!$EA$3:$ER$221,18,0)</f>
        <v/>
      </c>
      <c r="F197" s="72" t="str">
        <f>IFERROR(VLOOKUP($D197,'FERC 2022'!$EA$3:$ER$220,18,0),"")</f>
        <v/>
      </c>
      <c r="G197" s="72" t="str">
        <f>IFERROR(VLOOKUP($D197,'FERC 2023'!$EA$3:$ER$221,18,0),"")</f>
        <v/>
      </c>
      <c r="H197" s="72" t="str">
        <f>VLOOKUP($D197,'FERC 2021'!$EA$3:$EN$221,11,0)</f>
        <v/>
      </c>
      <c r="I197" s="72" t="str">
        <f>IFERROR(VLOOKUP($D197,'FERC 2022'!$EA$3:$EN$220,11,0),"")</f>
        <v/>
      </c>
      <c r="J197" s="72" t="str">
        <f>IFERROR(VLOOKUP($D197,'FERC 2023'!$EA$3:$EN$221,11,0),"")</f>
        <v/>
      </c>
      <c r="K197" s="17"/>
      <c r="L197" s="17" t="e">
        <f t="shared" si="1"/>
        <v>#VALUE!</v>
      </c>
      <c r="M197" s="17" t="str">
        <f t="shared" ref="M197:N197" si="195">IFERROR(F197/I197,"")</f>
        <v/>
      </c>
      <c r="N197" s="17" t="str">
        <f t="shared" si="195"/>
        <v/>
      </c>
      <c r="O197" s="44"/>
    </row>
    <row r="198" spans="1:15" ht="15.75" hidden="1" customHeight="1">
      <c r="A198" s="7" t="s">
        <v>790</v>
      </c>
      <c r="B198" s="7" t="s">
        <v>791</v>
      </c>
      <c r="C198" s="44" t="str">
        <f>IF('BD Comp'!C198=1,IF(AND(M198&gt;=$F$1,N198&gt;=$F$1),1,""),"")</f>
        <v/>
      </c>
      <c r="D198" s="44" t="str">
        <f t="shared" si="0"/>
        <v>C007624</v>
      </c>
      <c r="E198" s="72" t="str">
        <f>VLOOKUP($D198,'FERC 2021'!$EA$3:$ER$221,18,0)</f>
        <v/>
      </c>
      <c r="F198" s="72" t="str">
        <f>IFERROR(VLOOKUP($D198,'FERC 2022'!$EA$3:$ER$220,18,0),"")</f>
        <v/>
      </c>
      <c r="G198" s="72" t="str">
        <f>IFERROR(VLOOKUP($D198,'FERC 2023'!$EA$3:$ER$221,18,0),"")</f>
        <v/>
      </c>
      <c r="H198" s="72" t="str">
        <f>VLOOKUP($D198,'FERC 2021'!$EA$3:$EN$221,11,0)</f>
        <v/>
      </c>
      <c r="I198" s="72" t="str">
        <f>IFERROR(VLOOKUP($D198,'FERC 2022'!$EA$3:$EN$220,11,0),"")</f>
        <v/>
      </c>
      <c r="J198" s="72" t="str">
        <f>IFERROR(VLOOKUP($D198,'FERC 2023'!$EA$3:$EN$221,11,0),"")</f>
        <v/>
      </c>
      <c r="K198" s="17"/>
      <c r="L198" s="17" t="e">
        <f t="shared" si="1"/>
        <v>#VALUE!</v>
      </c>
      <c r="M198" s="17" t="str">
        <f t="shared" ref="M198:N198" si="196">IFERROR(F198/I198,"")</f>
        <v/>
      </c>
      <c r="N198" s="17" t="str">
        <f t="shared" si="196"/>
        <v/>
      </c>
      <c r="O198" s="44"/>
    </row>
    <row r="199" spans="1:15" ht="15.75" hidden="1" customHeight="1">
      <c r="A199" s="7" t="s">
        <v>793</v>
      </c>
      <c r="B199" s="7" t="s">
        <v>794</v>
      </c>
      <c r="C199" s="44" t="str">
        <f>IF('BD Comp'!C199=1,IF(AND(M199&gt;=$F$1,N199&gt;=$F$1),1,""),"")</f>
        <v/>
      </c>
      <c r="D199" s="44" t="str">
        <f t="shared" si="0"/>
        <v>C007667</v>
      </c>
      <c r="E199" s="72">
        <f>VLOOKUP($D199,'FERC 2021'!$EA$3:$ER$221,18,0)</f>
        <v>25820.944162436295</v>
      </c>
      <c r="F199" s="72">
        <f>IFERROR(VLOOKUP($D199,'FERC 2022'!$EA$3:$ER$220,18,0),"")</f>
        <v>169165.25888324855</v>
      </c>
      <c r="G199" s="72">
        <f>IFERROR(VLOOKUP($D199,'FERC 2023'!$EA$3:$ER$221,18,0),"")</f>
        <v>23247.441624365281</v>
      </c>
      <c r="H199" s="72">
        <f>VLOOKUP($D199,'FERC 2021'!$EA$3:$EN$221,11,0)</f>
        <v>5433480.9441624358</v>
      </c>
      <c r="I199" s="72">
        <f>IFERROR(VLOOKUP($D199,'FERC 2022'!$EA$3:$EN$220,11,0),"")</f>
        <v>5809660.258883249</v>
      </c>
      <c r="J199" s="72">
        <f>IFERROR(VLOOKUP($D199,'FERC 2023'!$EA$3:$EN$221,11,0),"")</f>
        <v>5762608.4416243657</v>
      </c>
      <c r="K199" s="17"/>
      <c r="L199" s="17">
        <f t="shared" si="1"/>
        <v>4.7521919056654682E-3</v>
      </c>
      <c r="M199" s="17">
        <f t="shared" ref="M199:N199" si="197">IFERROR(F199/I199,"")</f>
        <v>2.9117926237525984E-2</v>
      </c>
      <c r="N199" s="17">
        <f t="shared" si="197"/>
        <v>4.0341872712441806E-3</v>
      </c>
      <c r="O199" s="44"/>
    </row>
    <row r="200" spans="1:15" ht="15.75" hidden="1" customHeight="1">
      <c r="A200" s="7" t="s">
        <v>796</v>
      </c>
      <c r="B200" s="7" t="s">
        <v>797</v>
      </c>
      <c r="C200" s="44" t="str">
        <f>IF('BD Comp'!C200=1,IF(AND(M200&gt;=$F$1,N200&gt;=$F$1),1,""),"")</f>
        <v/>
      </c>
      <c r="D200" s="44" t="str">
        <f t="shared" si="0"/>
        <v>C007679</v>
      </c>
      <c r="E200" s="72" t="str">
        <f>VLOOKUP($D200,'FERC 2021'!$EA$3:$ER$221,18,0)</f>
        <v/>
      </c>
      <c r="F200" s="72" t="str">
        <f>IFERROR(VLOOKUP($D200,'FERC 2022'!$EA$3:$ER$220,18,0),"")</f>
        <v/>
      </c>
      <c r="G200" s="72" t="str">
        <f>IFERROR(VLOOKUP($D200,'FERC 2023'!$EA$3:$ER$221,18,0),"")</f>
        <v/>
      </c>
      <c r="H200" s="72" t="str">
        <f>VLOOKUP($D200,'FERC 2021'!$EA$3:$EN$221,11,0)</f>
        <v/>
      </c>
      <c r="I200" s="72" t="str">
        <f>IFERROR(VLOOKUP($D200,'FERC 2022'!$EA$3:$EN$220,11,0),"")</f>
        <v/>
      </c>
      <c r="J200" s="72" t="str">
        <f>IFERROR(VLOOKUP($D200,'FERC 2023'!$EA$3:$EN$221,11,0),"")</f>
        <v/>
      </c>
      <c r="K200" s="17"/>
      <c r="L200" s="17" t="e">
        <f t="shared" si="1"/>
        <v>#VALUE!</v>
      </c>
      <c r="M200" s="17" t="str">
        <f t="shared" ref="M200:N200" si="198">IFERROR(F200/I200,"")</f>
        <v/>
      </c>
      <c r="N200" s="17" t="str">
        <f t="shared" si="198"/>
        <v/>
      </c>
      <c r="O200" s="44"/>
    </row>
    <row r="201" spans="1:15" ht="15.75" hidden="1" customHeight="1">
      <c r="A201" s="7" t="s">
        <v>799</v>
      </c>
      <c r="B201" s="7" t="s">
        <v>800</v>
      </c>
      <c r="C201" s="44" t="str">
        <f>IF('BD Comp'!C201=1,IF(AND(M201&gt;=$F$1,N201&gt;=$F$1),1,""),"")</f>
        <v/>
      </c>
      <c r="D201" s="44" t="str">
        <f t="shared" si="0"/>
        <v>C008947</v>
      </c>
      <c r="E201" s="72" t="str">
        <f>VLOOKUP($D201,'FERC 2021'!$EA$3:$ER$221,18,0)</f>
        <v/>
      </c>
      <c r="F201" s="72" t="str">
        <f>IFERROR(VLOOKUP($D201,'FERC 2022'!$EA$3:$ER$220,18,0),"")</f>
        <v/>
      </c>
      <c r="G201" s="72" t="str">
        <f>IFERROR(VLOOKUP($D201,'FERC 2023'!$EA$3:$ER$221,18,0),"")</f>
        <v/>
      </c>
      <c r="H201" s="72" t="str">
        <f>VLOOKUP($D201,'FERC 2021'!$EA$3:$EN$221,11,0)</f>
        <v/>
      </c>
      <c r="I201" s="72" t="str">
        <f>IFERROR(VLOOKUP($D201,'FERC 2022'!$EA$3:$EN$220,11,0),"")</f>
        <v/>
      </c>
      <c r="J201" s="72" t="str">
        <f>IFERROR(VLOOKUP($D201,'FERC 2023'!$EA$3:$EN$221,11,0),"")</f>
        <v/>
      </c>
      <c r="K201" s="17"/>
      <c r="L201" s="17" t="e">
        <f t="shared" si="1"/>
        <v>#VALUE!</v>
      </c>
      <c r="M201" s="17" t="str">
        <f t="shared" ref="M201:N201" si="199">IFERROR(F201/I201,"")</f>
        <v/>
      </c>
      <c r="N201" s="17" t="str">
        <f t="shared" si="199"/>
        <v/>
      </c>
      <c r="O201" s="44"/>
    </row>
    <row r="202" spans="1:15" ht="15.75" hidden="1" customHeight="1">
      <c r="A202" s="7" t="s">
        <v>802</v>
      </c>
      <c r="B202" s="7" t="s">
        <v>803</v>
      </c>
      <c r="C202" s="44" t="str">
        <f>IF('BD Comp'!C202=1,IF(AND(M202&gt;=$F$1,N202&gt;=$F$1),1,""),"")</f>
        <v/>
      </c>
      <c r="D202" s="44" t="str">
        <f t="shared" si="0"/>
        <v>C008998</v>
      </c>
      <c r="E202" s="72">
        <f>VLOOKUP($D202,'FERC 2021'!$EA$3:$ER$221,18,0)</f>
        <v>984431.85786801949</v>
      </c>
      <c r="F202" s="72">
        <f>IFERROR(VLOOKUP($D202,'FERC 2022'!$EA$3:$ER$220,18,0),"")</f>
        <v>1344548.223350253</v>
      </c>
      <c r="G202" s="72">
        <f>IFERROR(VLOOKUP($D202,'FERC 2023'!$EA$3:$ER$221,18,0),"")</f>
        <v>1013390.8883248726</v>
      </c>
      <c r="H202" s="72">
        <f>VLOOKUP($D202,'FERC 2021'!$EA$3:$EN$221,11,0)</f>
        <v>23266402.857868019</v>
      </c>
      <c r="I202" s="72">
        <f>IFERROR(VLOOKUP($D202,'FERC 2022'!$EA$3:$EN$220,11,0),"")</f>
        <v>23670654.223350253</v>
      </c>
      <c r="J202" s="72">
        <f>IFERROR(VLOOKUP($D202,'FERC 2023'!$EA$3:$EN$221,11,0),"")</f>
        <v>23531993.888324872</v>
      </c>
      <c r="K202" s="17"/>
      <c r="L202" s="17">
        <f t="shared" si="1"/>
        <v>4.2311304582913357E-2</v>
      </c>
      <c r="M202" s="17">
        <f t="shared" ref="M202:N202" si="200">IFERROR(F202/I202,"")</f>
        <v>5.6802326233294571E-2</v>
      </c>
      <c r="N202" s="17">
        <f t="shared" si="200"/>
        <v>4.3064386857063347E-2</v>
      </c>
      <c r="O202" s="44"/>
    </row>
    <row r="203" spans="1:15" ht="15.75" hidden="1" customHeight="1">
      <c r="A203" s="7" t="s">
        <v>805</v>
      </c>
      <c r="B203" s="7" t="s">
        <v>806</v>
      </c>
      <c r="C203" s="44" t="str">
        <f>IF('BD Comp'!C203=1,IF(AND(M203&gt;=$F$1,N203&gt;=$F$1),1,""),"")</f>
        <v/>
      </c>
      <c r="D203" s="44" t="str">
        <f t="shared" si="0"/>
        <v>C008999</v>
      </c>
      <c r="E203" s="72">
        <f>VLOOKUP($D203,'FERC 2021'!$EA$3:$ER$221,18,0)</f>
        <v>562648.71065989882</v>
      </c>
      <c r="F203" s="72">
        <f>IFERROR(VLOOKUP($D203,'FERC 2022'!$EA$3:$ER$220,18,0),"")</f>
        <v>773259.5482233502</v>
      </c>
      <c r="G203" s="72">
        <f>IFERROR(VLOOKUP($D203,'FERC 2023'!$EA$3:$ER$221,18,0),"")</f>
        <v>607141.08629441634</v>
      </c>
      <c r="H203" s="72">
        <f>VLOOKUP($D203,'FERC 2021'!$EA$3:$EN$221,11,0)</f>
        <v>13307583.710659899</v>
      </c>
      <c r="I203" s="72">
        <f>IFERROR(VLOOKUP($D203,'FERC 2022'!$EA$3:$EN$220,11,0),"")</f>
        <v>13721665.54822335</v>
      </c>
      <c r="J203" s="72">
        <f>IFERROR(VLOOKUP($D203,'FERC 2023'!$EA$3:$EN$221,11,0),"")</f>
        <v>13492373.086294416</v>
      </c>
      <c r="K203" s="17"/>
      <c r="L203" s="17">
        <f t="shared" si="1"/>
        <v>4.2280305943835243E-2</v>
      </c>
      <c r="M203" s="17">
        <f t="shared" ref="M203:N203" si="201">IFERROR(F203/I203,"")</f>
        <v>5.6353184349655722E-2</v>
      </c>
      <c r="N203" s="17">
        <f t="shared" si="201"/>
        <v>4.4998836187768308E-2</v>
      </c>
      <c r="O203" s="44"/>
    </row>
    <row r="204" spans="1:15" ht="15.75" hidden="1" customHeight="1">
      <c r="A204" s="7" t="s">
        <v>808</v>
      </c>
      <c r="B204" s="7" t="s">
        <v>809</v>
      </c>
      <c r="C204" s="44" t="str">
        <f>IF('BD Comp'!C204=1,IF(AND(M204&gt;=$F$1,N204&gt;=$F$1),1,""),"")</f>
        <v/>
      </c>
      <c r="D204" s="44" t="str">
        <f t="shared" si="0"/>
        <v>C009068</v>
      </c>
      <c r="E204" s="72" t="str">
        <f>VLOOKUP($D204,'FERC 2021'!$EA$3:$ER$221,18,0)</f>
        <v/>
      </c>
      <c r="F204" s="72" t="str">
        <f>IFERROR(VLOOKUP($D204,'FERC 2022'!$EA$3:$ER$220,18,0),"")</f>
        <v/>
      </c>
      <c r="G204" s="72" t="str">
        <f>IFERROR(VLOOKUP($D204,'FERC 2023'!$EA$3:$ER$221,18,0),"")</f>
        <v/>
      </c>
      <c r="H204" s="72" t="str">
        <f>VLOOKUP($D204,'FERC 2021'!$EA$3:$EN$221,11,0)</f>
        <v/>
      </c>
      <c r="I204" s="72" t="str">
        <f>IFERROR(VLOOKUP($D204,'FERC 2022'!$EA$3:$EN$220,11,0),"")</f>
        <v/>
      </c>
      <c r="J204" s="72" t="str">
        <f>IFERROR(VLOOKUP($D204,'FERC 2023'!$EA$3:$EN$221,11,0),"")</f>
        <v/>
      </c>
      <c r="K204" s="17"/>
      <c r="L204" s="17" t="e">
        <f t="shared" si="1"/>
        <v>#VALUE!</v>
      </c>
      <c r="M204" s="17" t="str">
        <f t="shared" ref="M204:N204" si="202">IFERROR(F204/I204,"")</f>
        <v/>
      </c>
      <c r="N204" s="17" t="str">
        <f t="shared" si="202"/>
        <v/>
      </c>
      <c r="O204" s="44"/>
    </row>
    <row r="205" spans="1:15" ht="15.75" hidden="1" customHeight="1">
      <c r="A205" s="7" t="s">
        <v>811</v>
      </c>
      <c r="B205" s="7" t="s">
        <v>812</v>
      </c>
      <c r="C205" s="44" t="str">
        <f>IF('BD Comp'!C205=1,IF(AND(M205&gt;=$F$1,N205&gt;=$F$1),1,""),"")</f>
        <v/>
      </c>
      <c r="D205" s="44" t="str">
        <f t="shared" si="0"/>
        <v>C010151</v>
      </c>
      <c r="E205" s="72" t="str">
        <f>VLOOKUP($D205,'FERC 2021'!$EA$3:$ER$221,18,0)</f>
        <v/>
      </c>
      <c r="F205" s="72" t="str">
        <f>IFERROR(VLOOKUP($D205,'FERC 2022'!$EA$3:$ER$220,18,0),"")</f>
        <v/>
      </c>
      <c r="G205" s="72" t="str">
        <f>IFERROR(VLOOKUP($D205,'FERC 2023'!$EA$3:$ER$221,18,0),"")</f>
        <v/>
      </c>
      <c r="H205" s="72" t="str">
        <f>VLOOKUP($D205,'FERC 2021'!$EA$3:$EN$221,11,0)</f>
        <v/>
      </c>
      <c r="I205" s="72" t="str">
        <f>IFERROR(VLOOKUP($D205,'FERC 2022'!$EA$3:$EN$220,11,0),"")</f>
        <v/>
      </c>
      <c r="J205" s="72" t="str">
        <f>IFERROR(VLOOKUP($D205,'FERC 2023'!$EA$3:$EN$221,11,0),"")</f>
        <v/>
      </c>
      <c r="K205" s="17"/>
      <c r="L205" s="17" t="e">
        <f t="shared" si="1"/>
        <v>#VALUE!</v>
      </c>
      <c r="M205" s="17" t="str">
        <f t="shared" ref="M205:N205" si="203">IFERROR(F205/I205,"")</f>
        <v/>
      </c>
      <c r="N205" s="17" t="str">
        <f t="shared" si="203"/>
        <v/>
      </c>
      <c r="O205" s="44"/>
    </row>
    <row r="206" spans="1:15" ht="15.75" hidden="1" customHeight="1">
      <c r="A206" s="7" t="s">
        <v>814</v>
      </c>
      <c r="B206" s="7" t="s">
        <v>815</v>
      </c>
      <c r="C206" s="44" t="str">
        <f>IF('BD Comp'!C206=1,IF(AND(M206&gt;=$F$1,N206&gt;=$F$1),1,""),"")</f>
        <v/>
      </c>
      <c r="D206" s="44" t="str">
        <f t="shared" si="0"/>
        <v>C010388</v>
      </c>
      <c r="E206" s="72" t="str">
        <f>VLOOKUP($D206,'FERC 2021'!$EA$3:$ER$221,18,0)</f>
        <v/>
      </c>
      <c r="F206" s="72" t="str">
        <f>IFERROR(VLOOKUP($D206,'FERC 2022'!$EA$3:$ER$220,18,0),"")</f>
        <v/>
      </c>
      <c r="G206" s="72" t="str">
        <f>IFERROR(VLOOKUP($D206,'FERC 2023'!$EA$3:$ER$221,18,0),"")</f>
        <v/>
      </c>
      <c r="H206" s="72" t="str">
        <f>VLOOKUP($D206,'FERC 2021'!$EA$3:$EN$221,11,0)</f>
        <v/>
      </c>
      <c r="I206" s="72" t="str">
        <f>IFERROR(VLOOKUP($D206,'FERC 2022'!$EA$3:$EN$220,11,0),"")</f>
        <v/>
      </c>
      <c r="J206" s="72" t="str">
        <f>IFERROR(VLOOKUP($D206,'FERC 2023'!$EA$3:$EN$221,11,0),"")</f>
        <v/>
      </c>
      <c r="K206" s="17"/>
      <c r="L206" s="17" t="e">
        <f t="shared" si="1"/>
        <v>#VALUE!</v>
      </c>
      <c r="M206" s="17" t="str">
        <f t="shared" ref="M206:N206" si="204">IFERROR(F206/I206,"")</f>
        <v/>
      </c>
      <c r="N206" s="17" t="str">
        <f t="shared" si="204"/>
        <v/>
      </c>
      <c r="O206" s="44"/>
    </row>
    <row r="207" spans="1:15" ht="15.75" hidden="1" customHeight="1">
      <c r="A207" s="7" t="s">
        <v>817</v>
      </c>
      <c r="B207" s="7" t="s">
        <v>818</v>
      </c>
      <c r="C207" s="44" t="str">
        <f>IF('BD Comp'!C207=1,IF(AND(M207&gt;=$F$1,N207&gt;=$F$1),1,""),"")</f>
        <v/>
      </c>
      <c r="D207" s="44" t="str">
        <f t="shared" si="0"/>
        <v>C010432</v>
      </c>
      <c r="E207" s="72">
        <f>VLOOKUP($D207,'FERC 2021'!$EA$3:$ER$221,18,0)</f>
        <v>103625</v>
      </c>
      <c r="F207" s="72" t="str">
        <f>IFERROR(VLOOKUP($D207,'FERC 2022'!$EA$3:$ER$220,18,0),"")</f>
        <v/>
      </c>
      <c r="G207" s="72">
        <f>IFERROR(VLOOKUP($D207,'FERC 2023'!$EA$3:$ER$221,18,0),"")</f>
        <v>142366</v>
      </c>
      <c r="H207" s="72">
        <f>VLOOKUP($D207,'FERC 2021'!$EA$3:$EN$221,11,0)</f>
        <v>5267752</v>
      </c>
      <c r="I207" s="72" t="str">
        <f>IFERROR(VLOOKUP($D207,'FERC 2022'!$EA$3:$EN$220,11,0),"")</f>
        <v/>
      </c>
      <c r="J207" s="72">
        <f>IFERROR(VLOOKUP($D207,'FERC 2023'!$EA$3:$EN$221,11,0),"")</f>
        <v>6113212</v>
      </c>
      <c r="K207" s="17"/>
      <c r="L207" s="17">
        <f t="shared" si="1"/>
        <v>1.9671579072059582E-2</v>
      </c>
      <c r="M207" s="17" t="str">
        <f t="shared" ref="M207:N207" si="205">IFERROR(F207/I207,"")</f>
        <v/>
      </c>
      <c r="N207" s="17">
        <f t="shared" si="205"/>
        <v>2.3288248469053585E-2</v>
      </c>
      <c r="O207" s="44"/>
    </row>
    <row r="208" spans="1:15" ht="15.75" hidden="1" customHeight="1">
      <c r="A208" s="7" t="s">
        <v>820</v>
      </c>
      <c r="B208" s="7" t="s">
        <v>821</v>
      </c>
      <c r="C208" s="44" t="str">
        <f>IF('BD Comp'!C208=1,IF(AND(M208&gt;=$F$1,N208&gt;=$F$1),1,""),"")</f>
        <v/>
      </c>
      <c r="D208" s="44" t="str">
        <f t="shared" si="0"/>
        <v>C010446</v>
      </c>
      <c r="E208" s="72" t="str">
        <f>VLOOKUP($D208,'FERC 2021'!$EA$3:$ER$221,18,0)</f>
        <v/>
      </c>
      <c r="F208" s="72" t="str">
        <f>IFERROR(VLOOKUP($D208,'FERC 2022'!$EA$3:$ER$220,18,0),"")</f>
        <v/>
      </c>
      <c r="G208" s="72" t="str">
        <f>IFERROR(VLOOKUP($D208,'FERC 2023'!$EA$3:$ER$221,18,0),"")</f>
        <v/>
      </c>
      <c r="H208" s="72" t="str">
        <f>VLOOKUP($D208,'FERC 2021'!$EA$3:$EN$221,11,0)</f>
        <v/>
      </c>
      <c r="I208" s="72" t="str">
        <f>IFERROR(VLOOKUP($D208,'FERC 2022'!$EA$3:$EN$220,11,0),"")</f>
        <v/>
      </c>
      <c r="J208" s="72" t="str">
        <f>IFERROR(VLOOKUP($D208,'FERC 2023'!$EA$3:$EN$221,11,0),"")</f>
        <v/>
      </c>
      <c r="K208" s="17"/>
      <c r="L208" s="17" t="e">
        <f t="shared" si="1"/>
        <v>#VALUE!</v>
      </c>
      <c r="M208" s="17" t="str">
        <f t="shared" ref="M208:N208" si="206">IFERROR(F208/I208,"")</f>
        <v/>
      </c>
      <c r="N208" s="17" t="str">
        <f t="shared" si="206"/>
        <v/>
      </c>
      <c r="O208" s="44"/>
    </row>
    <row r="209" spans="1:15" ht="15.75" hidden="1" customHeight="1">
      <c r="A209" s="7" t="s">
        <v>823</v>
      </c>
      <c r="B209" s="7" t="s">
        <v>824</v>
      </c>
      <c r="C209" s="44" t="str">
        <f>IF('BD Comp'!C209=1,IF(AND(M209&gt;=$F$1,N209&gt;=$F$1),1,""),"")</f>
        <v/>
      </c>
      <c r="D209" s="44" t="str">
        <f t="shared" si="0"/>
        <v>C010464</v>
      </c>
      <c r="E209" s="72">
        <f>VLOOKUP($D209,'FERC 2021'!$EA$3:$ER$221,18,0)</f>
        <v>21672</v>
      </c>
      <c r="F209" s="72" t="str">
        <f>IFERROR(VLOOKUP($D209,'FERC 2022'!$EA$3:$ER$220,18,0),"")</f>
        <v/>
      </c>
      <c r="G209" s="72">
        <f>IFERROR(VLOOKUP($D209,'FERC 2023'!$EA$3:$ER$221,18,0),"")</f>
        <v>27772</v>
      </c>
      <c r="H209" s="72">
        <f>VLOOKUP($D209,'FERC 2021'!$EA$3:$EN$221,11,0)</f>
        <v>155378</v>
      </c>
      <c r="I209" s="72" t="str">
        <f>IFERROR(VLOOKUP($D209,'FERC 2022'!$EA$3:$EN$220,11,0),"")</f>
        <v/>
      </c>
      <c r="J209" s="72">
        <f>IFERROR(VLOOKUP($D209,'FERC 2023'!$EA$3:$EN$221,11,0),"")</f>
        <v>166043</v>
      </c>
      <c r="K209" s="17"/>
      <c r="L209" s="17">
        <f t="shared" si="1"/>
        <v>0.1394792055503353</v>
      </c>
      <c r="M209" s="17" t="str">
        <f t="shared" ref="M209:N209" si="207">IFERROR(F209/I209,"")</f>
        <v/>
      </c>
      <c r="N209" s="17">
        <f t="shared" si="207"/>
        <v>0.16725787898315497</v>
      </c>
      <c r="O209" s="44"/>
    </row>
    <row r="210" spans="1:15" ht="15.75" hidden="1" customHeight="1">
      <c r="A210" s="7" t="s">
        <v>826</v>
      </c>
      <c r="B210" s="7" t="s">
        <v>827</v>
      </c>
      <c r="C210" s="44" t="str">
        <f>IF('BD Comp'!C210=1,IF(AND(M210&gt;=$F$1,N210&gt;=$F$1),1,""),"")</f>
        <v/>
      </c>
      <c r="D210" s="44" t="str">
        <f t="shared" si="0"/>
        <v>C010473</v>
      </c>
      <c r="E210" s="72" t="str">
        <f>VLOOKUP($D210,'FERC 2021'!$EA$3:$ER$221,18,0)</f>
        <v/>
      </c>
      <c r="F210" s="72" t="str">
        <f>IFERROR(VLOOKUP($D210,'FERC 2022'!$EA$3:$ER$220,18,0),"")</f>
        <v/>
      </c>
      <c r="G210" s="72" t="str">
        <f>IFERROR(VLOOKUP($D210,'FERC 2023'!$EA$3:$ER$221,18,0),"")</f>
        <v/>
      </c>
      <c r="H210" s="72" t="str">
        <f>VLOOKUP($D210,'FERC 2021'!$EA$3:$EN$221,11,0)</f>
        <v/>
      </c>
      <c r="I210" s="72" t="str">
        <f>IFERROR(VLOOKUP($D210,'FERC 2022'!$EA$3:$EN$220,11,0),"")</f>
        <v/>
      </c>
      <c r="J210" s="72" t="str">
        <f>IFERROR(VLOOKUP($D210,'FERC 2023'!$EA$3:$EN$221,11,0),"")</f>
        <v/>
      </c>
      <c r="K210" s="17"/>
      <c r="L210" s="17" t="e">
        <f t="shared" si="1"/>
        <v>#VALUE!</v>
      </c>
      <c r="M210" s="17" t="str">
        <f t="shared" ref="M210:N210" si="208">IFERROR(F210/I210,"")</f>
        <v/>
      </c>
      <c r="N210" s="17" t="str">
        <f t="shared" si="208"/>
        <v/>
      </c>
      <c r="O210" s="44"/>
    </row>
    <row r="211" spans="1:15" ht="15.75" hidden="1" customHeight="1">
      <c r="A211" s="7" t="s">
        <v>829</v>
      </c>
      <c r="B211" s="7" t="s">
        <v>830</v>
      </c>
      <c r="C211" s="44" t="str">
        <f>IF('BD Comp'!C211=1,IF(AND(M211&gt;=$F$1,N211&gt;=$F$1),1,""),"")</f>
        <v/>
      </c>
      <c r="D211" s="44" t="str">
        <f t="shared" si="0"/>
        <v>C010474</v>
      </c>
      <c r="E211" s="72" t="str">
        <f>VLOOKUP($D211,'FERC 2021'!$EA$3:$ER$221,18,0)</f>
        <v/>
      </c>
      <c r="F211" s="72" t="str">
        <f>IFERROR(VLOOKUP($D211,'FERC 2022'!$EA$3:$ER$220,18,0),"")</f>
        <v/>
      </c>
      <c r="G211" s="72" t="str">
        <f>IFERROR(VLOOKUP($D211,'FERC 2023'!$EA$3:$ER$221,18,0),"")</f>
        <v/>
      </c>
      <c r="H211" s="72" t="str">
        <f>VLOOKUP($D211,'FERC 2021'!$EA$3:$EN$221,11,0)</f>
        <v/>
      </c>
      <c r="I211" s="72" t="str">
        <f>IFERROR(VLOOKUP($D211,'FERC 2022'!$EA$3:$EN$220,11,0),"")</f>
        <v/>
      </c>
      <c r="J211" s="72" t="str">
        <f>IFERROR(VLOOKUP($D211,'FERC 2023'!$EA$3:$EN$221,11,0),"")</f>
        <v/>
      </c>
      <c r="K211" s="17"/>
      <c r="L211" s="17" t="e">
        <f t="shared" si="1"/>
        <v>#VALUE!</v>
      </c>
      <c r="M211" s="17" t="str">
        <f t="shared" ref="M211:N211" si="209">IFERROR(F211/I211,"")</f>
        <v/>
      </c>
      <c r="N211" s="17" t="str">
        <f t="shared" si="209"/>
        <v/>
      </c>
      <c r="O211" s="44"/>
    </row>
    <row r="212" spans="1:15" ht="15.75" hidden="1" customHeight="1">
      <c r="A212" s="7" t="s">
        <v>832</v>
      </c>
      <c r="B212" s="7" t="s">
        <v>833</v>
      </c>
      <c r="C212" s="44" t="str">
        <f>IF('BD Comp'!C212=1,IF(AND(M212&gt;=$F$1,N212&gt;=$F$1),1,""),"")</f>
        <v/>
      </c>
      <c r="D212" s="44" t="str">
        <f t="shared" si="0"/>
        <v>C010523</v>
      </c>
      <c r="E212" s="72" t="str">
        <f>VLOOKUP($D212,'FERC 2021'!$EA$3:$ER$221,18,0)</f>
        <v/>
      </c>
      <c r="F212" s="72" t="str">
        <f>IFERROR(VLOOKUP($D212,'FERC 2022'!$EA$3:$ER$220,18,0),"")</f>
        <v/>
      </c>
      <c r="G212" s="72" t="str">
        <f>IFERROR(VLOOKUP($D212,'FERC 2023'!$EA$3:$ER$221,18,0),"")</f>
        <v/>
      </c>
      <c r="H212" s="72" t="str">
        <f>VLOOKUP($D212,'FERC 2021'!$EA$3:$EN$221,11,0)</f>
        <v/>
      </c>
      <c r="I212" s="72" t="str">
        <f>IFERROR(VLOOKUP($D212,'FERC 2022'!$EA$3:$EN$220,11,0),"")</f>
        <v/>
      </c>
      <c r="J212" s="72" t="str">
        <f>IFERROR(VLOOKUP($D212,'FERC 2023'!$EA$3:$EN$221,11,0),"")</f>
        <v/>
      </c>
      <c r="K212" s="17"/>
      <c r="L212" s="17" t="e">
        <f t="shared" si="1"/>
        <v>#VALUE!</v>
      </c>
      <c r="M212" s="17" t="str">
        <f t="shared" ref="M212:N212" si="210">IFERROR(F212/I212,"")</f>
        <v/>
      </c>
      <c r="N212" s="17" t="str">
        <f t="shared" si="210"/>
        <v/>
      </c>
      <c r="O212" s="44"/>
    </row>
    <row r="213" spans="1:15" ht="15.75" hidden="1" customHeight="1">
      <c r="A213" s="7" t="s">
        <v>835</v>
      </c>
      <c r="B213" s="7" t="s">
        <v>836</v>
      </c>
      <c r="C213" s="44" t="str">
        <f>IF('BD Comp'!C213=1,IF(AND(M213&gt;=$F$1,N213&gt;=$F$1),1,""),"")</f>
        <v/>
      </c>
      <c r="D213" s="44" t="str">
        <f t="shared" si="0"/>
        <v>C010845</v>
      </c>
      <c r="E213" s="72" t="str">
        <f>VLOOKUP($D213,'FERC 2021'!$EA$3:$ER$221,18,0)</f>
        <v/>
      </c>
      <c r="F213" s="72" t="str">
        <f>IFERROR(VLOOKUP($D213,'FERC 2022'!$EA$3:$ER$220,18,0),"")</f>
        <v/>
      </c>
      <c r="G213" s="72" t="str">
        <f>IFERROR(VLOOKUP($D213,'FERC 2023'!$EA$3:$ER$221,18,0),"")</f>
        <v/>
      </c>
      <c r="H213" s="72" t="str">
        <f>VLOOKUP($D213,'FERC 2021'!$EA$3:$EN$221,11,0)</f>
        <v/>
      </c>
      <c r="I213" s="72" t="str">
        <f>IFERROR(VLOOKUP($D213,'FERC 2022'!$EA$3:$EN$220,11,0),"")</f>
        <v/>
      </c>
      <c r="J213" s="72" t="str">
        <f>IFERROR(VLOOKUP($D213,'FERC 2023'!$EA$3:$EN$221,11,0),"")</f>
        <v/>
      </c>
      <c r="K213" s="17"/>
      <c r="L213" s="17" t="e">
        <f t="shared" si="1"/>
        <v>#VALUE!</v>
      </c>
      <c r="M213" s="17" t="str">
        <f t="shared" ref="M213:N213" si="211">IFERROR(F213/I213,"")</f>
        <v/>
      </c>
      <c r="N213" s="17" t="str">
        <f t="shared" si="211"/>
        <v/>
      </c>
      <c r="O213" s="44"/>
    </row>
    <row r="214" spans="1:15" ht="15.75" hidden="1" customHeight="1">
      <c r="A214" s="7" t="s">
        <v>1316</v>
      </c>
      <c r="B214" s="7" t="s">
        <v>1317</v>
      </c>
      <c r="C214" s="44" t="str">
        <f>IF('BD Comp'!C214=1,IF(AND(M214&gt;=$F$1,N214&gt;=$F$1),1,""),"")</f>
        <v/>
      </c>
      <c r="D214" s="44" t="str">
        <f t="shared" si="0"/>
        <v>C010996</v>
      </c>
      <c r="E214" s="72" t="e">
        <f>VLOOKUP($D214,'FERC 2021'!$EA$3:$ER$221,18,0)</f>
        <v>#N/A</v>
      </c>
      <c r="F214" s="72" t="str">
        <f>IFERROR(VLOOKUP($D214,'FERC 2022'!$EA$3:$ER$220,18,0),"")</f>
        <v/>
      </c>
      <c r="G214" s="72" t="str">
        <f>IFERROR(VLOOKUP($D214,'FERC 2023'!$EA$3:$ER$221,18,0),"")</f>
        <v/>
      </c>
      <c r="H214" s="72" t="e">
        <f>VLOOKUP($D214,'FERC 2021'!$EA$3:$EN$221,11,0)</f>
        <v>#N/A</v>
      </c>
      <c r="I214" s="72" t="str">
        <f>IFERROR(VLOOKUP($D214,'FERC 2022'!$EA$3:$EN$220,11,0),"")</f>
        <v/>
      </c>
      <c r="J214" s="72" t="str">
        <f>IFERROR(VLOOKUP($D214,'FERC 2023'!$EA$3:$EN$221,11,0),"")</f>
        <v/>
      </c>
      <c r="K214" s="17"/>
      <c r="L214" s="17" t="e">
        <f t="shared" si="1"/>
        <v>#N/A</v>
      </c>
      <c r="M214" s="17" t="str">
        <f t="shared" ref="M214:N214" si="212">IFERROR(F214/I214,"")</f>
        <v/>
      </c>
      <c r="N214" s="17" t="str">
        <f t="shared" si="212"/>
        <v/>
      </c>
      <c r="O214" s="44"/>
    </row>
    <row r="215" spans="1:15" ht="15.75" hidden="1" customHeight="1">
      <c r="A215" s="7" t="s">
        <v>838</v>
      </c>
      <c r="B215" s="7" t="s">
        <v>839</v>
      </c>
      <c r="C215" s="44" t="str">
        <f>IF('BD Comp'!C215=1,IF(AND(M215&gt;=$F$1,N215&gt;=$F$1),1,""),"")</f>
        <v/>
      </c>
      <c r="D215" s="44" t="str">
        <f t="shared" si="0"/>
        <v>C011100</v>
      </c>
      <c r="E215" s="72">
        <f>VLOOKUP($D215,'FERC 2021'!$EA$3:$ER$221,18,0)</f>
        <v>99636.88324873097</v>
      </c>
      <c r="F215" s="72" t="str">
        <f>IFERROR(VLOOKUP($D215,'FERC 2022'!$EA$3:$ER$220,18,0),"")</f>
        <v/>
      </c>
      <c r="G215" s="72">
        <f>IFERROR(VLOOKUP($D215,'FERC 2023'!$EA$3:$ER$221,18,0),"")</f>
        <v>86617.593908629438</v>
      </c>
      <c r="H215" s="72">
        <f>VLOOKUP($D215,'FERC 2021'!$EA$3:$EN$221,11,0)</f>
        <v>2022570.883248731</v>
      </c>
      <c r="I215" s="72" t="str">
        <f>IFERROR(VLOOKUP($D215,'FERC 2022'!$EA$3:$EN$220,11,0),"")</f>
        <v/>
      </c>
      <c r="J215" s="72">
        <f>IFERROR(VLOOKUP($D215,'FERC 2023'!$EA$3:$EN$221,11,0),"")</f>
        <v>1977705.5939086294</v>
      </c>
      <c r="K215" s="17"/>
      <c r="L215" s="17">
        <f t="shared" si="1"/>
        <v>4.926249263941266E-2</v>
      </c>
      <c r="M215" s="17" t="str">
        <f t="shared" ref="M215:N215" si="213">IFERROR(F215/I215,"")</f>
        <v/>
      </c>
      <c r="N215" s="17">
        <f t="shared" si="213"/>
        <v>4.3797011130176942E-2</v>
      </c>
      <c r="O215" s="44"/>
    </row>
    <row r="216" spans="1:15" ht="15.75" hidden="1" customHeight="1">
      <c r="A216" s="7" t="s">
        <v>841</v>
      </c>
      <c r="B216" s="7" t="s">
        <v>842</v>
      </c>
      <c r="C216" s="44" t="str">
        <f>IF('BD Comp'!C216=1,IF(AND(M216&gt;=$F$1,N216&gt;=$F$1),1,""),"")</f>
        <v/>
      </c>
      <c r="D216" s="44" t="str">
        <f t="shared" si="0"/>
        <v>C011150</v>
      </c>
      <c r="E216" s="72">
        <f>VLOOKUP($D216,'FERC 2021'!$EA$3:$ER$221,18,0)</f>
        <v>23123</v>
      </c>
      <c r="F216" s="72">
        <f>IFERROR(VLOOKUP($D216,'FERC 2022'!$EA$3:$ER$220,18,0),"")</f>
        <v>19545</v>
      </c>
      <c r="G216" s="72">
        <f>IFERROR(VLOOKUP($D216,'FERC 2023'!$EA$3:$ER$221,18,0),"")</f>
        <v>17575</v>
      </c>
      <c r="H216" s="72">
        <f>VLOOKUP($D216,'FERC 2021'!$EA$3:$EN$221,11,0)</f>
        <v>427457</v>
      </c>
      <c r="I216" s="72">
        <f>IFERROR(VLOOKUP($D216,'FERC 2022'!$EA$3:$EN$220,11,0),"")</f>
        <v>424617</v>
      </c>
      <c r="J216" s="72">
        <f>IFERROR(VLOOKUP($D216,'FERC 2023'!$EA$3:$EN$221,11,0),"")</f>
        <v>429265</v>
      </c>
      <c r="K216" s="17"/>
      <c r="L216" s="17">
        <f t="shared" si="1"/>
        <v>5.4094329955995571E-2</v>
      </c>
      <c r="M216" s="17">
        <f t="shared" ref="M216:N216" si="214">IFERROR(F216/I216,"")</f>
        <v>4.6029716191297101E-2</v>
      </c>
      <c r="N216" s="17">
        <f t="shared" si="214"/>
        <v>4.0942075407964774E-2</v>
      </c>
      <c r="O216" s="44"/>
    </row>
    <row r="217" spans="1:15" ht="15.75" hidden="1" customHeight="1">
      <c r="A217" s="7" t="s">
        <v>844</v>
      </c>
      <c r="B217" s="7" t="s">
        <v>845</v>
      </c>
      <c r="C217" s="44" t="str">
        <f>IF('BD Comp'!C217=1,IF(AND(M217&gt;=$F$1,N217&gt;=$F$1),1,""),"")</f>
        <v/>
      </c>
      <c r="D217" s="44" t="str">
        <f t="shared" si="0"/>
        <v>C011163</v>
      </c>
      <c r="E217" s="72">
        <f>VLOOKUP($D217,'FERC 2021'!$EA$3:$ER$221,18,0)</f>
        <v>8557</v>
      </c>
      <c r="F217" s="72">
        <f>IFERROR(VLOOKUP($D217,'FERC 2022'!$EA$3:$ER$220,18,0),"")</f>
        <v>4729</v>
      </c>
      <c r="G217" s="72">
        <f>IFERROR(VLOOKUP($D217,'FERC 2023'!$EA$3:$ER$221,18,0),"")</f>
        <v>9541</v>
      </c>
      <c r="H217" s="72">
        <f>VLOOKUP($D217,'FERC 2021'!$EA$3:$EN$221,11,0)</f>
        <v>803693</v>
      </c>
      <c r="I217" s="72">
        <f>IFERROR(VLOOKUP($D217,'FERC 2022'!$EA$3:$EN$220,11,0),"")</f>
        <v>925054</v>
      </c>
      <c r="J217" s="72">
        <f>IFERROR(VLOOKUP($D217,'FERC 2023'!$EA$3:$EN$221,11,0),"")</f>
        <v>1012448</v>
      </c>
      <c r="K217" s="17"/>
      <c r="L217" s="17">
        <f t="shared" si="1"/>
        <v>1.0647100323133336E-2</v>
      </c>
      <c r="M217" s="17">
        <f t="shared" ref="M217:N217" si="215">IFERROR(F217/I217,"")</f>
        <v>5.1121339943397898E-3</v>
      </c>
      <c r="N217" s="17">
        <f t="shared" si="215"/>
        <v>9.4236938588450961E-3</v>
      </c>
      <c r="O217" s="44"/>
    </row>
    <row r="218" spans="1:15" ht="15.75" hidden="1" customHeight="1">
      <c r="A218" s="7" t="s">
        <v>847</v>
      </c>
      <c r="B218" s="7" t="s">
        <v>848</v>
      </c>
      <c r="C218" s="44" t="str">
        <f>IF('BD Comp'!C218=1,IF(AND(M218&gt;=$F$1,N218&gt;=$F$1),1,""),"")</f>
        <v/>
      </c>
      <c r="D218" s="44" t="str">
        <f t="shared" si="0"/>
        <v>C011285</v>
      </c>
      <c r="E218" s="72">
        <f>VLOOKUP($D218,'FERC 2021'!$EA$3:$ER$221,18,0)</f>
        <v>260123.85786802031</v>
      </c>
      <c r="F218" s="72" t="str">
        <f>IFERROR(VLOOKUP($D218,'FERC 2022'!$EA$3:$ER$220,18,0),"")</f>
        <v/>
      </c>
      <c r="G218" s="72" t="str">
        <f>IFERROR(VLOOKUP($D218,'FERC 2023'!$EA$3:$ER$221,18,0),"")</f>
        <v/>
      </c>
      <c r="H218" s="72">
        <f>VLOOKUP($D218,'FERC 2021'!$EA$3:$EN$221,11,0)</f>
        <v>2925808.8578680204</v>
      </c>
      <c r="I218" s="72" t="str">
        <f>IFERROR(VLOOKUP($D218,'FERC 2022'!$EA$3:$EN$220,11,0),"")</f>
        <v/>
      </c>
      <c r="J218" s="72" t="str">
        <f>IFERROR(VLOOKUP($D218,'FERC 2023'!$EA$3:$EN$221,11,0),"")</f>
        <v/>
      </c>
      <c r="K218" s="17"/>
      <c r="L218" s="17">
        <f t="shared" si="1"/>
        <v>8.8906647872263073E-2</v>
      </c>
      <c r="M218" s="17" t="str">
        <f t="shared" ref="M218:N218" si="216">IFERROR(F218/I218,"")</f>
        <v/>
      </c>
      <c r="N218" s="17" t="str">
        <f t="shared" si="216"/>
        <v/>
      </c>
      <c r="O218" s="44"/>
    </row>
    <row r="219" spans="1:15" ht="15.75" hidden="1" customHeight="1">
      <c r="A219" s="7" t="s">
        <v>850</v>
      </c>
      <c r="B219" s="7" t="s">
        <v>851</v>
      </c>
      <c r="C219" s="44" t="str">
        <f>IF('BD Comp'!C219=1,IF(AND(M219&gt;=$F$1,N219&gt;=$F$1),1,""),"")</f>
        <v/>
      </c>
      <c r="D219" s="44" t="str">
        <f t="shared" si="0"/>
        <v>C011301</v>
      </c>
      <c r="E219" s="72">
        <f>VLOOKUP($D219,'FERC 2021'!$EA$3:$ER$221,18,0)</f>
        <v>5720.1573604060914</v>
      </c>
      <c r="F219" s="72">
        <f>IFERROR(VLOOKUP($D219,'FERC 2022'!$EA$3:$ER$220,18,0),"")</f>
        <v>7179.9035532994922</v>
      </c>
      <c r="G219" s="72">
        <f>IFERROR(VLOOKUP($D219,'FERC 2023'!$EA$3:$ER$221,18,0),"")</f>
        <v>5741.5786802030452</v>
      </c>
      <c r="H219" s="72">
        <f>VLOOKUP($D219,'FERC 2021'!$EA$3:$EN$221,11,0)</f>
        <v>91064.157360406098</v>
      </c>
      <c r="I219" s="72">
        <f>IFERROR(VLOOKUP($D219,'FERC 2022'!$EA$3:$EN$220,11,0),"")</f>
        <v>93588.903553299489</v>
      </c>
      <c r="J219" s="72">
        <f>IFERROR(VLOOKUP($D219,'FERC 2023'!$EA$3:$EN$221,11,0),"")</f>
        <v>88340.578680203049</v>
      </c>
      <c r="K219" s="17"/>
      <c r="L219" s="17">
        <f t="shared" si="1"/>
        <v>6.2814586179799931E-2</v>
      </c>
      <c r="M219" s="17">
        <f t="shared" ref="M219:N219" si="217">IFERROR(F219/I219,"")</f>
        <v>7.6717466288196132E-2</v>
      </c>
      <c r="N219" s="17">
        <f t="shared" si="217"/>
        <v>6.4993672964129251E-2</v>
      </c>
      <c r="O219" s="44"/>
    </row>
    <row r="220" spans="1:15" ht="15.75" hidden="1" customHeight="1">
      <c r="A220" s="7" t="s">
        <v>853</v>
      </c>
      <c r="B220" s="7" t="s">
        <v>854</v>
      </c>
      <c r="C220" s="44" t="str">
        <f>IF('BD Comp'!C220=1,IF(AND(M220&gt;=$F$1,N220&gt;=$F$1),1,""),"")</f>
        <v/>
      </c>
      <c r="D220" s="44" t="str">
        <f t="shared" si="0"/>
        <v>C011302</v>
      </c>
      <c r="E220" s="72" t="str">
        <f>VLOOKUP($D220,'FERC 2021'!$EA$3:$ER$221,18,0)</f>
        <v/>
      </c>
      <c r="F220" s="72" t="str">
        <f>IFERROR(VLOOKUP($D220,'FERC 2022'!$EA$3:$ER$220,18,0),"")</f>
        <v/>
      </c>
      <c r="G220" s="72" t="str">
        <f>IFERROR(VLOOKUP($D220,'FERC 2023'!$EA$3:$ER$221,18,0),"")</f>
        <v/>
      </c>
      <c r="H220" s="72" t="str">
        <f>VLOOKUP($D220,'FERC 2021'!$EA$3:$EN$221,11,0)</f>
        <v/>
      </c>
      <c r="I220" s="72" t="str">
        <f>IFERROR(VLOOKUP($D220,'FERC 2022'!$EA$3:$EN$220,11,0),"")</f>
        <v/>
      </c>
      <c r="J220" s="72" t="str">
        <f>IFERROR(VLOOKUP($D220,'FERC 2023'!$EA$3:$EN$221,11,0),"")</f>
        <v/>
      </c>
      <c r="K220" s="17"/>
      <c r="L220" s="17" t="e">
        <f t="shared" si="1"/>
        <v>#VALUE!</v>
      </c>
      <c r="M220" s="17" t="str">
        <f t="shared" ref="M220:N220" si="218">IFERROR(F220/I220,"")</f>
        <v/>
      </c>
      <c r="N220" s="17" t="str">
        <f t="shared" si="218"/>
        <v/>
      </c>
      <c r="O220" s="44"/>
    </row>
    <row r="221" spans="1:15" ht="15.75" hidden="1" customHeight="1">
      <c r="A221" s="7" t="s">
        <v>856</v>
      </c>
      <c r="B221" s="7" t="s">
        <v>857</v>
      </c>
      <c r="C221" s="44" t="str">
        <f>IF('BD Comp'!C221=1,IF(AND(M221&gt;=$F$1,N221&gt;=$F$1),1,""),"")</f>
        <v/>
      </c>
      <c r="D221" s="44" t="str">
        <f t="shared" si="0"/>
        <v>C011304</v>
      </c>
      <c r="E221" s="72" t="str">
        <f>VLOOKUP($D221,'FERC 2021'!$EA$3:$ER$221,18,0)</f>
        <v/>
      </c>
      <c r="F221" s="72" t="str">
        <f>IFERROR(VLOOKUP($D221,'FERC 2022'!$EA$3:$ER$220,18,0),"")</f>
        <v/>
      </c>
      <c r="G221" s="72" t="str">
        <f>IFERROR(VLOOKUP($D221,'FERC 2023'!$EA$3:$ER$221,18,0),"")</f>
        <v/>
      </c>
      <c r="H221" s="72" t="str">
        <f>VLOOKUP($D221,'FERC 2021'!$EA$3:$EN$221,11,0)</f>
        <v/>
      </c>
      <c r="I221" s="72" t="str">
        <f>IFERROR(VLOOKUP($D221,'FERC 2022'!$EA$3:$EN$220,11,0),"")</f>
        <v/>
      </c>
      <c r="J221" s="72" t="str">
        <f>IFERROR(VLOOKUP($D221,'FERC 2023'!$EA$3:$EN$221,11,0),"")</f>
        <v/>
      </c>
      <c r="K221" s="17"/>
      <c r="L221" s="17" t="e">
        <f t="shared" si="1"/>
        <v>#VALUE!</v>
      </c>
      <c r="M221" s="17" t="str">
        <f t="shared" ref="M221:N221" si="219">IFERROR(F221/I221,"")</f>
        <v/>
      </c>
      <c r="N221" s="17" t="str">
        <f t="shared" si="219"/>
        <v/>
      </c>
      <c r="O221" s="44"/>
    </row>
    <row r="222" spans="1:15" ht="15.75" hidden="1" customHeight="1">
      <c r="A222" s="7" t="s">
        <v>859</v>
      </c>
      <c r="B222" s="7" t="s">
        <v>860</v>
      </c>
      <c r="C222" s="44" t="str">
        <f>IF('BD Comp'!C222=1,IF(AND(M222&gt;=$F$1,N222&gt;=$F$1),1,""),"")</f>
        <v/>
      </c>
      <c r="D222" s="44" t="str">
        <f t="shared" si="0"/>
        <v>C011318</v>
      </c>
      <c r="E222" s="72">
        <f>VLOOKUP($D222,'FERC 2021'!$EA$3:$ER$221,18,0)</f>
        <v>14801.556</v>
      </c>
      <c r="F222" s="72">
        <f>IFERROR(VLOOKUP($D222,'FERC 2022'!$EA$3:$ER$220,18,0),"")</f>
        <v>16725.304</v>
      </c>
      <c r="G222" s="72">
        <f>IFERROR(VLOOKUP($D222,'FERC 2023'!$EA$3:$ER$221,18,0),"")</f>
        <v>14401.271000000001</v>
      </c>
      <c r="H222" s="72">
        <f>VLOOKUP($D222,'FERC 2021'!$EA$3:$EN$221,11,0)</f>
        <v>197501.40000000002</v>
      </c>
      <c r="I222" s="72">
        <f>IFERROR(VLOOKUP($D222,'FERC 2022'!$EA$3:$EN$220,11,0),"")</f>
        <v>197666.79699999999</v>
      </c>
      <c r="J222" s="72">
        <f>IFERROR(VLOOKUP($D222,'FERC 2023'!$EA$3:$EN$221,11,0),"")</f>
        <v>192900.24100000001</v>
      </c>
      <c r="K222" s="17"/>
      <c r="L222" s="17">
        <f t="shared" si="1"/>
        <v>7.4944056092766928E-2</v>
      </c>
      <c r="M222" s="17">
        <f t="shared" ref="M222:N222" si="220">IFERROR(F222/I222,"")</f>
        <v>8.4613623804507751E-2</v>
      </c>
      <c r="N222" s="17">
        <f t="shared" si="220"/>
        <v>7.4656573394327699E-2</v>
      </c>
      <c r="O222" s="44"/>
    </row>
    <row r="223" spans="1:15" ht="15.75" hidden="1" customHeight="1">
      <c r="A223" s="7" t="s">
        <v>862</v>
      </c>
      <c r="B223" s="7" t="s">
        <v>863</v>
      </c>
      <c r="C223" s="44" t="str">
        <f>IF('BD Comp'!C223=1,IF(AND(M223&gt;=$F$1,N223&gt;=$F$1),1,""),"")</f>
        <v/>
      </c>
      <c r="D223" s="44" t="str">
        <f t="shared" si="0"/>
        <v>C011423</v>
      </c>
      <c r="E223" s="72">
        <f>VLOOKUP($D223,'FERC 2021'!$EA$3:$ER$221,18,0)</f>
        <v>185344.15228426395</v>
      </c>
      <c r="F223" s="72">
        <f>IFERROR(VLOOKUP($D223,'FERC 2022'!$EA$3:$ER$220,18,0),"")</f>
        <v>206464.94416243656</v>
      </c>
      <c r="G223" s="72">
        <f>IFERROR(VLOOKUP($D223,'FERC 2023'!$EA$3:$ER$221,18,0),"")</f>
        <v>192748.30456852791</v>
      </c>
      <c r="H223" s="72">
        <f>VLOOKUP($D223,'FERC 2021'!$EA$3:$EN$221,11,0)</f>
        <v>1598896.1522842639</v>
      </c>
      <c r="I223" s="72">
        <f>IFERROR(VLOOKUP($D223,'FERC 2022'!$EA$3:$EN$220,11,0),"")</f>
        <v>1692719.9441624365</v>
      </c>
      <c r="J223" s="72">
        <f>IFERROR(VLOOKUP($D223,'FERC 2023'!$EA$3:$EN$221,11,0),"")</f>
        <v>1677759.304568528</v>
      </c>
      <c r="K223" s="17"/>
      <c r="L223" s="17">
        <f t="shared" si="1"/>
        <v>0.11592006899226816</v>
      </c>
      <c r="M223" s="17">
        <f t="shared" ref="M223:N223" si="221">IFERROR(F223/I223,"")</f>
        <v>0.12197229959655027</v>
      </c>
      <c r="N223" s="17">
        <f t="shared" si="221"/>
        <v>0.11488436037498079</v>
      </c>
      <c r="O223" s="44"/>
    </row>
    <row r="224" spans="1:15" ht="15.75" hidden="1" customHeight="1">
      <c r="A224" s="7" t="s">
        <v>865</v>
      </c>
      <c r="B224" s="7" t="s">
        <v>866</v>
      </c>
      <c r="C224" s="44" t="str">
        <f>IF('BD Comp'!C224=1,IF(AND(M224&gt;=$F$1,N224&gt;=$F$1),1,""),"")</f>
        <v/>
      </c>
      <c r="D224" s="44" t="str">
        <f t="shared" si="0"/>
        <v>C011644</v>
      </c>
      <c r="E224" s="72">
        <f>VLOOKUP($D224,'FERC 2021'!$EA$3:$ER$221,18,0)</f>
        <v>1971.7664974619292</v>
      </c>
      <c r="F224" s="72">
        <f>IFERROR(VLOOKUP($D224,'FERC 2022'!$EA$3:$ER$220,18,0),"")</f>
        <v>1463.0406091370551</v>
      </c>
      <c r="G224" s="72" t="str">
        <f>IFERROR(VLOOKUP($D224,'FERC 2023'!$EA$3:$ER$221,18,0),"")</f>
        <v/>
      </c>
      <c r="H224" s="72">
        <f>VLOOKUP($D224,'FERC 2021'!$EA$3:$EN$221,11,0)</f>
        <v>20159.766497461929</v>
      </c>
      <c r="I224" s="72">
        <f>IFERROR(VLOOKUP($D224,'FERC 2022'!$EA$3:$EN$220,11,0),"")</f>
        <v>19791.040609137053</v>
      </c>
      <c r="J224" s="72" t="str">
        <f>IFERROR(VLOOKUP($D224,'FERC 2023'!$EA$3:$EN$221,11,0),"")</f>
        <v/>
      </c>
      <c r="K224" s="17"/>
      <c r="L224" s="17">
        <f t="shared" si="1"/>
        <v>9.780701069678413E-2</v>
      </c>
      <c r="M224" s="17">
        <f t="shared" ref="M224:N224" si="222">IFERROR(F224/I224,"")</f>
        <v>7.3924390234518744E-2</v>
      </c>
      <c r="N224" s="17" t="str">
        <f t="shared" si="222"/>
        <v/>
      </c>
      <c r="O224" s="44"/>
    </row>
    <row r="225" spans="1:15" ht="15.75" hidden="1" customHeight="1">
      <c r="A225" s="7" t="s">
        <v>1302</v>
      </c>
      <c r="B225" s="7" t="s">
        <v>1303</v>
      </c>
      <c r="C225" s="44" t="str">
        <f>IF('BD Comp'!C225=1,IF(AND(M225&gt;=$F$1,N225&gt;=$F$1),1,""),"")</f>
        <v/>
      </c>
      <c r="D225" s="44" t="str">
        <f t="shared" si="0"/>
        <v>C011745</v>
      </c>
      <c r="E225" s="72" t="e">
        <f>VLOOKUP($D225,'FERC 2021'!$EA$3:$ER$221,18,0)</f>
        <v>#N/A</v>
      </c>
      <c r="F225" s="72" t="str">
        <f>IFERROR(VLOOKUP($D225,'FERC 2022'!$EA$3:$ER$220,18,0),"")</f>
        <v/>
      </c>
      <c r="G225" s="72" t="str">
        <f>IFERROR(VLOOKUP($D225,'FERC 2023'!$EA$3:$ER$221,18,0),"")</f>
        <v/>
      </c>
      <c r="H225" s="72" t="e">
        <f>VLOOKUP($D225,'FERC 2021'!$EA$3:$EN$221,11,0)</f>
        <v>#N/A</v>
      </c>
      <c r="I225" s="72" t="str">
        <f>IFERROR(VLOOKUP($D225,'FERC 2022'!$EA$3:$EN$220,11,0),"")</f>
        <v/>
      </c>
      <c r="J225" s="72" t="str">
        <f>IFERROR(VLOOKUP($D225,'FERC 2023'!$EA$3:$EN$221,11,0),"")</f>
        <v/>
      </c>
      <c r="K225" s="17"/>
      <c r="L225" s="17" t="e">
        <f t="shared" si="1"/>
        <v>#N/A</v>
      </c>
      <c r="M225" s="17" t="str">
        <f t="shared" ref="M225:N225" si="223">IFERROR(F225/I225,"")</f>
        <v/>
      </c>
      <c r="N225" s="17" t="str">
        <f t="shared" si="223"/>
        <v/>
      </c>
      <c r="O225" s="44"/>
    </row>
    <row r="226" spans="1:15" ht="15.75" hidden="1" customHeight="1">
      <c r="A226" s="7" t="s">
        <v>1083</v>
      </c>
      <c r="B226" s="7" t="s">
        <v>1084</v>
      </c>
      <c r="C226" s="44" t="str">
        <f>IF('BD Comp'!C226=1,IF(AND(M226&gt;=$F$1,N226&gt;=$F$1),1,""),"")</f>
        <v/>
      </c>
      <c r="D226" s="44" t="str">
        <f t="shared" si="0"/>
        <v>C011785</v>
      </c>
      <c r="E226" s="72" t="e">
        <f>VLOOKUP($D226,'FERC 2021'!$EA$3:$ER$221,18,0)</f>
        <v>#N/A</v>
      </c>
      <c r="F226" s="72">
        <f>IFERROR(VLOOKUP($D226,'FERC 2022'!$EA$3:$ER$220,18,0),"")</f>
        <v>91959</v>
      </c>
      <c r="G226" s="72">
        <f>IFERROR(VLOOKUP($D226,'FERC 2023'!$EA$3:$ER$221,18,0),"")</f>
        <v>98206</v>
      </c>
      <c r="H226" s="72" t="e">
        <f>VLOOKUP($D226,'FERC 2021'!$EA$3:$EN$221,11,0)</f>
        <v>#N/A</v>
      </c>
      <c r="I226" s="72">
        <f>IFERROR(VLOOKUP($D226,'FERC 2022'!$EA$3:$EN$220,11,0),"")</f>
        <v>4183364</v>
      </c>
      <c r="J226" s="72">
        <f>IFERROR(VLOOKUP($D226,'FERC 2023'!$EA$3:$EN$221,11,0),"")</f>
        <v>5763907</v>
      </c>
      <c r="K226" s="17"/>
      <c r="L226" s="17" t="e">
        <f t="shared" si="1"/>
        <v>#N/A</v>
      </c>
      <c r="M226" s="17">
        <f t="shared" ref="M226:N226" si="224">IFERROR(F226/I226,"")</f>
        <v>2.1982069932236354E-2</v>
      </c>
      <c r="N226" s="17">
        <f t="shared" si="224"/>
        <v>1.7038095861019269E-2</v>
      </c>
      <c r="O226" s="44"/>
    </row>
    <row r="227" spans="1:15" ht="15.75" hidden="1" customHeight="1">
      <c r="A227" s="7" t="s">
        <v>1318</v>
      </c>
      <c r="B227" s="7" t="s">
        <v>1319</v>
      </c>
      <c r="C227" s="44" t="str">
        <f>IF('BD Comp'!C227=1,IF(AND(M227&gt;=$F$1,N227&gt;=$F$1),1,""),"")</f>
        <v/>
      </c>
      <c r="D227" s="44" t="str">
        <f t="shared" si="0"/>
        <v>C011902</v>
      </c>
      <c r="E227" s="72" t="e">
        <f>VLOOKUP($D227,'FERC 2021'!$EA$3:$ER$221,18,0)</f>
        <v>#N/A</v>
      </c>
      <c r="F227" s="72" t="str">
        <f>IFERROR(VLOOKUP($D227,'FERC 2022'!$EA$3:$ER$220,18,0),"")</f>
        <v/>
      </c>
      <c r="G227" s="72" t="str">
        <f>IFERROR(VLOOKUP($D227,'FERC 2023'!$EA$3:$ER$221,18,0),"")</f>
        <v/>
      </c>
      <c r="H227" s="72" t="e">
        <f>VLOOKUP($D227,'FERC 2021'!$EA$3:$EN$221,11,0)</f>
        <v>#N/A</v>
      </c>
      <c r="I227" s="72" t="str">
        <f>IFERROR(VLOOKUP($D227,'FERC 2022'!$EA$3:$EN$220,11,0),"")</f>
        <v/>
      </c>
      <c r="J227" s="72" t="str">
        <f>IFERROR(VLOOKUP($D227,'FERC 2023'!$EA$3:$EN$221,11,0),"")</f>
        <v/>
      </c>
      <c r="K227" s="17"/>
      <c r="L227" s="17" t="e">
        <f t="shared" si="1"/>
        <v>#N/A</v>
      </c>
      <c r="M227" s="17" t="str">
        <f t="shared" ref="M227:N227" si="225">IFERROR(F227/I227,"")</f>
        <v/>
      </c>
      <c r="N227" s="17" t="str">
        <f t="shared" si="225"/>
        <v/>
      </c>
      <c r="O227" s="44"/>
    </row>
    <row r="228" spans="1:15" ht="15.75" hidden="1" customHeight="1">
      <c r="A228" s="7" t="s">
        <v>1320</v>
      </c>
      <c r="B228" s="7" t="s">
        <v>1321</v>
      </c>
      <c r="C228" s="44" t="str">
        <f>IF('BD Comp'!C228=1,IF(AND(M228&gt;=$F$1,N228&gt;=$F$1),1,""),"")</f>
        <v/>
      </c>
      <c r="D228" s="44" t="str">
        <f t="shared" si="0"/>
        <v>C011963</v>
      </c>
      <c r="E228" s="72" t="e">
        <f>VLOOKUP($D228,'FERC 2021'!$EA$3:$ER$221,18,0)</f>
        <v>#N/A</v>
      </c>
      <c r="F228" s="72" t="str">
        <f>IFERROR(VLOOKUP($D228,'FERC 2022'!$EA$3:$ER$220,18,0),"")</f>
        <v/>
      </c>
      <c r="G228" s="72" t="str">
        <f>IFERROR(VLOOKUP($D228,'FERC 2023'!$EA$3:$ER$221,18,0),"")</f>
        <v/>
      </c>
      <c r="H228" s="72" t="e">
        <f>VLOOKUP($D228,'FERC 2021'!$EA$3:$EN$221,11,0)</f>
        <v>#N/A</v>
      </c>
      <c r="I228" s="72" t="str">
        <f>IFERROR(VLOOKUP($D228,'FERC 2022'!$EA$3:$EN$220,11,0),"")</f>
        <v/>
      </c>
      <c r="J228" s="72" t="str">
        <f>IFERROR(VLOOKUP($D228,'FERC 2023'!$EA$3:$EN$221,11,0),"")</f>
        <v/>
      </c>
      <c r="K228" s="17"/>
      <c r="L228" s="17" t="e">
        <f t="shared" si="1"/>
        <v>#N/A</v>
      </c>
      <c r="M228" s="17" t="str">
        <f t="shared" ref="M228:N228" si="226">IFERROR(F228/I228,"")</f>
        <v/>
      </c>
      <c r="N228" s="17" t="str">
        <f t="shared" si="226"/>
        <v/>
      </c>
      <c r="O228" s="44"/>
    </row>
    <row r="229" spans="1:15" ht="15.75" hidden="1" customHeight="1">
      <c r="A229" s="7" t="s">
        <v>1322</v>
      </c>
      <c r="B229" s="7" t="s">
        <v>1323</v>
      </c>
      <c r="C229" s="44" t="str">
        <f>IF('BD Comp'!C229=1,IF(AND(M229&gt;=$F$1,N229&gt;=$F$1),1,""),"")</f>
        <v/>
      </c>
      <c r="D229" s="44" t="str">
        <f t="shared" si="0"/>
        <v>C012020</v>
      </c>
      <c r="E229" s="72" t="e">
        <f>VLOOKUP($D229,'FERC 2021'!$EA$3:$ER$221,18,0)</f>
        <v>#N/A</v>
      </c>
      <c r="F229" s="72" t="str">
        <f>IFERROR(VLOOKUP($D229,'FERC 2022'!$EA$3:$ER$220,18,0),"")</f>
        <v/>
      </c>
      <c r="G229" s="72" t="str">
        <f>IFERROR(VLOOKUP($D229,'FERC 2023'!$EA$3:$ER$221,18,0),"")</f>
        <v/>
      </c>
      <c r="H229" s="72" t="e">
        <f>VLOOKUP($D229,'FERC 2021'!$EA$3:$EN$221,11,0)</f>
        <v>#N/A</v>
      </c>
      <c r="I229" s="72" t="str">
        <f>IFERROR(VLOOKUP($D229,'FERC 2022'!$EA$3:$EN$220,11,0),"")</f>
        <v/>
      </c>
      <c r="J229" s="72" t="str">
        <f>IFERROR(VLOOKUP($D229,'FERC 2023'!$EA$3:$EN$221,11,0),"")</f>
        <v/>
      </c>
      <c r="K229" s="17"/>
      <c r="L229" s="17" t="e">
        <f t="shared" si="1"/>
        <v>#N/A</v>
      </c>
      <c r="M229" s="17" t="str">
        <f t="shared" ref="M229:N229" si="227">IFERROR(F229/I229,"")</f>
        <v/>
      </c>
      <c r="N229" s="17" t="str">
        <f t="shared" si="227"/>
        <v/>
      </c>
      <c r="O229" s="44"/>
    </row>
    <row r="230" spans="1:15" ht="15.75" hidden="1" customHeight="1">
      <c r="A230" s="7" t="s">
        <v>1324</v>
      </c>
      <c r="B230" s="7" t="s">
        <v>1325</v>
      </c>
      <c r="C230" s="44" t="str">
        <f>IF('BD Comp'!C230=1,IF(AND(M230&gt;=$F$1,N230&gt;=$F$1),1,""),"")</f>
        <v/>
      </c>
      <c r="D230" s="44" t="str">
        <f t="shared" si="0"/>
        <v>C012021</v>
      </c>
      <c r="E230" s="72" t="e">
        <f>VLOOKUP($D230,'FERC 2021'!$EA$3:$ER$221,18,0)</f>
        <v>#N/A</v>
      </c>
      <c r="F230" s="72" t="str">
        <f>IFERROR(VLOOKUP($D230,'FERC 2022'!$EA$3:$ER$220,18,0),"")</f>
        <v/>
      </c>
      <c r="G230" s="72" t="str">
        <f>IFERROR(VLOOKUP($D230,'FERC 2023'!$EA$3:$ER$221,18,0),"")</f>
        <v/>
      </c>
      <c r="H230" s="72" t="e">
        <f>VLOOKUP($D230,'FERC 2021'!$EA$3:$EN$221,11,0)</f>
        <v>#N/A</v>
      </c>
      <c r="I230" s="72" t="str">
        <f>IFERROR(VLOOKUP($D230,'FERC 2022'!$EA$3:$EN$220,11,0),"")</f>
        <v/>
      </c>
      <c r="J230" s="72" t="str">
        <f>IFERROR(VLOOKUP($D230,'FERC 2023'!$EA$3:$EN$221,11,0),"")</f>
        <v/>
      </c>
      <c r="K230" s="17"/>
      <c r="L230" s="17" t="e">
        <f t="shared" si="1"/>
        <v>#N/A</v>
      </c>
      <c r="M230" s="17" t="str">
        <f t="shared" ref="M230:N230" si="228">IFERROR(F230/I230,"")</f>
        <v/>
      </c>
      <c r="N230" s="17" t="str">
        <f t="shared" si="228"/>
        <v/>
      </c>
      <c r="O230" s="44"/>
    </row>
    <row r="231" spans="1:15" ht="15.75" hidden="1" customHeight="1">
      <c r="E231" s="72"/>
      <c r="F231" s="72"/>
      <c r="G231" s="72"/>
      <c r="H231" s="72"/>
      <c r="I231" s="72"/>
      <c r="J231" s="72"/>
      <c r="M231" s="316"/>
      <c r="N231" s="316"/>
    </row>
    <row r="232" spans="1:15" ht="15.75" hidden="1" customHeight="1">
      <c r="E232" s="72"/>
      <c r="F232" s="72"/>
      <c r="G232" s="72"/>
      <c r="H232" s="72"/>
      <c r="I232" s="72"/>
      <c r="J232" s="72"/>
      <c r="M232" s="316"/>
      <c r="N232" s="316"/>
    </row>
    <row r="233" spans="1:15" ht="15.75" hidden="1" customHeight="1">
      <c r="E233" s="72"/>
      <c r="F233" s="72"/>
      <c r="G233" s="72"/>
      <c r="H233" s="72"/>
      <c r="I233" s="72"/>
      <c r="J233" s="72"/>
      <c r="M233" s="316"/>
      <c r="N233" s="316"/>
    </row>
    <row r="234" spans="1:15" ht="15.75" customHeight="1">
      <c r="M234" s="316"/>
      <c r="N234" s="316"/>
    </row>
    <row r="235" spans="1:15" ht="15.75" customHeight="1">
      <c r="M235" s="316"/>
      <c r="N235" s="316"/>
    </row>
    <row r="236" spans="1:15" ht="15.75" customHeight="1">
      <c r="M236" s="316"/>
      <c r="N236" s="316"/>
    </row>
    <row r="237" spans="1:15" ht="15.75" customHeight="1">
      <c r="M237" s="316"/>
      <c r="N237" s="316"/>
    </row>
    <row r="238" spans="1:15" ht="15.75" customHeight="1">
      <c r="M238" s="316"/>
      <c r="N238" s="316"/>
    </row>
    <row r="239" spans="1:15" ht="15.75" customHeight="1">
      <c r="M239" s="316"/>
      <c r="N239" s="316"/>
    </row>
    <row r="240" spans="1:15" ht="15.75" customHeight="1">
      <c r="M240" s="316"/>
      <c r="N240" s="316"/>
    </row>
    <row r="241" spans="13:14" ht="15.75" customHeight="1">
      <c r="M241" s="316"/>
      <c r="N241" s="316"/>
    </row>
    <row r="242" spans="13:14" ht="15.75" customHeight="1">
      <c r="M242" s="316"/>
      <c r="N242" s="316"/>
    </row>
    <row r="243" spans="13:14" ht="15.75" customHeight="1">
      <c r="M243" s="316"/>
      <c r="N243" s="316"/>
    </row>
    <row r="244" spans="13:14" ht="15.75" customHeight="1">
      <c r="M244" s="316"/>
      <c r="N244" s="316"/>
    </row>
    <row r="245" spans="13:14" ht="15.75" customHeight="1">
      <c r="M245" s="316"/>
      <c r="N245" s="316"/>
    </row>
    <row r="246" spans="13:14" ht="15.75" customHeight="1">
      <c r="M246" s="316"/>
      <c r="N246" s="316"/>
    </row>
    <row r="247" spans="13:14" ht="15.75" customHeight="1">
      <c r="M247" s="316"/>
      <c r="N247" s="316"/>
    </row>
    <row r="248" spans="13:14" ht="15.75" customHeight="1">
      <c r="M248" s="316"/>
      <c r="N248" s="316"/>
    </row>
    <row r="249" spans="13:14" ht="15.75" customHeight="1">
      <c r="M249" s="316"/>
      <c r="N249" s="316"/>
    </row>
    <row r="250" spans="13:14" ht="15.75" customHeight="1">
      <c r="M250" s="316"/>
      <c r="N250" s="316"/>
    </row>
    <row r="251" spans="13:14" ht="15.75" customHeight="1">
      <c r="M251" s="316"/>
      <c r="N251" s="316"/>
    </row>
    <row r="252" spans="13:14" ht="15.75" customHeight="1">
      <c r="M252" s="316"/>
      <c r="N252" s="316"/>
    </row>
    <row r="253" spans="13:14" ht="15.75" customHeight="1">
      <c r="M253" s="316"/>
      <c r="N253" s="316"/>
    </row>
    <row r="254" spans="13:14" ht="15.75" customHeight="1">
      <c r="M254" s="316"/>
      <c r="N254" s="316"/>
    </row>
    <row r="255" spans="13:14" ht="15.75" customHeight="1">
      <c r="M255" s="316"/>
      <c r="N255" s="316"/>
    </row>
    <row r="256" spans="13:14" ht="15.75" customHeight="1">
      <c r="M256" s="316"/>
      <c r="N256" s="316"/>
    </row>
    <row r="257" spans="13:14" ht="15.75" customHeight="1">
      <c r="M257" s="316"/>
      <c r="N257" s="316"/>
    </row>
    <row r="258" spans="13:14" ht="15.75" customHeight="1">
      <c r="M258" s="316"/>
      <c r="N258" s="316"/>
    </row>
    <row r="259" spans="13:14" ht="15.75" customHeight="1">
      <c r="M259" s="316"/>
      <c r="N259" s="316"/>
    </row>
    <row r="260" spans="13:14" ht="15.75" customHeight="1">
      <c r="M260" s="316"/>
      <c r="N260" s="316"/>
    </row>
    <row r="261" spans="13:14" ht="15.75" customHeight="1">
      <c r="M261" s="316"/>
      <c r="N261" s="316"/>
    </row>
    <row r="262" spans="13:14" ht="15.75" customHeight="1">
      <c r="M262" s="316"/>
      <c r="N262" s="316"/>
    </row>
    <row r="263" spans="13:14" ht="15.75" customHeight="1">
      <c r="M263" s="316"/>
      <c r="N263" s="316"/>
    </row>
    <row r="264" spans="13:14" ht="15.75" customHeight="1">
      <c r="M264" s="316"/>
      <c r="N264" s="316"/>
    </row>
    <row r="265" spans="13:14" ht="15.75" customHeight="1">
      <c r="M265" s="316"/>
      <c r="N265" s="316"/>
    </row>
    <row r="266" spans="13:14" ht="15.75" customHeight="1">
      <c r="M266" s="316"/>
      <c r="N266" s="316"/>
    </row>
    <row r="267" spans="13:14" ht="15.75" customHeight="1">
      <c r="M267" s="316"/>
      <c r="N267" s="316"/>
    </row>
    <row r="268" spans="13:14" ht="15.75" customHeight="1">
      <c r="M268" s="316"/>
      <c r="N268" s="316"/>
    </row>
    <row r="269" spans="13:14" ht="15.75" customHeight="1">
      <c r="M269" s="316"/>
      <c r="N269" s="316"/>
    </row>
    <row r="270" spans="13:14" ht="15.75" customHeight="1">
      <c r="M270" s="316"/>
      <c r="N270" s="316"/>
    </row>
    <row r="271" spans="13:14" ht="15.75" customHeight="1">
      <c r="M271" s="316"/>
      <c r="N271" s="316"/>
    </row>
    <row r="272" spans="13:14" ht="15.75" customHeight="1">
      <c r="M272" s="316"/>
      <c r="N272" s="316"/>
    </row>
    <row r="273" spans="13:14" ht="15.75" customHeight="1">
      <c r="M273" s="316"/>
      <c r="N273" s="316"/>
    </row>
    <row r="274" spans="13:14" ht="15.75" customHeight="1">
      <c r="M274" s="316"/>
      <c r="N274" s="316"/>
    </row>
    <row r="275" spans="13:14" ht="15.75" customHeight="1">
      <c r="M275" s="316"/>
      <c r="N275" s="316"/>
    </row>
    <row r="276" spans="13:14" ht="15.75" customHeight="1">
      <c r="M276" s="316"/>
      <c r="N276" s="316"/>
    </row>
    <row r="277" spans="13:14" ht="15.75" customHeight="1">
      <c r="M277" s="316"/>
      <c r="N277" s="316"/>
    </row>
    <row r="278" spans="13:14" ht="15.75" customHeight="1">
      <c r="M278" s="316"/>
      <c r="N278" s="316"/>
    </row>
    <row r="279" spans="13:14" ht="15.75" customHeight="1">
      <c r="M279" s="316"/>
      <c r="N279" s="316"/>
    </row>
    <row r="280" spans="13:14" ht="15.75" customHeight="1">
      <c r="M280" s="316"/>
      <c r="N280" s="316"/>
    </row>
    <row r="281" spans="13:14" ht="15.75" customHeight="1">
      <c r="M281" s="316"/>
      <c r="N281" s="316"/>
    </row>
    <row r="282" spans="13:14" ht="15.75" customHeight="1">
      <c r="M282" s="316"/>
      <c r="N282" s="316"/>
    </row>
    <row r="283" spans="13:14" ht="15.75" customHeight="1">
      <c r="M283" s="316"/>
      <c r="N283" s="316"/>
    </row>
    <row r="284" spans="13:14" ht="15.75" customHeight="1">
      <c r="M284" s="316"/>
      <c r="N284" s="316"/>
    </row>
    <row r="285" spans="13:14" ht="15.75" customHeight="1">
      <c r="M285" s="316"/>
      <c r="N285" s="316"/>
    </row>
    <row r="286" spans="13:14" ht="15.75" customHeight="1">
      <c r="M286" s="316"/>
      <c r="N286" s="316"/>
    </row>
    <row r="287" spans="13:14" ht="15.75" customHeight="1">
      <c r="M287" s="316"/>
      <c r="N287" s="316"/>
    </row>
    <row r="288" spans="13:14" ht="15.75" customHeight="1">
      <c r="M288" s="316"/>
      <c r="N288" s="316"/>
    </row>
    <row r="289" spans="13:14" ht="15.75" customHeight="1">
      <c r="M289" s="316"/>
      <c r="N289" s="316"/>
    </row>
    <row r="290" spans="13:14" ht="15.75" customHeight="1">
      <c r="M290" s="316"/>
      <c r="N290" s="316"/>
    </row>
    <row r="291" spans="13:14" ht="15.75" customHeight="1">
      <c r="M291" s="316"/>
      <c r="N291" s="316"/>
    </row>
    <row r="292" spans="13:14" ht="15.75" customHeight="1">
      <c r="M292" s="316"/>
      <c r="N292" s="316"/>
    </row>
    <row r="293" spans="13:14" ht="15.75" customHeight="1">
      <c r="M293" s="316"/>
      <c r="N293" s="316"/>
    </row>
    <row r="294" spans="13:14" ht="15.75" customHeight="1">
      <c r="M294" s="316"/>
      <c r="N294" s="316"/>
    </row>
    <row r="295" spans="13:14" ht="15.75" customHeight="1">
      <c r="M295" s="316"/>
      <c r="N295" s="316"/>
    </row>
    <row r="296" spans="13:14" ht="15.75" customHeight="1">
      <c r="M296" s="316"/>
      <c r="N296" s="316"/>
    </row>
    <row r="297" spans="13:14" ht="15.75" customHeight="1">
      <c r="M297" s="316"/>
      <c r="N297" s="316"/>
    </row>
    <row r="298" spans="13:14" ht="15.75" customHeight="1">
      <c r="M298" s="316"/>
      <c r="N298" s="316"/>
    </row>
    <row r="299" spans="13:14" ht="15.75" customHeight="1">
      <c r="M299" s="316"/>
      <c r="N299" s="316"/>
    </row>
    <row r="300" spans="13:14" ht="15.75" customHeight="1">
      <c r="M300" s="316"/>
      <c r="N300" s="316"/>
    </row>
    <row r="301" spans="13:14" ht="15.75" customHeight="1">
      <c r="M301" s="316"/>
      <c r="N301" s="316"/>
    </row>
    <row r="302" spans="13:14" ht="15.75" customHeight="1">
      <c r="M302" s="316"/>
      <c r="N302" s="316"/>
    </row>
    <row r="303" spans="13:14" ht="15.75" customHeight="1">
      <c r="M303" s="316"/>
      <c r="N303" s="316"/>
    </row>
    <row r="304" spans="13:14" ht="15.75" customHeight="1">
      <c r="M304" s="316"/>
      <c r="N304" s="316"/>
    </row>
    <row r="305" spans="13:14" ht="15.75" customHeight="1">
      <c r="M305" s="316"/>
      <c r="N305" s="316"/>
    </row>
    <row r="306" spans="13:14" ht="15.75" customHeight="1">
      <c r="M306" s="316"/>
      <c r="N306" s="316"/>
    </row>
    <row r="307" spans="13:14" ht="15.75" customHeight="1">
      <c r="M307" s="316"/>
      <c r="N307" s="316"/>
    </row>
    <row r="308" spans="13:14" ht="15.75" customHeight="1">
      <c r="M308" s="316"/>
      <c r="N308" s="316"/>
    </row>
    <row r="309" spans="13:14" ht="15.75" customHeight="1">
      <c r="M309" s="316"/>
      <c r="N309" s="316"/>
    </row>
    <row r="310" spans="13:14" ht="15.75" customHeight="1">
      <c r="M310" s="316"/>
      <c r="N310" s="316"/>
    </row>
    <row r="311" spans="13:14" ht="15.75" customHeight="1">
      <c r="M311" s="316"/>
      <c r="N311" s="316"/>
    </row>
    <row r="312" spans="13:14" ht="15.75" customHeight="1">
      <c r="M312" s="316"/>
      <c r="N312" s="316"/>
    </row>
    <row r="313" spans="13:14" ht="15.75" customHeight="1">
      <c r="M313" s="316"/>
      <c r="N313" s="316"/>
    </row>
    <row r="314" spans="13:14" ht="15.75" customHeight="1">
      <c r="M314" s="316"/>
      <c r="N314" s="316"/>
    </row>
    <row r="315" spans="13:14" ht="15.75" customHeight="1">
      <c r="M315" s="316"/>
      <c r="N315" s="316"/>
    </row>
    <row r="316" spans="13:14" ht="15.75" customHeight="1">
      <c r="M316" s="316"/>
      <c r="N316" s="316"/>
    </row>
    <row r="317" spans="13:14" ht="15.75" customHeight="1">
      <c r="M317" s="316"/>
      <c r="N317" s="316"/>
    </row>
    <row r="318" spans="13:14" ht="15.75" customHeight="1">
      <c r="M318" s="316"/>
      <c r="N318" s="316"/>
    </row>
    <row r="319" spans="13:14" ht="15.75" customHeight="1">
      <c r="M319" s="316"/>
      <c r="N319" s="316"/>
    </row>
    <row r="320" spans="13:14" ht="15.75" customHeight="1">
      <c r="M320" s="316"/>
      <c r="N320" s="316"/>
    </row>
    <row r="321" spans="13:14" ht="15.75" customHeight="1">
      <c r="M321" s="316"/>
      <c r="N321" s="316"/>
    </row>
    <row r="322" spans="13:14" ht="15.75" customHeight="1">
      <c r="M322" s="316"/>
      <c r="N322" s="316"/>
    </row>
    <row r="323" spans="13:14" ht="15.75" customHeight="1">
      <c r="M323" s="316"/>
      <c r="N323" s="316"/>
    </row>
    <row r="324" spans="13:14" ht="15.75" customHeight="1">
      <c r="M324" s="316"/>
      <c r="N324" s="316"/>
    </row>
    <row r="325" spans="13:14" ht="15.75" customHeight="1">
      <c r="M325" s="316"/>
      <c r="N325" s="316"/>
    </row>
    <row r="326" spans="13:14" ht="15.75" customHeight="1">
      <c r="M326" s="316"/>
      <c r="N326" s="316"/>
    </row>
    <row r="327" spans="13:14" ht="15.75" customHeight="1">
      <c r="M327" s="316"/>
      <c r="N327" s="316"/>
    </row>
    <row r="328" spans="13:14" ht="15.75" customHeight="1">
      <c r="M328" s="316"/>
      <c r="N328" s="316"/>
    </row>
    <row r="329" spans="13:14" ht="15.75" customHeight="1">
      <c r="M329" s="316"/>
      <c r="N329" s="316"/>
    </row>
    <row r="330" spans="13:14" ht="15.75" customHeight="1">
      <c r="M330" s="316"/>
      <c r="N330" s="316"/>
    </row>
    <row r="331" spans="13:14" ht="15.75" customHeight="1">
      <c r="M331" s="316"/>
      <c r="N331" s="316"/>
    </row>
    <row r="332" spans="13:14" ht="15.75" customHeight="1">
      <c r="M332" s="316"/>
      <c r="N332" s="316"/>
    </row>
    <row r="333" spans="13:14" ht="15.75" customHeight="1">
      <c r="M333" s="316"/>
      <c r="N333" s="316"/>
    </row>
    <row r="334" spans="13:14" ht="15.75" customHeight="1">
      <c r="M334" s="316"/>
      <c r="N334" s="316"/>
    </row>
    <row r="335" spans="13:14" ht="15.75" customHeight="1">
      <c r="M335" s="316"/>
      <c r="N335" s="316"/>
    </row>
    <row r="336" spans="13:14" ht="15.75" customHeight="1">
      <c r="M336" s="316"/>
      <c r="N336" s="316"/>
    </row>
    <row r="337" spans="13:14" ht="15.75" customHeight="1">
      <c r="M337" s="316"/>
      <c r="N337" s="316"/>
    </row>
    <row r="338" spans="13:14" ht="15.75" customHeight="1">
      <c r="M338" s="316"/>
      <c r="N338" s="316"/>
    </row>
    <row r="339" spans="13:14" ht="15.75" customHeight="1">
      <c r="M339" s="316"/>
      <c r="N339" s="316"/>
    </row>
    <row r="340" spans="13:14" ht="15.75" customHeight="1">
      <c r="M340" s="316"/>
      <c r="N340" s="316"/>
    </row>
    <row r="341" spans="13:14" ht="15.75" customHeight="1">
      <c r="M341" s="316"/>
      <c r="N341" s="316"/>
    </row>
    <row r="342" spans="13:14" ht="15.75" customHeight="1">
      <c r="M342" s="316"/>
      <c r="N342" s="316"/>
    </row>
    <row r="343" spans="13:14" ht="15.75" customHeight="1">
      <c r="M343" s="316"/>
      <c r="N343" s="316"/>
    </row>
    <row r="344" spans="13:14" ht="15.75" customHeight="1">
      <c r="M344" s="316"/>
      <c r="N344" s="316"/>
    </row>
    <row r="345" spans="13:14" ht="15.75" customHeight="1">
      <c r="M345" s="316"/>
      <c r="N345" s="316"/>
    </row>
    <row r="346" spans="13:14" ht="15.75" customHeight="1">
      <c r="M346" s="316"/>
      <c r="N346" s="316"/>
    </row>
    <row r="347" spans="13:14" ht="15.75" customHeight="1">
      <c r="M347" s="316"/>
      <c r="N347" s="316"/>
    </row>
    <row r="348" spans="13:14" ht="15.75" customHeight="1">
      <c r="M348" s="316"/>
      <c r="N348" s="316"/>
    </row>
    <row r="349" spans="13:14" ht="15.75" customHeight="1">
      <c r="M349" s="316"/>
      <c r="N349" s="316"/>
    </row>
    <row r="350" spans="13:14" ht="15.75" customHeight="1">
      <c r="M350" s="316"/>
      <c r="N350" s="316"/>
    </row>
    <row r="351" spans="13:14" ht="15.75" customHeight="1">
      <c r="M351" s="316"/>
      <c r="N351" s="316"/>
    </row>
    <row r="352" spans="13:14" ht="15.75" customHeight="1">
      <c r="M352" s="316"/>
      <c r="N352" s="316"/>
    </row>
    <row r="353" spans="13:14" ht="15.75" customHeight="1">
      <c r="M353" s="316"/>
      <c r="N353" s="316"/>
    </row>
    <row r="354" spans="13:14" ht="15.75" customHeight="1">
      <c r="M354" s="316"/>
      <c r="N354" s="316"/>
    </row>
    <row r="355" spans="13:14" ht="15.75" customHeight="1">
      <c r="M355" s="316"/>
      <c r="N355" s="316"/>
    </row>
    <row r="356" spans="13:14" ht="15.75" customHeight="1">
      <c r="M356" s="316"/>
      <c r="N356" s="316"/>
    </row>
    <row r="357" spans="13:14" ht="15.75" customHeight="1">
      <c r="M357" s="316"/>
      <c r="N357" s="316"/>
    </row>
    <row r="358" spans="13:14" ht="15.75" customHeight="1">
      <c r="M358" s="316"/>
      <c r="N358" s="316"/>
    </row>
    <row r="359" spans="13:14" ht="15.75" customHeight="1">
      <c r="M359" s="316"/>
      <c r="N359" s="316"/>
    </row>
    <row r="360" spans="13:14" ht="15.75" customHeight="1">
      <c r="M360" s="316"/>
      <c r="N360" s="316"/>
    </row>
    <row r="361" spans="13:14" ht="15.75" customHeight="1">
      <c r="M361" s="316"/>
      <c r="N361" s="316"/>
    </row>
    <row r="362" spans="13:14" ht="15.75" customHeight="1">
      <c r="M362" s="316"/>
      <c r="N362" s="316"/>
    </row>
    <row r="363" spans="13:14" ht="15.75" customHeight="1">
      <c r="M363" s="316"/>
      <c r="N363" s="316"/>
    </row>
    <row r="364" spans="13:14" ht="15.75" customHeight="1">
      <c r="M364" s="316"/>
      <c r="N364" s="316"/>
    </row>
    <row r="365" spans="13:14" ht="15.75" customHeight="1">
      <c r="M365" s="316"/>
      <c r="N365" s="316"/>
    </row>
    <row r="366" spans="13:14" ht="15.75" customHeight="1">
      <c r="M366" s="316"/>
      <c r="N366" s="316"/>
    </row>
    <row r="367" spans="13:14" ht="15.75" customHeight="1">
      <c r="M367" s="316"/>
      <c r="N367" s="316"/>
    </row>
    <row r="368" spans="13:14" ht="15.75" customHeight="1">
      <c r="M368" s="316"/>
      <c r="N368" s="316"/>
    </row>
    <row r="369" spans="13:14" ht="15.75" customHeight="1">
      <c r="M369" s="316"/>
      <c r="N369" s="316"/>
    </row>
    <row r="370" spans="13:14" ht="15.75" customHeight="1">
      <c r="M370" s="316"/>
      <c r="N370" s="316"/>
    </row>
    <row r="371" spans="13:14" ht="15.75" customHeight="1">
      <c r="M371" s="316"/>
      <c r="N371" s="316"/>
    </row>
    <row r="372" spans="13:14" ht="15.75" customHeight="1">
      <c r="M372" s="316"/>
      <c r="N372" s="316"/>
    </row>
    <row r="373" spans="13:14" ht="15.75" customHeight="1">
      <c r="M373" s="316"/>
      <c r="N373" s="316"/>
    </row>
    <row r="374" spans="13:14" ht="15.75" customHeight="1">
      <c r="M374" s="316"/>
      <c r="N374" s="316"/>
    </row>
    <row r="375" spans="13:14" ht="15.75" customHeight="1">
      <c r="M375" s="316"/>
      <c r="N375" s="316"/>
    </row>
    <row r="376" spans="13:14" ht="15.75" customHeight="1">
      <c r="M376" s="316"/>
      <c r="N376" s="316"/>
    </row>
    <row r="377" spans="13:14" ht="15.75" customHeight="1">
      <c r="M377" s="316"/>
      <c r="N377" s="316"/>
    </row>
    <row r="378" spans="13:14" ht="15.75" customHeight="1">
      <c r="M378" s="316"/>
      <c r="N378" s="316"/>
    </row>
    <row r="379" spans="13:14" ht="15.75" customHeight="1">
      <c r="M379" s="316"/>
      <c r="N379" s="316"/>
    </row>
    <row r="380" spans="13:14" ht="15.75" customHeight="1">
      <c r="M380" s="316"/>
      <c r="N380" s="316"/>
    </row>
    <row r="381" spans="13:14" ht="15.75" customHeight="1">
      <c r="M381" s="316"/>
      <c r="N381" s="316"/>
    </row>
    <row r="382" spans="13:14" ht="15.75" customHeight="1">
      <c r="M382" s="316"/>
      <c r="N382" s="316"/>
    </row>
    <row r="383" spans="13:14" ht="15.75" customHeight="1">
      <c r="M383" s="316"/>
      <c r="N383" s="316"/>
    </row>
    <row r="384" spans="13:14" ht="15.75" customHeight="1">
      <c r="M384" s="316"/>
      <c r="N384" s="316"/>
    </row>
    <row r="385" spans="13:14" ht="15.75" customHeight="1">
      <c r="M385" s="316"/>
      <c r="N385" s="316"/>
    </row>
    <row r="386" spans="13:14" ht="15.75" customHeight="1">
      <c r="M386" s="316"/>
      <c r="N386" s="316"/>
    </row>
    <row r="387" spans="13:14" ht="15.75" customHeight="1">
      <c r="M387" s="316"/>
      <c r="N387" s="316"/>
    </row>
    <row r="388" spans="13:14" ht="15.75" customHeight="1">
      <c r="M388" s="316"/>
      <c r="N388" s="316"/>
    </row>
    <row r="389" spans="13:14" ht="15.75" customHeight="1">
      <c r="M389" s="316"/>
      <c r="N389" s="316"/>
    </row>
    <row r="390" spans="13:14" ht="15.75" customHeight="1">
      <c r="M390" s="316"/>
      <c r="N390" s="316"/>
    </row>
    <row r="391" spans="13:14" ht="15.75" customHeight="1">
      <c r="M391" s="316"/>
      <c r="N391" s="316"/>
    </row>
    <row r="392" spans="13:14" ht="15.75" customHeight="1">
      <c r="M392" s="316"/>
      <c r="N392" s="316"/>
    </row>
    <row r="393" spans="13:14" ht="15.75" customHeight="1">
      <c r="M393" s="316"/>
      <c r="N393" s="316"/>
    </row>
    <row r="394" spans="13:14" ht="15.75" customHeight="1">
      <c r="M394" s="316"/>
      <c r="N394" s="316"/>
    </row>
    <row r="395" spans="13:14" ht="15.75" customHeight="1">
      <c r="M395" s="316"/>
      <c r="N395" s="316"/>
    </row>
    <row r="396" spans="13:14" ht="15.75" customHeight="1">
      <c r="M396" s="316"/>
      <c r="N396" s="316"/>
    </row>
    <row r="397" spans="13:14" ht="15.75" customHeight="1">
      <c r="M397" s="316"/>
      <c r="N397" s="316"/>
    </row>
    <row r="398" spans="13:14" ht="15.75" customHeight="1">
      <c r="M398" s="316"/>
      <c r="N398" s="316"/>
    </row>
    <row r="399" spans="13:14" ht="15.75" customHeight="1">
      <c r="M399" s="316"/>
      <c r="N399" s="316"/>
    </row>
    <row r="400" spans="13:14" ht="15.75" customHeight="1">
      <c r="M400" s="316"/>
      <c r="N400" s="316"/>
    </row>
    <row r="401" spans="13:14" ht="15.75" customHeight="1">
      <c r="M401" s="316"/>
      <c r="N401" s="316"/>
    </row>
    <row r="402" spans="13:14" ht="15.75" customHeight="1">
      <c r="M402" s="316"/>
      <c r="N402" s="316"/>
    </row>
    <row r="403" spans="13:14" ht="15.75" customHeight="1">
      <c r="M403" s="316"/>
      <c r="N403" s="316"/>
    </row>
    <row r="404" spans="13:14" ht="15.75" customHeight="1">
      <c r="M404" s="316"/>
      <c r="N404" s="316"/>
    </row>
    <row r="405" spans="13:14" ht="15.75" customHeight="1">
      <c r="M405" s="316"/>
      <c r="N405" s="316"/>
    </row>
    <row r="406" spans="13:14" ht="15.75" customHeight="1">
      <c r="M406" s="316"/>
      <c r="N406" s="316"/>
    </row>
    <row r="407" spans="13:14" ht="15.75" customHeight="1">
      <c r="M407" s="316"/>
      <c r="N407" s="316"/>
    </row>
    <row r="408" spans="13:14" ht="15.75" customHeight="1">
      <c r="M408" s="316"/>
      <c r="N408" s="316"/>
    </row>
    <row r="409" spans="13:14" ht="15.75" customHeight="1">
      <c r="M409" s="316"/>
      <c r="N409" s="316"/>
    </row>
    <row r="410" spans="13:14" ht="15.75" customHeight="1">
      <c r="M410" s="316"/>
      <c r="N410" s="316"/>
    </row>
    <row r="411" spans="13:14" ht="15.75" customHeight="1">
      <c r="M411" s="316"/>
      <c r="N411" s="316"/>
    </row>
    <row r="412" spans="13:14" ht="15.75" customHeight="1">
      <c r="M412" s="316"/>
      <c r="N412" s="316"/>
    </row>
    <row r="413" spans="13:14" ht="15.75" customHeight="1">
      <c r="M413" s="316"/>
      <c r="N413" s="316"/>
    </row>
    <row r="414" spans="13:14" ht="15.75" customHeight="1">
      <c r="M414" s="316"/>
      <c r="N414" s="316"/>
    </row>
    <row r="415" spans="13:14" ht="15.75" customHeight="1">
      <c r="M415" s="316"/>
      <c r="N415" s="316"/>
    </row>
    <row r="416" spans="13:14" ht="15.75" customHeight="1">
      <c r="M416" s="316"/>
      <c r="N416" s="316"/>
    </row>
    <row r="417" spans="13:14" ht="15.75" customHeight="1">
      <c r="M417" s="316"/>
      <c r="N417" s="316"/>
    </row>
    <row r="418" spans="13:14" ht="15.75" customHeight="1">
      <c r="M418" s="316"/>
      <c r="N418" s="316"/>
    </row>
    <row r="419" spans="13:14" ht="15.75" customHeight="1">
      <c r="M419" s="316"/>
      <c r="N419" s="316"/>
    </row>
    <row r="420" spans="13:14" ht="15.75" customHeight="1">
      <c r="M420" s="316"/>
      <c r="N420" s="316"/>
    </row>
    <row r="421" spans="13:14" ht="15.75" customHeight="1">
      <c r="M421" s="316"/>
      <c r="N421" s="316"/>
    </row>
    <row r="422" spans="13:14" ht="15.75" customHeight="1">
      <c r="M422" s="316"/>
      <c r="N422" s="316"/>
    </row>
    <row r="423" spans="13:14" ht="15.75" customHeight="1">
      <c r="M423" s="316"/>
      <c r="N423" s="316"/>
    </row>
    <row r="424" spans="13:14" ht="15.75" customHeight="1">
      <c r="M424" s="316"/>
      <c r="N424" s="316"/>
    </row>
    <row r="425" spans="13:14" ht="15.75" customHeight="1">
      <c r="M425" s="316"/>
      <c r="N425" s="316"/>
    </row>
    <row r="426" spans="13:14" ht="15.75" customHeight="1">
      <c r="M426" s="316"/>
      <c r="N426" s="316"/>
    </row>
    <row r="427" spans="13:14" ht="15.75" customHeight="1">
      <c r="M427" s="316"/>
      <c r="N427" s="316"/>
    </row>
    <row r="428" spans="13:14" ht="15.75" customHeight="1">
      <c r="M428" s="316"/>
      <c r="N428" s="316"/>
    </row>
    <row r="429" spans="13:14" ht="15.75" customHeight="1">
      <c r="M429" s="316"/>
      <c r="N429" s="316"/>
    </row>
    <row r="430" spans="13:14" ht="15.75" customHeight="1">
      <c r="M430" s="316"/>
      <c r="N430" s="316"/>
    </row>
    <row r="431" spans="13:14" ht="15.75" customHeight="1">
      <c r="M431" s="316"/>
      <c r="N431" s="316"/>
    </row>
    <row r="432" spans="13:14" ht="15.75" customHeight="1">
      <c r="M432" s="316"/>
      <c r="N432" s="316"/>
    </row>
    <row r="433" spans="13:14" ht="15.75" customHeight="1">
      <c r="M433" s="316"/>
      <c r="N433" s="316"/>
    </row>
    <row r="434" spans="13:14" ht="15.75" customHeight="1">
      <c r="M434" s="316"/>
      <c r="N434" s="316"/>
    </row>
    <row r="435" spans="13:14" ht="15.75" customHeight="1">
      <c r="M435" s="316"/>
      <c r="N435" s="316"/>
    </row>
    <row r="436" spans="13:14" ht="15.75" customHeight="1">
      <c r="M436" s="316"/>
      <c r="N436" s="316"/>
    </row>
    <row r="437" spans="13:14" ht="15.75" customHeight="1">
      <c r="M437" s="316"/>
      <c r="N437" s="316"/>
    </row>
    <row r="438" spans="13:14" ht="15.75" customHeight="1">
      <c r="M438" s="316"/>
      <c r="N438" s="316"/>
    </row>
    <row r="439" spans="13:14" ht="15.75" customHeight="1">
      <c r="M439" s="316"/>
      <c r="N439" s="316"/>
    </row>
    <row r="440" spans="13:14" ht="15.75" customHeight="1">
      <c r="M440" s="316"/>
      <c r="N440" s="316"/>
    </row>
    <row r="441" spans="13:14" ht="15.75" customHeight="1">
      <c r="M441" s="316"/>
      <c r="N441" s="316"/>
    </row>
    <row r="442" spans="13:14" ht="15.75" customHeight="1">
      <c r="M442" s="316"/>
      <c r="N442" s="316"/>
    </row>
    <row r="443" spans="13:14" ht="15.75" customHeight="1">
      <c r="M443" s="316"/>
      <c r="N443" s="316"/>
    </row>
    <row r="444" spans="13:14" ht="15.75" customHeight="1">
      <c r="M444" s="316"/>
      <c r="N444" s="316"/>
    </row>
    <row r="445" spans="13:14" ht="15.75" customHeight="1">
      <c r="M445" s="316"/>
      <c r="N445" s="316"/>
    </row>
    <row r="446" spans="13:14" ht="15.75" customHeight="1">
      <c r="M446" s="316"/>
      <c r="N446" s="316"/>
    </row>
    <row r="447" spans="13:14" ht="15.75" customHeight="1">
      <c r="M447" s="316"/>
      <c r="N447" s="316"/>
    </row>
    <row r="448" spans="13:14" ht="15.75" customHeight="1">
      <c r="M448" s="316"/>
      <c r="N448" s="316"/>
    </row>
    <row r="449" spans="13:14" ht="15.75" customHeight="1">
      <c r="M449" s="316"/>
      <c r="N449" s="316"/>
    </row>
    <row r="450" spans="13:14" ht="15.75" customHeight="1">
      <c r="M450" s="316"/>
      <c r="N450" s="316"/>
    </row>
    <row r="451" spans="13:14" ht="15.75" customHeight="1">
      <c r="M451" s="316"/>
      <c r="N451" s="316"/>
    </row>
    <row r="452" spans="13:14" ht="15.75" customHeight="1">
      <c r="M452" s="316"/>
      <c r="N452" s="316"/>
    </row>
    <row r="453" spans="13:14" ht="15.75" customHeight="1">
      <c r="M453" s="316"/>
      <c r="N453" s="316"/>
    </row>
    <row r="454" spans="13:14" ht="15.75" customHeight="1">
      <c r="M454" s="316"/>
      <c r="N454" s="316"/>
    </row>
    <row r="455" spans="13:14" ht="15.75" customHeight="1">
      <c r="M455" s="316"/>
      <c r="N455" s="316"/>
    </row>
    <row r="456" spans="13:14" ht="15.75" customHeight="1">
      <c r="M456" s="316"/>
      <c r="N456" s="316"/>
    </row>
    <row r="457" spans="13:14" ht="15.75" customHeight="1">
      <c r="M457" s="316"/>
      <c r="N457" s="316"/>
    </row>
    <row r="458" spans="13:14" ht="15.75" customHeight="1">
      <c r="M458" s="316"/>
      <c r="N458" s="316"/>
    </row>
    <row r="459" spans="13:14" ht="15.75" customHeight="1">
      <c r="M459" s="316"/>
      <c r="N459" s="316"/>
    </row>
    <row r="460" spans="13:14" ht="15.75" customHeight="1">
      <c r="M460" s="316"/>
      <c r="N460" s="316"/>
    </row>
    <row r="461" spans="13:14" ht="15.75" customHeight="1">
      <c r="M461" s="316"/>
      <c r="N461" s="316"/>
    </row>
    <row r="462" spans="13:14" ht="15.75" customHeight="1">
      <c r="M462" s="316"/>
      <c r="N462" s="316"/>
    </row>
    <row r="463" spans="13:14" ht="15.75" customHeight="1">
      <c r="M463" s="316"/>
      <c r="N463" s="316"/>
    </row>
    <row r="464" spans="13:14" ht="15.75" customHeight="1">
      <c r="M464" s="316"/>
      <c r="N464" s="316"/>
    </row>
    <row r="465" spans="13:14" ht="15.75" customHeight="1">
      <c r="M465" s="316"/>
      <c r="N465" s="316"/>
    </row>
    <row r="466" spans="13:14" ht="15.75" customHeight="1">
      <c r="M466" s="316"/>
      <c r="N466" s="316"/>
    </row>
    <row r="467" spans="13:14" ht="15.75" customHeight="1">
      <c r="M467" s="316"/>
      <c r="N467" s="316"/>
    </row>
    <row r="468" spans="13:14" ht="15.75" customHeight="1">
      <c r="M468" s="316"/>
      <c r="N468" s="316"/>
    </row>
    <row r="469" spans="13:14" ht="15.75" customHeight="1">
      <c r="M469" s="316"/>
      <c r="N469" s="316"/>
    </row>
    <row r="470" spans="13:14" ht="15.75" customHeight="1">
      <c r="M470" s="316"/>
      <c r="N470" s="316"/>
    </row>
    <row r="471" spans="13:14" ht="15.75" customHeight="1">
      <c r="M471" s="316"/>
      <c r="N471" s="316"/>
    </row>
    <row r="472" spans="13:14" ht="15.75" customHeight="1">
      <c r="M472" s="316"/>
      <c r="N472" s="316"/>
    </row>
    <row r="473" spans="13:14" ht="15.75" customHeight="1">
      <c r="M473" s="316"/>
      <c r="N473" s="316"/>
    </row>
    <row r="474" spans="13:14" ht="15.75" customHeight="1">
      <c r="M474" s="316"/>
      <c r="N474" s="316"/>
    </row>
    <row r="475" spans="13:14" ht="15.75" customHeight="1">
      <c r="M475" s="316"/>
      <c r="N475" s="316"/>
    </row>
    <row r="476" spans="13:14" ht="15.75" customHeight="1">
      <c r="M476" s="316"/>
      <c r="N476" s="316"/>
    </row>
    <row r="477" spans="13:14" ht="15.75" customHeight="1">
      <c r="M477" s="316"/>
      <c r="N477" s="316"/>
    </row>
    <row r="478" spans="13:14" ht="15.75" customHeight="1">
      <c r="M478" s="316"/>
      <c r="N478" s="316"/>
    </row>
    <row r="479" spans="13:14" ht="15.75" customHeight="1">
      <c r="M479" s="316"/>
      <c r="N479" s="316"/>
    </row>
    <row r="480" spans="13:14" ht="15.75" customHeight="1">
      <c r="M480" s="316"/>
      <c r="N480" s="316"/>
    </row>
    <row r="481" spans="13:14" ht="15.75" customHeight="1">
      <c r="M481" s="316"/>
      <c r="N481" s="316"/>
    </row>
    <row r="482" spans="13:14" ht="15.75" customHeight="1">
      <c r="M482" s="316"/>
      <c r="N482" s="316"/>
    </row>
    <row r="483" spans="13:14" ht="15.75" customHeight="1">
      <c r="M483" s="316"/>
      <c r="N483" s="316"/>
    </row>
    <row r="484" spans="13:14" ht="15.75" customHeight="1">
      <c r="M484" s="316"/>
      <c r="N484" s="316"/>
    </row>
    <row r="485" spans="13:14" ht="15.75" customHeight="1">
      <c r="M485" s="316"/>
      <c r="N485" s="316"/>
    </row>
    <row r="486" spans="13:14" ht="15.75" customHeight="1">
      <c r="M486" s="316"/>
      <c r="N486" s="316"/>
    </row>
    <row r="487" spans="13:14" ht="15.75" customHeight="1">
      <c r="M487" s="316"/>
      <c r="N487" s="316"/>
    </row>
    <row r="488" spans="13:14" ht="15.75" customHeight="1">
      <c r="M488" s="316"/>
      <c r="N488" s="316"/>
    </row>
    <row r="489" spans="13:14" ht="15.75" customHeight="1">
      <c r="M489" s="316"/>
      <c r="N489" s="316"/>
    </row>
    <row r="490" spans="13:14" ht="15.75" customHeight="1">
      <c r="M490" s="316"/>
      <c r="N490" s="316"/>
    </row>
    <row r="491" spans="13:14" ht="15.75" customHeight="1">
      <c r="M491" s="316"/>
      <c r="N491" s="316"/>
    </row>
    <row r="492" spans="13:14" ht="15.75" customHeight="1">
      <c r="M492" s="316"/>
      <c r="N492" s="316"/>
    </row>
    <row r="493" spans="13:14" ht="15.75" customHeight="1">
      <c r="M493" s="316"/>
      <c r="N493" s="316"/>
    </row>
    <row r="494" spans="13:14" ht="15.75" customHeight="1">
      <c r="M494" s="316"/>
      <c r="N494" s="316"/>
    </row>
    <row r="495" spans="13:14" ht="15.75" customHeight="1">
      <c r="M495" s="316"/>
      <c r="N495" s="316"/>
    </row>
    <row r="496" spans="13:14" ht="15.75" customHeight="1">
      <c r="M496" s="316"/>
      <c r="N496" s="316"/>
    </row>
    <row r="497" spans="13:14" ht="15.75" customHeight="1">
      <c r="M497" s="316"/>
      <c r="N497" s="316"/>
    </row>
    <row r="498" spans="13:14" ht="15.75" customHeight="1">
      <c r="M498" s="316"/>
      <c r="N498" s="316"/>
    </row>
    <row r="499" spans="13:14" ht="15.75" customHeight="1">
      <c r="M499" s="316"/>
      <c r="N499" s="316"/>
    </row>
    <row r="500" spans="13:14" ht="15.75" customHeight="1">
      <c r="M500" s="316"/>
      <c r="N500" s="316"/>
    </row>
    <row r="501" spans="13:14" ht="15.75" customHeight="1">
      <c r="M501" s="316"/>
      <c r="N501" s="316"/>
    </row>
    <row r="502" spans="13:14" ht="15.75" customHeight="1">
      <c r="M502" s="316"/>
      <c r="N502" s="316"/>
    </row>
    <row r="503" spans="13:14" ht="15.75" customHeight="1">
      <c r="M503" s="316"/>
      <c r="N503" s="316"/>
    </row>
    <row r="504" spans="13:14" ht="15.75" customHeight="1">
      <c r="M504" s="316"/>
      <c r="N504" s="316"/>
    </row>
    <row r="505" spans="13:14" ht="15.75" customHeight="1">
      <c r="M505" s="316"/>
      <c r="N505" s="316"/>
    </row>
    <row r="506" spans="13:14" ht="15.75" customHeight="1">
      <c r="M506" s="316"/>
      <c r="N506" s="316"/>
    </row>
    <row r="507" spans="13:14" ht="15.75" customHeight="1">
      <c r="M507" s="316"/>
      <c r="N507" s="316"/>
    </row>
    <row r="508" spans="13:14" ht="15.75" customHeight="1">
      <c r="M508" s="316"/>
      <c r="N508" s="316"/>
    </row>
    <row r="509" spans="13:14" ht="15.75" customHeight="1">
      <c r="M509" s="316"/>
      <c r="N509" s="316"/>
    </row>
    <row r="510" spans="13:14" ht="15.75" customHeight="1">
      <c r="M510" s="316"/>
      <c r="N510" s="316"/>
    </row>
    <row r="511" spans="13:14" ht="15.75" customHeight="1">
      <c r="M511" s="316"/>
      <c r="N511" s="316"/>
    </row>
    <row r="512" spans="13:14" ht="15.75" customHeight="1">
      <c r="M512" s="316"/>
      <c r="N512" s="316"/>
    </row>
    <row r="513" spans="13:14" ht="15.75" customHeight="1">
      <c r="M513" s="316"/>
      <c r="N513" s="316"/>
    </row>
    <row r="514" spans="13:14" ht="15.75" customHeight="1">
      <c r="M514" s="316"/>
      <c r="N514" s="316"/>
    </row>
    <row r="515" spans="13:14" ht="15.75" customHeight="1">
      <c r="M515" s="316"/>
      <c r="N515" s="316"/>
    </row>
    <row r="516" spans="13:14" ht="15.75" customHeight="1">
      <c r="M516" s="316"/>
      <c r="N516" s="316"/>
    </row>
    <row r="517" spans="13:14" ht="15.75" customHeight="1">
      <c r="M517" s="316"/>
      <c r="N517" s="316"/>
    </row>
    <row r="518" spans="13:14" ht="15.75" customHeight="1">
      <c r="M518" s="316"/>
      <c r="N518" s="316"/>
    </row>
    <row r="519" spans="13:14" ht="15.75" customHeight="1">
      <c r="M519" s="316"/>
      <c r="N519" s="316"/>
    </row>
    <row r="520" spans="13:14" ht="15.75" customHeight="1">
      <c r="M520" s="316"/>
      <c r="N520" s="316"/>
    </row>
    <row r="521" spans="13:14" ht="15.75" customHeight="1">
      <c r="M521" s="316"/>
      <c r="N521" s="316"/>
    </row>
    <row r="522" spans="13:14" ht="15.75" customHeight="1">
      <c r="M522" s="316"/>
      <c r="N522" s="316"/>
    </row>
    <row r="523" spans="13:14" ht="15.75" customHeight="1">
      <c r="M523" s="316"/>
      <c r="N523" s="316"/>
    </row>
    <row r="524" spans="13:14" ht="15.75" customHeight="1">
      <c r="M524" s="316"/>
      <c r="N524" s="316"/>
    </row>
    <row r="525" spans="13:14" ht="15.75" customHeight="1">
      <c r="M525" s="316"/>
      <c r="N525" s="316"/>
    </row>
    <row r="526" spans="13:14" ht="15.75" customHeight="1">
      <c r="M526" s="316"/>
      <c r="N526" s="316"/>
    </row>
    <row r="527" spans="13:14" ht="15.75" customHeight="1">
      <c r="M527" s="316"/>
      <c r="N527" s="316"/>
    </row>
    <row r="528" spans="13:14" ht="15.75" customHeight="1">
      <c r="M528" s="316"/>
      <c r="N528" s="316"/>
    </row>
    <row r="529" spans="13:14" ht="15.75" customHeight="1">
      <c r="M529" s="316"/>
      <c r="N529" s="316"/>
    </row>
    <row r="530" spans="13:14" ht="15.75" customHeight="1">
      <c r="M530" s="316"/>
      <c r="N530" s="316"/>
    </row>
    <row r="531" spans="13:14" ht="15.75" customHeight="1">
      <c r="M531" s="316"/>
      <c r="N531" s="316"/>
    </row>
    <row r="532" spans="13:14" ht="15.75" customHeight="1">
      <c r="M532" s="316"/>
      <c r="N532" s="316"/>
    </row>
    <row r="533" spans="13:14" ht="15.75" customHeight="1">
      <c r="M533" s="316"/>
      <c r="N533" s="316"/>
    </row>
    <row r="534" spans="13:14" ht="15.75" customHeight="1">
      <c r="M534" s="316"/>
      <c r="N534" s="316"/>
    </row>
    <row r="535" spans="13:14" ht="15.75" customHeight="1">
      <c r="M535" s="316"/>
      <c r="N535" s="316"/>
    </row>
    <row r="536" spans="13:14" ht="15.75" customHeight="1">
      <c r="M536" s="316"/>
      <c r="N536" s="316"/>
    </row>
    <row r="537" spans="13:14" ht="15.75" customHeight="1">
      <c r="M537" s="316"/>
      <c r="N537" s="316"/>
    </row>
    <row r="538" spans="13:14" ht="15.75" customHeight="1">
      <c r="M538" s="316"/>
      <c r="N538" s="316"/>
    </row>
    <row r="539" spans="13:14" ht="15.75" customHeight="1">
      <c r="M539" s="316"/>
      <c r="N539" s="316"/>
    </row>
    <row r="540" spans="13:14" ht="15.75" customHeight="1">
      <c r="M540" s="316"/>
      <c r="N540" s="316"/>
    </row>
    <row r="541" spans="13:14" ht="15.75" customHeight="1">
      <c r="M541" s="316"/>
      <c r="N541" s="316"/>
    </row>
    <row r="542" spans="13:14" ht="15.75" customHeight="1">
      <c r="M542" s="316"/>
      <c r="N542" s="316"/>
    </row>
    <row r="543" spans="13:14" ht="15.75" customHeight="1">
      <c r="M543" s="316"/>
      <c r="N543" s="316"/>
    </row>
    <row r="544" spans="13:14" ht="15.75" customHeight="1">
      <c r="M544" s="316"/>
      <c r="N544" s="316"/>
    </row>
    <row r="545" spans="13:14" ht="15.75" customHeight="1">
      <c r="M545" s="316"/>
      <c r="N545" s="316"/>
    </row>
    <row r="546" spans="13:14" ht="15.75" customHeight="1">
      <c r="M546" s="316"/>
      <c r="N546" s="316"/>
    </row>
    <row r="547" spans="13:14" ht="15.75" customHeight="1">
      <c r="M547" s="316"/>
      <c r="N547" s="316"/>
    </row>
    <row r="548" spans="13:14" ht="15.75" customHeight="1">
      <c r="M548" s="316"/>
      <c r="N548" s="316"/>
    </row>
    <row r="549" spans="13:14" ht="15.75" customHeight="1">
      <c r="M549" s="316"/>
      <c r="N549" s="316"/>
    </row>
    <row r="550" spans="13:14" ht="15.75" customHeight="1">
      <c r="M550" s="316"/>
      <c r="N550" s="316"/>
    </row>
    <row r="551" spans="13:14" ht="15.75" customHeight="1">
      <c r="M551" s="316"/>
      <c r="N551" s="316"/>
    </row>
    <row r="552" spans="13:14" ht="15.75" customHeight="1">
      <c r="M552" s="316"/>
      <c r="N552" s="316"/>
    </row>
    <row r="553" spans="13:14" ht="15.75" customHeight="1">
      <c r="M553" s="316"/>
      <c r="N553" s="316"/>
    </row>
    <row r="554" spans="13:14" ht="15.75" customHeight="1">
      <c r="M554" s="316"/>
      <c r="N554" s="316"/>
    </row>
    <row r="555" spans="13:14" ht="15.75" customHeight="1">
      <c r="M555" s="316"/>
      <c r="N555" s="316"/>
    </row>
    <row r="556" spans="13:14" ht="15.75" customHeight="1">
      <c r="M556" s="316"/>
      <c r="N556" s="316"/>
    </row>
    <row r="557" spans="13:14" ht="15.75" customHeight="1">
      <c r="M557" s="316"/>
      <c r="N557" s="316"/>
    </row>
    <row r="558" spans="13:14" ht="15.75" customHeight="1">
      <c r="M558" s="316"/>
      <c r="N558" s="316"/>
    </row>
    <row r="559" spans="13:14" ht="15.75" customHeight="1">
      <c r="M559" s="316"/>
      <c r="N559" s="316"/>
    </row>
    <row r="560" spans="13:14" ht="15.75" customHeight="1">
      <c r="M560" s="316"/>
      <c r="N560" s="316"/>
    </row>
    <row r="561" spans="13:14" ht="15.75" customHeight="1">
      <c r="M561" s="316"/>
      <c r="N561" s="316"/>
    </row>
    <row r="562" spans="13:14" ht="15.75" customHeight="1">
      <c r="M562" s="316"/>
      <c r="N562" s="316"/>
    </row>
    <row r="563" spans="13:14" ht="15.75" customHeight="1">
      <c r="M563" s="316"/>
      <c r="N563" s="316"/>
    </row>
    <row r="564" spans="13:14" ht="15.75" customHeight="1">
      <c r="M564" s="316"/>
      <c r="N564" s="316"/>
    </row>
    <row r="565" spans="13:14" ht="15.75" customHeight="1">
      <c r="M565" s="316"/>
      <c r="N565" s="316"/>
    </row>
    <row r="566" spans="13:14" ht="15.75" customHeight="1">
      <c r="M566" s="316"/>
      <c r="N566" s="316"/>
    </row>
    <row r="567" spans="13:14" ht="15.75" customHeight="1">
      <c r="M567" s="316"/>
      <c r="N567" s="316"/>
    </row>
    <row r="568" spans="13:14" ht="15.75" customHeight="1">
      <c r="M568" s="316"/>
      <c r="N568" s="316"/>
    </row>
    <row r="569" spans="13:14" ht="15.75" customHeight="1">
      <c r="M569" s="316"/>
      <c r="N569" s="316"/>
    </row>
    <row r="570" spans="13:14" ht="15.75" customHeight="1">
      <c r="M570" s="316"/>
      <c r="N570" s="316"/>
    </row>
    <row r="571" spans="13:14" ht="15.75" customHeight="1">
      <c r="M571" s="316"/>
      <c r="N571" s="316"/>
    </row>
    <row r="572" spans="13:14" ht="15.75" customHeight="1">
      <c r="M572" s="316"/>
      <c r="N572" s="316"/>
    </row>
    <row r="573" spans="13:14" ht="15.75" customHeight="1">
      <c r="M573" s="316"/>
      <c r="N573" s="316"/>
    </row>
    <row r="574" spans="13:14" ht="15.75" customHeight="1">
      <c r="M574" s="316"/>
      <c r="N574" s="316"/>
    </row>
    <row r="575" spans="13:14" ht="15.75" customHeight="1">
      <c r="M575" s="316"/>
      <c r="N575" s="316"/>
    </row>
    <row r="576" spans="13:14" ht="15.75" customHeight="1">
      <c r="M576" s="316"/>
      <c r="N576" s="316"/>
    </row>
    <row r="577" spans="13:14" ht="15.75" customHeight="1">
      <c r="M577" s="316"/>
      <c r="N577" s="316"/>
    </row>
    <row r="578" spans="13:14" ht="15.75" customHeight="1">
      <c r="M578" s="316"/>
      <c r="N578" s="316"/>
    </row>
    <row r="579" spans="13:14" ht="15.75" customHeight="1">
      <c r="M579" s="316"/>
      <c r="N579" s="316"/>
    </row>
    <row r="580" spans="13:14" ht="15.75" customHeight="1">
      <c r="M580" s="316"/>
      <c r="N580" s="316"/>
    </row>
    <row r="581" spans="13:14" ht="15.75" customHeight="1">
      <c r="M581" s="316"/>
      <c r="N581" s="316"/>
    </row>
    <row r="582" spans="13:14" ht="15.75" customHeight="1">
      <c r="M582" s="316"/>
      <c r="N582" s="316"/>
    </row>
    <row r="583" spans="13:14" ht="15.75" customHeight="1">
      <c r="M583" s="316"/>
      <c r="N583" s="316"/>
    </row>
    <row r="584" spans="13:14" ht="15.75" customHeight="1">
      <c r="M584" s="316"/>
      <c r="N584" s="316"/>
    </row>
    <row r="585" spans="13:14" ht="15.75" customHeight="1">
      <c r="M585" s="316"/>
      <c r="N585" s="316"/>
    </row>
    <row r="586" spans="13:14" ht="15.75" customHeight="1">
      <c r="M586" s="316"/>
      <c r="N586" s="316"/>
    </row>
    <row r="587" spans="13:14" ht="15.75" customHeight="1">
      <c r="M587" s="316"/>
      <c r="N587" s="316"/>
    </row>
    <row r="588" spans="13:14" ht="15.75" customHeight="1">
      <c r="M588" s="316"/>
      <c r="N588" s="316"/>
    </row>
    <row r="589" spans="13:14" ht="15.75" customHeight="1">
      <c r="M589" s="316"/>
      <c r="N589" s="316"/>
    </row>
    <row r="590" spans="13:14" ht="15.75" customHeight="1">
      <c r="M590" s="316"/>
      <c r="N590" s="316"/>
    </row>
    <row r="591" spans="13:14" ht="15.75" customHeight="1">
      <c r="M591" s="316"/>
      <c r="N591" s="316"/>
    </row>
    <row r="592" spans="13:14" ht="15.75" customHeight="1">
      <c r="M592" s="316"/>
      <c r="N592" s="316"/>
    </row>
    <row r="593" spans="13:14" ht="15.75" customHeight="1">
      <c r="M593" s="316"/>
      <c r="N593" s="316"/>
    </row>
    <row r="594" spans="13:14" ht="15.75" customHeight="1">
      <c r="M594" s="316"/>
      <c r="N594" s="316"/>
    </row>
    <row r="595" spans="13:14" ht="15.75" customHeight="1">
      <c r="M595" s="316"/>
      <c r="N595" s="316"/>
    </row>
    <row r="596" spans="13:14" ht="15.75" customHeight="1">
      <c r="M596" s="316"/>
      <c r="N596" s="316"/>
    </row>
    <row r="597" spans="13:14" ht="15.75" customHeight="1">
      <c r="M597" s="316"/>
      <c r="N597" s="316"/>
    </row>
    <row r="598" spans="13:14" ht="15.75" customHeight="1">
      <c r="M598" s="316"/>
      <c r="N598" s="316"/>
    </row>
    <row r="599" spans="13:14" ht="15.75" customHeight="1">
      <c r="M599" s="316"/>
      <c r="N599" s="316"/>
    </row>
    <row r="600" spans="13:14" ht="15.75" customHeight="1">
      <c r="M600" s="316"/>
      <c r="N600" s="316"/>
    </row>
    <row r="601" spans="13:14" ht="15.75" customHeight="1">
      <c r="M601" s="316"/>
      <c r="N601" s="316"/>
    </row>
    <row r="602" spans="13:14" ht="15.75" customHeight="1">
      <c r="M602" s="316"/>
      <c r="N602" s="316"/>
    </row>
    <row r="603" spans="13:14" ht="15.75" customHeight="1">
      <c r="M603" s="316"/>
      <c r="N603" s="316"/>
    </row>
    <row r="604" spans="13:14" ht="15.75" customHeight="1">
      <c r="M604" s="316"/>
      <c r="N604" s="316"/>
    </row>
    <row r="605" spans="13:14" ht="15.75" customHeight="1">
      <c r="M605" s="316"/>
      <c r="N605" s="316"/>
    </row>
    <row r="606" spans="13:14" ht="15.75" customHeight="1">
      <c r="M606" s="316"/>
      <c r="N606" s="316"/>
    </row>
    <row r="607" spans="13:14" ht="15.75" customHeight="1">
      <c r="M607" s="316"/>
      <c r="N607" s="316"/>
    </row>
    <row r="608" spans="13:14" ht="15.75" customHeight="1">
      <c r="M608" s="316"/>
      <c r="N608" s="316"/>
    </row>
    <row r="609" spans="13:14" ht="15.75" customHeight="1">
      <c r="M609" s="316"/>
      <c r="N609" s="316"/>
    </row>
    <row r="610" spans="13:14" ht="15.75" customHeight="1">
      <c r="M610" s="316"/>
      <c r="N610" s="316"/>
    </row>
    <row r="611" spans="13:14" ht="15.75" customHeight="1">
      <c r="M611" s="316"/>
      <c r="N611" s="316"/>
    </row>
    <row r="612" spans="13:14" ht="15.75" customHeight="1">
      <c r="M612" s="316"/>
      <c r="N612" s="316"/>
    </row>
    <row r="613" spans="13:14" ht="15.75" customHeight="1">
      <c r="M613" s="316"/>
      <c r="N613" s="316"/>
    </row>
    <row r="614" spans="13:14" ht="15.75" customHeight="1">
      <c r="M614" s="316"/>
      <c r="N614" s="316"/>
    </row>
    <row r="615" spans="13:14" ht="15.75" customHeight="1">
      <c r="M615" s="316"/>
      <c r="N615" s="316"/>
    </row>
    <row r="616" spans="13:14" ht="15.75" customHeight="1">
      <c r="M616" s="316"/>
      <c r="N616" s="316"/>
    </row>
    <row r="617" spans="13:14" ht="15.75" customHeight="1">
      <c r="M617" s="316"/>
      <c r="N617" s="316"/>
    </row>
    <row r="618" spans="13:14" ht="15.75" customHeight="1">
      <c r="M618" s="316"/>
      <c r="N618" s="316"/>
    </row>
    <row r="619" spans="13:14" ht="15.75" customHeight="1">
      <c r="M619" s="316"/>
      <c r="N619" s="316"/>
    </row>
    <row r="620" spans="13:14" ht="15.75" customHeight="1">
      <c r="M620" s="316"/>
      <c r="N620" s="316"/>
    </row>
    <row r="621" spans="13:14" ht="15.75" customHeight="1">
      <c r="M621" s="316"/>
      <c r="N621" s="316"/>
    </row>
    <row r="622" spans="13:14" ht="15.75" customHeight="1">
      <c r="M622" s="316"/>
      <c r="N622" s="316"/>
    </row>
    <row r="623" spans="13:14" ht="15.75" customHeight="1">
      <c r="M623" s="316"/>
      <c r="N623" s="316"/>
    </row>
    <row r="624" spans="13:14" ht="15.75" customHeight="1">
      <c r="M624" s="316"/>
      <c r="N624" s="316"/>
    </row>
    <row r="625" spans="13:14" ht="15.75" customHeight="1">
      <c r="M625" s="316"/>
      <c r="N625" s="316"/>
    </row>
    <row r="626" spans="13:14" ht="15.75" customHeight="1">
      <c r="M626" s="316"/>
      <c r="N626" s="316"/>
    </row>
    <row r="627" spans="13:14" ht="15.75" customHeight="1">
      <c r="M627" s="316"/>
      <c r="N627" s="316"/>
    </row>
    <row r="628" spans="13:14" ht="15.75" customHeight="1">
      <c r="M628" s="316"/>
      <c r="N628" s="316"/>
    </row>
    <row r="629" spans="13:14" ht="15.75" customHeight="1">
      <c r="M629" s="316"/>
      <c r="N629" s="316"/>
    </row>
    <row r="630" spans="13:14" ht="15.75" customHeight="1">
      <c r="M630" s="316"/>
      <c r="N630" s="316"/>
    </row>
    <row r="631" spans="13:14" ht="15.75" customHeight="1">
      <c r="M631" s="316"/>
      <c r="N631" s="316"/>
    </row>
    <row r="632" spans="13:14" ht="15.75" customHeight="1">
      <c r="M632" s="316"/>
      <c r="N632" s="316"/>
    </row>
    <row r="633" spans="13:14" ht="15.75" customHeight="1">
      <c r="M633" s="316"/>
      <c r="N633" s="316"/>
    </row>
    <row r="634" spans="13:14" ht="15.75" customHeight="1">
      <c r="M634" s="316"/>
      <c r="N634" s="316"/>
    </row>
    <row r="635" spans="13:14" ht="15.75" customHeight="1">
      <c r="M635" s="316"/>
      <c r="N635" s="316"/>
    </row>
    <row r="636" spans="13:14" ht="15.75" customHeight="1">
      <c r="M636" s="316"/>
      <c r="N636" s="316"/>
    </row>
    <row r="637" spans="13:14" ht="15.75" customHeight="1">
      <c r="M637" s="316"/>
      <c r="N637" s="316"/>
    </row>
    <row r="638" spans="13:14" ht="15.75" customHeight="1">
      <c r="M638" s="316"/>
      <c r="N638" s="316"/>
    </row>
    <row r="639" spans="13:14" ht="15.75" customHeight="1">
      <c r="M639" s="316"/>
      <c r="N639" s="316"/>
    </row>
    <row r="640" spans="13:14" ht="15.75" customHeight="1">
      <c r="M640" s="316"/>
      <c r="N640" s="316"/>
    </row>
    <row r="641" spans="13:14" ht="15.75" customHeight="1">
      <c r="M641" s="316"/>
      <c r="N641" s="316"/>
    </row>
    <row r="642" spans="13:14" ht="15.75" customHeight="1">
      <c r="M642" s="316"/>
      <c r="N642" s="316"/>
    </row>
    <row r="643" spans="13:14" ht="15.75" customHeight="1">
      <c r="M643" s="316"/>
      <c r="N643" s="316"/>
    </row>
    <row r="644" spans="13:14" ht="15.75" customHeight="1">
      <c r="M644" s="316"/>
      <c r="N644" s="316"/>
    </row>
    <row r="645" spans="13:14" ht="15.75" customHeight="1">
      <c r="M645" s="316"/>
      <c r="N645" s="316"/>
    </row>
    <row r="646" spans="13:14" ht="15.75" customHeight="1">
      <c r="M646" s="316"/>
      <c r="N646" s="316"/>
    </row>
    <row r="647" spans="13:14" ht="15.75" customHeight="1">
      <c r="M647" s="316"/>
      <c r="N647" s="316"/>
    </row>
    <row r="648" spans="13:14" ht="15.75" customHeight="1">
      <c r="M648" s="316"/>
      <c r="N648" s="316"/>
    </row>
    <row r="649" spans="13:14" ht="15.75" customHeight="1">
      <c r="M649" s="316"/>
      <c r="N649" s="316"/>
    </row>
    <row r="650" spans="13:14" ht="15.75" customHeight="1">
      <c r="M650" s="316"/>
      <c r="N650" s="316"/>
    </row>
    <row r="651" spans="13:14" ht="15.75" customHeight="1">
      <c r="M651" s="316"/>
      <c r="N651" s="316"/>
    </row>
    <row r="652" spans="13:14" ht="15.75" customHeight="1">
      <c r="M652" s="316"/>
      <c r="N652" s="316"/>
    </row>
    <row r="653" spans="13:14" ht="15.75" customHeight="1">
      <c r="M653" s="316"/>
      <c r="N653" s="316"/>
    </row>
    <row r="654" spans="13:14" ht="15.75" customHeight="1">
      <c r="M654" s="316"/>
      <c r="N654" s="316"/>
    </row>
    <row r="655" spans="13:14" ht="15.75" customHeight="1">
      <c r="M655" s="316"/>
      <c r="N655" s="316"/>
    </row>
    <row r="656" spans="13:14" ht="15.75" customHeight="1">
      <c r="M656" s="316"/>
      <c r="N656" s="316"/>
    </row>
    <row r="657" spans="13:14" ht="15.75" customHeight="1">
      <c r="M657" s="316"/>
      <c r="N657" s="316"/>
    </row>
    <row r="658" spans="13:14" ht="15.75" customHeight="1">
      <c r="M658" s="316"/>
      <c r="N658" s="316"/>
    </row>
    <row r="659" spans="13:14" ht="15.75" customHeight="1">
      <c r="M659" s="316"/>
      <c r="N659" s="316"/>
    </row>
    <row r="660" spans="13:14" ht="15.75" customHeight="1">
      <c r="M660" s="316"/>
      <c r="N660" s="316"/>
    </row>
    <row r="661" spans="13:14" ht="15.75" customHeight="1">
      <c r="M661" s="316"/>
      <c r="N661" s="316"/>
    </row>
    <row r="662" spans="13:14" ht="15.75" customHeight="1">
      <c r="M662" s="316"/>
      <c r="N662" s="316"/>
    </row>
    <row r="663" spans="13:14" ht="15.75" customHeight="1">
      <c r="M663" s="316"/>
      <c r="N663" s="316"/>
    </row>
    <row r="664" spans="13:14" ht="15.75" customHeight="1">
      <c r="M664" s="316"/>
      <c r="N664" s="316"/>
    </row>
    <row r="665" spans="13:14" ht="15.75" customHeight="1">
      <c r="M665" s="316"/>
      <c r="N665" s="316"/>
    </row>
    <row r="666" spans="13:14" ht="15.75" customHeight="1">
      <c r="M666" s="316"/>
      <c r="N666" s="316"/>
    </row>
    <row r="667" spans="13:14" ht="15.75" customHeight="1">
      <c r="M667" s="316"/>
      <c r="N667" s="316"/>
    </row>
    <row r="668" spans="13:14" ht="15.75" customHeight="1">
      <c r="M668" s="316"/>
      <c r="N668" s="316"/>
    </row>
    <row r="669" spans="13:14" ht="15.75" customHeight="1">
      <c r="M669" s="316"/>
      <c r="N669" s="316"/>
    </row>
    <row r="670" spans="13:14" ht="15.75" customHeight="1">
      <c r="M670" s="316"/>
      <c r="N670" s="316"/>
    </row>
    <row r="671" spans="13:14" ht="15.75" customHeight="1">
      <c r="M671" s="316"/>
      <c r="N671" s="316"/>
    </row>
    <row r="672" spans="13:14" ht="15.75" customHeight="1">
      <c r="M672" s="316"/>
      <c r="N672" s="316"/>
    </row>
    <row r="673" spans="13:14" ht="15.75" customHeight="1">
      <c r="M673" s="316"/>
      <c r="N673" s="316"/>
    </row>
    <row r="674" spans="13:14" ht="15.75" customHeight="1">
      <c r="M674" s="316"/>
      <c r="N674" s="316"/>
    </row>
    <row r="675" spans="13:14" ht="15.75" customHeight="1">
      <c r="M675" s="316"/>
      <c r="N675" s="316"/>
    </row>
    <row r="676" spans="13:14" ht="15.75" customHeight="1">
      <c r="M676" s="316"/>
      <c r="N676" s="316"/>
    </row>
    <row r="677" spans="13:14" ht="15.75" customHeight="1">
      <c r="M677" s="316"/>
      <c r="N677" s="316"/>
    </row>
    <row r="678" spans="13:14" ht="15.75" customHeight="1">
      <c r="M678" s="316"/>
      <c r="N678" s="316"/>
    </row>
    <row r="679" spans="13:14" ht="15.75" customHeight="1">
      <c r="M679" s="316"/>
      <c r="N679" s="316"/>
    </row>
    <row r="680" spans="13:14" ht="15.75" customHeight="1">
      <c r="M680" s="316"/>
      <c r="N680" s="316"/>
    </row>
    <row r="681" spans="13:14" ht="15.75" customHeight="1">
      <c r="M681" s="316"/>
      <c r="N681" s="316"/>
    </row>
    <row r="682" spans="13:14" ht="15.75" customHeight="1">
      <c r="M682" s="316"/>
      <c r="N682" s="316"/>
    </row>
    <row r="683" spans="13:14" ht="15.75" customHeight="1">
      <c r="M683" s="316"/>
      <c r="N683" s="316"/>
    </row>
    <row r="684" spans="13:14" ht="15.75" customHeight="1">
      <c r="M684" s="316"/>
      <c r="N684" s="316"/>
    </row>
    <row r="685" spans="13:14" ht="15.75" customHeight="1">
      <c r="M685" s="316"/>
      <c r="N685" s="316"/>
    </row>
    <row r="686" spans="13:14" ht="15.75" customHeight="1">
      <c r="M686" s="316"/>
      <c r="N686" s="316"/>
    </row>
    <row r="687" spans="13:14" ht="15.75" customHeight="1">
      <c r="M687" s="316"/>
      <c r="N687" s="316"/>
    </row>
    <row r="688" spans="13:14" ht="15.75" customHeight="1">
      <c r="M688" s="316"/>
      <c r="N688" s="316"/>
    </row>
    <row r="689" spans="13:14" ht="15.75" customHeight="1">
      <c r="M689" s="316"/>
      <c r="N689" s="316"/>
    </row>
    <row r="690" spans="13:14" ht="15.75" customHeight="1">
      <c r="M690" s="316"/>
      <c r="N690" s="316"/>
    </row>
    <row r="691" spans="13:14" ht="15.75" customHeight="1">
      <c r="M691" s="316"/>
      <c r="N691" s="316"/>
    </row>
    <row r="692" spans="13:14" ht="15.75" customHeight="1">
      <c r="M692" s="316"/>
      <c r="N692" s="316"/>
    </row>
    <row r="693" spans="13:14" ht="15.75" customHeight="1">
      <c r="M693" s="316"/>
      <c r="N693" s="316"/>
    </row>
    <row r="694" spans="13:14" ht="15.75" customHeight="1">
      <c r="M694" s="316"/>
      <c r="N694" s="316"/>
    </row>
    <row r="695" spans="13:14" ht="15.75" customHeight="1">
      <c r="M695" s="316"/>
      <c r="N695" s="316"/>
    </row>
    <row r="696" spans="13:14" ht="15.75" customHeight="1">
      <c r="M696" s="316"/>
      <c r="N696" s="316"/>
    </row>
    <row r="697" spans="13:14" ht="15.75" customHeight="1">
      <c r="M697" s="316"/>
      <c r="N697" s="316"/>
    </row>
    <row r="698" spans="13:14" ht="15.75" customHeight="1">
      <c r="M698" s="316"/>
      <c r="N698" s="316"/>
    </row>
    <row r="699" spans="13:14" ht="15.75" customHeight="1">
      <c r="M699" s="316"/>
      <c r="N699" s="316"/>
    </row>
    <row r="700" spans="13:14" ht="15.75" customHeight="1">
      <c r="M700" s="316"/>
      <c r="N700" s="316"/>
    </row>
    <row r="701" spans="13:14" ht="15.75" customHeight="1">
      <c r="M701" s="316"/>
      <c r="N701" s="316"/>
    </row>
    <row r="702" spans="13:14" ht="15.75" customHeight="1">
      <c r="M702" s="316"/>
      <c r="N702" s="316"/>
    </row>
    <row r="703" spans="13:14" ht="15.75" customHeight="1">
      <c r="M703" s="316"/>
      <c r="N703" s="316"/>
    </row>
    <row r="704" spans="13:14" ht="15.75" customHeight="1">
      <c r="M704" s="316"/>
      <c r="N704" s="316"/>
    </row>
    <row r="705" spans="13:14" ht="15.75" customHeight="1">
      <c r="M705" s="316"/>
      <c r="N705" s="316"/>
    </row>
    <row r="706" spans="13:14" ht="15.75" customHeight="1">
      <c r="M706" s="316"/>
      <c r="N706" s="316"/>
    </row>
    <row r="707" spans="13:14" ht="15.75" customHeight="1">
      <c r="M707" s="316"/>
      <c r="N707" s="316"/>
    </row>
    <row r="708" spans="13:14" ht="15.75" customHeight="1">
      <c r="M708" s="316"/>
      <c r="N708" s="316"/>
    </row>
    <row r="709" spans="13:14" ht="15.75" customHeight="1">
      <c r="M709" s="316"/>
      <c r="N709" s="316"/>
    </row>
    <row r="710" spans="13:14" ht="15.75" customHeight="1">
      <c r="M710" s="316"/>
      <c r="N710" s="316"/>
    </row>
    <row r="711" spans="13:14" ht="15.75" customHeight="1">
      <c r="M711" s="316"/>
      <c r="N711" s="316"/>
    </row>
    <row r="712" spans="13:14" ht="15.75" customHeight="1">
      <c r="M712" s="316"/>
      <c r="N712" s="316"/>
    </row>
    <row r="713" spans="13:14" ht="15.75" customHeight="1">
      <c r="M713" s="316"/>
      <c r="N713" s="316"/>
    </row>
    <row r="714" spans="13:14" ht="15.75" customHeight="1">
      <c r="M714" s="316"/>
      <c r="N714" s="316"/>
    </row>
    <row r="715" spans="13:14" ht="15.75" customHeight="1">
      <c r="M715" s="316"/>
      <c r="N715" s="316"/>
    </row>
    <row r="716" spans="13:14" ht="15.75" customHeight="1">
      <c r="M716" s="316"/>
      <c r="N716" s="316"/>
    </row>
    <row r="717" spans="13:14" ht="15.75" customHeight="1">
      <c r="M717" s="316"/>
      <c r="N717" s="316"/>
    </row>
    <row r="718" spans="13:14" ht="15.75" customHeight="1">
      <c r="M718" s="316"/>
      <c r="N718" s="316"/>
    </row>
    <row r="719" spans="13:14" ht="15.75" customHeight="1">
      <c r="M719" s="316"/>
      <c r="N719" s="316"/>
    </row>
    <row r="720" spans="13:14" ht="15.75" customHeight="1">
      <c r="M720" s="316"/>
      <c r="N720" s="316"/>
    </row>
    <row r="721" spans="13:14" ht="15.75" customHeight="1">
      <c r="M721" s="316"/>
      <c r="N721" s="316"/>
    </row>
    <row r="722" spans="13:14" ht="15.75" customHeight="1">
      <c r="M722" s="316"/>
      <c r="N722" s="316"/>
    </row>
    <row r="723" spans="13:14" ht="15.75" customHeight="1">
      <c r="M723" s="316"/>
      <c r="N723" s="316"/>
    </row>
    <row r="724" spans="13:14" ht="15.75" customHeight="1">
      <c r="M724" s="316"/>
      <c r="N724" s="316"/>
    </row>
    <row r="725" spans="13:14" ht="15.75" customHeight="1">
      <c r="M725" s="316"/>
      <c r="N725" s="316"/>
    </row>
    <row r="726" spans="13:14" ht="15.75" customHeight="1">
      <c r="M726" s="316"/>
      <c r="N726" s="316"/>
    </row>
    <row r="727" spans="13:14" ht="15.75" customHeight="1">
      <c r="M727" s="316"/>
      <c r="N727" s="316"/>
    </row>
    <row r="728" spans="13:14" ht="15.75" customHeight="1">
      <c r="M728" s="316"/>
      <c r="N728" s="316"/>
    </row>
    <row r="729" spans="13:14" ht="15.75" customHeight="1">
      <c r="M729" s="316"/>
      <c r="N729" s="316"/>
    </row>
    <row r="730" spans="13:14" ht="15.75" customHeight="1">
      <c r="M730" s="316"/>
      <c r="N730" s="316"/>
    </row>
    <row r="731" spans="13:14" ht="15.75" customHeight="1">
      <c r="M731" s="316"/>
      <c r="N731" s="316"/>
    </row>
    <row r="732" spans="13:14" ht="15.75" customHeight="1">
      <c r="M732" s="316"/>
      <c r="N732" s="316"/>
    </row>
    <row r="733" spans="13:14" ht="15.75" customHeight="1">
      <c r="M733" s="316"/>
      <c r="N733" s="316"/>
    </row>
    <row r="734" spans="13:14" ht="15.75" customHeight="1">
      <c r="M734" s="316"/>
      <c r="N734" s="316"/>
    </row>
    <row r="735" spans="13:14" ht="15.75" customHeight="1">
      <c r="M735" s="316"/>
      <c r="N735" s="316"/>
    </row>
    <row r="736" spans="13:14" ht="15.75" customHeight="1">
      <c r="M736" s="316"/>
      <c r="N736" s="316"/>
    </row>
    <row r="737" spans="13:14" ht="15.75" customHeight="1">
      <c r="M737" s="316"/>
      <c r="N737" s="316"/>
    </row>
    <row r="738" spans="13:14" ht="15.75" customHeight="1">
      <c r="M738" s="316"/>
      <c r="N738" s="316"/>
    </row>
    <row r="739" spans="13:14" ht="15.75" customHeight="1">
      <c r="M739" s="316"/>
      <c r="N739" s="316"/>
    </row>
    <row r="740" spans="13:14" ht="15.75" customHeight="1">
      <c r="M740" s="316"/>
      <c r="N740" s="316"/>
    </row>
    <row r="741" spans="13:14" ht="15.75" customHeight="1">
      <c r="M741" s="316"/>
      <c r="N741" s="316"/>
    </row>
    <row r="742" spans="13:14" ht="15.75" customHeight="1">
      <c r="M742" s="316"/>
      <c r="N742" s="316"/>
    </row>
    <row r="743" spans="13:14" ht="15.75" customHeight="1">
      <c r="M743" s="316"/>
      <c r="N743" s="316"/>
    </row>
    <row r="744" spans="13:14" ht="15.75" customHeight="1">
      <c r="M744" s="316"/>
      <c r="N744" s="316"/>
    </row>
    <row r="745" spans="13:14" ht="15.75" customHeight="1">
      <c r="M745" s="316"/>
      <c r="N745" s="316"/>
    </row>
    <row r="746" spans="13:14" ht="15.75" customHeight="1">
      <c r="M746" s="316"/>
      <c r="N746" s="316"/>
    </row>
    <row r="747" spans="13:14" ht="15.75" customHeight="1">
      <c r="M747" s="316"/>
      <c r="N747" s="316"/>
    </row>
    <row r="748" spans="13:14" ht="15.75" customHeight="1">
      <c r="M748" s="316"/>
      <c r="N748" s="316"/>
    </row>
    <row r="749" spans="13:14" ht="15.75" customHeight="1">
      <c r="M749" s="316"/>
      <c r="N749" s="316"/>
    </row>
    <row r="750" spans="13:14" ht="15.75" customHeight="1">
      <c r="M750" s="316"/>
      <c r="N750" s="316"/>
    </row>
    <row r="751" spans="13:14" ht="15.75" customHeight="1">
      <c r="M751" s="316"/>
      <c r="N751" s="316"/>
    </row>
    <row r="752" spans="13:14" ht="15.75" customHeight="1">
      <c r="M752" s="316"/>
      <c r="N752" s="316"/>
    </row>
    <row r="753" spans="13:14" ht="15.75" customHeight="1">
      <c r="M753" s="316"/>
      <c r="N753" s="316"/>
    </row>
    <row r="754" spans="13:14" ht="15.75" customHeight="1">
      <c r="M754" s="316"/>
      <c r="N754" s="316"/>
    </row>
    <row r="755" spans="13:14" ht="15.75" customHeight="1">
      <c r="M755" s="316"/>
      <c r="N755" s="316"/>
    </row>
    <row r="756" spans="13:14" ht="15.75" customHeight="1">
      <c r="M756" s="316"/>
      <c r="N756" s="316"/>
    </row>
    <row r="757" spans="13:14" ht="15.75" customHeight="1">
      <c r="M757" s="316"/>
      <c r="N757" s="316"/>
    </row>
    <row r="758" spans="13:14" ht="15.75" customHeight="1">
      <c r="M758" s="316"/>
      <c r="N758" s="316"/>
    </row>
    <row r="759" spans="13:14" ht="15.75" customHeight="1">
      <c r="M759" s="316"/>
      <c r="N759" s="316"/>
    </row>
    <row r="760" spans="13:14" ht="15.75" customHeight="1">
      <c r="M760" s="316"/>
      <c r="N760" s="316"/>
    </row>
    <row r="761" spans="13:14" ht="15.75" customHeight="1">
      <c r="M761" s="316"/>
      <c r="N761" s="316"/>
    </row>
    <row r="762" spans="13:14" ht="15.75" customHeight="1">
      <c r="M762" s="316"/>
      <c r="N762" s="316"/>
    </row>
    <row r="763" spans="13:14" ht="15.75" customHeight="1">
      <c r="M763" s="316"/>
      <c r="N763" s="316"/>
    </row>
    <row r="764" spans="13:14" ht="15.75" customHeight="1">
      <c r="M764" s="316"/>
      <c r="N764" s="316"/>
    </row>
    <row r="765" spans="13:14" ht="15.75" customHeight="1">
      <c r="M765" s="316"/>
      <c r="N765" s="316"/>
    </row>
    <row r="766" spans="13:14" ht="15.75" customHeight="1">
      <c r="M766" s="316"/>
      <c r="N766" s="316"/>
    </row>
    <row r="767" spans="13:14" ht="15.75" customHeight="1">
      <c r="M767" s="316"/>
      <c r="N767" s="316"/>
    </row>
    <row r="768" spans="13:14" ht="15.75" customHeight="1">
      <c r="M768" s="316"/>
      <c r="N768" s="316"/>
    </row>
    <row r="769" spans="13:14" ht="15.75" customHeight="1">
      <c r="M769" s="316"/>
      <c r="N769" s="316"/>
    </row>
    <row r="770" spans="13:14" ht="15.75" customHeight="1">
      <c r="M770" s="316"/>
      <c r="N770" s="316"/>
    </row>
    <row r="771" spans="13:14" ht="15.75" customHeight="1">
      <c r="M771" s="316"/>
      <c r="N771" s="316"/>
    </row>
    <row r="772" spans="13:14" ht="15.75" customHeight="1">
      <c r="M772" s="316"/>
      <c r="N772" s="316"/>
    </row>
    <row r="773" spans="13:14" ht="15.75" customHeight="1">
      <c r="M773" s="316"/>
      <c r="N773" s="316"/>
    </row>
    <row r="774" spans="13:14" ht="15.75" customHeight="1">
      <c r="M774" s="316"/>
      <c r="N774" s="316"/>
    </row>
    <row r="775" spans="13:14" ht="15.75" customHeight="1">
      <c r="M775" s="316"/>
      <c r="N775" s="316"/>
    </row>
    <row r="776" spans="13:14" ht="15.75" customHeight="1">
      <c r="M776" s="316"/>
      <c r="N776" s="316"/>
    </row>
    <row r="777" spans="13:14" ht="15.75" customHeight="1">
      <c r="M777" s="316"/>
      <c r="N777" s="316"/>
    </row>
    <row r="778" spans="13:14" ht="15.75" customHeight="1">
      <c r="M778" s="316"/>
      <c r="N778" s="316"/>
    </row>
    <row r="779" spans="13:14" ht="15.75" customHeight="1">
      <c r="M779" s="316"/>
      <c r="N779" s="316"/>
    </row>
    <row r="780" spans="13:14" ht="15.75" customHeight="1">
      <c r="M780" s="316"/>
      <c r="N780" s="316"/>
    </row>
    <row r="781" spans="13:14" ht="15.75" customHeight="1">
      <c r="M781" s="316"/>
      <c r="N781" s="316"/>
    </row>
    <row r="782" spans="13:14" ht="15.75" customHeight="1">
      <c r="M782" s="316"/>
      <c r="N782" s="316"/>
    </row>
    <row r="783" spans="13:14" ht="15.75" customHeight="1">
      <c r="M783" s="316"/>
      <c r="N783" s="316"/>
    </row>
    <row r="784" spans="13:14" ht="15.75" customHeight="1">
      <c r="M784" s="316"/>
      <c r="N784" s="316"/>
    </row>
    <row r="785" spans="13:14" ht="15.75" customHeight="1">
      <c r="M785" s="316"/>
      <c r="N785" s="316"/>
    </row>
    <row r="786" spans="13:14" ht="15.75" customHeight="1">
      <c r="M786" s="316"/>
      <c r="N786" s="316"/>
    </row>
    <row r="787" spans="13:14" ht="15.75" customHeight="1">
      <c r="M787" s="316"/>
      <c r="N787" s="316"/>
    </row>
    <row r="788" spans="13:14" ht="15.75" customHeight="1">
      <c r="M788" s="316"/>
      <c r="N788" s="316"/>
    </row>
    <row r="789" spans="13:14" ht="15.75" customHeight="1">
      <c r="M789" s="316"/>
      <c r="N789" s="316"/>
    </row>
    <row r="790" spans="13:14" ht="15.75" customHeight="1">
      <c r="M790" s="316"/>
      <c r="N790" s="316"/>
    </row>
    <row r="791" spans="13:14" ht="15.75" customHeight="1">
      <c r="M791" s="316"/>
      <c r="N791" s="316"/>
    </row>
    <row r="792" spans="13:14" ht="15.75" customHeight="1">
      <c r="M792" s="316"/>
      <c r="N792" s="316"/>
    </row>
    <row r="793" spans="13:14" ht="15.75" customHeight="1">
      <c r="M793" s="316"/>
      <c r="N793" s="316"/>
    </row>
    <row r="794" spans="13:14" ht="15.75" customHeight="1">
      <c r="M794" s="316"/>
      <c r="N794" s="316"/>
    </row>
    <row r="795" spans="13:14" ht="15.75" customHeight="1">
      <c r="M795" s="316"/>
      <c r="N795" s="316"/>
    </row>
    <row r="796" spans="13:14" ht="15.75" customHeight="1">
      <c r="M796" s="316"/>
      <c r="N796" s="316"/>
    </row>
    <row r="797" spans="13:14" ht="15.75" customHeight="1">
      <c r="M797" s="316"/>
      <c r="N797" s="316"/>
    </row>
    <row r="798" spans="13:14" ht="15.75" customHeight="1">
      <c r="M798" s="316"/>
      <c r="N798" s="316"/>
    </row>
    <row r="799" spans="13:14" ht="15.75" customHeight="1">
      <c r="M799" s="316"/>
      <c r="N799" s="316"/>
    </row>
    <row r="800" spans="13:14" ht="15.75" customHeight="1">
      <c r="M800" s="316"/>
      <c r="N800" s="316"/>
    </row>
    <row r="801" spans="13:14" ht="15.75" customHeight="1">
      <c r="M801" s="316"/>
      <c r="N801" s="316"/>
    </row>
    <row r="802" spans="13:14" ht="15.75" customHeight="1">
      <c r="M802" s="316"/>
      <c r="N802" s="316"/>
    </row>
    <row r="803" spans="13:14" ht="15.75" customHeight="1">
      <c r="M803" s="316"/>
      <c r="N803" s="316"/>
    </row>
    <row r="804" spans="13:14" ht="15.75" customHeight="1">
      <c r="M804" s="316"/>
      <c r="N804" s="316"/>
    </row>
    <row r="805" spans="13:14" ht="15.75" customHeight="1">
      <c r="M805" s="316"/>
      <c r="N805" s="316"/>
    </row>
    <row r="806" spans="13:14" ht="15.75" customHeight="1">
      <c r="M806" s="316"/>
      <c r="N806" s="316"/>
    </row>
    <row r="807" spans="13:14" ht="15.75" customHeight="1">
      <c r="M807" s="316"/>
      <c r="N807" s="316"/>
    </row>
    <row r="808" spans="13:14" ht="15.75" customHeight="1">
      <c r="M808" s="316"/>
      <c r="N808" s="316"/>
    </row>
    <row r="809" spans="13:14" ht="15.75" customHeight="1">
      <c r="M809" s="316"/>
      <c r="N809" s="316"/>
    </row>
    <row r="810" spans="13:14" ht="15.75" customHeight="1">
      <c r="M810" s="316"/>
      <c r="N810" s="316"/>
    </row>
    <row r="811" spans="13:14" ht="15.75" customHeight="1">
      <c r="M811" s="316"/>
      <c r="N811" s="316"/>
    </row>
    <row r="812" spans="13:14" ht="15.75" customHeight="1">
      <c r="M812" s="316"/>
      <c r="N812" s="316"/>
    </row>
    <row r="813" spans="13:14" ht="15.75" customHeight="1">
      <c r="M813" s="316"/>
      <c r="N813" s="316"/>
    </row>
    <row r="814" spans="13:14" ht="15.75" customHeight="1">
      <c r="M814" s="316"/>
      <c r="N814" s="316"/>
    </row>
    <row r="815" spans="13:14" ht="15.75" customHeight="1">
      <c r="M815" s="316"/>
      <c r="N815" s="316"/>
    </row>
    <row r="816" spans="13:14" ht="15.75" customHeight="1">
      <c r="M816" s="316"/>
      <c r="N816" s="316"/>
    </row>
    <row r="817" spans="13:14" ht="15.75" customHeight="1">
      <c r="M817" s="316"/>
      <c r="N817" s="316"/>
    </row>
    <row r="818" spans="13:14" ht="15.75" customHeight="1">
      <c r="M818" s="316"/>
      <c r="N818" s="316"/>
    </row>
    <row r="819" spans="13:14" ht="15.75" customHeight="1">
      <c r="M819" s="316"/>
      <c r="N819" s="316"/>
    </row>
    <row r="820" spans="13:14" ht="15.75" customHeight="1">
      <c r="M820" s="316"/>
      <c r="N820" s="316"/>
    </row>
    <row r="821" spans="13:14" ht="15.75" customHeight="1">
      <c r="M821" s="316"/>
      <c r="N821" s="316"/>
    </row>
    <row r="822" spans="13:14" ht="15.75" customHeight="1">
      <c r="M822" s="316"/>
      <c r="N822" s="316"/>
    </row>
    <row r="823" spans="13:14" ht="15.75" customHeight="1">
      <c r="M823" s="316"/>
      <c r="N823" s="316"/>
    </row>
    <row r="824" spans="13:14" ht="15.75" customHeight="1">
      <c r="M824" s="316"/>
      <c r="N824" s="316"/>
    </row>
    <row r="825" spans="13:14" ht="15.75" customHeight="1">
      <c r="M825" s="316"/>
      <c r="N825" s="316"/>
    </row>
    <row r="826" spans="13:14" ht="15.75" customHeight="1">
      <c r="M826" s="316"/>
      <c r="N826" s="316"/>
    </row>
    <row r="827" spans="13:14" ht="15.75" customHeight="1">
      <c r="M827" s="316"/>
      <c r="N827" s="316"/>
    </row>
    <row r="828" spans="13:14" ht="15.75" customHeight="1">
      <c r="M828" s="316"/>
      <c r="N828" s="316"/>
    </row>
    <row r="829" spans="13:14" ht="15.75" customHeight="1">
      <c r="M829" s="316"/>
      <c r="N829" s="316"/>
    </row>
    <row r="830" spans="13:14" ht="15.75" customHeight="1">
      <c r="M830" s="316"/>
      <c r="N830" s="316"/>
    </row>
    <row r="831" spans="13:14" ht="15.75" customHeight="1">
      <c r="M831" s="316"/>
      <c r="N831" s="316"/>
    </row>
    <row r="832" spans="13:14" ht="15.75" customHeight="1">
      <c r="M832" s="316"/>
      <c r="N832" s="316"/>
    </row>
    <row r="833" spans="13:14" ht="15.75" customHeight="1">
      <c r="M833" s="316"/>
      <c r="N833" s="316"/>
    </row>
    <row r="834" spans="13:14" ht="15.75" customHeight="1">
      <c r="M834" s="316"/>
      <c r="N834" s="316"/>
    </row>
    <row r="835" spans="13:14" ht="15.75" customHeight="1">
      <c r="M835" s="316"/>
      <c r="N835" s="316"/>
    </row>
    <row r="836" spans="13:14" ht="15.75" customHeight="1">
      <c r="M836" s="316"/>
      <c r="N836" s="316"/>
    </row>
    <row r="837" spans="13:14" ht="15.75" customHeight="1">
      <c r="M837" s="316"/>
      <c r="N837" s="316"/>
    </row>
    <row r="838" spans="13:14" ht="15.75" customHeight="1">
      <c r="M838" s="316"/>
      <c r="N838" s="316"/>
    </row>
    <row r="839" spans="13:14" ht="15.75" customHeight="1">
      <c r="M839" s="316"/>
      <c r="N839" s="316"/>
    </row>
    <row r="840" spans="13:14" ht="15.75" customHeight="1">
      <c r="M840" s="316"/>
      <c r="N840" s="316"/>
    </row>
    <row r="841" spans="13:14" ht="15.75" customHeight="1">
      <c r="M841" s="316"/>
      <c r="N841" s="316"/>
    </row>
    <row r="842" spans="13:14" ht="15.75" customHeight="1">
      <c r="M842" s="316"/>
      <c r="N842" s="316"/>
    </row>
    <row r="843" spans="13:14" ht="15.75" customHeight="1">
      <c r="M843" s="316"/>
      <c r="N843" s="316"/>
    </row>
    <row r="844" spans="13:14" ht="15.75" customHeight="1">
      <c r="M844" s="316"/>
      <c r="N844" s="316"/>
    </row>
    <row r="845" spans="13:14" ht="15.75" customHeight="1">
      <c r="M845" s="316"/>
      <c r="N845" s="316"/>
    </row>
    <row r="846" spans="13:14" ht="15.75" customHeight="1">
      <c r="M846" s="316"/>
      <c r="N846" s="316"/>
    </row>
    <row r="847" spans="13:14" ht="15.75" customHeight="1">
      <c r="M847" s="316"/>
      <c r="N847" s="316"/>
    </row>
    <row r="848" spans="13:14" ht="15.75" customHeight="1">
      <c r="M848" s="316"/>
      <c r="N848" s="316"/>
    </row>
    <row r="849" spans="13:14" ht="15.75" customHeight="1">
      <c r="M849" s="316"/>
      <c r="N849" s="316"/>
    </row>
    <row r="850" spans="13:14" ht="15.75" customHeight="1">
      <c r="M850" s="316"/>
      <c r="N850" s="316"/>
    </row>
    <row r="851" spans="13:14" ht="15.75" customHeight="1">
      <c r="M851" s="316"/>
      <c r="N851" s="316"/>
    </row>
    <row r="852" spans="13:14" ht="15.75" customHeight="1">
      <c r="M852" s="316"/>
      <c r="N852" s="316"/>
    </row>
    <row r="853" spans="13:14" ht="15.75" customHeight="1">
      <c r="M853" s="316"/>
      <c r="N853" s="316"/>
    </row>
    <row r="854" spans="13:14" ht="15.75" customHeight="1">
      <c r="M854" s="316"/>
      <c r="N854" s="316"/>
    </row>
    <row r="855" spans="13:14" ht="15.75" customHeight="1">
      <c r="M855" s="316"/>
      <c r="N855" s="316"/>
    </row>
    <row r="856" spans="13:14" ht="15.75" customHeight="1">
      <c r="M856" s="316"/>
      <c r="N856" s="316"/>
    </row>
    <row r="857" spans="13:14" ht="15.75" customHeight="1">
      <c r="M857" s="316"/>
      <c r="N857" s="316"/>
    </row>
    <row r="858" spans="13:14" ht="15.75" customHeight="1">
      <c r="M858" s="316"/>
      <c r="N858" s="316"/>
    </row>
    <row r="859" spans="13:14" ht="15.75" customHeight="1">
      <c r="M859" s="316"/>
      <c r="N859" s="316"/>
    </row>
    <row r="860" spans="13:14" ht="15.75" customHeight="1">
      <c r="M860" s="316"/>
      <c r="N860" s="316"/>
    </row>
    <row r="861" spans="13:14" ht="15.75" customHeight="1">
      <c r="M861" s="316"/>
      <c r="N861" s="316"/>
    </row>
    <row r="862" spans="13:14" ht="15.75" customHeight="1">
      <c r="M862" s="316"/>
      <c r="N862" s="316"/>
    </row>
    <row r="863" spans="13:14" ht="15.75" customHeight="1">
      <c r="M863" s="316"/>
      <c r="N863" s="316"/>
    </row>
    <row r="864" spans="13:14" ht="15.75" customHeight="1">
      <c r="M864" s="316"/>
      <c r="N864" s="316"/>
    </row>
    <row r="865" spans="13:14" ht="15.75" customHeight="1">
      <c r="M865" s="316"/>
      <c r="N865" s="316"/>
    </row>
    <row r="866" spans="13:14" ht="15.75" customHeight="1">
      <c r="M866" s="316"/>
      <c r="N866" s="316"/>
    </row>
    <row r="867" spans="13:14" ht="15.75" customHeight="1">
      <c r="M867" s="316"/>
      <c r="N867" s="316"/>
    </row>
    <row r="868" spans="13:14" ht="15.75" customHeight="1">
      <c r="M868" s="316"/>
      <c r="N868" s="316"/>
    </row>
    <row r="869" spans="13:14" ht="15.75" customHeight="1">
      <c r="M869" s="316"/>
      <c r="N869" s="316"/>
    </row>
    <row r="870" spans="13:14" ht="15.75" customHeight="1">
      <c r="M870" s="316"/>
      <c r="N870" s="316"/>
    </row>
    <row r="871" spans="13:14" ht="15.75" customHeight="1">
      <c r="M871" s="316"/>
      <c r="N871" s="316"/>
    </row>
    <row r="872" spans="13:14" ht="15.75" customHeight="1">
      <c r="M872" s="316"/>
      <c r="N872" s="316"/>
    </row>
    <row r="873" spans="13:14" ht="15.75" customHeight="1">
      <c r="M873" s="316"/>
      <c r="N873" s="316"/>
    </row>
    <row r="874" spans="13:14" ht="15.75" customHeight="1">
      <c r="M874" s="316"/>
      <c r="N874" s="316"/>
    </row>
    <row r="875" spans="13:14" ht="15.75" customHeight="1">
      <c r="M875" s="316"/>
      <c r="N875" s="316"/>
    </row>
    <row r="876" spans="13:14" ht="15.75" customHeight="1">
      <c r="M876" s="316"/>
      <c r="N876" s="316"/>
    </row>
    <row r="877" spans="13:14" ht="15.75" customHeight="1">
      <c r="M877" s="316"/>
      <c r="N877" s="316"/>
    </row>
    <row r="878" spans="13:14" ht="15.75" customHeight="1">
      <c r="M878" s="316"/>
      <c r="N878" s="316"/>
    </row>
    <row r="879" spans="13:14" ht="15.75" customHeight="1">
      <c r="M879" s="316"/>
      <c r="N879" s="316"/>
    </row>
    <row r="880" spans="13:14" ht="15.75" customHeight="1">
      <c r="M880" s="316"/>
      <c r="N880" s="316"/>
    </row>
    <row r="881" spans="13:14" ht="15.75" customHeight="1">
      <c r="M881" s="316"/>
      <c r="N881" s="316"/>
    </row>
    <row r="882" spans="13:14" ht="15.75" customHeight="1">
      <c r="M882" s="316"/>
      <c r="N882" s="316"/>
    </row>
    <row r="883" spans="13:14" ht="15.75" customHeight="1">
      <c r="M883" s="316"/>
      <c r="N883" s="316"/>
    </row>
    <row r="884" spans="13:14" ht="15.75" customHeight="1">
      <c r="M884" s="316"/>
      <c r="N884" s="316"/>
    </row>
    <row r="885" spans="13:14" ht="15.75" customHeight="1">
      <c r="M885" s="316"/>
      <c r="N885" s="316"/>
    </row>
    <row r="886" spans="13:14" ht="15.75" customHeight="1">
      <c r="M886" s="316"/>
      <c r="N886" s="316"/>
    </row>
    <row r="887" spans="13:14" ht="15.75" customHeight="1">
      <c r="M887" s="316"/>
      <c r="N887" s="316"/>
    </row>
    <row r="888" spans="13:14" ht="15.75" customHeight="1">
      <c r="M888" s="316"/>
      <c r="N888" s="316"/>
    </row>
    <row r="889" spans="13:14" ht="15.75" customHeight="1">
      <c r="M889" s="316"/>
      <c r="N889" s="316"/>
    </row>
    <row r="890" spans="13:14" ht="15.75" customHeight="1">
      <c r="M890" s="316"/>
      <c r="N890" s="316"/>
    </row>
    <row r="891" spans="13:14" ht="15.75" customHeight="1">
      <c r="M891" s="316"/>
      <c r="N891" s="316"/>
    </row>
    <row r="892" spans="13:14" ht="15.75" customHeight="1">
      <c r="M892" s="316"/>
      <c r="N892" s="316"/>
    </row>
    <row r="893" spans="13:14" ht="15.75" customHeight="1">
      <c r="M893" s="316"/>
      <c r="N893" s="316"/>
    </row>
    <row r="894" spans="13:14" ht="15.75" customHeight="1">
      <c r="M894" s="316"/>
      <c r="N894" s="316"/>
    </row>
    <row r="895" spans="13:14" ht="15.75" customHeight="1">
      <c r="M895" s="316"/>
      <c r="N895" s="316"/>
    </row>
    <row r="896" spans="13:14" ht="15.75" customHeight="1">
      <c r="M896" s="316"/>
      <c r="N896" s="316"/>
    </row>
    <row r="897" spans="13:14" ht="15.75" customHeight="1">
      <c r="M897" s="316"/>
      <c r="N897" s="316"/>
    </row>
    <row r="898" spans="13:14" ht="15.75" customHeight="1">
      <c r="M898" s="316"/>
      <c r="N898" s="316"/>
    </row>
    <row r="899" spans="13:14" ht="15.75" customHeight="1">
      <c r="M899" s="316"/>
      <c r="N899" s="316"/>
    </row>
    <row r="900" spans="13:14" ht="15.75" customHeight="1">
      <c r="M900" s="316"/>
      <c r="N900" s="316"/>
    </row>
    <row r="901" spans="13:14" ht="15.75" customHeight="1">
      <c r="M901" s="316"/>
      <c r="N901" s="316"/>
    </row>
    <row r="902" spans="13:14" ht="15.75" customHeight="1">
      <c r="M902" s="316"/>
      <c r="N902" s="316"/>
    </row>
    <row r="903" spans="13:14" ht="15.75" customHeight="1">
      <c r="M903" s="316"/>
      <c r="N903" s="316"/>
    </row>
    <row r="904" spans="13:14" ht="15.75" customHeight="1">
      <c r="M904" s="316"/>
      <c r="N904" s="316"/>
    </row>
    <row r="905" spans="13:14" ht="15.75" customHeight="1">
      <c r="M905" s="316"/>
      <c r="N905" s="316"/>
    </row>
    <row r="906" spans="13:14" ht="15.75" customHeight="1">
      <c r="M906" s="316"/>
      <c r="N906" s="316"/>
    </row>
    <row r="907" spans="13:14" ht="15.75" customHeight="1">
      <c r="M907" s="316"/>
      <c r="N907" s="316"/>
    </row>
    <row r="908" spans="13:14" ht="15.75" customHeight="1">
      <c r="M908" s="316"/>
      <c r="N908" s="316"/>
    </row>
    <row r="909" spans="13:14" ht="15.75" customHeight="1">
      <c r="M909" s="316"/>
      <c r="N909" s="316"/>
    </row>
    <row r="910" spans="13:14" ht="15.75" customHeight="1">
      <c r="M910" s="316"/>
      <c r="N910" s="316"/>
    </row>
    <row r="911" spans="13:14" ht="15.75" customHeight="1">
      <c r="M911" s="316"/>
      <c r="N911" s="316"/>
    </row>
    <row r="912" spans="13:14" ht="15.75" customHeight="1">
      <c r="M912" s="316"/>
      <c r="N912" s="316"/>
    </row>
    <row r="913" spans="13:14" ht="15.75" customHeight="1">
      <c r="M913" s="316"/>
      <c r="N913" s="316"/>
    </row>
    <row r="914" spans="13:14" ht="15.75" customHeight="1">
      <c r="M914" s="316"/>
      <c r="N914" s="316"/>
    </row>
    <row r="915" spans="13:14" ht="15.75" customHeight="1">
      <c r="M915" s="316"/>
      <c r="N915" s="316"/>
    </row>
    <row r="916" spans="13:14" ht="15.75" customHeight="1">
      <c r="M916" s="316"/>
      <c r="N916" s="316"/>
    </row>
    <row r="917" spans="13:14" ht="15.75" customHeight="1">
      <c r="M917" s="316"/>
      <c r="N917" s="316"/>
    </row>
    <row r="918" spans="13:14" ht="15.75" customHeight="1">
      <c r="M918" s="316"/>
      <c r="N918" s="316"/>
    </row>
    <row r="919" spans="13:14" ht="15.75" customHeight="1">
      <c r="M919" s="316"/>
      <c r="N919" s="316"/>
    </row>
    <row r="920" spans="13:14" ht="15.75" customHeight="1">
      <c r="M920" s="316"/>
      <c r="N920" s="316"/>
    </row>
    <row r="921" spans="13:14" ht="15.75" customHeight="1">
      <c r="M921" s="316"/>
      <c r="N921" s="316"/>
    </row>
    <row r="922" spans="13:14" ht="15.75" customHeight="1">
      <c r="M922" s="316"/>
      <c r="N922" s="316"/>
    </row>
    <row r="923" spans="13:14" ht="15.75" customHeight="1">
      <c r="M923" s="316"/>
      <c r="N923" s="316"/>
    </row>
    <row r="924" spans="13:14" ht="15.75" customHeight="1">
      <c r="M924" s="316"/>
      <c r="N924" s="316"/>
    </row>
    <row r="925" spans="13:14" ht="15.75" customHeight="1">
      <c r="M925" s="316"/>
      <c r="N925" s="316"/>
    </row>
    <row r="926" spans="13:14" ht="15.75" customHeight="1">
      <c r="M926" s="316"/>
      <c r="N926" s="316"/>
    </row>
    <row r="927" spans="13:14" ht="15.75" customHeight="1">
      <c r="M927" s="316"/>
      <c r="N927" s="316"/>
    </row>
    <row r="928" spans="13:14" ht="15.75" customHeight="1">
      <c r="M928" s="316"/>
      <c r="N928" s="316"/>
    </row>
    <row r="929" spans="13:14" ht="15.75" customHeight="1">
      <c r="M929" s="316"/>
      <c r="N929" s="316"/>
    </row>
    <row r="930" spans="13:14" ht="15.75" customHeight="1">
      <c r="M930" s="316"/>
      <c r="N930" s="316"/>
    </row>
    <row r="931" spans="13:14" ht="15.75" customHeight="1">
      <c r="M931" s="316"/>
      <c r="N931" s="316"/>
    </row>
    <row r="932" spans="13:14" ht="15.75" customHeight="1">
      <c r="M932" s="316"/>
      <c r="N932" s="316"/>
    </row>
    <row r="933" spans="13:14" ht="15.75" customHeight="1">
      <c r="M933" s="316"/>
      <c r="N933" s="316"/>
    </row>
    <row r="934" spans="13:14" ht="15.75" customHeight="1">
      <c r="M934" s="316"/>
      <c r="N934" s="316"/>
    </row>
    <row r="935" spans="13:14" ht="15.75" customHeight="1">
      <c r="M935" s="316"/>
      <c r="N935" s="316"/>
    </row>
    <row r="936" spans="13:14" ht="15.75" customHeight="1">
      <c r="M936" s="316"/>
      <c r="N936" s="316"/>
    </row>
    <row r="937" spans="13:14" ht="15.75" customHeight="1">
      <c r="M937" s="316"/>
      <c r="N937" s="316"/>
    </row>
    <row r="938" spans="13:14" ht="15.75" customHeight="1">
      <c r="M938" s="316"/>
      <c r="N938" s="316"/>
    </row>
    <row r="939" spans="13:14" ht="15.75" customHeight="1">
      <c r="M939" s="316"/>
      <c r="N939" s="316"/>
    </row>
    <row r="940" spans="13:14" ht="15.75" customHeight="1">
      <c r="M940" s="316"/>
      <c r="N940" s="316"/>
    </row>
    <row r="941" spans="13:14" ht="15.75" customHeight="1">
      <c r="M941" s="316"/>
      <c r="N941" s="316"/>
    </row>
    <row r="942" spans="13:14" ht="15.75" customHeight="1">
      <c r="M942" s="316"/>
      <c r="N942" s="316"/>
    </row>
    <row r="943" spans="13:14" ht="15.75" customHeight="1">
      <c r="M943" s="316"/>
      <c r="N943" s="316"/>
    </row>
    <row r="944" spans="13:14" ht="15.75" customHeight="1">
      <c r="M944" s="316"/>
      <c r="N944" s="316"/>
    </row>
    <row r="945" spans="13:14" ht="15.75" customHeight="1">
      <c r="M945" s="316"/>
      <c r="N945" s="316"/>
    </row>
    <row r="946" spans="13:14" ht="15.75" customHeight="1">
      <c r="M946" s="316"/>
      <c r="N946" s="316"/>
    </row>
    <row r="947" spans="13:14" ht="15.75" customHeight="1">
      <c r="M947" s="316"/>
      <c r="N947" s="316"/>
    </row>
    <row r="948" spans="13:14" ht="15.75" customHeight="1">
      <c r="M948" s="316"/>
      <c r="N948" s="316"/>
    </row>
    <row r="949" spans="13:14" ht="15.75" customHeight="1">
      <c r="M949" s="316"/>
      <c r="N949" s="316"/>
    </row>
    <row r="950" spans="13:14" ht="15.75" customHeight="1">
      <c r="M950" s="316"/>
      <c r="N950" s="316"/>
    </row>
    <row r="951" spans="13:14" ht="15.75" customHeight="1">
      <c r="M951" s="316"/>
      <c r="N951" s="316"/>
    </row>
    <row r="952" spans="13:14" ht="15.75" customHeight="1">
      <c r="M952" s="316"/>
      <c r="N952" s="316"/>
    </row>
    <row r="953" spans="13:14" ht="15.75" customHeight="1">
      <c r="M953" s="316"/>
      <c r="N953" s="316"/>
    </row>
    <row r="954" spans="13:14" ht="15.75" customHeight="1">
      <c r="M954" s="316"/>
      <c r="N954" s="316"/>
    </row>
    <row r="955" spans="13:14" ht="15.75" customHeight="1">
      <c r="M955" s="316"/>
      <c r="N955" s="316"/>
    </row>
    <row r="956" spans="13:14" ht="15.75" customHeight="1">
      <c r="M956" s="316"/>
      <c r="N956" s="316"/>
    </row>
    <row r="957" spans="13:14" ht="15.75" customHeight="1">
      <c r="M957" s="316"/>
      <c r="N957" s="316"/>
    </row>
    <row r="958" spans="13:14" ht="15.75" customHeight="1">
      <c r="M958" s="316"/>
      <c r="N958" s="316"/>
    </row>
    <row r="959" spans="13:14" ht="15.75" customHeight="1">
      <c r="M959" s="316"/>
      <c r="N959" s="316"/>
    </row>
    <row r="960" spans="13:14" ht="15.75" customHeight="1">
      <c r="M960" s="316"/>
      <c r="N960" s="316"/>
    </row>
    <row r="961" spans="13:14" ht="15.75" customHeight="1">
      <c r="M961" s="316"/>
      <c r="N961" s="316"/>
    </row>
    <row r="962" spans="13:14" ht="15.75" customHeight="1">
      <c r="M962" s="316"/>
      <c r="N962" s="316"/>
    </row>
    <row r="963" spans="13:14" ht="15.75" customHeight="1">
      <c r="M963" s="316"/>
      <c r="N963" s="316"/>
    </row>
    <row r="964" spans="13:14" ht="15.75" customHeight="1">
      <c r="M964" s="316"/>
      <c r="N964" s="316"/>
    </row>
    <row r="965" spans="13:14" ht="15.75" customHeight="1">
      <c r="M965" s="316"/>
      <c r="N965" s="316"/>
    </row>
    <row r="966" spans="13:14" ht="15.75" customHeight="1">
      <c r="M966" s="316"/>
      <c r="N966" s="316"/>
    </row>
    <row r="967" spans="13:14" ht="15.75" customHeight="1">
      <c r="M967" s="316"/>
      <c r="N967" s="316"/>
    </row>
    <row r="968" spans="13:14" ht="15.75" customHeight="1">
      <c r="M968" s="316"/>
      <c r="N968" s="316"/>
    </row>
    <row r="969" spans="13:14" ht="15.75" customHeight="1">
      <c r="M969" s="316"/>
      <c r="N969" s="316"/>
    </row>
    <row r="970" spans="13:14" ht="15.75" customHeight="1">
      <c r="M970" s="316"/>
      <c r="N970" s="316"/>
    </row>
    <row r="971" spans="13:14" ht="15.75" customHeight="1">
      <c r="M971" s="316"/>
      <c r="N971" s="316"/>
    </row>
    <row r="972" spans="13:14" ht="15.75" customHeight="1">
      <c r="M972" s="316"/>
      <c r="N972" s="316"/>
    </row>
    <row r="973" spans="13:14" ht="15.75" customHeight="1">
      <c r="M973" s="316"/>
      <c r="N973" s="316"/>
    </row>
    <row r="974" spans="13:14" ht="15.75" customHeight="1">
      <c r="M974" s="316"/>
      <c r="N974" s="316"/>
    </row>
    <row r="975" spans="13:14" ht="15.75" customHeight="1">
      <c r="M975" s="316"/>
      <c r="N975" s="316"/>
    </row>
    <row r="976" spans="13:14" ht="15.75" customHeight="1">
      <c r="M976" s="316"/>
      <c r="N976" s="316"/>
    </row>
    <row r="977" spans="13:14" ht="15.75" customHeight="1">
      <c r="M977" s="316"/>
      <c r="N977" s="316"/>
    </row>
    <row r="978" spans="13:14" ht="15.75" customHeight="1">
      <c r="M978" s="316"/>
      <c r="N978" s="316"/>
    </row>
    <row r="979" spans="13:14" ht="15.75" customHeight="1">
      <c r="M979" s="316"/>
      <c r="N979" s="316"/>
    </row>
    <row r="980" spans="13:14" ht="15.75" customHeight="1">
      <c r="M980" s="316"/>
      <c r="N980" s="316"/>
    </row>
    <row r="981" spans="13:14" ht="15.75" customHeight="1">
      <c r="M981" s="316"/>
      <c r="N981" s="316"/>
    </row>
    <row r="982" spans="13:14" ht="15.75" customHeight="1">
      <c r="M982" s="316"/>
      <c r="N982" s="316"/>
    </row>
    <row r="983" spans="13:14" ht="15.75" customHeight="1">
      <c r="M983" s="316"/>
      <c r="N983" s="316"/>
    </row>
    <row r="984" spans="13:14" ht="15.75" customHeight="1">
      <c r="M984" s="316"/>
      <c r="N984" s="316"/>
    </row>
    <row r="985" spans="13:14" ht="15.75" customHeight="1">
      <c r="M985" s="316"/>
      <c r="N985" s="316"/>
    </row>
    <row r="986" spans="13:14" ht="15.75" customHeight="1">
      <c r="M986" s="316"/>
      <c r="N986" s="316"/>
    </row>
    <row r="987" spans="13:14" ht="15.75" customHeight="1">
      <c r="M987" s="316"/>
      <c r="N987" s="316"/>
    </row>
    <row r="988" spans="13:14" ht="15.75" customHeight="1">
      <c r="M988" s="316"/>
      <c r="N988" s="316"/>
    </row>
    <row r="989" spans="13:14" ht="15.75" customHeight="1">
      <c r="M989" s="316"/>
      <c r="N989" s="316"/>
    </row>
    <row r="990" spans="13:14" ht="15.75" customHeight="1">
      <c r="M990" s="316"/>
      <c r="N990" s="316"/>
    </row>
    <row r="991" spans="13:14" ht="15.75" customHeight="1">
      <c r="M991" s="316"/>
      <c r="N991" s="316"/>
    </row>
    <row r="992" spans="13:14" ht="15.75" customHeight="1">
      <c r="M992" s="316"/>
      <c r="N992" s="316"/>
    </row>
    <row r="993" spans="13:14" ht="15.75" customHeight="1">
      <c r="M993" s="316"/>
      <c r="N993" s="316"/>
    </row>
    <row r="994" spans="13:14" ht="15.75" customHeight="1">
      <c r="M994" s="316"/>
      <c r="N994" s="316"/>
    </row>
    <row r="995" spans="13:14" ht="15.75" customHeight="1">
      <c r="M995" s="316"/>
      <c r="N995" s="316"/>
    </row>
    <row r="996" spans="13:14" ht="15.75" customHeight="1">
      <c r="M996" s="316"/>
      <c r="N996" s="316"/>
    </row>
    <row r="997" spans="13:14" ht="15.75" customHeight="1">
      <c r="M997" s="316"/>
      <c r="N997" s="316"/>
    </row>
    <row r="998" spans="13:14" ht="15.75" customHeight="1">
      <c r="M998" s="316"/>
      <c r="N998" s="316"/>
    </row>
    <row r="999" spans="13:14" ht="15.75" customHeight="1">
      <c r="M999" s="316"/>
      <c r="N999" s="316"/>
    </row>
    <row r="1000" spans="13:14" ht="15.75" customHeight="1">
      <c r="M1000" s="316"/>
      <c r="N1000" s="316"/>
    </row>
    <row r="1001" spans="13:14" ht="15.75" customHeight="1">
      <c r="M1001" s="316"/>
      <c r="N1001" s="316"/>
    </row>
    <row r="1002" spans="13:14" ht="15.75" customHeight="1">
      <c r="M1002" s="316"/>
      <c r="N1002" s="316"/>
    </row>
  </sheetData>
  <autoFilter ref="A3:J233" xr:uid="{00000000-0009-0000-0000-000015000000}">
    <filterColumn colId="2">
      <filters>
        <filter val="1"/>
      </filters>
    </filterColumn>
  </autoFilter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P182"/>
  <sheetViews>
    <sheetView tabSelected="1" workbookViewId="0"/>
  </sheetViews>
  <sheetFormatPr baseColWidth="10" defaultColWidth="14.453125" defaultRowHeight="15" customHeight="1"/>
  <cols>
    <col min="1" max="7" width="10.08984375" customWidth="1"/>
  </cols>
  <sheetData>
    <row r="1" spans="1:16">
      <c r="A1" s="318"/>
      <c r="B1" s="319" t="s">
        <v>170</v>
      </c>
      <c r="C1" s="319" t="s">
        <v>171</v>
      </c>
      <c r="D1" s="319" t="s">
        <v>1651</v>
      </c>
      <c r="E1" s="319" t="s">
        <v>196</v>
      </c>
      <c r="F1" s="319" t="s">
        <v>197</v>
      </c>
      <c r="G1" s="319" t="s">
        <v>200</v>
      </c>
      <c r="H1" s="311"/>
      <c r="I1" s="311"/>
      <c r="J1" s="311"/>
    </row>
    <row r="2" spans="1:16">
      <c r="A2" s="319" t="s">
        <v>1652</v>
      </c>
      <c r="B2" s="347">
        <v>10.6882</v>
      </c>
      <c r="C2" s="347">
        <v>6.6779999999999999</v>
      </c>
      <c r="D2" s="347">
        <v>7.0511999999999997</v>
      </c>
      <c r="E2" s="347">
        <v>2.15</v>
      </c>
      <c r="F2" s="347">
        <v>1.0764</v>
      </c>
      <c r="G2" s="347">
        <v>-2.4089999999999998</v>
      </c>
      <c r="H2" s="311"/>
      <c r="I2" s="311"/>
      <c r="J2" s="311"/>
    </row>
    <row r="3" spans="1:16">
      <c r="A3" s="319" t="s">
        <v>1653</v>
      </c>
      <c r="B3" s="347">
        <v>0.71330000000000005</v>
      </c>
      <c r="C3" s="347">
        <v>0.92600000000000005</v>
      </c>
      <c r="D3" s="348"/>
      <c r="E3" s="347">
        <v>0.6089</v>
      </c>
      <c r="F3" s="348"/>
      <c r="G3" s="348"/>
      <c r="H3" s="311"/>
      <c r="I3" s="311"/>
      <c r="J3" s="311"/>
    </row>
    <row r="4" spans="1:16">
      <c r="A4" s="319" t="s">
        <v>1654</v>
      </c>
      <c r="B4" s="347">
        <v>0.23980000000000001</v>
      </c>
      <c r="C4" s="348"/>
      <c r="D4" s="347">
        <v>0.89910000000000001</v>
      </c>
      <c r="E4" s="348"/>
      <c r="F4" s="348"/>
      <c r="G4" s="348"/>
      <c r="H4" s="311"/>
      <c r="I4" s="311"/>
      <c r="J4" s="311"/>
    </row>
    <row r="5" spans="1:16">
      <c r="A5" s="319" t="s">
        <v>1655</v>
      </c>
      <c r="B5" s="348"/>
      <c r="C5" s="348"/>
      <c r="D5" s="347">
        <v>-0.74250000000000005</v>
      </c>
      <c r="E5" s="348"/>
      <c r="F5" s="348"/>
      <c r="G5" s="348"/>
      <c r="H5" s="311"/>
      <c r="I5" s="311"/>
      <c r="J5" s="311"/>
    </row>
    <row r="6" spans="1:16">
      <c r="A6" s="319" t="s">
        <v>1656</v>
      </c>
      <c r="B6" s="348"/>
      <c r="C6" s="348"/>
      <c r="D6" s="348"/>
      <c r="E6" s="347">
        <v>0.4239</v>
      </c>
      <c r="F6" s="347">
        <v>0.36049999999999999</v>
      </c>
      <c r="G6" s="348"/>
      <c r="H6" s="311"/>
      <c r="I6" s="311"/>
      <c r="J6" s="311"/>
    </row>
    <row r="7" spans="1:16">
      <c r="A7" s="319" t="s">
        <v>1657</v>
      </c>
      <c r="B7" s="348"/>
      <c r="C7" s="348"/>
      <c r="D7" s="348"/>
      <c r="E7" s="348"/>
      <c r="F7" s="347">
        <v>0.54890000000000005</v>
      </c>
      <c r="G7" s="348"/>
      <c r="H7" s="311"/>
      <c r="I7" s="311"/>
      <c r="J7" s="311"/>
    </row>
    <row r="8" spans="1:16">
      <c r="A8" s="319" t="s">
        <v>1658</v>
      </c>
      <c r="B8" s="348"/>
      <c r="C8" s="348"/>
      <c r="D8" s="348"/>
      <c r="E8" s="348"/>
      <c r="F8" s="348"/>
      <c r="G8" s="347">
        <v>0.98699999999999999</v>
      </c>
      <c r="H8" s="311"/>
      <c r="I8" s="311"/>
      <c r="J8" s="311"/>
    </row>
    <row r="9" spans="1:16">
      <c r="A9" s="318"/>
      <c r="B9" s="318"/>
      <c r="C9" s="318"/>
      <c r="D9" s="318"/>
      <c r="E9" s="318"/>
      <c r="F9" s="318"/>
      <c r="G9" s="318"/>
      <c r="H9" s="311"/>
      <c r="I9" s="311"/>
      <c r="J9" s="311"/>
    </row>
    <row r="10" spans="1:16">
      <c r="A10" s="349" t="s">
        <v>1728</v>
      </c>
      <c r="B10" s="320">
        <v>0.95799999999999996</v>
      </c>
      <c r="C10" s="320">
        <v>0.92700000000000005</v>
      </c>
      <c r="D10" s="320">
        <v>0.84699999999999998</v>
      </c>
      <c r="E10" s="320">
        <v>0.85499999999999998</v>
      </c>
      <c r="F10" s="320">
        <v>0.75700000000000001</v>
      </c>
      <c r="G10" s="320">
        <v>0.996</v>
      </c>
      <c r="H10" s="311"/>
      <c r="I10" s="322"/>
      <c r="J10" s="322"/>
      <c r="K10" s="322"/>
      <c r="L10" s="322"/>
      <c r="M10" s="322"/>
      <c r="N10" s="322"/>
      <c r="O10" s="322"/>
      <c r="P10" s="322"/>
    </row>
    <row r="11" spans="1:16">
      <c r="A11" s="318"/>
      <c r="B11" s="318"/>
      <c r="C11" s="323"/>
      <c r="D11" s="318"/>
      <c r="E11" s="318"/>
      <c r="F11" s="318"/>
      <c r="G11" s="318"/>
      <c r="H11" s="311"/>
      <c r="I11" s="311"/>
      <c r="J11" s="311"/>
    </row>
    <row r="12" spans="1:16">
      <c r="A12" s="321" t="s">
        <v>1659</v>
      </c>
      <c r="B12" s="318"/>
      <c r="C12" s="323"/>
      <c r="D12" s="318"/>
      <c r="E12" s="318"/>
      <c r="F12" s="318"/>
      <c r="G12" s="318"/>
      <c r="H12" s="311"/>
      <c r="I12" s="311"/>
      <c r="J12" s="311"/>
    </row>
    <row r="13" spans="1:16">
      <c r="A13" s="322" t="s">
        <v>1660</v>
      </c>
      <c r="B13" s="322"/>
      <c r="C13" s="322"/>
      <c r="D13" s="322"/>
      <c r="E13" s="322"/>
      <c r="F13" s="322"/>
      <c r="G13" s="322"/>
      <c r="H13" s="322"/>
      <c r="I13" s="324"/>
      <c r="J13" s="324"/>
      <c r="K13" s="322"/>
      <c r="L13" s="322"/>
      <c r="M13" s="322"/>
      <c r="N13" s="322"/>
      <c r="O13" s="322"/>
    </row>
    <row r="14" spans="1:16">
      <c r="A14" s="322" t="s">
        <v>1661</v>
      </c>
      <c r="B14" s="322"/>
      <c r="C14" s="322"/>
      <c r="D14" s="322"/>
      <c r="E14" s="322"/>
      <c r="F14" s="322"/>
      <c r="G14" s="322"/>
      <c r="H14" s="322"/>
      <c r="I14" s="324"/>
      <c r="J14" s="324"/>
      <c r="K14" s="322"/>
      <c r="L14" s="322"/>
      <c r="M14" s="322"/>
      <c r="N14" s="322"/>
      <c r="O14" s="322"/>
    </row>
    <row r="15" spans="1:16">
      <c r="A15" s="322" t="s">
        <v>1662</v>
      </c>
      <c r="B15" s="322"/>
      <c r="C15" s="322"/>
      <c r="D15" s="322"/>
      <c r="E15" s="322"/>
      <c r="F15" s="322"/>
      <c r="G15" s="322"/>
      <c r="H15" s="322"/>
      <c r="I15" s="324"/>
      <c r="J15" s="324"/>
      <c r="K15" s="322"/>
      <c r="L15" s="322"/>
      <c r="M15" s="322"/>
      <c r="N15" s="322"/>
      <c r="O15" s="322"/>
    </row>
    <row r="16" spans="1:16">
      <c r="A16" s="322" t="s">
        <v>1663</v>
      </c>
      <c r="B16" s="322"/>
      <c r="C16" s="322"/>
      <c r="D16" s="324"/>
      <c r="E16" s="324"/>
      <c r="F16" s="324"/>
      <c r="G16" s="324"/>
      <c r="H16" s="324"/>
      <c r="I16" s="324"/>
      <c r="J16" s="324"/>
      <c r="K16" s="322"/>
      <c r="L16" s="322"/>
      <c r="M16" s="322"/>
      <c r="N16" s="322"/>
      <c r="O16" s="322"/>
    </row>
    <row r="17" spans="1:15">
      <c r="A17" s="322" t="s">
        <v>1664</v>
      </c>
      <c r="B17" s="322"/>
      <c r="C17" s="322"/>
      <c r="D17" s="322"/>
      <c r="E17" s="322"/>
      <c r="F17" s="324"/>
      <c r="G17" s="324"/>
      <c r="H17" s="324"/>
      <c r="I17" s="324"/>
      <c r="J17" s="324"/>
      <c r="K17" s="322"/>
      <c r="L17" s="322"/>
      <c r="M17" s="322"/>
      <c r="N17" s="322"/>
      <c r="O17" s="322"/>
    </row>
    <row r="18" spans="1:15">
      <c r="A18" s="322" t="s">
        <v>1665</v>
      </c>
      <c r="B18" s="322"/>
      <c r="C18" s="322"/>
      <c r="D18" s="322"/>
      <c r="E18" s="322"/>
      <c r="F18" s="322"/>
      <c r="G18" s="324"/>
      <c r="H18" s="324"/>
      <c r="I18" s="324"/>
      <c r="J18" s="324"/>
      <c r="K18" s="322"/>
      <c r="L18" s="322"/>
      <c r="M18" s="322"/>
      <c r="N18" s="322"/>
      <c r="O18" s="322"/>
    </row>
    <row r="19" spans="1:15">
      <c r="A19" s="322" t="s">
        <v>1660</v>
      </c>
      <c r="B19" s="322"/>
      <c r="C19" s="322"/>
      <c r="D19" s="322"/>
      <c r="E19" s="322"/>
      <c r="F19" s="322"/>
      <c r="G19" s="322"/>
      <c r="H19" s="322"/>
      <c r="I19" s="324"/>
      <c r="J19" s="324"/>
      <c r="K19" s="322"/>
      <c r="L19" s="322"/>
      <c r="M19" s="322"/>
      <c r="N19" s="322"/>
      <c r="O19" s="322"/>
    </row>
    <row r="20" spans="1:15">
      <c r="A20" s="322" t="s">
        <v>1666</v>
      </c>
      <c r="B20" s="322"/>
      <c r="C20" s="322"/>
      <c r="D20" s="322"/>
      <c r="E20" s="322"/>
      <c r="F20" s="322"/>
      <c r="G20" s="322"/>
      <c r="H20" s="322"/>
      <c r="I20" s="324"/>
      <c r="J20" s="324"/>
      <c r="K20" s="322"/>
      <c r="L20" s="322"/>
      <c r="M20" s="322"/>
      <c r="N20" s="322"/>
      <c r="O20" s="322"/>
    </row>
    <row r="21" spans="1:15">
      <c r="A21" s="322" t="s">
        <v>1667</v>
      </c>
      <c r="B21" s="322"/>
      <c r="C21" s="322"/>
      <c r="D21" s="322"/>
      <c r="E21" s="322"/>
      <c r="F21" s="322"/>
      <c r="G21" s="324"/>
      <c r="H21" s="324"/>
      <c r="I21" s="324"/>
      <c r="J21" s="324"/>
      <c r="K21" s="322"/>
      <c r="L21" s="322"/>
      <c r="M21" s="322"/>
      <c r="N21" s="322"/>
      <c r="O21" s="322"/>
    </row>
    <row r="22" spans="1:15">
      <c r="A22" s="322" t="s">
        <v>1668</v>
      </c>
      <c r="B22" s="322"/>
      <c r="C22" s="322"/>
      <c r="D22" s="322"/>
      <c r="E22" s="322"/>
      <c r="F22" s="322"/>
      <c r="G22" s="324"/>
      <c r="H22" s="324"/>
      <c r="I22" s="324"/>
      <c r="J22" s="324"/>
      <c r="K22" s="322"/>
      <c r="L22" s="322"/>
      <c r="M22" s="322"/>
      <c r="N22" s="322"/>
      <c r="O22" s="322"/>
    </row>
    <row r="23" spans="1:15">
      <c r="A23" s="322" t="s">
        <v>1669</v>
      </c>
      <c r="B23" s="322"/>
      <c r="C23" s="322"/>
      <c r="D23" s="322"/>
      <c r="E23" s="322"/>
      <c r="F23" s="322"/>
      <c r="G23" s="324"/>
      <c r="H23" s="324"/>
      <c r="I23" s="324"/>
      <c r="J23" s="324"/>
      <c r="K23" s="322"/>
      <c r="L23" s="322"/>
      <c r="M23" s="322"/>
      <c r="N23" s="322"/>
      <c r="O23" s="322"/>
    </row>
    <row r="24" spans="1:15">
      <c r="A24" s="322" t="s">
        <v>1670</v>
      </c>
      <c r="B24" s="322"/>
      <c r="C24" s="322"/>
      <c r="D24" s="322"/>
      <c r="E24" s="322"/>
      <c r="F24" s="322"/>
      <c r="G24" s="324"/>
      <c r="H24" s="324"/>
      <c r="I24" s="324"/>
      <c r="J24" s="324"/>
      <c r="K24" s="322"/>
      <c r="L24" s="322"/>
      <c r="M24" s="322"/>
      <c r="N24" s="322"/>
      <c r="O24" s="322"/>
    </row>
    <row r="25" spans="1:15">
      <c r="A25" s="322" t="s">
        <v>1660</v>
      </c>
      <c r="B25" s="322"/>
      <c r="C25" s="322"/>
      <c r="D25" s="322"/>
      <c r="E25" s="322"/>
      <c r="F25" s="322"/>
      <c r="G25" s="322"/>
      <c r="H25" s="322"/>
      <c r="I25" s="324"/>
      <c r="J25" s="324"/>
      <c r="K25" s="322"/>
      <c r="L25" s="322"/>
      <c r="M25" s="322"/>
      <c r="N25" s="322"/>
      <c r="O25" s="322"/>
    </row>
    <row r="26" spans="1:15">
      <c r="A26" s="322" t="s">
        <v>1671</v>
      </c>
      <c r="B26" s="322"/>
      <c r="C26" s="322"/>
      <c r="D26" s="322"/>
      <c r="E26" s="322"/>
      <c r="F26" s="322"/>
      <c r="G26" s="322"/>
      <c r="H26" s="322"/>
      <c r="I26" s="324"/>
      <c r="J26" s="324"/>
      <c r="K26" s="322"/>
      <c r="L26" s="322"/>
      <c r="M26" s="322"/>
      <c r="N26" s="322"/>
      <c r="O26" s="322"/>
    </row>
    <row r="27" spans="1:15">
      <c r="A27" s="322" t="s">
        <v>1672</v>
      </c>
      <c r="B27" s="322"/>
      <c r="C27" s="322"/>
      <c r="D27" s="322"/>
      <c r="E27" s="324"/>
      <c r="F27" s="324"/>
      <c r="G27" s="324"/>
      <c r="H27" s="324"/>
      <c r="I27" s="324"/>
      <c r="J27" s="324"/>
      <c r="K27" s="322"/>
      <c r="L27" s="322"/>
      <c r="M27" s="322"/>
      <c r="N27" s="322"/>
      <c r="O27" s="322"/>
    </row>
    <row r="28" spans="1:15">
      <c r="A28" s="322" t="s">
        <v>1673</v>
      </c>
      <c r="B28" s="322"/>
      <c r="C28" s="322"/>
      <c r="D28" s="322"/>
      <c r="E28" s="324"/>
      <c r="F28" s="324"/>
      <c r="G28" s="324"/>
      <c r="H28" s="324"/>
      <c r="I28" s="324"/>
      <c r="J28" s="324"/>
      <c r="K28" s="322"/>
      <c r="L28" s="322"/>
      <c r="M28" s="322"/>
      <c r="N28" s="322"/>
      <c r="O28" s="322"/>
    </row>
    <row r="29" spans="1:15">
      <c r="A29" s="322" t="s">
        <v>1660</v>
      </c>
      <c r="B29" s="322"/>
      <c r="C29" s="322"/>
      <c r="D29" s="322"/>
      <c r="E29" s="322"/>
      <c r="F29" s="322"/>
      <c r="G29" s="322"/>
      <c r="H29" s="322"/>
      <c r="I29" s="324"/>
      <c r="J29" s="324"/>
      <c r="K29" s="322"/>
      <c r="L29" s="322"/>
      <c r="M29" s="322"/>
      <c r="N29" s="322"/>
      <c r="O29" s="322"/>
    </row>
    <row r="30" spans="1:15">
      <c r="A30" s="322" t="s">
        <v>1674</v>
      </c>
      <c r="B30" s="322"/>
      <c r="C30" s="322"/>
      <c r="D30" s="322"/>
      <c r="E30" s="322"/>
      <c r="F30" s="322"/>
      <c r="G30" s="322"/>
      <c r="H30" s="322"/>
      <c r="I30" s="324"/>
      <c r="J30" s="324"/>
      <c r="K30" s="322"/>
      <c r="L30" s="322"/>
      <c r="M30" s="322"/>
      <c r="N30" s="322"/>
      <c r="O30" s="322"/>
    </row>
    <row r="31" spans="1:15">
      <c r="A31" s="322" t="s">
        <v>1675</v>
      </c>
      <c r="B31" s="322"/>
      <c r="C31" s="324"/>
      <c r="D31" s="324"/>
      <c r="E31" s="324"/>
      <c r="F31" s="324"/>
      <c r="G31" s="324"/>
      <c r="H31" s="324"/>
      <c r="I31" s="324"/>
      <c r="J31" s="324"/>
      <c r="K31" s="322"/>
      <c r="L31" s="322"/>
      <c r="M31" s="322"/>
      <c r="N31" s="322"/>
      <c r="O31" s="322"/>
    </row>
    <row r="32" spans="1:15">
      <c r="A32" s="322" t="s">
        <v>1676</v>
      </c>
      <c r="B32" s="322"/>
      <c r="C32" s="322"/>
      <c r="D32" s="322"/>
      <c r="E32" s="322"/>
      <c r="F32" s="322"/>
      <c r="G32" s="324"/>
      <c r="H32" s="324"/>
      <c r="I32" s="324"/>
      <c r="J32" s="324"/>
      <c r="K32" s="322"/>
      <c r="L32" s="322"/>
      <c r="M32" s="322"/>
      <c r="N32" s="322"/>
      <c r="O32" s="322"/>
    </row>
    <row r="33" spans="1:15">
      <c r="A33" s="322" t="s">
        <v>1660</v>
      </c>
      <c r="B33" s="322"/>
      <c r="C33" s="322"/>
      <c r="D33" s="322"/>
      <c r="E33" s="322"/>
      <c r="F33" s="322"/>
      <c r="G33" s="322"/>
      <c r="H33" s="322"/>
      <c r="I33" s="324"/>
      <c r="J33" s="324"/>
      <c r="K33" s="322"/>
      <c r="L33" s="322"/>
      <c r="M33" s="322"/>
      <c r="N33" s="322"/>
      <c r="O33" s="322"/>
    </row>
    <row r="34" spans="1:15">
      <c r="A34" s="322" t="s">
        <v>1660</v>
      </c>
      <c r="B34" s="322"/>
      <c r="C34" s="322"/>
      <c r="D34" s="322"/>
      <c r="E34" s="322"/>
      <c r="F34" s="322"/>
      <c r="G34" s="322"/>
      <c r="H34" s="322"/>
      <c r="I34" s="324"/>
      <c r="J34" s="324"/>
      <c r="K34" s="322"/>
      <c r="L34" s="322"/>
      <c r="M34" s="322"/>
      <c r="N34" s="322"/>
      <c r="O34" s="322"/>
    </row>
    <row r="35" spans="1:15">
      <c r="A35" s="322" t="s">
        <v>1677</v>
      </c>
      <c r="B35" s="322"/>
      <c r="C35" s="322"/>
      <c r="D35" s="322"/>
      <c r="E35" s="322"/>
      <c r="F35" s="322"/>
      <c r="G35" s="322"/>
      <c r="H35" s="322"/>
      <c r="I35" s="324"/>
      <c r="J35" s="324"/>
      <c r="K35" s="322"/>
      <c r="L35" s="322"/>
      <c r="M35" s="322"/>
      <c r="N35" s="322"/>
      <c r="O35" s="322"/>
    </row>
    <row r="36" spans="1:15">
      <c r="A36" s="322" t="s">
        <v>1678</v>
      </c>
      <c r="B36" s="322"/>
      <c r="C36" s="322"/>
      <c r="D36" s="322"/>
      <c r="E36" s="322"/>
      <c r="F36" s="322"/>
      <c r="G36" s="322"/>
      <c r="H36" s="324"/>
      <c r="I36" s="324"/>
      <c r="J36" s="324"/>
      <c r="K36" s="322"/>
      <c r="L36" s="322"/>
      <c r="M36" s="322"/>
      <c r="N36" s="322"/>
      <c r="O36" s="322"/>
    </row>
    <row r="37" spans="1:15">
      <c r="A37" s="322" t="s">
        <v>1660</v>
      </c>
      <c r="B37" s="322"/>
      <c r="C37" s="322"/>
      <c r="D37" s="322"/>
      <c r="E37" s="322"/>
      <c r="F37" s="322"/>
      <c r="G37" s="322"/>
      <c r="H37" s="322"/>
      <c r="I37" s="324"/>
      <c r="J37" s="324"/>
      <c r="K37" s="322"/>
      <c r="L37" s="322"/>
      <c r="M37" s="322"/>
      <c r="N37" s="322"/>
      <c r="O37" s="322"/>
    </row>
    <row r="38" spans="1:15">
      <c r="A38" s="324"/>
      <c r="B38" s="324"/>
      <c r="C38" s="324"/>
      <c r="D38" s="324"/>
      <c r="E38" s="324"/>
      <c r="F38" s="324"/>
      <c r="G38" s="324"/>
      <c r="H38" s="324"/>
      <c r="I38" s="324"/>
      <c r="J38" s="324"/>
      <c r="K38" s="322"/>
      <c r="L38" s="322"/>
      <c r="M38" s="322"/>
      <c r="N38" s="322"/>
      <c r="O38" s="322"/>
    </row>
    <row r="39" spans="1:15">
      <c r="A39" s="322" t="s">
        <v>1660</v>
      </c>
      <c r="B39" s="322"/>
      <c r="C39" s="322"/>
      <c r="D39" s="322"/>
      <c r="E39" s="322"/>
      <c r="F39" s="322"/>
      <c r="G39" s="322"/>
      <c r="H39" s="322"/>
      <c r="I39" s="324"/>
      <c r="J39" s="324"/>
      <c r="K39" s="322"/>
      <c r="L39" s="322"/>
      <c r="M39" s="322"/>
      <c r="N39" s="322"/>
      <c r="O39" s="322"/>
    </row>
    <row r="40" spans="1:15">
      <c r="A40" s="322" t="s">
        <v>1661</v>
      </c>
      <c r="B40" s="322"/>
      <c r="C40" s="322"/>
      <c r="D40" s="322"/>
      <c r="E40" s="322"/>
      <c r="F40" s="322"/>
      <c r="G40" s="322"/>
      <c r="H40" s="322"/>
      <c r="I40" s="324"/>
      <c r="J40" s="324"/>
      <c r="K40" s="322"/>
      <c r="L40" s="322"/>
      <c r="M40" s="322"/>
      <c r="N40" s="322"/>
      <c r="O40" s="322"/>
    </row>
    <row r="41" spans="1:15">
      <c r="A41" s="322" t="s">
        <v>1679</v>
      </c>
      <c r="B41" s="322"/>
      <c r="C41" s="322"/>
      <c r="D41" s="322"/>
      <c r="E41" s="322"/>
      <c r="F41" s="322"/>
      <c r="G41" s="322"/>
      <c r="H41" s="322"/>
      <c r="I41" s="324"/>
      <c r="J41" s="324"/>
      <c r="K41" s="322"/>
      <c r="L41" s="322"/>
      <c r="M41" s="322"/>
      <c r="N41" s="322"/>
      <c r="O41" s="322"/>
    </row>
    <row r="42" spans="1:15">
      <c r="A42" s="322" t="s">
        <v>1663</v>
      </c>
      <c r="B42" s="322"/>
      <c r="C42" s="322"/>
      <c r="D42" s="324"/>
      <c r="E42" s="324"/>
      <c r="F42" s="324"/>
      <c r="G42" s="324"/>
      <c r="H42" s="324"/>
      <c r="I42" s="324"/>
      <c r="J42" s="324"/>
      <c r="K42" s="322"/>
      <c r="L42" s="322"/>
      <c r="M42" s="322"/>
      <c r="N42" s="322"/>
      <c r="O42" s="322"/>
    </row>
    <row r="43" spans="1:15">
      <c r="A43" s="322" t="s">
        <v>1664</v>
      </c>
      <c r="B43" s="322"/>
      <c r="C43" s="322"/>
      <c r="D43" s="322"/>
      <c r="E43" s="322"/>
      <c r="F43" s="324"/>
      <c r="G43" s="324"/>
      <c r="H43" s="324"/>
      <c r="I43" s="324"/>
      <c r="J43" s="324"/>
      <c r="K43" s="322"/>
      <c r="L43" s="322"/>
      <c r="M43" s="322"/>
      <c r="N43" s="322"/>
      <c r="O43" s="322"/>
    </row>
    <row r="44" spans="1:15">
      <c r="A44" s="322" t="s">
        <v>1665</v>
      </c>
      <c r="B44" s="322"/>
      <c r="C44" s="322"/>
      <c r="D44" s="322"/>
      <c r="E44" s="322"/>
      <c r="F44" s="322"/>
      <c r="G44" s="324"/>
      <c r="H44" s="324"/>
      <c r="I44" s="324"/>
      <c r="J44" s="324"/>
      <c r="K44" s="322"/>
      <c r="L44" s="322"/>
      <c r="M44" s="322"/>
      <c r="N44" s="322"/>
      <c r="O44" s="322"/>
    </row>
    <row r="45" spans="1:15">
      <c r="A45" s="322" t="s">
        <v>1660</v>
      </c>
      <c r="B45" s="322"/>
      <c r="C45" s="322"/>
      <c r="D45" s="322"/>
      <c r="E45" s="322"/>
      <c r="F45" s="322"/>
      <c r="G45" s="322"/>
      <c r="H45" s="322"/>
      <c r="I45" s="324"/>
      <c r="J45" s="324"/>
      <c r="K45" s="322"/>
      <c r="L45" s="322"/>
      <c r="M45" s="322"/>
      <c r="N45" s="322"/>
      <c r="O45" s="322"/>
    </row>
    <row r="46" spans="1:15">
      <c r="A46" s="322" t="s">
        <v>1666</v>
      </c>
      <c r="B46" s="322"/>
      <c r="C46" s="322"/>
      <c r="D46" s="322"/>
      <c r="E46" s="322"/>
      <c r="F46" s="322"/>
      <c r="G46" s="322"/>
      <c r="H46" s="322"/>
      <c r="I46" s="324"/>
      <c r="J46" s="324"/>
      <c r="K46" s="322"/>
      <c r="L46" s="322"/>
      <c r="M46" s="322"/>
      <c r="N46" s="322"/>
      <c r="O46" s="322"/>
    </row>
    <row r="47" spans="1:15">
      <c r="A47" s="322" t="s">
        <v>1667</v>
      </c>
      <c r="B47" s="322"/>
      <c r="C47" s="322"/>
      <c r="D47" s="322"/>
      <c r="E47" s="322"/>
      <c r="F47" s="322"/>
      <c r="G47" s="324"/>
      <c r="H47" s="324"/>
      <c r="I47" s="324"/>
      <c r="J47" s="324"/>
      <c r="K47" s="322"/>
      <c r="L47" s="322"/>
      <c r="M47" s="322"/>
      <c r="N47" s="322"/>
      <c r="O47" s="322"/>
    </row>
    <row r="48" spans="1:15">
      <c r="A48" s="322" t="s">
        <v>1680</v>
      </c>
      <c r="B48" s="322"/>
      <c r="C48" s="322"/>
      <c r="D48" s="322"/>
      <c r="E48" s="322"/>
      <c r="F48" s="322"/>
      <c r="G48" s="324"/>
      <c r="H48" s="324"/>
      <c r="I48" s="324"/>
      <c r="J48" s="324"/>
      <c r="K48" s="322"/>
      <c r="L48" s="322"/>
      <c r="M48" s="322"/>
      <c r="N48" s="322"/>
      <c r="O48" s="322"/>
    </row>
    <row r="49" spans="1:15">
      <c r="A49" s="322" t="s">
        <v>1681</v>
      </c>
      <c r="B49" s="322"/>
      <c r="C49" s="322"/>
      <c r="D49" s="322"/>
      <c r="E49" s="322"/>
      <c r="F49" s="322"/>
      <c r="G49" s="324"/>
      <c r="H49" s="324"/>
      <c r="I49" s="324"/>
      <c r="J49" s="324"/>
      <c r="K49" s="322"/>
      <c r="L49" s="322"/>
      <c r="M49" s="322"/>
      <c r="N49" s="322"/>
      <c r="O49" s="322"/>
    </row>
    <row r="50" spans="1:15">
      <c r="A50" s="322" t="s">
        <v>1660</v>
      </c>
      <c r="B50" s="322"/>
      <c r="C50" s="322"/>
      <c r="D50" s="322"/>
      <c r="E50" s="322"/>
      <c r="F50" s="322"/>
      <c r="G50" s="322"/>
      <c r="H50" s="322"/>
      <c r="I50" s="324"/>
      <c r="J50" s="324"/>
      <c r="K50" s="322"/>
      <c r="L50" s="322"/>
      <c r="M50" s="322"/>
      <c r="N50" s="322"/>
      <c r="O50" s="322"/>
    </row>
    <row r="51" spans="1:15">
      <c r="A51" s="322" t="s">
        <v>1671</v>
      </c>
      <c r="B51" s="322"/>
      <c r="C51" s="322"/>
      <c r="D51" s="322"/>
      <c r="E51" s="322"/>
      <c r="F51" s="322"/>
      <c r="G51" s="322"/>
      <c r="H51" s="322"/>
      <c r="I51" s="324"/>
      <c r="J51" s="324"/>
      <c r="K51" s="322"/>
      <c r="L51" s="322"/>
      <c r="M51" s="322"/>
      <c r="N51" s="322"/>
      <c r="O51" s="322"/>
    </row>
    <row r="52" spans="1:15">
      <c r="A52" s="322" t="s">
        <v>1682</v>
      </c>
      <c r="B52" s="322"/>
      <c r="C52" s="322"/>
      <c r="D52" s="322"/>
      <c r="E52" s="324"/>
      <c r="F52" s="324"/>
      <c r="G52" s="324"/>
      <c r="H52" s="324"/>
      <c r="I52" s="324"/>
      <c r="J52" s="324"/>
      <c r="K52" s="322"/>
      <c r="L52" s="322"/>
      <c r="M52" s="322"/>
      <c r="N52" s="322"/>
      <c r="O52" s="322"/>
    </row>
    <row r="53" spans="1:15">
      <c r="A53" s="322" t="s">
        <v>1683</v>
      </c>
      <c r="B53" s="322"/>
      <c r="C53" s="322"/>
      <c r="D53" s="322"/>
      <c r="E53" s="324"/>
      <c r="F53" s="324"/>
      <c r="G53" s="324"/>
      <c r="H53" s="324"/>
      <c r="I53" s="324"/>
      <c r="J53" s="324"/>
      <c r="K53" s="322"/>
      <c r="L53" s="322"/>
      <c r="M53" s="322"/>
      <c r="N53" s="322"/>
      <c r="O53" s="322"/>
    </row>
    <row r="54" spans="1:15">
      <c r="A54" s="322" t="s">
        <v>1660</v>
      </c>
      <c r="B54" s="322"/>
      <c r="C54" s="322"/>
      <c r="D54" s="322"/>
      <c r="E54" s="322"/>
      <c r="F54" s="322"/>
      <c r="G54" s="322"/>
      <c r="H54" s="322"/>
      <c r="I54" s="324"/>
      <c r="J54" s="324"/>
      <c r="K54" s="322"/>
      <c r="L54" s="322"/>
      <c r="M54" s="322"/>
      <c r="N54" s="322"/>
      <c r="O54" s="322"/>
    </row>
    <row r="55" spans="1:15">
      <c r="A55" s="322" t="s">
        <v>1674</v>
      </c>
      <c r="B55" s="322"/>
      <c r="C55" s="322"/>
      <c r="D55" s="322"/>
      <c r="E55" s="322"/>
      <c r="F55" s="322"/>
      <c r="G55" s="322"/>
      <c r="H55" s="322"/>
      <c r="I55" s="324"/>
      <c r="J55" s="324"/>
      <c r="K55" s="322"/>
      <c r="L55" s="322"/>
      <c r="M55" s="322"/>
      <c r="N55" s="322"/>
      <c r="O55" s="322"/>
    </row>
    <row r="56" spans="1:15">
      <c r="A56" s="322" t="s">
        <v>1684</v>
      </c>
      <c r="B56" s="322"/>
      <c r="C56" s="324"/>
      <c r="D56" s="324"/>
      <c r="E56" s="324"/>
      <c r="F56" s="324"/>
      <c r="G56" s="324"/>
      <c r="H56" s="324"/>
      <c r="I56" s="324"/>
      <c r="J56" s="324"/>
      <c r="K56" s="322"/>
      <c r="L56" s="322"/>
      <c r="M56" s="322"/>
      <c r="N56" s="322"/>
      <c r="O56" s="322"/>
    </row>
    <row r="57" spans="1:15">
      <c r="A57" s="322" t="s">
        <v>1685</v>
      </c>
      <c r="B57" s="322"/>
      <c r="C57" s="322"/>
      <c r="D57" s="322"/>
      <c r="E57" s="322"/>
      <c r="F57" s="322"/>
      <c r="G57" s="324"/>
      <c r="H57" s="324"/>
      <c r="I57" s="324"/>
      <c r="J57" s="324"/>
      <c r="K57" s="322"/>
      <c r="L57" s="322"/>
      <c r="M57" s="322"/>
      <c r="N57" s="322"/>
      <c r="O57" s="322"/>
    </row>
    <row r="58" spans="1:15">
      <c r="A58" s="322" t="s">
        <v>1660</v>
      </c>
      <c r="B58" s="322"/>
      <c r="C58" s="322"/>
      <c r="D58" s="322"/>
      <c r="E58" s="322"/>
      <c r="F58" s="322"/>
      <c r="G58" s="322"/>
      <c r="H58" s="322"/>
      <c r="I58" s="324"/>
      <c r="J58" s="324"/>
      <c r="K58" s="322"/>
      <c r="L58" s="322"/>
      <c r="M58" s="322"/>
      <c r="N58" s="322"/>
      <c r="O58" s="322"/>
    </row>
    <row r="59" spans="1:15">
      <c r="A59" s="346" t="s">
        <v>1660</v>
      </c>
      <c r="B59" s="337"/>
      <c r="C59" s="337"/>
      <c r="D59" s="337"/>
      <c r="E59" s="337"/>
      <c r="F59" s="337"/>
      <c r="G59" s="337"/>
      <c r="H59" s="337"/>
      <c r="I59" s="324"/>
      <c r="J59" s="324"/>
      <c r="K59" s="322"/>
      <c r="L59" s="322"/>
      <c r="M59" s="322"/>
      <c r="N59" s="322"/>
      <c r="O59" s="322"/>
    </row>
    <row r="60" spans="1:15">
      <c r="A60" s="322" t="s">
        <v>1686</v>
      </c>
      <c r="B60" s="322"/>
      <c r="C60" s="322"/>
      <c r="D60" s="322"/>
      <c r="E60" s="322"/>
      <c r="F60" s="322"/>
      <c r="G60" s="322"/>
      <c r="H60" s="322"/>
      <c r="I60" s="324"/>
      <c r="J60" s="324"/>
      <c r="K60" s="322"/>
      <c r="L60" s="322"/>
      <c r="M60" s="322"/>
      <c r="N60" s="322"/>
      <c r="O60" s="322"/>
    </row>
    <row r="61" spans="1:15">
      <c r="A61" s="322" t="s">
        <v>1687</v>
      </c>
      <c r="B61" s="322"/>
      <c r="C61" s="322"/>
      <c r="D61" s="322"/>
      <c r="E61" s="322"/>
      <c r="F61" s="324"/>
      <c r="G61" s="324"/>
      <c r="H61" s="324"/>
      <c r="I61" s="324"/>
      <c r="J61" s="324"/>
      <c r="K61" s="322"/>
      <c r="L61" s="322"/>
      <c r="M61" s="322"/>
      <c r="N61" s="322"/>
      <c r="O61" s="322"/>
    </row>
    <row r="62" spans="1:15">
      <c r="A62" s="322" t="s">
        <v>1660</v>
      </c>
      <c r="B62" s="322"/>
      <c r="C62" s="322"/>
      <c r="D62" s="322"/>
      <c r="E62" s="322"/>
      <c r="F62" s="322"/>
      <c r="G62" s="322"/>
      <c r="H62" s="322"/>
      <c r="I62" s="324"/>
      <c r="J62" s="324"/>
      <c r="K62" s="322"/>
      <c r="L62" s="322"/>
      <c r="M62" s="322"/>
      <c r="N62" s="322"/>
      <c r="O62" s="322"/>
    </row>
    <row r="63" spans="1:15">
      <c r="A63" s="324"/>
      <c r="B63" s="324"/>
      <c r="C63" s="324"/>
      <c r="D63" s="324"/>
      <c r="E63" s="324"/>
      <c r="F63" s="324"/>
      <c r="G63" s="324"/>
      <c r="H63" s="324"/>
      <c r="I63" s="324"/>
      <c r="J63" s="324"/>
      <c r="K63" s="322"/>
      <c r="L63" s="322"/>
      <c r="M63" s="322"/>
      <c r="N63" s="322"/>
      <c r="O63" s="322"/>
    </row>
    <row r="64" spans="1:15">
      <c r="A64" s="322" t="s">
        <v>1660</v>
      </c>
      <c r="B64" s="322"/>
      <c r="C64" s="322"/>
      <c r="D64" s="322"/>
      <c r="E64" s="322"/>
      <c r="F64" s="322"/>
      <c r="G64" s="322"/>
      <c r="H64" s="322"/>
      <c r="I64" s="324"/>
      <c r="J64" s="324"/>
      <c r="K64" s="322"/>
      <c r="L64" s="322"/>
      <c r="M64" s="322"/>
      <c r="N64" s="322"/>
      <c r="O64" s="322"/>
    </row>
    <row r="65" spans="1:15">
      <c r="A65" s="322" t="s">
        <v>1661</v>
      </c>
      <c r="B65" s="322"/>
      <c r="C65" s="322"/>
      <c r="D65" s="322"/>
      <c r="E65" s="322"/>
      <c r="F65" s="322"/>
      <c r="G65" s="322"/>
      <c r="H65" s="322"/>
      <c r="I65" s="324"/>
      <c r="J65" s="324"/>
      <c r="K65" s="322"/>
      <c r="L65" s="322"/>
      <c r="M65" s="322"/>
      <c r="N65" s="322"/>
      <c r="O65" s="322"/>
    </row>
    <row r="66" spans="1:15">
      <c r="A66" s="322" t="s">
        <v>1688</v>
      </c>
      <c r="B66" s="322"/>
      <c r="C66" s="322"/>
      <c r="D66" s="322"/>
      <c r="E66" s="322"/>
      <c r="F66" s="322"/>
      <c r="G66" s="322"/>
      <c r="H66" s="322"/>
      <c r="I66" s="324"/>
      <c r="J66" s="324"/>
      <c r="K66" s="322"/>
      <c r="L66" s="322"/>
      <c r="M66" s="322"/>
      <c r="N66" s="322"/>
      <c r="O66" s="322"/>
    </row>
    <row r="67" spans="1:15">
      <c r="A67" s="322" t="s">
        <v>1663</v>
      </c>
      <c r="B67" s="322"/>
      <c r="C67" s="322"/>
      <c r="D67" s="324"/>
      <c r="E67" s="324"/>
      <c r="F67" s="324"/>
      <c r="G67" s="324"/>
      <c r="H67" s="324"/>
      <c r="I67" s="324"/>
      <c r="J67" s="324"/>
      <c r="K67" s="322"/>
      <c r="L67" s="322"/>
      <c r="M67" s="322"/>
      <c r="N67" s="322"/>
      <c r="O67" s="322"/>
    </row>
    <row r="68" spans="1:15">
      <c r="A68" s="322" t="s">
        <v>1664</v>
      </c>
      <c r="B68" s="322"/>
      <c r="C68" s="322"/>
      <c r="D68" s="322"/>
      <c r="E68" s="322"/>
      <c r="F68" s="324"/>
      <c r="G68" s="324"/>
      <c r="H68" s="324"/>
      <c r="I68" s="324"/>
      <c r="J68" s="324"/>
      <c r="K68" s="322"/>
      <c r="L68" s="322"/>
      <c r="M68" s="322"/>
      <c r="N68" s="322"/>
      <c r="O68" s="322"/>
    </row>
    <row r="69" spans="1:15">
      <c r="A69" s="322" t="s">
        <v>1665</v>
      </c>
      <c r="B69" s="322"/>
      <c r="C69" s="322"/>
      <c r="D69" s="322"/>
      <c r="E69" s="322"/>
      <c r="F69" s="322"/>
      <c r="G69" s="324"/>
      <c r="H69" s="324"/>
      <c r="I69" s="324"/>
      <c r="J69" s="324"/>
      <c r="K69" s="322"/>
      <c r="L69" s="322"/>
      <c r="M69" s="322"/>
      <c r="N69" s="322"/>
      <c r="O69" s="322"/>
    </row>
    <row r="70" spans="1:15">
      <c r="A70" s="322" t="s">
        <v>1660</v>
      </c>
      <c r="B70" s="322"/>
      <c r="C70" s="322"/>
      <c r="D70" s="322"/>
      <c r="E70" s="322"/>
      <c r="F70" s="322"/>
      <c r="G70" s="322"/>
      <c r="H70" s="322"/>
      <c r="I70" s="324"/>
      <c r="J70" s="324"/>
      <c r="K70" s="322"/>
      <c r="L70" s="322"/>
      <c r="M70" s="322"/>
      <c r="N70" s="322"/>
      <c r="O70" s="322"/>
    </row>
    <row r="71" spans="1:15">
      <c r="A71" s="322" t="s">
        <v>1666</v>
      </c>
      <c r="B71" s="322"/>
      <c r="C71" s="322"/>
      <c r="D71" s="322"/>
      <c r="E71" s="322"/>
      <c r="F71" s="322"/>
      <c r="G71" s="322"/>
      <c r="H71" s="322"/>
      <c r="I71" s="324"/>
      <c r="J71" s="324"/>
      <c r="K71" s="322"/>
      <c r="L71" s="322"/>
      <c r="M71" s="322"/>
      <c r="N71" s="322"/>
      <c r="O71" s="322"/>
    </row>
    <row r="72" spans="1:15">
      <c r="A72" s="322" t="s">
        <v>1667</v>
      </c>
      <c r="B72" s="322"/>
      <c r="C72" s="322"/>
      <c r="D72" s="322"/>
      <c r="E72" s="322"/>
      <c r="F72" s="322"/>
      <c r="G72" s="324"/>
      <c r="H72" s="324"/>
      <c r="I72" s="324"/>
      <c r="J72" s="324"/>
      <c r="K72" s="322"/>
      <c r="L72" s="322"/>
      <c r="M72" s="322"/>
      <c r="N72" s="322"/>
      <c r="O72" s="322"/>
    </row>
    <row r="73" spans="1:15">
      <c r="A73" s="322" t="s">
        <v>1689</v>
      </c>
      <c r="B73" s="322"/>
      <c r="C73" s="322"/>
      <c r="D73" s="322"/>
      <c r="E73" s="322"/>
      <c r="F73" s="322"/>
      <c r="G73" s="324"/>
      <c r="H73" s="324"/>
      <c r="I73" s="324"/>
      <c r="J73" s="324"/>
      <c r="K73" s="322"/>
      <c r="L73" s="322"/>
      <c r="M73" s="322"/>
      <c r="N73" s="322"/>
      <c r="O73" s="322"/>
    </row>
    <row r="74" spans="1:15">
      <c r="A74" s="322" t="s">
        <v>1690</v>
      </c>
      <c r="B74" s="322"/>
      <c r="C74" s="322"/>
      <c r="D74" s="322"/>
      <c r="E74" s="322"/>
      <c r="F74" s="322"/>
      <c r="G74" s="324"/>
      <c r="H74" s="324"/>
      <c r="I74" s="324"/>
      <c r="J74" s="324"/>
      <c r="K74" s="322"/>
      <c r="L74" s="322"/>
      <c r="M74" s="322"/>
      <c r="N74" s="322"/>
      <c r="O74" s="322"/>
    </row>
    <row r="75" spans="1:15">
      <c r="A75" s="322" t="s">
        <v>1691</v>
      </c>
      <c r="B75" s="322"/>
      <c r="C75" s="322"/>
      <c r="D75" s="322"/>
      <c r="E75" s="322"/>
      <c r="F75" s="322"/>
      <c r="G75" s="324"/>
      <c r="H75" s="324"/>
      <c r="I75" s="324"/>
      <c r="J75" s="324"/>
      <c r="K75" s="322"/>
      <c r="L75" s="322"/>
      <c r="M75" s="322"/>
      <c r="N75" s="322"/>
      <c r="O75" s="322"/>
    </row>
    <row r="76" spans="1:15">
      <c r="A76" s="322" t="s">
        <v>1660</v>
      </c>
      <c r="B76" s="322"/>
      <c r="C76" s="322"/>
      <c r="D76" s="322"/>
      <c r="E76" s="322"/>
      <c r="F76" s="322"/>
      <c r="G76" s="322"/>
      <c r="H76" s="322"/>
      <c r="I76" s="324"/>
      <c r="J76" s="324"/>
      <c r="K76" s="322"/>
      <c r="L76" s="322"/>
      <c r="M76" s="322"/>
      <c r="N76" s="322"/>
      <c r="O76" s="322"/>
    </row>
    <row r="77" spans="1:15">
      <c r="A77" s="322" t="s">
        <v>1671</v>
      </c>
      <c r="B77" s="322"/>
      <c r="C77" s="322"/>
      <c r="D77" s="322"/>
      <c r="E77" s="322"/>
      <c r="F77" s="322"/>
      <c r="G77" s="322"/>
      <c r="H77" s="322"/>
      <c r="I77" s="324"/>
      <c r="J77" s="324"/>
      <c r="K77" s="322"/>
      <c r="L77" s="322"/>
      <c r="M77" s="322"/>
      <c r="N77" s="322"/>
      <c r="O77" s="322"/>
    </row>
    <row r="78" spans="1:15">
      <c r="A78" s="322" t="s">
        <v>1692</v>
      </c>
      <c r="B78" s="322"/>
      <c r="C78" s="322"/>
      <c r="D78" s="322"/>
      <c r="E78" s="324"/>
      <c r="F78" s="324"/>
      <c r="G78" s="324"/>
      <c r="H78" s="324"/>
      <c r="I78" s="324"/>
      <c r="J78" s="324"/>
      <c r="K78" s="322"/>
      <c r="L78" s="322"/>
      <c r="M78" s="322"/>
      <c r="N78" s="322"/>
      <c r="O78" s="322"/>
    </row>
    <row r="79" spans="1:15">
      <c r="A79" s="322" t="s">
        <v>1693</v>
      </c>
      <c r="B79" s="322"/>
      <c r="C79" s="322"/>
      <c r="D79" s="322"/>
      <c r="E79" s="324"/>
      <c r="F79" s="324"/>
      <c r="G79" s="324"/>
      <c r="H79" s="324"/>
      <c r="I79" s="324"/>
      <c r="J79" s="324"/>
      <c r="K79" s="322"/>
      <c r="L79" s="322"/>
      <c r="M79" s="322"/>
      <c r="N79" s="322"/>
      <c r="O79" s="322"/>
    </row>
    <row r="80" spans="1:15">
      <c r="A80" s="322" t="s">
        <v>1660</v>
      </c>
      <c r="B80" s="322"/>
      <c r="C80" s="322"/>
      <c r="D80" s="322"/>
      <c r="E80" s="322"/>
      <c r="F80" s="322"/>
      <c r="G80" s="322"/>
      <c r="H80" s="322"/>
      <c r="I80" s="324"/>
      <c r="J80" s="324"/>
      <c r="K80" s="322"/>
      <c r="L80" s="322"/>
      <c r="M80" s="322"/>
      <c r="N80" s="322"/>
      <c r="O80" s="322"/>
    </row>
    <row r="81" spans="1:15">
      <c r="A81" s="322" t="s">
        <v>1674</v>
      </c>
      <c r="B81" s="322"/>
      <c r="C81" s="322"/>
      <c r="D81" s="322"/>
      <c r="E81" s="322"/>
      <c r="F81" s="322"/>
      <c r="G81" s="322"/>
      <c r="H81" s="322"/>
      <c r="I81" s="324"/>
      <c r="J81" s="324"/>
      <c r="K81" s="322"/>
      <c r="L81" s="322"/>
      <c r="M81" s="322"/>
      <c r="N81" s="322"/>
      <c r="O81" s="322"/>
    </row>
    <row r="82" spans="1:15">
      <c r="A82" s="322" t="s">
        <v>1694</v>
      </c>
      <c r="B82" s="322"/>
      <c r="C82" s="324"/>
      <c r="D82" s="324"/>
      <c r="E82" s="324"/>
      <c r="F82" s="324"/>
      <c r="G82" s="324"/>
      <c r="H82" s="324"/>
      <c r="I82" s="324"/>
      <c r="J82" s="324"/>
      <c r="K82" s="322"/>
      <c r="L82" s="322"/>
      <c r="M82" s="322"/>
      <c r="N82" s="322"/>
      <c r="O82" s="322"/>
    </row>
    <row r="83" spans="1:15">
      <c r="A83" s="322" t="s">
        <v>1695</v>
      </c>
      <c r="B83" s="322"/>
      <c r="C83" s="322"/>
      <c r="D83" s="322"/>
      <c r="E83" s="322"/>
      <c r="F83" s="322"/>
      <c r="G83" s="324"/>
      <c r="H83" s="324"/>
      <c r="I83" s="324"/>
      <c r="J83" s="324"/>
      <c r="K83" s="322"/>
      <c r="L83" s="322"/>
      <c r="M83" s="322"/>
      <c r="N83" s="322"/>
      <c r="O83" s="322"/>
    </row>
    <row r="84" spans="1:15">
      <c r="A84" s="322" t="s">
        <v>1660</v>
      </c>
      <c r="B84" s="322"/>
      <c r="C84" s="322"/>
      <c r="D84" s="322"/>
      <c r="E84" s="322"/>
      <c r="F84" s="322"/>
      <c r="G84" s="322"/>
      <c r="H84" s="322"/>
      <c r="I84" s="324"/>
      <c r="J84" s="324"/>
      <c r="K84" s="322"/>
      <c r="L84" s="322"/>
      <c r="M84" s="322"/>
      <c r="N84" s="322"/>
      <c r="O84" s="322"/>
    </row>
    <row r="85" spans="1:15">
      <c r="A85" s="322" t="s">
        <v>1660</v>
      </c>
      <c r="B85" s="322"/>
      <c r="C85" s="322"/>
      <c r="D85" s="322"/>
      <c r="E85" s="322"/>
      <c r="F85" s="322"/>
      <c r="G85" s="322"/>
      <c r="H85" s="322"/>
      <c r="I85" s="324"/>
      <c r="J85" s="324"/>
      <c r="K85" s="322"/>
      <c r="L85" s="322"/>
      <c r="M85" s="322"/>
      <c r="N85" s="322"/>
      <c r="O85" s="322"/>
    </row>
    <row r="86" spans="1:15">
      <c r="A86" s="322" t="s">
        <v>1696</v>
      </c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</row>
    <row r="87" spans="1:15">
      <c r="A87" s="322" t="s">
        <v>1697</v>
      </c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</row>
    <row r="88" spans="1:15">
      <c r="A88" s="322" t="s">
        <v>1660</v>
      </c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</row>
    <row r="89" spans="1:1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</row>
    <row r="90" spans="1:15">
      <c r="A90" s="322" t="s">
        <v>1660</v>
      </c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</row>
    <row r="91" spans="1:15">
      <c r="A91" s="322" t="s">
        <v>1661</v>
      </c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</row>
    <row r="92" spans="1:15">
      <c r="A92" s="322" t="s">
        <v>1698</v>
      </c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</row>
    <row r="93" spans="1:15">
      <c r="A93" s="322" t="s">
        <v>1663</v>
      </c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</row>
    <row r="94" spans="1:15">
      <c r="A94" s="322" t="s">
        <v>1664</v>
      </c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</row>
    <row r="95" spans="1:15">
      <c r="A95" s="322" t="s">
        <v>1665</v>
      </c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</row>
    <row r="96" spans="1:15">
      <c r="A96" s="322" t="s">
        <v>1660</v>
      </c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</row>
    <row r="97" spans="1:15">
      <c r="A97" s="322" t="s">
        <v>1666</v>
      </c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</row>
    <row r="98" spans="1:15">
      <c r="A98" s="322" t="s">
        <v>1667</v>
      </c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</row>
    <row r="99" spans="1:15">
      <c r="A99" s="322" t="s">
        <v>1699</v>
      </c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  <c r="M99" s="322"/>
      <c r="N99" s="322"/>
      <c r="O99" s="322"/>
    </row>
    <row r="100" spans="1:15">
      <c r="A100" s="322" t="s">
        <v>1700</v>
      </c>
      <c r="B100" s="322"/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</row>
    <row r="101" spans="1:15">
      <c r="A101" s="322" t="s">
        <v>1701</v>
      </c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  <c r="M101" s="322"/>
      <c r="N101" s="322"/>
      <c r="O101" s="322"/>
    </row>
    <row r="102" spans="1:15">
      <c r="A102" s="322" t="s">
        <v>1660</v>
      </c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  <c r="O102" s="322"/>
    </row>
    <row r="103" spans="1:15">
      <c r="A103" s="322" t="s">
        <v>1671</v>
      </c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</row>
    <row r="104" spans="1:15">
      <c r="A104" s="322" t="s">
        <v>1702</v>
      </c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  <c r="O104" s="322"/>
    </row>
    <row r="105" spans="1:15">
      <c r="A105" s="322" t="s">
        <v>1703</v>
      </c>
      <c r="B105" s="322"/>
      <c r="C105" s="322"/>
      <c r="D105" s="322"/>
      <c r="E105" s="322"/>
      <c r="F105" s="322"/>
      <c r="G105" s="322"/>
      <c r="H105" s="322"/>
      <c r="I105" s="322"/>
      <c r="J105" s="322"/>
      <c r="K105" s="322"/>
      <c r="L105" s="322"/>
      <c r="M105" s="322"/>
      <c r="N105" s="322"/>
      <c r="O105" s="322"/>
    </row>
    <row r="106" spans="1:15">
      <c r="A106" s="322" t="s">
        <v>1660</v>
      </c>
      <c r="B106" s="322"/>
      <c r="C106" s="322"/>
      <c r="D106" s="322"/>
      <c r="E106" s="322"/>
      <c r="F106" s="322"/>
      <c r="G106" s="322"/>
      <c r="H106" s="322"/>
      <c r="I106" s="322"/>
      <c r="J106" s="322"/>
      <c r="K106" s="322"/>
      <c r="L106" s="322"/>
      <c r="M106" s="322"/>
      <c r="N106" s="322"/>
      <c r="O106" s="322"/>
    </row>
    <row r="107" spans="1:15">
      <c r="A107" s="322" t="s">
        <v>1674</v>
      </c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  <c r="M107" s="322"/>
      <c r="N107" s="322"/>
      <c r="O107" s="322"/>
    </row>
    <row r="108" spans="1:15">
      <c r="A108" s="322" t="s">
        <v>1704</v>
      </c>
      <c r="B108" s="322"/>
      <c r="C108" s="322"/>
      <c r="D108" s="322"/>
      <c r="E108" s="322"/>
      <c r="F108" s="322"/>
      <c r="G108" s="322"/>
      <c r="H108" s="322"/>
      <c r="I108" s="322"/>
      <c r="J108" s="322"/>
      <c r="K108" s="322"/>
      <c r="L108" s="322"/>
      <c r="M108" s="322"/>
      <c r="N108" s="322"/>
      <c r="O108" s="322"/>
    </row>
    <row r="109" spans="1:15">
      <c r="A109" s="322" t="s">
        <v>1705</v>
      </c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  <c r="M109" s="322"/>
      <c r="N109" s="322"/>
      <c r="O109" s="322"/>
    </row>
    <row r="110" spans="1:15">
      <c r="A110" s="322" t="s">
        <v>1660</v>
      </c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</row>
    <row r="111" spans="1:15">
      <c r="A111" s="322" t="s">
        <v>1660</v>
      </c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  <c r="O111" s="322"/>
    </row>
    <row r="112" spans="1:15">
      <c r="A112" s="322" t="s">
        <v>1706</v>
      </c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  <c r="O112" s="322"/>
    </row>
    <row r="113" spans="1:15">
      <c r="A113" s="322" t="s">
        <v>1707</v>
      </c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  <c r="M113" s="322"/>
      <c r="N113" s="322"/>
      <c r="O113" s="322"/>
    </row>
    <row r="114" spans="1:15">
      <c r="A114" s="322" t="s">
        <v>1660</v>
      </c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  <c r="O114" s="322"/>
    </row>
    <row r="115" spans="1:1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  <c r="M115" s="322"/>
      <c r="N115" s="322"/>
      <c r="O115" s="322"/>
    </row>
    <row r="116" spans="1:15">
      <c r="A116" s="322" t="s">
        <v>1660</v>
      </c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322"/>
    </row>
    <row r="117" spans="1:15">
      <c r="A117" s="322" t="s">
        <v>1661</v>
      </c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  <c r="M117" s="322"/>
      <c r="N117" s="322"/>
      <c r="O117" s="322"/>
    </row>
    <row r="118" spans="1:15">
      <c r="A118" s="322" t="s">
        <v>1708</v>
      </c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  <c r="O118" s="322"/>
    </row>
    <row r="119" spans="1:15">
      <c r="A119" s="322" t="s">
        <v>1663</v>
      </c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  <c r="M119" s="322"/>
      <c r="N119" s="322"/>
      <c r="O119" s="322"/>
    </row>
    <row r="120" spans="1:15">
      <c r="A120" s="322" t="s">
        <v>1664</v>
      </c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  <c r="O120" s="322"/>
    </row>
    <row r="121" spans="1:15">
      <c r="A121" s="322" t="s">
        <v>1665</v>
      </c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</row>
    <row r="122" spans="1:15">
      <c r="A122" s="322" t="s">
        <v>1660</v>
      </c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  <c r="O122" s="322"/>
    </row>
    <row r="123" spans="1:15">
      <c r="A123" s="322" t="s">
        <v>1666</v>
      </c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</row>
    <row r="124" spans="1:15">
      <c r="A124" s="322" t="s">
        <v>1667</v>
      </c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</row>
    <row r="125" spans="1:15">
      <c r="A125" s="322" t="s">
        <v>1709</v>
      </c>
      <c r="B125" s="322"/>
      <c r="C125" s="322"/>
      <c r="D125" s="322"/>
      <c r="E125" s="322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</row>
    <row r="126" spans="1:15">
      <c r="A126" s="322" t="s">
        <v>1710</v>
      </c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322"/>
      <c r="O126" s="322"/>
    </row>
    <row r="127" spans="1:15">
      <c r="A127" s="322" t="s">
        <v>1711</v>
      </c>
      <c r="B127" s="322"/>
      <c r="C127" s="322"/>
      <c r="D127" s="322"/>
      <c r="E127" s="322"/>
      <c r="F127" s="322"/>
      <c r="G127" s="322"/>
      <c r="H127" s="322"/>
      <c r="I127" s="322"/>
      <c r="J127" s="322"/>
      <c r="K127" s="322"/>
      <c r="L127" s="322"/>
      <c r="M127" s="322"/>
      <c r="N127" s="322"/>
      <c r="O127" s="322"/>
    </row>
    <row r="128" spans="1:15">
      <c r="A128" s="322" t="s">
        <v>1660</v>
      </c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  <c r="O128" s="322"/>
    </row>
    <row r="129" spans="1:15">
      <c r="A129" s="322" t="s">
        <v>1671</v>
      </c>
      <c r="B129" s="322"/>
      <c r="C129" s="322"/>
      <c r="D129" s="322"/>
      <c r="E129" s="322"/>
      <c r="F129" s="322"/>
      <c r="G129" s="322"/>
      <c r="H129" s="322"/>
      <c r="I129" s="322"/>
      <c r="J129" s="322"/>
      <c r="K129" s="322"/>
      <c r="L129" s="322"/>
      <c r="M129" s="322"/>
      <c r="N129" s="322"/>
      <c r="O129" s="322"/>
    </row>
    <row r="130" spans="1:15">
      <c r="A130" s="322" t="s">
        <v>1712</v>
      </c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  <c r="O130" s="322"/>
    </row>
    <row r="131" spans="1:15">
      <c r="A131" s="322" t="s">
        <v>1713</v>
      </c>
      <c r="B131" s="322"/>
      <c r="C131" s="322"/>
      <c r="D131" s="322"/>
      <c r="E131" s="322"/>
      <c r="F131" s="322"/>
      <c r="G131" s="322"/>
      <c r="H131" s="322"/>
      <c r="I131" s="322"/>
      <c r="J131" s="322"/>
      <c r="K131" s="322"/>
      <c r="L131" s="322"/>
      <c r="M131" s="322"/>
      <c r="N131" s="322"/>
      <c r="O131" s="322"/>
    </row>
    <row r="132" spans="1:15">
      <c r="A132" s="322" t="s">
        <v>1660</v>
      </c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  <c r="O132" s="322"/>
    </row>
    <row r="133" spans="1:15">
      <c r="A133" s="322" t="s">
        <v>1674</v>
      </c>
      <c r="B133" s="322"/>
      <c r="C133" s="322"/>
      <c r="D133" s="322"/>
      <c r="E133" s="322"/>
      <c r="F133" s="322"/>
      <c r="G133" s="322"/>
      <c r="H133" s="322"/>
      <c r="I133" s="322"/>
      <c r="J133" s="322"/>
      <c r="K133" s="322"/>
      <c r="L133" s="322"/>
      <c r="M133" s="322"/>
      <c r="N133" s="322"/>
      <c r="O133" s="322"/>
    </row>
    <row r="134" spans="1:15">
      <c r="A134" s="322" t="s">
        <v>1714</v>
      </c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  <c r="O134" s="322"/>
    </row>
    <row r="135" spans="1:15">
      <c r="A135" s="322" t="s">
        <v>1715</v>
      </c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</row>
    <row r="136" spans="1:15">
      <c r="A136" s="346" t="s">
        <v>1660</v>
      </c>
      <c r="B136" s="337"/>
      <c r="C136" s="337"/>
      <c r="D136" s="337"/>
      <c r="E136" s="337"/>
      <c r="F136" s="337"/>
      <c r="G136" s="337"/>
      <c r="H136" s="337"/>
      <c r="I136" s="322"/>
      <c r="J136" s="322"/>
      <c r="K136" s="322"/>
      <c r="L136" s="322"/>
      <c r="M136" s="322"/>
      <c r="N136" s="322"/>
      <c r="O136" s="322"/>
    </row>
    <row r="137" spans="1:15">
      <c r="A137" s="346" t="s">
        <v>1660</v>
      </c>
      <c r="B137" s="337"/>
      <c r="C137" s="337"/>
      <c r="D137" s="337"/>
      <c r="E137" s="337"/>
      <c r="F137" s="337"/>
      <c r="G137" s="337"/>
      <c r="H137" s="337"/>
      <c r="I137" s="322"/>
      <c r="J137" s="322"/>
      <c r="K137" s="322"/>
      <c r="L137" s="322"/>
      <c r="M137" s="322"/>
      <c r="N137" s="322"/>
      <c r="O137" s="322"/>
    </row>
    <row r="138" spans="1:15">
      <c r="A138" s="322" t="s">
        <v>1716</v>
      </c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  <c r="O138" s="322"/>
    </row>
    <row r="139" spans="1:15">
      <c r="A139" s="322" t="s">
        <v>1717</v>
      </c>
      <c r="B139" s="322"/>
      <c r="C139" s="322"/>
      <c r="D139" s="322"/>
      <c r="E139" s="322"/>
      <c r="F139" s="322"/>
      <c r="G139" s="322"/>
      <c r="H139" s="322"/>
      <c r="I139" s="322"/>
      <c r="J139" s="322"/>
      <c r="K139" s="322"/>
      <c r="L139" s="322"/>
      <c r="M139" s="322"/>
      <c r="N139" s="322"/>
      <c r="O139" s="322"/>
    </row>
    <row r="140" spans="1:15">
      <c r="A140" s="322" t="s">
        <v>1660</v>
      </c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  <c r="O140" s="322"/>
    </row>
    <row r="141" spans="1:15">
      <c r="A141" s="322"/>
      <c r="B141" s="322"/>
      <c r="C141" s="322"/>
      <c r="D141" s="322"/>
      <c r="E141" s="322"/>
      <c r="F141" s="322"/>
      <c r="G141" s="322"/>
      <c r="H141" s="322"/>
      <c r="I141" s="322"/>
      <c r="J141" s="322"/>
      <c r="K141" s="322"/>
      <c r="L141" s="322"/>
      <c r="M141" s="322"/>
      <c r="N141" s="322"/>
      <c r="O141" s="322"/>
    </row>
    <row r="142" spans="1:15">
      <c r="A142" s="322" t="s">
        <v>1660</v>
      </c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  <c r="O142" s="322"/>
    </row>
    <row r="143" spans="1:15">
      <c r="A143" s="322" t="s">
        <v>1661</v>
      </c>
      <c r="B143" s="322"/>
      <c r="C143" s="322"/>
      <c r="D143" s="322"/>
      <c r="E143" s="322"/>
      <c r="F143" s="322"/>
      <c r="G143" s="322"/>
      <c r="H143" s="322"/>
      <c r="I143" s="322"/>
      <c r="J143" s="322"/>
      <c r="K143" s="322"/>
      <c r="L143" s="322"/>
      <c r="M143" s="322"/>
      <c r="N143" s="322"/>
      <c r="O143" s="322"/>
    </row>
    <row r="144" spans="1:15">
      <c r="A144" s="322" t="s">
        <v>1718</v>
      </c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</row>
    <row r="145" spans="1:15">
      <c r="A145" s="322" t="s">
        <v>1663</v>
      </c>
      <c r="B145" s="322"/>
      <c r="C145" s="322"/>
      <c r="D145" s="322"/>
      <c r="E145" s="322"/>
      <c r="F145" s="322"/>
      <c r="G145" s="322"/>
      <c r="H145" s="322"/>
      <c r="I145" s="322"/>
      <c r="J145" s="322"/>
      <c r="K145" s="322"/>
      <c r="L145" s="322"/>
      <c r="M145" s="322"/>
      <c r="N145" s="322"/>
      <c r="O145" s="322"/>
    </row>
    <row r="146" spans="1:15">
      <c r="A146" s="322" t="s">
        <v>1664</v>
      </c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  <c r="O146" s="322"/>
    </row>
    <row r="147" spans="1:15">
      <c r="A147" s="322" t="s">
        <v>1719</v>
      </c>
      <c r="B147" s="322"/>
      <c r="C147" s="322"/>
      <c r="D147" s="322"/>
      <c r="E147" s="322"/>
      <c r="F147" s="322"/>
      <c r="G147" s="322"/>
      <c r="H147" s="322"/>
      <c r="I147" s="322"/>
      <c r="J147" s="322"/>
      <c r="K147" s="322"/>
      <c r="L147" s="322"/>
      <c r="M147" s="322"/>
      <c r="N147" s="322"/>
      <c r="O147" s="322"/>
    </row>
    <row r="148" spans="1:15">
      <c r="A148" s="322" t="s">
        <v>1660</v>
      </c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  <c r="O148" s="322"/>
    </row>
    <row r="149" spans="1:15">
      <c r="A149" s="322" t="s">
        <v>1666</v>
      </c>
      <c r="B149" s="322"/>
      <c r="C149" s="322"/>
      <c r="D149" s="322"/>
      <c r="E149" s="322"/>
      <c r="F149" s="322"/>
      <c r="G149" s="322"/>
      <c r="H149" s="322"/>
      <c r="I149" s="322"/>
      <c r="J149" s="322"/>
      <c r="K149" s="322"/>
      <c r="L149" s="322"/>
      <c r="M149" s="322"/>
      <c r="N149" s="322"/>
      <c r="O149" s="322"/>
    </row>
    <row r="150" spans="1:15">
      <c r="A150" s="322" t="s">
        <v>1667</v>
      </c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  <c r="O150" s="322"/>
    </row>
    <row r="151" spans="1:15">
      <c r="A151" s="322" t="s">
        <v>1720</v>
      </c>
      <c r="B151" s="322"/>
      <c r="C151" s="322"/>
      <c r="D151" s="322"/>
      <c r="E151" s="322"/>
      <c r="F151" s="322"/>
      <c r="G151" s="322"/>
      <c r="H151" s="322"/>
      <c r="I151" s="322"/>
      <c r="J151" s="322"/>
      <c r="K151" s="322"/>
      <c r="L151" s="322"/>
      <c r="M151" s="322"/>
      <c r="N151" s="322"/>
      <c r="O151" s="322"/>
    </row>
    <row r="152" spans="1:15">
      <c r="A152" s="322" t="s">
        <v>1721</v>
      </c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  <c r="O152" s="322"/>
    </row>
    <row r="153" spans="1:15">
      <c r="A153" s="322" t="s">
        <v>1660</v>
      </c>
      <c r="B153" s="322"/>
      <c r="C153" s="322"/>
      <c r="D153" s="322"/>
      <c r="E153" s="322"/>
      <c r="F153" s="322"/>
      <c r="G153" s="322"/>
      <c r="H153" s="322"/>
      <c r="I153" s="322"/>
      <c r="J153" s="322"/>
      <c r="K153" s="322"/>
      <c r="L153" s="322"/>
      <c r="M153" s="322"/>
      <c r="N153" s="322"/>
      <c r="O153" s="322"/>
    </row>
    <row r="154" spans="1:15">
      <c r="A154" s="322" t="s">
        <v>1671</v>
      </c>
      <c r="B154" s="322"/>
      <c r="C154" s="322"/>
      <c r="D154" s="322"/>
      <c r="E154" s="322"/>
      <c r="F154" s="322"/>
      <c r="G154" s="322"/>
      <c r="H154" s="322"/>
      <c r="I154" s="322"/>
      <c r="J154" s="322"/>
      <c r="K154" s="322"/>
      <c r="L154" s="322"/>
      <c r="M154" s="322"/>
      <c r="N154" s="322"/>
      <c r="O154" s="322"/>
    </row>
    <row r="155" spans="1:15">
      <c r="A155" s="322" t="s">
        <v>1722</v>
      </c>
      <c r="B155" s="322"/>
      <c r="C155" s="322"/>
      <c r="D155" s="322"/>
      <c r="E155" s="322"/>
      <c r="F155" s="322"/>
      <c r="G155" s="322"/>
      <c r="H155" s="322"/>
      <c r="I155" s="322"/>
      <c r="J155" s="322"/>
      <c r="K155" s="322"/>
      <c r="L155" s="322"/>
      <c r="M155" s="322"/>
      <c r="N155" s="322"/>
      <c r="O155" s="322"/>
    </row>
    <row r="156" spans="1:15">
      <c r="A156" s="322" t="s">
        <v>1723</v>
      </c>
      <c r="B156" s="322"/>
      <c r="C156" s="322"/>
      <c r="D156" s="322"/>
      <c r="E156" s="322"/>
      <c r="F156" s="322"/>
      <c r="G156" s="322"/>
      <c r="H156" s="322"/>
      <c r="I156" s="322"/>
      <c r="J156" s="322"/>
      <c r="K156" s="322"/>
      <c r="L156" s="322"/>
      <c r="M156" s="322"/>
      <c r="N156" s="322"/>
      <c r="O156" s="322"/>
    </row>
    <row r="157" spans="1:15">
      <c r="A157" s="322" t="s">
        <v>1660</v>
      </c>
      <c r="B157" s="322"/>
      <c r="C157" s="322"/>
      <c r="D157" s="322"/>
      <c r="E157" s="322"/>
      <c r="F157" s="322"/>
      <c r="G157" s="322"/>
      <c r="H157" s="322"/>
      <c r="I157" s="322"/>
      <c r="J157" s="322"/>
      <c r="K157" s="322"/>
      <c r="L157" s="322"/>
      <c r="M157" s="322"/>
      <c r="N157" s="322"/>
      <c r="O157" s="322"/>
    </row>
    <row r="158" spans="1:15">
      <c r="A158" s="322" t="s">
        <v>1674</v>
      </c>
      <c r="B158" s="322"/>
      <c r="C158" s="322"/>
      <c r="D158" s="322"/>
      <c r="E158" s="322"/>
      <c r="F158" s="322"/>
      <c r="G158" s="322"/>
      <c r="H158" s="322"/>
      <c r="I158" s="322"/>
      <c r="J158" s="322"/>
      <c r="K158" s="322"/>
      <c r="L158" s="322"/>
      <c r="M158" s="322"/>
      <c r="N158" s="322"/>
      <c r="O158" s="322"/>
    </row>
    <row r="159" spans="1:15">
      <c r="A159" s="322" t="s">
        <v>1724</v>
      </c>
      <c r="B159" s="322"/>
      <c r="C159" s="322"/>
      <c r="D159" s="322"/>
      <c r="E159" s="322"/>
      <c r="F159" s="322"/>
      <c r="G159" s="322"/>
      <c r="H159" s="322"/>
      <c r="I159" s="322"/>
      <c r="J159" s="322"/>
      <c r="K159" s="322"/>
      <c r="L159" s="322"/>
      <c r="M159" s="322"/>
      <c r="N159" s="322"/>
      <c r="O159" s="322"/>
    </row>
    <row r="160" spans="1:15">
      <c r="A160" s="322" t="s">
        <v>1725</v>
      </c>
      <c r="B160" s="322"/>
      <c r="C160" s="322"/>
      <c r="D160" s="322"/>
      <c r="E160" s="322"/>
      <c r="F160" s="322"/>
      <c r="G160" s="322"/>
      <c r="H160" s="322"/>
      <c r="I160" s="322"/>
      <c r="J160" s="322"/>
      <c r="K160" s="322"/>
      <c r="L160" s="322"/>
      <c r="M160" s="322"/>
      <c r="N160" s="322"/>
      <c r="O160" s="322"/>
    </row>
    <row r="161" spans="1:15">
      <c r="A161" s="322" t="s">
        <v>1660</v>
      </c>
      <c r="B161" s="322"/>
      <c r="C161" s="322"/>
      <c r="D161" s="322"/>
      <c r="E161" s="322"/>
      <c r="F161" s="322"/>
      <c r="G161" s="322"/>
      <c r="H161" s="322"/>
      <c r="I161" s="322"/>
      <c r="J161" s="322"/>
      <c r="K161" s="322"/>
      <c r="L161" s="322"/>
      <c r="M161" s="322"/>
      <c r="N161" s="322"/>
      <c r="O161" s="322"/>
    </row>
    <row r="162" spans="1:15">
      <c r="A162" s="322" t="s">
        <v>1660</v>
      </c>
      <c r="B162" s="322"/>
      <c r="C162" s="322"/>
      <c r="D162" s="322"/>
      <c r="E162" s="322"/>
      <c r="F162" s="322"/>
      <c r="G162" s="322"/>
      <c r="H162" s="322"/>
      <c r="I162" s="322"/>
      <c r="J162" s="322"/>
      <c r="K162" s="322"/>
      <c r="L162" s="322"/>
      <c r="M162" s="322"/>
      <c r="N162" s="322"/>
      <c r="O162" s="322"/>
    </row>
    <row r="163" spans="1:15">
      <c r="A163" s="322" t="s">
        <v>1726</v>
      </c>
      <c r="B163" s="322"/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</row>
    <row r="164" spans="1:15">
      <c r="A164" s="322" t="s">
        <v>1727</v>
      </c>
      <c r="B164" s="322"/>
      <c r="C164" s="322"/>
      <c r="D164" s="322"/>
      <c r="E164" s="322"/>
      <c r="F164" s="322"/>
      <c r="G164" s="322"/>
      <c r="H164" s="322"/>
      <c r="I164" s="322"/>
      <c r="J164" s="322"/>
      <c r="K164" s="322"/>
      <c r="L164" s="322"/>
      <c r="M164" s="322"/>
      <c r="N164" s="322"/>
      <c r="O164" s="322"/>
    </row>
    <row r="165" spans="1:15">
      <c r="A165" s="322" t="s">
        <v>1660</v>
      </c>
      <c r="B165" s="322"/>
      <c r="C165" s="322"/>
      <c r="D165" s="322"/>
      <c r="E165" s="322"/>
      <c r="F165" s="322"/>
      <c r="G165" s="322"/>
      <c r="H165" s="322"/>
      <c r="I165" s="322"/>
      <c r="J165" s="322"/>
      <c r="K165" s="322"/>
      <c r="L165" s="322"/>
      <c r="M165" s="322"/>
      <c r="N165" s="322"/>
      <c r="O165" s="322"/>
    </row>
    <row r="166" spans="1:15">
      <c r="A166" s="346"/>
      <c r="B166" s="337"/>
      <c r="C166" s="337"/>
      <c r="D166" s="337"/>
      <c r="E166" s="337"/>
      <c r="F166" s="337"/>
      <c r="G166" s="337"/>
      <c r="H166" s="337"/>
      <c r="I166" s="322"/>
      <c r="J166" s="322"/>
      <c r="K166" s="322"/>
      <c r="L166" s="322"/>
      <c r="M166" s="322"/>
      <c r="N166" s="322"/>
      <c r="O166" s="322"/>
    </row>
    <row r="167" spans="1:15">
      <c r="A167" s="322"/>
      <c r="B167" s="322"/>
      <c r="C167" s="322"/>
      <c r="D167" s="322"/>
      <c r="E167" s="322"/>
      <c r="F167" s="322"/>
      <c r="G167" s="322"/>
      <c r="H167" s="322"/>
      <c r="I167" s="322"/>
      <c r="J167" s="322"/>
      <c r="K167" s="322"/>
      <c r="L167" s="322"/>
      <c r="M167" s="322"/>
      <c r="N167" s="322"/>
      <c r="O167" s="322"/>
    </row>
    <row r="168" spans="1:15">
      <c r="A168" s="322"/>
      <c r="B168" s="322"/>
      <c r="C168" s="322"/>
      <c r="D168" s="322"/>
      <c r="E168" s="322"/>
      <c r="F168" s="322"/>
      <c r="G168" s="322"/>
      <c r="H168" s="322"/>
      <c r="I168" s="322"/>
      <c r="J168" s="322"/>
      <c r="K168" s="322"/>
      <c r="L168" s="322"/>
      <c r="M168" s="322"/>
      <c r="N168" s="322"/>
      <c r="O168" s="322"/>
    </row>
    <row r="169" spans="1:1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  <c r="O169" s="322"/>
    </row>
    <row r="170" spans="1:15">
      <c r="A170" s="322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</row>
    <row r="171" spans="1:15">
      <c r="A171" s="322"/>
      <c r="B171" s="322"/>
      <c r="C171" s="322"/>
      <c r="D171" s="322"/>
      <c r="E171" s="322"/>
      <c r="F171" s="322"/>
      <c r="G171" s="322"/>
      <c r="H171" s="322"/>
      <c r="I171" s="322"/>
      <c r="J171" s="322"/>
      <c r="K171" s="322"/>
      <c r="L171" s="322"/>
      <c r="M171" s="322"/>
      <c r="N171" s="322"/>
      <c r="O171" s="322"/>
    </row>
    <row r="172" spans="1:15">
      <c r="A172" s="322"/>
      <c r="B172" s="322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</row>
    <row r="173" spans="1:15">
      <c r="A173" s="322"/>
      <c r="B173" s="322"/>
      <c r="C173" s="322"/>
      <c r="D173" s="322"/>
      <c r="E173" s="322"/>
      <c r="F173" s="322"/>
      <c r="G173" s="322"/>
      <c r="H173" s="322"/>
      <c r="I173" s="322"/>
      <c r="J173" s="322"/>
      <c r="K173" s="322"/>
      <c r="L173" s="322"/>
      <c r="M173" s="322"/>
      <c r="N173" s="322"/>
      <c r="O173" s="322"/>
    </row>
    <row r="174" spans="1:15">
      <c r="A174" s="322"/>
      <c r="B174" s="322"/>
      <c r="C174" s="322"/>
      <c r="D174" s="322"/>
      <c r="E174" s="322"/>
      <c r="F174" s="322"/>
      <c r="G174" s="322"/>
      <c r="H174" s="322"/>
      <c r="I174" s="322"/>
      <c r="J174" s="322"/>
      <c r="K174" s="322"/>
      <c r="L174" s="322"/>
      <c r="M174" s="322"/>
      <c r="N174" s="322"/>
      <c r="O174" s="322"/>
    </row>
    <row r="175" spans="1:15">
      <c r="A175" s="322"/>
      <c r="B175" s="322"/>
      <c r="C175" s="322"/>
      <c r="D175" s="322"/>
      <c r="E175" s="322"/>
      <c r="F175" s="322"/>
      <c r="G175" s="322"/>
      <c r="H175" s="322"/>
      <c r="I175" s="322"/>
      <c r="J175" s="322"/>
      <c r="K175" s="322"/>
      <c r="L175" s="322"/>
      <c r="M175" s="322"/>
      <c r="N175" s="322"/>
      <c r="O175" s="322"/>
    </row>
    <row r="176" spans="1:15">
      <c r="A176" s="322"/>
      <c r="B176" s="322"/>
      <c r="C176" s="322"/>
      <c r="D176" s="322"/>
      <c r="E176" s="322"/>
      <c r="F176" s="322"/>
      <c r="G176" s="322"/>
      <c r="H176" s="322"/>
      <c r="I176" s="322"/>
      <c r="J176" s="322"/>
      <c r="K176" s="322"/>
      <c r="L176" s="322"/>
      <c r="M176" s="322"/>
      <c r="N176" s="322"/>
      <c r="O176" s="322"/>
    </row>
    <row r="177" spans="1:15">
      <c r="A177" s="322"/>
      <c r="B177" s="322"/>
      <c r="C177" s="322"/>
      <c r="D177" s="322"/>
      <c r="E177" s="322"/>
      <c r="F177" s="322"/>
      <c r="G177" s="322"/>
      <c r="H177" s="322"/>
      <c r="I177" s="322"/>
      <c r="J177" s="322"/>
      <c r="K177" s="322"/>
      <c r="L177" s="322"/>
      <c r="M177" s="322"/>
      <c r="N177" s="322"/>
      <c r="O177" s="322"/>
    </row>
    <row r="178" spans="1:15">
      <c r="A178" s="322"/>
      <c r="B178" s="322"/>
      <c r="C178" s="322"/>
      <c r="D178" s="322"/>
      <c r="E178" s="322"/>
      <c r="F178" s="322"/>
      <c r="G178" s="322"/>
      <c r="H178" s="322"/>
      <c r="I178" s="322"/>
      <c r="J178" s="322"/>
      <c r="K178" s="322"/>
      <c r="L178" s="322"/>
      <c r="M178" s="322"/>
      <c r="N178" s="322"/>
      <c r="O178" s="322"/>
    </row>
    <row r="179" spans="1:1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  <c r="O179" s="322"/>
    </row>
    <row r="180" spans="1:15">
      <c r="A180" s="322"/>
      <c r="B180" s="322"/>
      <c r="C180" s="322"/>
      <c r="D180" s="322"/>
      <c r="E180" s="322"/>
      <c r="F180" s="322"/>
      <c r="G180" s="322"/>
      <c r="H180" s="322"/>
      <c r="I180" s="322"/>
      <c r="J180" s="322"/>
      <c r="K180" s="322"/>
      <c r="L180" s="322"/>
      <c r="M180" s="322"/>
      <c r="N180" s="322"/>
      <c r="O180" s="322"/>
    </row>
    <row r="181" spans="1:15">
      <c r="A181" s="322"/>
      <c r="B181" s="322"/>
      <c r="C181" s="322"/>
      <c r="D181" s="322"/>
      <c r="E181" s="322"/>
      <c r="F181" s="322"/>
      <c r="G181" s="322"/>
      <c r="H181" s="322"/>
      <c r="I181" s="322"/>
      <c r="J181" s="322"/>
      <c r="K181" s="322"/>
      <c r="L181" s="322"/>
      <c r="M181" s="322"/>
      <c r="N181" s="322"/>
      <c r="O181" s="322"/>
    </row>
    <row r="182" spans="1:15">
      <c r="A182" s="322"/>
      <c r="B182" s="322"/>
      <c r="C182" s="322"/>
      <c r="D182" s="322"/>
      <c r="E182" s="322"/>
      <c r="F182" s="322"/>
      <c r="G182" s="322"/>
      <c r="H182" s="322"/>
      <c r="I182" s="322"/>
      <c r="J182" s="322"/>
      <c r="K182" s="322"/>
      <c r="L182" s="322"/>
      <c r="M182" s="322"/>
      <c r="N182" s="322"/>
      <c r="O182" s="322"/>
    </row>
  </sheetData>
  <mergeCells count="4">
    <mergeCell ref="A59:H59"/>
    <mergeCell ref="A136:H136"/>
    <mergeCell ref="A137:H137"/>
    <mergeCell ref="A166:H16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T42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4.453125" defaultRowHeight="15" customHeight="1"/>
  <cols>
    <col min="72" max="72" width="7.7265625" customWidth="1"/>
    <col min="84" max="84" width="7.453125" customWidth="1"/>
    <col min="85" max="89" width="10.08984375" customWidth="1"/>
    <col min="90" max="98" width="7.26953125" customWidth="1"/>
    <col min="102" max="103" width="7.26953125" customWidth="1"/>
    <col min="111" max="130" width="7.26953125" customWidth="1"/>
    <col min="137" max="145" width="10.08984375" customWidth="1"/>
    <col min="146" max="150" width="10.81640625" customWidth="1"/>
  </cols>
  <sheetData>
    <row r="1" spans="1:150" ht="54" customHeight="1">
      <c r="A1" s="61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62" t="s">
        <v>1086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868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62" t="s">
        <v>869</v>
      </c>
      <c r="BT1" s="67"/>
      <c r="CF1" s="27"/>
      <c r="CG1" s="28"/>
      <c r="CH1" s="28"/>
      <c r="CI1" s="28"/>
      <c r="CJ1" s="28"/>
      <c r="CK1" s="9" t="s">
        <v>70</v>
      </c>
      <c r="CL1" s="10">
        <f>'Indices y Outliers'!I7</f>
        <v>4282.2938352204419</v>
      </c>
      <c r="CM1" s="10">
        <f>'Indices y Outliers'!I35</f>
        <v>36.661927742305288</v>
      </c>
      <c r="CN1" s="10">
        <f>'Indices y Outliers'!I63</f>
        <v>768.54672968444265</v>
      </c>
      <c r="CO1" s="10">
        <f>'Indices y Outliers'!I91</f>
        <v>775.75864454419946</v>
      </c>
      <c r="CP1" s="11">
        <f>'Indices y Outliers'!I119</f>
        <v>0.35811048346347329</v>
      </c>
      <c r="CQ1" s="12"/>
      <c r="CR1" s="13"/>
      <c r="CT1" s="14"/>
      <c r="CU1" s="15" t="s">
        <v>71</v>
      </c>
      <c r="CW1" s="15" t="s">
        <v>72</v>
      </c>
      <c r="CX1" s="16">
        <v>0.4</v>
      </c>
      <c r="CY1" s="17"/>
      <c r="CZ1" s="15" t="s">
        <v>73</v>
      </c>
      <c r="DA1" s="15"/>
      <c r="DB1" s="18"/>
      <c r="DC1" s="18"/>
      <c r="DD1" s="15"/>
      <c r="DE1" s="15"/>
      <c r="DF1" s="18"/>
      <c r="DG1" s="14"/>
      <c r="DH1" s="19" t="s">
        <v>74</v>
      </c>
      <c r="DI1" s="15"/>
      <c r="DJ1" s="20" t="s">
        <v>75</v>
      </c>
      <c r="DK1" s="21">
        <v>45291</v>
      </c>
      <c r="DL1" s="20" t="s">
        <v>76</v>
      </c>
      <c r="DM1" s="21">
        <v>45473</v>
      </c>
      <c r="DN1" s="20" t="s">
        <v>77</v>
      </c>
      <c r="DO1" s="22">
        <f>VLOOKUP(MONTH(DM1)&amp;"_"&amp;YEAR(DM1),'CPI USA'!$T:$U,2,FALSE)</f>
        <v>314.17500000000001</v>
      </c>
      <c r="DP1" s="20" t="s">
        <v>78</v>
      </c>
      <c r="DQ1" s="22">
        <f>VLOOKUP(MONTH(DM1)&amp;"_"&amp;YEAR(DM1),'PPI USA'!$S:$T,2,FALSE)</f>
        <v>265.63200000000001</v>
      </c>
      <c r="DR1" s="19" t="s">
        <v>79</v>
      </c>
      <c r="DS1" s="16">
        <v>0.8</v>
      </c>
      <c r="DT1" s="19" t="s">
        <v>80</v>
      </c>
      <c r="DU1" s="16"/>
      <c r="DV1" s="16">
        <v>0.9</v>
      </c>
      <c r="DW1" s="7"/>
      <c r="DX1" s="7" t="s">
        <v>81</v>
      </c>
      <c r="DY1" s="12">
        <v>0.2</v>
      </c>
      <c r="DZ1" s="14"/>
      <c r="EA1" s="7"/>
      <c r="EB1" s="7" t="s">
        <v>82</v>
      </c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23"/>
      <c r="EQ1" s="23"/>
      <c r="ER1" s="23"/>
      <c r="ES1" s="23"/>
      <c r="ET1" s="32"/>
    </row>
    <row r="2" spans="1:150" ht="43.5" customHeight="1">
      <c r="A2" s="64"/>
      <c r="B2" s="26"/>
      <c r="C2" s="26"/>
      <c r="D2" s="26" t="s">
        <v>83</v>
      </c>
      <c r="E2" s="26" t="s">
        <v>84</v>
      </c>
      <c r="F2" s="26" t="s">
        <v>85</v>
      </c>
      <c r="G2" s="26" t="s">
        <v>86</v>
      </c>
      <c r="H2" s="26" t="s">
        <v>87</v>
      </c>
      <c r="I2" s="26" t="s">
        <v>88</v>
      </c>
      <c r="J2" s="26" t="s">
        <v>89</v>
      </c>
      <c r="K2" s="26" t="s">
        <v>90</v>
      </c>
      <c r="L2" s="26" t="s">
        <v>91</v>
      </c>
      <c r="M2" s="26" t="s">
        <v>92</v>
      </c>
      <c r="N2" s="26" t="s">
        <v>93</v>
      </c>
      <c r="O2" s="26" t="s">
        <v>94</v>
      </c>
      <c r="P2" s="26" t="s">
        <v>95</v>
      </c>
      <c r="Q2" s="26" t="s">
        <v>96</v>
      </c>
      <c r="R2" s="26" t="s">
        <v>97</v>
      </c>
      <c r="S2" s="26" t="s">
        <v>98</v>
      </c>
      <c r="T2" s="26" t="s">
        <v>99</v>
      </c>
      <c r="U2" s="26" t="s">
        <v>100</v>
      </c>
      <c r="V2" s="26" t="s">
        <v>101</v>
      </c>
      <c r="W2" s="26" t="s">
        <v>102</v>
      </c>
      <c r="X2" s="26" t="s">
        <v>1086</v>
      </c>
      <c r="Y2" s="26" t="s">
        <v>103</v>
      </c>
      <c r="Z2" s="26" t="s">
        <v>104</v>
      </c>
      <c r="AA2" s="26" t="s">
        <v>105</v>
      </c>
      <c r="AB2" s="26" t="s">
        <v>106</v>
      </c>
      <c r="AC2" s="26" t="s">
        <v>107</v>
      </c>
      <c r="AD2" s="26" t="s">
        <v>108</v>
      </c>
      <c r="AE2" s="26" t="s">
        <v>30</v>
      </c>
      <c r="AF2" s="26" t="s">
        <v>109</v>
      </c>
      <c r="AG2" s="26" t="s">
        <v>110</v>
      </c>
      <c r="AH2" s="26" t="s">
        <v>111</v>
      </c>
      <c r="AI2" s="26" t="s">
        <v>112</v>
      </c>
      <c r="AJ2" s="26" t="s">
        <v>113</v>
      </c>
      <c r="AK2" s="26" t="s">
        <v>114</v>
      </c>
      <c r="AL2" s="26" t="s">
        <v>115</v>
      </c>
      <c r="AM2" s="26" t="s">
        <v>116</v>
      </c>
      <c r="AN2" s="26" t="s">
        <v>117</v>
      </c>
      <c r="AO2" s="26" t="s">
        <v>118</v>
      </c>
      <c r="AP2" s="26" t="s">
        <v>119</v>
      </c>
      <c r="AQ2" s="26" t="s">
        <v>120</v>
      </c>
      <c r="AR2" s="26" t="s">
        <v>121</v>
      </c>
      <c r="AS2" s="26" t="s">
        <v>122</v>
      </c>
      <c r="AT2" s="26" t="s">
        <v>123</v>
      </c>
      <c r="AU2" s="26" t="s">
        <v>124</v>
      </c>
      <c r="AV2" s="26" t="s">
        <v>46</v>
      </c>
      <c r="AW2" s="26" t="s">
        <v>125</v>
      </c>
      <c r="AX2" s="26" t="s">
        <v>126</v>
      </c>
      <c r="AY2" s="26" t="s">
        <v>127</v>
      </c>
      <c r="AZ2" s="26" t="s">
        <v>128</v>
      </c>
      <c r="BA2" s="26" t="s">
        <v>129</v>
      </c>
      <c r="BB2" s="26" t="s">
        <v>130</v>
      </c>
      <c r="BC2" s="26" t="s">
        <v>131</v>
      </c>
      <c r="BD2" s="26" t="s">
        <v>132</v>
      </c>
      <c r="BE2" s="26" t="s">
        <v>133</v>
      </c>
      <c r="BF2" s="26" t="s">
        <v>134</v>
      </c>
      <c r="BG2" s="26" t="s">
        <v>135</v>
      </c>
      <c r="BH2" s="26" t="s">
        <v>136</v>
      </c>
      <c r="BI2" s="26" t="s">
        <v>137</v>
      </c>
      <c r="BJ2" s="26" t="s">
        <v>138</v>
      </c>
      <c r="BK2" s="26" t="s">
        <v>139</v>
      </c>
      <c r="BL2" s="26" t="s">
        <v>62</v>
      </c>
      <c r="BM2" s="26" t="s">
        <v>140</v>
      </c>
      <c r="BN2" s="26" t="s">
        <v>141</v>
      </c>
      <c r="BO2" s="26" t="s">
        <v>142</v>
      </c>
      <c r="BP2" s="26" t="s">
        <v>143</v>
      </c>
      <c r="BQ2" s="26" t="s">
        <v>144</v>
      </c>
      <c r="BR2" s="26" t="s">
        <v>145</v>
      </c>
      <c r="BS2" s="26" t="s">
        <v>146</v>
      </c>
      <c r="BT2" s="67"/>
      <c r="BU2" s="7" t="s">
        <v>147</v>
      </c>
      <c r="BV2" s="7" t="s">
        <v>45</v>
      </c>
      <c r="BW2" s="7" t="s">
        <v>148</v>
      </c>
      <c r="BX2" s="7" t="s">
        <v>149</v>
      </c>
      <c r="BY2" s="7" t="s">
        <v>150</v>
      </c>
      <c r="BZ2" s="7" t="s">
        <v>151</v>
      </c>
      <c r="CA2" s="7" t="s">
        <v>152</v>
      </c>
      <c r="CB2" s="7" t="s">
        <v>153</v>
      </c>
      <c r="CC2" s="7" t="s">
        <v>154</v>
      </c>
      <c r="CD2" s="7" t="s">
        <v>155</v>
      </c>
      <c r="CE2" s="7" t="s">
        <v>156</v>
      </c>
      <c r="CF2" s="27"/>
      <c r="CG2" s="28" t="s">
        <v>157</v>
      </c>
      <c r="CH2" s="28" t="s">
        <v>158</v>
      </c>
      <c r="CI2" s="28" t="s">
        <v>159</v>
      </c>
      <c r="CJ2" s="28" t="s">
        <v>160</v>
      </c>
      <c r="CK2" s="7" t="s">
        <v>161</v>
      </c>
      <c r="CL2" s="29" t="s">
        <v>162</v>
      </c>
      <c r="CM2" s="29" t="s">
        <v>162</v>
      </c>
      <c r="CN2" s="29" t="s">
        <v>162</v>
      </c>
      <c r="CO2" s="29" t="s">
        <v>162</v>
      </c>
      <c r="CP2" s="29" t="s">
        <v>162</v>
      </c>
      <c r="CQ2" s="29" t="s">
        <v>163</v>
      </c>
      <c r="CR2" s="13"/>
      <c r="CS2" s="7" t="s">
        <v>164</v>
      </c>
      <c r="CT2" s="30"/>
      <c r="CU2" s="6" t="s">
        <v>165</v>
      </c>
      <c r="CV2" s="6" t="s">
        <v>166</v>
      </c>
      <c r="CW2" s="6" t="s">
        <v>167</v>
      </c>
      <c r="CX2" s="23" t="s">
        <v>168</v>
      </c>
      <c r="CY2" s="23" t="s">
        <v>169</v>
      </c>
      <c r="CZ2" s="6" t="s">
        <v>170</v>
      </c>
      <c r="DA2" s="6" t="s">
        <v>171</v>
      </c>
      <c r="DB2" s="6" t="s">
        <v>172</v>
      </c>
      <c r="DC2" s="6" t="s">
        <v>173</v>
      </c>
      <c r="DD2" s="6" t="s">
        <v>174</v>
      </c>
      <c r="DE2" s="6" t="s">
        <v>175</v>
      </c>
      <c r="DF2" s="6" t="s">
        <v>176</v>
      </c>
      <c r="DG2" s="31"/>
      <c r="DH2" s="32" t="s">
        <v>177</v>
      </c>
      <c r="DI2" s="6" t="s">
        <v>178</v>
      </c>
      <c r="DJ2" s="32" t="s">
        <v>179</v>
      </c>
      <c r="DK2" s="32" t="s">
        <v>180</v>
      </c>
      <c r="DL2" s="32" t="s">
        <v>181</v>
      </c>
      <c r="DM2" s="32" t="s">
        <v>182</v>
      </c>
      <c r="DN2" s="33" t="s">
        <v>183</v>
      </c>
      <c r="DO2" s="34" t="s">
        <v>184</v>
      </c>
      <c r="DP2" s="32" t="s">
        <v>185</v>
      </c>
      <c r="DQ2" s="33" t="s">
        <v>186</v>
      </c>
      <c r="DR2" s="32" t="s">
        <v>187</v>
      </c>
      <c r="DS2" s="32" t="s">
        <v>188</v>
      </c>
      <c r="DT2" s="35" t="s">
        <v>189</v>
      </c>
      <c r="DU2" s="32" t="s">
        <v>190</v>
      </c>
      <c r="DV2" s="32" t="s">
        <v>191</v>
      </c>
      <c r="DW2" s="32" t="s">
        <v>192</v>
      </c>
      <c r="DX2" s="32" t="s">
        <v>193</v>
      </c>
      <c r="DY2" s="36" t="s">
        <v>194</v>
      </c>
      <c r="DZ2" s="31"/>
      <c r="EA2" s="37" t="s">
        <v>0</v>
      </c>
      <c r="EB2" s="37" t="s">
        <v>170</v>
      </c>
      <c r="EC2" s="37" t="s">
        <v>171</v>
      </c>
      <c r="ED2" s="37" t="s">
        <v>195</v>
      </c>
      <c r="EE2" s="37" t="s">
        <v>196</v>
      </c>
      <c r="EF2" s="37" t="s">
        <v>197</v>
      </c>
      <c r="EG2" s="38" t="s">
        <v>198</v>
      </c>
      <c r="EH2" s="38" t="s">
        <v>199</v>
      </c>
      <c r="EI2" s="38" t="s">
        <v>200</v>
      </c>
      <c r="EJ2" s="38" t="s">
        <v>201</v>
      </c>
      <c r="EK2" s="38" t="s">
        <v>202</v>
      </c>
      <c r="EL2" s="38" t="s">
        <v>203</v>
      </c>
      <c r="EM2" s="38" t="s">
        <v>204</v>
      </c>
      <c r="EN2" s="38" t="s">
        <v>205</v>
      </c>
      <c r="EO2" s="38" t="s">
        <v>206</v>
      </c>
      <c r="EP2" s="68" t="s">
        <v>1087</v>
      </c>
      <c r="EQ2" s="39" t="s">
        <v>208</v>
      </c>
      <c r="ER2" s="39" t="s">
        <v>209</v>
      </c>
      <c r="ES2" s="39"/>
      <c r="ET2" s="39"/>
    </row>
    <row r="3" spans="1:150" ht="14.5">
      <c r="A3" s="7" t="s">
        <v>210</v>
      </c>
      <c r="B3" s="7" t="s">
        <v>211</v>
      </c>
      <c r="C3" s="32" t="s">
        <v>1088</v>
      </c>
      <c r="D3" s="42">
        <v>0</v>
      </c>
      <c r="E3" s="42">
        <v>0</v>
      </c>
      <c r="F3" s="42">
        <v>0</v>
      </c>
      <c r="G3" s="42">
        <v>0</v>
      </c>
      <c r="H3" s="42">
        <v>0</v>
      </c>
      <c r="I3" s="42">
        <v>0</v>
      </c>
      <c r="J3" s="42">
        <v>0</v>
      </c>
      <c r="K3" s="42">
        <v>0</v>
      </c>
      <c r="L3" s="42">
        <v>0</v>
      </c>
      <c r="M3" s="42">
        <v>0</v>
      </c>
      <c r="N3" s="42">
        <v>0</v>
      </c>
      <c r="O3" s="42">
        <v>0</v>
      </c>
      <c r="P3" s="42">
        <v>0</v>
      </c>
      <c r="Q3" s="42">
        <v>0</v>
      </c>
      <c r="R3" s="42">
        <v>0</v>
      </c>
      <c r="S3" s="42">
        <v>0</v>
      </c>
      <c r="T3" s="42">
        <v>0</v>
      </c>
      <c r="U3" s="42">
        <v>0</v>
      </c>
      <c r="V3" s="42">
        <v>0</v>
      </c>
      <c r="W3" s="42">
        <v>0</v>
      </c>
      <c r="X3" s="42">
        <f>IFERROR(VLOOKUP(A3,'Trans 21-23'!$A$2:$J$229,10,0),0)</f>
        <v>0</v>
      </c>
      <c r="Y3" s="42">
        <v>0</v>
      </c>
      <c r="Z3" s="42">
        <v>0</v>
      </c>
      <c r="AA3" s="42">
        <v>5600138</v>
      </c>
      <c r="AB3" s="42">
        <v>3309742</v>
      </c>
      <c r="AC3" s="42">
        <v>0</v>
      </c>
      <c r="AD3" s="42">
        <v>65410188</v>
      </c>
      <c r="AE3" s="42">
        <v>0</v>
      </c>
      <c r="AF3" s="42">
        <v>202696567</v>
      </c>
      <c r="AG3" s="42">
        <v>0</v>
      </c>
      <c r="AH3" s="42">
        <v>0</v>
      </c>
      <c r="AI3" s="42">
        <v>0</v>
      </c>
      <c r="AJ3" s="42">
        <v>0</v>
      </c>
      <c r="AK3" s="42">
        <v>0</v>
      </c>
      <c r="AL3" s="42">
        <v>0</v>
      </c>
      <c r="AM3" s="42">
        <v>0</v>
      </c>
      <c r="AN3" s="42">
        <v>0</v>
      </c>
      <c r="AO3" s="42">
        <v>0</v>
      </c>
      <c r="AP3" s="42">
        <v>0</v>
      </c>
      <c r="AQ3" s="42">
        <v>0</v>
      </c>
      <c r="AR3" s="42">
        <v>0</v>
      </c>
      <c r="AS3" s="42">
        <v>0</v>
      </c>
      <c r="AT3" s="42">
        <v>0</v>
      </c>
      <c r="AU3" s="42">
        <v>0</v>
      </c>
      <c r="AV3" s="42">
        <v>0</v>
      </c>
      <c r="AW3" s="42">
        <v>0</v>
      </c>
      <c r="AX3" s="42">
        <v>0</v>
      </c>
      <c r="AY3" s="42">
        <v>0</v>
      </c>
      <c r="AZ3" s="42">
        <v>0</v>
      </c>
      <c r="BA3" s="42">
        <v>0</v>
      </c>
      <c r="BB3" s="42">
        <v>0</v>
      </c>
      <c r="BC3" s="42">
        <v>467311699</v>
      </c>
      <c r="BD3" s="42">
        <v>15221276</v>
      </c>
      <c r="BE3" s="42">
        <v>0</v>
      </c>
      <c r="BF3" s="42">
        <v>0</v>
      </c>
      <c r="BG3" s="42">
        <v>0</v>
      </c>
      <c r="BH3" s="42">
        <v>0</v>
      </c>
      <c r="BI3" s="42">
        <v>7262454</v>
      </c>
      <c r="BJ3" s="42">
        <v>3025896</v>
      </c>
      <c r="BK3" s="42">
        <v>0</v>
      </c>
      <c r="BL3" s="42">
        <v>0</v>
      </c>
      <c r="BM3" s="42">
        <v>24476739</v>
      </c>
      <c r="BN3" s="42">
        <v>104324453</v>
      </c>
      <c r="BO3" s="42">
        <v>0</v>
      </c>
      <c r="BP3" s="42">
        <v>669561</v>
      </c>
      <c r="BQ3" s="42">
        <v>110894052</v>
      </c>
      <c r="BR3" s="42">
        <v>0</v>
      </c>
      <c r="BS3" s="42">
        <f>IFERROR(VLOOKUP(A3,'Trans 21-23'!$A$2:$J$229,9,0),0)</f>
        <v>0</v>
      </c>
      <c r="BT3" s="67"/>
      <c r="BU3" s="32">
        <f t="shared" ref="BU3:BU218" si="0">BB3</f>
        <v>0</v>
      </c>
      <c r="BV3" s="32">
        <f t="shared" ref="BV3:BV218" si="1">AU3</f>
        <v>0</v>
      </c>
      <c r="BW3" s="32">
        <f t="shared" ref="BW3:BW218" si="2">AG3</f>
        <v>0</v>
      </c>
      <c r="BX3" s="32">
        <f t="shared" ref="BX3:BX218" si="3">SUM(I3:W3)</f>
        <v>0</v>
      </c>
      <c r="BY3" s="32">
        <f t="shared" ref="BY3:BY218" si="4">SUM(Y3:AC3)</f>
        <v>8909880</v>
      </c>
      <c r="BZ3" s="32">
        <f t="shared" ref="BZ3:BZ218" si="5">AZ3</f>
        <v>0</v>
      </c>
      <c r="CA3" s="32">
        <f t="shared" ref="CA3:CA218" si="6">AD3</f>
        <v>65410188</v>
      </c>
      <c r="CB3" s="32">
        <f t="shared" ref="CB3:CB218" si="7">AH3</f>
        <v>0</v>
      </c>
      <c r="CC3" s="32">
        <f t="shared" ref="CC3:CC218" si="8">AQ3</f>
        <v>0</v>
      </c>
      <c r="CD3" s="41">
        <f t="shared" ref="CD3:CD59" si="9">IF(OR(BU3&lt;=0,BV3&lt;=0,BW3&lt;=0,BX3&lt;=0,BY3&lt;=0,BZ3&lt;=0,CA3&lt;=0,CB3&lt;=0,CC3&lt;=0,DH3="-"),0,1)</f>
        <v>0</v>
      </c>
      <c r="CE3" s="44">
        <f t="shared" ref="CE3:CE218" si="10">COUNTIF(D3:BS3,0)</f>
        <v>56</v>
      </c>
      <c r="CF3" s="27"/>
      <c r="CG3" s="28" t="str">
        <f t="shared" ref="CG3:CG218" si="11">IF(CD3=1,BU3/BV3/1000,"")</f>
        <v/>
      </c>
      <c r="CH3" s="28" t="str">
        <f t="shared" ref="CH3:CH218" si="12">IF(CD3=1,BV3*1000/BW3,"")</f>
        <v/>
      </c>
      <c r="CI3" s="28" t="str">
        <f t="shared" ref="CI3:CI218" si="13">IF(CD3=1,BX3/BW3,"")</f>
        <v/>
      </c>
      <c r="CJ3" s="28" t="str">
        <f t="shared" ref="CJ3:CJ218" si="14">IF(CD3=1,BZ3/BW3,"")</f>
        <v/>
      </c>
      <c r="CK3" s="23" t="str">
        <f t="shared" ref="CK3:CK218" si="15">IF(CD3=1,CB3/CC3,"")</f>
        <v/>
      </c>
      <c r="CL3" s="29" t="str">
        <f t="shared" ref="CL3:CL221" si="16">IF(AND(CG3&gt;$CL$1,CG3&lt;&gt;""),1,"")</f>
        <v/>
      </c>
      <c r="CM3" s="29" t="str">
        <f t="shared" ref="CM3:CM221" si="17">IF(AND(CH3&gt;$CM$1,CH3&lt;&gt;""),1,"")</f>
        <v/>
      </c>
      <c r="CN3" s="29" t="str">
        <f t="shared" ref="CN3:CN221" si="18">IF(AND(CI3&gt;$CN$1,CI3&lt;&gt;""),1,"")</f>
        <v/>
      </c>
      <c r="CO3" s="29" t="str">
        <f t="shared" ref="CO3:CO221" si="19">IF(AND(CJ3&gt;$CO$1,CJ3&lt;&gt;""),1,"")</f>
        <v/>
      </c>
      <c r="CP3" s="29" t="str">
        <f t="shared" ref="CP3:CP221" si="20">IF(AND(CK3&gt;$CP$1,CK3&lt;&gt;""),1,"")</f>
        <v/>
      </c>
      <c r="CQ3" s="29" t="str">
        <f t="shared" ref="CQ3:CQ221" si="21">IF(CD3=1,SUM(CL3:CP3),"")</f>
        <v/>
      </c>
      <c r="CR3" s="13"/>
      <c r="CS3" s="7" t="str">
        <f>VLOOKUP(A3,'Empresas 21-23'!$A$2:$M$228,13,0)</f>
        <v/>
      </c>
      <c r="CT3" s="30"/>
      <c r="CU3" s="6">
        <f t="shared" ref="CU3:CU218" si="22">BB3-AZ3-BA3+BS3-(1-$CX$1)*(AX3+AY3)</f>
        <v>0</v>
      </c>
      <c r="CV3" s="6">
        <f t="shared" ref="CV3:CV218" si="23">AZ3</f>
        <v>0</v>
      </c>
      <c r="CW3" s="6">
        <f t="shared" ref="CW3:CW218" si="24">BD3</f>
        <v>15221276</v>
      </c>
      <c r="CX3" s="23">
        <f t="shared" ref="CX3:CX4" si="25">CU3/(BC3-BD3)</f>
        <v>0</v>
      </c>
      <c r="CY3" s="23">
        <f t="shared" ref="CY3:CY4" si="26">CV3/(BC3-BD3)</f>
        <v>0</v>
      </c>
      <c r="CZ3" s="6">
        <f t="shared" ref="CZ3:CZ218" si="27">CU3+CW3*CX3</f>
        <v>0</v>
      </c>
      <c r="DA3" s="6">
        <f t="shared" ref="DA3:DA218" si="28">CV3+CW3*CY3</f>
        <v>0</v>
      </c>
      <c r="DB3" s="6">
        <f t="shared" ref="DB3:DB218" si="29">BX3</f>
        <v>0</v>
      </c>
      <c r="DC3" s="6">
        <f t="shared" ref="DC3:DC218" si="30">DB3+X3</f>
        <v>0</v>
      </c>
      <c r="DD3" s="6">
        <f t="shared" ref="DD3:DD218" si="31">BY3</f>
        <v>8909880</v>
      </c>
      <c r="DE3" s="6">
        <f t="shared" ref="DE3:DE218" si="32">AD3</f>
        <v>65410188</v>
      </c>
      <c r="DF3" s="6">
        <f t="shared" ref="DF3:DF124" si="33">DE3*(DC3+DD3)/(AF3-AD3-F3-H3-E3-D3)</f>
        <v>4245118.3438776545</v>
      </c>
      <c r="DG3" s="30"/>
      <c r="DH3" s="32" t="str">
        <f>VLOOKUP(A3,'T_med_comp-USA'!$A$7:$Q$233,17,0)</f>
        <v>-</v>
      </c>
      <c r="DI3" s="6" t="str">
        <f t="shared" ref="DI3:DI218" si="34">IFERROR(MONTH($DK$1-365*DH3)&amp;"_"&amp;YEAR($DK$1-365*DH3),"")</f>
        <v/>
      </c>
      <c r="DJ3" s="32" t="str">
        <f>IF(DI3="","",VLOOKUP(DI3,'CPI USA'!$T:$U,2,FALSE))</f>
        <v/>
      </c>
      <c r="DK3" s="32" t="str">
        <f>IF(DI3="","",VLOOKUP(DI3,'PPI USA'!$S:$T,2,FALSE))</f>
        <v/>
      </c>
      <c r="DL3" s="32" t="str">
        <f>IF(DI3="","",VLOOKUP(DI3,'CPI USA'!$T:$V,3,FALSE))</f>
        <v/>
      </c>
      <c r="DM3" s="32" t="str">
        <f>IF(DI3="","",VLOOKUP(DI3,'CPI USA'!$T:$X,5,FALSE))</f>
        <v/>
      </c>
      <c r="DN3" s="32" t="str">
        <f t="shared" ref="DN3:DN218" si="35">IF(DJ3="","",(DL3*$DO$1/DJ3+(1-DL3)*AVERAGE($DO$1,$DQ$1)/AVERAGE(DJ3,DK3)))</f>
        <v/>
      </c>
      <c r="DO3" s="32" t="str">
        <f t="shared" ref="DO3:DO218" si="36">IF(DJ3="","",(DM3*$DO$1/DJ3+(1-DM3)*AVERAGE($DO$1,$DQ$1)/AVERAGE(DJ3,DK3)))</f>
        <v/>
      </c>
      <c r="DP3" s="32" t="str">
        <f t="shared" ref="DP3:DP218" si="37">IF(BX3=0,"",MAX($DY$1,MIN($DS$1,(BH3+IF(BN3=0,0,(BO3/BN3*BH3)))/BX3)))</f>
        <v/>
      </c>
      <c r="DQ3" s="32" t="str">
        <f>IF(DP3="","",DP3*$DO$1/'CPI USA'!$U$532+(1-DP3)*AVERAGE($DO$1,$DQ$1)/AVERAGE('CPI USA'!$U$532,'PPI USA'!$T$538))</f>
        <v/>
      </c>
      <c r="DR3" s="6">
        <f t="shared" ref="DR3:DR218" si="38">SUM(BI3:BK3)</f>
        <v>10288350</v>
      </c>
      <c r="DS3" s="32">
        <f t="shared" ref="DS3:DS218" si="39">IF(BY3=0,"",MAX($DY$1,MIN($DS$1,(DR3+IF(BN3=0,0,(BO3/BN3*DR3)))/BY3)))</f>
        <v>0.8</v>
      </c>
      <c r="DT3" s="28">
        <f>IF(DS3="","",DS3*$DO$1/'CPI USA'!$U$532+(1-DS3)*AVERAGE($DO$1,$DQ$1)/AVERAGE('CPI USA'!$U$532,'PPI USA'!$T$538))</f>
        <v>1.0288345106984851</v>
      </c>
      <c r="DU3" s="6" t="str">
        <f t="shared" ref="DU3:DU218" si="40">IF(BX3=0,"",(BM3+IF(BN3=0,0,(BO3/BN3*BM3))))</f>
        <v/>
      </c>
      <c r="DV3" s="6">
        <f t="shared" ref="DV3:DV155" si="41">IF(BQ3=0,"",BP3/(BQ3-BP3)*BM3)</f>
        <v>148684.46833271382</v>
      </c>
      <c r="DW3" s="6">
        <f t="shared" ref="DW3:DW218" si="42">IF(OR(DU3="",DV3=""),0,(DV3+DU3)/BN3*(BH3+DR3))</f>
        <v>0</v>
      </c>
      <c r="DX3" s="16" t="str">
        <f t="shared" ref="DX3:DX218" si="43">IF(OR(DA3=0,DF3="",DF3=0),"",MAX($DY$1,MIN($DV$1,DW3/DF3)))</f>
        <v/>
      </c>
      <c r="DY3" s="28" t="str">
        <f>IF(DX3="","",DX3*$DO$1/'CPI USA'!$U$532+(1-DX3)*AVERAGE($DO$1,$DQ$1)/AVERAGE('CPI USA'!$U$532,'PPI USA'!$T$538))</f>
        <v/>
      </c>
      <c r="DZ3" s="30"/>
      <c r="EA3" s="29" t="str">
        <f t="shared" ref="EA3:EA218" si="44">A3</f>
        <v>C000029</v>
      </c>
      <c r="EB3" s="29" t="str">
        <f t="shared" ref="EB3:EB218" si="45">IF(CD3=1,CZ3*DN3,"")</f>
        <v/>
      </c>
      <c r="EC3" s="29" t="str">
        <f t="shared" ref="EC3:EC218" si="46">IF(CD3=1,DA3*DO3,"")</f>
        <v/>
      </c>
      <c r="ED3" s="29" t="str">
        <f t="shared" ref="ED3:ED218" si="47">IF(CD3=1,DC3*DQ3,"")</f>
        <v/>
      </c>
      <c r="EE3" s="29" t="str">
        <f t="shared" ref="EE3:EE218" si="48">IF(CD3=1,DD3*DT3,"")</f>
        <v/>
      </c>
      <c r="EF3" s="29" t="str">
        <f t="shared" ref="EF3:EF218" si="49">IF(CD3=1,DF3*DY3,"")</f>
        <v/>
      </c>
      <c r="EG3" s="29" t="str">
        <f t="shared" ref="EG3:EG218" si="50">IF(CD3=1,BV3,"")</f>
        <v/>
      </c>
      <c r="EH3" s="29" t="str">
        <f t="shared" ref="EH3:EH218" si="51">IF(CD3=1,BW3,"")</f>
        <v/>
      </c>
      <c r="EI3" s="29" t="str">
        <f t="shared" ref="EI3:EI218" si="52">IF(CD3=1,CB3,"")</f>
        <v/>
      </c>
      <c r="EJ3" s="29" t="str">
        <f t="shared" ref="EJ3:EJ218" si="53">IF(CD3=1,CC3,"")</f>
        <v/>
      </c>
      <c r="EK3" s="29" t="str">
        <f t="shared" ref="EK3:EK218" si="54">IF(CD3=1,AS3+AH3-(AR3+EQ3),"")</f>
        <v/>
      </c>
      <c r="EL3" s="29" t="str">
        <f>IF(CD3=1,VLOOKUP(EA3,'EIA 2023'!$A$2:$J$213,4,0)*EH3,"")</f>
        <v/>
      </c>
      <c r="EM3" s="29" t="str">
        <f>IF(CD3=1,VLOOKUP(EA3,'EIA 2023'!$A$2:$J$213,7,0)*EH3,"")</f>
        <v/>
      </c>
      <c r="EN3" s="29" t="str">
        <f>IF(CD3=1,VLOOKUP(EA3,'EIA 2023'!$A$2:$J$213,10,0),"")</f>
        <v/>
      </c>
      <c r="EO3" s="28" t="str">
        <f>IF(CD3=1,VLOOKUP(EA3,'EIA 2023'!$A$2:$Z$213,26,0),"")</f>
        <v/>
      </c>
      <c r="EP3" s="23" t="str">
        <f t="shared" ref="EP3:EP218" si="55">IF(CD3=1,ER3/EK3,"")</f>
        <v/>
      </c>
      <c r="EQ3" s="32" t="str">
        <f t="shared" ref="EQ3:EQ218" si="56">IF(CD3=1,AR3/(1-1.5%)-AR3,"")</f>
        <v/>
      </c>
      <c r="ER3" s="32" t="str">
        <f t="shared" ref="ER3:ER218" si="57">IF(CD3=1,EI3-EQ3,"")</f>
        <v/>
      </c>
      <c r="ES3" s="32"/>
      <c r="ET3" s="32"/>
    </row>
    <row r="4" spans="1:150" ht="14.5">
      <c r="A4" s="7" t="s">
        <v>213</v>
      </c>
      <c r="B4" s="7" t="s">
        <v>214</v>
      </c>
      <c r="C4" s="32" t="s">
        <v>1089</v>
      </c>
      <c r="D4" s="42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f>IFERROR(VLOOKUP(A4,'Trans 21-23'!$A$2:$J$229,10,0),0)</f>
        <v>0</v>
      </c>
      <c r="Y4" s="42">
        <v>0</v>
      </c>
      <c r="Z4" s="42">
        <v>0</v>
      </c>
      <c r="AA4" s="42">
        <v>0</v>
      </c>
      <c r="AB4" s="42">
        <v>9373796</v>
      </c>
      <c r="AC4" s="42">
        <v>0</v>
      </c>
      <c r="AD4" s="42">
        <v>279219603</v>
      </c>
      <c r="AE4" s="42">
        <v>0</v>
      </c>
      <c r="AF4" s="42">
        <v>372201363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2">
        <v>0</v>
      </c>
      <c r="AR4" s="42">
        <v>0</v>
      </c>
      <c r="AS4" s="42">
        <v>0</v>
      </c>
      <c r="AT4" s="42">
        <v>0</v>
      </c>
      <c r="AU4" s="42">
        <v>0</v>
      </c>
      <c r="AV4" s="42">
        <v>0</v>
      </c>
      <c r="AW4" s="42">
        <v>0</v>
      </c>
      <c r="AX4" s="42">
        <v>0</v>
      </c>
      <c r="AY4" s="42">
        <v>0</v>
      </c>
      <c r="AZ4" s="42">
        <v>0</v>
      </c>
      <c r="BA4" s="42">
        <v>0</v>
      </c>
      <c r="BB4" s="42">
        <v>0</v>
      </c>
      <c r="BC4" s="42">
        <v>880115328</v>
      </c>
      <c r="BD4" s="42">
        <v>248736171</v>
      </c>
      <c r="BE4" s="42">
        <v>0</v>
      </c>
      <c r="BF4" s="42">
        <v>0</v>
      </c>
      <c r="BG4" s="42">
        <v>0</v>
      </c>
      <c r="BH4" s="42">
        <v>0</v>
      </c>
      <c r="BI4" s="42">
        <v>0</v>
      </c>
      <c r="BJ4" s="42">
        <v>6883607</v>
      </c>
      <c r="BK4" s="42">
        <v>0</v>
      </c>
      <c r="BL4" s="42">
        <v>0</v>
      </c>
      <c r="BM4" s="42">
        <v>84260059</v>
      </c>
      <c r="BN4" s="42">
        <v>146968838</v>
      </c>
      <c r="BO4" s="42">
        <v>0</v>
      </c>
      <c r="BP4" s="42">
        <v>0</v>
      </c>
      <c r="BQ4" s="42">
        <v>146968838</v>
      </c>
      <c r="BR4" s="42">
        <v>0</v>
      </c>
      <c r="BS4" s="42">
        <f>IFERROR(VLOOKUP(A4,'Trans 21-23'!$A$2:$J$229,9,0),0)</f>
        <v>0</v>
      </c>
      <c r="BT4" s="67"/>
      <c r="BU4" s="32">
        <f t="shared" si="0"/>
        <v>0</v>
      </c>
      <c r="BV4" s="32">
        <f t="shared" si="1"/>
        <v>0</v>
      </c>
      <c r="BW4" s="32">
        <f t="shared" si="2"/>
        <v>0</v>
      </c>
      <c r="BX4" s="32">
        <f t="shared" si="3"/>
        <v>0</v>
      </c>
      <c r="BY4" s="32">
        <f t="shared" si="4"/>
        <v>9373796</v>
      </c>
      <c r="BZ4" s="32">
        <f t="shared" si="5"/>
        <v>0</v>
      </c>
      <c r="CA4" s="32">
        <f t="shared" si="6"/>
        <v>279219603</v>
      </c>
      <c r="CB4" s="32">
        <f t="shared" si="7"/>
        <v>0</v>
      </c>
      <c r="CC4" s="32">
        <f t="shared" si="8"/>
        <v>0</v>
      </c>
      <c r="CD4" s="41">
        <f t="shared" si="9"/>
        <v>0</v>
      </c>
      <c r="CE4" s="44">
        <f t="shared" si="10"/>
        <v>59</v>
      </c>
      <c r="CF4" s="27"/>
      <c r="CG4" s="28" t="str">
        <f t="shared" si="11"/>
        <v/>
      </c>
      <c r="CH4" s="28" t="str">
        <f t="shared" si="12"/>
        <v/>
      </c>
      <c r="CI4" s="28" t="str">
        <f t="shared" si="13"/>
        <v/>
      </c>
      <c r="CJ4" s="28" t="str">
        <f t="shared" si="14"/>
        <v/>
      </c>
      <c r="CK4" s="23" t="str">
        <f t="shared" si="15"/>
        <v/>
      </c>
      <c r="CL4" s="29" t="str">
        <f t="shared" si="16"/>
        <v/>
      </c>
      <c r="CM4" s="29" t="str">
        <f t="shared" si="17"/>
        <v/>
      </c>
      <c r="CN4" s="29" t="str">
        <f t="shared" si="18"/>
        <v/>
      </c>
      <c r="CO4" s="29" t="str">
        <f t="shared" si="19"/>
        <v/>
      </c>
      <c r="CP4" s="29" t="str">
        <f t="shared" si="20"/>
        <v/>
      </c>
      <c r="CQ4" s="29" t="str">
        <f t="shared" si="21"/>
        <v/>
      </c>
      <c r="CR4" s="13"/>
      <c r="CS4" s="7" t="str">
        <f>VLOOKUP(A4,'Empresas 21-23'!$A$2:$M$228,13,0)</f>
        <v/>
      </c>
      <c r="CT4" s="30"/>
      <c r="CU4" s="6">
        <f t="shared" si="22"/>
        <v>0</v>
      </c>
      <c r="CV4" s="6">
        <f t="shared" si="23"/>
        <v>0</v>
      </c>
      <c r="CW4" s="6">
        <f t="shared" si="24"/>
        <v>248736171</v>
      </c>
      <c r="CX4" s="23">
        <f t="shared" si="25"/>
        <v>0</v>
      </c>
      <c r="CY4" s="23">
        <f t="shared" si="26"/>
        <v>0</v>
      </c>
      <c r="CZ4" s="6">
        <f t="shared" si="27"/>
        <v>0</v>
      </c>
      <c r="DA4" s="6">
        <f t="shared" si="28"/>
        <v>0</v>
      </c>
      <c r="DB4" s="6">
        <f t="shared" si="29"/>
        <v>0</v>
      </c>
      <c r="DC4" s="6">
        <f t="shared" si="30"/>
        <v>0</v>
      </c>
      <c r="DD4" s="6">
        <f t="shared" si="31"/>
        <v>9373796</v>
      </c>
      <c r="DE4" s="6">
        <f t="shared" si="32"/>
        <v>279219603</v>
      </c>
      <c r="DF4" s="6">
        <f t="shared" si="33"/>
        <v>28149043.400802352</v>
      </c>
      <c r="DG4" s="30"/>
      <c r="DH4" s="32" t="str">
        <f>VLOOKUP(A4,'T_med_comp-USA'!$A$7:$Q$233,17,0)</f>
        <v>-</v>
      </c>
      <c r="DI4" s="6" t="str">
        <f t="shared" si="34"/>
        <v/>
      </c>
      <c r="DJ4" s="32" t="str">
        <f>IF(DI4="","",VLOOKUP(DI4,'CPI USA'!$T:$U,2,FALSE))</f>
        <v/>
      </c>
      <c r="DK4" s="32" t="str">
        <f>IF(DI4="","",VLOOKUP(DI4,'PPI USA'!$S:$T,2,FALSE))</f>
        <v/>
      </c>
      <c r="DL4" s="32" t="str">
        <f>IF(DI4="","",VLOOKUP(DI4,'CPI USA'!$T:$V,3,FALSE))</f>
        <v/>
      </c>
      <c r="DM4" s="32" t="str">
        <f>IF(DI4="","",VLOOKUP(DI4,'CPI USA'!$T:$X,5,FALSE))</f>
        <v/>
      </c>
      <c r="DN4" s="32" t="str">
        <f t="shared" si="35"/>
        <v/>
      </c>
      <c r="DO4" s="32" t="str">
        <f t="shared" si="36"/>
        <v/>
      </c>
      <c r="DP4" s="32" t="str">
        <f t="shared" si="37"/>
        <v/>
      </c>
      <c r="DQ4" s="32" t="str">
        <f>IF(DP4="","",DP4*$DO$1/'CPI USA'!$U$532+(1-DP4)*AVERAGE($DO$1,$DQ$1)/AVERAGE('CPI USA'!$U$532,'PPI USA'!$T$538))</f>
        <v/>
      </c>
      <c r="DR4" s="6">
        <f t="shared" si="38"/>
        <v>6883607</v>
      </c>
      <c r="DS4" s="32">
        <f t="shared" si="39"/>
        <v>0.73434572290670719</v>
      </c>
      <c r="DT4" s="28">
        <f>IF(DS4="","",DS4*$DO$1/'CPI USA'!$U$532+(1-DS4)*AVERAGE($DO$1,$DQ$1)/AVERAGE('CPI USA'!$U$532,'PPI USA'!$T$538))</f>
        <v>1.0303497378743958</v>
      </c>
      <c r="DU4" s="6" t="str">
        <f t="shared" si="40"/>
        <v/>
      </c>
      <c r="DV4" s="6">
        <f t="shared" si="41"/>
        <v>0</v>
      </c>
      <c r="DW4" s="6">
        <f t="shared" si="42"/>
        <v>0</v>
      </c>
      <c r="DX4" s="16" t="str">
        <f t="shared" si="43"/>
        <v/>
      </c>
      <c r="DY4" s="28" t="str">
        <f>IF(DX4="","",DX4*$DO$1/'CPI USA'!$U$532+(1-DX4)*AVERAGE($DO$1,$DQ$1)/AVERAGE('CPI USA'!$U$532,'PPI USA'!$T$538))</f>
        <v/>
      </c>
      <c r="DZ4" s="30"/>
      <c r="EA4" s="29" t="str">
        <f t="shared" si="44"/>
        <v>C000030</v>
      </c>
      <c r="EB4" s="29" t="str">
        <f t="shared" si="45"/>
        <v/>
      </c>
      <c r="EC4" s="29" t="str">
        <f t="shared" si="46"/>
        <v/>
      </c>
      <c r="ED4" s="29" t="str">
        <f t="shared" si="47"/>
        <v/>
      </c>
      <c r="EE4" s="29" t="str">
        <f t="shared" si="48"/>
        <v/>
      </c>
      <c r="EF4" s="29" t="str">
        <f t="shared" si="49"/>
        <v/>
      </c>
      <c r="EG4" s="29" t="str">
        <f t="shared" si="50"/>
        <v/>
      </c>
      <c r="EH4" s="29" t="str">
        <f t="shared" si="51"/>
        <v/>
      </c>
      <c r="EI4" s="29" t="str">
        <f t="shared" si="52"/>
        <v/>
      </c>
      <c r="EJ4" s="29" t="str">
        <f t="shared" si="53"/>
        <v/>
      </c>
      <c r="EK4" s="29" t="str">
        <f t="shared" si="54"/>
        <v/>
      </c>
      <c r="EL4" s="29" t="str">
        <f>IF(CD4=1,VLOOKUP(EA4,'EIA 2023'!$A$2:$J$213,4,0)*EH4,"")</f>
        <v/>
      </c>
      <c r="EM4" s="29" t="str">
        <f>IF(CD4=1,VLOOKUP(EA4,'EIA 2023'!$A$2:$J$213,7,0)*EH4,"")</f>
        <v/>
      </c>
      <c r="EN4" s="29" t="str">
        <f>IF(CD4=1,VLOOKUP(EA4,'EIA 2023'!$A$2:$J$213,10,0),"")</f>
        <v/>
      </c>
      <c r="EO4" s="28" t="str">
        <f>IF(CD4=1,VLOOKUP(EA4,'EIA 2023'!$A$2:$Z$213,26,0),"")</f>
        <v/>
      </c>
      <c r="EP4" s="23" t="str">
        <f t="shared" si="55"/>
        <v/>
      </c>
      <c r="EQ4" s="32" t="str">
        <f t="shared" si="56"/>
        <v/>
      </c>
      <c r="ER4" s="32" t="str">
        <f t="shared" si="57"/>
        <v/>
      </c>
      <c r="ES4" s="32"/>
      <c r="ET4" s="32"/>
    </row>
    <row r="5" spans="1:150" ht="14.5">
      <c r="A5" s="7" t="s">
        <v>216</v>
      </c>
      <c r="B5" s="7" t="s">
        <v>217</v>
      </c>
      <c r="C5" s="32" t="s">
        <v>1090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f>IFERROR(VLOOKUP(A5,'Trans 21-23'!$A$2:$J$229,10,0),0)</f>
        <v>0</v>
      </c>
      <c r="Y5" s="42">
        <v>0</v>
      </c>
      <c r="Z5" s="42">
        <v>0</v>
      </c>
      <c r="AA5" s="42">
        <v>4776054</v>
      </c>
      <c r="AB5" s="42">
        <v>4908246</v>
      </c>
      <c r="AC5" s="42">
        <v>0</v>
      </c>
      <c r="AD5" s="42">
        <v>86205358</v>
      </c>
      <c r="AE5" s="42">
        <v>0</v>
      </c>
      <c r="AF5" s="42">
        <v>185376580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0</v>
      </c>
      <c r="BN5" s="42">
        <v>91181936</v>
      </c>
      <c r="BO5" s="42">
        <v>0</v>
      </c>
      <c r="BP5" s="42">
        <v>0</v>
      </c>
      <c r="BQ5" s="42">
        <v>91181936</v>
      </c>
      <c r="BR5" s="42">
        <v>0</v>
      </c>
      <c r="BS5" s="42">
        <f>IFERROR(VLOOKUP(A5,'Trans 21-23'!$A$2:$J$229,9,0),0)</f>
        <v>0</v>
      </c>
      <c r="BT5" s="67"/>
      <c r="BU5" s="32">
        <f t="shared" si="0"/>
        <v>0</v>
      </c>
      <c r="BV5" s="32">
        <f t="shared" si="1"/>
        <v>0</v>
      </c>
      <c r="BW5" s="32">
        <f t="shared" si="2"/>
        <v>0</v>
      </c>
      <c r="BX5" s="32">
        <f t="shared" si="3"/>
        <v>0</v>
      </c>
      <c r="BY5" s="32">
        <f t="shared" si="4"/>
        <v>9684300</v>
      </c>
      <c r="BZ5" s="32">
        <f t="shared" si="5"/>
        <v>0</v>
      </c>
      <c r="CA5" s="32">
        <f t="shared" si="6"/>
        <v>86205358</v>
      </c>
      <c r="CB5" s="32">
        <f t="shared" si="7"/>
        <v>0</v>
      </c>
      <c r="CC5" s="32">
        <f t="shared" si="8"/>
        <v>0</v>
      </c>
      <c r="CD5" s="41">
        <f t="shared" si="9"/>
        <v>0</v>
      </c>
      <c r="CE5" s="44">
        <f t="shared" si="10"/>
        <v>62</v>
      </c>
      <c r="CF5" s="27"/>
      <c r="CG5" s="28" t="str">
        <f t="shared" si="11"/>
        <v/>
      </c>
      <c r="CH5" s="28" t="str">
        <f t="shared" si="12"/>
        <v/>
      </c>
      <c r="CI5" s="28" t="str">
        <f t="shared" si="13"/>
        <v/>
      </c>
      <c r="CJ5" s="28" t="str">
        <f t="shared" si="14"/>
        <v/>
      </c>
      <c r="CK5" s="23" t="str">
        <f t="shared" si="15"/>
        <v/>
      </c>
      <c r="CL5" s="29" t="str">
        <f t="shared" si="16"/>
        <v/>
      </c>
      <c r="CM5" s="29" t="str">
        <f t="shared" si="17"/>
        <v/>
      </c>
      <c r="CN5" s="29" t="str">
        <f t="shared" si="18"/>
        <v/>
      </c>
      <c r="CO5" s="29" t="str">
        <f t="shared" si="19"/>
        <v/>
      </c>
      <c r="CP5" s="29" t="str">
        <f t="shared" si="20"/>
        <v/>
      </c>
      <c r="CQ5" s="29" t="str">
        <f t="shared" si="21"/>
        <v/>
      </c>
      <c r="CR5" s="13"/>
      <c r="CS5" s="7" t="str">
        <f>VLOOKUP(A5,'Empresas 21-23'!$A$2:$M$228,13,0)</f>
        <v/>
      </c>
      <c r="CT5" s="30"/>
      <c r="CU5" s="6">
        <f t="shared" si="22"/>
        <v>0</v>
      </c>
      <c r="CV5" s="6">
        <f t="shared" si="23"/>
        <v>0</v>
      </c>
      <c r="CW5" s="6">
        <f t="shared" si="24"/>
        <v>0</v>
      </c>
      <c r="CX5" s="23" t="str">
        <f>IFERROR(CU5/(BC5-BD5),"")</f>
        <v/>
      </c>
      <c r="CY5" s="23" t="str">
        <f>IFERROR(CV5/(BC5-BD5),"")</f>
        <v/>
      </c>
      <c r="CZ5" s="6" t="e">
        <f t="shared" si="27"/>
        <v>#VALUE!</v>
      </c>
      <c r="DA5" s="6" t="e">
        <f t="shared" si="28"/>
        <v>#VALUE!</v>
      </c>
      <c r="DB5" s="6">
        <f t="shared" si="29"/>
        <v>0</v>
      </c>
      <c r="DC5" s="6">
        <f t="shared" si="30"/>
        <v>0</v>
      </c>
      <c r="DD5" s="6">
        <f t="shared" si="31"/>
        <v>9684300</v>
      </c>
      <c r="DE5" s="6">
        <f t="shared" si="32"/>
        <v>86205358</v>
      </c>
      <c r="DF5" s="6">
        <f t="shared" si="33"/>
        <v>8418153.2872449625</v>
      </c>
      <c r="DG5" s="30"/>
      <c r="DH5" s="32" t="str">
        <f>VLOOKUP(A5,'T_med_comp-USA'!$A$7:$Q$233,17,0)</f>
        <v>-</v>
      </c>
      <c r="DI5" s="6" t="str">
        <f t="shared" si="34"/>
        <v/>
      </c>
      <c r="DJ5" s="32" t="str">
        <f>IF(DI5="","",VLOOKUP(DI5,'CPI USA'!$T:$U,2,FALSE))</f>
        <v/>
      </c>
      <c r="DK5" s="32" t="str">
        <f>IF(DI5="","",VLOOKUP(DI5,'PPI USA'!$S:$T,2,FALSE))</f>
        <v/>
      </c>
      <c r="DL5" s="32" t="str">
        <f>IF(DI5="","",VLOOKUP(DI5,'CPI USA'!$T:$V,3,FALSE))</f>
        <v/>
      </c>
      <c r="DM5" s="32" t="str">
        <f>IF(DI5="","",VLOOKUP(DI5,'CPI USA'!$T:$X,5,FALSE))</f>
        <v/>
      </c>
      <c r="DN5" s="32" t="str">
        <f t="shared" si="35"/>
        <v/>
      </c>
      <c r="DO5" s="32" t="str">
        <f t="shared" si="36"/>
        <v/>
      </c>
      <c r="DP5" s="32" t="str">
        <f t="shared" si="37"/>
        <v/>
      </c>
      <c r="DQ5" s="32" t="str">
        <f>IF(DP5="","",DP5*$DO$1/'CPI USA'!$U$532+(1-DP5)*AVERAGE($DO$1,$DQ$1)/AVERAGE('CPI USA'!$U$532,'PPI USA'!$T$538))</f>
        <v/>
      </c>
      <c r="DR5" s="6">
        <f t="shared" si="38"/>
        <v>0</v>
      </c>
      <c r="DS5" s="32">
        <f t="shared" si="39"/>
        <v>0.2</v>
      </c>
      <c r="DT5" s="28">
        <f>IF(DS5="","",DS5*$DO$1/'CPI USA'!$U$532+(1-DS5)*AVERAGE($DO$1,$DQ$1)/AVERAGE('CPI USA'!$U$532,'PPI USA'!$T$538))</f>
        <v>1.0426818386380585</v>
      </c>
      <c r="DU5" s="6" t="str">
        <f t="shared" si="40"/>
        <v/>
      </c>
      <c r="DV5" s="6">
        <f t="shared" si="41"/>
        <v>0</v>
      </c>
      <c r="DW5" s="6">
        <f t="shared" si="42"/>
        <v>0</v>
      </c>
      <c r="DX5" s="16" t="e">
        <f t="shared" si="43"/>
        <v>#VALUE!</v>
      </c>
      <c r="DY5" s="28" t="e">
        <f>IF(DX5="","",DX5*$DO$1/'CPI USA'!$U$532+(1-DX5)*AVERAGE($DO$1,$DQ$1)/AVERAGE('CPI USA'!$U$532,'PPI USA'!$T$538))</f>
        <v>#VALUE!</v>
      </c>
      <c r="DZ5" s="30"/>
      <c r="EA5" s="29" t="str">
        <f t="shared" si="44"/>
        <v>C000038</v>
      </c>
      <c r="EB5" s="29" t="str">
        <f t="shared" si="45"/>
        <v/>
      </c>
      <c r="EC5" s="29" t="str">
        <f t="shared" si="46"/>
        <v/>
      </c>
      <c r="ED5" s="29" t="str">
        <f t="shared" si="47"/>
        <v/>
      </c>
      <c r="EE5" s="29" t="str">
        <f t="shared" si="48"/>
        <v/>
      </c>
      <c r="EF5" s="29" t="str">
        <f t="shared" si="49"/>
        <v/>
      </c>
      <c r="EG5" s="29" t="str">
        <f t="shared" si="50"/>
        <v/>
      </c>
      <c r="EH5" s="29" t="str">
        <f t="shared" si="51"/>
        <v/>
      </c>
      <c r="EI5" s="29" t="str">
        <f t="shared" si="52"/>
        <v/>
      </c>
      <c r="EJ5" s="29" t="str">
        <f t="shared" si="53"/>
        <v/>
      </c>
      <c r="EK5" s="29" t="str">
        <f t="shared" si="54"/>
        <v/>
      </c>
      <c r="EL5" s="29" t="str">
        <f>IF(CD5=1,VLOOKUP(EA5,'EIA 2023'!$A$2:$J$213,4,0)*EH5,"")</f>
        <v/>
      </c>
      <c r="EM5" s="29" t="str">
        <f>IF(CD5=1,VLOOKUP(EA5,'EIA 2023'!$A$2:$J$213,7,0)*EH5,"")</f>
        <v/>
      </c>
      <c r="EN5" s="29" t="str">
        <f>IF(CD5=1,VLOOKUP(EA5,'EIA 2023'!$A$2:$J$213,10,0),"")</f>
        <v/>
      </c>
      <c r="EO5" s="28" t="str">
        <f>IF(CD5=1,VLOOKUP(EA5,'EIA 2023'!$A$2:$Z$213,26,0),"")</f>
        <v/>
      </c>
      <c r="EP5" s="23" t="str">
        <f t="shared" si="55"/>
        <v/>
      </c>
      <c r="EQ5" s="32" t="str">
        <f t="shared" si="56"/>
        <v/>
      </c>
      <c r="ER5" s="32" t="str">
        <f t="shared" si="57"/>
        <v/>
      </c>
      <c r="ES5" s="32"/>
      <c r="ET5" s="32"/>
    </row>
    <row r="6" spans="1:150" ht="14.5">
      <c r="A6" s="7" t="s">
        <v>219</v>
      </c>
      <c r="B6" s="7" t="s">
        <v>220</v>
      </c>
      <c r="C6" s="32" t="s">
        <v>1091</v>
      </c>
      <c r="D6" s="42">
        <v>0</v>
      </c>
      <c r="E6" s="42">
        <v>34602135</v>
      </c>
      <c r="F6" s="42">
        <v>177737579</v>
      </c>
      <c r="G6" s="42">
        <v>5959399618</v>
      </c>
      <c r="H6" s="42">
        <v>6018310903</v>
      </c>
      <c r="I6" s="42">
        <v>18541700</v>
      </c>
      <c r="J6" s="42">
        <v>41268201</v>
      </c>
      <c r="K6" s="42">
        <v>0</v>
      </c>
      <c r="L6" s="42">
        <v>135779037</v>
      </c>
      <c r="M6" s="42">
        <v>11799841</v>
      </c>
      <c r="N6" s="42">
        <v>28226560</v>
      </c>
      <c r="O6" s="42">
        <v>116473250</v>
      </c>
      <c r="P6" s="42">
        <v>5915106</v>
      </c>
      <c r="Q6" s="42">
        <v>1133010</v>
      </c>
      <c r="R6" s="42">
        <v>36905</v>
      </c>
      <c r="S6" s="42">
        <v>6761109</v>
      </c>
      <c r="T6" s="42">
        <v>484764901</v>
      </c>
      <c r="U6" s="42">
        <v>59466325</v>
      </c>
      <c r="V6" s="42">
        <v>4855701</v>
      </c>
      <c r="W6" s="42">
        <v>67407720</v>
      </c>
      <c r="X6" s="42">
        <f>IFERROR(VLOOKUP(A6,'Trans 21-23'!$A$2:$J$229,10,0),0)</f>
        <v>35620763</v>
      </c>
      <c r="Y6" s="42">
        <v>14787487</v>
      </c>
      <c r="Z6" s="42">
        <v>6301677</v>
      </c>
      <c r="AA6" s="42">
        <v>250393039</v>
      </c>
      <c r="AB6" s="42">
        <v>510541703</v>
      </c>
      <c r="AC6" s="42">
        <v>3601012</v>
      </c>
      <c r="AD6" s="42">
        <v>2149362249</v>
      </c>
      <c r="AE6" s="42">
        <v>0</v>
      </c>
      <c r="AF6" s="42">
        <v>10872991221</v>
      </c>
      <c r="AG6" s="42">
        <v>5263440</v>
      </c>
      <c r="AH6" s="42">
        <v>3888853</v>
      </c>
      <c r="AI6" s="42">
        <v>65656639</v>
      </c>
      <c r="AJ6" s="42">
        <v>125813</v>
      </c>
      <c r="AK6" s="42">
        <v>28499288</v>
      </c>
      <c r="AL6" s="42">
        <v>25884558</v>
      </c>
      <c r="AM6" s="42">
        <v>45854836</v>
      </c>
      <c r="AN6" s="42">
        <v>4706648</v>
      </c>
      <c r="AO6" s="42">
        <v>490307</v>
      </c>
      <c r="AP6" s="42">
        <v>111</v>
      </c>
      <c r="AQ6" s="42">
        <v>76991755</v>
      </c>
      <c r="AR6" s="42">
        <v>13149506</v>
      </c>
      <c r="AS6" s="42">
        <v>90141261</v>
      </c>
      <c r="AT6" s="42">
        <v>54301</v>
      </c>
      <c r="AU6" s="42">
        <v>20948</v>
      </c>
      <c r="AV6" s="42">
        <v>0</v>
      </c>
      <c r="AW6" s="42">
        <v>3397323910</v>
      </c>
      <c r="AX6" s="42">
        <v>3371845371</v>
      </c>
      <c r="AY6" s="42">
        <v>7598469689</v>
      </c>
      <c r="AZ6" s="42">
        <v>1166087582</v>
      </c>
      <c r="BA6" s="42">
        <v>926302862</v>
      </c>
      <c r="BB6" s="42">
        <v>34573462956</v>
      </c>
      <c r="BC6" s="42">
        <v>64134642585</v>
      </c>
      <c r="BD6" s="42">
        <v>3874397400</v>
      </c>
      <c r="BE6" s="42">
        <v>7771869747</v>
      </c>
      <c r="BF6" s="42">
        <v>1252232019</v>
      </c>
      <c r="BG6" s="42">
        <v>0</v>
      </c>
      <c r="BH6" s="42">
        <v>357272200</v>
      </c>
      <c r="BI6" s="42">
        <v>78337143</v>
      </c>
      <c r="BJ6" s="42">
        <v>77356282</v>
      </c>
      <c r="BK6" s="42">
        <v>2707485</v>
      </c>
      <c r="BL6" s="42">
        <v>0</v>
      </c>
      <c r="BM6" s="42">
        <v>225532443</v>
      </c>
      <c r="BN6" s="42">
        <v>917817764</v>
      </c>
      <c r="BO6" s="42">
        <v>0</v>
      </c>
      <c r="BP6" s="42">
        <v>32795303</v>
      </c>
      <c r="BQ6" s="42">
        <v>2118262584</v>
      </c>
      <c r="BR6" s="42">
        <v>994</v>
      </c>
      <c r="BS6" s="42">
        <f>IFERROR(VLOOKUP(A6,'Trans 21-23'!$A$2:$J$229,9,0),0)</f>
        <v>3507932738</v>
      </c>
      <c r="BT6" s="67"/>
      <c r="BU6" s="32">
        <f t="shared" si="0"/>
        <v>34573462956</v>
      </c>
      <c r="BV6" s="32">
        <f t="shared" si="1"/>
        <v>20948</v>
      </c>
      <c r="BW6" s="32">
        <f t="shared" si="2"/>
        <v>5263440</v>
      </c>
      <c r="BX6" s="32">
        <f t="shared" si="3"/>
        <v>982429366</v>
      </c>
      <c r="BY6" s="32">
        <f t="shared" si="4"/>
        <v>785624918</v>
      </c>
      <c r="BZ6" s="32">
        <f t="shared" si="5"/>
        <v>1166087582</v>
      </c>
      <c r="CA6" s="32">
        <f t="shared" si="6"/>
        <v>2149362249</v>
      </c>
      <c r="CB6" s="32">
        <f t="shared" si="7"/>
        <v>3888853</v>
      </c>
      <c r="CC6" s="32">
        <f t="shared" si="8"/>
        <v>76991755</v>
      </c>
      <c r="CD6" s="41">
        <f t="shared" si="9"/>
        <v>1</v>
      </c>
      <c r="CE6" s="44">
        <f t="shared" si="10"/>
        <v>7</v>
      </c>
      <c r="CF6" s="27"/>
      <c r="CG6" s="28">
        <f t="shared" si="11"/>
        <v>1650.4421880847815</v>
      </c>
      <c r="CH6" s="28">
        <f t="shared" si="12"/>
        <v>3.9799066770021128</v>
      </c>
      <c r="CI6" s="28">
        <f t="shared" si="13"/>
        <v>186.65157501557917</v>
      </c>
      <c r="CJ6" s="28">
        <f t="shared" si="14"/>
        <v>221.54476578055417</v>
      </c>
      <c r="CK6" s="23">
        <f t="shared" si="15"/>
        <v>5.0509992920670529E-2</v>
      </c>
      <c r="CL6" s="29" t="str">
        <f t="shared" si="16"/>
        <v/>
      </c>
      <c r="CM6" s="29" t="str">
        <f t="shared" si="17"/>
        <v/>
      </c>
      <c r="CN6" s="29" t="str">
        <f t="shared" si="18"/>
        <v/>
      </c>
      <c r="CO6" s="29" t="str">
        <f t="shared" si="19"/>
        <v/>
      </c>
      <c r="CP6" s="29" t="str">
        <f t="shared" si="20"/>
        <v/>
      </c>
      <c r="CQ6" s="29">
        <f t="shared" si="21"/>
        <v>0</v>
      </c>
      <c r="CR6" s="13"/>
      <c r="CS6" s="7">
        <f>VLOOKUP(A6,'Empresas 21-23'!$A$2:$M$228,13,0)</f>
        <v>1</v>
      </c>
      <c r="CT6" s="30"/>
      <c r="CU6" s="6">
        <f t="shared" si="22"/>
        <v>29406816214</v>
      </c>
      <c r="CV6" s="6">
        <f t="shared" si="23"/>
        <v>1166087582</v>
      </c>
      <c r="CW6" s="6">
        <f t="shared" si="24"/>
        <v>3874397400</v>
      </c>
      <c r="CX6" s="23">
        <f t="shared" ref="CX6:CX45" si="58">CU6/(BC6-BD6)</f>
        <v>0.48799695593206704</v>
      </c>
      <c r="CY6" s="23">
        <f t="shared" ref="CY6:CY45" si="59">CV6/(BC6-BD6)</f>
        <v>1.9350860229992276E-2</v>
      </c>
      <c r="CZ6" s="6">
        <f t="shared" si="27"/>
        <v>31297510351.271114</v>
      </c>
      <c r="DA6" s="6">
        <f t="shared" si="28"/>
        <v>1241060504.5628455</v>
      </c>
      <c r="DB6" s="6">
        <f t="shared" si="29"/>
        <v>982429366</v>
      </c>
      <c r="DC6" s="6">
        <f t="shared" si="30"/>
        <v>1018050129</v>
      </c>
      <c r="DD6" s="6">
        <f t="shared" si="31"/>
        <v>785624918</v>
      </c>
      <c r="DE6" s="6">
        <f t="shared" si="32"/>
        <v>2149362249</v>
      </c>
      <c r="DF6" s="6">
        <f t="shared" si="33"/>
        <v>1555068076.5878935</v>
      </c>
      <c r="DG6" s="30"/>
      <c r="DH6" s="32">
        <f>VLOOKUP(A6,'T_med_comp-USA'!$A$7:$Q$233,17,0)</f>
        <v>6.2390402742465128</v>
      </c>
      <c r="DI6" s="6" t="str">
        <f t="shared" si="34"/>
        <v>10_2017</v>
      </c>
      <c r="DJ6" s="32">
        <f>IF(DI6="","",VLOOKUP(DI6,'CPI USA'!$T:$U,2,FALSE))</f>
        <v>246.66300000000001</v>
      </c>
      <c r="DK6" s="32">
        <f>IF(DI6="","",VLOOKUP(DI6,'PPI USA'!$S:$T,2,FALSE))</f>
        <v>199.6</v>
      </c>
      <c r="DL6" s="32">
        <f>IF(DI6="","",VLOOKUP(DI6,'CPI USA'!$T:$V,3,FALSE))</f>
        <v>0.66204311420409623</v>
      </c>
      <c r="DM6" s="32">
        <f>IF(DI6="","",VLOOKUP(DI6,'CPI USA'!$T:$X,5,FALSE))</f>
        <v>0.48923067262022524</v>
      </c>
      <c r="DN6" s="32">
        <f t="shared" si="35"/>
        <v>1.282335549127724</v>
      </c>
      <c r="DO6" s="32">
        <f t="shared" si="36"/>
        <v>1.2867505924639646</v>
      </c>
      <c r="DP6" s="32">
        <f t="shared" si="37"/>
        <v>0.36366197139917333</v>
      </c>
      <c r="DQ6" s="32">
        <f>IF(DP6="","",DP6*$DO$1/'CPI USA'!$U$532+(1-DP6)*AVERAGE($DO$1,$DQ$1)/AVERAGE('CPI USA'!$U$532,'PPI USA'!$T$538))</f>
        <v>1.0389047036560561</v>
      </c>
      <c r="DR6" s="6">
        <f t="shared" si="38"/>
        <v>158400910</v>
      </c>
      <c r="DS6" s="32">
        <f t="shared" si="39"/>
        <v>0.2016240910525702</v>
      </c>
      <c r="DT6" s="28">
        <f>IF(DS6="","",DS6*$DO$1/'CPI USA'!$U$532+(1-DS6)*AVERAGE($DO$1,$DQ$1)/AVERAGE('CPI USA'!$U$532,'PPI USA'!$T$538))</f>
        <v>1.0426443564357109</v>
      </c>
      <c r="DU6" s="6">
        <f t="shared" si="40"/>
        <v>225532443</v>
      </c>
      <c r="DV6" s="6">
        <f t="shared" si="41"/>
        <v>3546641.4994382402</v>
      </c>
      <c r="DW6" s="6">
        <f t="shared" si="42"/>
        <v>128707384.59555258</v>
      </c>
      <c r="DX6" s="16">
        <f t="shared" si="43"/>
        <v>0.2</v>
      </c>
      <c r="DY6" s="28">
        <f>IF(DX6="","",DX6*$DO$1/'CPI USA'!$U$532+(1-DX6)*AVERAGE($DO$1,$DQ$1)/AVERAGE('CPI USA'!$U$532,'PPI USA'!$T$538))</f>
        <v>1.0426818386380585</v>
      </c>
      <c r="DZ6" s="30"/>
      <c r="EA6" s="29" t="str">
        <f t="shared" si="44"/>
        <v>C000041</v>
      </c>
      <c r="EB6" s="29">
        <f t="shared" si="45"/>
        <v>40133910122.627869</v>
      </c>
      <c r="EC6" s="29">
        <f t="shared" si="46"/>
        <v>1596935339.5298684</v>
      </c>
      <c r="ED6" s="29">
        <f t="shared" si="47"/>
        <v>1057657067.5757548</v>
      </c>
      <c r="EE6" s="29">
        <f t="shared" si="48"/>
        <v>819127387.02796817</v>
      </c>
      <c r="EF6" s="29">
        <f t="shared" si="49"/>
        <v>1621441241.304014</v>
      </c>
      <c r="EG6" s="29">
        <f t="shared" si="50"/>
        <v>20948</v>
      </c>
      <c r="EH6" s="29">
        <f t="shared" si="51"/>
        <v>5263440</v>
      </c>
      <c r="EI6" s="29">
        <f t="shared" si="52"/>
        <v>3888853</v>
      </c>
      <c r="EJ6" s="29">
        <f t="shared" si="53"/>
        <v>76991755</v>
      </c>
      <c r="EK6" s="29">
        <f t="shared" si="54"/>
        <v>80680361.715736046</v>
      </c>
      <c r="EL6" s="29">
        <f>IF(CD6=1,VLOOKUP(EA6,'EIA 2023'!$A$2:$J$213,4,0)*EH6,"")</f>
        <v>504532304.63999999</v>
      </c>
      <c r="EM6" s="29">
        <f>IF(CD6=1,VLOOKUP(EA6,'EIA 2023'!$A$2:$J$213,7,0)*EH6,"")</f>
        <v>5452923.8399999999</v>
      </c>
      <c r="EN6" s="29">
        <f>IF(CD6=1,VLOOKUP(EA6,'EIA 2023'!$A$2:$J$213,10,0),"")</f>
        <v>5695535</v>
      </c>
      <c r="EO6" s="28">
        <f>IF(CD6=1,VLOOKUP(EA6,'EIA 2023'!$A$2:$Z$213,26,0),"")</f>
        <v>0</v>
      </c>
      <c r="EP6" s="23">
        <f t="shared" si="55"/>
        <v>4.5718767706226189E-2</v>
      </c>
      <c r="EQ6" s="32">
        <f t="shared" si="56"/>
        <v>200246.28426395915</v>
      </c>
      <c r="ER6" s="32">
        <f t="shared" si="57"/>
        <v>3688606.7157360408</v>
      </c>
      <c r="ES6" s="32"/>
      <c r="ET6" s="32"/>
    </row>
    <row r="7" spans="1:150" ht="14.5">
      <c r="A7" s="7" t="s">
        <v>222</v>
      </c>
      <c r="B7" s="7" t="s">
        <v>223</v>
      </c>
      <c r="C7" s="32" t="s">
        <v>1092</v>
      </c>
      <c r="D7" s="42">
        <v>21199969</v>
      </c>
      <c r="E7" s="42">
        <v>0</v>
      </c>
      <c r="F7" s="42">
        <v>43815592</v>
      </c>
      <c r="G7" s="42">
        <v>390277251</v>
      </c>
      <c r="H7" s="42">
        <v>407097027</v>
      </c>
      <c r="I7" s="42">
        <v>2123506</v>
      </c>
      <c r="J7" s="42">
        <v>1942806</v>
      </c>
      <c r="K7" s="42">
        <v>500746</v>
      </c>
      <c r="L7" s="42">
        <v>0</v>
      </c>
      <c r="M7" s="42">
        <v>0</v>
      </c>
      <c r="N7" s="42">
        <v>0</v>
      </c>
      <c r="O7" s="42">
        <v>836498</v>
      </c>
      <c r="P7" s="42">
        <v>0</v>
      </c>
      <c r="Q7" s="42">
        <v>0</v>
      </c>
      <c r="R7" s="42">
        <v>0</v>
      </c>
      <c r="S7" s="42">
        <v>27819</v>
      </c>
      <c r="T7" s="42">
        <v>0</v>
      </c>
      <c r="U7" s="42">
        <v>0</v>
      </c>
      <c r="V7" s="42">
        <v>0</v>
      </c>
      <c r="W7" s="42">
        <v>0</v>
      </c>
      <c r="X7" s="42">
        <f>IFERROR(VLOOKUP(A7,'Trans 21-23'!$A$2:$J$229,10,0),0)</f>
        <v>0</v>
      </c>
      <c r="Y7" s="42">
        <v>432236</v>
      </c>
      <c r="Z7" s="42">
        <v>69587</v>
      </c>
      <c r="AA7" s="42">
        <v>0</v>
      </c>
      <c r="AB7" s="42">
        <v>0</v>
      </c>
      <c r="AC7" s="42">
        <v>797491</v>
      </c>
      <c r="AD7" s="42">
        <v>23230955</v>
      </c>
      <c r="AE7" s="42">
        <v>0</v>
      </c>
      <c r="AF7" s="42">
        <v>649826634</v>
      </c>
      <c r="AG7" s="42">
        <v>24</v>
      </c>
      <c r="AH7" s="42">
        <v>0</v>
      </c>
      <c r="AI7" s="42">
        <v>11039295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11039295</v>
      </c>
      <c r="AS7" s="42">
        <v>11039295</v>
      </c>
      <c r="AT7" s="42">
        <v>0</v>
      </c>
      <c r="AU7" s="42">
        <v>1751</v>
      </c>
      <c r="AV7" s="42">
        <v>0</v>
      </c>
      <c r="AW7" s="42">
        <v>3346194</v>
      </c>
      <c r="AX7" s="42">
        <v>0</v>
      </c>
      <c r="AY7" s="42">
        <v>0</v>
      </c>
      <c r="AZ7" s="42">
        <v>808417</v>
      </c>
      <c r="BA7" s="42">
        <v>0</v>
      </c>
      <c r="BB7" s="42">
        <v>145871766</v>
      </c>
      <c r="BC7" s="42">
        <v>1583236496</v>
      </c>
      <c r="BD7" s="42">
        <v>46544834</v>
      </c>
      <c r="BE7" s="42">
        <v>34074152</v>
      </c>
      <c r="BF7" s="42">
        <v>3876827</v>
      </c>
      <c r="BG7" s="42">
        <v>0</v>
      </c>
      <c r="BH7" s="42">
        <v>1582405</v>
      </c>
      <c r="BI7" s="42">
        <v>0</v>
      </c>
      <c r="BJ7" s="42">
        <v>0</v>
      </c>
      <c r="BK7" s="42">
        <v>0</v>
      </c>
      <c r="BL7" s="42">
        <v>0</v>
      </c>
      <c r="BM7" s="42">
        <v>8710070</v>
      </c>
      <c r="BN7" s="42">
        <v>13692707</v>
      </c>
      <c r="BO7" s="42">
        <v>0</v>
      </c>
      <c r="BP7" s="42">
        <v>0</v>
      </c>
      <c r="BQ7" s="42">
        <v>13692707</v>
      </c>
      <c r="BR7" s="42">
        <v>0</v>
      </c>
      <c r="BS7" s="42">
        <f>IFERROR(VLOOKUP(A7,'Trans 21-23'!$A$2:$J$229,9,0),0)</f>
        <v>0</v>
      </c>
      <c r="BT7" s="67"/>
      <c r="BU7" s="32">
        <f t="shared" si="0"/>
        <v>145871766</v>
      </c>
      <c r="BV7" s="32">
        <f t="shared" si="1"/>
        <v>1751</v>
      </c>
      <c r="BW7" s="32">
        <f t="shared" si="2"/>
        <v>24</v>
      </c>
      <c r="BX7" s="32">
        <f t="shared" si="3"/>
        <v>5431375</v>
      </c>
      <c r="BY7" s="32">
        <f t="shared" si="4"/>
        <v>1299314</v>
      </c>
      <c r="BZ7" s="32">
        <f t="shared" si="5"/>
        <v>808417</v>
      </c>
      <c r="CA7" s="32">
        <f t="shared" si="6"/>
        <v>23230955</v>
      </c>
      <c r="CB7" s="32">
        <f t="shared" si="7"/>
        <v>0</v>
      </c>
      <c r="CC7" s="32">
        <f t="shared" si="8"/>
        <v>0</v>
      </c>
      <c r="CD7" s="41">
        <f t="shared" si="9"/>
        <v>0</v>
      </c>
      <c r="CE7" s="44">
        <f t="shared" si="10"/>
        <v>38</v>
      </c>
      <c r="CF7" s="27"/>
      <c r="CG7" s="28" t="str">
        <f t="shared" si="11"/>
        <v/>
      </c>
      <c r="CH7" s="28" t="str">
        <f t="shared" si="12"/>
        <v/>
      </c>
      <c r="CI7" s="28" t="str">
        <f t="shared" si="13"/>
        <v/>
      </c>
      <c r="CJ7" s="28" t="str">
        <f t="shared" si="14"/>
        <v/>
      </c>
      <c r="CK7" s="23" t="str">
        <f t="shared" si="15"/>
        <v/>
      </c>
      <c r="CL7" s="29" t="str">
        <f t="shared" si="16"/>
        <v/>
      </c>
      <c r="CM7" s="29" t="str">
        <f t="shared" si="17"/>
        <v/>
      </c>
      <c r="CN7" s="29" t="str">
        <f t="shared" si="18"/>
        <v/>
      </c>
      <c r="CO7" s="29" t="str">
        <f t="shared" si="19"/>
        <v/>
      </c>
      <c r="CP7" s="29" t="str">
        <f t="shared" si="20"/>
        <v/>
      </c>
      <c r="CQ7" s="29" t="str">
        <f t="shared" si="21"/>
        <v/>
      </c>
      <c r="CR7" s="13"/>
      <c r="CS7" s="7" t="str">
        <f>VLOOKUP(A7,'Empresas 21-23'!$A$2:$M$228,13,0)</f>
        <v/>
      </c>
      <c r="CT7" s="30"/>
      <c r="CU7" s="6">
        <f t="shared" si="22"/>
        <v>145063349</v>
      </c>
      <c r="CV7" s="6">
        <f t="shared" si="23"/>
        <v>808417</v>
      </c>
      <c r="CW7" s="6">
        <f t="shared" si="24"/>
        <v>46544834</v>
      </c>
      <c r="CX7" s="23">
        <f t="shared" si="58"/>
        <v>9.4399776212230141E-2</v>
      </c>
      <c r="CY7" s="23">
        <f t="shared" si="59"/>
        <v>5.2607625849147085E-4</v>
      </c>
      <c r="CZ7" s="6">
        <f t="shared" si="27"/>
        <v>149457170.9134354</v>
      </c>
      <c r="DA7" s="6">
        <f t="shared" si="28"/>
        <v>832903.13212282665</v>
      </c>
      <c r="DB7" s="6">
        <f t="shared" si="29"/>
        <v>5431375</v>
      </c>
      <c r="DC7" s="6">
        <f t="shared" si="30"/>
        <v>5431375</v>
      </c>
      <c r="DD7" s="6">
        <f t="shared" si="31"/>
        <v>1299314</v>
      </c>
      <c r="DE7" s="6">
        <f t="shared" si="32"/>
        <v>23230955</v>
      </c>
      <c r="DF7" s="6">
        <f t="shared" si="33"/>
        <v>1012151.7653863813</v>
      </c>
      <c r="DG7" s="30"/>
      <c r="DH7" s="32">
        <f>VLOOKUP(A7,'T_med_comp-USA'!$A$7:$Q$233,17,0)</f>
        <v>8.277356899209158</v>
      </c>
      <c r="DI7" s="6" t="str">
        <f t="shared" si="34"/>
        <v>9_2015</v>
      </c>
      <c r="DJ7" s="32">
        <f>IF(DI7="","",VLOOKUP(DI7,'CPI USA'!$T:$U,2,FALSE))</f>
        <v>237.94499999999999</v>
      </c>
      <c r="DK7" s="32">
        <f>IF(DI7="","",VLOOKUP(DI7,'PPI USA'!$S:$T,2,FALSE))</f>
        <v>195.1</v>
      </c>
      <c r="DL7" s="32">
        <f>IF(DI7="","",VLOOKUP(DI7,'CPI USA'!$T:$V,3,FALSE))</f>
        <v>0.6679408278919865</v>
      </c>
      <c r="DM7" s="32">
        <f>IF(DI7="","",VLOOKUP(DI7,'CPI USA'!$T:$X,5,FALSE))</f>
        <v>0.49584761624008583</v>
      </c>
      <c r="DN7" s="32">
        <f t="shared" si="35"/>
        <v>1.3265241606661089</v>
      </c>
      <c r="DO7" s="32">
        <f t="shared" si="36"/>
        <v>1.3297145777331876</v>
      </c>
      <c r="DP7" s="32">
        <f t="shared" si="37"/>
        <v>0.29134519343628457</v>
      </c>
      <c r="DQ7" s="32">
        <f>IF(DP7="","",DP7*$DO$1/'CPI USA'!$U$532+(1-DP7)*AVERAGE($DO$1,$DQ$1)/AVERAGE('CPI USA'!$U$532,'PPI USA'!$T$538))</f>
        <v>1.0405736938893653</v>
      </c>
      <c r="DR7" s="6">
        <f t="shared" si="38"/>
        <v>0</v>
      </c>
      <c r="DS7" s="32">
        <f t="shared" si="39"/>
        <v>0.2</v>
      </c>
      <c r="DT7" s="28">
        <f>IF(DS7="","",DS7*$DO$1/'CPI USA'!$U$532+(1-DS7)*AVERAGE($DO$1,$DQ$1)/AVERAGE('CPI USA'!$U$532,'PPI USA'!$T$538))</f>
        <v>1.0426818386380585</v>
      </c>
      <c r="DU7" s="6">
        <f t="shared" si="40"/>
        <v>8710070</v>
      </c>
      <c r="DV7" s="6">
        <f t="shared" si="41"/>
        <v>0</v>
      </c>
      <c r="DW7" s="6">
        <f t="shared" si="42"/>
        <v>1006583.8930424788</v>
      </c>
      <c r="DX7" s="16">
        <f t="shared" si="43"/>
        <v>0.9</v>
      </c>
      <c r="DY7" s="28">
        <f>IF(DX7="","",DX7*$DO$1/'CPI USA'!$U$532+(1-DX7)*AVERAGE($DO$1,$DQ$1)/AVERAGE('CPI USA'!$U$532,'PPI USA'!$T$538))</f>
        <v>1.0265266227085561</v>
      </c>
      <c r="DZ7" s="30"/>
      <c r="EA7" s="29" t="str">
        <f t="shared" si="44"/>
        <v>C000045</v>
      </c>
      <c r="EB7" s="29" t="str">
        <f t="shared" si="45"/>
        <v/>
      </c>
      <c r="EC7" s="29" t="str">
        <f t="shared" si="46"/>
        <v/>
      </c>
      <c r="ED7" s="29" t="str">
        <f t="shared" si="47"/>
        <v/>
      </c>
      <c r="EE7" s="29" t="str">
        <f t="shared" si="48"/>
        <v/>
      </c>
      <c r="EF7" s="29" t="str">
        <f t="shared" si="49"/>
        <v/>
      </c>
      <c r="EG7" s="29" t="str">
        <f t="shared" si="50"/>
        <v/>
      </c>
      <c r="EH7" s="29" t="str">
        <f t="shared" si="51"/>
        <v/>
      </c>
      <c r="EI7" s="29" t="str">
        <f t="shared" si="52"/>
        <v/>
      </c>
      <c r="EJ7" s="29" t="str">
        <f t="shared" si="53"/>
        <v/>
      </c>
      <c r="EK7" s="29" t="str">
        <f t="shared" si="54"/>
        <v/>
      </c>
      <c r="EL7" s="29" t="str">
        <f>IF(CD7=1,VLOOKUP(EA7,'EIA 2023'!$A$2:$J$213,4,0)*EH7,"")</f>
        <v/>
      </c>
      <c r="EM7" s="29" t="str">
        <f>IF(CD7=1,VLOOKUP(EA7,'EIA 2023'!$A$2:$J$213,7,0)*EH7,"")</f>
        <v/>
      </c>
      <c r="EN7" s="29" t="str">
        <f>IF(CD7=1,VLOOKUP(EA7,'EIA 2023'!$A$2:$J$213,10,0),"")</f>
        <v/>
      </c>
      <c r="EO7" s="28" t="str">
        <f>IF(CD7=1,VLOOKUP(EA7,'EIA 2023'!$A$2:$Z$213,26,0),"")</f>
        <v/>
      </c>
      <c r="EP7" s="23" t="str">
        <f t="shared" si="55"/>
        <v/>
      </c>
      <c r="EQ7" s="32" t="str">
        <f t="shared" si="56"/>
        <v/>
      </c>
      <c r="ER7" s="32" t="str">
        <f t="shared" si="57"/>
        <v/>
      </c>
      <c r="ES7" s="32"/>
      <c r="ET7" s="32"/>
    </row>
    <row r="8" spans="1:150" ht="14.5">
      <c r="A8" s="7" t="s">
        <v>225</v>
      </c>
      <c r="B8" s="7" t="s">
        <v>226</v>
      </c>
      <c r="C8" s="32" t="s">
        <v>1093</v>
      </c>
      <c r="D8" s="42">
        <v>61965609</v>
      </c>
      <c r="E8" s="42">
        <v>0</v>
      </c>
      <c r="F8" s="42">
        <v>485526515</v>
      </c>
      <c r="G8" s="42">
        <v>77775408</v>
      </c>
      <c r="H8" s="42">
        <v>78401324</v>
      </c>
      <c r="I8" s="42">
        <v>1528613</v>
      </c>
      <c r="J8" s="42">
        <v>1963272</v>
      </c>
      <c r="K8" s="42">
        <v>1038668</v>
      </c>
      <c r="L8" s="42">
        <v>8573081</v>
      </c>
      <c r="M8" s="42">
        <v>757587</v>
      </c>
      <c r="N8" s="42">
        <v>479397</v>
      </c>
      <c r="O8" s="42">
        <v>5263227</v>
      </c>
      <c r="P8" s="42">
        <v>360405</v>
      </c>
      <c r="Q8" s="42">
        <v>0</v>
      </c>
      <c r="R8" s="42">
        <v>466207</v>
      </c>
      <c r="S8" s="42">
        <v>2820228</v>
      </c>
      <c r="T8" s="42">
        <v>40466518</v>
      </c>
      <c r="U8" s="42">
        <v>6002488</v>
      </c>
      <c r="V8" s="42">
        <v>327491</v>
      </c>
      <c r="W8" s="42">
        <v>0</v>
      </c>
      <c r="X8" s="42">
        <f>IFERROR(VLOOKUP(A8,'Trans 21-23'!$A$2:$J$229,10,0),0)</f>
        <v>0</v>
      </c>
      <c r="Y8" s="42">
        <v>5731527</v>
      </c>
      <c r="Z8" s="42">
        <v>449577</v>
      </c>
      <c r="AA8" s="42">
        <v>43599733</v>
      </c>
      <c r="AB8" s="42">
        <v>46722993</v>
      </c>
      <c r="AC8" s="42">
        <v>706913</v>
      </c>
      <c r="AD8" s="42">
        <v>255707507</v>
      </c>
      <c r="AE8" s="42">
        <v>0</v>
      </c>
      <c r="AF8" s="42">
        <v>1171815679</v>
      </c>
      <c r="AG8" s="42">
        <v>834144</v>
      </c>
      <c r="AH8" s="42">
        <v>973687</v>
      </c>
      <c r="AI8" s="42">
        <v>22052350</v>
      </c>
      <c r="AJ8" s="42">
        <v>33910</v>
      </c>
      <c r="AK8" s="42">
        <v>0</v>
      </c>
      <c r="AL8" s="42">
        <v>10307158</v>
      </c>
      <c r="AM8" s="42">
        <v>6462176</v>
      </c>
      <c r="AN8" s="42">
        <v>2082042</v>
      </c>
      <c r="AO8" s="42">
        <v>1939324</v>
      </c>
      <c r="AP8" s="42">
        <v>0</v>
      </c>
      <c r="AQ8" s="42">
        <v>20790700</v>
      </c>
      <c r="AR8" s="42">
        <v>254052</v>
      </c>
      <c r="AS8" s="42">
        <v>21044752</v>
      </c>
      <c r="AT8" s="42">
        <v>0</v>
      </c>
      <c r="AU8" s="42">
        <v>4385</v>
      </c>
      <c r="AV8" s="42">
        <v>0</v>
      </c>
      <c r="AW8" s="42">
        <v>287448841</v>
      </c>
      <c r="AX8" s="42">
        <v>426864399</v>
      </c>
      <c r="AY8" s="42">
        <v>438222911</v>
      </c>
      <c r="AZ8" s="42">
        <v>133643780</v>
      </c>
      <c r="BA8" s="42">
        <v>389065334</v>
      </c>
      <c r="BB8" s="42">
        <v>3609046302</v>
      </c>
      <c r="BC8" s="42">
        <v>12492966228</v>
      </c>
      <c r="BD8" s="42">
        <v>444055656</v>
      </c>
      <c r="BE8" s="42">
        <v>1222715449</v>
      </c>
      <c r="BF8" s="42">
        <v>110525712</v>
      </c>
      <c r="BG8" s="42">
        <v>0</v>
      </c>
      <c r="BH8" s="42">
        <v>33924555</v>
      </c>
      <c r="BI8" s="42">
        <v>16334148</v>
      </c>
      <c r="BJ8" s="42">
        <v>4903796</v>
      </c>
      <c r="BK8" s="42">
        <v>0</v>
      </c>
      <c r="BL8" s="42">
        <v>0</v>
      </c>
      <c r="BM8" s="42">
        <v>23171452</v>
      </c>
      <c r="BN8" s="42">
        <v>125995629</v>
      </c>
      <c r="BO8" s="42">
        <v>51936271</v>
      </c>
      <c r="BP8" s="42">
        <v>13103685</v>
      </c>
      <c r="BQ8" s="42">
        <v>213886097</v>
      </c>
      <c r="BR8" s="42">
        <v>0</v>
      </c>
      <c r="BS8" s="42">
        <f>IFERROR(VLOOKUP(A8,'Trans 21-23'!$A$2:$J$229,9,0),0)</f>
        <v>0</v>
      </c>
      <c r="BT8" s="67"/>
      <c r="BU8" s="32">
        <f t="shared" si="0"/>
        <v>3609046302</v>
      </c>
      <c r="BV8" s="32">
        <f t="shared" si="1"/>
        <v>4385</v>
      </c>
      <c r="BW8" s="32">
        <f t="shared" si="2"/>
        <v>834144</v>
      </c>
      <c r="BX8" s="32">
        <f t="shared" si="3"/>
        <v>70047182</v>
      </c>
      <c r="BY8" s="32">
        <f t="shared" si="4"/>
        <v>97210743</v>
      </c>
      <c r="BZ8" s="32">
        <f t="shared" si="5"/>
        <v>133643780</v>
      </c>
      <c r="CA8" s="32">
        <f t="shared" si="6"/>
        <v>255707507</v>
      </c>
      <c r="CB8" s="32">
        <f t="shared" si="7"/>
        <v>973687</v>
      </c>
      <c r="CC8" s="32">
        <f t="shared" si="8"/>
        <v>20790700</v>
      </c>
      <c r="CD8" s="41">
        <f t="shared" si="9"/>
        <v>1</v>
      </c>
      <c r="CE8" s="44">
        <f t="shared" si="10"/>
        <v>14</v>
      </c>
      <c r="CF8" s="27"/>
      <c r="CG8" s="28">
        <f t="shared" si="11"/>
        <v>823.0436264538198</v>
      </c>
      <c r="CH8" s="28">
        <f t="shared" si="12"/>
        <v>5.2568861012007515</v>
      </c>
      <c r="CI8" s="28">
        <f t="shared" si="13"/>
        <v>83.974927590440018</v>
      </c>
      <c r="CJ8" s="28">
        <f t="shared" si="14"/>
        <v>160.21667721640389</v>
      </c>
      <c r="CK8" s="23">
        <f t="shared" si="15"/>
        <v>4.6832814671944667E-2</v>
      </c>
      <c r="CL8" s="29" t="str">
        <f t="shared" si="16"/>
        <v/>
      </c>
      <c r="CM8" s="29" t="str">
        <f t="shared" si="17"/>
        <v/>
      </c>
      <c r="CN8" s="29" t="str">
        <f t="shared" si="18"/>
        <v/>
      </c>
      <c r="CO8" s="29" t="str">
        <f t="shared" si="19"/>
        <v/>
      </c>
      <c r="CP8" s="29" t="str">
        <f t="shared" si="20"/>
        <v/>
      </c>
      <c r="CQ8" s="29">
        <f t="shared" si="21"/>
        <v>0</v>
      </c>
      <c r="CR8" s="13"/>
      <c r="CS8" s="7">
        <f>VLOOKUP(A8,'Empresas 21-23'!$A$2:$M$228,13,0)</f>
        <v>1</v>
      </c>
      <c r="CT8" s="30"/>
      <c r="CU8" s="6">
        <f t="shared" si="22"/>
        <v>2567284802</v>
      </c>
      <c r="CV8" s="6">
        <f t="shared" si="23"/>
        <v>133643780</v>
      </c>
      <c r="CW8" s="6">
        <f t="shared" si="24"/>
        <v>444055656</v>
      </c>
      <c r="CX8" s="23">
        <f t="shared" si="58"/>
        <v>0.21307194427735354</v>
      </c>
      <c r="CY8" s="23">
        <f t="shared" si="59"/>
        <v>1.1091772920165052E-2</v>
      </c>
      <c r="CZ8" s="6">
        <f t="shared" si="27"/>
        <v>2661900603.9912758</v>
      </c>
      <c r="DA8" s="6">
        <f t="shared" si="28"/>
        <v>138569144.50026694</v>
      </c>
      <c r="DB8" s="6">
        <f t="shared" si="29"/>
        <v>70047182</v>
      </c>
      <c r="DC8" s="6">
        <f t="shared" si="30"/>
        <v>70047182</v>
      </c>
      <c r="DD8" s="6">
        <f t="shared" si="31"/>
        <v>97210743</v>
      </c>
      <c r="DE8" s="6">
        <f t="shared" si="32"/>
        <v>255707507</v>
      </c>
      <c r="DF8" s="6">
        <f t="shared" si="33"/>
        <v>147370562.17638004</v>
      </c>
      <c r="DG8" s="30"/>
      <c r="DH8" s="32">
        <f>VLOOKUP(A8,'T_med_comp-USA'!$A$7:$Q$233,17,0)</f>
        <v>10.612209671894632</v>
      </c>
      <c r="DI8" s="6" t="str">
        <f t="shared" si="34"/>
        <v>5_2013</v>
      </c>
      <c r="DJ8" s="32">
        <f>IF(DI8="","",VLOOKUP(DI8,'CPI USA'!$T:$U,2,FALSE))</f>
        <v>232.94499999999999</v>
      </c>
      <c r="DK8" s="32">
        <f>IF(DI8="","",VLOOKUP(DI8,'PPI USA'!$S:$T,2,FALSE))</f>
        <v>169.7</v>
      </c>
      <c r="DL8" s="32">
        <f>IF(DI8="","",VLOOKUP(DI8,'CPI USA'!$T:$V,3,FALSE))</f>
        <v>0.67305131835944076</v>
      </c>
      <c r="DM8" s="32">
        <f>IF(DI8="","",VLOOKUP(DI8,'CPI USA'!$T:$X,5,FALSE))</f>
        <v>0.50163050295255052</v>
      </c>
      <c r="DN8" s="32">
        <f t="shared" si="35"/>
        <v>1.3785549584693351</v>
      </c>
      <c r="DO8" s="32">
        <f t="shared" si="36"/>
        <v>1.3942033830519249</v>
      </c>
      <c r="DP8" s="32">
        <f t="shared" si="37"/>
        <v>0.68394602304109231</v>
      </c>
      <c r="DQ8" s="32">
        <f>IF(DP8="","",DP8*$DO$1/'CPI USA'!$U$532+(1-DP8)*AVERAGE($DO$1,$DQ$1)/AVERAGE('CPI USA'!$U$532,'PPI USA'!$T$538))</f>
        <v>1.0315129064945545</v>
      </c>
      <c r="DR8" s="6">
        <f t="shared" si="38"/>
        <v>21237944</v>
      </c>
      <c r="DS8" s="32">
        <f t="shared" si="39"/>
        <v>0.30852939396178508</v>
      </c>
      <c r="DT8" s="28">
        <f>IF(DS8="","",DS8*$DO$1/'CPI USA'!$U$532+(1-DS8)*AVERAGE($DO$1,$DQ$1)/AVERAGE('CPI USA'!$U$532,'PPI USA'!$T$538))</f>
        <v>1.0401771017892718</v>
      </c>
      <c r="DU8" s="6">
        <f t="shared" si="40"/>
        <v>32722885.014676183</v>
      </c>
      <c r="DV8" s="6">
        <f t="shared" si="41"/>
        <v>1512241.06223318</v>
      </c>
      <c r="DW8" s="6">
        <f t="shared" si="42"/>
        <v>14988576.373410435</v>
      </c>
      <c r="DX8" s="16">
        <f t="shared" si="43"/>
        <v>0.2</v>
      </c>
      <c r="DY8" s="28">
        <f>IF(DX8="","",DX8*$DO$1/'CPI USA'!$U$532+(1-DX8)*AVERAGE($DO$1,$DQ$1)/AVERAGE('CPI USA'!$U$532,'PPI USA'!$T$538))</f>
        <v>1.0426818386380585</v>
      </c>
      <c r="DZ8" s="30"/>
      <c r="EA8" s="29" t="str">
        <f t="shared" si="44"/>
        <v>C000116</v>
      </c>
      <c r="EB8" s="29">
        <f t="shared" si="45"/>
        <v>3669576276.584691</v>
      </c>
      <c r="EC8" s="29">
        <f t="shared" si="46"/>
        <v>193193570.0488832</v>
      </c>
      <c r="ED8" s="29">
        <f t="shared" si="47"/>
        <v>72254572.296573043</v>
      </c>
      <c r="EE8" s="29">
        <f t="shared" si="48"/>
        <v>101116388.91652174</v>
      </c>
      <c r="EF8" s="29">
        <f t="shared" si="49"/>
        <v>153660608.73119226</v>
      </c>
      <c r="EG8" s="29">
        <f t="shared" si="50"/>
        <v>4385</v>
      </c>
      <c r="EH8" s="29">
        <f t="shared" si="51"/>
        <v>834144</v>
      </c>
      <c r="EI8" s="29">
        <f t="shared" si="52"/>
        <v>973687</v>
      </c>
      <c r="EJ8" s="29">
        <f t="shared" si="53"/>
        <v>20790700</v>
      </c>
      <c r="EK8" s="29">
        <f t="shared" si="54"/>
        <v>21760518.187817261</v>
      </c>
      <c r="EL8" s="29">
        <f>IF(CD8=1,VLOOKUP(EA8,'EIA 2023'!$A$2:$J$213,4,0)*EH8,"")</f>
        <v>50607516.480000004</v>
      </c>
      <c r="EM8" s="29">
        <f>IF(CD8=1,VLOOKUP(EA8,'EIA 2023'!$A$2:$J$213,7,0)*EH8,"")</f>
        <v>1184484.48</v>
      </c>
      <c r="EN8" s="29">
        <f>IF(CD8=1,VLOOKUP(EA8,'EIA 2023'!$A$2:$J$213,10,0),"")</f>
        <v>832016</v>
      </c>
      <c r="EO8" s="28">
        <f>IF(CD8=1,VLOOKUP(EA8,'EIA 2023'!$A$2:$Z$213,26,0),"")</f>
        <v>0</v>
      </c>
      <c r="EP8" s="23">
        <f t="shared" si="55"/>
        <v>4.4567789215617881E-2</v>
      </c>
      <c r="EQ8" s="32">
        <f t="shared" si="56"/>
        <v>3868.8121827411233</v>
      </c>
      <c r="ER8" s="32">
        <f t="shared" si="57"/>
        <v>969818.18781725888</v>
      </c>
      <c r="ES8" s="32"/>
      <c r="ET8" s="32"/>
    </row>
    <row r="9" spans="1:150" ht="14.5">
      <c r="A9" s="7" t="s">
        <v>228</v>
      </c>
      <c r="B9" s="7" t="s">
        <v>229</v>
      </c>
      <c r="C9" s="32" t="s">
        <v>1094</v>
      </c>
      <c r="D9" s="42">
        <v>0</v>
      </c>
      <c r="E9" s="42">
        <v>0</v>
      </c>
      <c r="F9" s="42">
        <v>0</v>
      </c>
      <c r="G9" s="42">
        <v>43667920</v>
      </c>
      <c r="H9" s="42">
        <v>43693491</v>
      </c>
      <c r="I9" s="42">
        <v>182481</v>
      </c>
      <c r="J9" s="42">
        <v>96608</v>
      </c>
      <c r="K9" s="42">
        <v>816574</v>
      </c>
      <c r="L9" s="42">
        <v>331226</v>
      </c>
      <c r="M9" s="42">
        <v>6901</v>
      </c>
      <c r="N9" s="42">
        <v>84340</v>
      </c>
      <c r="O9" s="42">
        <v>1858812</v>
      </c>
      <c r="P9" s="42">
        <v>0</v>
      </c>
      <c r="Q9" s="42">
        <v>383363</v>
      </c>
      <c r="R9" s="42">
        <v>65938</v>
      </c>
      <c r="S9" s="42">
        <v>677019</v>
      </c>
      <c r="T9" s="42">
        <v>16120635</v>
      </c>
      <c r="U9" s="42">
        <v>233852</v>
      </c>
      <c r="V9" s="42">
        <v>294423</v>
      </c>
      <c r="W9" s="42">
        <v>13801</v>
      </c>
      <c r="X9" s="42">
        <f>IFERROR(VLOOKUP(A9,'Trans 21-23'!$A$2:$J$229,10,0),0)</f>
        <v>0</v>
      </c>
      <c r="Y9" s="42">
        <v>956875</v>
      </c>
      <c r="Z9" s="42">
        <v>30669</v>
      </c>
      <c r="AA9" s="42">
        <v>14137931</v>
      </c>
      <c r="AB9" s="42">
        <v>151004</v>
      </c>
      <c r="AC9" s="42">
        <v>0</v>
      </c>
      <c r="AD9" s="42">
        <v>26451080</v>
      </c>
      <c r="AE9" s="42">
        <v>0</v>
      </c>
      <c r="AF9" s="42">
        <v>114308461</v>
      </c>
      <c r="AG9" s="42">
        <v>0</v>
      </c>
      <c r="AH9" s="42">
        <v>2248</v>
      </c>
      <c r="AI9" s="42">
        <v>543871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2">
        <v>0</v>
      </c>
      <c r="AR9" s="42">
        <v>541623</v>
      </c>
      <c r="AS9" s="42">
        <v>541623</v>
      </c>
      <c r="AT9" s="42">
        <v>0</v>
      </c>
      <c r="AU9" s="42">
        <v>289</v>
      </c>
      <c r="AV9" s="42">
        <v>0</v>
      </c>
      <c r="AW9" s="42">
        <v>184465817</v>
      </c>
      <c r="AX9" s="42">
        <v>3121332</v>
      </c>
      <c r="AY9" s="42">
        <v>25331578</v>
      </c>
      <c r="AZ9" s="42">
        <v>39452556</v>
      </c>
      <c r="BA9" s="42">
        <v>9783638</v>
      </c>
      <c r="BB9" s="42">
        <v>667719041</v>
      </c>
      <c r="BC9" s="42">
        <v>1607410386</v>
      </c>
      <c r="BD9" s="42">
        <v>149699833</v>
      </c>
      <c r="BE9" s="42">
        <v>203497333</v>
      </c>
      <c r="BF9" s="42">
        <v>14528582</v>
      </c>
      <c r="BG9" s="42">
        <v>0</v>
      </c>
      <c r="BH9" s="42">
        <v>17287300</v>
      </c>
      <c r="BI9" s="42">
        <v>7115724</v>
      </c>
      <c r="BJ9" s="42">
        <v>0</v>
      </c>
      <c r="BK9" s="42">
        <v>0</v>
      </c>
      <c r="BL9" s="42">
        <v>0</v>
      </c>
      <c r="BM9" s="42">
        <v>7549334</v>
      </c>
      <c r="BN9" s="42">
        <v>34864531</v>
      </c>
      <c r="BO9" s="42">
        <v>1205347</v>
      </c>
      <c r="BP9" s="42">
        <v>9319546</v>
      </c>
      <c r="BQ9" s="42">
        <v>56705494</v>
      </c>
      <c r="BR9" s="42">
        <v>0</v>
      </c>
      <c r="BS9" s="42">
        <f>IFERROR(VLOOKUP(A9,'Trans 21-23'!$A$2:$J$229,9,0),0)</f>
        <v>0</v>
      </c>
      <c r="BT9" s="67"/>
      <c r="BU9" s="32">
        <f t="shared" si="0"/>
        <v>667719041</v>
      </c>
      <c r="BV9" s="32">
        <f t="shared" si="1"/>
        <v>289</v>
      </c>
      <c r="BW9" s="32">
        <f t="shared" si="2"/>
        <v>0</v>
      </c>
      <c r="BX9" s="32">
        <f t="shared" si="3"/>
        <v>21165973</v>
      </c>
      <c r="BY9" s="32">
        <f t="shared" si="4"/>
        <v>15276479</v>
      </c>
      <c r="BZ9" s="32">
        <f t="shared" si="5"/>
        <v>39452556</v>
      </c>
      <c r="CA9" s="32">
        <f t="shared" si="6"/>
        <v>26451080</v>
      </c>
      <c r="CB9" s="32">
        <f t="shared" si="7"/>
        <v>2248</v>
      </c>
      <c r="CC9" s="32">
        <f t="shared" si="8"/>
        <v>0</v>
      </c>
      <c r="CD9" s="41">
        <f t="shared" si="9"/>
        <v>0</v>
      </c>
      <c r="CE9" s="44">
        <f t="shared" si="10"/>
        <v>24</v>
      </c>
      <c r="CF9" s="27"/>
      <c r="CG9" s="28" t="str">
        <f t="shared" si="11"/>
        <v/>
      </c>
      <c r="CH9" s="28" t="str">
        <f t="shared" si="12"/>
        <v/>
      </c>
      <c r="CI9" s="28" t="str">
        <f t="shared" si="13"/>
        <v/>
      </c>
      <c r="CJ9" s="28" t="str">
        <f t="shared" si="14"/>
        <v/>
      </c>
      <c r="CK9" s="23" t="str">
        <f t="shared" si="15"/>
        <v/>
      </c>
      <c r="CL9" s="29" t="str">
        <f t="shared" si="16"/>
        <v/>
      </c>
      <c r="CM9" s="29" t="str">
        <f t="shared" si="17"/>
        <v/>
      </c>
      <c r="CN9" s="29" t="str">
        <f t="shared" si="18"/>
        <v/>
      </c>
      <c r="CO9" s="29" t="str">
        <f t="shared" si="19"/>
        <v/>
      </c>
      <c r="CP9" s="29" t="str">
        <f t="shared" si="20"/>
        <v/>
      </c>
      <c r="CQ9" s="29" t="str">
        <f t="shared" si="21"/>
        <v/>
      </c>
      <c r="CR9" s="13"/>
      <c r="CS9" s="7" t="str">
        <f>VLOOKUP(A9,'Empresas 21-23'!$A$2:$M$228,13,0)</f>
        <v/>
      </c>
      <c r="CT9" s="30"/>
      <c r="CU9" s="6">
        <f t="shared" si="22"/>
        <v>601411101</v>
      </c>
      <c r="CV9" s="6">
        <f t="shared" si="23"/>
        <v>39452556</v>
      </c>
      <c r="CW9" s="6">
        <f t="shared" si="24"/>
        <v>149699833</v>
      </c>
      <c r="CX9" s="23">
        <f t="shared" si="58"/>
        <v>0.41257237231512311</v>
      </c>
      <c r="CY9" s="23">
        <f t="shared" si="59"/>
        <v>2.7064739237021906E-2</v>
      </c>
      <c r="CZ9" s="6">
        <f t="shared" si="27"/>
        <v>663173116.23598778</v>
      </c>
      <c r="DA9" s="6">
        <f t="shared" si="28"/>
        <v>43504142.943970725</v>
      </c>
      <c r="DB9" s="6">
        <f t="shared" si="29"/>
        <v>21165973</v>
      </c>
      <c r="DC9" s="6">
        <f t="shared" si="30"/>
        <v>21165973</v>
      </c>
      <c r="DD9" s="6">
        <f t="shared" si="31"/>
        <v>15276479</v>
      </c>
      <c r="DE9" s="6">
        <f t="shared" si="32"/>
        <v>26451080</v>
      </c>
      <c r="DF9" s="6">
        <f t="shared" si="33"/>
        <v>21826478.900480915</v>
      </c>
      <c r="DG9" s="30"/>
      <c r="DH9" s="32">
        <f>VLOOKUP(A9,'T_med_comp-USA'!$A$7:$Q$233,17,0)</f>
        <v>14.613871473392203</v>
      </c>
      <c r="DI9" s="6" t="str">
        <f t="shared" si="34"/>
        <v>5_2009</v>
      </c>
      <c r="DJ9" s="32">
        <f>IF(DI9="","",VLOOKUP(DI9,'CPI USA'!$T:$U,2,FALSE))</f>
        <v>214.53700000000001</v>
      </c>
      <c r="DK9" s="32">
        <f>IF(DI9="","",VLOOKUP(DI9,'PPI USA'!$S:$T,2,FALSE))</f>
        <v>159.1</v>
      </c>
      <c r="DL9" s="32">
        <f>IF(DI9="","",VLOOKUP(DI9,'CPI USA'!$T:$V,3,FALSE))</f>
        <v>0.66997101349938215</v>
      </c>
      <c r="DM9" s="32">
        <f>IF(DI9="","",VLOOKUP(DI9,'CPI USA'!$T:$X,5,FALSE))</f>
        <v>0.49813941766071862</v>
      </c>
      <c r="DN9" s="32">
        <f t="shared" si="35"/>
        <v>1.4932638886873792</v>
      </c>
      <c r="DO9" s="32">
        <f t="shared" si="36"/>
        <v>1.5082750176818205</v>
      </c>
      <c r="DP9" s="32">
        <f t="shared" si="37"/>
        <v>0.8</v>
      </c>
      <c r="DQ9" s="32">
        <f>IF(DP9="","",DP9*$DO$1/'CPI USA'!$U$532+(1-DP9)*AVERAGE($DO$1,$DQ$1)/AVERAGE('CPI USA'!$U$532,'PPI USA'!$T$538))</f>
        <v>1.0288345106984851</v>
      </c>
      <c r="DR9" s="6">
        <f t="shared" si="38"/>
        <v>7115724</v>
      </c>
      <c r="DS9" s="32">
        <f t="shared" si="39"/>
        <v>0.48189971915152419</v>
      </c>
      <c r="DT9" s="28">
        <f>IF(DS9="","",DS9*$DO$1/'CPI USA'!$U$532+(1-DS9)*AVERAGE($DO$1,$DQ$1)/AVERAGE('CPI USA'!$U$532,'PPI USA'!$T$538))</f>
        <v>1.0361759088761171</v>
      </c>
      <c r="DU9" s="6">
        <f t="shared" si="40"/>
        <v>7810331.8344150968</v>
      </c>
      <c r="DV9" s="6">
        <f t="shared" si="41"/>
        <v>1484751.6711571119</v>
      </c>
      <c r="DW9" s="6">
        <f t="shared" si="42"/>
        <v>6505985.8647885658</v>
      </c>
      <c r="DX9" s="16">
        <f t="shared" si="43"/>
        <v>0.29807766495241778</v>
      </c>
      <c r="DY9" s="28">
        <f>IF(DX9="","",DX9*$DO$1/'CPI USA'!$U$532+(1-DX9)*AVERAGE($DO$1,$DQ$1)/AVERAGE('CPI USA'!$U$532,'PPI USA'!$T$538))</f>
        <v>1.0404183159878189</v>
      </c>
      <c r="DZ9" s="30"/>
      <c r="EA9" s="29" t="str">
        <f t="shared" si="44"/>
        <v>C000120</v>
      </c>
      <c r="EB9" s="29" t="str">
        <f t="shared" si="45"/>
        <v/>
      </c>
      <c r="EC9" s="29" t="str">
        <f t="shared" si="46"/>
        <v/>
      </c>
      <c r="ED9" s="29" t="str">
        <f t="shared" si="47"/>
        <v/>
      </c>
      <c r="EE9" s="29" t="str">
        <f t="shared" si="48"/>
        <v/>
      </c>
      <c r="EF9" s="29" t="str">
        <f t="shared" si="49"/>
        <v/>
      </c>
      <c r="EG9" s="29" t="str">
        <f t="shared" si="50"/>
        <v/>
      </c>
      <c r="EH9" s="29" t="str">
        <f t="shared" si="51"/>
        <v/>
      </c>
      <c r="EI9" s="29" t="str">
        <f t="shared" si="52"/>
        <v/>
      </c>
      <c r="EJ9" s="29" t="str">
        <f t="shared" si="53"/>
        <v/>
      </c>
      <c r="EK9" s="29" t="str">
        <f t="shared" si="54"/>
        <v/>
      </c>
      <c r="EL9" s="29" t="str">
        <f>IF(CD9=1,VLOOKUP(EA9,'EIA 2023'!$A$2:$J$213,4,0)*EH9,"")</f>
        <v/>
      </c>
      <c r="EM9" s="29" t="str">
        <f>IF(CD9=1,VLOOKUP(EA9,'EIA 2023'!$A$2:$J$213,7,0)*EH9,"")</f>
        <v/>
      </c>
      <c r="EN9" s="29" t="str">
        <f>IF(CD9=1,VLOOKUP(EA9,'EIA 2023'!$A$2:$J$213,10,0),"")</f>
        <v/>
      </c>
      <c r="EO9" s="28" t="str">
        <f>IF(CD9=1,VLOOKUP(EA9,'EIA 2023'!$A$2:$Z$213,26,0),"")</f>
        <v/>
      </c>
      <c r="EP9" s="23" t="str">
        <f t="shared" si="55"/>
        <v/>
      </c>
      <c r="EQ9" s="32" t="str">
        <f t="shared" si="56"/>
        <v/>
      </c>
      <c r="ER9" s="32" t="str">
        <f t="shared" si="57"/>
        <v/>
      </c>
      <c r="ES9" s="32"/>
      <c r="ET9" s="32"/>
    </row>
    <row r="10" spans="1:150" ht="14.5">
      <c r="A10" s="7" t="s">
        <v>231</v>
      </c>
      <c r="B10" s="7" t="s">
        <v>232</v>
      </c>
      <c r="C10" s="32" t="s">
        <v>1095</v>
      </c>
      <c r="D10" s="42">
        <v>157013081</v>
      </c>
      <c r="E10" s="42">
        <v>0</v>
      </c>
      <c r="F10" s="42">
        <v>232636</v>
      </c>
      <c r="G10" s="42">
        <v>2271355578</v>
      </c>
      <c r="H10" s="42">
        <v>2273384364</v>
      </c>
      <c r="I10" s="42">
        <v>55752296</v>
      </c>
      <c r="J10" s="42">
        <v>34297764</v>
      </c>
      <c r="K10" s="42">
        <v>0</v>
      </c>
      <c r="L10" s="42">
        <v>9075007</v>
      </c>
      <c r="M10" s="42">
        <v>39360622</v>
      </c>
      <c r="N10" s="42">
        <v>15022714</v>
      </c>
      <c r="O10" s="42">
        <v>47855730</v>
      </c>
      <c r="P10" s="42">
        <v>50719028</v>
      </c>
      <c r="Q10" s="42">
        <v>21496152</v>
      </c>
      <c r="R10" s="42">
        <v>17569449</v>
      </c>
      <c r="S10" s="42">
        <v>16023713</v>
      </c>
      <c r="T10" s="42">
        <v>118537704</v>
      </c>
      <c r="U10" s="42">
        <v>207713474</v>
      </c>
      <c r="V10" s="42">
        <v>5048308</v>
      </c>
      <c r="W10" s="42">
        <v>3428761</v>
      </c>
      <c r="X10" s="42">
        <f>IFERROR(VLOOKUP(A10,'Trans 21-23'!$A$2:$J$229,10,0),0)</f>
        <v>0</v>
      </c>
      <c r="Y10" s="42">
        <v>5086761</v>
      </c>
      <c r="Z10" s="42">
        <v>219706</v>
      </c>
      <c r="AA10" s="42">
        <v>248448601</v>
      </c>
      <c r="AB10" s="42">
        <v>415031935</v>
      </c>
      <c r="AC10" s="42">
        <v>0</v>
      </c>
      <c r="AD10" s="42">
        <v>277985045</v>
      </c>
      <c r="AE10" s="42">
        <v>0</v>
      </c>
      <c r="AF10" s="42">
        <v>4362542901</v>
      </c>
      <c r="AG10" s="42">
        <v>3645153</v>
      </c>
      <c r="AH10" s="42">
        <v>1376415</v>
      </c>
      <c r="AI10" s="42">
        <v>54367793</v>
      </c>
      <c r="AJ10" s="42">
        <v>90260</v>
      </c>
      <c r="AK10" s="42">
        <v>0</v>
      </c>
      <c r="AL10" s="42">
        <v>13668130</v>
      </c>
      <c r="AM10" s="42">
        <v>28223283</v>
      </c>
      <c r="AN10" s="42">
        <v>380875</v>
      </c>
      <c r="AO10" s="42">
        <v>7380</v>
      </c>
      <c r="AP10" s="42">
        <v>631389</v>
      </c>
      <c r="AQ10" s="42">
        <v>43082500</v>
      </c>
      <c r="AR10" s="42">
        <v>534467</v>
      </c>
      <c r="AS10" s="42">
        <v>43616967</v>
      </c>
      <c r="AT10" s="42">
        <v>171443</v>
      </c>
      <c r="AU10" s="42">
        <v>5549</v>
      </c>
      <c r="AV10" s="42">
        <v>0</v>
      </c>
      <c r="AW10" s="42">
        <v>1434330761</v>
      </c>
      <c r="AX10" s="42">
        <v>5409094787</v>
      </c>
      <c r="AY10" s="42">
        <v>8556211863</v>
      </c>
      <c r="AZ10" s="42">
        <v>833680739</v>
      </c>
      <c r="BA10" s="42">
        <v>622927749</v>
      </c>
      <c r="BB10" s="42">
        <v>29031398653</v>
      </c>
      <c r="BC10" s="42">
        <v>36288665653</v>
      </c>
      <c r="BD10" s="42">
        <v>170892807</v>
      </c>
      <c r="BE10" s="42">
        <v>6941414033</v>
      </c>
      <c r="BF10" s="42">
        <v>922675593</v>
      </c>
      <c r="BG10" s="42">
        <v>0</v>
      </c>
      <c r="BH10" s="42">
        <v>227761823</v>
      </c>
      <c r="BI10" s="42">
        <v>127734149</v>
      </c>
      <c r="BJ10" s="42">
        <v>22838078</v>
      </c>
      <c r="BK10" s="42">
        <v>0</v>
      </c>
      <c r="BL10" s="42">
        <v>0</v>
      </c>
      <c r="BM10" s="42">
        <v>128450700</v>
      </c>
      <c r="BN10" s="42">
        <v>622092914</v>
      </c>
      <c r="BO10" s="42">
        <v>0</v>
      </c>
      <c r="BP10" s="42">
        <v>0</v>
      </c>
      <c r="BQ10" s="42">
        <v>1882321171</v>
      </c>
      <c r="BR10" s="42">
        <v>0</v>
      </c>
      <c r="BS10" s="42">
        <f>IFERROR(VLOOKUP(A10,'Trans 21-23'!$A$2:$J$229,9,0),0)</f>
        <v>0</v>
      </c>
      <c r="BT10" s="67"/>
      <c r="BU10" s="32">
        <f t="shared" si="0"/>
        <v>29031398653</v>
      </c>
      <c r="BV10" s="32">
        <f t="shared" si="1"/>
        <v>5549</v>
      </c>
      <c r="BW10" s="32">
        <f t="shared" si="2"/>
        <v>3645153</v>
      </c>
      <c r="BX10" s="32">
        <f t="shared" si="3"/>
        <v>641900722</v>
      </c>
      <c r="BY10" s="32">
        <f t="shared" si="4"/>
        <v>668787003</v>
      </c>
      <c r="BZ10" s="32">
        <f t="shared" si="5"/>
        <v>833680739</v>
      </c>
      <c r="CA10" s="32">
        <f t="shared" si="6"/>
        <v>277985045</v>
      </c>
      <c r="CB10" s="32">
        <f t="shared" si="7"/>
        <v>1376415</v>
      </c>
      <c r="CC10" s="32">
        <f t="shared" si="8"/>
        <v>43082500</v>
      </c>
      <c r="CD10" s="41">
        <f t="shared" si="9"/>
        <v>1</v>
      </c>
      <c r="CE10" s="44">
        <f t="shared" si="10"/>
        <v>14</v>
      </c>
      <c r="CF10" s="27"/>
      <c r="CG10" s="28">
        <f t="shared" si="11"/>
        <v>5231.8253114074605</v>
      </c>
      <c r="CH10" s="28">
        <f t="shared" si="12"/>
        <v>1.522295497610114</v>
      </c>
      <c r="CI10" s="28">
        <f t="shared" si="13"/>
        <v>176.0970587517177</v>
      </c>
      <c r="CJ10" s="28">
        <f t="shared" si="14"/>
        <v>228.70939546296137</v>
      </c>
      <c r="CK10" s="23">
        <f t="shared" si="15"/>
        <v>3.1948354900481632E-2</v>
      </c>
      <c r="CL10" s="29">
        <f t="shared" si="16"/>
        <v>1</v>
      </c>
      <c r="CM10" s="29" t="str">
        <f t="shared" si="17"/>
        <v/>
      </c>
      <c r="CN10" s="29" t="str">
        <f t="shared" si="18"/>
        <v/>
      </c>
      <c r="CO10" s="29" t="str">
        <f t="shared" si="19"/>
        <v/>
      </c>
      <c r="CP10" s="29" t="str">
        <f t="shared" si="20"/>
        <v/>
      </c>
      <c r="CQ10" s="29">
        <f t="shared" si="21"/>
        <v>1</v>
      </c>
      <c r="CR10" s="13"/>
      <c r="CS10" s="7" t="str">
        <f>VLOOKUP(A10,'Empresas 21-23'!$A$2:$M$228,13,0)</f>
        <v/>
      </c>
      <c r="CT10" s="30"/>
      <c r="CU10" s="6">
        <f t="shared" si="22"/>
        <v>19195606175</v>
      </c>
      <c r="CV10" s="6">
        <f t="shared" si="23"/>
        <v>833680739</v>
      </c>
      <c r="CW10" s="6">
        <f t="shared" si="24"/>
        <v>170892807</v>
      </c>
      <c r="CX10" s="23">
        <f t="shared" si="58"/>
        <v>0.531472587106818</v>
      </c>
      <c r="CY10" s="23">
        <f t="shared" si="59"/>
        <v>2.3082285348951941E-2</v>
      </c>
      <c r="CZ10" s="6">
        <f t="shared" si="27"/>
        <v>19286431017.254234</v>
      </c>
      <c r="DA10" s="6">
        <f t="shared" si="28"/>
        <v>837625335.53525734</v>
      </c>
      <c r="DB10" s="6">
        <f t="shared" si="29"/>
        <v>641900722</v>
      </c>
      <c r="DC10" s="6">
        <f t="shared" si="30"/>
        <v>641900722</v>
      </c>
      <c r="DD10" s="6">
        <f t="shared" si="31"/>
        <v>668787003</v>
      </c>
      <c r="DE10" s="6">
        <f t="shared" si="32"/>
        <v>277985045</v>
      </c>
      <c r="DF10" s="6">
        <f t="shared" si="33"/>
        <v>220294738.21193472</v>
      </c>
      <c r="DG10" s="30"/>
      <c r="DH10" s="32">
        <f>VLOOKUP(A10,'T_med_comp-USA'!$A$7:$Q$233,17,0)</f>
        <v>7.2176854877143723</v>
      </c>
      <c r="DI10" s="6" t="str">
        <f t="shared" si="34"/>
        <v>10_2016</v>
      </c>
      <c r="DJ10" s="32">
        <f>IF(DI10="","",VLOOKUP(DI10,'CPI USA'!$T:$U,2,FALSE))</f>
        <v>241.72900000000001</v>
      </c>
      <c r="DK10" s="32">
        <f>IF(DI10="","",VLOOKUP(DI10,'PPI USA'!$S:$T,2,FALSE))</f>
        <v>179.2</v>
      </c>
      <c r="DL10" s="32">
        <f>IF(DI10="","",VLOOKUP(DI10,'CPI USA'!$T:$V,3,FALSE))</f>
        <v>0.67131212484522451</v>
      </c>
      <c r="DM10" s="32">
        <f>IF(DI10="","",VLOOKUP(DI10,'CPI USA'!$T:$X,5,FALSE))</f>
        <v>0.49965731919331663</v>
      </c>
      <c r="DN10" s="32">
        <f t="shared" si="35"/>
        <v>1.3252536895563343</v>
      </c>
      <c r="DO10" s="32">
        <f t="shared" si="36"/>
        <v>1.338599306141151</v>
      </c>
      <c r="DP10" s="32">
        <f t="shared" si="37"/>
        <v>0.35482406421097623</v>
      </c>
      <c r="DQ10" s="32">
        <f>IF(DP10="","",DP10*$DO$1/'CPI USA'!$U$532+(1-DP10)*AVERAGE($DO$1,$DQ$1)/AVERAGE('CPI USA'!$U$532,'PPI USA'!$T$538))</f>
        <v>1.0391086726546135</v>
      </c>
      <c r="DR10" s="6">
        <f t="shared" si="38"/>
        <v>150572227</v>
      </c>
      <c r="DS10" s="32">
        <f t="shared" si="39"/>
        <v>0.225142274482867</v>
      </c>
      <c r="DT10" s="28">
        <f>IF(DS10="","",DS10*$DO$1/'CPI USA'!$U$532+(1-DS10)*AVERAGE($DO$1,$DQ$1)/AVERAGE('CPI USA'!$U$532,'PPI USA'!$T$538))</f>
        <v>1.0421015831048734</v>
      </c>
      <c r="DU10" s="6">
        <f t="shared" si="40"/>
        <v>128450700</v>
      </c>
      <c r="DV10" s="6">
        <f t="shared" si="41"/>
        <v>0</v>
      </c>
      <c r="DW10" s="6">
        <f t="shared" si="42"/>
        <v>78118995.511231616</v>
      </c>
      <c r="DX10" s="16">
        <f t="shared" si="43"/>
        <v>0.35461126373375829</v>
      </c>
      <c r="DY10" s="28">
        <f>IF(DX10="","",DX10*$DO$1/'CPI USA'!$U$532+(1-DX10)*AVERAGE($DO$1,$DQ$1)/AVERAGE('CPI USA'!$U$532,'PPI USA'!$T$538))</f>
        <v>1.0391135838512697</v>
      </c>
      <c r="DZ10" s="30"/>
      <c r="EA10" s="29" t="str">
        <f t="shared" si="44"/>
        <v>C000134</v>
      </c>
      <c r="EB10" s="29">
        <f t="shared" si="45"/>
        <v>25559413863.989899</v>
      </c>
      <c r="EC10" s="29">
        <f t="shared" si="46"/>
        <v>1121244692.9537442</v>
      </c>
      <c r="ED10" s="29">
        <f t="shared" si="47"/>
        <v>667004607.21345806</v>
      </c>
      <c r="EE10" s="29">
        <f t="shared" si="48"/>
        <v>696943994.58626378</v>
      </c>
      <c r="EF10" s="29">
        <f t="shared" si="49"/>
        <v>228911254.92698073</v>
      </c>
      <c r="EG10" s="29">
        <f t="shared" si="50"/>
        <v>5549</v>
      </c>
      <c r="EH10" s="29">
        <f t="shared" si="51"/>
        <v>3645153</v>
      </c>
      <c r="EI10" s="29">
        <f t="shared" si="52"/>
        <v>1376415</v>
      </c>
      <c r="EJ10" s="29">
        <f t="shared" si="53"/>
        <v>43082500</v>
      </c>
      <c r="EK10" s="29">
        <f t="shared" si="54"/>
        <v>44450775.90862944</v>
      </c>
      <c r="EL10" s="29">
        <f>IF(CD10=1,VLOOKUP(EA10,'EIA 2023'!$A$2:$J$213,4,0)*EH10,"")</f>
        <v>53831619.504000001</v>
      </c>
      <c r="EM10" s="29">
        <f>IF(CD10=1,VLOOKUP(EA10,'EIA 2023'!$A$2:$J$213,7,0)*EH10,"")</f>
        <v>433773.20699999999</v>
      </c>
      <c r="EN10" s="29">
        <f>IF(CD10=1,VLOOKUP(EA10,'EIA 2023'!$A$2:$J$213,10,0),"")</f>
        <v>0</v>
      </c>
      <c r="EO10" s="28">
        <f>IF(CD10=1,VLOOKUP(EA10,'EIA 2023'!$A$2:$Z$213,26,0),"")</f>
        <v>0</v>
      </c>
      <c r="EP10" s="23">
        <f t="shared" si="55"/>
        <v>3.0781822828964651E-2</v>
      </c>
      <c r="EQ10" s="32">
        <f t="shared" si="56"/>
        <v>8139.0913705583662</v>
      </c>
      <c r="ER10" s="32">
        <f t="shared" si="57"/>
        <v>1368275.9086294416</v>
      </c>
      <c r="ES10" s="32"/>
      <c r="ET10" s="32"/>
    </row>
    <row r="11" spans="1:150" ht="14.5">
      <c r="A11" s="7" t="s">
        <v>234</v>
      </c>
      <c r="B11" s="7" t="s">
        <v>235</v>
      </c>
      <c r="C11" s="32" t="s">
        <v>1096</v>
      </c>
      <c r="D11" s="42">
        <v>266719373</v>
      </c>
      <c r="E11" s="42">
        <v>186704837</v>
      </c>
      <c r="F11" s="42">
        <v>977019679</v>
      </c>
      <c r="G11" s="42">
        <v>607703537</v>
      </c>
      <c r="H11" s="42">
        <v>836107638</v>
      </c>
      <c r="I11" s="42">
        <v>698839</v>
      </c>
      <c r="J11" s="42">
        <v>612085</v>
      </c>
      <c r="K11" s="42">
        <v>4074781</v>
      </c>
      <c r="L11" s="42">
        <v>455785</v>
      </c>
      <c r="M11" s="42">
        <v>8954082</v>
      </c>
      <c r="N11" s="42">
        <v>5552050</v>
      </c>
      <c r="O11" s="42">
        <v>23418100</v>
      </c>
      <c r="P11" s="42">
        <v>1418563</v>
      </c>
      <c r="Q11" s="42">
        <v>1411518</v>
      </c>
      <c r="R11" s="42">
        <v>0</v>
      </c>
      <c r="S11" s="42">
        <v>3258413</v>
      </c>
      <c r="T11" s="42">
        <v>80682978</v>
      </c>
      <c r="U11" s="42">
        <v>4960373</v>
      </c>
      <c r="V11" s="42">
        <v>1026607</v>
      </c>
      <c r="W11" s="42">
        <v>27062</v>
      </c>
      <c r="X11" s="42">
        <f>IFERROR(VLOOKUP(A11,'Trans 21-23'!$A$2:$J$229,10,0),0)</f>
        <v>9253192</v>
      </c>
      <c r="Y11" s="42">
        <v>4832817</v>
      </c>
      <c r="Z11" s="42">
        <v>1549271</v>
      </c>
      <c r="AA11" s="42">
        <v>61495865</v>
      </c>
      <c r="AB11" s="42">
        <v>12463246</v>
      </c>
      <c r="AC11" s="42">
        <v>3039690</v>
      </c>
      <c r="AD11" s="42">
        <v>314441373</v>
      </c>
      <c r="AE11" s="42">
        <v>0</v>
      </c>
      <c r="AF11" s="42">
        <v>3436411191</v>
      </c>
      <c r="AG11" s="42">
        <v>1718136</v>
      </c>
      <c r="AH11" s="42">
        <v>2424406</v>
      </c>
      <c r="AI11" s="42">
        <v>69227438</v>
      </c>
      <c r="AJ11" s="42">
        <v>85587</v>
      </c>
      <c r="AK11" s="42">
        <v>0</v>
      </c>
      <c r="AL11" s="42">
        <v>17550362</v>
      </c>
      <c r="AM11" s="42">
        <v>13195863</v>
      </c>
      <c r="AN11" s="42">
        <v>9693833</v>
      </c>
      <c r="AO11" s="42">
        <v>85683</v>
      </c>
      <c r="AP11" s="42">
        <v>1365646</v>
      </c>
      <c r="AQ11" s="42">
        <v>41891387</v>
      </c>
      <c r="AR11" s="42">
        <v>24826058</v>
      </c>
      <c r="AS11" s="42">
        <v>66717445</v>
      </c>
      <c r="AT11" s="42">
        <v>0</v>
      </c>
      <c r="AU11" s="42">
        <v>12630</v>
      </c>
      <c r="AV11" s="42">
        <v>0</v>
      </c>
      <c r="AW11" s="42">
        <v>1903577290</v>
      </c>
      <c r="AX11" s="42">
        <v>287826934</v>
      </c>
      <c r="AY11" s="42">
        <v>1868816400</v>
      </c>
      <c r="AZ11" s="42">
        <v>359603074</v>
      </c>
      <c r="BA11" s="42">
        <v>343968355</v>
      </c>
      <c r="BB11" s="42">
        <v>10244127162</v>
      </c>
      <c r="BC11" s="42">
        <v>35761908784</v>
      </c>
      <c r="BD11" s="42">
        <v>1082259022</v>
      </c>
      <c r="BE11" s="42">
        <v>3524112979</v>
      </c>
      <c r="BF11" s="42">
        <v>240856770</v>
      </c>
      <c r="BG11" s="42">
        <v>0</v>
      </c>
      <c r="BH11" s="42">
        <v>40263928</v>
      </c>
      <c r="BI11" s="42">
        <v>18921657</v>
      </c>
      <c r="BJ11" s="42">
        <v>8978921</v>
      </c>
      <c r="BK11" s="42">
        <v>1162243</v>
      </c>
      <c r="BL11" s="42">
        <v>0</v>
      </c>
      <c r="BM11" s="42">
        <v>92245474</v>
      </c>
      <c r="BN11" s="42">
        <v>499742786</v>
      </c>
      <c r="BO11" s="42">
        <v>119523</v>
      </c>
      <c r="BP11" s="42">
        <v>13761946</v>
      </c>
      <c r="BQ11" s="42">
        <v>756651899</v>
      </c>
      <c r="BR11" s="42">
        <v>0</v>
      </c>
      <c r="BS11" s="42">
        <f>IFERROR(VLOOKUP(A11,'Trans 21-23'!$A$2:$J$229,9,0),0)</f>
        <v>911254372</v>
      </c>
      <c r="BT11" s="67"/>
      <c r="BU11" s="32">
        <f t="shared" si="0"/>
        <v>10244127162</v>
      </c>
      <c r="BV11" s="32">
        <f t="shared" si="1"/>
        <v>12630</v>
      </c>
      <c r="BW11" s="32">
        <f t="shared" si="2"/>
        <v>1718136</v>
      </c>
      <c r="BX11" s="32">
        <f t="shared" si="3"/>
        <v>136551236</v>
      </c>
      <c r="BY11" s="32">
        <f t="shared" si="4"/>
        <v>83380889</v>
      </c>
      <c r="BZ11" s="32">
        <f t="shared" si="5"/>
        <v>359603074</v>
      </c>
      <c r="CA11" s="32">
        <f t="shared" si="6"/>
        <v>314441373</v>
      </c>
      <c r="CB11" s="32">
        <f t="shared" si="7"/>
        <v>2424406</v>
      </c>
      <c r="CC11" s="32">
        <f t="shared" si="8"/>
        <v>41891387</v>
      </c>
      <c r="CD11" s="41">
        <f t="shared" si="9"/>
        <v>1</v>
      </c>
      <c r="CE11" s="44">
        <f t="shared" si="10"/>
        <v>8</v>
      </c>
      <c r="CF11" s="27"/>
      <c r="CG11" s="28">
        <f t="shared" si="11"/>
        <v>811.09478717339664</v>
      </c>
      <c r="CH11" s="28">
        <f t="shared" si="12"/>
        <v>7.3509896771850425</v>
      </c>
      <c r="CI11" s="28">
        <f t="shared" si="13"/>
        <v>79.476383708856574</v>
      </c>
      <c r="CJ11" s="28">
        <f t="shared" si="14"/>
        <v>209.29837568155256</v>
      </c>
      <c r="CK11" s="23">
        <f t="shared" si="15"/>
        <v>5.787361492709707E-2</v>
      </c>
      <c r="CL11" s="29" t="str">
        <f t="shared" si="16"/>
        <v/>
      </c>
      <c r="CM11" s="29" t="str">
        <f t="shared" si="17"/>
        <v/>
      </c>
      <c r="CN11" s="29" t="str">
        <f t="shared" si="18"/>
        <v/>
      </c>
      <c r="CO11" s="29" t="str">
        <f t="shared" si="19"/>
        <v/>
      </c>
      <c r="CP11" s="29" t="str">
        <f t="shared" si="20"/>
        <v/>
      </c>
      <c r="CQ11" s="29">
        <f t="shared" si="21"/>
        <v>0</v>
      </c>
      <c r="CR11" s="13"/>
      <c r="CS11" s="7">
        <f>VLOOKUP(A11,'Empresas 21-23'!$A$2:$M$228,13,0)</f>
        <v>1</v>
      </c>
      <c r="CT11" s="30"/>
      <c r="CU11" s="6">
        <f t="shared" si="22"/>
        <v>9157824104.6000004</v>
      </c>
      <c r="CV11" s="6">
        <f t="shared" si="23"/>
        <v>359603074</v>
      </c>
      <c r="CW11" s="6">
        <f t="shared" si="24"/>
        <v>1082259022</v>
      </c>
      <c r="CX11" s="23">
        <f t="shared" si="58"/>
        <v>0.26406910587184262</v>
      </c>
      <c r="CY11" s="23">
        <f t="shared" si="59"/>
        <v>1.036928217176036E-2</v>
      </c>
      <c r="CZ11" s="6">
        <f t="shared" si="27"/>
        <v>9443615276.8612747</v>
      </c>
      <c r="DA11" s="6">
        <f t="shared" si="28"/>
        <v>370825323.18205142</v>
      </c>
      <c r="DB11" s="6">
        <f t="shared" si="29"/>
        <v>136551236</v>
      </c>
      <c r="DC11" s="6">
        <f t="shared" si="30"/>
        <v>145804428</v>
      </c>
      <c r="DD11" s="6">
        <f t="shared" si="31"/>
        <v>83380889</v>
      </c>
      <c r="DE11" s="6">
        <f t="shared" si="32"/>
        <v>314441373</v>
      </c>
      <c r="DF11" s="6">
        <f t="shared" si="33"/>
        <v>84245738.613648891</v>
      </c>
      <c r="DG11" s="30"/>
      <c r="DH11" s="32">
        <f>VLOOKUP(A11,'T_med_comp-USA'!$A$7:$Q$233,17,0)</f>
        <v>10.425215746535534</v>
      </c>
      <c r="DI11" s="6" t="str">
        <f t="shared" si="34"/>
        <v>7_2013</v>
      </c>
      <c r="DJ11" s="32">
        <f>IF(DI11="","",VLOOKUP(DI11,'CPI USA'!$T:$U,2,FALSE))</f>
        <v>233.596</v>
      </c>
      <c r="DK11" s="32">
        <f>IF(DI11="","",VLOOKUP(DI11,'PPI USA'!$S:$T,2,FALSE))</f>
        <v>176</v>
      </c>
      <c r="DL11" s="32">
        <f>IF(DI11="","",VLOOKUP(DI11,'CPI USA'!$T:$V,3,FALSE))</f>
        <v>0.67305131835944076</v>
      </c>
      <c r="DM11" s="32">
        <f>IF(DI11="","",VLOOKUP(DI11,'CPI USA'!$T:$X,5,FALSE))</f>
        <v>0.50163050295255052</v>
      </c>
      <c r="DN11" s="32">
        <f t="shared" si="35"/>
        <v>1.3680354489709332</v>
      </c>
      <c r="DO11" s="32">
        <f t="shared" si="36"/>
        <v>1.3801391301464276</v>
      </c>
      <c r="DP11" s="32">
        <f t="shared" si="37"/>
        <v>0.29493367518705632</v>
      </c>
      <c r="DQ11" s="32">
        <f>IF(DP11="","",DP11*$DO$1/'CPI USA'!$U$532+(1-DP11)*AVERAGE($DO$1,$DQ$1)/AVERAGE('CPI USA'!$U$532,'PPI USA'!$T$538))</f>
        <v>1.0404908757500182</v>
      </c>
      <c r="DR11" s="6">
        <f t="shared" si="38"/>
        <v>29062821</v>
      </c>
      <c r="DS11" s="32">
        <f t="shared" si="39"/>
        <v>0.34863830639728688</v>
      </c>
      <c r="DT11" s="28">
        <f>IF(DS11="","",DS11*$DO$1/'CPI USA'!$U$532+(1-DS11)*AVERAGE($DO$1,$DQ$1)/AVERAGE('CPI USA'!$U$532,'PPI USA'!$T$538))</f>
        <v>1.0392514330162816</v>
      </c>
      <c r="DU11" s="6">
        <f t="shared" si="40"/>
        <v>92267536.261022612</v>
      </c>
      <c r="DV11" s="6">
        <f t="shared" si="41"/>
        <v>1708836.1833484157</v>
      </c>
      <c r="DW11" s="6">
        <f t="shared" si="42"/>
        <v>13036859.29421586</v>
      </c>
      <c r="DX11" s="16">
        <f t="shared" si="43"/>
        <v>0.2</v>
      </c>
      <c r="DY11" s="28">
        <f>IF(DX11="","",DX11*$DO$1/'CPI USA'!$U$532+(1-DX11)*AVERAGE($DO$1,$DQ$1)/AVERAGE('CPI USA'!$U$532,'PPI USA'!$T$538))</f>
        <v>1.0426818386380585</v>
      </c>
      <c r="DZ11" s="30"/>
      <c r="EA11" s="29" t="str">
        <f t="shared" si="44"/>
        <v>C000135</v>
      </c>
      <c r="EB11" s="29">
        <f t="shared" si="45"/>
        <v>12919200465.189678</v>
      </c>
      <c r="EC11" s="29">
        <f t="shared" si="46"/>
        <v>511790538.97274435</v>
      </c>
      <c r="ED11" s="29">
        <f t="shared" si="47"/>
        <v>151708176.97795048</v>
      </c>
      <c r="EE11" s="29">
        <f t="shared" si="48"/>
        <v>86653708.379421517</v>
      </c>
      <c r="EF11" s="29">
        <f t="shared" si="49"/>
        <v>87841501.635100707</v>
      </c>
      <c r="EG11" s="29">
        <f t="shared" si="50"/>
        <v>12630</v>
      </c>
      <c r="EH11" s="29">
        <f t="shared" si="51"/>
        <v>1718136</v>
      </c>
      <c r="EI11" s="29">
        <f t="shared" si="52"/>
        <v>2424406</v>
      </c>
      <c r="EJ11" s="29">
        <f t="shared" si="53"/>
        <v>41891387</v>
      </c>
      <c r="EK11" s="29">
        <f t="shared" si="54"/>
        <v>43937731.203045681</v>
      </c>
      <c r="EL11" s="29">
        <f>IF(CD11=1,VLOOKUP(EA11,'EIA 2023'!$A$2:$J$213,4,0)*EH11,"")</f>
        <v>250143420.24000001</v>
      </c>
      <c r="EM11" s="29">
        <f>IF(CD11=1,VLOOKUP(EA11,'EIA 2023'!$A$2:$J$213,7,0)*EH11,"")</f>
        <v>2645929.44</v>
      </c>
      <c r="EN11" s="29">
        <f>IF(CD11=1,VLOOKUP(EA11,'EIA 2023'!$A$2:$J$213,10,0),"")</f>
        <v>1563874</v>
      </c>
      <c r="EO11" s="28">
        <f>IF(CD11=1,VLOOKUP(EA11,'EIA 2023'!$A$2:$Z$213,26,0),"")</f>
        <v>0</v>
      </c>
      <c r="EP11" s="23">
        <f t="shared" si="55"/>
        <v>4.6573733941543072E-2</v>
      </c>
      <c r="EQ11" s="32">
        <f t="shared" si="56"/>
        <v>378061.79695431516</v>
      </c>
      <c r="ER11" s="32">
        <f t="shared" si="57"/>
        <v>2046344.2030456848</v>
      </c>
      <c r="ES11" s="32"/>
      <c r="ET11" s="32"/>
    </row>
    <row r="12" spans="1:150" ht="14.5">
      <c r="A12" s="7" t="s">
        <v>237</v>
      </c>
      <c r="B12" s="7" t="s">
        <v>238</v>
      </c>
      <c r="C12" s="32" t="s">
        <v>1097</v>
      </c>
      <c r="D12" s="42">
        <v>287359316</v>
      </c>
      <c r="E12" s="42">
        <v>0</v>
      </c>
      <c r="F12" s="42">
        <v>1051008196</v>
      </c>
      <c r="G12" s="42">
        <v>660448144</v>
      </c>
      <c r="H12" s="42">
        <v>662712416</v>
      </c>
      <c r="I12" s="42">
        <v>1188496</v>
      </c>
      <c r="J12" s="42">
        <v>187703</v>
      </c>
      <c r="K12" s="42">
        <v>3307862</v>
      </c>
      <c r="L12" s="42">
        <v>5158258</v>
      </c>
      <c r="M12" s="42">
        <v>4404838</v>
      </c>
      <c r="N12" s="42">
        <v>4700754</v>
      </c>
      <c r="O12" s="42">
        <v>25436503</v>
      </c>
      <c r="P12" s="42">
        <v>1126701</v>
      </c>
      <c r="Q12" s="42">
        <v>1678848</v>
      </c>
      <c r="R12" s="42">
        <v>0</v>
      </c>
      <c r="S12" s="42">
        <v>3668387</v>
      </c>
      <c r="T12" s="42">
        <v>70106788</v>
      </c>
      <c r="U12" s="42">
        <v>6365818</v>
      </c>
      <c r="V12" s="42">
        <v>181251</v>
      </c>
      <c r="W12" s="42">
        <v>360893</v>
      </c>
      <c r="X12" s="42">
        <f>IFERROR(VLOOKUP(A12,'Trans 21-23'!$A$2:$J$229,10,0),0)</f>
        <v>21529794</v>
      </c>
      <c r="Y12" s="42">
        <v>6037500</v>
      </c>
      <c r="Z12" s="42">
        <v>2071250</v>
      </c>
      <c r="AA12" s="42">
        <v>93396714</v>
      </c>
      <c r="AB12" s="42">
        <v>124965137</v>
      </c>
      <c r="AC12" s="42">
        <v>7333979</v>
      </c>
      <c r="AD12" s="42">
        <v>576847165</v>
      </c>
      <c r="AE12" s="42">
        <v>0</v>
      </c>
      <c r="AF12" s="42">
        <v>3150169052</v>
      </c>
      <c r="AG12" s="42">
        <v>1968226</v>
      </c>
      <c r="AH12" s="42">
        <v>2016786</v>
      </c>
      <c r="AI12" s="42">
        <v>45588080</v>
      </c>
      <c r="AJ12" s="42">
        <v>138607</v>
      </c>
      <c r="AK12" s="42">
        <v>0</v>
      </c>
      <c r="AL12" s="42">
        <v>21750264</v>
      </c>
      <c r="AM12" s="42">
        <v>12450255</v>
      </c>
      <c r="AN12" s="42">
        <v>3395705</v>
      </c>
      <c r="AO12" s="42">
        <v>31203</v>
      </c>
      <c r="AP12" s="42">
        <v>3204759</v>
      </c>
      <c r="AQ12" s="42">
        <v>40832186</v>
      </c>
      <c r="AR12" s="42">
        <v>2600501</v>
      </c>
      <c r="AS12" s="42">
        <v>43432687</v>
      </c>
      <c r="AT12" s="42">
        <v>0</v>
      </c>
      <c r="AU12" s="42">
        <v>10235</v>
      </c>
      <c r="AV12" s="42">
        <v>0</v>
      </c>
      <c r="AW12" s="42">
        <v>1429378694</v>
      </c>
      <c r="AX12" s="42">
        <v>566309787</v>
      </c>
      <c r="AY12" s="42">
        <v>1481073148</v>
      </c>
      <c r="AZ12" s="42">
        <v>359272857</v>
      </c>
      <c r="BA12" s="42">
        <v>706828629</v>
      </c>
      <c r="BB12" s="42">
        <v>9065753168</v>
      </c>
      <c r="BC12" s="42">
        <v>25839485216</v>
      </c>
      <c r="BD12" s="42">
        <v>820543999</v>
      </c>
      <c r="BE12" s="42">
        <v>2120470246</v>
      </c>
      <c r="BF12" s="42">
        <v>254892187</v>
      </c>
      <c r="BG12" s="42">
        <v>0</v>
      </c>
      <c r="BH12" s="42">
        <v>39987347</v>
      </c>
      <c r="BI12" s="42">
        <v>21004157</v>
      </c>
      <c r="BJ12" s="42">
        <v>15637341</v>
      </c>
      <c r="BK12" s="42">
        <v>1948657</v>
      </c>
      <c r="BL12" s="42">
        <v>0</v>
      </c>
      <c r="BM12" s="42">
        <v>80713732</v>
      </c>
      <c r="BN12" s="42">
        <v>251303993</v>
      </c>
      <c r="BO12" s="42">
        <v>54294</v>
      </c>
      <c r="BP12" s="42">
        <v>29090415</v>
      </c>
      <c r="BQ12" s="42">
        <v>521382324</v>
      </c>
      <c r="BR12" s="42">
        <v>0</v>
      </c>
      <c r="BS12" s="42">
        <f>IFERROR(VLOOKUP(A12,'Trans 21-23'!$A$2:$J$229,9,0),0)</f>
        <v>2120254080</v>
      </c>
      <c r="BT12" s="67"/>
      <c r="BU12" s="32">
        <f t="shared" si="0"/>
        <v>9065753168</v>
      </c>
      <c r="BV12" s="32">
        <f t="shared" si="1"/>
        <v>10235</v>
      </c>
      <c r="BW12" s="32">
        <f t="shared" si="2"/>
        <v>1968226</v>
      </c>
      <c r="BX12" s="32">
        <f t="shared" si="3"/>
        <v>127873100</v>
      </c>
      <c r="BY12" s="32">
        <f t="shared" si="4"/>
        <v>233804580</v>
      </c>
      <c r="BZ12" s="32">
        <f t="shared" si="5"/>
        <v>359272857</v>
      </c>
      <c r="CA12" s="32">
        <f t="shared" si="6"/>
        <v>576847165</v>
      </c>
      <c r="CB12" s="32">
        <f t="shared" si="7"/>
        <v>2016786</v>
      </c>
      <c r="CC12" s="32">
        <f t="shared" si="8"/>
        <v>40832186</v>
      </c>
      <c r="CD12" s="41">
        <f t="shared" si="9"/>
        <v>1</v>
      </c>
      <c r="CE12" s="44">
        <f t="shared" si="10"/>
        <v>9</v>
      </c>
      <c r="CF12" s="27"/>
      <c r="CG12" s="28">
        <f t="shared" si="11"/>
        <v>885.75995779189066</v>
      </c>
      <c r="CH12" s="28">
        <f t="shared" si="12"/>
        <v>5.2001142145261774</v>
      </c>
      <c r="CI12" s="28">
        <f t="shared" si="13"/>
        <v>64.968707861800425</v>
      </c>
      <c r="CJ12" s="28">
        <f t="shared" si="14"/>
        <v>182.5363840331344</v>
      </c>
      <c r="CK12" s="23">
        <f t="shared" si="15"/>
        <v>4.9392065367257092E-2</v>
      </c>
      <c r="CL12" s="29" t="str">
        <f t="shared" si="16"/>
        <v/>
      </c>
      <c r="CM12" s="29" t="str">
        <f t="shared" si="17"/>
        <v/>
      </c>
      <c r="CN12" s="29" t="str">
        <f t="shared" si="18"/>
        <v/>
      </c>
      <c r="CO12" s="29" t="str">
        <f t="shared" si="19"/>
        <v/>
      </c>
      <c r="CP12" s="29" t="str">
        <f t="shared" si="20"/>
        <v/>
      </c>
      <c r="CQ12" s="29">
        <f t="shared" si="21"/>
        <v>0</v>
      </c>
      <c r="CR12" s="13"/>
      <c r="CS12" s="7">
        <f>VLOOKUP(A12,'Empresas 21-23'!$A$2:$M$228,13,0)</f>
        <v>1</v>
      </c>
      <c r="CT12" s="30"/>
      <c r="CU12" s="6">
        <f t="shared" si="22"/>
        <v>8891476001</v>
      </c>
      <c r="CV12" s="6">
        <f t="shared" si="23"/>
        <v>359272857</v>
      </c>
      <c r="CW12" s="6">
        <f t="shared" si="24"/>
        <v>820543999</v>
      </c>
      <c r="CX12" s="23">
        <f t="shared" si="58"/>
        <v>0.35538977944271971</v>
      </c>
      <c r="CY12" s="23">
        <f t="shared" si="59"/>
        <v>1.4360034418877782E-2</v>
      </c>
      <c r="CZ12" s="6">
        <f t="shared" si="27"/>
        <v>9183088951.8276577</v>
      </c>
      <c r="DA12" s="6">
        <f t="shared" si="28"/>
        <v>371055897.06784362</v>
      </c>
      <c r="DB12" s="6">
        <f t="shared" si="29"/>
        <v>127873100</v>
      </c>
      <c r="DC12" s="6">
        <f t="shared" si="30"/>
        <v>149402894</v>
      </c>
      <c r="DD12" s="6">
        <f t="shared" si="31"/>
        <v>233804580</v>
      </c>
      <c r="DE12" s="6">
        <f t="shared" si="32"/>
        <v>576847165</v>
      </c>
      <c r="DF12" s="6">
        <f t="shared" si="33"/>
        <v>386291395.63621408</v>
      </c>
      <c r="DG12" s="30"/>
      <c r="DH12" s="32">
        <f>VLOOKUP(A12,'T_med_comp-USA'!$A$7:$Q$233,17,0)</f>
        <v>8.8732499255707697</v>
      </c>
      <c r="DI12" s="6" t="str">
        <f t="shared" si="34"/>
        <v>2_2015</v>
      </c>
      <c r="DJ12" s="32">
        <f>IF(DI12="","",VLOOKUP(DI12,'CPI USA'!$T:$U,2,FALSE))</f>
        <v>234.72200000000001</v>
      </c>
      <c r="DK12" s="32">
        <f>IF(DI12="","",VLOOKUP(DI12,'PPI USA'!$S:$T,2,FALSE))</f>
        <v>184.7</v>
      </c>
      <c r="DL12" s="32">
        <f>IF(DI12="","",VLOOKUP(DI12,'CPI USA'!$T:$V,3,FALSE))</f>
        <v>0.6679408278919865</v>
      </c>
      <c r="DM12" s="32">
        <f>IF(DI12="","",VLOOKUP(DI12,'CPI USA'!$T:$X,5,FALSE))</f>
        <v>0.49584761624008583</v>
      </c>
      <c r="DN12" s="32">
        <f t="shared" si="35"/>
        <v>1.3530747060466299</v>
      </c>
      <c r="DO12" s="32">
        <f t="shared" si="36"/>
        <v>1.36062907964979</v>
      </c>
      <c r="DP12" s="32">
        <f t="shared" si="37"/>
        <v>0.31277873321355171</v>
      </c>
      <c r="DQ12" s="32">
        <f>IF(DP12="","",DP12*$DO$1/'CPI USA'!$U$532+(1-DP12)*AVERAGE($DO$1,$DQ$1)/AVERAGE('CPI USA'!$U$532,'PPI USA'!$T$538))</f>
        <v>1.0400790317990292</v>
      </c>
      <c r="DR12" s="6">
        <f t="shared" si="38"/>
        <v>38590155</v>
      </c>
      <c r="DS12" s="32">
        <f t="shared" si="39"/>
        <v>0.2</v>
      </c>
      <c r="DT12" s="28">
        <f>IF(DS12="","",DS12*$DO$1/'CPI USA'!$U$532+(1-DS12)*AVERAGE($DO$1,$DQ$1)/AVERAGE('CPI USA'!$U$532,'PPI USA'!$T$538))</f>
        <v>1.0426818386380585</v>
      </c>
      <c r="DU12" s="6">
        <f t="shared" si="40"/>
        <v>80731170.128669962</v>
      </c>
      <c r="DV12" s="6">
        <f t="shared" si="41"/>
        <v>4769519.7039664937</v>
      </c>
      <c r="DW12" s="6">
        <f t="shared" si="42"/>
        <v>26734277.263654031</v>
      </c>
      <c r="DX12" s="16">
        <f t="shared" si="43"/>
        <v>0.2</v>
      </c>
      <c r="DY12" s="28">
        <f>IF(DX12="","",DX12*$DO$1/'CPI USA'!$U$532+(1-DX12)*AVERAGE($DO$1,$DQ$1)/AVERAGE('CPI USA'!$U$532,'PPI USA'!$T$538))</f>
        <v>1.0426818386380585</v>
      </c>
      <c r="DZ12" s="30"/>
      <c r="EA12" s="29" t="str">
        <f t="shared" si="44"/>
        <v>C000136</v>
      </c>
      <c r="EB12" s="29">
        <f t="shared" si="45"/>
        <v>12425405384.094263</v>
      </c>
      <c r="EC12" s="29">
        <f t="shared" si="46"/>
        <v>504869443.72604728</v>
      </c>
      <c r="ED12" s="29">
        <f t="shared" si="47"/>
        <v>155390817.33949298</v>
      </c>
      <c r="EE12" s="29">
        <f t="shared" si="48"/>
        <v>243783789.35639906</v>
      </c>
      <c r="EF12" s="29">
        <f t="shared" si="49"/>
        <v>402779022.6520294</v>
      </c>
      <c r="EG12" s="29">
        <f t="shared" si="50"/>
        <v>10235</v>
      </c>
      <c r="EH12" s="29">
        <f t="shared" si="51"/>
        <v>1968226</v>
      </c>
      <c r="EI12" s="29">
        <f t="shared" si="52"/>
        <v>2016786</v>
      </c>
      <c r="EJ12" s="29">
        <f t="shared" si="53"/>
        <v>40832186</v>
      </c>
      <c r="EK12" s="29">
        <f t="shared" si="54"/>
        <v>42809370.461928934</v>
      </c>
      <c r="EL12" s="29">
        <f>IF(CD12=1,VLOOKUP(EA12,'EIA 2023'!$A$2:$J$213,4,0)*EH12,"")</f>
        <v>164583058.12</v>
      </c>
      <c r="EM12" s="29">
        <f>IF(CD12=1,VLOOKUP(EA12,'EIA 2023'!$A$2:$J$213,7,0)*EH12,"")</f>
        <v>2125684.08</v>
      </c>
      <c r="EN12" s="29">
        <f>IF(CD12=1,VLOOKUP(EA12,'EIA 2023'!$A$2:$J$213,10,0),"")</f>
        <v>2001254</v>
      </c>
      <c r="EO12" s="28">
        <f>IF(CD12=1,VLOOKUP(EA12,'EIA 2023'!$A$2:$Z$213,26,0),"")</f>
        <v>0</v>
      </c>
      <c r="EP12" s="23">
        <f t="shared" si="55"/>
        <v>4.6185786910538103E-2</v>
      </c>
      <c r="EQ12" s="32">
        <f t="shared" si="56"/>
        <v>39601.538071066141</v>
      </c>
      <c r="ER12" s="32">
        <f t="shared" si="57"/>
        <v>1977184.4619289339</v>
      </c>
      <c r="ES12" s="32"/>
      <c r="ET12" s="32"/>
    </row>
    <row r="13" spans="1:150" ht="14.5">
      <c r="A13" s="7" t="s">
        <v>240</v>
      </c>
      <c r="B13" s="7" t="s">
        <v>241</v>
      </c>
      <c r="C13" s="32" t="s">
        <v>1098</v>
      </c>
      <c r="D13" s="42">
        <v>60636604</v>
      </c>
      <c r="E13" s="42">
        <v>0</v>
      </c>
      <c r="F13" s="42">
        <v>396650165</v>
      </c>
      <c r="G13" s="42">
        <v>1008414381</v>
      </c>
      <c r="H13" s="42">
        <v>1102585010</v>
      </c>
      <c r="I13" s="42">
        <v>2634172</v>
      </c>
      <c r="J13" s="42">
        <v>2448778</v>
      </c>
      <c r="K13" s="42">
        <v>1544259</v>
      </c>
      <c r="L13" s="42">
        <v>6167558</v>
      </c>
      <c r="M13" s="42">
        <v>6079282</v>
      </c>
      <c r="N13" s="42">
        <v>6343306</v>
      </c>
      <c r="O13" s="42">
        <v>13730791</v>
      </c>
      <c r="P13" s="42">
        <v>1382349</v>
      </c>
      <c r="Q13" s="42">
        <v>167637</v>
      </c>
      <c r="R13" s="42">
        <v>0</v>
      </c>
      <c r="S13" s="42">
        <v>1750921</v>
      </c>
      <c r="T13" s="42">
        <v>40799400</v>
      </c>
      <c r="U13" s="42">
        <v>16272732</v>
      </c>
      <c r="V13" s="42">
        <v>177127</v>
      </c>
      <c r="W13" s="42">
        <v>0</v>
      </c>
      <c r="X13" s="42">
        <f>IFERROR(VLOOKUP(A13,'Trans 21-23'!$A$2:$J$229,10,0),0)</f>
        <v>7291378</v>
      </c>
      <c r="Y13" s="42">
        <v>4258764</v>
      </c>
      <c r="Z13" s="42">
        <v>889059</v>
      </c>
      <c r="AA13" s="42">
        <v>59970042</v>
      </c>
      <c r="AB13" s="42">
        <v>147068895</v>
      </c>
      <c r="AC13" s="42">
        <v>1231798</v>
      </c>
      <c r="AD13" s="42">
        <v>172081054</v>
      </c>
      <c r="AE13" s="42">
        <v>0</v>
      </c>
      <c r="AF13" s="42">
        <v>2356089699</v>
      </c>
      <c r="AG13" s="42">
        <v>1224334</v>
      </c>
      <c r="AH13" s="42">
        <v>1090701</v>
      </c>
      <c r="AI13" s="42">
        <v>31313298</v>
      </c>
      <c r="AJ13" s="42">
        <v>23211</v>
      </c>
      <c r="AK13" s="42">
        <v>0</v>
      </c>
      <c r="AL13" s="42">
        <v>11387970</v>
      </c>
      <c r="AM13" s="42">
        <v>8637063</v>
      </c>
      <c r="AN13" s="42">
        <v>1070933</v>
      </c>
      <c r="AO13" s="42">
        <v>69796</v>
      </c>
      <c r="AP13" s="42">
        <v>0</v>
      </c>
      <c r="AQ13" s="42">
        <v>21165762</v>
      </c>
      <c r="AR13" s="42">
        <v>9033624</v>
      </c>
      <c r="AS13" s="42">
        <v>30199386</v>
      </c>
      <c r="AT13" s="42">
        <v>0</v>
      </c>
      <c r="AU13" s="42">
        <v>4329</v>
      </c>
      <c r="AV13" s="42">
        <v>0</v>
      </c>
      <c r="AW13" s="42">
        <v>708134053</v>
      </c>
      <c r="AX13" s="42">
        <v>940872374</v>
      </c>
      <c r="AY13" s="42">
        <v>1306877351</v>
      </c>
      <c r="AZ13" s="42">
        <v>262880946</v>
      </c>
      <c r="BA13" s="42">
        <v>67573205</v>
      </c>
      <c r="BB13" s="42">
        <v>5283922742</v>
      </c>
      <c r="BC13" s="42">
        <v>11651187515</v>
      </c>
      <c r="BD13" s="42">
        <v>316657583</v>
      </c>
      <c r="BE13" s="42">
        <v>2008273620</v>
      </c>
      <c r="BF13" s="42">
        <v>171427092</v>
      </c>
      <c r="BG13" s="42">
        <v>0</v>
      </c>
      <c r="BH13" s="42">
        <v>40805168</v>
      </c>
      <c r="BI13" s="42">
        <v>10042836</v>
      </c>
      <c r="BJ13" s="42">
        <v>2377648</v>
      </c>
      <c r="BK13" s="42">
        <v>834733</v>
      </c>
      <c r="BL13" s="42">
        <v>0</v>
      </c>
      <c r="BM13" s="42">
        <v>42547415</v>
      </c>
      <c r="BN13" s="42">
        <v>139741944</v>
      </c>
      <c r="BO13" s="42">
        <v>1183428</v>
      </c>
      <c r="BP13" s="42">
        <v>29561888</v>
      </c>
      <c r="BQ13" s="42">
        <v>432784061</v>
      </c>
      <c r="BR13" s="42">
        <v>0</v>
      </c>
      <c r="BS13" s="42">
        <f>IFERROR(VLOOKUP(A13,'Trans 21-23'!$A$2:$J$229,9,0),0)</f>
        <v>718054895</v>
      </c>
      <c r="BT13" s="67"/>
      <c r="BU13" s="32">
        <f t="shared" si="0"/>
        <v>5283922742</v>
      </c>
      <c r="BV13" s="32">
        <f t="shared" si="1"/>
        <v>4329</v>
      </c>
      <c r="BW13" s="32">
        <f t="shared" si="2"/>
        <v>1224334</v>
      </c>
      <c r="BX13" s="32">
        <f t="shared" si="3"/>
        <v>99498312</v>
      </c>
      <c r="BY13" s="32">
        <f t="shared" si="4"/>
        <v>213418558</v>
      </c>
      <c r="BZ13" s="32">
        <f t="shared" si="5"/>
        <v>262880946</v>
      </c>
      <c r="CA13" s="32">
        <f t="shared" si="6"/>
        <v>172081054</v>
      </c>
      <c r="CB13" s="32">
        <f t="shared" si="7"/>
        <v>1090701</v>
      </c>
      <c r="CC13" s="32">
        <f t="shared" si="8"/>
        <v>21165762</v>
      </c>
      <c r="CD13" s="41">
        <f t="shared" si="9"/>
        <v>1</v>
      </c>
      <c r="CE13" s="44">
        <f t="shared" si="10"/>
        <v>11</v>
      </c>
      <c r="CF13" s="27"/>
      <c r="CG13" s="28">
        <f t="shared" si="11"/>
        <v>1220.5873739893739</v>
      </c>
      <c r="CH13" s="28">
        <f t="shared" si="12"/>
        <v>3.5357998716036638</v>
      </c>
      <c r="CI13" s="28">
        <f t="shared" si="13"/>
        <v>81.267294708796783</v>
      </c>
      <c r="CJ13" s="28">
        <f t="shared" si="14"/>
        <v>214.71342460472388</v>
      </c>
      <c r="CK13" s="23">
        <f t="shared" si="15"/>
        <v>5.1531383561810813E-2</v>
      </c>
      <c r="CL13" s="29" t="str">
        <f t="shared" si="16"/>
        <v/>
      </c>
      <c r="CM13" s="29" t="str">
        <f t="shared" si="17"/>
        <v/>
      </c>
      <c r="CN13" s="29" t="str">
        <f t="shared" si="18"/>
        <v/>
      </c>
      <c r="CO13" s="29" t="str">
        <f t="shared" si="19"/>
        <v/>
      </c>
      <c r="CP13" s="29" t="str">
        <f t="shared" si="20"/>
        <v/>
      </c>
      <c r="CQ13" s="29">
        <f t="shared" si="21"/>
        <v>0</v>
      </c>
      <c r="CR13" s="13"/>
      <c r="CS13" s="7">
        <f>VLOOKUP(A13,'Empresas 21-23'!$A$2:$M$228,13,0)</f>
        <v>1</v>
      </c>
      <c r="CT13" s="30"/>
      <c r="CU13" s="6">
        <f t="shared" si="22"/>
        <v>4322873651</v>
      </c>
      <c r="CV13" s="6">
        <f t="shared" si="23"/>
        <v>262880946</v>
      </c>
      <c r="CW13" s="6">
        <f t="shared" si="24"/>
        <v>316657583</v>
      </c>
      <c r="CX13" s="23">
        <f t="shared" si="58"/>
        <v>0.38138976004602781</v>
      </c>
      <c r="CY13" s="23">
        <f t="shared" si="59"/>
        <v>2.3192928826966726E-2</v>
      </c>
      <c r="CZ13" s="6">
        <f t="shared" si="27"/>
        <v>4443643610.5971251</v>
      </c>
      <c r="DA13" s="6">
        <f t="shared" si="28"/>
        <v>270225162.78503829</v>
      </c>
      <c r="DB13" s="6">
        <f t="shared" si="29"/>
        <v>99498312</v>
      </c>
      <c r="DC13" s="6">
        <f t="shared" si="30"/>
        <v>106789690</v>
      </c>
      <c r="DD13" s="6">
        <f t="shared" si="31"/>
        <v>213418558</v>
      </c>
      <c r="DE13" s="6">
        <f t="shared" si="32"/>
        <v>172081054</v>
      </c>
      <c r="DF13" s="6">
        <f t="shared" si="33"/>
        <v>88284759.028051689</v>
      </c>
      <c r="DG13" s="30"/>
      <c r="DH13" s="32">
        <f>VLOOKUP(A13,'T_med_comp-USA'!$A$7:$Q$233,17,0)</f>
        <v>11.536986133645689</v>
      </c>
      <c r="DI13" s="6" t="str">
        <f t="shared" si="34"/>
        <v>6_2012</v>
      </c>
      <c r="DJ13" s="32">
        <f>IF(DI13="","",VLOOKUP(DI13,'CPI USA'!$T:$U,2,FALSE))</f>
        <v>229.59399999999999</v>
      </c>
      <c r="DK13" s="32">
        <f>IF(DI13="","",VLOOKUP(DI13,'PPI USA'!$S:$T,2,FALSE))</f>
        <v>175.1</v>
      </c>
      <c r="DL13" s="32">
        <f>IF(DI13="","",VLOOKUP(DI13,'CPI USA'!$T:$V,3,FALSE))</f>
        <v>0.66730871354337351</v>
      </c>
      <c r="DM13" s="32">
        <f>IF(DI13="","",VLOOKUP(DI13,'CPI USA'!$T:$X,5,FALSE))</f>
        <v>0.49513551903851311</v>
      </c>
      <c r="DN13" s="32">
        <f t="shared" si="35"/>
        <v>1.3897894616766442</v>
      </c>
      <c r="DO13" s="32">
        <f t="shared" si="36"/>
        <v>1.4008620811189902</v>
      </c>
      <c r="DP13" s="32">
        <f t="shared" si="37"/>
        <v>0.41358222622598717</v>
      </c>
      <c r="DQ13" s="32">
        <f>IF(DP13="","",DP13*$DO$1/'CPI USA'!$U$532+(1-DP13)*AVERAGE($DO$1,$DQ$1)/AVERAGE('CPI USA'!$U$532,'PPI USA'!$T$538))</f>
        <v>1.0377526000903661</v>
      </c>
      <c r="DR13" s="6">
        <f t="shared" si="38"/>
        <v>13255217</v>
      </c>
      <c r="DS13" s="32">
        <f t="shared" si="39"/>
        <v>0.2</v>
      </c>
      <c r="DT13" s="28">
        <f>IF(DS13="","",DS13*$DO$1/'CPI USA'!$U$532+(1-DS13)*AVERAGE($DO$1,$DQ$1)/AVERAGE('CPI USA'!$U$532,'PPI USA'!$T$538))</f>
        <v>1.0426818386380585</v>
      </c>
      <c r="DU13" s="6">
        <f t="shared" si="40"/>
        <v>42907734.892491408</v>
      </c>
      <c r="DV13" s="6">
        <f t="shared" si="41"/>
        <v>3119327.2620935952</v>
      </c>
      <c r="DW13" s="6">
        <f t="shared" si="42"/>
        <v>17805968.83993395</v>
      </c>
      <c r="DX13" s="16">
        <f t="shared" si="43"/>
        <v>0.20168791347412823</v>
      </c>
      <c r="DY13" s="28">
        <f>IF(DX13="","",DX13*$DO$1/'CPI USA'!$U$532+(1-DX13)*AVERAGE($DO$1,$DQ$1)/AVERAGE('CPI USA'!$U$532,'PPI USA'!$T$538))</f>
        <v>1.0426428834857087</v>
      </c>
      <c r="DZ13" s="30"/>
      <c r="EA13" s="29" t="str">
        <f t="shared" si="44"/>
        <v>C000171</v>
      </c>
      <c r="EB13" s="29">
        <f t="shared" si="45"/>
        <v>6175729061.4546375</v>
      </c>
      <c r="EC13" s="29">
        <f t="shared" si="46"/>
        <v>378548183.90976667</v>
      </c>
      <c r="ED13" s="29">
        <f t="shared" si="47"/>
        <v>110821278.46034417</v>
      </c>
      <c r="EE13" s="29">
        <f t="shared" si="48"/>
        <v>222527654.45492312</v>
      </c>
      <c r="EF13" s="29">
        <f t="shared" si="49"/>
        <v>92049475.720848769</v>
      </c>
      <c r="EG13" s="29">
        <f t="shared" si="50"/>
        <v>4329</v>
      </c>
      <c r="EH13" s="29">
        <f t="shared" si="51"/>
        <v>1224334</v>
      </c>
      <c r="EI13" s="29">
        <f t="shared" si="52"/>
        <v>1090701</v>
      </c>
      <c r="EJ13" s="29">
        <f t="shared" si="53"/>
        <v>21165762</v>
      </c>
      <c r="EK13" s="29">
        <f t="shared" si="54"/>
        <v>22118895.121827409</v>
      </c>
      <c r="EL13" s="29">
        <f>IF(CD13=1,VLOOKUP(EA13,'EIA 2023'!$A$2:$J$213,4,0)*EH13,"")</f>
        <v>204463778</v>
      </c>
      <c r="EM13" s="29">
        <f>IF(CD13=1,VLOOKUP(EA13,'EIA 2023'!$A$2:$J$213,7,0)*EH13,"")</f>
        <v>1591634.2</v>
      </c>
      <c r="EN13" s="29">
        <f>IF(CD13=1,VLOOKUP(EA13,'EIA 2023'!$A$2:$J$213,10,0),"")</f>
        <v>1261526</v>
      </c>
      <c r="EO13" s="28">
        <f>IF(CD13=1,VLOOKUP(EA13,'EIA 2023'!$A$2:$Z$213,26,0),"")</f>
        <v>0</v>
      </c>
      <c r="EP13" s="23">
        <f t="shared" si="55"/>
        <v>4.3091353188199621E-2</v>
      </c>
      <c r="EQ13" s="32">
        <f t="shared" si="56"/>
        <v>137567.87817258947</v>
      </c>
      <c r="ER13" s="32">
        <f t="shared" si="57"/>
        <v>953133.12182741053</v>
      </c>
      <c r="ES13" s="32"/>
      <c r="ET13" s="32"/>
    </row>
    <row r="14" spans="1:150" ht="14.5">
      <c r="A14" s="7" t="s">
        <v>243</v>
      </c>
      <c r="B14" s="7" t="s">
        <v>244</v>
      </c>
      <c r="C14" s="32" t="s">
        <v>1099</v>
      </c>
      <c r="D14" s="42">
        <v>225697846</v>
      </c>
      <c r="E14" s="42">
        <v>0</v>
      </c>
      <c r="F14" s="42">
        <v>221558070</v>
      </c>
      <c r="G14" s="42">
        <v>945265110</v>
      </c>
      <c r="H14" s="42">
        <v>953607928</v>
      </c>
      <c r="I14" s="42">
        <v>30586891</v>
      </c>
      <c r="J14" s="42">
        <v>786582</v>
      </c>
      <c r="K14" s="42">
        <v>0</v>
      </c>
      <c r="L14" s="42">
        <v>52305103</v>
      </c>
      <c r="M14" s="42">
        <v>8122735</v>
      </c>
      <c r="N14" s="42">
        <v>4333226</v>
      </c>
      <c r="O14" s="42">
        <v>23111003</v>
      </c>
      <c r="P14" s="42">
        <v>2892683</v>
      </c>
      <c r="Q14" s="42">
        <v>4317481</v>
      </c>
      <c r="R14" s="42">
        <v>691770</v>
      </c>
      <c r="S14" s="42">
        <v>14051144</v>
      </c>
      <c r="T14" s="42">
        <v>236184772</v>
      </c>
      <c r="U14" s="42">
        <v>2011012</v>
      </c>
      <c r="V14" s="42">
        <v>216391</v>
      </c>
      <c r="W14" s="42">
        <v>64460</v>
      </c>
      <c r="X14" s="42">
        <f>IFERROR(VLOOKUP(A14,'Trans 21-23'!$A$2:$J$229,10,0),0)</f>
        <v>0</v>
      </c>
      <c r="Y14" s="42">
        <v>3429939</v>
      </c>
      <c r="Z14" s="42">
        <v>4090750</v>
      </c>
      <c r="AA14" s="42">
        <v>73576878</v>
      </c>
      <c r="AB14" s="42">
        <v>252998621</v>
      </c>
      <c r="AC14" s="42">
        <v>72291</v>
      </c>
      <c r="AD14" s="42">
        <v>67226782</v>
      </c>
      <c r="AE14" s="42">
        <v>0</v>
      </c>
      <c r="AF14" s="42">
        <v>2796122328</v>
      </c>
      <c r="AG14" s="42">
        <v>1884291</v>
      </c>
      <c r="AH14" s="42">
        <v>1645322</v>
      </c>
      <c r="AI14" s="42">
        <v>38273456</v>
      </c>
      <c r="AJ14" s="42">
        <v>53322</v>
      </c>
      <c r="AK14" s="42">
        <v>0</v>
      </c>
      <c r="AL14" s="42">
        <v>12207836</v>
      </c>
      <c r="AM14" s="42">
        <v>11553323</v>
      </c>
      <c r="AN14" s="42">
        <v>8547339</v>
      </c>
      <c r="AO14" s="42">
        <v>109179</v>
      </c>
      <c r="AP14" s="42">
        <v>0</v>
      </c>
      <c r="AQ14" s="42">
        <v>32449010</v>
      </c>
      <c r="AR14" s="42">
        <v>4125802</v>
      </c>
      <c r="AS14" s="42">
        <v>36574812</v>
      </c>
      <c r="AT14" s="42">
        <v>0</v>
      </c>
      <c r="AU14" s="42">
        <v>7518</v>
      </c>
      <c r="AV14" s="42">
        <v>0</v>
      </c>
      <c r="AW14" s="42">
        <v>2162490101</v>
      </c>
      <c r="AX14" s="42">
        <v>215275514</v>
      </c>
      <c r="AY14" s="42">
        <v>787342206</v>
      </c>
      <c r="AZ14" s="42">
        <v>646854200</v>
      </c>
      <c r="BA14" s="42">
        <v>196700480</v>
      </c>
      <c r="BB14" s="42">
        <v>11261171884</v>
      </c>
      <c r="BC14" s="42">
        <v>19415715324</v>
      </c>
      <c r="BD14" s="42">
        <v>359702882</v>
      </c>
      <c r="BE14" s="42">
        <v>3538056111</v>
      </c>
      <c r="BF14" s="42">
        <v>321744926</v>
      </c>
      <c r="BG14" s="42">
        <v>0</v>
      </c>
      <c r="BH14" s="42">
        <v>204387426</v>
      </c>
      <c r="BI14" s="42">
        <v>22605665</v>
      </c>
      <c r="BJ14" s="42">
        <v>11336033</v>
      </c>
      <c r="BK14" s="42">
        <v>53780</v>
      </c>
      <c r="BL14" s="42">
        <v>0</v>
      </c>
      <c r="BM14" s="42">
        <v>69687406</v>
      </c>
      <c r="BN14" s="42">
        <v>401751945</v>
      </c>
      <c r="BO14" s="42">
        <v>95591910</v>
      </c>
      <c r="BP14" s="42">
        <v>132217823</v>
      </c>
      <c r="BQ14" s="42">
        <v>1189711788</v>
      </c>
      <c r="BR14" s="42">
        <v>31333</v>
      </c>
      <c r="BS14" s="42">
        <f>IFERROR(VLOOKUP(A14,'Trans 21-23'!$A$2:$J$229,9,0),0)</f>
        <v>0</v>
      </c>
      <c r="BT14" s="67"/>
      <c r="BU14" s="32">
        <f t="shared" si="0"/>
        <v>11261171884</v>
      </c>
      <c r="BV14" s="32">
        <f t="shared" si="1"/>
        <v>7518</v>
      </c>
      <c r="BW14" s="32">
        <f t="shared" si="2"/>
        <v>1884291</v>
      </c>
      <c r="BX14" s="32">
        <f t="shared" si="3"/>
        <v>379675253</v>
      </c>
      <c r="BY14" s="32">
        <f t="shared" si="4"/>
        <v>334168479</v>
      </c>
      <c r="BZ14" s="32">
        <f t="shared" si="5"/>
        <v>646854200</v>
      </c>
      <c r="CA14" s="32">
        <f t="shared" si="6"/>
        <v>67226782</v>
      </c>
      <c r="CB14" s="32">
        <f t="shared" si="7"/>
        <v>1645322</v>
      </c>
      <c r="CC14" s="32">
        <f t="shared" si="8"/>
        <v>32449010</v>
      </c>
      <c r="CD14" s="41">
        <f t="shared" si="9"/>
        <v>1</v>
      </c>
      <c r="CE14" s="44">
        <f t="shared" si="10"/>
        <v>11</v>
      </c>
      <c r="CF14" s="27"/>
      <c r="CG14" s="28">
        <f t="shared" si="11"/>
        <v>1497.8946374035647</v>
      </c>
      <c r="CH14" s="28">
        <f t="shared" si="12"/>
        <v>3.989829596383998</v>
      </c>
      <c r="CI14" s="28">
        <f t="shared" si="13"/>
        <v>201.4950201428548</v>
      </c>
      <c r="CJ14" s="28">
        <f t="shared" si="14"/>
        <v>343.28784672855733</v>
      </c>
      <c r="CK14" s="23">
        <f t="shared" si="15"/>
        <v>5.0704844308038982E-2</v>
      </c>
      <c r="CL14" s="29" t="str">
        <f t="shared" si="16"/>
        <v/>
      </c>
      <c r="CM14" s="29" t="str">
        <f t="shared" si="17"/>
        <v/>
      </c>
      <c r="CN14" s="29" t="str">
        <f t="shared" si="18"/>
        <v/>
      </c>
      <c r="CO14" s="29" t="str">
        <f t="shared" si="19"/>
        <v/>
      </c>
      <c r="CP14" s="29" t="str">
        <f t="shared" si="20"/>
        <v/>
      </c>
      <c r="CQ14" s="29">
        <f t="shared" si="21"/>
        <v>0</v>
      </c>
      <c r="CR14" s="13"/>
      <c r="CS14" s="7">
        <f>VLOOKUP(A14,'Empresas 21-23'!$A$2:$M$228,13,0)</f>
        <v>1</v>
      </c>
      <c r="CT14" s="30"/>
      <c r="CU14" s="6">
        <f t="shared" si="22"/>
        <v>9816046572</v>
      </c>
      <c r="CV14" s="6">
        <f t="shared" si="23"/>
        <v>646854200</v>
      </c>
      <c r="CW14" s="6">
        <f t="shared" si="24"/>
        <v>359702882</v>
      </c>
      <c r="CX14" s="23">
        <f t="shared" si="58"/>
        <v>0.51511545775259626</v>
      </c>
      <c r="CY14" s="23">
        <f t="shared" si="59"/>
        <v>3.3944887576496052E-2</v>
      </c>
      <c r="CZ14" s="6">
        <f t="shared" si="27"/>
        <v>10001335086.716358</v>
      </c>
      <c r="DA14" s="6">
        <f t="shared" si="28"/>
        <v>659064273.89043164</v>
      </c>
      <c r="DB14" s="6">
        <f t="shared" si="29"/>
        <v>379675253</v>
      </c>
      <c r="DC14" s="6">
        <f t="shared" si="30"/>
        <v>379675253</v>
      </c>
      <c r="DD14" s="6">
        <f t="shared" si="31"/>
        <v>334168479</v>
      </c>
      <c r="DE14" s="6">
        <f t="shared" si="32"/>
        <v>67226782</v>
      </c>
      <c r="DF14" s="6">
        <f t="shared" si="33"/>
        <v>36135746.519423395</v>
      </c>
      <c r="DG14" s="30"/>
      <c r="DH14" s="32">
        <f>VLOOKUP(A14,'T_med_comp-USA'!$A$7:$Q$233,17,0)</f>
        <v>11.123732637406361</v>
      </c>
      <c r="DI14" s="6" t="str">
        <f t="shared" si="34"/>
        <v>11_2012</v>
      </c>
      <c r="DJ14" s="32">
        <f>IF(DI14="","",VLOOKUP(DI14,'CPI USA'!$T:$U,2,FALSE))</f>
        <v>229.59399999999999</v>
      </c>
      <c r="DK14" s="32">
        <f>IF(DI14="","",VLOOKUP(DI14,'PPI USA'!$S:$T,2,FALSE))</f>
        <v>175.1</v>
      </c>
      <c r="DL14" s="32">
        <f>IF(DI14="","",VLOOKUP(DI14,'CPI USA'!$T:$V,3,FALSE))</f>
        <v>0.66730871354337351</v>
      </c>
      <c r="DM14" s="32">
        <f>IF(DI14="","",VLOOKUP(DI14,'CPI USA'!$T:$X,5,FALSE))</f>
        <v>0.49513551903851311</v>
      </c>
      <c r="DN14" s="32">
        <f t="shared" si="35"/>
        <v>1.3897894616766442</v>
      </c>
      <c r="DO14" s="32">
        <f t="shared" si="36"/>
        <v>1.4008620811189902</v>
      </c>
      <c r="DP14" s="32">
        <f t="shared" si="37"/>
        <v>0.66640868995942359</v>
      </c>
      <c r="DQ14" s="32">
        <f>IF(DP14="","",DP14*$DO$1/'CPI USA'!$U$532+(1-DP14)*AVERAGE($DO$1,$DQ$1)/AVERAGE('CPI USA'!$U$532,'PPI USA'!$T$538))</f>
        <v>1.0319176484985002</v>
      </c>
      <c r="DR14" s="6">
        <f t="shared" si="38"/>
        <v>33995478</v>
      </c>
      <c r="DS14" s="32">
        <f t="shared" si="39"/>
        <v>0.2</v>
      </c>
      <c r="DT14" s="28">
        <f>IF(DS14="","",DS14*$DO$1/'CPI USA'!$U$532+(1-DS14)*AVERAGE($DO$1,$DQ$1)/AVERAGE('CPI USA'!$U$532,'PPI USA'!$T$538))</f>
        <v>1.0426818386380585</v>
      </c>
      <c r="DU14" s="6">
        <f t="shared" si="40"/>
        <v>86268662.980561629</v>
      </c>
      <c r="DV14" s="6">
        <f t="shared" si="41"/>
        <v>8712973.7065091785</v>
      </c>
      <c r="DW14" s="6">
        <f t="shared" si="42"/>
        <v>56358154.980772719</v>
      </c>
      <c r="DX14" s="16">
        <f t="shared" si="43"/>
        <v>0.9</v>
      </c>
      <c r="DY14" s="28">
        <f>IF(DX14="","",DX14*$DO$1/'CPI USA'!$U$532+(1-DX14)*AVERAGE($DO$1,$DQ$1)/AVERAGE('CPI USA'!$U$532,'PPI USA'!$T$538))</f>
        <v>1.0265266227085561</v>
      </c>
      <c r="DZ14" s="30"/>
      <c r="EA14" s="29" t="str">
        <f t="shared" si="44"/>
        <v>C000191</v>
      </c>
      <c r="EB14" s="29">
        <f t="shared" si="45"/>
        <v>13899750106.215261</v>
      </c>
      <c r="EC14" s="29">
        <f t="shared" si="46"/>
        <v>923258150.31332624</v>
      </c>
      <c r="ED14" s="29">
        <f t="shared" si="47"/>
        <v>391793594.26883316</v>
      </c>
      <c r="EE14" s="29">
        <f t="shared" si="48"/>
        <v>348431404.09860343</v>
      </c>
      <c r="EF14" s="29">
        <f t="shared" si="49"/>
        <v>37094305.833636157</v>
      </c>
      <c r="EG14" s="29">
        <f t="shared" si="50"/>
        <v>7518</v>
      </c>
      <c r="EH14" s="29">
        <f t="shared" si="51"/>
        <v>1884291</v>
      </c>
      <c r="EI14" s="29">
        <f t="shared" si="52"/>
        <v>1645322</v>
      </c>
      <c r="EJ14" s="29">
        <f t="shared" si="53"/>
        <v>32449010</v>
      </c>
      <c r="EK14" s="29">
        <f t="shared" si="54"/>
        <v>34031502.527918778</v>
      </c>
      <c r="EL14" s="29">
        <f>IF(CD14=1,VLOOKUP(EA14,'EIA 2023'!$A$2:$J$213,4,0)*EH14,"")</f>
        <v>332351246.57999998</v>
      </c>
      <c r="EM14" s="29">
        <f>IF(CD14=1,VLOOKUP(EA14,'EIA 2023'!$A$2:$J$213,7,0)*EH14,"")</f>
        <v>2583362.9610000001</v>
      </c>
      <c r="EN14" s="29">
        <f>IF(CD14=1,VLOOKUP(EA14,'EIA 2023'!$A$2:$J$213,10,0),"")</f>
        <v>1853584</v>
      </c>
      <c r="EO14" s="28">
        <f>IF(CD14=1,VLOOKUP(EA14,'EIA 2023'!$A$2:$Z$213,26,0),"")</f>
        <v>0</v>
      </c>
      <c r="EP14" s="23">
        <f t="shared" si="55"/>
        <v>4.6500812787226647E-2</v>
      </c>
      <c r="EQ14" s="32">
        <f t="shared" si="56"/>
        <v>62829.47208121838</v>
      </c>
      <c r="ER14" s="32">
        <f t="shared" si="57"/>
        <v>1582492.5279187816</v>
      </c>
      <c r="ES14" s="32"/>
      <c r="ET14" s="32"/>
    </row>
    <row r="15" spans="1:150" ht="14.5">
      <c r="A15" s="7" t="s">
        <v>246</v>
      </c>
      <c r="B15" s="7" t="s">
        <v>247</v>
      </c>
      <c r="C15" s="32" t="s">
        <v>1100</v>
      </c>
      <c r="D15" s="42">
        <v>295517576</v>
      </c>
      <c r="E15" s="42">
        <v>172306941</v>
      </c>
      <c r="F15" s="42">
        <v>960494038</v>
      </c>
      <c r="G15" s="42">
        <v>965897915</v>
      </c>
      <c r="H15" s="42">
        <v>1578209680</v>
      </c>
      <c r="I15" s="42">
        <v>17739034</v>
      </c>
      <c r="J15" s="42">
        <v>4030294</v>
      </c>
      <c r="K15" s="42">
        <v>0</v>
      </c>
      <c r="L15" s="42">
        <v>11256419</v>
      </c>
      <c r="M15" s="42">
        <v>10775270</v>
      </c>
      <c r="N15" s="42">
        <v>5545215</v>
      </c>
      <c r="O15" s="42">
        <v>75982277</v>
      </c>
      <c r="P15" s="42">
        <v>247643</v>
      </c>
      <c r="Q15" s="42">
        <v>2001056</v>
      </c>
      <c r="R15" s="42">
        <v>78933</v>
      </c>
      <c r="S15" s="42">
        <v>18423215</v>
      </c>
      <c r="T15" s="42">
        <v>104076901</v>
      </c>
      <c r="U15" s="42">
        <v>23514530</v>
      </c>
      <c r="V15" s="42">
        <v>554973</v>
      </c>
      <c r="W15" s="42">
        <v>434700</v>
      </c>
      <c r="X15" s="42">
        <f>IFERROR(VLOOKUP(A15,'Trans 21-23'!$A$2:$J$229,10,0),0)</f>
        <v>20262740</v>
      </c>
      <c r="Y15" s="42">
        <v>13668091</v>
      </c>
      <c r="Z15" s="42">
        <v>3264610</v>
      </c>
      <c r="AA15" s="42">
        <v>135779275</v>
      </c>
      <c r="AB15" s="42">
        <v>108802996</v>
      </c>
      <c r="AC15" s="42">
        <v>75338</v>
      </c>
      <c r="AD15" s="42">
        <v>264764395</v>
      </c>
      <c r="AE15" s="42">
        <v>0</v>
      </c>
      <c r="AF15" s="42">
        <v>4622197172</v>
      </c>
      <c r="AG15" s="42">
        <v>2752731</v>
      </c>
      <c r="AH15" s="42">
        <v>1141791</v>
      </c>
      <c r="AI15" s="42">
        <v>92303769</v>
      </c>
      <c r="AJ15" s="42">
        <v>1164444</v>
      </c>
      <c r="AK15" s="42">
        <v>0</v>
      </c>
      <c r="AL15" s="42">
        <v>28704111</v>
      </c>
      <c r="AM15" s="42">
        <v>43133657</v>
      </c>
      <c r="AN15" s="42">
        <v>5375078</v>
      </c>
      <c r="AO15" s="42">
        <v>213579</v>
      </c>
      <c r="AP15" s="42">
        <v>10991261</v>
      </c>
      <c r="AQ15" s="42">
        <v>88417686</v>
      </c>
      <c r="AR15" s="42">
        <v>1579848</v>
      </c>
      <c r="AS15" s="42">
        <v>89997534</v>
      </c>
      <c r="AT15" s="42">
        <v>0</v>
      </c>
      <c r="AU15" s="42">
        <v>17957</v>
      </c>
      <c r="AV15" s="42">
        <v>0</v>
      </c>
      <c r="AW15" s="42">
        <v>2250515956</v>
      </c>
      <c r="AX15" s="42">
        <v>821042484</v>
      </c>
      <c r="AY15" s="42">
        <v>4203212455</v>
      </c>
      <c r="AZ15" s="42">
        <v>631993615</v>
      </c>
      <c r="BA15" s="42">
        <v>452804470</v>
      </c>
      <c r="BB15" s="42">
        <v>15972368699</v>
      </c>
      <c r="BC15" s="42">
        <v>52018271700</v>
      </c>
      <c r="BD15" s="42">
        <v>879863924</v>
      </c>
      <c r="BE15" s="42">
        <v>5845135126</v>
      </c>
      <c r="BF15" s="42">
        <v>422769651</v>
      </c>
      <c r="BG15" s="42">
        <v>0</v>
      </c>
      <c r="BH15" s="42">
        <v>133518819</v>
      </c>
      <c r="BI15" s="42">
        <v>23839894</v>
      </c>
      <c r="BJ15" s="42">
        <v>1910878</v>
      </c>
      <c r="BK15" s="42">
        <v>2367</v>
      </c>
      <c r="BL15" s="42">
        <v>0</v>
      </c>
      <c r="BM15" s="42">
        <v>113073593</v>
      </c>
      <c r="BN15" s="42">
        <v>702197579</v>
      </c>
      <c r="BO15" s="42">
        <v>0</v>
      </c>
      <c r="BP15" s="42">
        <v>5234240</v>
      </c>
      <c r="BQ15" s="42">
        <v>1146383528</v>
      </c>
      <c r="BR15" s="42">
        <v>0</v>
      </c>
      <c r="BS15" s="42">
        <f>IFERROR(VLOOKUP(A15,'Trans 21-23'!$A$2:$J$229,9,0),0)</f>
        <v>1901035735</v>
      </c>
      <c r="BT15" s="67"/>
      <c r="BU15" s="32">
        <f t="shared" si="0"/>
        <v>15972368699</v>
      </c>
      <c r="BV15" s="32">
        <f t="shared" si="1"/>
        <v>17957</v>
      </c>
      <c r="BW15" s="32">
        <f t="shared" si="2"/>
        <v>2752731</v>
      </c>
      <c r="BX15" s="32">
        <f t="shared" si="3"/>
        <v>274660460</v>
      </c>
      <c r="BY15" s="32">
        <f t="shared" si="4"/>
        <v>261590310</v>
      </c>
      <c r="BZ15" s="32">
        <f t="shared" si="5"/>
        <v>631993615</v>
      </c>
      <c r="CA15" s="32">
        <f t="shared" si="6"/>
        <v>264764395</v>
      </c>
      <c r="CB15" s="32">
        <f t="shared" si="7"/>
        <v>1141791</v>
      </c>
      <c r="CC15" s="32">
        <f t="shared" si="8"/>
        <v>88417686</v>
      </c>
      <c r="CD15" s="41">
        <f t="shared" si="9"/>
        <v>1</v>
      </c>
      <c r="CE15" s="44">
        <f t="shared" si="10"/>
        <v>9</v>
      </c>
      <c r="CF15" s="27"/>
      <c r="CG15" s="28">
        <f t="shared" si="11"/>
        <v>889.47868235228611</v>
      </c>
      <c r="CH15" s="28">
        <f t="shared" si="12"/>
        <v>6.5233399122544125</v>
      </c>
      <c r="CI15" s="28">
        <f t="shared" si="13"/>
        <v>99.777442837676475</v>
      </c>
      <c r="CJ15" s="28">
        <f t="shared" si="14"/>
        <v>229.5878583850002</v>
      </c>
      <c r="CK15" s="23">
        <f t="shared" si="15"/>
        <v>1.2913604185479361E-2</v>
      </c>
      <c r="CL15" s="29" t="str">
        <f t="shared" si="16"/>
        <v/>
      </c>
      <c r="CM15" s="29" t="str">
        <f t="shared" si="17"/>
        <v/>
      </c>
      <c r="CN15" s="29" t="str">
        <f t="shared" si="18"/>
        <v/>
      </c>
      <c r="CO15" s="29" t="str">
        <f t="shared" si="19"/>
        <v/>
      </c>
      <c r="CP15" s="29" t="str">
        <f t="shared" si="20"/>
        <v/>
      </c>
      <c r="CQ15" s="29">
        <f t="shared" si="21"/>
        <v>0</v>
      </c>
      <c r="CR15" s="13"/>
      <c r="CS15" s="7" t="str">
        <f>VLOOKUP(A15,'Empresas 21-23'!$A$2:$M$228,13,0)</f>
        <v/>
      </c>
      <c r="CT15" s="30"/>
      <c r="CU15" s="6">
        <f t="shared" si="22"/>
        <v>13774053385.6</v>
      </c>
      <c r="CV15" s="6">
        <f t="shared" si="23"/>
        <v>631993615</v>
      </c>
      <c r="CW15" s="6">
        <f t="shared" si="24"/>
        <v>879863924</v>
      </c>
      <c r="CX15" s="23">
        <f t="shared" si="58"/>
        <v>0.26934849919328863</v>
      </c>
      <c r="CY15" s="23">
        <f t="shared" si="59"/>
        <v>1.2358492226983332E-2</v>
      </c>
      <c r="CZ15" s="6">
        <f t="shared" si="27"/>
        <v>14011043413.023718</v>
      </c>
      <c r="DA15" s="6">
        <f t="shared" si="28"/>
        <v>642867406.4655571</v>
      </c>
      <c r="DB15" s="6">
        <f t="shared" si="29"/>
        <v>274660460</v>
      </c>
      <c r="DC15" s="6">
        <f t="shared" si="30"/>
        <v>294923200</v>
      </c>
      <c r="DD15" s="6">
        <f t="shared" si="31"/>
        <v>261590310</v>
      </c>
      <c r="DE15" s="6">
        <f t="shared" si="32"/>
        <v>264764395</v>
      </c>
      <c r="DF15" s="6">
        <f t="shared" si="33"/>
        <v>109071335.68914779</v>
      </c>
      <c r="DG15" s="30"/>
      <c r="DH15" s="32">
        <f>VLOOKUP(A15,'T_med_comp-USA'!$A$7:$Q$233,17,0)</f>
        <v>13.829829972554853</v>
      </c>
      <c r="DI15" s="6" t="str">
        <f t="shared" si="34"/>
        <v>3_2010</v>
      </c>
      <c r="DJ15" s="32">
        <f>IF(DI15="","",VLOOKUP(DI15,'CPI USA'!$T:$U,2,FALSE))</f>
        <v>218.05600000000001</v>
      </c>
      <c r="DK15" s="32">
        <f>IF(DI15="","",VLOOKUP(DI15,'PPI USA'!$S:$T,2,FALSE))</f>
        <v>160.80000000000001</v>
      </c>
      <c r="DL15" s="32">
        <f>IF(DI15="","",VLOOKUP(DI15,'CPI USA'!$T:$V,3,FALSE))</f>
        <v>0.67050107279443949</v>
      </c>
      <c r="DM15" s="32">
        <f>IF(DI15="","",VLOOKUP(DI15,'CPI USA'!$T:$X,5,FALSE))</f>
        <v>0.4987389730136107</v>
      </c>
      <c r="DN15" s="32">
        <f t="shared" si="35"/>
        <v>1.4703278680244813</v>
      </c>
      <c r="DO15" s="32">
        <f t="shared" si="36"/>
        <v>1.4857204383544427</v>
      </c>
      <c r="DP15" s="32">
        <f t="shared" si="37"/>
        <v>0.48612319006529009</v>
      </c>
      <c r="DQ15" s="32">
        <f>IF(DP15="","",DP15*$DO$1/'CPI USA'!$U$532+(1-DP15)*AVERAGE($DO$1,$DQ$1)/AVERAGE('CPI USA'!$U$532,'PPI USA'!$T$538))</f>
        <v>1.0360784358981401</v>
      </c>
      <c r="DR15" s="6">
        <f t="shared" si="38"/>
        <v>25753139</v>
      </c>
      <c r="DS15" s="32">
        <f t="shared" si="39"/>
        <v>0.2</v>
      </c>
      <c r="DT15" s="28">
        <f>IF(DS15="","",DS15*$DO$1/'CPI USA'!$U$532+(1-DS15)*AVERAGE($DO$1,$DQ$1)/AVERAGE('CPI USA'!$U$532,'PPI USA'!$T$538))</f>
        <v>1.0426818386380585</v>
      </c>
      <c r="DU15" s="6">
        <f t="shared" si="40"/>
        <v>113073593</v>
      </c>
      <c r="DV15" s="6">
        <f t="shared" si="41"/>
        <v>518647.58594523172</v>
      </c>
      <c r="DW15" s="6">
        <f t="shared" si="42"/>
        <v>25764911.632841963</v>
      </c>
      <c r="DX15" s="16">
        <f t="shared" si="43"/>
        <v>0.23622074003266727</v>
      </c>
      <c r="DY15" s="28">
        <f>IF(DX15="","",DX15*$DO$1/'CPI USA'!$U$532+(1-DX15)*AVERAGE($DO$1,$DQ$1)/AVERAGE('CPI USA'!$U$532,'PPI USA'!$T$538))</f>
        <v>1.0418459045289812</v>
      </c>
      <c r="DZ15" s="30"/>
      <c r="EA15" s="29" t="str">
        <f t="shared" si="44"/>
        <v>C000196</v>
      </c>
      <c r="EB15" s="29">
        <f t="shared" si="45"/>
        <v>20600827590.269615</v>
      </c>
      <c r="EC15" s="29">
        <f t="shared" si="46"/>
        <v>955121244.93779111</v>
      </c>
      <c r="ED15" s="29">
        <f t="shared" si="47"/>
        <v>305563567.76607436</v>
      </c>
      <c r="EE15" s="29">
        <f t="shared" si="48"/>
        <v>272755465.40069973</v>
      </c>
      <c r="EF15" s="29">
        <f t="shared" si="49"/>
        <v>113635524.38924432</v>
      </c>
      <c r="EG15" s="29">
        <f t="shared" si="50"/>
        <v>17957</v>
      </c>
      <c r="EH15" s="29">
        <f t="shared" si="51"/>
        <v>2752731</v>
      </c>
      <c r="EI15" s="29">
        <f t="shared" si="52"/>
        <v>1141791</v>
      </c>
      <c r="EJ15" s="29">
        <f t="shared" si="53"/>
        <v>88417686</v>
      </c>
      <c r="EK15" s="29">
        <f t="shared" si="54"/>
        <v>89535418.401015222</v>
      </c>
      <c r="EL15" s="29">
        <f>IF(CD15=1,VLOOKUP(EA15,'EIA 2023'!$A$2:$J$213,4,0)*EH15,"")</f>
        <v>358265186.91900003</v>
      </c>
      <c r="EM15" s="29">
        <f>IF(CD15=1,VLOOKUP(EA15,'EIA 2023'!$A$2:$J$213,7,0)*EH15,"")</f>
        <v>3239964.3870000001</v>
      </c>
      <c r="EN15" s="29">
        <f>IF(CD15=1,VLOOKUP(EA15,'EIA 2023'!$A$2:$J$213,10,0),"")</f>
        <v>134922</v>
      </c>
      <c r="EO15" s="28">
        <f>IF(CD15=1,VLOOKUP(EA15,'EIA 2023'!$A$2:$Z$213,26,0),"")</f>
        <v>0</v>
      </c>
      <c r="EP15" s="23">
        <f t="shared" si="55"/>
        <v>1.2483689929376089E-2</v>
      </c>
      <c r="EQ15" s="32">
        <f t="shared" si="56"/>
        <v>24058.598984771641</v>
      </c>
      <c r="ER15" s="32">
        <f t="shared" si="57"/>
        <v>1117732.4010152284</v>
      </c>
      <c r="ES15" s="32"/>
      <c r="ET15" s="32"/>
    </row>
    <row r="16" spans="1:150" ht="14.5">
      <c r="A16" s="7" t="s">
        <v>249</v>
      </c>
      <c r="B16" s="7" t="s">
        <v>250</v>
      </c>
      <c r="C16" s="32" t="s">
        <v>1101</v>
      </c>
      <c r="D16" s="42">
        <v>0</v>
      </c>
      <c r="E16" s="42">
        <v>0</v>
      </c>
      <c r="F16" s="42">
        <v>0</v>
      </c>
      <c r="G16" s="42">
        <v>1742592887</v>
      </c>
      <c r="H16" s="42">
        <v>2443798000</v>
      </c>
      <c r="I16" s="42">
        <v>26273230</v>
      </c>
      <c r="J16" s="42">
        <v>1367288</v>
      </c>
      <c r="K16" s="42">
        <v>81592</v>
      </c>
      <c r="L16" s="42">
        <v>3090935</v>
      </c>
      <c r="M16" s="42">
        <v>20013201</v>
      </c>
      <c r="N16" s="42">
        <v>18598507</v>
      </c>
      <c r="O16" s="42">
        <v>106833329</v>
      </c>
      <c r="P16" s="42">
        <v>4283656</v>
      </c>
      <c r="Q16" s="42">
        <v>6584314</v>
      </c>
      <c r="R16" s="42">
        <v>2043511</v>
      </c>
      <c r="S16" s="42">
        <v>43855527</v>
      </c>
      <c r="T16" s="42">
        <v>223450528</v>
      </c>
      <c r="U16" s="42">
        <v>55416786</v>
      </c>
      <c r="V16" s="42">
        <v>6818851</v>
      </c>
      <c r="W16" s="42">
        <v>9962073</v>
      </c>
      <c r="X16" s="42">
        <f>IFERROR(VLOOKUP(A16,'Trans 21-23'!$A$2:$J$229,10,0),0)</f>
        <v>0</v>
      </c>
      <c r="Y16" s="42">
        <v>9988294</v>
      </c>
      <c r="Z16" s="42">
        <v>1167490</v>
      </c>
      <c r="AA16" s="42">
        <v>258631467</v>
      </c>
      <c r="AB16" s="42">
        <v>50641003</v>
      </c>
      <c r="AC16" s="42">
        <v>0</v>
      </c>
      <c r="AD16" s="42">
        <v>441204922</v>
      </c>
      <c r="AE16" s="42">
        <v>0</v>
      </c>
      <c r="AF16" s="42">
        <v>4292331217</v>
      </c>
      <c r="AG16" s="42">
        <v>4130538</v>
      </c>
      <c r="AH16" s="42">
        <v>5906237</v>
      </c>
      <c r="AI16" s="42">
        <v>89574753</v>
      </c>
      <c r="AJ16" s="42">
        <v>0</v>
      </c>
      <c r="AK16" s="42">
        <v>389385</v>
      </c>
      <c r="AL16" s="42">
        <v>26022565</v>
      </c>
      <c r="AM16" s="42">
        <v>28705593</v>
      </c>
      <c r="AN16" s="42">
        <v>26707834</v>
      </c>
      <c r="AO16" s="42">
        <v>454308</v>
      </c>
      <c r="AP16" s="42">
        <v>0</v>
      </c>
      <c r="AQ16" s="42">
        <v>82290221</v>
      </c>
      <c r="AR16" s="42">
        <v>988910</v>
      </c>
      <c r="AS16" s="42">
        <v>83279131</v>
      </c>
      <c r="AT16" s="42">
        <v>399921</v>
      </c>
      <c r="AU16" s="42">
        <v>22467</v>
      </c>
      <c r="AV16" s="42">
        <v>0</v>
      </c>
      <c r="AW16" s="42">
        <v>4528132363</v>
      </c>
      <c r="AX16" s="42">
        <v>1136372636</v>
      </c>
      <c r="AY16" s="42">
        <v>8199109515</v>
      </c>
      <c r="AZ16" s="42">
        <v>858073532</v>
      </c>
      <c r="BA16" s="42">
        <v>210198209</v>
      </c>
      <c r="BB16" s="42">
        <v>26238745589</v>
      </c>
      <c r="BC16" s="42">
        <v>37443496455</v>
      </c>
      <c r="BD16" s="42">
        <v>3129907496</v>
      </c>
      <c r="BE16" s="42">
        <v>7530867345</v>
      </c>
      <c r="BF16" s="42">
        <v>720489035</v>
      </c>
      <c r="BG16" s="42">
        <v>0</v>
      </c>
      <c r="BH16" s="42">
        <v>163653805</v>
      </c>
      <c r="BI16" s="42">
        <v>103137544</v>
      </c>
      <c r="BJ16" s="42">
        <v>4219332</v>
      </c>
      <c r="BK16" s="42">
        <v>0</v>
      </c>
      <c r="BL16" s="42">
        <v>0</v>
      </c>
      <c r="BM16" s="42">
        <v>58219207</v>
      </c>
      <c r="BN16" s="42">
        <v>381492896</v>
      </c>
      <c r="BO16" s="42">
        <v>45237606</v>
      </c>
      <c r="BP16" s="42">
        <v>120060926</v>
      </c>
      <c r="BQ16" s="42">
        <v>955892105</v>
      </c>
      <c r="BR16" s="42">
        <v>0</v>
      </c>
      <c r="BS16" s="42">
        <f>IFERROR(VLOOKUP(A16,'Trans 21-23'!$A$2:$J$229,9,0),0)</f>
        <v>0</v>
      </c>
      <c r="BT16" s="67"/>
      <c r="BU16" s="32">
        <f t="shared" si="0"/>
        <v>26238745589</v>
      </c>
      <c r="BV16" s="32">
        <f t="shared" si="1"/>
        <v>22467</v>
      </c>
      <c r="BW16" s="32">
        <f t="shared" si="2"/>
        <v>4130538</v>
      </c>
      <c r="BX16" s="32">
        <f t="shared" si="3"/>
        <v>528673328</v>
      </c>
      <c r="BY16" s="32">
        <f t="shared" si="4"/>
        <v>320428254</v>
      </c>
      <c r="BZ16" s="32">
        <f t="shared" si="5"/>
        <v>858073532</v>
      </c>
      <c r="CA16" s="32">
        <f t="shared" si="6"/>
        <v>441204922</v>
      </c>
      <c r="CB16" s="32">
        <f t="shared" si="7"/>
        <v>5906237</v>
      </c>
      <c r="CC16" s="32">
        <f t="shared" si="8"/>
        <v>82290221</v>
      </c>
      <c r="CD16" s="41">
        <f t="shared" si="9"/>
        <v>1</v>
      </c>
      <c r="CE16" s="44">
        <f t="shared" si="10"/>
        <v>14</v>
      </c>
      <c r="CF16" s="27"/>
      <c r="CG16" s="28">
        <f t="shared" si="11"/>
        <v>1167.8793603507368</v>
      </c>
      <c r="CH16" s="28">
        <f t="shared" si="12"/>
        <v>5.4392430235480225</v>
      </c>
      <c r="CI16" s="28">
        <f t="shared" si="13"/>
        <v>127.9913967623588</v>
      </c>
      <c r="CJ16" s="28">
        <f t="shared" si="14"/>
        <v>207.73892698723509</v>
      </c>
      <c r="CK16" s="23">
        <f t="shared" si="15"/>
        <v>7.177325480751838E-2</v>
      </c>
      <c r="CL16" s="29" t="str">
        <f t="shared" si="16"/>
        <v/>
      </c>
      <c r="CM16" s="29" t="str">
        <f t="shared" si="17"/>
        <v/>
      </c>
      <c r="CN16" s="29" t="str">
        <f t="shared" si="18"/>
        <v/>
      </c>
      <c r="CO16" s="29" t="str">
        <f t="shared" si="19"/>
        <v/>
      </c>
      <c r="CP16" s="29" t="str">
        <f t="shared" si="20"/>
        <v/>
      </c>
      <c r="CQ16" s="29">
        <f t="shared" si="21"/>
        <v>0</v>
      </c>
      <c r="CR16" s="13"/>
      <c r="CS16" s="7">
        <f>VLOOKUP(A16,'Empresas 21-23'!$A$2:$M$228,13,0)</f>
        <v>1</v>
      </c>
      <c r="CT16" s="30"/>
      <c r="CU16" s="6">
        <f t="shared" si="22"/>
        <v>19569184557.400002</v>
      </c>
      <c r="CV16" s="6">
        <f t="shared" si="23"/>
        <v>858073532</v>
      </c>
      <c r="CW16" s="6">
        <f t="shared" si="24"/>
        <v>3129907496</v>
      </c>
      <c r="CX16" s="23">
        <f t="shared" si="58"/>
        <v>0.5703042191471861</v>
      </c>
      <c r="CY16" s="23">
        <f t="shared" si="59"/>
        <v>2.5006813860983163E-2</v>
      </c>
      <c r="CZ16" s="6">
        <f t="shared" si="27"/>
        <v>21354184007.909206</v>
      </c>
      <c r="DA16" s="6">
        <f t="shared" si="28"/>
        <v>936342546.15456796</v>
      </c>
      <c r="DB16" s="6">
        <f t="shared" si="29"/>
        <v>528673328</v>
      </c>
      <c r="DC16" s="6">
        <f t="shared" si="30"/>
        <v>528673328</v>
      </c>
      <c r="DD16" s="6">
        <f t="shared" si="31"/>
        <v>320428254</v>
      </c>
      <c r="DE16" s="6">
        <f t="shared" si="32"/>
        <v>441204922</v>
      </c>
      <c r="DF16" s="6">
        <f t="shared" si="33"/>
        <v>266197871.94457468</v>
      </c>
      <c r="DG16" s="30"/>
      <c r="DH16" s="32">
        <f>VLOOKUP(A16,'T_med_comp-USA'!$A$7:$Q$233,17,0)</f>
        <v>11.04967306297223</v>
      </c>
      <c r="DI16" s="6" t="str">
        <f t="shared" si="34"/>
        <v>12_2012</v>
      </c>
      <c r="DJ16" s="32">
        <f>IF(DI16="","",VLOOKUP(DI16,'CPI USA'!$T:$U,2,FALSE))</f>
        <v>229.59399999999999</v>
      </c>
      <c r="DK16" s="32">
        <f>IF(DI16="","",VLOOKUP(DI16,'PPI USA'!$S:$T,2,FALSE))</f>
        <v>175.1</v>
      </c>
      <c r="DL16" s="32">
        <f>IF(DI16="","",VLOOKUP(DI16,'CPI USA'!$T:$V,3,FALSE))</f>
        <v>0.66730871354337351</v>
      </c>
      <c r="DM16" s="32">
        <f>IF(DI16="","",VLOOKUP(DI16,'CPI USA'!$T:$X,5,FALSE))</f>
        <v>0.49513551903851311</v>
      </c>
      <c r="DN16" s="32">
        <f t="shared" si="35"/>
        <v>1.3897894616766442</v>
      </c>
      <c r="DO16" s="32">
        <f t="shared" si="36"/>
        <v>1.4008620811189902</v>
      </c>
      <c r="DP16" s="32">
        <f t="shared" si="37"/>
        <v>0.34626288111908848</v>
      </c>
      <c r="DQ16" s="32">
        <f>IF(DP16="","",DP16*$DO$1/'CPI USA'!$U$532+(1-DP16)*AVERAGE($DO$1,$DQ$1)/AVERAGE('CPI USA'!$U$532,'PPI USA'!$T$538))</f>
        <v>1.0393062551709871</v>
      </c>
      <c r="DR16" s="6">
        <f t="shared" si="38"/>
        <v>107356876</v>
      </c>
      <c r="DS16" s="32">
        <f t="shared" si="39"/>
        <v>0.37477127269155158</v>
      </c>
      <c r="DT16" s="28">
        <f>IF(DS16="","",DS16*$DO$1/'CPI USA'!$U$532+(1-DS16)*AVERAGE($DO$1,$DQ$1)/AVERAGE('CPI USA'!$U$532,'PPI USA'!$T$538))</f>
        <v>1.0386483134257642</v>
      </c>
      <c r="DU16" s="6">
        <f t="shared" si="40"/>
        <v>65122867.790313751</v>
      </c>
      <c r="DV16" s="6">
        <f t="shared" si="41"/>
        <v>8362755.636572971</v>
      </c>
      <c r="DW16" s="6">
        <f t="shared" si="42"/>
        <v>52203826.224407919</v>
      </c>
      <c r="DX16" s="16">
        <f t="shared" si="43"/>
        <v>0.2</v>
      </c>
      <c r="DY16" s="28">
        <f>IF(DX16="","",DX16*$DO$1/'CPI USA'!$U$532+(1-DX16)*AVERAGE($DO$1,$DQ$1)/AVERAGE('CPI USA'!$U$532,'PPI USA'!$T$538))</f>
        <v>1.0426818386380585</v>
      </c>
      <c r="DZ16" s="30"/>
      <c r="EA16" s="29" t="str">
        <f t="shared" si="44"/>
        <v>C000199</v>
      </c>
      <c r="EB16" s="29">
        <f t="shared" si="45"/>
        <v>29677819896.896141</v>
      </c>
      <c r="EC16" s="29">
        <f t="shared" si="46"/>
        <v>1311686767.8463423</v>
      </c>
      <c r="ED16" s="29">
        <f t="shared" si="47"/>
        <v>549453496.732463</v>
      </c>
      <c r="EE16" s="29">
        <f t="shared" si="48"/>
        <v>332812265.59106237</v>
      </c>
      <c r="EF16" s="29">
        <f t="shared" si="49"/>
        <v>277559686.56070757</v>
      </c>
      <c r="EG16" s="29">
        <f t="shared" si="50"/>
        <v>22467</v>
      </c>
      <c r="EH16" s="29">
        <f t="shared" si="51"/>
        <v>4130538</v>
      </c>
      <c r="EI16" s="29">
        <f t="shared" si="52"/>
        <v>5906237</v>
      </c>
      <c r="EJ16" s="29">
        <f t="shared" si="53"/>
        <v>82290221</v>
      </c>
      <c r="EK16" s="29">
        <f t="shared" si="54"/>
        <v>88181398.456852794</v>
      </c>
      <c r="EL16" s="29">
        <f>IF(CD16=1,VLOOKUP(EA16,'EIA 2023'!$A$2:$J$213,4,0)*EH16,"")</f>
        <v>144734051.52000001</v>
      </c>
      <c r="EM16" s="29">
        <f>IF(CD16=1,VLOOKUP(EA16,'EIA 2023'!$A$2:$J$213,7,0)*EH16,"")</f>
        <v>2519628.1800000002</v>
      </c>
      <c r="EN16" s="29">
        <f>IF(CD16=1,VLOOKUP(EA16,'EIA 2023'!$A$2:$J$213,10,0),"")</f>
        <v>4277602</v>
      </c>
      <c r="EO16" s="28">
        <f>IF(CD16=1,VLOOKUP(EA16,'EIA 2023'!$A$2:$Z$213,26,0),"")</f>
        <v>0</v>
      </c>
      <c r="EP16" s="23">
        <f t="shared" si="55"/>
        <v>6.6807485024580879E-2</v>
      </c>
      <c r="EQ16" s="32">
        <f t="shared" si="56"/>
        <v>15059.543147208169</v>
      </c>
      <c r="ER16" s="32">
        <f t="shared" si="57"/>
        <v>5891177.4568527918</v>
      </c>
      <c r="ES16" s="32"/>
      <c r="ET16" s="32"/>
    </row>
    <row r="17" spans="1:150" ht="14.5">
      <c r="A17" s="7" t="s">
        <v>252</v>
      </c>
      <c r="B17" s="7" t="s">
        <v>253</v>
      </c>
      <c r="C17" s="32" t="s">
        <v>1102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f>IFERROR(VLOOKUP(A17,'Trans 21-23'!$A$2:$J$229,10,0),0)</f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612809</v>
      </c>
      <c r="AG17" s="42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2">
        <v>0</v>
      </c>
      <c r="AO17" s="42">
        <v>0</v>
      </c>
      <c r="AP17" s="42">
        <v>0</v>
      </c>
      <c r="AQ17" s="42">
        <v>0</v>
      </c>
      <c r="AR17" s="42">
        <v>0</v>
      </c>
      <c r="AS17" s="42">
        <v>0</v>
      </c>
      <c r="AT17" s="42">
        <v>0</v>
      </c>
      <c r="AU17" s="42">
        <v>0</v>
      </c>
      <c r="AV17" s="42">
        <v>0</v>
      </c>
      <c r="AW17" s="42">
        <v>0</v>
      </c>
      <c r="AX17" s="42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98189992</v>
      </c>
      <c r="BD17" s="42">
        <v>5150611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2">
        <v>0</v>
      </c>
      <c r="BL17" s="42">
        <v>0</v>
      </c>
      <c r="BM17" s="42">
        <v>0</v>
      </c>
      <c r="BN17" s="42">
        <v>0</v>
      </c>
      <c r="BO17" s="42">
        <v>0</v>
      </c>
      <c r="BP17" s="42">
        <v>0</v>
      </c>
      <c r="BQ17" s="42">
        <v>0</v>
      </c>
      <c r="BR17" s="42">
        <v>0</v>
      </c>
      <c r="BS17" s="42">
        <f>IFERROR(VLOOKUP(A17,'Trans 21-23'!$A$2:$J$229,9,0),0)</f>
        <v>0</v>
      </c>
      <c r="BT17" s="67"/>
      <c r="BU17" s="32">
        <f t="shared" si="0"/>
        <v>0</v>
      </c>
      <c r="BV17" s="32">
        <f t="shared" si="1"/>
        <v>0</v>
      </c>
      <c r="BW17" s="32">
        <f t="shared" si="2"/>
        <v>0</v>
      </c>
      <c r="BX17" s="32">
        <f t="shared" si="3"/>
        <v>0</v>
      </c>
      <c r="BY17" s="32">
        <f t="shared" si="4"/>
        <v>0</v>
      </c>
      <c r="BZ17" s="32">
        <f t="shared" si="5"/>
        <v>0</v>
      </c>
      <c r="CA17" s="32">
        <f t="shared" si="6"/>
        <v>0</v>
      </c>
      <c r="CB17" s="32">
        <f t="shared" si="7"/>
        <v>0</v>
      </c>
      <c r="CC17" s="32">
        <f t="shared" si="8"/>
        <v>0</v>
      </c>
      <c r="CD17" s="41">
        <f t="shared" si="9"/>
        <v>0</v>
      </c>
      <c r="CE17" s="44">
        <f t="shared" si="10"/>
        <v>65</v>
      </c>
      <c r="CF17" s="27"/>
      <c r="CG17" s="28" t="str">
        <f t="shared" si="11"/>
        <v/>
      </c>
      <c r="CH17" s="28" t="str">
        <f t="shared" si="12"/>
        <v/>
      </c>
      <c r="CI17" s="28" t="str">
        <f t="shared" si="13"/>
        <v/>
      </c>
      <c r="CJ17" s="28" t="str">
        <f t="shared" si="14"/>
        <v/>
      </c>
      <c r="CK17" s="23" t="str">
        <f t="shared" si="15"/>
        <v/>
      </c>
      <c r="CL17" s="29" t="str">
        <f t="shared" si="16"/>
        <v/>
      </c>
      <c r="CM17" s="29" t="str">
        <f t="shared" si="17"/>
        <v/>
      </c>
      <c r="CN17" s="29" t="str">
        <f t="shared" si="18"/>
        <v/>
      </c>
      <c r="CO17" s="29" t="str">
        <f t="shared" si="19"/>
        <v/>
      </c>
      <c r="CP17" s="29" t="str">
        <f t="shared" si="20"/>
        <v/>
      </c>
      <c r="CQ17" s="29" t="str">
        <f t="shared" si="21"/>
        <v/>
      </c>
      <c r="CR17" s="13"/>
      <c r="CS17" s="7" t="str">
        <f>VLOOKUP(A17,'Empresas 21-23'!$A$2:$M$228,13,0)</f>
        <v/>
      </c>
      <c r="CT17" s="30"/>
      <c r="CU17" s="6">
        <f t="shared" si="22"/>
        <v>0</v>
      </c>
      <c r="CV17" s="6">
        <f t="shared" si="23"/>
        <v>0</v>
      </c>
      <c r="CW17" s="6">
        <f t="shared" si="24"/>
        <v>5150611</v>
      </c>
      <c r="CX17" s="23">
        <f t="shared" si="58"/>
        <v>0</v>
      </c>
      <c r="CY17" s="23">
        <f t="shared" si="59"/>
        <v>0</v>
      </c>
      <c r="CZ17" s="6">
        <f t="shared" si="27"/>
        <v>0</v>
      </c>
      <c r="DA17" s="6">
        <f t="shared" si="28"/>
        <v>0</v>
      </c>
      <c r="DB17" s="6">
        <f t="shared" si="29"/>
        <v>0</v>
      </c>
      <c r="DC17" s="6">
        <f t="shared" si="30"/>
        <v>0</v>
      </c>
      <c r="DD17" s="6">
        <f t="shared" si="31"/>
        <v>0</v>
      </c>
      <c r="DE17" s="6">
        <f t="shared" si="32"/>
        <v>0</v>
      </c>
      <c r="DF17" s="6">
        <f t="shared" si="33"/>
        <v>0</v>
      </c>
      <c r="DG17" s="30"/>
      <c r="DH17" s="32" t="str">
        <f>VLOOKUP(A17,'T_med_comp-USA'!$A$7:$Q$233,17,0)</f>
        <v>-</v>
      </c>
      <c r="DI17" s="6" t="str">
        <f t="shared" si="34"/>
        <v/>
      </c>
      <c r="DJ17" s="32" t="str">
        <f>IF(DI17="","",VLOOKUP(DI17,'CPI USA'!$T:$U,2,FALSE))</f>
        <v/>
      </c>
      <c r="DK17" s="32" t="str">
        <f>IF(DI17="","",VLOOKUP(DI17,'PPI USA'!$S:$T,2,FALSE))</f>
        <v/>
      </c>
      <c r="DL17" s="32" t="str">
        <f>IF(DI17="","",VLOOKUP(DI17,'CPI USA'!$T:$V,3,FALSE))</f>
        <v/>
      </c>
      <c r="DM17" s="32" t="str">
        <f>IF(DI17="","",VLOOKUP(DI17,'CPI USA'!$T:$X,5,FALSE))</f>
        <v/>
      </c>
      <c r="DN17" s="32" t="str">
        <f t="shared" si="35"/>
        <v/>
      </c>
      <c r="DO17" s="32" t="str">
        <f t="shared" si="36"/>
        <v/>
      </c>
      <c r="DP17" s="32" t="str">
        <f t="shared" si="37"/>
        <v/>
      </c>
      <c r="DQ17" s="32" t="str">
        <f>IF(DP17="","",DP17*$DO$1/'CPI USA'!$U$532+(1-DP17)*AVERAGE($DO$1,$DQ$1)/AVERAGE('CPI USA'!$U$532,'PPI USA'!$T$538))</f>
        <v/>
      </c>
      <c r="DR17" s="6">
        <f t="shared" si="38"/>
        <v>0</v>
      </c>
      <c r="DS17" s="32" t="str">
        <f t="shared" si="39"/>
        <v/>
      </c>
      <c r="DT17" s="28" t="str">
        <f>IF(DS17="","",DS17*$DO$1/'CPI USA'!$U$532+(1-DS17)*AVERAGE($DO$1,$DQ$1)/AVERAGE('CPI USA'!$U$532,'PPI USA'!$T$538))</f>
        <v/>
      </c>
      <c r="DU17" s="6" t="str">
        <f t="shared" si="40"/>
        <v/>
      </c>
      <c r="DV17" s="6" t="str">
        <f t="shared" si="41"/>
        <v/>
      </c>
      <c r="DW17" s="6">
        <f t="shared" si="42"/>
        <v>0</v>
      </c>
      <c r="DX17" s="16" t="str">
        <f t="shared" si="43"/>
        <v/>
      </c>
      <c r="DY17" s="28" t="str">
        <f>IF(DX17="","",DX17*$DO$1/'CPI USA'!$U$532+(1-DX17)*AVERAGE($DO$1,$DQ$1)/AVERAGE('CPI USA'!$U$532,'PPI USA'!$T$538))</f>
        <v/>
      </c>
      <c r="DZ17" s="30"/>
      <c r="EA17" s="29" t="str">
        <f t="shared" si="44"/>
        <v>C000200</v>
      </c>
      <c r="EB17" s="29" t="str">
        <f t="shared" si="45"/>
        <v/>
      </c>
      <c r="EC17" s="29" t="str">
        <f t="shared" si="46"/>
        <v/>
      </c>
      <c r="ED17" s="29" t="str">
        <f t="shared" si="47"/>
        <v/>
      </c>
      <c r="EE17" s="29" t="str">
        <f t="shared" si="48"/>
        <v/>
      </c>
      <c r="EF17" s="29" t="str">
        <f t="shared" si="49"/>
        <v/>
      </c>
      <c r="EG17" s="29" t="str">
        <f t="shared" si="50"/>
        <v/>
      </c>
      <c r="EH17" s="29" t="str">
        <f t="shared" si="51"/>
        <v/>
      </c>
      <c r="EI17" s="29" t="str">
        <f t="shared" si="52"/>
        <v/>
      </c>
      <c r="EJ17" s="29" t="str">
        <f t="shared" si="53"/>
        <v/>
      </c>
      <c r="EK17" s="29" t="str">
        <f t="shared" si="54"/>
        <v/>
      </c>
      <c r="EL17" s="29" t="str">
        <f>IF(CD17=1,VLOOKUP(EA17,'EIA 2023'!$A$2:$J$213,4,0)*EH17,"")</f>
        <v/>
      </c>
      <c r="EM17" s="29" t="str">
        <f>IF(CD17=1,VLOOKUP(EA17,'EIA 2023'!$A$2:$J$213,7,0)*EH17,"")</f>
        <v/>
      </c>
      <c r="EN17" s="29" t="str">
        <f>IF(CD17=1,VLOOKUP(EA17,'EIA 2023'!$A$2:$J$213,10,0),"")</f>
        <v/>
      </c>
      <c r="EO17" s="28" t="str">
        <f>IF(CD17=1,VLOOKUP(EA17,'EIA 2023'!$A$2:$Z$213,26,0),"")</f>
        <v/>
      </c>
      <c r="EP17" s="23" t="str">
        <f t="shared" si="55"/>
        <v/>
      </c>
      <c r="EQ17" s="32" t="str">
        <f t="shared" si="56"/>
        <v/>
      </c>
      <c r="ER17" s="32" t="str">
        <f t="shared" si="57"/>
        <v/>
      </c>
      <c r="ES17" s="32"/>
      <c r="ET17" s="32"/>
    </row>
    <row r="18" spans="1:150" ht="14.5">
      <c r="A18" s="7" t="s">
        <v>255</v>
      </c>
      <c r="B18" s="7" t="s">
        <v>256</v>
      </c>
      <c r="C18" s="32" t="s">
        <v>1103</v>
      </c>
      <c r="D18" s="42">
        <v>0</v>
      </c>
      <c r="E18" s="42">
        <v>0</v>
      </c>
      <c r="F18" s="42">
        <v>0</v>
      </c>
      <c r="G18" s="42">
        <v>1072562174</v>
      </c>
      <c r="H18" s="42">
        <v>1073542594</v>
      </c>
      <c r="I18" s="42">
        <v>1231048</v>
      </c>
      <c r="J18" s="42">
        <v>677882</v>
      </c>
      <c r="K18" s="42">
        <v>0</v>
      </c>
      <c r="L18" s="42">
        <v>14557528</v>
      </c>
      <c r="M18" s="42">
        <v>10968047</v>
      </c>
      <c r="N18" s="42">
        <v>12457546</v>
      </c>
      <c r="O18" s="42">
        <v>79399556</v>
      </c>
      <c r="P18" s="42">
        <v>3534682</v>
      </c>
      <c r="Q18" s="42">
        <v>0</v>
      </c>
      <c r="R18" s="42">
        <v>4941886</v>
      </c>
      <c r="S18" s="42">
        <v>17606095</v>
      </c>
      <c r="T18" s="42">
        <v>146408554</v>
      </c>
      <c r="U18" s="42">
        <v>36175962</v>
      </c>
      <c r="V18" s="42">
        <v>2061164</v>
      </c>
      <c r="W18" s="42">
        <v>17979549</v>
      </c>
      <c r="X18" s="42">
        <f>IFERROR(VLOOKUP(A18,'Trans 21-23'!$A$2:$J$229,10,0),0)</f>
        <v>878370</v>
      </c>
      <c r="Y18" s="42">
        <v>6495026</v>
      </c>
      <c r="Z18" s="42">
        <v>0</v>
      </c>
      <c r="AA18" s="42">
        <v>140812369</v>
      </c>
      <c r="AB18" s="42">
        <v>93966787</v>
      </c>
      <c r="AC18" s="42">
        <v>317880</v>
      </c>
      <c r="AD18" s="42">
        <v>184377313</v>
      </c>
      <c r="AE18" s="42">
        <v>0</v>
      </c>
      <c r="AF18" s="42">
        <v>2108143489</v>
      </c>
      <c r="AG18" s="42">
        <v>1700223</v>
      </c>
      <c r="AH18" s="42">
        <v>1781073</v>
      </c>
      <c r="AI18" s="42">
        <v>36689075</v>
      </c>
      <c r="AJ18" s="42">
        <v>25576</v>
      </c>
      <c r="AK18" s="42">
        <v>0</v>
      </c>
      <c r="AL18" s="42">
        <v>13261972</v>
      </c>
      <c r="AM18" s="42">
        <v>7367235</v>
      </c>
      <c r="AN18" s="42">
        <v>13638234</v>
      </c>
      <c r="AO18" s="42">
        <v>163119</v>
      </c>
      <c r="AP18" s="42">
        <v>0</v>
      </c>
      <c r="AQ18" s="42">
        <v>34878986</v>
      </c>
      <c r="AR18" s="42">
        <v>3440</v>
      </c>
      <c r="AS18" s="42">
        <v>34882426</v>
      </c>
      <c r="AT18" s="42">
        <v>442562</v>
      </c>
      <c r="AU18" s="42">
        <v>8163</v>
      </c>
      <c r="AV18" s="42">
        <v>0</v>
      </c>
      <c r="AW18" s="42">
        <v>1948620832</v>
      </c>
      <c r="AX18" s="42">
        <v>765407398</v>
      </c>
      <c r="AY18" s="42">
        <v>1801734416</v>
      </c>
      <c r="AZ18" s="42">
        <v>347016888</v>
      </c>
      <c r="BA18" s="42">
        <v>66272522</v>
      </c>
      <c r="BB18" s="42">
        <v>8859033727</v>
      </c>
      <c r="BC18" s="42">
        <v>11301773322</v>
      </c>
      <c r="BD18" s="42">
        <v>321685061</v>
      </c>
      <c r="BE18" s="42">
        <v>1900726754</v>
      </c>
      <c r="BF18" s="42">
        <v>181422669</v>
      </c>
      <c r="BG18" s="42">
        <v>0</v>
      </c>
      <c r="BH18" s="42">
        <v>102841572</v>
      </c>
      <c r="BI18" s="42">
        <v>35041030</v>
      </c>
      <c r="BJ18" s="42">
        <v>1755183</v>
      </c>
      <c r="BK18" s="42">
        <v>207526</v>
      </c>
      <c r="BL18" s="42">
        <v>0</v>
      </c>
      <c r="BM18" s="42">
        <v>31078976</v>
      </c>
      <c r="BN18" s="42">
        <v>180874844</v>
      </c>
      <c r="BO18" s="42">
        <v>20609522</v>
      </c>
      <c r="BP18" s="42">
        <v>127882741</v>
      </c>
      <c r="BQ18" s="42">
        <v>467893703</v>
      </c>
      <c r="BR18" s="42">
        <v>5864</v>
      </c>
      <c r="BS18" s="42">
        <f>IFERROR(VLOOKUP(A18,'Trans 21-23'!$A$2:$J$229,9,0),0)</f>
        <v>86501890</v>
      </c>
      <c r="BT18" s="67"/>
      <c r="BU18" s="32">
        <f t="shared" si="0"/>
        <v>8859033727</v>
      </c>
      <c r="BV18" s="32">
        <f t="shared" si="1"/>
        <v>8163</v>
      </c>
      <c r="BW18" s="32">
        <f t="shared" si="2"/>
        <v>1700223</v>
      </c>
      <c r="BX18" s="32">
        <f t="shared" si="3"/>
        <v>347999499</v>
      </c>
      <c r="BY18" s="32">
        <f t="shared" si="4"/>
        <v>241592062</v>
      </c>
      <c r="BZ18" s="32">
        <f t="shared" si="5"/>
        <v>347016888</v>
      </c>
      <c r="CA18" s="32">
        <f t="shared" si="6"/>
        <v>184377313</v>
      </c>
      <c r="CB18" s="32">
        <f t="shared" si="7"/>
        <v>1781073</v>
      </c>
      <c r="CC18" s="32">
        <f t="shared" si="8"/>
        <v>34878986</v>
      </c>
      <c r="CD18" s="41">
        <f t="shared" si="9"/>
        <v>1</v>
      </c>
      <c r="CE18" s="44">
        <f t="shared" si="10"/>
        <v>12</v>
      </c>
      <c r="CF18" s="27"/>
      <c r="CG18" s="28">
        <f t="shared" si="11"/>
        <v>1085.2669027318389</v>
      </c>
      <c r="CH18" s="28">
        <f t="shared" si="12"/>
        <v>4.801134909950048</v>
      </c>
      <c r="CI18" s="28">
        <f t="shared" si="13"/>
        <v>204.67873861252318</v>
      </c>
      <c r="CJ18" s="28">
        <f t="shared" si="14"/>
        <v>204.10080795283912</v>
      </c>
      <c r="CK18" s="23">
        <f t="shared" si="15"/>
        <v>5.1064357203503566E-2</v>
      </c>
      <c r="CL18" s="29" t="str">
        <f t="shared" si="16"/>
        <v/>
      </c>
      <c r="CM18" s="29" t="str">
        <f t="shared" si="17"/>
        <v/>
      </c>
      <c r="CN18" s="29" t="str">
        <f t="shared" si="18"/>
        <v/>
      </c>
      <c r="CO18" s="29" t="str">
        <f t="shared" si="19"/>
        <v/>
      </c>
      <c r="CP18" s="29" t="str">
        <f t="shared" si="20"/>
        <v/>
      </c>
      <c r="CQ18" s="29">
        <f t="shared" si="21"/>
        <v>0</v>
      </c>
      <c r="CR18" s="13"/>
      <c r="CS18" s="7">
        <f>VLOOKUP(A18,'Empresas 21-23'!$A$2:$M$228,13,0)</f>
        <v>1</v>
      </c>
      <c r="CT18" s="30"/>
      <c r="CU18" s="6">
        <f t="shared" si="22"/>
        <v>6991961118.6000004</v>
      </c>
      <c r="CV18" s="6">
        <f t="shared" si="23"/>
        <v>347016888</v>
      </c>
      <c r="CW18" s="6">
        <f t="shared" si="24"/>
        <v>321685061</v>
      </c>
      <c r="CX18" s="23">
        <f t="shared" si="58"/>
        <v>0.63678551140928763</v>
      </c>
      <c r="CY18" s="23">
        <f t="shared" si="59"/>
        <v>3.1604198413646978E-2</v>
      </c>
      <c r="CZ18" s="6">
        <f t="shared" si="27"/>
        <v>7196805504.681613</v>
      </c>
      <c r="DA18" s="6">
        <f t="shared" si="28"/>
        <v>357183486.49455011</v>
      </c>
      <c r="DB18" s="6">
        <f t="shared" si="29"/>
        <v>347999499</v>
      </c>
      <c r="DC18" s="6">
        <f t="shared" si="30"/>
        <v>348877869</v>
      </c>
      <c r="DD18" s="6">
        <f t="shared" si="31"/>
        <v>241592062</v>
      </c>
      <c r="DE18" s="6">
        <f t="shared" si="32"/>
        <v>184377313</v>
      </c>
      <c r="DF18" s="6">
        <f t="shared" si="33"/>
        <v>128047800.11979885</v>
      </c>
      <c r="DG18" s="30"/>
      <c r="DH18" s="32">
        <f>VLOOKUP(A18,'T_med_comp-USA'!$A$7:$Q$233,17,0)</f>
        <v>11.042607983924809</v>
      </c>
      <c r="DI18" s="6" t="str">
        <f t="shared" si="34"/>
        <v>12_2012</v>
      </c>
      <c r="DJ18" s="32">
        <f>IF(DI18="","",VLOOKUP(DI18,'CPI USA'!$T:$U,2,FALSE))</f>
        <v>229.59399999999999</v>
      </c>
      <c r="DK18" s="32">
        <f>IF(DI18="","",VLOOKUP(DI18,'PPI USA'!$S:$T,2,FALSE))</f>
        <v>175.1</v>
      </c>
      <c r="DL18" s="32">
        <f>IF(DI18="","",VLOOKUP(DI18,'CPI USA'!$T:$V,3,FALSE))</f>
        <v>0.66730871354337351</v>
      </c>
      <c r="DM18" s="32">
        <f>IF(DI18="","",VLOOKUP(DI18,'CPI USA'!$T:$X,5,FALSE))</f>
        <v>0.49513551903851311</v>
      </c>
      <c r="DN18" s="32">
        <f t="shared" si="35"/>
        <v>1.3897894616766442</v>
      </c>
      <c r="DO18" s="32">
        <f t="shared" si="36"/>
        <v>1.4008620811189902</v>
      </c>
      <c r="DP18" s="32">
        <f t="shared" si="37"/>
        <v>0.32919503110353165</v>
      </c>
      <c r="DQ18" s="32">
        <f>IF(DP18="","",DP18*$DO$1/'CPI USA'!$U$532+(1-DP18)*AVERAGE($DO$1,$DQ$1)/AVERAGE('CPI USA'!$U$532,'PPI USA'!$T$538))</f>
        <v>1.0397001620316351</v>
      </c>
      <c r="DR18" s="6">
        <f t="shared" si="38"/>
        <v>37003739</v>
      </c>
      <c r="DS18" s="32">
        <f t="shared" si="39"/>
        <v>0.2</v>
      </c>
      <c r="DT18" s="28">
        <f>IF(DS18="","",DS18*$DO$1/'CPI USA'!$U$532+(1-DS18)*AVERAGE($DO$1,$DQ$1)/AVERAGE('CPI USA'!$U$532,'PPI USA'!$T$538))</f>
        <v>1.0426818386380585</v>
      </c>
      <c r="DU18" s="6">
        <f t="shared" si="40"/>
        <v>34620224.884833716</v>
      </c>
      <c r="DV18" s="6">
        <f t="shared" si="41"/>
        <v>11689225.003143329</v>
      </c>
      <c r="DW18" s="6">
        <f t="shared" si="42"/>
        <v>35804644.131845474</v>
      </c>
      <c r="DX18" s="16">
        <f t="shared" si="43"/>
        <v>0.27961936166296802</v>
      </c>
      <c r="DY18" s="28">
        <f>IF(DX18="","",DX18*$DO$1/'CPI USA'!$U$532+(1-DX18)*AVERAGE($DO$1,$DQ$1)/AVERAGE('CPI USA'!$U$532,'PPI USA'!$T$538))</f>
        <v>1.0408443129525806</v>
      </c>
      <c r="DZ18" s="30"/>
      <c r="EA18" s="29" t="str">
        <f t="shared" si="44"/>
        <v>C000201</v>
      </c>
      <c r="EB18" s="29">
        <f t="shared" si="45"/>
        <v>10002044448.142969</v>
      </c>
      <c r="EC18" s="29">
        <f t="shared" si="46"/>
        <v>500364802.2320922</v>
      </c>
      <c r="ED18" s="29">
        <f t="shared" si="47"/>
        <v>362728376.92855155</v>
      </c>
      <c r="EE18" s="29">
        <f t="shared" si="48"/>
        <v>251903655.40651983</v>
      </c>
      <c r="EF18" s="29">
        <f t="shared" si="49"/>
        <v>133277824.54078141</v>
      </c>
      <c r="EG18" s="29">
        <f t="shared" si="50"/>
        <v>8163</v>
      </c>
      <c r="EH18" s="29">
        <f t="shared" si="51"/>
        <v>1700223</v>
      </c>
      <c r="EI18" s="29">
        <f t="shared" si="52"/>
        <v>1781073</v>
      </c>
      <c r="EJ18" s="29">
        <f t="shared" si="53"/>
        <v>34878986</v>
      </c>
      <c r="EK18" s="29">
        <f t="shared" si="54"/>
        <v>36660006.614213198</v>
      </c>
      <c r="EL18" s="29">
        <f>IF(CD18=1,VLOOKUP(EA18,'EIA 2023'!$A$2:$J$213,4,0)*EH18,"")</f>
        <v>134317617</v>
      </c>
      <c r="EM18" s="29">
        <f>IF(CD18=1,VLOOKUP(EA18,'EIA 2023'!$A$2:$J$213,7,0)*EH18,"")</f>
        <v>1496196.24</v>
      </c>
      <c r="EN18" s="29">
        <f>IF(CD18=1,VLOOKUP(EA18,'EIA 2023'!$A$2:$J$213,10,0),"")</f>
        <v>1756272</v>
      </c>
      <c r="EO18" s="28">
        <f>IF(CD18=1,VLOOKUP(EA18,'EIA 2023'!$A$2:$Z$213,26,0),"")</f>
        <v>0</v>
      </c>
      <c r="EP18" s="23">
        <f t="shared" si="55"/>
        <v>4.858211382653408E-2</v>
      </c>
      <c r="EQ18" s="32">
        <f t="shared" si="56"/>
        <v>52.385786802030452</v>
      </c>
      <c r="ER18" s="32">
        <f t="shared" si="57"/>
        <v>1781020.614213198</v>
      </c>
      <c r="ES18" s="32"/>
      <c r="ET18" s="32"/>
    </row>
    <row r="19" spans="1:150" ht="14.5">
      <c r="A19" s="7" t="s">
        <v>258</v>
      </c>
      <c r="B19" s="7" t="s">
        <v>259</v>
      </c>
      <c r="C19" s="32" t="s">
        <v>1104</v>
      </c>
      <c r="D19" s="42">
        <v>165725183</v>
      </c>
      <c r="E19" s="42">
        <v>33087216</v>
      </c>
      <c r="F19" s="42">
        <v>276383714</v>
      </c>
      <c r="G19" s="42">
        <v>255339608</v>
      </c>
      <c r="H19" s="42">
        <v>258524958</v>
      </c>
      <c r="I19" s="42">
        <v>1663987</v>
      </c>
      <c r="J19" s="42">
        <v>2247014</v>
      </c>
      <c r="K19" s="42">
        <v>1802424</v>
      </c>
      <c r="L19" s="42">
        <v>965890</v>
      </c>
      <c r="M19" s="42">
        <v>433302</v>
      </c>
      <c r="N19" s="42">
        <v>0</v>
      </c>
      <c r="O19" s="42">
        <v>5341269</v>
      </c>
      <c r="P19" s="42">
        <v>2852558</v>
      </c>
      <c r="Q19" s="42">
        <v>164200</v>
      </c>
      <c r="R19" s="42">
        <v>0</v>
      </c>
      <c r="S19" s="42">
        <v>1296459</v>
      </c>
      <c r="T19" s="42">
        <v>40862639</v>
      </c>
      <c r="U19" s="42">
        <v>2512454</v>
      </c>
      <c r="V19" s="42">
        <v>701929</v>
      </c>
      <c r="W19" s="42">
        <v>2297891</v>
      </c>
      <c r="X19" s="42">
        <f>IFERROR(VLOOKUP(A19,'Trans 21-23'!$A$2:$J$229,10,0),0)</f>
        <v>10088973</v>
      </c>
      <c r="Y19" s="42">
        <v>1643070</v>
      </c>
      <c r="Z19" s="42">
        <v>1253511</v>
      </c>
      <c r="AA19" s="42">
        <v>34636620</v>
      </c>
      <c r="AB19" s="42">
        <v>28721827</v>
      </c>
      <c r="AC19" s="42">
        <v>1454695</v>
      </c>
      <c r="AD19" s="42">
        <v>140182673</v>
      </c>
      <c r="AE19" s="42">
        <v>0</v>
      </c>
      <c r="AF19" s="42">
        <v>1228725750</v>
      </c>
      <c r="AG19" s="42">
        <v>790230</v>
      </c>
      <c r="AH19" s="42">
        <v>1029391</v>
      </c>
      <c r="AI19" s="42">
        <v>23045749</v>
      </c>
      <c r="AJ19" s="42">
        <v>69290</v>
      </c>
      <c r="AK19" s="42">
        <v>0</v>
      </c>
      <c r="AL19" s="42">
        <v>8048075</v>
      </c>
      <c r="AM19" s="42">
        <v>7074407</v>
      </c>
      <c r="AN19" s="42">
        <v>5344833</v>
      </c>
      <c r="AO19" s="42">
        <v>58741</v>
      </c>
      <c r="AP19" s="42">
        <v>500021</v>
      </c>
      <c r="AQ19" s="42">
        <v>21026077</v>
      </c>
      <c r="AR19" s="42">
        <v>920991</v>
      </c>
      <c r="AS19" s="42">
        <v>21947068</v>
      </c>
      <c r="AT19" s="42">
        <v>0</v>
      </c>
      <c r="AU19" s="42">
        <v>4785</v>
      </c>
      <c r="AV19" s="42">
        <v>0</v>
      </c>
      <c r="AW19" s="42">
        <v>639669102</v>
      </c>
      <c r="AX19" s="42">
        <v>200044014</v>
      </c>
      <c r="AY19" s="42">
        <v>593416943</v>
      </c>
      <c r="AZ19" s="42">
        <v>210421181</v>
      </c>
      <c r="BA19" s="42">
        <v>468473275</v>
      </c>
      <c r="BB19" s="42">
        <v>4242574416</v>
      </c>
      <c r="BC19" s="42">
        <v>12399987339</v>
      </c>
      <c r="BD19" s="42">
        <v>280282513</v>
      </c>
      <c r="BE19" s="42">
        <v>1375352548</v>
      </c>
      <c r="BF19" s="42">
        <v>104070679</v>
      </c>
      <c r="BG19" s="42">
        <v>0</v>
      </c>
      <c r="BH19" s="42">
        <v>24249580</v>
      </c>
      <c r="BI19" s="42">
        <v>12188394</v>
      </c>
      <c r="BJ19" s="42">
        <v>2184596</v>
      </c>
      <c r="BK19" s="42">
        <v>1163433</v>
      </c>
      <c r="BL19" s="42">
        <v>0</v>
      </c>
      <c r="BM19" s="42">
        <v>59516792</v>
      </c>
      <c r="BN19" s="42">
        <v>187170187</v>
      </c>
      <c r="BO19" s="42">
        <v>0</v>
      </c>
      <c r="BP19" s="42">
        <v>5320702</v>
      </c>
      <c r="BQ19" s="42">
        <v>230979209</v>
      </c>
      <c r="BR19" s="42">
        <v>0</v>
      </c>
      <c r="BS19" s="42">
        <f>IFERROR(VLOOKUP(A19,'Trans 21-23'!$A$2:$J$229,9,0),0)</f>
        <v>993562012</v>
      </c>
      <c r="BT19" s="67"/>
      <c r="BU19" s="32">
        <f t="shared" si="0"/>
        <v>4242574416</v>
      </c>
      <c r="BV19" s="32">
        <f t="shared" si="1"/>
        <v>4785</v>
      </c>
      <c r="BW19" s="32">
        <f t="shared" si="2"/>
        <v>790230</v>
      </c>
      <c r="BX19" s="32">
        <f t="shared" si="3"/>
        <v>63142016</v>
      </c>
      <c r="BY19" s="32">
        <f t="shared" si="4"/>
        <v>67709723</v>
      </c>
      <c r="BZ19" s="32">
        <f t="shared" si="5"/>
        <v>210421181</v>
      </c>
      <c r="CA19" s="32">
        <f t="shared" si="6"/>
        <v>140182673</v>
      </c>
      <c r="CB19" s="32">
        <f t="shared" si="7"/>
        <v>1029391</v>
      </c>
      <c r="CC19" s="66">
        <f t="shared" si="8"/>
        <v>21026077</v>
      </c>
      <c r="CD19" s="41">
        <f t="shared" si="9"/>
        <v>1</v>
      </c>
      <c r="CE19" s="44">
        <f t="shared" si="10"/>
        <v>10</v>
      </c>
      <c r="CF19" s="27"/>
      <c r="CG19" s="28">
        <f t="shared" si="11"/>
        <v>886.64042131661438</v>
      </c>
      <c r="CH19" s="28">
        <f t="shared" si="12"/>
        <v>6.0551991192437642</v>
      </c>
      <c r="CI19" s="28">
        <f t="shared" si="13"/>
        <v>79.903339534059711</v>
      </c>
      <c r="CJ19" s="28">
        <f t="shared" si="14"/>
        <v>266.27840122495979</v>
      </c>
      <c r="CK19" s="23">
        <f t="shared" si="15"/>
        <v>4.8957825085487891E-2</v>
      </c>
      <c r="CL19" s="29" t="str">
        <f t="shared" si="16"/>
        <v/>
      </c>
      <c r="CM19" s="29" t="str">
        <f t="shared" si="17"/>
        <v/>
      </c>
      <c r="CN19" s="29" t="str">
        <f t="shared" si="18"/>
        <v/>
      </c>
      <c r="CO19" s="29" t="str">
        <f t="shared" si="19"/>
        <v/>
      </c>
      <c r="CP19" s="29" t="str">
        <f t="shared" si="20"/>
        <v/>
      </c>
      <c r="CQ19" s="29">
        <f t="shared" si="21"/>
        <v>0</v>
      </c>
      <c r="CR19" s="13"/>
      <c r="CS19" s="7">
        <f>VLOOKUP(A19,'Empresas 21-23'!$A$2:$M$228,13,0)</f>
        <v>1</v>
      </c>
      <c r="CT19" s="30"/>
      <c r="CU19" s="6">
        <f t="shared" si="22"/>
        <v>4081165397.8000002</v>
      </c>
      <c r="CV19" s="6">
        <f t="shared" si="23"/>
        <v>210421181</v>
      </c>
      <c r="CW19" s="6">
        <f t="shared" si="24"/>
        <v>280282513</v>
      </c>
      <c r="CX19" s="23">
        <f t="shared" si="58"/>
        <v>0.33673801931585096</v>
      </c>
      <c r="CY19" s="23">
        <f t="shared" si="59"/>
        <v>1.7361906417769385E-2</v>
      </c>
      <c r="CZ19" s="6">
        <f t="shared" si="27"/>
        <v>4175547176.0764894</v>
      </c>
      <c r="DA19" s="6">
        <f t="shared" si="28"/>
        <v>215287419.76124322</v>
      </c>
      <c r="DB19" s="6">
        <f t="shared" si="29"/>
        <v>63142016</v>
      </c>
      <c r="DC19" s="6">
        <f t="shared" si="30"/>
        <v>73230989</v>
      </c>
      <c r="DD19" s="6">
        <f t="shared" si="31"/>
        <v>67709723</v>
      </c>
      <c r="DE19" s="6">
        <f t="shared" si="32"/>
        <v>140182673</v>
      </c>
      <c r="DF19" s="6">
        <f t="shared" si="33"/>
        <v>55682695.572954901</v>
      </c>
      <c r="DG19" s="30"/>
      <c r="DH19" s="32">
        <f>VLOOKUP(A19,'T_med_comp-USA'!$A$7:$Q$233,17,0)</f>
        <v>13.671317443061531</v>
      </c>
      <c r="DI19" s="6" t="str">
        <f t="shared" si="34"/>
        <v>5_2010</v>
      </c>
      <c r="DJ19" s="32">
        <f>IF(DI19="","",VLOOKUP(DI19,'CPI USA'!$T:$U,2,FALSE))</f>
        <v>218.05600000000001</v>
      </c>
      <c r="DK19" s="32">
        <f>IF(DI19="","",VLOOKUP(DI19,'PPI USA'!$S:$T,2,FALSE))</f>
        <v>160.80000000000001</v>
      </c>
      <c r="DL19" s="32">
        <f>IF(DI19="","",VLOOKUP(DI19,'CPI USA'!$T:$V,3,FALSE))</f>
        <v>0.67050107279443949</v>
      </c>
      <c r="DM19" s="32">
        <f>IF(DI19="","",VLOOKUP(DI19,'CPI USA'!$T:$X,5,FALSE))</f>
        <v>0.4987389730136107</v>
      </c>
      <c r="DN19" s="32">
        <f t="shared" si="35"/>
        <v>1.4703278680244813</v>
      </c>
      <c r="DO19" s="32">
        <f t="shared" si="36"/>
        <v>1.4857204383544427</v>
      </c>
      <c r="DP19" s="32">
        <f t="shared" si="37"/>
        <v>0.38404823818105521</v>
      </c>
      <c r="DQ19" s="32">
        <f>IF(DP19="","",DP19*$DO$1/'CPI USA'!$U$532+(1-DP19)*AVERAGE($DO$1,$DQ$1)/AVERAGE('CPI USA'!$U$532,'PPI USA'!$T$538))</f>
        <v>1.038434211453402</v>
      </c>
      <c r="DR19" s="6">
        <f t="shared" si="38"/>
        <v>15536423</v>
      </c>
      <c r="DS19" s="32">
        <f t="shared" si="39"/>
        <v>0.22945630718353405</v>
      </c>
      <c r="DT19" s="28">
        <f>IF(DS19="","",DS19*$DO$1/'CPI USA'!$U$532+(1-DS19)*AVERAGE($DO$1,$DQ$1)/AVERAGE('CPI USA'!$U$532,'PPI USA'!$T$538))</f>
        <v>1.0420020200622933</v>
      </c>
      <c r="DU19" s="6">
        <f t="shared" si="40"/>
        <v>59516792</v>
      </c>
      <c r="DV19" s="6">
        <f t="shared" si="41"/>
        <v>1403320.080585236</v>
      </c>
      <c r="DW19" s="6">
        <f t="shared" si="42"/>
        <v>12949539.672140736</v>
      </c>
      <c r="DX19" s="16">
        <f t="shared" si="43"/>
        <v>0.23255949696570241</v>
      </c>
      <c r="DY19" s="28">
        <f>IF(DX19="","",DX19*$DO$1/'CPI USA'!$U$532+(1-DX19)*AVERAGE($DO$1,$DQ$1)/AVERAGE('CPI USA'!$U$532,'PPI USA'!$T$538))</f>
        <v>1.0419304019180058</v>
      </c>
      <c r="DZ19" s="30"/>
      <c r="EA19" s="29" t="str">
        <f t="shared" si="44"/>
        <v>C000241</v>
      </c>
      <c r="EB19" s="29">
        <f t="shared" si="45"/>
        <v>6139423377.2361879</v>
      </c>
      <c r="EC19" s="29">
        <f t="shared" si="46"/>
        <v>319856919.65987116</v>
      </c>
      <c r="ED19" s="29">
        <f t="shared" si="47"/>
        <v>76045564.316167757</v>
      </c>
      <c r="EE19" s="29">
        <f t="shared" si="48"/>
        <v>70553668.143858314</v>
      </c>
      <c r="EF19" s="29">
        <f t="shared" si="49"/>
        <v>58017493.378206864</v>
      </c>
      <c r="EG19" s="29">
        <f t="shared" si="50"/>
        <v>4785</v>
      </c>
      <c r="EH19" s="29">
        <f t="shared" si="51"/>
        <v>790230</v>
      </c>
      <c r="EI19" s="29">
        <f t="shared" si="52"/>
        <v>1029391</v>
      </c>
      <c r="EJ19" s="29">
        <f t="shared" si="53"/>
        <v>21026077</v>
      </c>
      <c r="EK19" s="29">
        <f t="shared" si="54"/>
        <v>22041442.756345179</v>
      </c>
      <c r="EL19" s="29">
        <f>IF(CD19=1,VLOOKUP(EA19,'EIA 2023'!$A$2:$J$213,4,0)*EH19,"")</f>
        <v>71041677</v>
      </c>
      <c r="EM19" s="29">
        <f>IF(CD19=1,VLOOKUP(EA19,'EIA 2023'!$A$2:$J$213,7,0)*EH19,"")</f>
        <v>1169540.3999999999</v>
      </c>
      <c r="EN19" s="29">
        <f>IF(CD19=1,VLOOKUP(EA19,'EIA 2023'!$A$2:$J$213,10,0),"")</f>
        <v>788694</v>
      </c>
      <c r="EO19" s="28">
        <f>IF(CD19=1,VLOOKUP(EA19,'EIA 2023'!$A$2:$Z$213,26,0),"")</f>
        <v>0</v>
      </c>
      <c r="EP19" s="23">
        <f t="shared" si="55"/>
        <v>4.6066211162737035E-2</v>
      </c>
      <c r="EQ19" s="32">
        <f t="shared" si="56"/>
        <v>14025.243654822349</v>
      </c>
      <c r="ER19" s="32">
        <f t="shared" si="57"/>
        <v>1015365.7563451777</v>
      </c>
      <c r="ES19" s="32"/>
      <c r="ET19" s="32"/>
    </row>
    <row r="20" spans="1:150" ht="14.5">
      <c r="A20" s="7" t="s">
        <v>261</v>
      </c>
      <c r="B20" s="7" t="s">
        <v>262</v>
      </c>
      <c r="C20" s="32" t="s">
        <v>1105</v>
      </c>
      <c r="D20" s="42">
        <v>466497301</v>
      </c>
      <c r="E20" s="42">
        <v>0</v>
      </c>
      <c r="F20" s="42">
        <v>155582679</v>
      </c>
      <c r="G20" s="42">
        <v>449770668</v>
      </c>
      <c r="H20" s="42">
        <v>662068780</v>
      </c>
      <c r="I20" s="42">
        <v>762209</v>
      </c>
      <c r="J20" s="42">
        <v>359135</v>
      </c>
      <c r="K20" s="42">
        <v>2145993</v>
      </c>
      <c r="L20" s="42">
        <v>1653494</v>
      </c>
      <c r="M20" s="42">
        <v>6267670</v>
      </c>
      <c r="N20" s="42">
        <v>3148809</v>
      </c>
      <c r="O20" s="42">
        <v>539283</v>
      </c>
      <c r="P20" s="42">
        <v>684066</v>
      </c>
      <c r="Q20" s="42">
        <v>776480</v>
      </c>
      <c r="R20" s="42">
        <v>6041</v>
      </c>
      <c r="S20" s="42">
        <v>3306616</v>
      </c>
      <c r="T20" s="42">
        <v>60290592</v>
      </c>
      <c r="U20" s="42">
        <v>1697833</v>
      </c>
      <c r="V20" s="42">
        <v>110157</v>
      </c>
      <c r="W20" s="42">
        <v>487434</v>
      </c>
      <c r="X20" s="42">
        <f>IFERROR(VLOOKUP(A20,'Trans 21-23'!$A$2:$J$229,10,0),0)</f>
        <v>7898482</v>
      </c>
      <c r="Y20" s="42">
        <v>3396174</v>
      </c>
      <c r="Z20" s="42">
        <v>1115136</v>
      </c>
      <c r="AA20" s="42">
        <v>22150098</v>
      </c>
      <c r="AB20" s="42">
        <v>8365202</v>
      </c>
      <c r="AC20" s="42">
        <v>828879</v>
      </c>
      <c r="AD20" s="42">
        <v>119298435</v>
      </c>
      <c r="AE20" s="42">
        <v>0</v>
      </c>
      <c r="AF20" s="42">
        <v>1868905214</v>
      </c>
      <c r="AG20" s="42">
        <v>894160</v>
      </c>
      <c r="AH20" s="42">
        <v>2490342</v>
      </c>
      <c r="AI20" s="42">
        <v>32737998</v>
      </c>
      <c r="AJ20" s="42">
        <v>29027</v>
      </c>
      <c r="AK20" s="42">
        <v>0</v>
      </c>
      <c r="AL20" s="42">
        <v>8610814</v>
      </c>
      <c r="AM20" s="42">
        <v>6228067</v>
      </c>
      <c r="AN20" s="42">
        <v>8895566</v>
      </c>
      <c r="AO20" s="42">
        <v>64847</v>
      </c>
      <c r="AP20" s="42">
        <v>1819591</v>
      </c>
      <c r="AQ20" s="42">
        <v>25618885</v>
      </c>
      <c r="AR20" s="42">
        <v>4599744</v>
      </c>
      <c r="AS20" s="42">
        <v>30218629</v>
      </c>
      <c r="AT20" s="42">
        <v>0</v>
      </c>
      <c r="AU20" s="42">
        <v>6051</v>
      </c>
      <c r="AV20" s="42">
        <v>0</v>
      </c>
      <c r="AW20" s="42">
        <v>1008560208</v>
      </c>
      <c r="AX20" s="42">
        <v>82830039</v>
      </c>
      <c r="AY20" s="42">
        <v>913053008</v>
      </c>
      <c r="AZ20" s="42">
        <v>223346578</v>
      </c>
      <c r="BA20" s="42">
        <v>70645959</v>
      </c>
      <c r="BB20" s="42">
        <v>4903701111</v>
      </c>
      <c r="BC20" s="42">
        <v>18455463787</v>
      </c>
      <c r="BD20" s="42">
        <v>820099489</v>
      </c>
      <c r="BE20" s="42">
        <v>1349527167</v>
      </c>
      <c r="BF20" s="42">
        <v>103325593</v>
      </c>
      <c r="BG20" s="42">
        <v>0</v>
      </c>
      <c r="BH20" s="42">
        <v>28442052</v>
      </c>
      <c r="BI20" s="42">
        <v>4931319</v>
      </c>
      <c r="BJ20" s="42">
        <v>3879947</v>
      </c>
      <c r="BK20" s="42">
        <v>0</v>
      </c>
      <c r="BL20" s="42">
        <v>0</v>
      </c>
      <c r="BM20" s="42">
        <v>52599598</v>
      </c>
      <c r="BN20" s="42">
        <v>175377463</v>
      </c>
      <c r="BO20" s="42">
        <v>3160048</v>
      </c>
      <c r="BP20" s="42">
        <v>8726041</v>
      </c>
      <c r="BQ20" s="42">
        <v>283433806</v>
      </c>
      <c r="BR20" s="42">
        <v>0</v>
      </c>
      <c r="BS20" s="42">
        <f>IFERROR(VLOOKUP(A20,'Trans 21-23'!$A$2:$J$229,9,0),0)</f>
        <v>777842454</v>
      </c>
      <c r="BT20" s="67"/>
      <c r="BU20" s="32">
        <f t="shared" si="0"/>
        <v>4903701111</v>
      </c>
      <c r="BV20" s="32">
        <f t="shared" si="1"/>
        <v>6051</v>
      </c>
      <c r="BW20" s="32">
        <f t="shared" si="2"/>
        <v>894160</v>
      </c>
      <c r="BX20" s="32">
        <f t="shared" si="3"/>
        <v>82235812</v>
      </c>
      <c r="BY20" s="32">
        <f t="shared" si="4"/>
        <v>35855489</v>
      </c>
      <c r="BZ20" s="32">
        <f t="shared" si="5"/>
        <v>223346578</v>
      </c>
      <c r="CA20" s="32">
        <f t="shared" si="6"/>
        <v>119298435</v>
      </c>
      <c r="CB20" s="32">
        <f t="shared" si="7"/>
        <v>2490342</v>
      </c>
      <c r="CC20" s="32">
        <f t="shared" si="8"/>
        <v>25618885</v>
      </c>
      <c r="CD20" s="41">
        <f t="shared" si="9"/>
        <v>1</v>
      </c>
      <c r="CE20" s="44">
        <f t="shared" si="10"/>
        <v>9</v>
      </c>
      <c r="CF20" s="27"/>
      <c r="CG20" s="28">
        <f t="shared" si="11"/>
        <v>810.39515964303416</v>
      </c>
      <c r="CH20" s="28">
        <f t="shared" si="12"/>
        <v>6.7672452357519903</v>
      </c>
      <c r="CI20" s="28">
        <f t="shared" si="13"/>
        <v>91.969906951775968</v>
      </c>
      <c r="CJ20" s="28">
        <f t="shared" si="14"/>
        <v>249.78368300975217</v>
      </c>
      <c r="CK20" s="23">
        <f t="shared" si="15"/>
        <v>9.7207275023873996E-2</v>
      </c>
      <c r="CL20" s="29" t="str">
        <f t="shared" si="16"/>
        <v/>
      </c>
      <c r="CM20" s="29" t="str">
        <f t="shared" si="17"/>
        <v/>
      </c>
      <c r="CN20" s="29" t="str">
        <f t="shared" si="18"/>
        <v/>
      </c>
      <c r="CO20" s="29" t="str">
        <f t="shared" si="19"/>
        <v/>
      </c>
      <c r="CP20" s="29" t="str">
        <f t="shared" si="20"/>
        <v/>
      </c>
      <c r="CQ20" s="29">
        <f t="shared" si="21"/>
        <v>0</v>
      </c>
      <c r="CR20" s="13"/>
      <c r="CS20" s="7">
        <f>VLOOKUP(A20,'Empresas 21-23'!$A$2:$M$228,13,0)</f>
        <v>1</v>
      </c>
      <c r="CT20" s="30"/>
      <c r="CU20" s="6">
        <f t="shared" si="22"/>
        <v>4790021199.8000002</v>
      </c>
      <c r="CV20" s="6">
        <f t="shared" si="23"/>
        <v>223346578</v>
      </c>
      <c r="CW20" s="6">
        <f t="shared" si="24"/>
        <v>820099489</v>
      </c>
      <c r="CX20" s="23">
        <f t="shared" si="58"/>
        <v>0.27161453082901321</v>
      </c>
      <c r="CY20" s="23">
        <f t="shared" si="59"/>
        <v>1.2664698853163436E-2</v>
      </c>
      <c r="CZ20" s="6">
        <f t="shared" si="27"/>
        <v>5012772137.7378483</v>
      </c>
      <c r="DA20" s="6">
        <f t="shared" si="28"/>
        <v>233732891.05781823</v>
      </c>
      <c r="DB20" s="6">
        <f t="shared" si="29"/>
        <v>82235812</v>
      </c>
      <c r="DC20" s="6">
        <f t="shared" si="30"/>
        <v>90134294</v>
      </c>
      <c r="DD20" s="6">
        <f t="shared" si="31"/>
        <v>35855489</v>
      </c>
      <c r="DE20" s="6">
        <f t="shared" si="32"/>
        <v>119298435</v>
      </c>
      <c r="DF20" s="6">
        <f t="shared" si="33"/>
        <v>32291599.509191405</v>
      </c>
      <c r="DG20" s="30"/>
      <c r="DH20" s="32">
        <f>VLOOKUP(A20,'T_med_comp-USA'!$A$7:$Q$233,17,0)</f>
        <v>13.795578757260353</v>
      </c>
      <c r="DI20" s="6" t="str">
        <f t="shared" si="34"/>
        <v>3_2010</v>
      </c>
      <c r="DJ20" s="32">
        <f>IF(DI20="","",VLOOKUP(DI20,'CPI USA'!$T:$U,2,FALSE))</f>
        <v>218.05600000000001</v>
      </c>
      <c r="DK20" s="32">
        <f>IF(DI20="","",VLOOKUP(DI20,'PPI USA'!$S:$T,2,FALSE))</f>
        <v>160.80000000000001</v>
      </c>
      <c r="DL20" s="32">
        <f>IF(DI20="","",VLOOKUP(DI20,'CPI USA'!$T:$V,3,FALSE))</f>
        <v>0.67050107279443949</v>
      </c>
      <c r="DM20" s="32">
        <f>IF(DI20="","",VLOOKUP(DI20,'CPI USA'!$T:$X,5,FALSE))</f>
        <v>0.4987389730136107</v>
      </c>
      <c r="DN20" s="32">
        <f t="shared" si="35"/>
        <v>1.4703278680244813</v>
      </c>
      <c r="DO20" s="32">
        <f t="shared" si="36"/>
        <v>1.4857204383544427</v>
      </c>
      <c r="DP20" s="32">
        <f t="shared" si="37"/>
        <v>0.35209157542234154</v>
      </c>
      <c r="DQ20" s="32">
        <f>IF(DP20="","",DP20*$DO$1/'CPI USA'!$U$532+(1-DP20)*AVERAGE($DO$1,$DQ$1)/AVERAGE('CPI USA'!$U$532,'PPI USA'!$T$538))</f>
        <v>1.0391717354351928</v>
      </c>
      <c r="DR20" s="6">
        <f t="shared" si="38"/>
        <v>8811266</v>
      </c>
      <c r="DS20" s="32">
        <f t="shared" si="39"/>
        <v>0.25017180096992842</v>
      </c>
      <c r="DT20" s="28">
        <f>IF(DS20="","",DS20*$DO$1/'CPI USA'!$U$532+(1-DS20)*AVERAGE($DO$1,$DQ$1)/AVERAGE('CPI USA'!$U$532,'PPI USA'!$T$538))</f>
        <v>1.0415239296691425</v>
      </c>
      <c r="DU20" s="6">
        <f t="shared" si="40"/>
        <v>53547366.610729098</v>
      </c>
      <c r="DV20" s="6">
        <f t="shared" si="41"/>
        <v>1670816.4355365708</v>
      </c>
      <c r="DW20" s="6">
        <f t="shared" si="42"/>
        <v>11729332.248378709</v>
      </c>
      <c r="DX20" s="16">
        <f t="shared" si="43"/>
        <v>0.36323168956186574</v>
      </c>
      <c r="DY20" s="28">
        <f>IF(DX20="","",DX20*$DO$1/'CPI USA'!$U$532+(1-DX20)*AVERAGE($DO$1,$DQ$1)/AVERAGE('CPI USA'!$U$532,'PPI USA'!$T$538))</f>
        <v>1.0389146340789024</v>
      </c>
      <c r="DZ20" s="30"/>
      <c r="EA20" s="29" t="str">
        <f t="shared" si="44"/>
        <v>C000289</v>
      </c>
      <c r="EB20" s="29">
        <f t="shared" si="45"/>
        <v>7370418570.1726122</v>
      </c>
      <c r="EC20" s="29">
        <f t="shared" si="46"/>
        <v>347261733.36027288</v>
      </c>
      <c r="ED20" s="29">
        <f t="shared" si="47"/>
        <v>93665010.718205884</v>
      </c>
      <c r="EE20" s="29">
        <f t="shared" si="48"/>
        <v>37344349.803488716</v>
      </c>
      <c r="EF20" s="29">
        <f t="shared" si="49"/>
        <v>33548215.287914053</v>
      </c>
      <c r="EG20" s="29">
        <f t="shared" si="50"/>
        <v>6051</v>
      </c>
      <c r="EH20" s="29">
        <f t="shared" si="51"/>
        <v>894160</v>
      </c>
      <c r="EI20" s="29">
        <f t="shared" si="52"/>
        <v>2490342</v>
      </c>
      <c r="EJ20" s="29">
        <f t="shared" si="53"/>
        <v>25618885</v>
      </c>
      <c r="EK20" s="29">
        <f t="shared" si="54"/>
        <v>28039180.137055837</v>
      </c>
      <c r="EL20" s="29">
        <f>IF(CD20=1,VLOOKUP(EA20,'EIA 2023'!$A$2:$J$213,4,0)*EH20,"")</f>
        <v>87618738.399999991</v>
      </c>
      <c r="EM20" s="29">
        <f>IF(CD20=1,VLOOKUP(EA20,'EIA 2023'!$A$2:$J$213,7,0)*EH20,"")</f>
        <v>1326933.44</v>
      </c>
      <c r="EN20" s="29">
        <f>IF(CD20=1,VLOOKUP(EA20,'EIA 2023'!$A$2:$J$213,10,0),"")</f>
        <v>913967</v>
      </c>
      <c r="EO20" s="28">
        <f>IF(CD20=1,VLOOKUP(EA20,'EIA 2023'!$A$2:$Z$213,26,0),"")</f>
        <v>0</v>
      </c>
      <c r="EP20" s="23">
        <f t="shared" si="55"/>
        <v>8.6318327612483925E-2</v>
      </c>
      <c r="EQ20" s="32">
        <f t="shared" si="56"/>
        <v>70046.862944162451</v>
      </c>
      <c r="ER20" s="32">
        <f t="shared" si="57"/>
        <v>2420295.1370558375</v>
      </c>
      <c r="ES20" s="32"/>
      <c r="ET20" s="32"/>
    </row>
    <row r="21" spans="1:150" ht="15.75" customHeight="1">
      <c r="A21" s="7" t="s">
        <v>264</v>
      </c>
      <c r="B21" s="7" t="s">
        <v>265</v>
      </c>
      <c r="C21" s="32" t="s">
        <v>1106</v>
      </c>
      <c r="D21" s="42">
        <v>413145438</v>
      </c>
      <c r="E21" s="42">
        <v>239912503</v>
      </c>
      <c r="F21" s="42">
        <v>1094659538</v>
      </c>
      <c r="G21" s="42">
        <v>355201587</v>
      </c>
      <c r="H21" s="42">
        <v>896990652</v>
      </c>
      <c r="I21" s="42">
        <v>2130147</v>
      </c>
      <c r="J21" s="42">
        <v>1148697</v>
      </c>
      <c r="K21" s="42">
        <v>5291494</v>
      </c>
      <c r="L21" s="42">
        <v>1308853</v>
      </c>
      <c r="M21" s="42">
        <v>14768004</v>
      </c>
      <c r="N21" s="42">
        <v>9195671</v>
      </c>
      <c r="O21" s="42">
        <v>41248163</v>
      </c>
      <c r="P21" s="42">
        <v>240346</v>
      </c>
      <c r="Q21" s="42">
        <v>2997113</v>
      </c>
      <c r="R21" s="42">
        <v>0</v>
      </c>
      <c r="S21" s="42">
        <v>3464286</v>
      </c>
      <c r="T21" s="42">
        <v>131657604</v>
      </c>
      <c r="U21" s="42">
        <v>8031378</v>
      </c>
      <c r="V21" s="42">
        <v>1773502</v>
      </c>
      <c r="W21" s="42">
        <v>667216</v>
      </c>
      <c r="X21" s="42">
        <f>IFERROR(VLOOKUP(A21,'Trans 21-23'!$A$2:$J$229,10,0),0)</f>
        <v>22207838</v>
      </c>
      <c r="Y21" s="42">
        <v>9110109</v>
      </c>
      <c r="Z21" s="42">
        <v>1220759</v>
      </c>
      <c r="AA21" s="42">
        <v>102359570</v>
      </c>
      <c r="AB21" s="42">
        <v>28554938</v>
      </c>
      <c r="AC21" s="42">
        <v>3744443</v>
      </c>
      <c r="AD21" s="42">
        <v>351358384</v>
      </c>
      <c r="AE21" s="42">
        <v>0</v>
      </c>
      <c r="AF21" s="42">
        <v>4146175959</v>
      </c>
      <c r="AG21" s="42">
        <v>2845809</v>
      </c>
      <c r="AH21" s="42">
        <v>5046609</v>
      </c>
      <c r="AI21" s="42">
        <v>92748319</v>
      </c>
      <c r="AJ21" s="42">
        <v>67186</v>
      </c>
      <c r="AK21" s="42">
        <v>0</v>
      </c>
      <c r="AL21" s="42">
        <v>28091311</v>
      </c>
      <c r="AM21" s="42">
        <v>29774230</v>
      </c>
      <c r="AN21" s="42">
        <v>19704055</v>
      </c>
      <c r="AO21" s="42">
        <v>277799</v>
      </c>
      <c r="AP21" s="42">
        <v>0</v>
      </c>
      <c r="AQ21" s="42">
        <v>77847395</v>
      </c>
      <c r="AR21" s="42">
        <v>9787129</v>
      </c>
      <c r="AS21" s="42">
        <v>87634524</v>
      </c>
      <c r="AT21" s="42">
        <v>0</v>
      </c>
      <c r="AU21" s="42">
        <v>18010</v>
      </c>
      <c r="AV21" s="42">
        <v>0</v>
      </c>
      <c r="AW21" s="42">
        <v>3494056507</v>
      </c>
      <c r="AX21" s="42">
        <v>350613318</v>
      </c>
      <c r="AY21" s="42">
        <v>3262692902</v>
      </c>
      <c r="AZ21" s="42">
        <v>686414177</v>
      </c>
      <c r="BA21" s="42">
        <v>468398930</v>
      </c>
      <c r="BB21" s="42">
        <v>17302378980</v>
      </c>
      <c r="BC21" s="42">
        <v>51978683431</v>
      </c>
      <c r="BD21" s="42">
        <v>2129922025</v>
      </c>
      <c r="BE21" s="42">
        <v>5067159478</v>
      </c>
      <c r="BF21" s="42">
        <v>337255738</v>
      </c>
      <c r="BG21" s="42">
        <v>0</v>
      </c>
      <c r="BH21" s="42">
        <v>54083449</v>
      </c>
      <c r="BI21" s="42">
        <v>26899103</v>
      </c>
      <c r="BJ21" s="42">
        <v>19778147</v>
      </c>
      <c r="BK21" s="42">
        <v>1825662</v>
      </c>
      <c r="BL21" s="42">
        <v>0</v>
      </c>
      <c r="BM21" s="42">
        <v>148458899</v>
      </c>
      <c r="BN21" s="42">
        <v>757972574</v>
      </c>
      <c r="BO21" s="42">
        <v>189787</v>
      </c>
      <c r="BP21" s="42">
        <v>16322679</v>
      </c>
      <c r="BQ21" s="42">
        <v>1143331409</v>
      </c>
      <c r="BR21" s="42">
        <v>0</v>
      </c>
      <c r="BS21" s="42">
        <f>IFERROR(VLOOKUP(A21,'Trans 21-23'!$A$2:$J$229,9,0),0)</f>
        <v>2187027884</v>
      </c>
      <c r="BT21" s="67"/>
      <c r="BU21" s="32">
        <f t="shared" si="0"/>
        <v>17302378980</v>
      </c>
      <c r="BV21" s="32">
        <f t="shared" si="1"/>
        <v>18010</v>
      </c>
      <c r="BW21" s="32">
        <f t="shared" si="2"/>
        <v>2845809</v>
      </c>
      <c r="BX21" s="32">
        <f t="shared" si="3"/>
        <v>223922474</v>
      </c>
      <c r="BY21" s="32">
        <f t="shared" si="4"/>
        <v>144989819</v>
      </c>
      <c r="BZ21" s="32">
        <f t="shared" si="5"/>
        <v>686414177</v>
      </c>
      <c r="CA21" s="32">
        <f t="shared" si="6"/>
        <v>351358384</v>
      </c>
      <c r="CB21" s="32">
        <f t="shared" si="7"/>
        <v>5046609</v>
      </c>
      <c r="CC21" s="32">
        <f t="shared" si="8"/>
        <v>77847395</v>
      </c>
      <c r="CD21" s="41">
        <f t="shared" si="9"/>
        <v>1</v>
      </c>
      <c r="CE21" s="44">
        <f t="shared" si="10"/>
        <v>9</v>
      </c>
      <c r="CF21" s="27"/>
      <c r="CG21" s="28">
        <f t="shared" si="11"/>
        <v>960.70954913936703</v>
      </c>
      <c r="CH21" s="28">
        <f t="shared" si="12"/>
        <v>6.3286046252577037</v>
      </c>
      <c r="CI21" s="28">
        <f t="shared" si="13"/>
        <v>78.684997482262517</v>
      </c>
      <c r="CJ21" s="28">
        <f t="shared" si="14"/>
        <v>241.20177320403442</v>
      </c>
      <c r="CK21" s="23">
        <f t="shared" si="15"/>
        <v>6.4826947645454283E-2</v>
      </c>
      <c r="CL21" s="29" t="str">
        <f t="shared" si="16"/>
        <v/>
      </c>
      <c r="CM21" s="29" t="str">
        <f t="shared" si="17"/>
        <v/>
      </c>
      <c r="CN21" s="29" t="str">
        <f t="shared" si="18"/>
        <v/>
      </c>
      <c r="CO21" s="29" t="str">
        <f t="shared" si="19"/>
        <v/>
      </c>
      <c r="CP21" s="29" t="str">
        <f t="shared" si="20"/>
        <v/>
      </c>
      <c r="CQ21" s="29">
        <f t="shared" si="21"/>
        <v>0</v>
      </c>
      <c r="CR21" s="13"/>
      <c r="CS21" s="7">
        <f>VLOOKUP(A21,'Empresas 21-23'!$A$2:$M$228,13,0)</f>
        <v>1</v>
      </c>
      <c r="CT21" s="30"/>
      <c r="CU21" s="6">
        <f t="shared" si="22"/>
        <v>16166610025</v>
      </c>
      <c r="CV21" s="6">
        <f t="shared" si="23"/>
        <v>686414177</v>
      </c>
      <c r="CW21" s="6">
        <f t="shared" si="24"/>
        <v>2129922025</v>
      </c>
      <c r="CX21" s="23">
        <f t="shared" si="58"/>
        <v>0.3243131738686314</v>
      </c>
      <c r="CY21" s="23">
        <f t="shared" si="59"/>
        <v>1.3769934450515362E-2</v>
      </c>
      <c r="CZ21" s="6">
        <f t="shared" si="27"/>
        <v>16857371797.020452</v>
      </c>
      <c r="DA21" s="6">
        <f t="shared" si="28"/>
        <v>715743063.6689589</v>
      </c>
      <c r="DB21" s="6">
        <f t="shared" si="29"/>
        <v>223922474</v>
      </c>
      <c r="DC21" s="6">
        <f t="shared" si="30"/>
        <v>246130312</v>
      </c>
      <c r="DD21" s="6">
        <f t="shared" si="31"/>
        <v>144989819</v>
      </c>
      <c r="DE21" s="6">
        <f t="shared" si="32"/>
        <v>351358384</v>
      </c>
      <c r="DF21" s="6">
        <f t="shared" si="33"/>
        <v>119487182.62853278</v>
      </c>
      <c r="DG21" s="30"/>
      <c r="DH21" s="32">
        <f>VLOOKUP(A21,'T_med_comp-USA'!$A$7:$Q$233,17,0)</f>
        <v>15.979226035718659</v>
      </c>
      <c r="DI21" s="6" t="str">
        <f t="shared" si="34"/>
        <v>1_2008</v>
      </c>
      <c r="DJ21" s="32">
        <f>IF(DI21="","",VLOOKUP(DI21,'CPI USA'!$T:$U,2,FALSE))</f>
        <v>215.303</v>
      </c>
      <c r="DK21" s="32">
        <f>IF(DI21="","",VLOOKUP(DI21,'PPI USA'!$S:$T,2,FALSE))</f>
        <v>159.30000000000001</v>
      </c>
      <c r="DL21" s="32">
        <f>IF(DI21="","",VLOOKUP(DI21,'CPI USA'!$T:$V,3,FALSE))</f>
        <v>0.67018812038291731</v>
      </c>
      <c r="DM21" s="32">
        <f>IF(DI21="","",VLOOKUP(DI21,'CPI USA'!$T:$X,5,FALSE))</f>
        <v>0.49838492968660258</v>
      </c>
      <c r="DN21" s="32">
        <f t="shared" si="35"/>
        <v>1.4884333659448254</v>
      </c>
      <c r="DO21" s="32">
        <f t="shared" si="36"/>
        <v>1.5036496327119213</v>
      </c>
      <c r="DP21" s="32">
        <f t="shared" si="37"/>
        <v>0.24158803653503616</v>
      </c>
      <c r="DQ21" s="32">
        <f>IF(DP21="","",DP21*$DO$1/'CPI USA'!$U$532+(1-DP21)*AVERAGE($DO$1,$DQ$1)/AVERAGE('CPI USA'!$U$532,'PPI USA'!$T$538))</f>
        <v>1.0417220333376191</v>
      </c>
      <c r="DR21" s="6">
        <f t="shared" si="38"/>
        <v>48502912</v>
      </c>
      <c r="DS21" s="32">
        <f t="shared" si="39"/>
        <v>0.33461009101592981</v>
      </c>
      <c r="DT21" s="28">
        <f>IF(DS21="","",DS21*$DO$1/'CPI USA'!$U$532+(1-DS21)*AVERAGE($DO$1,$DQ$1)/AVERAGE('CPI USA'!$U$532,'PPI USA'!$T$538))</f>
        <v>1.0395751885142694</v>
      </c>
      <c r="DU21" s="6">
        <f t="shared" si="40"/>
        <v>148496071.28041092</v>
      </c>
      <c r="DV21" s="6">
        <f t="shared" si="41"/>
        <v>2150158.1030968777</v>
      </c>
      <c r="DW21" s="6">
        <f t="shared" si="42"/>
        <v>20388928.308143955</v>
      </c>
      <c r="DX21" s="16">
        <f t="shared" si="43"/>
        <v>0.2</v>
      </c>
      <c r="DY21" s="28">
        <f>IF(DX21="","",DX21*$DO$1/'CPI USA'!$U$532+(1-DX21)*AVERAGE($DO$1,$DQ$1)/AVERAGE('CPI USA'!$U$532,'PPI USA'!$T$538))</f>
        <v>1.0426818386380585</v>
      </c>
      <c r="DZ21" s="30"/>
      <c r="EA21" s="29" t="str">
        <f t="shared" si="44"/>
        <v>C000290</v>
      </c>
      <c r="EB21" s="29">
        <f t="shared" si="45"/>
        <v>25091074644.822521</v>
      </c>
      <c r="EC21" s="29">
        <f t="shared" si="46"/>
        <v>1076226794.8019354</v>
      </c>
      <c r="ED21" s="29">
        <f t="shared" si="47"/>
        <v>256399369.08266261</v>
      </c>
      <c r="EE21" s="29">
        <f t="shared" si="48"/>
        <v>150727818.4195748</v>
      </c>
      <c r="EF21" s="29">
        <f t="shared" si="49"/>
        <v>124587115.27680005</v>
      </c>
      <c r="EG21" s="29">
        <f t="shared" si="50"/>
        <v>18010</v>
      </c>
      <c r="EH21" s="29">
        <f t="shared" si="51"/>
        <v>2845809</v>
      </c>
      <c r="EI21" s="29">
        <f t="shared" si="52"/>
        <v>5046609</v>
      </c>
      <c r="EJ21" s="29">
        <f t="shared" si="53"/>
        <v>77847395</v>
      </c>
      <c r="EK21" s="29">
        <f t="shared" si="54"/>
        <v>82744961.426395938</v>
      </c>
      <c r="EL21" s="29">
        <f>IF(CD21=1,VLOOKUP(EA21,'EIA 2023'!$A$2:$J$213,4,0)*EH21,"")</f>
        <v>560908953.89999998</v>
      </c>
      <c r="EM21" s="29">
        <f>IF(CD21=1,VLOOKUP(EA21,'EIA 2023'!$A$2:$J$213,7,0)*EH21,"")</f>
        <v>4587444.108</v>
      </c>
      <c r="EN21" s="29">
        <f>IF(CD21=1,VLOOKUP(EA21,'EIA 2023'!$A$2:$J$213,10,0),"")</f>
        <v>2219129</v>
      </c>
      <c r="EO21" s="28">
        <f>IF(CD21=1,VLOOKUP(EA21,'EIA 2023'!$A$2:$Z$213,26,0),"")</f>
        <v>0</v>
      </c>
      <c r="EP21" s="23">
        <f t="shared" si="55"/>
        <v>5.9188696713001289E-2</v>
      </c>
      <c r="EQ21" s="32">
        <f t="shared" si="56"/>
        <v>149042.57360406034</v>
      </c>
      <c r="ER21" s="32">
        <f t="shared" si="57"/>
        <v>4897566.4263959397</v>
      </c>
      <c r="ES21" s="32"/>
      <c r="ET21" s="32"/>
    </row>
    <row r="22" spans="1:150" ht="15.75" customHeight="1">
      <c r="A22" s="7" t="s">
        <v>267</v>
      </c>
      <c r="B22" s="7" t="s">
        <v>268</v>
      </c>
      <c r="C22" s="32" t="s">
        <v>1107</v>
      </c>
      <c r="D22" s="42">
        <v>86740248</v>
      </c>
      <c r="E22" s="42">
        <v>0</v>
      </c>
      <c r="F22" s="42">
        <v>7849637</v>
      </c>
      <c r="G22" s="42">
        <v>61373449</v>
      </c>
      <c r="H22" s="42">
        <v>67260117</v>
      </c>
      <c r="I22" s="42">
        <v>100086</v>
      </c>
      <c r="J22" s="42">
        <v>19923</v>
      </c>
      <c r="K22" s="42">
        <v>460268</v>
      </c>
      <c r="L22" s="42">
        <v>236689</v>
      </c>
      <c r="M22" s="42">
        <v>527015</v>
      </c>
      <c r="N22" s="42">
        <v>537178</v>
      </c>
      <c r="O22" s="42">
        <v>1585369</v>
      </c>
      <c r="P22" s="42">
        <v>15020</v>
      </c>
      <c r="Q22" s="42">
        <v>103103</v>
      </c>
      <c r="R22" s="42">
        <v>0</v>
      </c>
      <c r="S22" s="42">
        <v>417132</v>
      </c>
      <c r="T22" s="42">
        <v>6561383</v>
      </c>
      <c r="U22" s="42">
        <v>280733</v>
      </c>
      <c r="V22" s="42">
        <v>7026</v>
      </c>
      <c r="W22" s="42">
        <v>0</v>
      </c>
      <c r="X22" s="42">
        <f>IFERROR(VLOOKUP(A22,'Trans 21-23'!$A$2:$J$229,10,0),0)</f>
        <v>497345</v>
      </c>
      <c r="Y22" s="42">
        <v>443261</v>
      </c>
      <c r="Z22" s="42">
        <v>400666</v>
      </c>
      <c r="AA22" s="42">
        <v>3267106</v>
      </c>
      <c r="AB22" s="42">
        <v>1435222</v>
      </c>
      <c r="AC22" s="42">
        <v>192348</v>
      </c>
      <c r="AD22" s="42">
        <v>24047481</v>
      </c>
      <c r="AE22" s="42">
        <v>0</v>
      </c>
      <c r="AF22" s="42">
        <v>280539647</v>
      </c>
      <c r="AG22" s="42">
        <v>151128</v>
      </c>
      <c r="AH22" s="42">
        <v>188365</v>
      </c>
      <c r="AI22" s="42">
        <v>4435865</v>
      </c>
      <c r="AJ22" s="42">
        <v>706</v>
      </c>
      <c r="AK22" s="42">
        <v>0</v>
      </c>
      <c r="AL22" s="42">
        <v>1408351</v>
      </c>
      <c r="AM22" s="42">
        <v>1460309</v>
      </c>
      <c r="AN22" s="42">
        <v>742796</v>
      </c>
      <c r="AO22" s="42">
        <v>12163</v>
      </c>
      <c r="AP22" s="42">
        <v>224929</v>
      </c>
      <c r="AQ22" s="42">
        <v>3848896</v>
      </c>
      <c r="AR22" s="42">
        <v>397898</v>
      </c>
      <c r="AS22" s="42">
        <v>4246794</v>
      </c>
      <c r="AT22" s="42">
        <v>0</v>
      </c>
      <c r="AU22" s="42">
        <v>803</v>
      </c>
      <c r="AV22" s="42">
        <v>0</v>
      </c>
      <c r="AW22" s="42">
        <v>161459055</v>
      </c>
      <c r="AX22" s="42">
        <v>48115495</v>
      </c>
      <c r="AY22" s="42">
        <v>95355408</v>
      </c>
      <c r="AZ22" s="42">
        <v>31950828</v>
      </c>
      <c r="BA22" s="42">
        <v>11266467</v>
      </c>
      <c r="BB22" s="42">
        <v>690968816</v>
      </c>
      <c r="BC22" s="42">
        <v>2311025198</v>
      </c>
      <c r="BD22" s="42">
        <v>31976929</v>
      </c>
      <c r="BE22" s="42">
        <v>160353451</v>
      </c>
      <c r="BF22" s="42">
        <v>15123010</v>
      </c>
      <c r="BG22" s="42">
        <v>0</v>
      </c>
      <c r="BH22" s="42">
        <v>3149935</v>
      </c>
      <c r="BI22" s="42">
        <v>1648740</v>
      </c>
      <c r="BJ22" s="42">
        <v>800981</v>
      </c>
      <c r="BK22" s="42">
        <v>0</v>
      </c>
      <c r="BL22" s="42">
        <v>0</v>
      </c>
      <c r="BM22" s="42">
        <v>7594895</v>
      </c>
      <c r="BN22" s="42">
        <v>26475362</v>
      </c>
      <c r="BO22" s="42">
        <v>655302</v>
      </c>
      <c r="BP22" s="42">
        <v>811396</v>
      </c>
      <c r="BQ22" s="42">
        <v>59817232</v>
      </c>
      <c r="BR22" s="42">
        <v>348</v>
      </c>
      <c r="BS22" s="42">
        <f>IFERROR(VLOOKUP(A22,'Trans 21-23'!$A$2:$J$229,9,0),0)</f>
        <v>48978521</v>
      </c>
      <c r="BT22" s="67"/>
      <c r="BU22" s="32">
        <f t="shared" si="0"/>
        <v>690968816</v>
      </c>
      <c r="BV22" s="32">
        <f t="shared" si="1"/>
        <v>803</v>
      </c>
      <c r="BW22" s="32">
        <f t="shared" si="2"/>
        <v>151128</v>
      </c>
      <c r="BX22" s="32">
        <f t="shared" si="3"/>
        <v>10850925</v>
      </c>
      <c r="BY22" s="32">
        <f t="shared" si="4"/>
        <v>5738603</v>
      </c>
      <c r="BZ22" s="32">
        <f t="shared" si="5"/>
        <v>31950828</v>
      </c>
      <c r="CA22" s="32">
        <f t="shared" si="6"/>
        <v>24047481</v>
      </c>
      <c r="CB22" s="32">
        <f t="shared" si="7"/>
        <v>188365</v>
      </c>
      <c r="CC22" s="32">
        <f t="shared" si="8"/>
        <v>3848896</v>
      </c>
      <c r="CD22" s="41">
        <f t="shared" si="9"/>
        <v>1</v>
      </c>
      <c r="CE22" s="44">
        <f t="shared" si="10"/>
        <v>10</v>
      </c>
      <c r="CF22" s="27"/>
      <c r="CG22" s="28">
        <f t="shared" si="11"/>
        <v>860.4842042341221</v>
      </c>
      <c r="CH22" s="28">
        <f t="shared" si="12"/>
        <v>5.3133767402466781</v>
      </c>
      <c r="CI22" s="28">
        <f t="shared" si="13"/>
        <v>71.799567254248061</v>
      </c>
      <c r="CJ22" s="28">
        <f t="shared" si="14"/>
        <v>211.41567413053835</v>
      </c>
      <c r="CK22" s="23">
        <f t="shared" si="15"/>
        <v>4.8940007732087329E-2</v>
      </c>
      <c r="CL22" s="29" t="str">
        <f t="shared" si="16"/>
        <v/>
      </c>
      <c r="CM22" s="29" t="str">
        <f t="shared" si="17"/>
        <v/>
      </c>
      <c r="CN22" s="29" t="str">
        <f t="shared" si="18"/>
        <v/>
      </c>
      <c r="CO22" s="29" t="str">
        <f t="shared" si="19"/>
        <v/>
      </c>
      <c r="CP22" s="29" t="str">
        <f t="shared" si="20"/>
        <v/>
      </c>
      <c r="CQ22" s="29">
        <f t="shared" si="21"/>
        <v>0</v>
      </c>
      <c r="CR22" s="13"/>
      <c r="CS22" s="7">
        <f>VLOOKUP(A22,'Empresas 21-23'!$A$2:$M$228,13,0)</f>
        <v>1</v>
      </c>
      <c r="CT22" s="30"/>
      <c r="CU22" s="6">
        <f t="shared" si="22"/>
        <v>610647500.20000005</v>
      </c>
      <c r="CV22" s="6">
        <f t="shared" si="23"/>
        <v>31950828</v>
      </c>
      <c r="CW22" s="6">
        <f t="shared" si="24"/>
        <v>31976929</v>
      </c>
      <c r="CX22" s="23">
        <f t="shared" si="58"/>
        <v>0.26793969592751965</v>
      </c>
      <c r="CY22" s="23">
        <f t="shared" si="59"/>
        <v>1.4019373101746271E-2</v>
      </c>
      <c r="CZ22" s="6">
        <f t="shared" si="27"/>
        <v>619215388.83295596</v>
      </c>
      <c r="DA22" s="6">
        <f t="shared" si="28"/>
        <v>32399124.498299051</v>
      </c>
      <c r="DB22" s="6">
        <f t="shared" si="29"/>
        <v>10850925</v>
      </c>
      <c r="DC22" s="6">
        <f t="shared" si="30"/>
        <v>11348270</v>
      </c>
      <c r="DD22" s="6">
        <f t="shared" si="31"/>
        <v>5738603</v>
      </c>
      <c r="DE22" s="6">
        <f t="shared" si="32"/>
        <v>24047481</v>
      </c>
      <c r="DF22" s="6">
        <f t="shared" si="33"/>
        <v>4341577.1200763434</v>
      </c>
      <c r="DG22" s="30"/>
      <c r="DH22" s="32">
        <f>VLOOKUP(A22,'T_med_comp-USA'!$A$7:$Q$233,17,0)</f>
        <v>11.137197301351472</v>
      </c>
      <c r="DI22" s="6" t="str">
        <f t="shared" si="34"/>
        <v>11_2012</v>
      </c>
      <c r="DJ22" s="32">
        <f>IF(DI22="","",VLOOKUP(DI22,'CPI USA'!$T:$U,2,FALSE))</f>
        <v>229.59399999999999</v>
      </c>
      <c r="DK22" s="32">
        <f>IF(DI22="","",VLOOKUP(DI22,'PPI USA'!$S:$T,2,FALSE))</f>
        <v>175.1</v>
      </c>
      <c r="DL22" s="32">
        <f>IF(DI22="","",VLOOKUP(DI22,'CPI USA'!$T:$V,3,FALSE))</f>
        <v>0.66730871354337351</v>
      </c>
      <c r="DM22" s="32">
        <f>IF(DI22="","",VLOOKUP(DI22,'CPI USA'!$T:$X,5,FALSE))</f>
        <v>0.49513551903851311</v>
      </c>
      <c r="DN22" s="32">
        <f t="shared" si="35"/>
        <v>1.3897894616766442</v>
      </c>
      <c r="DO22" s="32">
        <f t="shared" si="36"/>
        <v>1.4008620811189902</v>
      </c>
      <c r="DP22" s="32">
        <f t="shared" si="37"/>
        <v>0.29747696794879397</v>
      </c>
      <c r="DQ22" s="32">
        <f>IF(DP22="","",DP22*$DO$1/'CPI USA'!$U$532+(1-DP22)*AVERAGE($DO$1,$DQ$1)/AVERAGE('CPI USA'!$U$532,'PPI USA'!$T$538))</f>
        <v>1.0404321794018214</v>
      </c>
      <c r="DR22" s="6">
        <f t="shared" si="38"/>
        <v>2449721</v>
      </c>
      <c r="DS22" s="32">
        <f t="shared" si="39"/>
        <v>0.43745054308748671</v>
      </c>
      <c r="DT22" s="28">
        <f>IF(DS22="","",DS22*$DO$1/'CPI USA'!$U$532+(1-DS22)*AVERAGE($DO$1,$DQ$1)/AVERAGE('CPI USA'!$U$532,'PPI USA'!$T$538))</f>
        <v>1.0372017460721215</v>
      </c>
      <c r="DU22" s="6">
        <f t="shared" si="40"/>
        <v>7782879.2052127561</v>
      </c>
      <c r="DV22" s="6">
        <f t="shared" si="41"/>
        <v>104438.26985893396</v>
      </c>
      <c r="DW22" s="6">
        <f t="shared" si="42"/>
        <v>1668202.4828665247</v>
      </c>
      <c r="DX22" s="16">
        <f t="shared" si="43"/>
        <v>0.38423882306556623</v>
      </c>
      <c r="DY22" s="28">
        <f>IF(DX22="","",DX22*$DO$1/'CPI USA'!$U$532+(1-DX22)*AVERAGE($DO$1,$DQ$1)/AVERAGE('CPI USA'!$U$532,'PPI USA'!$T$538))</f>
        <v>1.0384298129677418</v>
      </c>
      <c r="DZ22" s="30"/>
      <c r="EA22" s="29" t="str">
        <f t="shared" si="44"/>
        <v>C000291</v>
      </c>
      <c r="EB22" s="29">
        <f t="shared" si="45"/>
        <v>860579021.9080478</v>
      </c>
      <c r="EC22" s="29">
        <f t="shared" si="46"/>
        <v>45386704.971120469</v>
      </c>
      <c r="ED22" s="29">
        <f t="shared" si="47"/>
        <v>11807105.288540307</v>
      </c>
      <c r="EE22" s="29">
        <f t="shared" si="48"/>
        <v>5952089.0516147148</v>
      </c>
      <c r="EF22" s="29">
        <f t="shared" si="49"/>
        <v>4508423.1167859044</v>
      </c>
      <c r="EG22" s="29">
        <f t="shared" si="50"/>
        <v>803</v>
      </c>
      <c r="EH22" s="29">
        <f t="shared" si="51"/>
        <v>151128</v>
      </c>
      <c r="EI22" s="29">
        <f t="shared" si="52"/>
        <v>188365</v>
      </c>
      <c r="EJ22" s="29">
        <f t="shared" si="53"/>
        <v>3848896</v>
      </c>
      <c r="EK22" s="29">
        <f t="shared" si="54"/>
        <v>4031201.6395939086</v>
      </c>
      <c r="EL22" s="29">
        <f>IF(CD22=1,VLOOKUP(EA22,'EIA 2023'!$A$2:$J$213,4,0)*EH22,"")</f>
        <v>10896328.799999999</v>
      </c>
      <c r="EM22" s="29">
        <f>IF(CD22=1,VLOOKUP(EA22,'EIA 2023'!$A$2:$J$213,7,0)*EH22,"")</f>
        <v>111230.208</v>
      </c>
      <c r="EN22" s="29">
        <f>IF(CD22=1,VLOOKUP(EA22,'EIA 2023'!$A$2:$J$213,10,0),"")</f>
        <v>155503</v>
      </c>
      <c r="EO22" s="28">
        <f>IF(CD22=1,VLOOKUP(EA22,'EIA 2023'!$A$2:$Z$213,26,0),"")</f>
        <v>0</v>
      </c>
      <c r="EP22" s="23">
        <f t="shared" si="55"/>
        <v>4.5223646915432777E-2</v>
      </c>
      <c r="EQ22" s="32">
        <f t="shared" si="56"/>
        <v>6059.3604060913785</v>
      </c>
      <c r="ER22" s="32">
        <f t="shared" si="57"/>
        <v>182305.63959390862</v>
      </c>
      <c r="ES22" s="32"/>
      <c r="ET22" s="32"/>
    </row>
    <row r="23" spans="1:150" ht="15.75" customHeight="1">
      <c r="A23" s="7" t="s">
        <v>270</v>
      </c>
      <c r="B23" s="7" t="s">
        <v>271</v>
      </c>
      <c r="C23" s="32" t="s">
        <v>1108</v>
      </c>
      <c r="D23" s="42">
        <v>0</v>
      </c>
      <c r="E23" s="42">
        <v>0</v>
      </c>
      <c r="F23" s="42">
        <v>0</v>
      </c>
      <c r="G23" s="42">
        <v>447117742</v>
      </c>
      <c r="H23" s="42">
        <v>456588625</v>
      </c>
      <c r="I23" s="42">
        <v>603661</v>
      </c>
      <c r="J23" s="42">
        <v>235051</v>
      </c>
      <c r="K23" s="42">
        <v>2494061</v>
      </c>
      <c r="L23" s="42">
        <v>395893</v>
      </c>
      <c r="M23" s="42">
        <v>2657055</v>
      </c>
      <c r="N23" s="42">
        <v>3632982</v>
      </c>
      <c r="O23" s="42">
        <v>7313272</v>
      </c>
      <c r="P23" s="42">
        <v>176578</v>
      </c>
      <c r="Q23" s="42">
        <v>581396</v>
      </c>
      <c r="R23" s="42">
        <v>98</v>
      </c>
      <c r="S23" s="42">
        <v>1934067</v>
      </c>
      <c r="T23" s="42">
        <v>43101044</v>
      </c>
      <c r="U23" s="42">
        <v>994828</v>
      </c>
      <c r="V23" s="42">
        <v>86842</v>
      </c>
      <c r="W23" s="42">
        <v>128744</v>
      </c>
      <c r="X23" s="42">
        <f>IFERROR(VLOOKUP(A23,'Trans 21-23'!$A$2:$J$229,10,0),0)</f>
        <v>2697126</v>
      </c>
      <c r="Y23" s="42">
        <v>1500446</v>
      </c>
      <c r="Z23" s="42">
        <v>845202</v>
      </c>
      <c r="AA23" s="42">
        <v>21964383</v>
      </c>
      <c r="AB23" s="42">
        <v>7195298</v>
      </c>
      <c r="AC23" s="42">
        <v>495862</v>
      </c>
      <c r="AD23" s="42">
        <v>49306264</v>
      </c>
      <c r="AE23" s="42">
        <v>0</v>
      </c>
      <c r="AF23" s="42">
        <v>644654409</v>
      </c>
      <c r="AG23" s="42">
        <v>752909</v>
      </c>
      <c r="AH23" s="42">
        <v>1042451</v>
      </c>
      <c r="AI23" s="42">
        <v>6416775</v>
      </c>
      <c r="AJ23" s="42">
        <v>9276</v>
      </c>
      <c r="AK23" s="42">
        <v>14557916</v>
      </c>
      <c r="AL23" s="42">
        <v>7158095</v>
      </c>
      <c r="AM23" s="42">
        <v>6155324</v>
      </c>
      <c r="AN23" s="42">
        <v>4592791</v>
      </c>
      <c r="AO23" s="42">
        <v>96687</v>
      </c>
      <c r="AP23" s="42">
        <v>1056734</v>
      </c>
      <c r="AQ23" s="42">
        <v>19062261</v>
      </c>
      <c r="AR23" s="42">
        <v>860703</v>
      </c>
      <c r="AS23" s="42">
        <v>19922964</v>
      </c>
      <c r="AT23" s="42">
        <v>0</v>
      </c>
      <c r="AU23" s="42">
        <v>1426</v>
      </c>
      <c r="AV23" s="42">
        <v>0</v>
      </c>
      <c r="AW23" s="42">
        <v>838292000</v>
      </c>
      <c r="AX23" s="42">
        <v>219556253</v>
      </c>
      <c r="AY23" s="42">
        <v>571310848</v>
      </c>
      <c r="AZ23" s="42">
        <v>161774720</v>
      </c>
      <c r="BA23" s="42">
        <v>87520843</v>
      </c>
      <c r="BB23" s="42">
        <v>3603271060</v>
      </c>
      <c r="BC23" s="42">
        <v>5694958632</v>
      </c>
      <c r="BD23" s="42">
        <v>485008990</v>
      </c>
      <c r="BE23" s="42">
        <v>774397809</v>
      </c>
      <c r="BF23" s="42">
        <v>95668059</v>
      </c>
      <c r="BG23" s="42">
        <v>0</v>
      </c>
      <c r="BH23" s="42">
        <v>18125411</v>
      </c>
      <c r="BI23" s="42">
        <v>8304126</v>
      </c>
      <c r="BJ23" s="42">
        <v>4303550</v>
      </c>
      <c r="BK23" s="42">
        <v>0</v>
      </c>
      <c r="BL23" s="42">
        <v>0</v>
      </c>
      <c r="BM23" s="42">
        <v>21727112</v>
      </c>
      <c r="BN23" s="42">
        <v>58123317</v>
      </c>
      <c r="BO23" s="42">
        <v>27790</v>
      </c>
      <c r="BP23" s="42">
        <v>2153190</v>
      </c>
      <c r="BQ23" s="42">
        <v>192357536</v>
      </c>
      <c r="BR23" s="42">
        <v>2630</v>
      </c>
      <c r="BS23" s="42">
        <f>IFERROR(VLOOKUP(A23,'Trans 21-23'!$A$2:$J$229,9,0),0)</f>
        <v>265612968</v>
      </c>
      <c r="BT23" s="67"/>
      <c r="BU23" s="32">
        <f t="shared" si="0"/>
        <v>3603271060</v>
      </c>
      <c r="BV23" s="32">
        <f t="shared" si="1"/>
        <v>1426</v>
      </c>
      <c r="BW23" s="32">
        <f t="shared" si="2"/>
        <v>752909</v>
      </c>
      <c r="BX23" s="32">
        <f t="shared" si="3"/>
        <v>64335572</v>
      </c>
      <c r="BY23" s="32">
        <f t="shared" si="4"/>
        <v>32001191</v>
      </c>
      <c r="BZ23" s="32">
        <f t="shared" si="5"/>
        <v>161774720</v>
      </c>
      <c r="CA23" s="32">
        <f t="shared" si="6"/>
        <v>49306264</v>
      </c>
      <c r="CB23" s="32">
        <f t="shared" si="7"/>
        <v>1042451</v>
      </c>
      <c r="CC23" s="32">
        <f t="shared" si="8"/>
        <v>19062261</v>
      </c>
      <c r="CD23" s="41">
        <f t="shared" si="9"/>
        <v>1</v>
      </c>
      <c r="CE23" s="44">
        <f t="shared" si="10"/>
        <v>9</v>
      </c>
      <c r="CF23" s="27"/>
      <c r="CG23" s="28">
        <f t="shared" si="11"/>
        <v>2526.8380504908837</v>
      </c>
      <c r="CH23" s="28">
        <f t="shared" si="12"/>
        <v>1.8939871883587525</v>
      </c>
      <c r="CI23" s="28">
        <f t="shared" si="13"/>
        <v>85.449333186347886</v>
      </c>
      <c r="CJ23" s="28">
        <f t="shared" si="14"/>
        <v>214.86623217414058</v>
      </c>
      <c r="CK23" s="23">
        <f t="shared" si="15"/>
        <v>5.4686639743312719E-2</v>
      </c>
      <c r="CL23" s="29" t="str">
        <f t="shared" si="16"/>
        <v/>
      </c>
      <c r="CM23" s="29" t="str">
        <f t="shared" si="17"/>
        <v/>
      </c>
      <c r="CN23" s="29" t="str">
        <f t="shared" si="18"/>
        <v/>
      </c>
      <c r="CO23" s="29" t="str">
        <f t="shared" si="19"/>
        <v/>
      </c>
      <c r="CP23" s="29" t="str">
        <f t="shared" si="20"/>
        <v/>
      </c>
      <c r="CQ23" s="29">
        <f t="shared" si="21"/>
        <v>0</v>
      </c>
      <c r="CR23" s="13"/>
      <c r="CS23" s="7">
        <f>VLOOKUP(A23,'Empresas 21-23'!$A$2:$M$228,13,0)</f>
        <v>1</v>
      </c>
      <c r="CT23" s="30"/>
      <c r="CU23" s="6">
        <f t="shared" si="22"/>
        <v>3145068204.4000001</v>
      </c>
      <c r="CV23" s="6">
        <f t="shared" si="23"/>
        <v>161774720</v>
      </c>
      <c r="CW23" s="6">
        <f t="shared" si="24"/>
        <v>485008990</v>
      </c>
      <c r="CX23" s="23">
        <f t="shared" si="58"/>
        <v>0.60366575888681118</v>
      </c>
      <c r="CY23" s="23">
        <f t="shared" si="59"/>
        <v>3.1051110109751038E-2</v>
      </c>
      <c r="CZ23" s="6">
        <f t="shared" si="27"/>
        <v>3437851524.4152761</v>
      </c>
      <c r="DA23" s="6">
        <f t="shared" si="28"/>
        <v>176834787.55270913</v>
      </c>
      <c r="DB23" s="6">
        <f t="shared" si="29"/>
        <v>64335572</v>
      </c>
      <c r="DC23" s="6">
        <f t="shared" si="30"/>
        <v>67032698</v>
      </c>
      <c r="DD23" s="6">
        <f t="shared" si="31"/>
        <v>32001191</v>
      </c>
      <c r="DE23" s="6">
        <f t="shared" si="32"/>
        <v>49306264</v>
      </c>
      <c r="DF23" s="6">
        <f t="shared" si="33"/>
        <v>35190313.976155989</v>
      </c>
      <c r="DG23" s="30"/>
      <c r="DH23" s="32">
        <f>VLOOKUP(A23,'T_med_comp-USA'!$A$7:$Q$233,17,0)</f>
        <v>9.0875457059543994</v>
      </c>
      <c r="DI23" s="6" t="str">
        <f t="shared" si="34"/>
        <v>12_2014</v>
      </c>
      <c r="DJ23" s="32">
        <f>IF(DI23="","",VLOOKUP(DI23,'CPI USA'!$T:$U,2,FALSE))</f>
        <v>234.81200000000001</v>
      </c>
      <c r="DK23" s="32">
        <f>IF(DI23="","",VLOOKUP(DI23,'PPI USA'!$S:$T,2,FALSE))</f>
        <v>178.6</v>
      </c>
      <c r="DL23" s="32">
        <f>IF(DI23="","",VLOOKUP(DI23,'CPI USA'!$T:$V,3,FALSE))</f>
        <v>0.66756601812039096</v>
      </c>
      <c r="DM23" s="32">
        <f>IF(DI23="","",VLOOKUP(DI23,'CPI USA'!$T:$X,5,FALSE))</f>
        <v>0.49542529667095003</v>
      </c>
      <c r="DN23" s="32">
        <f t="shared" si="35"/>
        <v>1.3594294887607781</v>
      </c>
      <c r="DO23" s="32">
        <f t="shared" si="36"/>
        <v>1.3705337123090227</v>
      </c>
      <c r="DP23" s="32">
        <f t="shared" si="37"/>
        <v>0.28186703844575745</v>
      </c>
      <c r="DQ23" s="32">
        <f>IF(DP23="","",DP23*$DO$1/'CPI USA'!$U$532+(1-DP23)*AVERAGE($DO$1,$DQ$1)/AVERAGE('CPI USA'!$U$532,'PPI USA'!$T$538))</f>
        <v>1.0407924390900583</v>
      </c>
      <c r="DR23" s="6">
        <f t="shared" si="38"/>
        <v>12607676</v>
      </c>
      <c r="DS23" s="32">
        <f t="shared" si="39"/>
        <v>0.39416357970338772</v>
      </c>
      <c r="DT23" s="28">
        <f>IF(DS23="","",DS23*$DO$1/'CPI USA'!$U$532+(1-DS23)*AVERAGE($DO$1,$DQ$1)/AVERAGE('CPI USA'!$U$532,'PPI USA'!$T$538))</f>
        <v>1.038200760701268</v>
      </c>
      <c r="DU23" s="6">
        <f t="shared" si="40"/>
        <v>21737500.196573157</v>
      </c>
      <c r="DV23" s="6">
        <f t="shared" si="41"/>
        <v>245959.68110676084</v>
      </c>
      <c r="DW23" s="6">
        <f t="shared" si="42"/>
        <v>11623899.320504133</v>
      </c>
      <c r="DX23" s="16">
        <f t="shared" si="43"/>
        <v>0.33031530575089996</v>
      </c>
      <c r="DY23" s="28">
        <f>IF(DX23="","",DX23*$DO$1/'CPI USA'!$U$532+(1-DX23)*AVERAGE($DO$1,$DQ$1)/AVERAGE('CPI USA'!$U$532,'PPI USA'!$T$538))</f>
        <v>1.0396743073475943</v>
      </c>
      <c r="DZ23" s="30"/>
      <c r="EA23" s="29" t="str">
        <f t="shared" si="44"/>
        <v>C000292</v>
      </c>
      <c r="EB23" s="29">
        <f t="shared" si="45"/>
        <v>4673516740.2713203</v>
      </c>
      <c r="EC23" s="29">
        <f t="shared" si="46"/>
        <v>242358037.8499918</v>
      </c>
      <c r="ED23" s="29">
        <f t="shared" si="47"/>
        <v>69767125.250207275</v>
      </c>
      <c r="EE23" s="29">
        <f t="shared" si="48"/>
        <v>33223660.839546572</v>
      </c>
      <c r="EF23" s="29">
        <f t="shared" si="49"/>
        <v>36586465.308504343</v>
      </c>
      <c r="EG23" s="29">
        <f t="shared" si="50"/>
        <v>1426</v>
      </c>
      <c r="EH23" s="29">
        <f t="shared" si="51"/>
        <v>752909</v>
      </c>
      <c r="EI23" s="29">
        <f t="shared" si="52"/>
        <v>1042451</v>
      </c>
      <c r="EJ23" s="29">
        <f t="shared" si="53"/>
        <v>19062261</v>
      </c>
      <c r="EK23" s="29">
        <f t="shared" si="54"/>
        <v>20091604.847715735</v>
      </c>
      <c r="EL23" s="29">
        <f>IF(CD23=1,VLOOKUP(EA23,'EIA 2023'!$A$2:$J$213,4,0)*EH23,"")</f>
        <v>77986314.219999999</v>
      </c>
      <c r="EM23" s="29">
        <f>IF(CD23=1,VLOOKUP(EA23,'EIA 2023'!$A$2:$J$213,7,0)*EH23,"")</f>
        <v>745379.91</v>
      </c>
      <c r="EN23" s="29">
        <f>IF(CD23=1,VLOOKUP(EA23,'EIA 2023'!$A$2:$J$213,10,0),"")</f>
        <v>765174</v>
      </c>
      <c r="EO23" s="28">
        <f>IF(CD23=1,VLOOKUP(EA23,'EIA 2023'!$A$2:$Z$213,26,0),"")</f>
        <v>0</v>
      </c>
      <c r="EP23" s="23">
        <f t="shared" si="55"/>
        <v>5.1232534957642503E-2</v>
      </c>
      <c r="EQ23" s="32">
        <f t="shared" si="56"/>
        <v>13107.152284263982</v>
      </c>
      <c r="ER23" s="32">
        <f t="shared" si="57"/>
        <v>1029343.847715736</v>
      </c>
      <c r="ES23" s="32"/>
      <c r="ET23" s="32"/>
    </row>
    <row r="24" spans="1:150" ht="15.75" customHeight="1">
      <c r="A24" s="7" t="s">
        <v>273</v>
      </c>
      <c r="B24" s="7" t="s">
        <v>274</v>
      </c>
      <c r="C24" s="32" t="s">
        <v>1109</v>
      </c>
      <c r="D24" s="42">
        <v>0</v>
      </c>
      <c r="E24" s="42">
        <v>0</v>
      </c>
      <c r="F24" s="42">
        <v>0</v>
      </c>
      <c r="G24" s="42">
        <v>1037322693</v>
      </c>
      <c r="H24" s="42">
        <v>1003118142</v>
      </c>
      <c r="I24" s="42">
        <v>772863</v>
      </c>
      <c r="J24" s="42">
        <v>579520</v>
      </c>
      <c r="K24" s="42">
        <v>1646959</v>
      </c>
      <c r="L24" s="42">
        <v>1130378</v>
      </c>
      <c r="M24" s="42">
        <v>4273410</v>
      </c>
      <c r="N24" s="42">
        <v>0</v>
      </c>
      <c r="O24" s="42">
        <v>23219474</v>
      </c>
      <c r="P24" s="42">
        <v>4222514</v>
      </c>
      <c r="Q24" s="42">
        <v>1679571</v>
      </c>
      <c r="R24" s="42">
        <v>209</v>
      </c>
      <c r="S24" s="42">
        <v>11028602</v>
      </c>
      <c r="T24" s="42">
        <v>76532349</v>
      </c>
      <c r="U24" s="42">
        <v>4459478</v>
      </c>
      <c r="V24" s="42">
        <v>308857</v>
      </c>
      <c r="W24" s="42">
        <v>4557163</v>
      </c>
      <c r="X24" s="42">
        <f>IFERROR(VLOOKUP(A24,'Trans 21-23'!$A$2:$J$229,10,0),0)</f>
        <v>5984588</v>
      </c>
      <c r="Y24" s="42">
        <v>14788391</v>
      </c>
      <c r="Z24" s="42">
        <v>7270992</v>
      </c>
      <c r="AA24" s="42">
        <v>30132651</v>
      </c>
      <c r="AB24" s="42">
        <v>147825943</v>
      </c>
      <c r="AC24" s="42">
        <v>139771</v>
      </c>
      <c r="AD24" s="42">
        <v>175048317</v>
      </c>
      <c r="AE24" s="42">
        <v>0</v>
      </c>
      <c r="AF24" s="42">
        <v>1573042132</v>
      </c>
      <c r="AG24" s="42">
        <v>1163141</v>
      </c>
      <c r="AH24" s="42">
        <v>1442713</v>
      </c>
      <c r="AI24" s="42">
        <v>13181721</v>
      </c>
      <c r="AJ24" s="42">
        <v>12985</v>
      </c>
      <c r="AK24" s="42">
        <v>7564162</v>
      </c>
      <c r="AL24" s="42">
        <v>9299901</v>
      </c>
      <c r="AM24" s="42">
        <v>8063874</v>
      </c>
      <c r="AN24" s="42">
        <v>1826039</v>
      </c>
      <c r="AO24" s="42">
        <v>96363</v>
      </c>
      <c r="AP24" s="42">
        <v>0</v>
      </c>
      <c r="AQ24" s="42">
        <v>19286177</v>
      </c>
      <c r="AR24" s="42">
        <v>4008</v>
      </c>
      <c r="AS24" s="42">
        <v>19290185</v>
      </c>
      <c r="AT24" s="42">
        <v>0</v>
      </c>
      <c r="AU24" s="42">
        <v>5731</v>
      </c>
      <c r="AV24" s="42">
        <v>0</v>
      </c>
      <c r="AW24" s="42">
        <v>1271095459</v>
      </c>
      <c r="AX24" s="42">
        <v>126438176</v>
      </c>
      <c r="AY24" s="42">
        <v>715021111</v>
      </c>
      <c r="AZ24" s="42">
        <v>260363042</v>
      </c>
      <c r="BA24" s="42">
        <v>268499831</v>
      </c>
      <c r="BB24" s="42">
        <v>5656571867</v>
      </c>
      <c r="BC24" s="42">
        <v>8248491118</v>
      </c>
      <c r="BD24" s="42">
        <v>337882190</v>
      </c>
      <c r="BE24" s="42">
        <v>1748399766</v>
      </c>
      <c r="BF24" s="42">
        <v>160418087</v>
      </c>
      <c r="BG24" s="42">
        <v>0</v>
      </c>
      <c r="BH24" s="42">
        <v>60344147</v>
      </c>
      <c r="BI24" s="42">
        <v>14977954</v>
      </c>
      <c r="BJ24" s="42">
        <v>620777</v>
      </c>
      <c r="BK24" s="42">
        <v>0</v>
      </c>
      <c r="BL24" s="42">
        <v>0</v>
      </c>
      <c r="BM24" s="42">
        <v>1588818</v>
      </c>
      <c r="BN24" s="42">
        <v>84190978</v>
      </c>
      <c r="BO24" s="42">
        <v>0</v>
      </c>
      <c r="BP24" s="42">
        <v>2736636</v>
      </c>
      <c r="BQ24" s="42">
        <v>159059130</v>
      </c>
      <c r="BR24" s="42">
        <v>0</v>
      </c>
      <c r="BS24" s="42">
        <f>IFERROR(VLOOKUP(A24,'Trans 21-23'!$A$2:$J$229,9,0),0)</f>
        <v>589362197</v>
      </c>
      <c r="BT24" s="67"/>
      <c r="BU24" s="32">
        <f t="shared" si="0"/>
        <v>5656571867</v>
      </c>
      <c r="BV24" s="32">
        <f t="shared" si="1"/>
        <v>5731</v>
      </c>
      <c r="BW24" s="32">
        <f t="shared" si="2"/>
        <v>1163141</v>
      </c>
      <c r="BX24" s="32">
        <f t="shared" si="3"/>
        <v>134411347</v>
      </c>
      <c r="BY24" s="32">
        <f t="shared" si="4"/>
        <v>200157748</v>
      </c>
      <c r="BZ24" s="32">
        <f t="shared" si="5"/>
        <v>260363042</v>
      </c>
      <c r="CA24" s="32">
        <f t="shared" si="6"/>
        <v>175048317</v>
      </c>
      <c r="CB24" s="32">
        <f t="shared" si="7"/>
        <v>1442713</v>
      </c>
      <c r="CC24" s="32">
        <f t="shared" si="8"/>
        <v>19286177</v>
      </c>
      <c r="CD24" s="41">
        <f t="shared" si="9"/>
        <v>1</v>
      </c>
      <c r="CE24" s="44">
        <f t="shared" si="10"/>
        <v>13</v>
      </c>
      <c r="CF24" s="27"/>
      <c r="CG24" s="28">
        <f t="shared" si="11"/>
        <v>987.0130635142209</v>
      </c>
      <c r="CH24" s="28">
        <f t="shared" si="12"/>
        <v>4.9271756390669745</v>
      </c>
      <c r="CI24" s="28">
        <f t="shared" si="13"/>
        <v>115.55894513218948</v>
      </c>
      <c r="CJ24" s="28">
        <f t="shared" si="14"/>
        <v>223.84478064138398</v>
      </c>
      <c r="CK24" s="23">
        <f t="shared" si="15"/>
        <v>7.4805545961752817E-2</v>
      </c>
      <c r="CL24" s="29" t="str">
        <f t="shared" si="16"/>
        <v/>
      </c>
      <c r="CM24" s="29" t="str">
        <f t="shared" si="17"/>
        <v/>
      </c>
      <c r="CN24" s="29" t="str">
        <f t="shared" si="18"/>
        <v/>
      </c>
      <c r="CO24" s="29" t="str">
        <f t="shared" si="19"/>
        <v/>
      </c>
      <c r="CP24" s="29" t="str">
        <f t="shared" si="20"/>
        <v/>
      </c>
      <c r="CQ24" s="29">
        <f t="shared" si="21"/>
        <v>0</v>
      </c>
      <c r="CR24" s="13"/>
      <c r="CS24" s="7">
        <f>VLOOKUP(A24,'Empresas 21-23'!$A$2:$M$228,13,0)</f>
        <v>1</v>
      </c>
      <c r="CT24" s="30"/>
      <c r="CU24" s="6">
        <f t="shared" si="22"/>
        <v>5212195618.8000002</v>
      </c>
      <c r="CV24" s="6">
        <f t="shared" si="23"/>
        <v>260363042</v>
      </c>
      <c r="CW24" s="6">
        <f t="shared" si="24"/>
        <v>337882190</v>
      </c>
      <c r="CX24" s="23">
        <f t="shared" si="58"/>
        <v>0.65888677676268015</v>
      </c>
      <c r="CY24" s="23">
        <f t="shared" si="59"/>
        <v>3.2913147947237265E-2</v>
      </c>
      <c r="CZ24" s="6">
        <f t="shared" si="27"/>
        <v>5434821725.8946161</v>
      </c>
      <c r="DA24" s="6">
        <f t="shared" si="28"/>
        <v>271483808.50820655</v>
      </c>
      <c r="DB24" s="6">
        <f t="shared" si="29"/>
        <v>134411347</v>
      </c>
      <c r="DC24" s="6">
        <f t="shared" si="30"/>
        <v>140395935</v>
      </c>
      <c r="DD24" s="6">
        <f t="shared" si="31"/>
        <v>200157748</v>
      </c>
      <c r="DE24" s="6">
        <f t="shared" si="32"/>
        <v>175048317</v>
      </c>
      <c r="DF24" s="6">
        <f t="shared" si="33"/>
        <v>150967388.30325845</v>
      </c>
      <c r="DG24" s="30"/>
      <c r="DH24" s="32">
        <f>VLOOKUP(A24,'T_med_comp-USA'!$A$7:$Q$233,17,0)</f>
        <v>11.559327414718121</v>
      </c>
      <c r="DI24" s="6" t="str">
        <f t="shared" si="34"/>
        <v>6_2012</v>
      </c>
      <c r="DJ24" s="32">
        <f>IF(DI24="","",VLOOKUP(DI24,'CPI USA'!$T:$U,2,FALSE))</f>
        <v>229.59399999999999</v>
      </c>
      <c r="DK24" s="32">
        <f>IF(DI24="","",VLOOKUP(DI24,'PPI USA'!$S:$T,2,FALSE))</f>
        <v>175.1</v>
      </c>
      <c r="DL24" s="32">
        <f>IF(DI24="","",VLOOKUP(DI24,'CPI USA'!$T:$V,3,FALSE))</f>
        <v>0.66730871354337351</v>
      </c>
      <c r="DM24" s="32">
        <f>IF(DI24="","",VLOOKUP(DI24,'CPI USA'!$T:$X,5,FALSE))</f>
        <v>0.49513551903851311</v>
      </c>
      <c r="DN24" s="32">
        <f t="shared" si="35"/>
        <v>1.3897894616766442</v>
      </c>
      <c r="DO24" s="32">
        <f t="shared" si="36"/>
        <v>1.4008620811189902</v>
      </c>
      <c r="DP24" s="32">
        <f t="shared" si="37"/>
        <v>0.4489512853405152</v>
      </c>
      <c r="DQ24" s="32">
        <f>IF(DP24="","",DP24*$DO$1/'CPI USA'!$U$532+(1-DP24)*AVERAGE($DO$1,$DQ$1)/AVERAGE('CPI USA'!$U$532,'PPI USA'!$T$538))</f>
        <v>1.0369363218229111</v>
      </c>
      <c r="DR24" s="6">
        <f t="shared" si="38"/>
        <v>15598731</v>
      </c>
      <c r="DS24" s="32">
        <f t="shared" si="39"/>
        <v>0.2</v>
      </c>
      <c r="DT24" s="28">
        <f>IF(DS24="","",DS24*$DO$1/'CPI USA'!$U$532+(1-DS24)*AVERAGE($DO$1,$DQ$1)/AVERAGE('CPI USA'!$U$532,'PPI USA'!$T$538))</f>
        <v>1.0426818386380585</v>
      </c>
      <c r="DU24" s="6">
        <f t="shared" si="40"/>
        <v>1588818</v>
      </c>
      <c r="DV24" s="6">
        <f t="shared" si="41"/>
        <v>27814.401017987857</v>
      </c>
      <c r="DW24" s="6">
        <f t="shared" si="42"/>
        <v>1458252.6550690043</v>
      </c>
      <c r="DX24" s="16">
        <f t="shared" si="43"/>
        <v>0.2</v>
      </c>
      <c r="DY24" s="28">
        <f>IF(DX24="","",DX24*$DO$1/'CPI USA'!$U$532+(1-DX24)*AVERAGE($DO$1,$DQ$1)/AVERAGE('CPI USA'!$U$532,'PPI USA'!$T$538))</f>
        <v>1.0426818386380585</v>
      </c>
      <c r="DZ24" s="30"/>
      <c r="EA24" s="29" t="str">
        <f t="shared" si="44"/>
        <v>C000312</v>
      </c>
      <c r="EB24" s="29">
        <f t="shared" si="45"/>
        <v>7553257960.7396088</v>
      </c>
      <c r="EC24" s="29">
        <f t="shared" si="46"/>
        <v>380311372.97691566</v>
      </c>
      <c r="ED24" s="29">
        <f t="shared" si="47"/>
        <v>145581644.43778852</v>
      </c>
      <c r="EE24" s="29">
        <f t="shared" si="48"/>
        <v>208700848.70229319</v>
      </c>
      <c r="EF24" s="29">
        <f t="shared" si="49"/>
        <v>157410954.01042724</v>
      </c>
      <c r="EG24" s="29">
        <f t="shared" si="50"/>
        <v>5731</v>
      </c>
      <c r="EH24" s="29">
        <f t="shared" si="51"/>
        <v>1163141</v>
      </c>
      <c r="EI24" s="29">
        <f t="shared" si="52"/>
        <v>1442713</v>
      </c>
      <c r="EJ24" s="29">
        <f t="shared" si="53"/>
        <v>19286177</v>
      </c>
      <c r="EK24" s="29">
        <f t="shared" si="54"/>
        <v>20728828.964467004</v>
      </c>
      <c r="EL24" s="29">
        <f>IF(CD24=1,VLOOKUP(EA24,'EIA 2023'!$A$2:$J$213,4,0)*EH24,"")</f>
        <v>256205068.07000002</v>
      </c>
      <c r="EM24" s="29">
        <f>IF(CD24=1,VLOOKUP(EA24,'EIA 2023'!$A$2:$J$213,7,0)*EH24,"")</f>
        <v>1942445.47</v>
      </c>
      <c r="EN24" s="29">
        <f>IF(CD24=1,VLOOKUP(EA24,'EIA 2023'!$A$2:$J$213,10,0),"")</f>
        <v>366349</v>
      </c>
      <c r="EO24" s="28">
        <f>IF(CD24=1,VLOOKUP(EA24,'EIA 2023'!$A$2:$Z$213,26,0),"")</f>
        <v>0</v>
      </c>
      <c r="EP24" s="23">
        <f t="shared" si="55"/>
        <v>6.9596404453911687E-2</v>
      </c>
      <c r="EQ24" s="32">
        <f t="shared" si="56"/>
        <v>61.035532994923869</v>
      </c>
      <c r="ER24" s="32">
        <f t="shared" si="57"/>
        <v>1442651.9644670051</v>
      </c>
      <c r="ES24" s="32"/>
      <c r="ET24" s="32"/>
    </row>
    <row r="25" spans="1:150" ht="15.75" customHeight="1">
      <c r="A25" s="7" t="s">
        <v>276</v>
      </c>
      <c r="B25" s="7" t="s">
        <v>277</v>
      </c>
      <c r="C25" s="32" t="s">
        <v>1110</v>
      </c>
      <c r="D25" s="42">
        <v>0</v>
      </c>
      <c r="E25" s="42">
        <v>0</v>
      </c>
      <c r="F25" s="42">
        <v>0</v>
      </c>
      <c r="G25" s="42">
        <v>431343717</v>
      </c>
      <c r="H25" s="42">
        <v>431699441</v>
      </c>
      <c r="I25" s="42">
        <v>1357060</v>
      </c>
      <c r="J25" s="42">
        <v>787327</v>
      </c>
      <c r="K25" s="42">
        <v>138894</v>
      </c>
      <c r="L25" s="42">
        <v>527535</v>
      </c>
      <c r="M25" s="42">
        <v>4256329</v>
      </c>
      <c r="N25" s="42">
        <v>0</v>
      </c>
      <c r="O25" s="42">
        <v>9683395</v>
      </c>
      <c r="P25" s="42">
        <v>4389520</v>
      </c>
      <c r="Q25" s="42">
        <v>1447398</v>
      </c>
      <c r="R25" s="42">
        <v>336</v>
      </c>
      <c r="S25" s="42">
        <v>7345665</v>
      </c>
      <c r="T25" s="42">
        <v>87244192</v>
      </c>
      <c r="U25" s="42">
        <v>3068917</v>
      </c>
      <c r="V25" s="42">
        <v>217381</v>
      </c>
      <c r="W25" s="42">
        <v>3115433</v>
      </c>
      <c r="X25" s="42">
        <f>IFERROR(VLOOKUP(A25,'Trans 21-23'!$A$2:$J$229,10,0),0)</f>
        <v>1038767</v>
      </c>
      <c r="Y25" s="42">
        <v>3366105</v>
      </c>
      <c r="Z25" s="42">
        <v>3325003</v>
      </c>
      <c r="AA25" s="42">
        <v>22589573</v>
      </c>
      <c r="AB25" s="42">
        <v>9926204</v>
      </c>
      <c r="AC25" s="42">
        <v>148783</v>
      </c>
      <c r="AD25" s="42">
        <v>46565025</v>
      </c>
      <c r="AE25" s="42">
        <v>0</v>
      </c>
      <c r="AF25" s="42">
        <v>1011753846</v>
      </c>
      <c r="AG25" s="42">
        <v>1069766</v>
      </c>
      <c r="AH25" s="42">
        <v>257142</v>
      </c>
      <c r="AI25" s="42">
        <v>6182689</v>
      </c>
      <c r="AJ25" s="42">
        <v>12047</v>
      </c>
      <c r="AK25" s="42">
        <v>17586259</v>
      </c>
      <c r="AL25" s="42">
        <v>8887122</v>
      </c>
      <c r="AM25" s="42">
        <v>5928308</v>
      </c>
      <c r="AN25" s="42">
        <v>8552665</v>
      </c>
      <c r="AO25" s="42">
        <v>131664</v>
      </c>
      <c r="AP25" s="42">
        <v>0</v>
      </c>
      <c r="AQ25" s="42">
        <v>23499759</v>
      </c>
      <c r="AR25" s="42">
        <v>0</v>
      </c>
      <c r="AS25" s="42">
        <v>23499759</v>
      </c>
      <c r="AT25" s="42">
        <v>0</v>
      </c>
      <c r="AU25" s="42">
        <v>5192</v>
      </c>
      <c r="AV25" s="42">
        <v>0</v>
      </c>
      <c r="AW25" s="42">
        <v>923983753</v>
      </c>
      <c r="AX25" s="42">
        <v>74289281</v>
      </c>
      <c r="AY25" s="42">
        <v>453304649</v>
      </c>
      <c r="AZ25" s="42">
        <v>217696335</v>
      </c>
      <c r="BA25" s="42">
        <v>90042177</v>
      </c>
      <c r="BB25" s="42">
        <v>3606320640</v>
      </c>
      <c r="BC25" s="42">
        <v>4364815798</v>
      </c>
      <c r="BD25" s="42">
        <v>286181535</v>
      </c>
      <c r="BE25" s="42">
        <v>1357013096</v>
      </c>
      <c r="BF25" s="42">
        <v>101114760</v>
      </c>
      <c r="BG25" s="42">
        <v>0</v>
      </c>
      <c r="BH25" s="42">
        <v>37847277</v>
      </c>
      <c r="BI25" s="42">
        <v>9117444</v>
      </c>
      <c r="BJ25" s="42">
        <v>407402</v>
      </c>
      <c r="BK25" s="42">
        <v>28117</v>
      </c>
      <c r="BL25" s="42">
        <v>0</v>
      </c>
      <c r="BM25" s="42">
        <v>499062</v>
      </c>
      <c r="BN25" s="42">
        <v>48319226</v>
      </c>
      <c r="BO25" s="42">
        <v>0</v>
      </c>
      <c r="BP25" s="42">
        <v>20450854</v>
      </c>
      <c r="BQ25" s="42">
        <v>109118215</v>
      </c>
      <c r="BR25" s="42">
        <v>0</v>
      </c>
      <c r="BS25" s="42">
        <f>IFERROR(VLOOKUP(A25,'Trans 21-23'!$A$2:$J$229,9,0),0)</f>
        <v>102297747</v>
      </c>
      <c r="BT25" s="67"/>
      <c r="BU25" s="32">
        <f t="shared" si="0"/>
        <v>3606320640</v>
      </c>
      <c r="BV25" s="32">
        <f t="shared" si="1"/>
        <v>5192</v>
      </c>
      <c r="BW25" s="32">
        <f t="shared" si="2"/>
        <v>1069766</v>
      </c>
      <c r="BX25" s="32">
        <f t="shared" si="3"/>
        <v>123579382</v>
      </c>
      <c r="BY25" s="32">
        <f t="shared" si="4"/>
        <v>39355668</v>
      </c>
      <c r="BZ25" s="32">
        <f t="shared" si="5"/>
        <v>217696335</v>
      </c>
      <c r="CA25" s="32">
        <f t="shared" si="6"/>
        <v>46565025</v>
      </c>
      <c r="CB25" s="32">
        <f t="shared" si="7"/>
        <v>257142</v>
      </c>
      <c r="CC25" s="32">
        <f t="shared" si="8"/>
        <v>23499759</v>
      </c>
      <c r="CD25" s="41">
        <f t="shared" si="9"/>
        <v>1</v>
      </c>
      <c r="CE25" s="44">
        <f t="shared" si="10"/>
        <v>13</v>
      </c>
      <c r="CF25" s="27"/>
      <c r="CG25" s="28">
        <f t="shared" si="11"/>
        <v>694.59180277349765</v>
      </c>
      <c r="CH25" s="28">
        <f t="shared" si="12"/>
        <v>4.8533978458840528</v>
      </c>
      <c r="CI25" s="28">
        <f t="shared" si="13"/>
        <v>115.52001278784333</v>
      </c>
      <c r="CJ25" s="28">
        <f t="shared" si="14"/>
        <v>203.49902221607343</v>
      </c>
      <c r="CK25" s="23">
        <f t="shared" si="15"/>
        <v>1.0942324982992378E-2</v>
      </c>
      <c r="CL25" s="29" t="str">
        <f t="shared" si="16"/>
        <v/>
      </c>
      <c r="CM25" s="29" t="str">
        <f t="shared" si="17"/>
        <v/>
      </c>
      <c r="CN25" s="29" t="str">
        <f t="shared" si="18"/>
        <v/>
      </c>
      <c r="CO25" s="29" t="str">
        <f t="shared" si="19"/>
        <v/>
      </c>
      <c r="CP25" s="29" t="str">
        <f t="shared" si="20"/>
        <v/>
      </c>
      <c r="CQ25" s="29">
        <f t="shared" si="21"/>
        <v>0</v>
      </c>
      <c r="CR25" s="13"/>
      <c r="CS25" s="7">
        <f>VLOOKUP(A25,'Empresas 21-23'!$A$2:$M$228,13,0)</f>
        <v>1</v>
      </c>
      <c r="CT25" s="30"/>
      <c r="CU25" s="6">
        <f t="shared" si="22"/>
        <v>3084323517</v>
      </c>
      <c r="CV25" s="6">
        <f t="shared" si="23"/>
        <v>217696335</v>
      </c>
      <c r="CW25" s="6">
        <f t="shared" si="24"/>
        <v>286181535</v>
      </c>
      <c r="CX25" s="23">
        <f t="shared" si="58"/>
        <v>0.75621478125164276</v>
      </c>
      <c r="CY25" s="23">
        <f t="shared" si="59"/>
        <v>5.3374811508565018E-2</v>
      </c>
      <c r="CZ25" s="6">
        <f t="shared" si="27"/>
        <v>3300738223.8882842</v>
      </c>
      <c r="DA25" s="6">
        <f t="shared" si="28"/>
        <v>232971220.48785681</v>
      </c>
      <c r="DB25" s="6">
        <f t="shared" si="29"/>
        <v>123579382</v>
      </c>
      <c r="DC25" s="6">
        <f t="shared" si="30"/>
        <v>124618149</v>
      </c>
      <c r="DD25" s="6">
        <f t="shared" si="31"/>
        <v>39355668</v>
      </c>
      <c r="DE25" s="6">
        <f t="shared" si="32"/>
        <v>46565025</v>
      </c>
      <c r="DF25" s="6">
        <f t="shared" si="33"/>
        <v>14312271.573148139</v>
      </c>
      <c r="DG25" s="30"/>
      <c r="DH25" s="32">
        <f>VLOOKUP(A25,'T_med_comp-USA'!$A$7:$Q$233,17,0)</f>
        <v>13.459237507581568</v>
      </c>
      <c r="DI25" s="6" t="str">
        <f t="shared" si="34"/>
        <v>7_2010</v>
      </c>
      <c r="DJ25" s="32">
        <f>IF(DI25="","",VLOOKUP(DI25,'CPI USA'!$T:$U,2,FALSE))</f>
        <v>218.05600000000001</v>
      </c>
      <c r="DK25" s="32">
        <f>IF(DI25="","",VLOOKUP(DI25,'PPI USA'!$S:$T,2,FALSE))</f>
        <v>160.80000000000001</v>
      </c>
      <c r="DL25" s="32">
        <f>IF(DI25="","",VLOOKUP(DI25,'CPI USA'!$T:$V,3,FALSE))</f>
        <v>0.67050107279443949</v>
      </c>
      <c r="DM25" s="32">
        <f>IF(DI25="","",VLOOKUP(DI25,'CPI USA'!$T:$X,5,FALSE))</f>
        <v>0.4987389730136107</v>
      </c>
      <c r="DN25" s="32">
        <f t="shared" si="35"/>
        <v>1.4703278680244813</v>
      </c>
      <c r="DO25" s="32">
        <f t="shared" si="36"/>
        <v>1.4857204383544427</v>
      </c>
      <c r="DP25" s="32">
        <f t="shared" si="37"/>
        <v>0.30625883045765678</v>
      </c>
      <c r="DQ25" s="32">
        <f>IF(DP25="","",DP25*$DO$1/'CPI USA'!$U$532+(1-DP25)*AVERAGE($DO$1,$DQ$1)/AVERAGE('CPI USA'!$U$532,'PPI USA'!$T$538))</f>
        <v>1.0402295038516873</v>
      </c>
      <c r="DR25" s="6">
        <f t="shared" si="38"/>
        <v>9552963</v>
      </c>
      <c r="DS25" s="32">
        <f t="shared" si="39"/>
        <v>0.24273410884551622</v>
      </c>
      <c r="DT25" s="28">
        <f>IF(DS25="","",DS25*$DO$1/'CPI USA'!$U$532+(1-DS25)*AVERAGE($DO$1,$DQ$1)/AVERAGE('CPI USA'!$U$532,'PPI USA'!$T$538))</f>
        <v>1.0416955832724097</v>
      </c>
      <c r="DU25" s="6">
        <f t="shared" si="40"/>
        <v>499062</v>
      </c>
      <c r="DV25" s="6">
        <f t="shared" si="41"/>
        <v>115107.11476963885</v>
      </c>
      <c r="DW25" s="6">
        <f t="shared" si="42"/>
        <v>602488.19881072664</v>
      </c>
      <c r="DX25" s="16">
        <f t="shared" si="43"/>
        <v>0.2</v>
      </c>
      <c r="DY25" s="28">
        <f>IF(DX25="","",DX25*$DO$1/'CPI USA'!$U$532+(1-DX25)*AVERAGE($DO$1,$DQ$1)/AVERAGE('CPI USA'!$U$532,'PPI USA'!$T$538))</f>
        <v>1.0426818386380585</v>
      </c>
      <c r="DZ25" s="30"/>
      <c r="EA25" s="29" t="str">
        <f t="shared" si="44"/>
        <v>C000313</v>
      </c>
      <c r="EB25" s="29">
        <f t="shared" si="45"/>
        <v>4853167395.6365738</v>
      </c>
      <c r="EC25" s="29">
        <f t="shared" si="46"/>
        <v>346130103.82718813</v>
      </c>
      <c r="ED25" s="29">
        <f t="shared" si="47"/>
        <v>129631475.30518565</v>
      </c>
      <c r="EE25" s="29">
        <f t="shared" si="48"/>
        <v>40996625.532335311</v>
      </c>
      <c r="EF25" s="29">
        <f t="shared" si="49"/>
        <v>14923145.638977319</v>
      </c>
      <c r="EG25" s="29">
        <f t="shared" si="50"/>
        <v>5192</v>
      </c>
      <c r="EH25" s="29">
        <f t="shared" si="51"/>
        <v>1069766</v>
      </c>
      <c r="EI25" s="29">
        <f t="shared" si="52"/>
        <v>257142</v>
      </c>
      <c r="EJ25" s="29">
        <f t="shared" si="53"/>
        <v>23499759</v>
      </c>
      <c r="EK25" s="29">
        <f t="shared" si="54"/>
        <v>23756901</v>
      </c>
      <c r="EL25" s="29">
        <f>IF(CD25=1,VLOOKUP(EA25,'EIA 2023'!$A$2:$J$213,4,0)*EH25,"")</f>
        <v>114711008.18000001</v>
      </c>
      <c r="EM25" s="29">
        <f>IF(CD25=1,VLOOKUP(EA25,'EIA 2023'!$A$2:$J$213,7,0)*EH25,"")</f>
        <v>1586462.9780000001</v>
      </c>
      <c r="EN25" s="29">
        <f>IF(CD25=1,VLOOKUP(EA25,'EIA 2023'!$A$2:$J$213,10,0),"")</f>
        <v>357838</v>
      </c>
      <c r="EO25" s="28">
        <f>IF(CD25=1,VLOOKUP(EA25,'EIA 2023'!$A$2:$Z$213,26,0),"")</f>
        <v>0</v>
      </c>
      <c r="EP25" s="23">
        <f t="shared" si="55"/>
        <v>1.0823886499337604E-2</v>
      </c>
      <c r="EQ25" s="32">
        <f t="shared" si="56"/>
        <v>0</v>
      </c>
      <c r="ER25" s="32">
        <f t="shared" si="57"/>
        <v>257142</v>
      </c>
      <c r="ES25" s="32"/>
      <c r="ET25" s="32"/>
    </row>
    <row r="26" spans="1:150" ht="15.75" customHeight="1">
      <c r="A26" s="7" t="s">
        <v>279</v>
      </c>
      <c r="B26" s="7" t="s">
        <v>280</v>
      </c>
      <c r="C26" s="32" t="s">
        <v>1111</v>
      </c>
      <c r="D26" s="42">
        <v>0</v>
      </c>
      <c r="E26" s="42">
        <v>0</v>
      </c>
      <c r="F26" s="42">
        <v>0</v>
      </c>
      <c r="G26" s="42">
        <v>294562030</v>
      </c>
      <c r="H26" s="42">
        <v>294733021</v>
      </c>
      <c r="I26" s="42">
        <v>1308982</v>
      </c>
      <c r="J26" s="42">
        <v>123740</v>
      </c>
      <c r="K26" s="42">
        <v>41889</v>
      </c>
      <c r="L26" s="42">
        <v>135126</v>
      </c>
      <c r="M26" s="42">
        <v>1244084</v>
      </c>
      <c r="N26" s="42">
        <v>0</v>
      </c>
      <c r="O26" s="42">
        <v>7468309</v>
      </c>
      <c r="P26" s="42">
        <v>5148</v>
      </c>
      <c r="Q26" s="42">
        <v>1112190</v>
      </c>
      <c r="R26" s="42">
        <v>0</v>
      </c>
      <c r="S26" s="42">
        <v>7794669</v>
      </c>
      <c r="T26" s="42">
        <v>56326292</v>
      </c>
      <c r="U26" s="42">
        <v>2715575</v>
      </c>
      <c r="V26" s="42">
        <v>175920</v>
      </c>
      <c r="W26" s="42">
        <v>2036494</v>
      </c>
      <c r="X26" s="42">
        <f>IFERROR(VLOOKUP(A26,'Trans 21-23'!$A$2:$J$229,10,0),0)</f>
        <v>2562695</v>
      </c>
      <c r="Y26" s="42">
        <v>2598844</v>
      </c>
      <c r="Z26" s="42">
        <v>2650674</v>
      </c>
      <c r="AA26" s="42">
        <v>22665622</v>
      </c>
      <c r="AB26" s="42">
        <v>8926653</v>
      </c>
      <c r="AC26" s="42">
        <v>96723</v>
      </c>
      <c r="AD26" s="42">
        <v>78801294</v>
      </c>
      <c r="AE26" s="42">
        <v>0</v>
      </c>
      <c r="AF26" s="42">
        <v>790392026</v>
      </c>
      <c r="AG26" s="42">
        <v>756673</v>
      </c>
      <c r="AH26" s="42">
        <v>159223</v>
      </c>
      <c r="AI26" s="42">
        <v>4471906</v>
      </c>
      <c r="AJ26" s="42">
        <v>14994</v>
      </c>
      <c r="AK26" s="42">
        <v>12744378</v>
      </c>
      <c r="AL26" s="42">
        <v>5129344</v>
      </c>
      <c r="AM26" s="42">
        <v>5568102</v>
      </c>
      <c r="AN26" s="42">
        <v>6213976</v>
      </c>
      <c r="AO26" s="42">
        <v>130645</v>
      </c>
      <c r="AP26" s="42">
        <v>0</v>
      </c>
      <c r="AQ26" s="42">
        <v>17042067</v>
      </c>
      <c r="AR26" s="42">
        <v>0</v>
      </c>
      <c r="AS26" s="42">
        <v>17042067</v>
      </c>
      <c r="AT26" s="42">
        <v>0</v>
      </c>
      <c r="AU26" s="42">
        <v>3868</v>
      </c>
      <c r="AV26" s="42">
        <v>0</v>
      </c>
      <c r="AW26" s="42">
        <v>626319850</v>
      </c>
      <c r="AX26" s="42">
        <v>86240154</v>
      </c>
      <c r="AY26" s="42">
        <v>568000185</v>
      </c>
      <c r="AZ26" s="42">
        <v>165916763</v>
      </c>
      <c r="BA26" s="42">
        <v>88275930</v>
      </c>
      <c r="BB26" s="42">
        <v>2940297832</v>
      </c>
      <c r="BC26" s="42">
        <v>3844596852</v>
      </c>
      <c r="BD26" s="42">
        <v>255412951</v>
      </c>
      <c r="BE26" s="42">
        <v>1220707036</v>
      </c>
      <c r="BF26" s="42">
        <v>98508744</v>
      </c>
      <c r="BG26" s="42">
        <v>0</v>
      </c>
      <c r="BH26" s="42">
        <v>32569009</v>
      </c>
      <c r="BI26" s="42">
        <v>5817416</v>
      </c>
      <c r="BJ26" s="42">
        <v>299437</v>
      </c>
      <c r="BK26" s="42">
        <v>4405</v>
      </c>
      <c r="BL26" s="42">
        <v>0</v>
      </c>
      <c r="BM26" s="42">
        <v>798301</v>
      </c>
      <c r="BN26" s="42">
        <v>39660148</v>
      </c>
      <c r="BO26" s="42">
        <v>0</v>
      </c>
      <c r="BP26" s="42">
        <v>7496009</v>
      </c>
      <c r="BQ26" s="42">
        <v>82133403</v>
      </c>
      <c r="BR26" s="42">
        <v>0</v>
      </c>
      <c r="BS26" s="42">
        <f>IFERROR(VLOOKUP(A26,'Trans 21-23'!$A$2:$J$229,9,0),0)</f>
        <v>252374205</v>
      </c>
      <c r="BT26" s="67"/>
      <c r="BU26" s="32">
        <f t="shared" si="0"/>
        <v>2940297832</v>
      </c>
      <c r="BV26" s="32">
        <f t="shared" si="1"/>
        <v>3868</v>
      </c>
      <c r="BW26" s="32">
        <f t="shared" si="2"/>
        <v>756673</v>
      </c>
      <c r="BX26" s="32">
        <f t="shared" si="3"/>
        <v>80488418</v>
      </c>
      <c r="BY26" s="32">
        <f t="shared" si="4"/>
        <v>36938516</v>
      </c>
      <c r="BZ26" s="32">
        <f t="shared" si="5"/>
        <v>165916763</v>
      </c>
      <c r="CA26" s="32">
        <f t="shared" si="6"/>
        <v>78801294</v>
      </c>
      <c r="CB26" s="32">
        <f t="shared" si="7"/>
        <v>159223</v>
      </c>
      <c r="CC26" s="32">
        <f t="shared" si="8"/>
        <v>17042067</v>
      </c>
      <c r="CD26" s="41">
        <f t="shared" si="9"/>
        <v>1</v>
      </c>
      <c r="CE26" s="44">
        <f t="shared" si="10"/>
        <v>14</v>
      </c>
      <c r="CF26" s="27"/>
      <c r="CG26" s="28">
        <f t="shared" si="11"/>
        <v>760.15972905894523</v>
      </c>
      <c r="CH26" s="28">
        <f t="shared" si="12"/>
        <v>5.1118514867056177</v>
      </c>
      <c r="CI26" s="28">
        <f t="shared" si="13"/>
        <v>106.37146825643309</v>
      </c>
      <c r="CJ26" s="28">
        <f t="shared" si="14"/>
        <v>219.27141975463641</v>
      </c>
      <c r="CK26" s="23">
        <f t="shared" si="15"/>
        <v>9.3429394450802242E-3</v>
      </c>
      <c r="CL26" s="29" t="str">
        <f t="shared" si="16"/>
        <v/>
      </c>
      <c r="CM26" s="29" t="str">
        <f t="shared" si="17"/>
        <v/>
      </c>
      <c r="CN26" s="29" t="str">
        <f t="shared" si="18"/>
        <v/>
      </c>
      <c r="CO26" s="29" t="str">
        <f t="shared" si="19"/>
        <v/>
      </c>
      <c r="CP26" s="29" t="str">
        <f t="shared" si="20"/>
        <v/>
      </c>
      <c r="CQ26" s="29">
        <f t="shared" si="21"/>
        <v>0</v>
      </c>
      <c r="CR26" s="13"/>
      <c r="CS26" s="7">
        <f>VLOOKUP(A26,'Empresas 21-23'!$A$2:$M$228,13,0)</f>
        <v>1</v>
      </c>
      <c r="CT26" s="30"/>
      <c r="CU26" s="6">
        <f t="shared" si="22"/>
        <v>2545935140.5999999</v>
      </c>
      <c r="CV26" s="6">
        <f t="shared" si="23"/>
        <v>165916763</v>
      </c>
      <c r="CW26" s="6">
        <f t="shared" si="24"/>
        <v>255412951</v>
      </c>
      <c r="CX26" s="23">
        <f t="shared" si="58"/>
        <v>0.70933538398259965</v>
      </c>
      <c r="CY26" s="23">
        <f t="shared" si="59"/>
        <v>4.6226877077480792E-2</v>
      </c>
      <c r="CZ26" s="6">
        <f t="shared" si="27"/>
        <v>2727108584.2717137</v>
      </c>
      <c r="DA26" s="6">
        <f t="shared" si="28"/>
        <v>177723706.08987361</v>
      </c>
      <c r="DB26" s="6">
        <f t="shared" si="29"/>
        <v>80488418</v>
      </c>
      <c r="DC26" s="6">
        <f t="shared" si="30"/>
        <v>83051113</v>
      </c>
      <c r="DD26" s="6">
        <f t="shared" si="31"/>
        <v>36938516</v>
      </c>
      <c r="DE26" s="6">
        <f t="shared" si="32"/>
        <v>78801294</v>
      </c>
      <c r="DF26" s="6">
        <f t="shared" si="33"/>
        <v>22682411.245548308</v>
      </c>
      <c r="DG26" s="30"/>
      <c r="DH26" s="32">
        <f>VLOOKUP(A26,'T_med_comp-USA'!$A$7:$Q$233,17,0)</f>
        <v>12.359669161241621</v>
      </c>
      <c r="DI26" s="6" t="str">
        <f t="shared" si="34"/>
        <v>8_2011</v>
      </c>
      <c r="DJ26" s="32">
        <f>IF(DI26="","",VLOOKUP(DI26,'CPI USA'!$T:$U,2,FALSE))</f>
        <v>224.93899999999999</v>
      </c>
      <c r="DK26" s="32">
        <f>IF(DI26="","",VLOOKUP(DI26,'PPI USA'!$S:$T,2,FALSE))</f>
        <v>169.6</v>
      </c>
      <c r="DL26" s="32">
        <f>IF(DI26="","",VLOOKUP(DI26,'CPI USA'!$T:$V,3,FALSE))</f>
        <v>0.6684022975047168</v>
      </c>
      <c r="DM26" s="32">
        <f>IF(DI26="","",VLOOKUP(DI26,'CPI USA'!$T:$X,5,FALSE))</f>
        <v>0.49636791791307899</v>
      </c>
      <c r="DN26" s="32">
        <f t="shared" si="35"/>
        <v>1.4208751760332547</v>
      </c>
      <c r="DO26" s="32">
        <f t="shared" si="36"/>
        <v>1.4334111417560953</v>
      </c>
      <c r="DP26" s="32">
        <f t="shared" si="37"/>
        <v>0.40464218094086529</v>
      </c>
      <c r="DQ26" s="32">
        <f>IF(DP26="","",DP26*$DO$1/'CPI USA'!$U$532+(1-DP26)*AVERAGE($DO$1,$DQ$1)/AVERAGE('CPI USA'!$U$532,'PPI USA'!$T$538))</f>
        <v>1.0379589263217956</v>
      </c>
      <c r="DR26" s="6">
        <f t="shared" si="38"/>
        <v>6121258</v>
      </c>
      <c r="DS26" s="32">
        <f t="shared" si="39"/>
        <v>0.2</v>
      </c>
      <c r="DT26" s="28">
        <f>IF(DS26="","",DS26*$DO$1/'CPI USA'!$U$532+(1-DS26)*AVERAGE($DO$1,$DQ$1)/AVERAGE('CPI USA'!$U$532,'PPI USA'!$T$538))</f>
        <v>1.0426818386380585</v>
      </c>
      <c r="DU26" s="6">
        <f t="shared" si="40"/>
        <v>798301</v>
      </c>
      <c r="DV26" s="6">
        <f t="shared" si="41"/>
        <v>80175.246749759244</v>
      </c>
      <c r="DW26" s="6">
        <f t="shared" si="42"/>
        <v>856993.2855496672</v>
      </c>
      <c r="DX26" s="16">
        <f t="shared" si="43"/>
        <v>0.2</v>
      </c>
      <c r="DY26" s="28">
        <f>IF(DX26="","",DX26*$DO$1/'CPI USA'!$U$532+(1-DX26)*AVERAGE($DO$1,$DQ$1)/AVERAGE('CPI USA'!$U$532,'PPI USA'!$T$538))</f>
        <v>1.0426818386380585</v>
      </c>
      <c r="DZ26" s="30"/>
      <c r="EA26" s="29" t="str">
        <f t="shared" si="44"/>
        <v>C000314</v>
      </c>
      <c r="EB26" s="29">
        <f t="shared" si="45"/>
        <v>3874880889.7388716</v>
      </c>
      <c r="EC26" s="29">
        <f t="shared" si="46"/>
        <v>254751140.46341044</v>
      </c>
      <c r="ED26" s="29">
        <f t="shared" si="47"/>
        <v>86203644.079310119</v>
      </c>
      <c r="EE26" s="29">
        <f t="shared" si="48"/>
        <v>38515119.779441342</v>
      </c>
      <c r="EF26" s="29">
        <f t="shared" si="49"/>
        <v>23650538.262252886</v>
      </c>
      <c r="EG26" s="29">
        <f t="shared" si="50"/>
        <v>3868</v>
      </c>
      <c r="EH26" s="29">
        <f t="shared" si="51"/>
        <v>756673</v>
      </c>
      <c r="EI26" s="29">
        <f t="shared" si="52"/>
        <v>159223</v>
      </c>
      <c r="EJ26" s="29">
        <f t="shared" si="53"/>
        <v>17042067</v>
      </c>
      <c r="EK26" s="29">
        <f t="shared" si="54"/>
        <v>17201290</v>
      </c>
      <c r="EL26" s="29">
        <f>IF(CD26=1,VLOOKUP(EA26,'EIA 2023'!$A$2:$J$213,4,0)*EH26,"")</f>
        <v>89051332.024000004</v>
      </c>
      <c r="EM26" s="29">
        <f>IF(CD26=1,VLOOKUP(EA26,'EIA 2023'!$A$2:$J$213,7,0)*EH26,"")</f>
        <v>939787.86600000004</v>
      </c>
      <c r="EN26" s="29">
        <f>IF(CD26=1,VLOOKUP(EA26,'EIA 2023'!$A$2:$J$213,10,0),"")</f>
        <v>331795</v>
      </c>
      <c r="EO26" s="28">
        <f>IF(CD26=1,VLOOKUP(EA26,'EIA 2023'!$A$2:$Z$213,26,0),"")</f>
        <v>0</v>
      </c>
      <c r="EP26" s="23">
        <f t="shared" si="55"/>
        <v>9.2564569285210584E-3</v>
      </c>
      <c r="EQ26" s="32">
        <f t="shared" si="56"/>
        <v>0</v>
      </c>
      <c r="ER26" s="32">
        <f t="shared" si="57"/>
        <v>159223</v>
      </c>
      <c r="ES26" s="32"/>
      <c r="ET26" s="32"/>
    </row>
    <row r="27" spans="1:150" ht="15.75" customHeight="1">
      <c r="A27" s="7" t="s">
        <v>282</v>
      </c>
      <c r="B27" s="7" t="s">
        <v>283</v>
      </c>
      <c r="C27" s="32" t="s">
        <v>1112</v>
      </c>
      <c r="D27" s="42">
        <v>0</v>
      </c>
      <c r="E27" s="42">
        <v>0</v>
      </c>
      <c r="F27" s="42">
        <v>0</v>
      </c>
      <c r="G27" s="42">
        <v>120059931</v>
      </c>
      <c r="H27" s="42">
        <v>120208941</v>
      </c>
      <c r="I27" s="42">
        <v>739826</v>
      </c>
      <c r="J27" s="42">
        <v>185301</v>
      </c>
      <c r="K27" s="42">
        <v>32328</v>
      </c>
      <c r="L27" s="42">
        <v>167965</v>
      </c>
      <c r="M27" s="42">
        <v>1108522</v>
      </c>
      <c r="N27" s="42">
        <v>0</v>
      </c>
      <c r="O27" s="42">
        <v>3139832</v>
      </c>
      <c r="P27" s="42">
        <v>365141</v>
      </c>
      <c r="Q27" s="42">
        <v>468254</v>
      </c>
      <c r="R27" s="42">
        <v>0</v>
      </c>
      <c r="S27" s="42">
        <v>1556744</v>
      </c>
      <c r="T27" s="42">
        <v>15802726</v>
      </c>
      <c r="U27" s="42">
        <v>1100325</v>
      </c>
      <c r="V27" s="42">
        <v>76572</v>
      </c>
      <c r="W27" s="42">
        <v>944342</v>
      </c>
      <c r="X27" s="42">
        <f>IFERROR(VLOOKUP(A27,'Trans 21-23'!$A$2:$J$229,10,0),0)</f>
        <v>122590</v>
      </c>
      <c r="Y27" s="42">
        <v>736198</v>
      </c>
      <c r="Z27" s="42">
        <v>1364939</v>
      </c>
      <c r="AA27" s="42">
        <v>7038049</v>
      </c>
      <c r="AB27" s="42">
        <v>3492046</v>
      </c>
      <c r="AC27" s="42">
        <v>36584</v>
      </c>
      <c r="AD27" s="42">
        <v>27611418</v>
      </c>
      <c r="AE27" s="42">
        <v>0</v>
      </c>
      <c r="AF27" s="42">
        <v>306545942</v>
      </c>
      <c r="AG27" s="42">
        <v>315061</v>
      </c>
      <c r="AH27" s="42">
        <v>135390</v>
      </c>
      <c r="AI27" s="42">
        <v>1664347</v>
      </c>
      <c r="AJ27" s="42">
        <v>5319</v>
      </c>
      <c r="AK27" s="42">
        <v>9306428</v>
      </c>
      <c r="AL27" s="42">
        <v>2408468</v>
      </c>
      <c r="AM27" s="42">
        <v>1685788</v>
      </c>
      <c r="AN27" s="42">
        <v>6704695</v>
      </c>
      <c r="AO27" s="42">
        <v>31115</v>
      </c>
      <c r="AP27" s="42">
        <v>0</v>
      </c>
      <c r="AQ27" s="42">
        <v>10830066</v>
      </c>
      <c r="AR27" s="42">
        <v>0</v>
      </c>
      <c r="AS27" s="42">
        <v>10830066</v>
      </c>
      <c r="AT27" s="42">
        <v>0</v>
      </c>
      <c r="AU27" s="42">
        <v>2220</v>
      </c>
      <c r="AV27" s="42">
        <v>0</v>
      </c>
      <c r="AW27" s="42">
        <v>267419244</v>
      </c>
      <c r="AX27" s="42">
        <v>15049969</v>
      </c>
      <c r="AY27" s="42">
        <v>186773970</v>
      </c>
      <c r="AZ27" s="42">
        <v>63574758</v>
      </c>
      <c r="BA27" s="42">
        <v>61599132</v>
      </c>
      <c r="BB27" s="42">
        <v>1208240592</v>
      </c>
      <c r="BC27" s="42">
        <v>1398304845</v>
      </c>
      <c r="BD27" s="42">
        <v>96820585</v>
      </c>
      <c r="BE27" s="42">
        <v>632001541</v>
      </c>
      <c r="BF27" s="42">
        <v>38564198</v>
      </c>
      <c r="BG27" s="42">
        <v>0</v>
      </c>
      <c r="BH27" s="42">
        <v>10519523</v>
      </c>
      <c r="BI27" s="42">
        <v>2500563</v>
      </c>
      <c r="BJ27" s="42">
        <v>158107</v>
      </c>
      <c r="BK27" s="42">
        <v>0</v>
      </c>
      <c r="BL27" s="42">
        <v>0</v>
      </c>
      <c r="BM27" s="42">
        <v>164120</v>
      </c>
      <c r="BN27" s="42">
        <v>13359257</v>
      </c>
      <c r="BO27" s="42">
        <v>0</v>
      </c>
      <c r="BP27" s="42">
        <v>5846228</v>
      </c>
      <c r="BQ27" s="42">
        <v>29126092</v>
      </c>
      <c r="BR27" s="42">
        <v>0</v>
      </c>
      <c r="BS27" s="42">
        <f>IFERROR(VLOOKUP(A27,'Trans 21-23'!$A$2:$J$229,9,0),0)</f>
        <v>12072693</v>
      </c>
      <c r="BT27" s="67"/>
      <c r="BU27" s="32">
        <f t="shared" si="0"/>
        <v>1208240592</v>
      </c>
      <c r="BV27" s="32">
        <f t="shared" si="1"/>
        <v>2220</v>
      </c>
      <c r="BW27" s="32">
        <f t="shared" si="2"/>
        <v>315061</v>
      </c>
      <c r="BX27" s="32">
        <f t="shared" si="3"/>
        <v>25687878</v>
      </c>
      <c r="BY27" s="32">
        <f t="shared" si="4"/>
        <v>12667816</v>
      </c>
      <c r="BZ27" s="32">
        <f t="shared" si="5"/>
        <v>63574758</v>
      </c>
      <c r="CA27" s="32">
        <f t="shared" si="6"/>
        <v>27611418</v>
      </c>
      <c r="CB27" s="32">
        <f t="shared" si="7"/>
        <v>135390</v>
      </c>
      <c r="CC27" s="32">
        <f t="shared" si="8"/>
        <v>10830066</v>
      </c>
      <c r="CD27" s="41">
        <f t="shared" si="9"/>
        <v>1</v>
      </c>
      <c r="CE27" s="44">
        <f t="shared" si="10"/>
        <v>15</v>
      </c>
      <c r="CF27" s="27"/>
      <c r="CG27" s="28">
        <f t="shared" si="11"/>
        <v>544.25251891891889</v>
      </c>
      <c r="CH27" s="28">
        <f t="shared" si="12"/>
        <v>7.0462545348361108</v>
      </c>
      <c r="CI27" s="28">
        <f t="shared" si="13"/>
        <v>81.533030111629174</v>
      </c>
      <c r="CJ27" s="28">
        <f t="shared" si="14"/>
        <v>201.78555263901276</v>
      </c>
      <c r="CK27" s="23">
        <f t="shared" si="15"/>
        <v>1.2501308856289518E-2</v>
      </c>
      <c r="CL27" s="29" t="str">
        <f t="shared" si="16"/>
        <v/>
      </c>
      <c r="CM27" s="29" t="str">
        <f t="shared" si="17"/>
        <v/>
      </c>
      <c r="CN27" s="29" t="str">
        <f t="shared" si="18"/>
        <v/>
      </c>
      <c r="CO27" s="29" t="str">
        <f t="shared" si="19"/>
        <v/>
      </c>
      <c r="CP27" s="29" t="str">
        <f t="shared" si="20"/>
        <v/>
      </c>
      <c r="CQ27" s="29">
        <f t="shared" si="21"/>
        <v>0</v>
      </c>
      <c r="CR27" s="13"/>
      <c r="CS27" s="7">
        <f>VLOOKUP(A27,'Empresas 21-23'!$A$2:$M$228,13,0)</f>
        <v>1</v>
      </c>
      <c r="CT27" s="30"/>
      <c r="CU27" s="6">
        <f t="shared" si="22"/>
        <v>974045031.60000002</v>
      </c>
      <c r="CV27" s="6">
        <f t="shared" si="23"/>
        <v>63574758</v>
      </c>
      <c r="CW27" s="6">
        <f t="shared" si="24"/>
        <v>96820585</v>
      </c>
      <c r="CX27" s="23">
        <f t="shared" si="58"/>
        <v>0.7484109193913725</v>
      </c>
      <c r="CY27" s="23">
        <f t="shared" si="59"/>
        <v>4.8847888486949508E-2</v>
      </c>
      <c r="CZ27" s="6">
        <f t="shared" si="27"/>
        <v>1046506614.6358606</v>
      </c>
      <c r="DA27" s="6">
        <f t="shared" si="28"/>
        <v>68304239.139321223</v>
      </c>
      <c r="DB27" s="6">
        <f t="shared" si="29"/>
        <v>25687878</v>
      </c>
      <c r="DC27" s="6">
        <f t="shared" si="30"/>
        <v>25810468</v>
      </c>
      <c r="DD27" s="6">
        <f t="shared" si="31"/>
        <v>12667816</v>
      </c>
      <c r="DE27" s="6">
        <f t="shared" si="32"/>
        <v>27611418</v>
      </c>
      <c r="DF27" s="6">
        <f t="shared" si="33"/>
        <v>6693564.8517776243</v>
      </c>
      <c r="DG27" s="30"/>
      <c r="DH27" s="32">
        <f>VLOOKUP(A27,'T_med_comp-USA'!$A$7:$Q$233,17,0)</f>
        <v>16.299955558740695</v>
      </c>
      <c r="DI27" s="6" t="str">
        <f t="shared" si="34"/>
        <v>9_2007</v>
      </c>
      <c r="DJ27" s="32">
        <f>IF(DI27="","",VLOOKUP(DI27,'CPI USA'!$T:$U,2,FALSE))</f>
        <v>207.34200000000001</v>
      </c>
      <c r="DK27" s="32">
        <f>IF(DI27="","",VLOOKUP(DI27,'PPI USA'!$S:$T,2,FALSE))</f>
        <v>151.69999999999999</v>
      </c>
      <c r="DL27" s="32">
        <f>IF(DI27="","",VLOOKUP(DI27,'CPI USA'!$T:$V,3,FALSE))</f>
        <v>0.67123734379962852</v>
      </c>
      <c r="DM27" s="32">
        <f>IF(DI27="","",VLOOKUP(DI27,'CPI USA'!$T:$X,5,FALSE))</f>
        <v>0.49957259686190569</v>
      </c>
      <c r="DN27" s="32">
        <f t="shared" si="35"/>
        <v>1.5480022216582647</v>
      </c>
      <c r="DO27" s="32">
        <f t="shared" si="36"/>
        <v>1.5651038394149617</v>
      </c>
      <c r="DP27" s="32">
        <f t="shared" si="37"/>
        <v>0.40951311743227681</v>
      </c>
      <c r="DQ27" s="32">
        <f>IF(DP27="","",DP27*$DO$1/'CPI USA'!$U$532+(1-DP27)*AVERAGE($DO$1,$DQ$1)/AVERAGE('CPI USA'!$U$532,'PPI USA'!$T$538))</f>
        <v>1.0378465105635133</v>
      </c>
      <c r="DR27" s="6">
        <f t="shared" si="38"/>
        <v>2658670</v>
      </c>
      <c r="DS27" s="32">
        <f t="shared" si="39"/>
        <v>0.20987595651847168</v>
      </c>
      <c r="DT27" s="28">
        <f>IF(DS27="","",DS27*$DO$1/'CPI USA'!$U$532+(1-DS27)*AVERAGE($DO$1,$DQ$1)/AVERAGE('CPI USA'!$U$532,'PPI USA'!$T$538))</f>
        <v>1.042453912623678</v>
      </c>
      <c r="DU27" s="6">
        <f t="shared" si="40"/>
        <v>164120</v>
      </c>
      <c r="DV27" s="6">
        <f t="shared" si="41"/>
        <v>41215.143669224184</v>
      </c>
      <c r="DW27" s="6">
        <f t="shared" si="42"/>
        <v>202552.1444011268</v>
      </c>
      <c r="DX27" s="16">
        <f t="shared" si="43"/>
        <v>0.2</v>
      </c>
      <c r="DY27" s="28">
        <f>IF(DX27="","",DX27*$DO$1/'CPI USA'!$U$532+(1-DX27)*AVERAGE($DO$1,$DQ$1)/AVERAGE('CPI USA'!$U$532,'PPI USA'!$T$538))</f>
        <v>1.0426818386380585</v>
      </c>
      <c r="DZ27" s="30"/>
      <c r="EA27" s="29" t="str">
        <f t="shared" si="44"/>
        <v>C000315</v>
      </c>
      <c r="EB27" s="29">
        <f t="shared" si="45"/>
        <v>1619994564.4363816</v>
      </c>
      <c r="EC27" s="29">
        <f t="shared" si="46"/>
        <v>106903226.92526935</v>
      </c>
      <c r="ED27" s="29">
        <f t="shared" si="47"/>
        <v>26787304.149811223</v>
      </c>
      <c r="EE27" s="29">
        <f t="shared" si="48"/>
        <v>13205614.353596831</v>
      </c>
      <c r="EF27" s="29">
        <f t="shared" si="49"/>
        <v>6979258.5066945767</v>
      </c>
      <c r="EG27" s="29">
        <f t="shared" si="50"/>
        <v>2220</v>
      </c>
      <c r="EH27" s="29">
        <f t="shared" si="51"/>
        <v>315061</v>
      </c>
      <c r="EI27" s="29">
        <f t="shared" si="52"/>
        <v>135390</v>
      </c>
      <c r="EJ27" s="29">
        <f t="shared" si="53"/>
        <v>10830066</v>
      </c>
      <c r="EK27" s="29">
        <f t="shared" si="54"/>
        <v>10965456</v>
      </c>
      <c r="EL27" s="29">
        <f>IF(CD27=1,VLOOKUP(EA27,'EIA 2023'!$A$2:$J$213,4,0)*EH27,"")</f>
        <v>25173373.900000002</v>
      </c>
      <c r="EM27" s="29">
        <f>IF(CD27=1,VLOOKUP(EA27,'EIA 2023'!$A$2:$J$213,7,0)*EH27,"")</f>
        <v>319471.85399999999</v>
      </c>
      <c r="EN27" s="29">
        <f>IF(CD27=1,VLOOKUP(EA27,'EIA 2023'!$A$2:$J$213,10,0),"")</f>
        <v>129694</v>
      </c>
      <c r="EO27" s="28">
        <f>IF(CD27=1,VLOOKUP(EA27,'EIA 2023'!$A$2:$Z$213,26,0),"")</f>
        <v>0</v>
      </c>
      <c r="EP27" s="23">
        <f t="shared" si="55"/>
        <v>1.2346955749035882E-2</v>
      </c>
      <c r="EQ27" s="32">
        <f t="shared" si="56"/>
        <v>0</v>
      </c>
      <c r="ER27" s="32">
        <f t="shared" si="57"/>
        <v>135390</v>
      </c>
      <c r="ES27" s="32"/>
      <c r="ET27" s="32"/>
    </row>
    <row r="28" spans="1:150" ht="15.75" customHeight="1">
      <c r="A28" s="7" t="s">
        <v>285</v>
      </c>
      <c r="B28" s="7" t="s">
        <v>286</v>
      </c>
      <c r="C28" s="32" t="s">
        <v>1113</v>
      </c>
      <c r="D28" s="42">
        <v>0</v>
      </c>
      <c r="E28" s="42">
        <v>0</v>
      </c>
      <c r="F28" s="42">
        <v>0</v>
      </c>
      <c r="G28" s="42">
        <v>154826154</v>
      </c>
      <c r="H28" s="42">
        <v>154827915</v>
      </c>
      <c r="I28" s="42">
        <v>316512</v>
      </c>
      <c r="J28" s="42">
        <v>219052</v>
      </c>
      <c r="K28" s="42">
        <v>0</v>
      </c>
      <c r="L28" s="42">
        <v>86754</v>
      </c>
      <c r="M28" s="42">
        <v>713941</v>
      </c>
      <c r="N28" s="42">
        <v>0</v>
      </c>
      <c r="O28" s="42">
        <v>1330663</v>
      </c>
      <c r="P28" s="42">
        <v>46780</v>
      </c>
      <c r="Q28" s="42">
        <v>197280</v>
      </c>
      <c r="R28" s="42">
        <v>0</v>
      </c>
      <c r="S28" s="42">
        <v>934253</v>
      </c>
      <c r="T28" s="42">
        <v>30327901</v>
      </c>
      <c r="U28" s="42">
        <v>353614</v>
      </c>
      <c r="V28" s="42">
        <v>23394</v>
      </c>
      <c r="W28" s="42">
        <v>579506</v>
      </c>
      <c r="X28" s="42">
        <f>IFERROR(VLOOKUP(A28,'Trans 21-23'!$A$2:$J$229,10,0),0)</f>
        <v>95367</v>
      </c>
      <c r="Y28" s="42">
        <v>73270</v>
      </c>
      <c r="Z28" s="42">
        <v>692902</v>
      </c>
      <c r="AA28" s="42">
        <v>2851514</v>
      </c>
      <c r="AB28" s="42">
        <v>17251412</v>
      </c>
      <c r="AC28" s="42">
        <v>18292</v>
      </c>
      <c r="AD28" s="42">
        <v>8380501</v>
      </c>
      <c r="AE28" s="42">
        <v>0</v>
      </c>
      <c r="AF28" s="42">
        <v>222649945</v>
      </c>
      <c r="AG28" s="42">
        <v>171046</v>
      </c>
      <c r="AH28" s="42">
        <v>4350</v>
      </c>
      <c r="AI28" s="42">
        <v>1617521</v>
      </c>
      <c r="AJ28" s="42">
        <v>1822</v>
      </c>
      <c r="AK28" s="42">
        <v>2837645</v>
      </c>
      <c r="AL28" s="42">
        <v>1558620</v>
      </c>
      <c r="AM28" s="42">
        <v>643645</v>
      </c>
      <c r="AN28" s="42">
        <v>2225267</v>
      </c>
      <c r="AO28" s="42">
        <v>3240</v>
      </c>
      <c r="AP28" s="42">
        <v>0</v>
      </c>
      <c r="AQ28" s="42">
        <v>4430772</v>
      </c>
      <c r="AR28" s="42">
        <v>18222</v>
      </c>
      <c r="AS28" s="42">
        <v>4448994</v>
      </c>
      <c r="AT28" s="42">
        <v>0</v>
      </c>
      <c r="AU28" s="42">
        <v>900</v>
      </c>
      <c r="AV28" s="42">
        <v>0</v>
      </c>
      <c r="AW28" s="42">
        <v>250682215</v>
      </c>
      <c r="AX28" s="42">
        <v>8070529</v>
      </c>
      <c r="AY28" s="42">
        <v>90858196</v>
      </c>
      <c r="AZ28" s="42">
        <v>47956532</v>
      </c>
      <c r="BA28" s="42">
        <v>8127891</v>
      </c>
      <c r="BB28" s="42">
        <v>846446773</v>
      </c>
      <c r="BC28" s="42">
        <v>928110837</v>
      </c>
      <c r="BD28" s="42">
        <v>31069687</v>
      </c>
      <c r="BE28" s="42">
        <v>222394838</v>
      </c>
      <c r="BF28" s="42">
        <v>23303880</v>
      </c>
      <c r="BG28" s="42">
        <v>0</v>
      </c>
      <c r="BH28" s="42">
        <v>6798373</v>
      </c>
      <c r="BI28" s="42">
        <v>338285</v>
      </c>
      <c r="BJ28" s="42">
        <v>74027</v>
      </c>
      <c r="BK28" s="42">
        <v>0</v>
      </c>
      <c r="BL28" s="42">
        <v>0</v>
      </c>
      <c r="BM28" s="42">
        <v>176056</v>
      </c>
      <c r="BN28" s="42">
        <v>7410143</v>
      </c>
      <c r="BO28" s="42">
        <v>0</v>
      </c>
      <c r="BP28" s="42">
        <v>1321081</v>
      </c>
      <c r="BQ28" s="42">
        <v>18363531</v>
      </c>
      <c r="BR28" s="42">
        <v>0</v>
      </c>
      <c r="BS28" s="42">
        <f>IFERROR(VLOOKUP(A28,'Trans 21-23'!$A$2:$J$229,9,0),0)</f>
        <v>9391725</v>
      </c>
      <c r="BT28" s="67"/>
      <c r="BU28" s="32">
        <f t="shared" si="0"/>
        <v>846446773</v>
      </c>
      <c r="BV28" s="32">
        <f t="shared" si="1"/>
        <v>900</v>
      </c>
      <c r="BW28" s="32">
        <f t="shared" si="2"/>
        <v>171046</v>
      </c>
      <c r="BX28" s="32">
        <f t="shared" si="3"/>
        <v>35129650</v>
      </c>
      <c r="BY28" s="32">
        <f t="shared" si="4"/>
        <v>20887390</v>
      </c>
      <c r="BZ28" s="32">
        <f t="shared" si="5"/>
        <v>47956532</v>
      </c>
      <c r="CA28" s="32">
        <f t="shared" si="6"/>
        <v>8380501</v>
      </c>
      <c r="CB28" s="32">
        <f t="shared" si="7"/>
        <v>4350</v>
      </c>
      <c r="CC28" s="32">
        <f t="shared" si="8"/>
        <v>4430772</v>
      </c>
      <c r="CD28" s="41">
        <f t="shared" si="9"/>
        <v>1</v>
      </c>
      <c r="CE28" s="44">
        <f t="shared" si="10"/>
        <v>15</v>
      </c>
      <c r="CF28" s="27"/>
      <c r="CG28" s="28">
        <f t="shared" si="11"/>
        <v>940.49641444444444</v>
      </c>
      <c r="CH28" s="28">
        <f t="shared" si="12"/>
        <v>5.2617424552459573</v>
      </c>
      <c r="CI28" s="28">
        <f t="shared" si="13"/>
        <v>205.38130093659015</v>
      </c>
      <c r="CJ28" s="28">
        <f t="shared" si="14"/>
        <v>280.37213381195704</v>
      </c>
      <c r="CK28" s="23">
        <f t="shared" si="15"/>
        <v>9.8177021972694592E-4</v>
      </c>
      <c r="CL28" s="29" t="str">
        <f t="shared" si="16"/>
        <v/>
      </c>
      <c r="CM28" s="29" t="str">
        <f t="shared" si="17"/>
        <v/>
      </c>
      <c r="CN28" s="29" t="str">
        <f t="shared" si="18"/>
        <v/>
      </c>
      <c r="CO28" s="29" t="str">
        <f t="shared" si="19"/>
        <v/>
      </c>
      <c r="CP28" s="29" t="str">
        <f t="shared" si="20"/>
        <v/>
      </c>
      <c r="CQ28" s="29">
        <f t="shared" si="21"/>
        <v>0</v>
      </c>
      <c r="CR28" s="13"/>
      <c r="CS28" s="7">
        <f>VLOOKUP(A28,'Empresas 21-23'!$A$2:$M$228,13,0)</f>
        <v>1</v>
      </c>
      <c r="CT28" s="30"/>
      <c r="CU28" s="6">
        <f t="shared" si="22"/>
        <v>740396840</v>
      </c>
      <c r="CV28" s="6">
        <f t="shared" si="23"/>
        <v>47956532</v>
      </c>
      <c r="CW28" s="6">
        <f t="shared" si="24"/>
        <v>31069687</v>
      </c>
      <c r="CX28" s="23">
        <f t="shared" si="58"/>
        <v>0.82537667307681484</v>
      </c>
      <c r="CY28" s="23">
        <f t="shared" si="59"/>
        <v>5.3460793855443535E-2</v>
      </c>
      <c r="CZ28" s="6">
        <f t="shared" si="27"/>
        <v>766041034.88959801</v>
      </c>
      <c r="DA28" s="6">
        <f t="shared" si="28"/>
        <v>49617542.131860152</v>
      </c>
      <c r="DB28" s="6">
        <f t="shared" si="29"/>
        <v>35129650</v>
      </c>
      <c r="DC28" s="6">
        <f t="shared" si="30"/>
        <v>35225017</v>
      </c>
      <c r="DD28" s="6">
        <f t="shared" si="31"/>
        <v>20887390</v>
      </c>
      <c r="DE28" s="6">
        <f t="shared" si="32"/>
        <v>8380501</v>
      </c>
      <c r="DF28" s="6">
        <f t="shared" si="33"/>
        <v>7911137.0600158516</v>
      </c>
      <c r="DG28" s="30"/>
      <c r="DH28" s="32">
        <f>VLOOKUP(A28,'T_med_comp-USA'!$A$7:$Q$233,17,0)</f>
        <v>9.3301527217448079</v>
      </c>
      <c r="DI28" s="6" t="str">
        <f t="shared" si="34"/>
        <v>9_2014</v>
      </c>
      <c r="DJ28" s="32">
        <f>IF(DI28="","",VLOOKUP(DI28,'CPI USA'!$T:$U,2,FALSE))</f>
        <v>238.03100000000001</v>
      </c>
      <c r="DK28" s="32">
        <f>IF(DI28="","",VLOOKUP(DI28,'PPI USA'!$S:$T,2,FALSE))</f>
        <v>187.8</v>
      </c>
      <c r="DL28" s="32">
        <f>IF(DI28="","",VLOOKUP(DI28,'CPI USA'!$T:$V,3,FALSE))</f>
        <v>0.66756601812039096</v>
      </c>
      <c r="DM28" s="32">
        <f>IF(DI28="","",VLOOKUP(DI28,'CPI USA'!$T:$X,5,FALSE))</f>
        <v>0.49542529667095003</v>
      </c>
      <c r="DN28" s="32">
        <f t="shared" si="35"/>
        <v>1.3337530552252315</v>
      </c>
      <c r="DO28" s="32">
        <f t="shared" si="36"/>
        <v>1.3409310393170211</v>
      </c>
      <c r="DP28" s="32">
        <f t="shared" si="37"/>
        <v>0.2</v>
      </c>
      <c r="DQ28" s="32">
        <f>IF(DP28="","",DP28*$DO$1/'CPI USA'!$U$532+(1-DP28)*AVERAGE($DO$1,$DQ$1)/AVERAGE('CPI USA'!$U$532,'PPI USA'!$T$538))</f>
        <v>1.0426818386380585</v>
      </c>
      <c r="DR28" s="6">
        <f t="shared" si="38"/>
        <v>412312</v>
      </c>
      <c r="DS28" s="32">
        <f t="shared" si="39"/>
        <v>0.2</v>
      </c>
      <c r="DT28" s="28">
        <f>IF(DS28="","",DS28*$DO$1/'CPI USA'!$U$532+(1-DS28)*AVERAGE($DO$1,$DQ$1)/AVERAGE('CPI USA'!$U$532,'PPI USA'!$T$538))</f>
        <v>1.0426818386380585</v>
      </c>
      <c r="DU28" s="6">
        <f t="shared" si="40"/>
        <v>176056</v>
      </c>
      <c r="DV28" s="6">
        <f t="shared" si="41"/>
        <v>13647.347449222383</v>
      </c>
      <c r="DW28" s="6">
        <f t="shared" si="42"/>
        <v>184597.1234160928</v>
      </c>
      <c r="DX28" s="16">
        <f t="shared" si="43"/>
        <v>0.2</v>
      </c>
      <c r="DY28" s="28">
        <f>IF(DX28="","",DX28*$DO$1/'CPI USA'!$U$532+(1-DX28)*AVERAGE($DO$1,$DQ$1)/AVERAGE('CPI USA'!$U$532,'PPI USA'!$T$538))</f>
        <v>1.0426818386380585</v>
      </c>
      <c r="DZ28" s="30"/>
      <c r="EA28" s="29" t="str">
        <f t="shared" si="44"/>
        <v>C000316</v>
      </c>
      <c r="EB28" s="29">
        <f t="shared" si="45"/>
        <v>1021709570.7118995</v>
      </c>
      <c r="EC28" s="29">
        <f t="shared" si="46"/>
        <v>66533702.339231312</v>
      </c>
      <c r="ED28" s="29">
        <f t="shared" si="47"/>
        <v>36728485.491616867</v>
      </c>
      <c r="EE28" s="29">
        <f t="shared" si="48"/>
        <v>21778902.209550198</v>
      </c>
      <c r="EF28" s="29">
        <f t="shared" si="49"/>
        <v>8248798.9354550131</v>
      </c>
      <c r="EG28" s="29">
        <f t="shared" si="50"/>
        <v>900</v>
      </c>
      <c r="EH28" s="29">
        <f t="shared" si="51"/>
        <v>171046</v>
      </c>
      <c r="EI28" s="29">
        <f t="shared" si="52"/>
        <v>4350</v>
      </c>
      <c r="EJ28" s="29">
        <f t="shared" si="53"/>
        <v>4430772</v>
      </c>
      <c r="EK28" s="29">
        <f t="shared" si="54"/>
        <v>4434844.507614213</v>
      </c>
      <c r="EL28" s="29">
        <f>IF(CD28=1,VLOOKUP(EA28,'EIA 2023'!$A$2:$J$213,4,0)*EH28,"")</f>
        <v>20275792.84</v>
      </c>
      <c r="EM28" s="29">
        <f>IF(CD28=1,VLOOKUP(EA28,'EIA 2023'!$A$2:$J$213,7,0)*EH28,"")</f>
        <v>258108.41399999999</v>
      </c>
      <c r="EN28" s="29">
        <f>IF(CD28=1,VLOOKUP(EA28,'EIA 2023'!$A$2:$J$213,10,0),"")</f>
        <v>174221</v>
      </c>
      <c r="EO28" s="28">
        <f>IF(CD28=1,VLOOKUP(EA28,'EIA 2023'!$A$2:$Z$213,26,0),"")</f>
        <v>0</v>
      </c>
      <c r="EP28" s="23">
        <f t="shared" si="55"/>
        <v>9.1829772322819521E-4</v>
      </c>
      <c r="EQ28" s="32">
        <f t="shared" si="56"/>
        <v>277.49238578680161</v>
      </c>
      <c r="ER28" s="32">
        <f t="shared" si="57"/>
        <v>4072.5076142131984</v>
      </c>
      <c r="ES28" s="32"/>
      <c r="ET28" s="32"/>
    </row>
    <row r="29" spans="1:150" ht="15.75" customHeight="1">
      <c r="A29" s="7" t="s">
        <v>288</v>
      </c>
      <c r="B29" s="7" t="s">
        <v>289</v>
      </c>
      <c r="C29" s="32" t="s">
        <v>1114</v>
      </c>
      <c r="D29" s="42">
        <v>0</v>
      </c>
      <c r="E29" s="42">
        <v>0</v>
      </c>
      <c r="F29" s="42">
        <v>0</v>
      </c>
      <c r="G29" s="42">
        <v>433066668</v>
      </c>
      <c r="H29" s="42">
        <v>433068559</v>
      </c>
      <c r="I29" s="42">
        <v>1356319</v>
      </c>
      <c r="J29" s="42">
        <v>936306</v>
      </c>
      <c r="K29" s="42">
        <v>460959</v>
      </c>
      <c r="L29" s="42">
        <v>251920</v>
      </c>
      <c r="M29" s="42">
        <v>1332392</v>
      </c>
      <c r="N29" s="42">
        <v>0</v>
      </c>
      <c r="O29" s="42">
        <v>14411069</v>
      </c>
      <c r="P29" s="42">
        <v>2419414</v>
      </c>
      <c r="Q29" s="42">
        <v>884076</v>
      </c>
      <c r="R29" s="42">
        <v>0</v>
      </c>
      <c r="S29" s="42">
        <v>6958155</v>
      </c>
      <c r="T29" s="42">
        <v>55357519</v>
      </c>
      <c r="U29" s="42">
        <v>1297582</v>
      </c>
      <c r="V29" s="42">
        <v>159307</v>
      </c>
      <c r="W29" s="42">
        <v>532595</v>
      </c>
      <c r="X29" s="42">
        <f>IFERROR(VLOOKUP(A29,'Trans 21-23'!$A$2:$J$229,10,0),0)</f>
        <v>104506</v>
      </c>
      <c r="Y29" s="42">
        <v>1122080</v>
      </c>
      <c r="Z29" s="42">
        <v>2959995</v>
      </c>
      <c r="AA29" s="42">
        <v>14873729</v>
      </c>
      <c r="AB29" s="42">
        <v>61412978</v>
      </c>
      <c r="AC29" s="42">
        <v>70408</v>
      </c>
      <c r="AD29" s="42">
        <v>46084402</v>
      </c>
      <c r="AE29" s="42">
        <v>0</v>
      </c>
      <c r="AF29" s="42">
        <v>695820299</v>
      </c>
      <c r="AG29" s="42">
        <v>588213</v>
      </c>
      <c r="AH29" s="42">
        <v>219215</v>
      </c>
      <c r="AI29" s="42">
        <v>4904584</v>
      </c>
      <c r="AJ29" s="42">
        <v>5030</v>
      </c>
      <c r="AK29" s="42">
        <v>8279496</v>
      </c>
      <c r="AL29" s="42">
        <v>4165417</v>
      </c>
      <c r="AM29" s="42">
        <v>2224603</v>
      </c>
      <c r="AN29" s="42">
        <v>6485207</v>
      </c>
      <c r="AO29" s="42">
        <v>32845</v>
      </c>
      <c r="AP29" s="42">
        <v>0</v>
      </c>
      <c r="AQ29" s="42">
        <v>12908072</v>
      </c>
      <c r="AR29" s="42">
        <v>51763</v>
      </c>
      <c r="AS29" s="42">
        <v>12959835</v>
      </c>
      <c r="AT29" s="42">
        <v>0</v>
      </c>
      <c r="AU29" s="42">
        <v>2763</v>
      </c>
      <c r="AV29" s="42">
        <v>0</v>
      </c>
      <c r="AW29" s="42">
        <v>1175489330</v>
      </c>
      <c r="AX29" s="42">
        <v>45754341</v>
      </c>
      <c r="AY29" s="42">
        <v>227303491</v>
      </c>
      <c r="AZ29" s="42">
        <v>136173156</v>
      </c>
      <c r="BA29" s="42">
        <v>42171386</v>
      </c>
      <c r="BB29" s="42">
        <v>3317585264</v>
      </c>
      <c r="BC29" s="42">
        <v>3653990680</v>
      </c>
      <c r="BD29" s="42">
        <v>203070443</v>
      </c>
      <c r="BE29" s="42">
        <v>969415487</v>
      </c>
      <c r="BF29" s="42">
        <v>74047129</v>
      </c>
      <c r="BG29" s="42">
        <v>0</v>
      </c>
      <c r="BH29" s="42">
        <v>31570868</v>
      </c>
      <c r="BI29" s="42">
        <v>971951</v>
      </c>
      <c r="BJ29" s="42">
        <v>173963</v>
      </c>
      <c r="BK29" s="42">
        <v>0</v>
      </c>
      <c r="BL29" s="42">
        <v>0</v>
      </c>
      <c r="BM29" s="42">
        <v>535794</v>
      </c>
      <c r="BN29" s="42">
        <v>33546981</v>
      </c>
      <c r="BO29" s="42">
        <v>0</v>
      </c>
      <c r="BP29" s="42">
        <v>8768286</v>
      </c>
      <c r="BQ29" s="42">
        <v>72496358</v>
      </c>
      <c r="BR29" s="42">
        <v>0</v>
      </c>
      <c r="BS29" s="42">
        <f>IFERROR(VLOOKUP(A29,'Trans 21-23'!$A$2:$J$229,9,0),0)</f>
        <v>10291796</v>
      </c>
      <c r="BT29" s="67"/>
      <c r="BU29" s="32">
        <f t="shared" si="0"/>
        <v>3317585264</v>
      </c>
      <c r="BV29" s="32">
        <f t="shared" si="1"/>
        <v>2763</v>
      </c>
      <c r="BW29" s="32">
        <f t="shared" si="2"/>
        <v>588213</v>
      </c>
      <c r="BX29" s="32">
        <f t="shared" si="3"/>
        <v>86357613</v>
      </c>
      <c r="BY29" s="32">
        <f t="shared" si="4"/>
        <v>80439190</v>
      </c>
      <c r="BZ29" s="32">
        <f t="shared" si="5"/>
        <v>136173156</v>
      </c>
      <c r="CA29" s="32">
        <f t="shared" si="6"/>
        <v>46084402</v>
      </c>
      <c r="CB29" s="32">
        <f t="shared" si="7"/>
        <v>219215</v>
      </c>
      <c r="CC29" s="32">
        <f t="shared" si="8"/>
        <v>12908072</v>
      </c>
      <c r="CD29" s="41">
        <f t="shared" si="9"/>
        <v>1</v>
      </c>
      <c r="CE29" s="44">
        <f t="shared" si="10"/>
        <v>14</v>
      </c>
      <c r="CF29" s="27"/>
      <c r="CG29" s="28">
        <f t="shared" si="11"/>
        <v>1200.7185175533839</v>
      </c>
      <c r="CH29" s="28">
        <f t="shared" si="12"/>
        <v>4.6972780268372167</v>
      </c>
      <c r="CI29" s="28">
        <f t="shared" si="13"/>
        <v>146.81350633188998</v>
      </c>
      <c r="CJ29" s="28">
        <f t="shared" si="14"/>
        <v>231.50313916897451</v>
      </c>
      <c r="CK29" s="23">
        <f t="shared" si="15"/>
        <v>1.6982784105945489E-2</v>
      </c>
      <c r="CL29" s="29" t="str">
        <f t="shared" si="16"/>
        <v/>
      </c>
      <c r="CM29" s="29" t="str">
        <f t="shared" si="17"/>
        <v/>
      </c>
      <c r="CN29" s="29" t="str">
        <f t="shared" si="18"/>
        <v/>
      </c>
      <c r="CO29" s="29" t="str">
        <f t="shared" si="19"/>
        <v/>
      </c>
      <c r="CP29" s="29" t="str">
        <f t="shared" si="20"/>
        <v/>
      </c>
      <c r="CQ29" s="29">
        <f t="shared" si="21"/>
        <v>0</v>
      </c>
      <c r="CR29" s="13"/>
      <c r="CS29" s="7">
        <f>VLOOKUP(A29,'Empresas 21-23'!$A$2:$M$228,13,0)</f>
        <v>1</v>
      </c>
      <c r="CT29" s="30"/>
      <c r="CU29" s="6">
        <f t="shared" si="22"/>
        <v>2985697818.8000002</v>
      </c>
      <c r="CV29" s="6">
        <f t="shared" si="23"/>
        <v>136173156</v>
      </c>
      <c r="CW29" s="6">
        <f t="shared" si="24"/>
        <v>203070443</v>
      </c>
      <c r="CX29" s="23">
        <f t="shared" si="58"/>
        <v>0.86518888115349979</v>
      </c>
      <c r="CY29" s="23">
        <f t="shared" si="59"/>
        <v>3.9459954634703427E-2</v>
      </c>
      <c r="CZ29" s="6">
        <f t="shared" si="27"/>
        <v>3161392108.1745157</v>
      </c>
      <c r="DA29" s="6">
        <f t="shared" si="28"/>
        <v>144186306.46842912</v>
      </c>
      <c r="DB29" s="6">
        <f t="shared" si="29"/>
        <v>86357613</v>
      </c>
      <c r="DC29" s="6">
        <f t="shared" si="30"/>
        <v>86462119</v>
      </c>
      <c r="DD29" s="6">
        <f t="shared" si="31"/>
        <v>80439190</v>
      </c>
      <c r="DE29" s="6">
        <f t="shared" si="32"/>
        <v>46084402</v>
      </c>
      <c r="DF29" s="6">
        <f t="shared" si="33"/>
        <v>35499337.783354394</v>
      </c>
      <c r="DG29" s="30"/>
      <c r="DH29" s="32">
        <f>VLOOKUP(A29,'T_med_comp-USA'!$A$7:$Q$233,17,0)</f>
        <v>13.492364913065993</v>
      </c>
      <c r="DI29" s="6" t="str">
        <f t="shared" si="34"/>
        <v>7_2010</v>
      </c>
      <c r="DJ29" s="32">
        <f>IF(DI29="","",VLOOKUP(DI29,'CPI USA'!$T:$U,2,FALSE))</f>
        <v>218.05600000000001</v>
      </c>
      <c r="DK29" s="32">
        <f>IF(DI29="","",VLOOKUP(DI29,'PPI USA'!$S:$T,2,FALSE))</f>
        <v>160.80000000000001</v>
      </c>
      <c r="DL29" s="32">
        <f>IF(DI29="","",VLOOKUP(DI29,'CPI USA'!$T:$V,3,FALSE))</f>
        <v>0.67050107279443949</v>
      </c>
      <c r="DM29" s="32">
        <f>IF(DI29="","",VLOOKUP(DI29,'CPI USA'!$T:$X,5,FALSE))</f>
        <v>0.4987389730136107</v>
      </c>
      <c r="DN29" s="32">
        <f t="shared" si="35"/>
        <v>1.4703278680244813</v>
      </c>
      <c r="DO29" s="32">
        <f t="shared" si="36"/>
        <v>1.4857204383544427</v>
      </c>
      <c r="DP29" s="32">
        <f t="shared" si="37"/>
        <v>0.36558291623924344</v>
      </c>
      <c r="DQ29" s="32">
        <f>IF(DP29="","",DP29*$DO$1/'CPI USA'!$U$532+(1-DP29)*AVERAGE($DO$1,$DQ$1)/AVERAGE('CPI USA'!$U$532,'PPI USA'!$T$538))</f>
        <v>1.0388603704007988</v>
      </c>
      <c r="DR29" s="6">
        <f t="shared" si="38"/>
        <v>1145914</v>
      </c>
      <c r="DS29" s="32">
        <f t="shared" si="39"/>
        <v>0.2</v>
      </c>
      <c r="DT29" s="28">
        <f>IF(DS29="","",DS29*$DO$1/'CPI USA'!$U$532+(1-DS29)*AVERAGE($DO$1,$DQ$1)/AVERAGE('CPI USA'!$U$532,'PPI USA'!$T$538))</f>
        <v>1.0426818386380585</v>
      </c>
      <c r="DU29" s="6">
        <f t="shared" si="40"/>
        <v>535794</v>
      </c>
      <c r="DV29" s="6">
        <f t="shared" si="41"/>
        <v>73719.396831650578</v>
      </c>
      <c r="DW29" s="6">
        <f t="shared" si="42"/>
        <v>594429.55329484341</v>
      </c>
      <c r="DX29" s="16">
        <f t="shared" si="43"/>
        <v>0.2</v>
      </c>
      <c r="DY29" s="28">
        <f>IF(DX29="","",DX29*$DO$1/'CPI USA'!$U$532+(1-DX29)*AVERAGE($DO$1,$DQ$1)/AVERAGE('CPI USA'!$U$532,'PPI USA'!$T$538))</f>
        <v>1.0426818386380585</v>
      </c>
      <c r="DZ29" s="30"/>
      <c r="EA29" s="29" t="str">
        <f t="shared" si="44"/>
        <v>C000317</v>
      </c>
      <c r="EB29" s="29">
        <f t="shared" si="45"/>
        <v>4648282918.4016562</v>
      </c>
      <c r="EC29" s="29">
        <f t="shared" si="46"/>
        <v>214220542.45098251</v>
      </c>
      <c r="ED29" s="29">
        <f t="shared" si="47"/>
        <v>89822068.969977945</v>
      </c>
      <c r="EE29" s="29">
        <f t="shared" si="48"/>
        <v>83872482.527756125</v>
      </c>
      <c r="EF29" s="29">
        <f t="shared" si="49"/>
        <v>37014514.790381461</v>
      </c>
      <c r="EG29" s="29">
        <f t="shared" si="50"/>
        <v>2763</v>
      </c>
      <c r="EH29" s="29">
        <f t="shared" si="51"/>
        <v>588213</v>
      </c>
      <c r="EI29" s="29">
        <f t="shared" si="52"/>
        <v>219215</v>
      </c>
      <c r="EJ29" s="29">
        <f t="shared" si="53"/>
        <v>12908072</v>
      </c>
      <c r="EK29" s="29">
        <f t="shared" si="54"/>
        <v>13126498.730964467</v>
      </c>
      <c r="EL29" s="29">
        <f>IF(CD29=1,VLOOKUP(EA29,'EIA 2023'!$A$2:$J$213,4,0)*EH29,"")</f>
        <v>135365457.69</v>
      </c>
      <c r="EM29" s="29">
        <f>IF(CD29=1,VLOOKUP(EA29,'EIA 2023'!$A$2:$J$213,7,0)*EH29,"")</f>
        <v>1204660.2239999999</v>
      </c>
      <c r="EN29" s="29">
        <f>IF(CD29=1,VLOOKUP(EA29,'EIA 2023'!$A$2:$J$213,10,0),"")</f>
        <v>21</v>
      </c>
      <c r="EO29" s="28">
        <f>IF(CD29=1,VLOOKUP(EA29,'EIA 2023'!$A$2:$Z$213,26,0),"")</f>
        <v>0</v>
      </c>
      <c r="EP29" s="23">
        <f t="shared" si="55"/>
        <v>1.6640136523931856E-2</v>
      </c>
      <c r="EQ29" s="32">
        <f t="shared" si="56"/>
        <v>788.2690355329978</v>
      </c>
      <c r="ER29" s="32">
        <f t="shared" si="57"/>
        <v>218426.73096446699</v>
      </c>
      <c r="ES29" s="32"/>
      <c r="ET29" s="32"/>
    </row>
    <row r="30" spans="1:150" ht="15.75" customHeight="1">
      <c r="A30" s="7" t="s">
        <v>291</v>
      </c>
      <c r="B30" s="7" t="s">
        <v>292</v>
      </c>
      <c r="C30" s="32" t="s">
        <v>1115</v>
      </c>
      <c r="D30" s="42">
        <v>0</v>
      </c>
      <c r="E30" s="42">
        <v>0</v>
      </c>
      <c r="F30" s="42">
        <v>0</v>
      </c>
      <c r="G30" s="42">
        <v>542448804</v>
      </c>
      <c r="H30" s="42">
        <v>542450787</v>
      </c>
      <c r="I30" s="42">
        <v>1549797</v>
      </c>
      <c r="J30" s="42">
        <v>745725</v>
      </c>
      <c r="K30" s="42">
        <v>237069</v>
      </c>
      <c r="L30" s="42">
        <v>482287</v>
      </c>
      <c r="M30" s="42">
        <v>1500</v>
      </c>
      <c r="N30" s="42">
        <v>0</v>
      </c>
      <c r="O30" s="42">
        <v>11197311</v>
      </c>
      <c r="P30" s="42">
        <v>531865</v>
      </c>
      <c r="Q30" s="42">
        <v>703346</v>
      </c>
      <c r="R30" s="42">
        <v>11</v>
      </c>
      <c r="S30" s="42">
        <v>5273000</v>
      </c>
      <c r="T30" s="42">
        <v>57799566</v>
      </c>
      <c r="U30" s="42">
        <v>2442814</v>
      </c>
      <c r="V30" s="42">
        <v>182335</v>
      </c>
      <c r="W30" s="42">
        <v>843848</v>
      </c>
      <c r="X30" s="42">
        <f>IFERROR(VLOOKUP(A30,'Trans 21-23'!$A$2:$J$229,10,0),0)</f>
        <v>196972</v>
      </c>
      <c r="Y30" s="42">
        <v>713506</v>
      </c>
      <c r="Z30" s="42">
        <v>1999583</v>
      </c>
      <c r="AA30" s="42">
        <v>12784950</v>
      </c>
      <c r="AB30" s="42">
        <v>54636234</v>
      </c>
      <c r="AC30" s="42">
        <v>63738</v>
      </c>
      <c r="AD30" s="42">
        <v>68231564</v>
      </c>
      <c r="AE30" s="42">
        <v>0</v>
      </c>
      <c r="AF30" s="42">
        <v>776739176</v>
      </c>
      <c r="AG30" s="42">
        <v>588329</v>
      </c>
      <c r="AH30" s="42">
        <v>222209</v>
      </c>
      <c r="AI30" s="42">
        <v>5913489</v>
      </c>
      <c r="AJ30" s="42">
        <v>7401</v>
      </c>
      <c r="AK30" s="42">
        <v>8063146</v>
      </c>
      <c r="AL30" s="42">
        <v>5490295</v>
      </c>
      <c r="AM30" s="42">
        <v>2000508</v>
      </c>
      <c r="AN30" s="42">
        <v>6159394</v>
      </c>
      <c r="AO30" s="42">
        <v>26180</v>
      </c>
      <c r="AP30" s="42">
        <v>0</v>
      </c>
      <c r="AQ30" s="42">
        <v>13676377</v>
      </c>
      <c r="AR30" s="42">
        <v>70648</v>
      </c>
      <c r="AS30" s="42">
        <v>13747025</v>
      </c>
      <c r="AT30" s="42">
        <v>0</v>
      </c>
      <c r="AU30" s="42">
        <v>2890</v>
      </c>
      <c r="AV30" s="42">
        <v>0</v>
      </c>
      <c r="AW30" s="42">
        <v>833911899</v>
      </c>
      <c r="AX30" s="42">
        <v>35313891</v>
      </c>
      <c r="AY30" s="42">
        <v>314842698</v>
      </c>
      <c r="AZ30" s="42">
        <v>136492530</v>
      </c>
      <c r="BA30" s="42">
        <v>18833223</v>
      </c>
      <c r="BB30" s="42">
        <v>2933566290</v>
      </c>
      <c r="BC30" s="42">
        <v>3294277322</v>
      </c>
      <c r="BD30" s="42">
        <v>214489047</v>
      </c>
      <c r="BE30" s="42">
        <v>826437581</v>
      </c>
      <c r="BF30" s="42">
        <v>73634572</v>
      </c>
      <c r="BG30" s="42">
        <v>0</v>
      </c>
      <c r="BH30" s="42">
        <v>30440886</v>
      </c>
      <c r="BI30" s="42">
        <v>1181751</v>
      </c>
      <c r="BJ30" s="42">
        <v>696840</v>
      </c>
      <c r="BK30" s="42">
        <v>0</v>
      </c>
      <c r="BL30" s="42">
        <v>0</v>
      </c>
      <c r="BM30" s="42">
        <v>544726</v>
      </c>
      <c r="BN30" s="42">
        <v>33159092</v>
      </c>
      <c r="BO30" s="42">
        <v>0</v>
      </c>
      <c r="BP30" s="42">
        <v>6920294</v>
      </c>
      <c r="BQ30" s="42">
        <v>70512911</v>
      </c>
      <c r="BR30" s="42">
        <v>0</v>
      </c>
      <c r="BS30" s="42">
        <f>IFERROR(VLOOKUP(A30,'Trans 21-23'!$A$2:$J$229,9,0),0)</f>
        <v>19397798</v>
      </c>
      <c r="BT30" s="67"/>
      <c r="BU30" s="32">
        <f t="shared" si="0"/>
        <v>2933566290</v>
      </c>
      <c r="BV30" s="32">
        <f t="shared" si="1"/>
        <v>2890</v>
      </c>
      <c r="BW30" s="32">
        <f t="shared" si="2"/>
        <v>588329</v>
      </c>
      <c r="BX30" s="32">
        <f t="shared" si="3"/>
        <v>81990474</v>
      </c>
      <c r="BY30" s="32">
        <f t="shared" si="4"/>
        <v>70198011</v>
      </c>
      <c r="BZ30" s="32">
        <f t="shared" si="5"/>
        <v>136492530</v>
      </c>
      <c r="CA30" s="32">
        <f t="shared" si="6"/>
        <v>68231564</v>
      </c>
      <c r="CB30" s="32">
        <f t="shared" si="7"/>
        <v>222209</v>
      </c>
      <c r="CC30" s="32">
        <f t="shared" si="8"/>
        <v>13676377</v>
      </c>
      <c r="CD30" s="41">
        <f t="shared" si="9"/>
        <v>1</v>
      </c>
      <c r="CE30" s="44">
        <f t="shared" si="10"/>
        <v>13</v>
      </c>
      <c r="CF30" s="27"/>
      <c r="CG30" s="28">
        <f t="shared" si="11"/>
        <v>1015.0748408304498</v>
      </c>
      <c r="CH30" s="28">
        <f t="shared" si="12"/>
        <v>4.912217483754838</v>
      </c>
      <c r="CI30" s="28">
        <f t="shared" si="13"/>
        <v>139.36160549624444</v>
      </c>
      <c r="CJ30" s="28">
        <f t="shared" si="14"/>
        <v>232.00034334530508</v>
      </c>
      <c r="CK30" s="23">
        <f t="shared" si="15"/>
        <v>1.6247650967796515E-2</v>
      </c>
      <c r="CL30" s="29" t="str">
        <f t="shared" si="16"/>
        <v/>
      </c>
      <c r="CM30" s="29" t="str">
        <f t="shared" si="17"/>
        <v/>
      </c>
      <c r="CN30" s="29" t="str">
        <f t="shared" si="18"/>
        <v/>
      </c>
      <c r="CO30" s="29" t="str">
        <f t="shared" si="19"/>
        <v/>
      </c>
      <c r="CP30" s="29" t="str">
        <f t="shared" si="20"/>
        <v/>
      </c>
      <c r="CQ30" s="29">
        <f t="shared" si="21"/>
        <v>0</v>
      </c>
      <c r="CR30" s="13"/>
      <c r="CS30" s="7">
        <f>VLOOKUP(A30,'Empresas 21-23'!$A$2:$M$228,13,0)</f>
        <v>1</v>
      </c>
      <c r="CT30" s="30"/>
      <c r="CU30" s="6">
        <f t="shared" si="22"/>
        <v>2587544381.5999999</v>
      </c>
      <c r="CV30" s="6">
        <f t="shared" si="23"/>
        <v>136492530</v>
      </c>
      <c r="CW30" s="6">
        <f t="shared" si="24"/>
        <v>214489047</v>
      </c>
      <c r="CX30" s="23">
        <f t="shared" si="58"/>
        <v>0.84016956704596846</v>
      </c>
      <c r="CY30" s="23">
        <f t="shared" si="59"/>
        <v>4.4318803051485736E-2</v>
      </c>
      <c r="CZ30" s="6">
        <f t="shared" si="27"/>
        <v>2767751551.3540921</v>
      </c>
      <c r="DA30" s="6">
        <f t="shared" si="28"/>
        <v>145998427.83069387</v>
      </c>
      <c r="DB30" s="6">
        <f t="shared" si="29"/>
        <v>81990474</v>
      </c>
      <c r="DC30" s="6">
        <f t="shared" si="30"/>
        <v>82187446</v>
      </c>
      <c r="DD30" s="6">
        <f t="shared" si="31"/>
        <v>70198011</v>
      </c>
      <c r="DE30" s="6">
        <f t="shared" si="32"/>
        <v>68231564</v>
      </c>
      <c r="DF30" s="6">
        <f t="shared" si="33"/>
        <v>62614096.481519192</v>
      </c>
      <c r="DG30" s="30"/>
      <c r="DH30" s="32">
        <f>VLOOKUP(A30,'T_med_comp-USA'!$A$7:$Q$233,17,0)</f>
        <v>11.435554261282661</v>
      </c>
      <c r="DI30" s="6" t="str">
        <f t="shared" si="34"/>
        <v>7_2012</v>
      </c>
      <c r="DJ30" s="32">
        <f>IF(DI30="","",VLOOKUP(DI30,'CPI USA'!$T:$U,2,FALSE))</f>
        <v>229.59399999999999</v>
      </c>
      <c r="DK30" s="32">
        <f>IF(DI30="","",VLOOKUP(DI30,'PPI USA'!$S:$T,2,FALSE))</f>
        <v>175.1</v>
      </c>
      <c r="DL30" s="32">
        <f>IF(DI30="","",VLOOKUP(DI30,'CPI USA'!$T:$V,3,FALSE))</f>
        <v>0.66730871354337351</v>
      </c>
      <c r="DM30" s="32">
        <f>IF(DI30="","",VLOOKUP(DI30,'CPI USA'!$T:$X,5,FALSE))</f>
        <v>0.49513551903851311</v>
      </c>
      <c r="DN30" s="32">
        <f t="shared" si="35"/>
        <v>1.3897894616766442</v>
      </c>
      <c r="DO30" s="32">
        <f t="shared" si="36"/>
        <v>1.4008620811189902</v>
      </c>
      <c r="DP30" s="32">
        <f t="shared" si="37"/>
        <v>0.37127344818130947</v>
      </c>
      <c r="DQ30" s="32">
        <f>IF(DP30="","",DP30*$DO$1/'CPI USA'!$U$532+(1-DP30)*AVERAGE($DO$1,$DQ$1)/AVERAGE('CPI USA'!$U$532,'PPI USA'!$T$538))</f>
        <v>1.0387290392975448</v>
      </c>
      <c r="DR30" s="6">
        <f t="shared" si="38"/>
        <v>1878591</v>
      </c>
      <c r="DS30" s="32">
        <f t="shared" si="39"/>
        <v>0.2</v>
      </c>
      <c r="DT30" s="28">
        <f>IF(DS30="","",DS30*$DO$1/'CPI USA'!$U$532+(1-DS30)*AVERAGE($DO$1,$DQ$1)/AVERAGE('CPI USA'!$U$532,'PPI USA'!$T$538))</f>
        <v>1.0426818386380585</v>
      </c>
      <c r="DU30" s="6">
        <f t="shared" si="40"/>
        <v>544726</v>
      </c>
      <c r="DV30" s="6">
        <f t="shared" si="41"/>
        <v>59278.328951991389</v>
      </c>
      <c r="DW30" s="6">
        <f t="shared" si="42"/>
        <v>588710.451343611</v>
      </c>
      <c r="DX30" s="16">
        <f t="shared" si="43"/>
        <v>0.2</v>
      </c>
      <c r="DY30" s="28">
        <f>IF(DX30="","",DX30*$DO$1/'CPI USA'!$U$532+(1-DX30)*AVERAGE($DO$1,$DQ$1)/AVERAGE('CPI USA'!$U$532,'PPI USA'!$T$538))</f>
        <v>1.0426818386380585</v>
      </c>
      <c r="DZ30" s="30"/>
      <c r="EA30" s="29" t="str">
        <f t="shared" si="44"/>
        <v>C000318</v>
      </c>
      <c r="EB30" s="29">
        <f t="shared" si="45"/>
        <v>3846591938.6111007</v>
      </c>
      <c r="EC30" s="29">
        <f t="shared" si="46"/>
        <v>204523661.45100653</v>
      </c>
      <c r="ED30" s="29">
        <f t="shared" si="47"/>
        <v>85370486.825898841</v>
      </c>
      <c r="EE30" s="29">
        <f t="shared" si="48"/>
        <v>73194191.178214654</v>
      </c>
      <c r="EF30" s="29">
        <f t="shared" si="49"/>
        <v>65286581.244011223</v>
      </c>
      <c r="EG30" s="29">
        <f t="shared" si="50"/>
        <v>2890</v>
      </c>
      <c r="EH30" s="29">
        <f t="shared" si="51"/>
        <v>588329</v>
      </c>
      <c r="EI30" s="29">
        <f t="shared" si="52"/>
        <v>222209</v>
      </c>
      <c r="EJ30" s="29">
        <f t="shared" si="53"/>
        <v>13676377</v>
      </c>
      <c r="EK30" s="29">
        <f t="shared" si="54"/>
        <v>13897510.142131981</v>
      </c>
      <c r="EL30" s="29">
        <f>IF(CD30=1,VLOOKUP(EA30,'EIA 2023'!$A$2:$J$213,4,0)*EH30,"")</f>
        <v>122907811.39</v>
      </c>
      <c r="EM30" s="29">
        <f>IF(CD30=1,VLOOKUP(EA30,'EIA 2023'!$A$2:$J$213,7,0)*EH30,"")</f>
        <v>857783.68200000003</v>
      </c>
      <c r="EN30" s="29">
        <f>IF(CD30=1,VLOOKUP(EA30,'EIA 2023'!$A$2:$J$213,10,0),"")</f>
        <v>597204</v>
      </c>
      <c r="EO30" s="28">
        <f>IF(CD30=1,VLOOKUP(EA30,'EIA 2023'!$A$2:$Z$213,26,0),"")</f>
        <v>0</v>
      </c>
      <c r="EP30" s="23">
        <f t="shared" si="55"/>
        <v>1.5911709354439533E-2</v>
      </c>
      <c r="EQ30" s="32">
        <f t="shared" si="56"/>
        <v>1075.8578680203063</v>
      </c>
      <c r="ER30" s="32">
        <f t="shared" si="57"/>
        <v>221133.14213197969</v>
      </c>
      <c r="ES30" s="32"/>
      <c r="ET30" s="32"/>
    </row>
    <row r="31" spans="1:150" ht="15.75" customHeight="1">
      <c r="A31" s="7" t="s">
        <v>294</v>
      </c>
      <c r="B31" s="7" t="s">
        <v>295</v>
      </c>
      <c r="C31" s="32" t="s">
        <v>1116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f>IFERROR(VLOOKUP(A31,'Trans 21-23'!$A$2:$J$229,10,0),0)</f>
        <v>10261849</v>
      </c>
      <c r="Y31" s="42">
        <v>0</v>
      </c>
      <c r="Z31" s="42">
        <v>0</v>
      </c>
      <c r="AA31" s="42">
        <v>480</v>
      </c>
      <c r="AB31" s="42">
        <v>0</v>
      </c>
      <c r="AC31" s="42">
        <v>0</v>
      </c>
      <c r="AD31" s="42">
        <v>79875218</v>
      </c>
      <c r="AE31" s="42">
        <v>0</v>
      </c>
      <c r="AF31" s="42">
        <v>206026168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11108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6777511867</v>
      </c>
      <c r="BD31" s="42">
        <v>267386920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f>IFERROR(VLOOKUP(A31,'Trans 21-23'!$A$2:$J$229,9,0),0)</f>
        <v>1010586841</v>
      </c>
      <c r="BT31" s="67"/>
      <c r="BU31" s="32">
        <f t="shared" si="0"/>
        <v>0</v>
      </c>
      <c r="BV31" s="32">
        <f t="shared" si="1"/>
        <v>11108</v>
      </c>
      <c r="BW31" s="32">
        <f t="shared" si="2"/>
        <v>0</v>
      </c>
      <c r="BX31" s="32">
        <f t="shared" si="3"/>
        <v>0</v>
      </c>
      <c r="BY31" s="32">
        <f t="shared" si="4"/>
        <v>480</v>
      </c>
      <c r="BZ31" s="32">
        <f t="shared" si="5"/>
        <v>0</v>
      </c>
      <c r="CA31" s="32">
        <f t="shared" si="6"/>
        <v>79875218</v>
      </c>
      <c r="CB31" s="32">
        <f t="shared" si="7"/>
        <v>0</v>
      </c>
      <c r="CC31" s="32">
        <f t="shared" si="8"/>
        <v>0</v>
      </c>
      <c r="CD31" s="41">
        <f t="shared" si="9"/>
        <v>0</v>
      </c>
      <c r="CE31" s="44">
        <f t="shared" si="10"/>
        <v>60</v>
      </c>
      <c r="CF31" s="27"/>
      <c r="CG31" s="28" t="str">
        <f t="shared" si="11"/>
        <v/>
      </c>
      <c r="CH31" s="28" t="str">
        <f t="shared" si="12"/>
        <v/>
      </c>
      <c r="CI31" s="28" t="str">
        <f t="shared" si="13"/>
        <v/>
      </c>
      <c r="CJ31" s="28" t="str">
        <f t="shared" si="14"/>
        <v/>
      </c>
      <c r="CK31" s="23" t="str">
        <f t="shared" si="15"/>
        <v/>
      </c>
      <c r="CL31" s="29" t="str">
        <f t="shared" si="16"/>
        <v/>
      </c>
      <c r="CM31" s="29" t="str">
        <f t="shared" si="17"/>
        <v/>
      </c>
      <c r="CN31" s="29" t="str">
        <f t="shared" si="18"/>
        <v/>
      </c>
      <c r="CO31" s="29" t="str">
        <f t="shared" si="19"/>
        <v/>
      </c>
      <c r="CP31" s="29" t="str">
        <f t="shared" si="20"/>
        <v/>
      </c>
      <c r="CQ31" s="29" t="str">
        <f t="shared" si="21"/>
        <v/>
      </c>
      <c r="CR31" s="13"/>
      <c r="CS31" s="7" t="str">
        <f>VLOOKUP(A31,'Empresas 21-23'!$A$2:$M$228,13,0)</f>
        <v/>
      </c>
      <c r="CT31" s="30"/>
      <c r="CU31" s="6">
        <f t="shared" si="22"/>
        <v>1010586841</v>
      </c>
      <c r="CV31" s="6">
        <f t="shared" si="23"/>
        <v>0</v>
      </c>
      <c r="CW31" s="6">
        <f t="shared" si="24"/>
        <v>267386920</v>
      </c>
      <c r="CX31" s="23">
        <f t="shared" si="58"/>
        <v>0.15523309448395445</v>
      </c>
      <c r="CY31" s="23">
        <f t="shared" si="59"/>
        <v>0</v>
      </c>
      <c r="CZ31" s="6">
        <f t="shared" si="27"/>
        <v>1052094140.0161335</v>
      </c>
      <c r="DA31" s="6">
        <f t="shared" si="28"/>
        <v>0</v>
      </c>
      <c r="DB31" s="6">
        <f t="shared" si="29"/>
        <v>0</v>
      </c>
      <c r="DC31" s="6">
        <f t="shared" si="30"/>
        <v>10261849</v>
      </c>
      <c r="DD31" s="6">
        <f t="shared" si="31"/>
        <v>480</v>
      </c>
      <c r="DE31" s="6">
        <f t="shared" si="32"/>
        <v>79875218</v>
      </c>
      <c r="DF31" s="6">
        <f t="shared" si="33"/>
        <v>6497816.8302555149</v>
      </c>
      <c r="DG31" s="30"/>
      <c r="DH31" s="32" t="str">
        <f>VLOOKUP(A31,'T_med_comp-USA'!$A$7:$Q$233,17,0)</f>
        <v>-</v>
      </c>
      <c r="DI31" s="6" t="str">
        <f t="shared" si="34"/>
        <v/>
      </c>
      <c r="DJ31" s="32" t="str">
        <f>IF(DI31="","",VLOOKUP(DI31,'CPI USA'!$T:$U,2,FALSE))</f>
        <v/>
      </c>
      <c r="DK31" s="32" t="str">
        <f>IF(DI31="","",VLOOKUP(DI31,'PPI USA'!$S:$T,2,FALSE))</f>
        <v/>
      </c>
      <c r="DL31" s="32" t="str">
        <f>IF(DI31="","",VLOOKUP(DI31,'CPI USA'!$T:$V,3,FALSE))</f>
        <v/>
      </c>
      <c r="DM31" s="32" t="str">
        <f>IF(DI31="","",VLOOKUP(DI31,'CPI USA'!$T:$X,5,FALSE))</f>
        <v/>
      </c>
      <c r="DN31" s="32" t="str">
        <f t="shared" si="35"/>
        <v/>
      </c>
      <c r="DO31" s="32" t="str">
        <f t="shared" si="36"/>
        <v/>
      </c>
      <c r="DP31" s="32" t="str">
        <f t="shared" si="37"/>
        <v/>
      </c>
      <c r="DQ31" s="32" t="str">
        <f>IF(DP31="","",DP31*$DO$1/'CPI USA'!$U$532+(1-DP31)*AVERAGE($DO$1,$DQ$1)/AVERAGE('CPI USA'!$U$532,'PPI USA'!$T$538))</f>
        <v/>
      </c>
      <c r="DR31" s="6">
        <f t="shared" si="38"/>
        <v>0</v>
      </c>
      <c r="DS31" s="32">
        <f t="shared" si="39"/>
        <v>0.2</v>
      </c>
      <c r="DT31" s="28">
        <f>IF(DS31="","",DS31*$DO$1/'CPI USA'!$U$532+(1-DS31)*AVERAGE($DO$1,$DQ$1)/AVERAGE('CPI USA'!$U$532,'PPI USA'!$T$538))</f>
        <v>1.0426818386380585</v>
      </c>
      <c r="DU31" s="6" t="str">
        <f t="shared" si="40"/>
        <v/>
      </c>
      <c r="DV31" s="6" t="str">
        <f t="shared" si="41"/>
        <v/>
      </c>
      <c r="DW31" s="6">
        <f t="shared" si="42"/>
        <v>0</v>
      </c>
      <c r="DX31" s="16" t="str">
        <f t="shared" si="43"/>
        <v/>
      </c>
      <c r="DY31" s="28" t="str">
        <f>IF(DX31="","",DX31*$DO$1/'CPI USA'!$U$532+(1-DX31)*AVERAGE($DO$1,$DQ$1)/AVERAGE('CPI USA'!$U$532,'PPI USA'!$T$538))</f>
        <v/>
      </c>
      <c r="DZ31" s="30"/>
      <c r="EA31" s="29" t="str">
        <f t="shared" si="44"/>
        <v>C000319</v>
      </c>
      <c r="EB31" s="29" t="str">
        <f t="shared" si="45"/>
        <v/>
      </c>
      <c r="EC31" s="29" t="str">
        <f t="shared" si="46"/>
        <v/>
      </c>
      <c r="ED31" s="29" t="str">
        <f t="shared" si="47"/>
        <v/>
      </c>
      <c r="EE31" s="29" t="str">
        <f t="shared" si="48"/>
        <v/>
      </c>
      <c r="EF31" s="29" t="str">
        <f t="shared" si="49"/>
        <v/>
      </c>
      <c r="EG31" s="29" t="str">
        <f t="shared" si="50"/>
        <v/>
      </c>
      <c r="EH31" s="29" t="str">
        <f t="shared" si="51"/>
        <v/>
      </c>
      <c r="EI31" s="29" t="str">
        <f t="shared" si="52"/>
        <v/>
      </c>
      <c r="EJ31" s="29" t="str">
        <f t="shared" si="53"/>
        <v/>
      </c>
      <c r="EK31" s="29" t="str">
        <f t="shared" si="54"/>
        <v/>
      </c>
      <c r="EL31" s="29" t="str">
        <f>IF(CD31=1,VLOOKUP(EA31,'EIA 2023'!$A$2:$J$213,4,0)*EH31,"")</f>
        <v/>
      </c>
      <c r="EM31" s="29" t="str">
        <f>IF(CD31=1,VLOOKUP(EA31,'EIA 2023'!$A$2:$J$213,7,0)*EH31,"")</f>
        <v/>
      </c>
      <c r="EN31" s="29" t="str">
        <f>IF(CD31=1,VLOOKUP(EA31,'EIA 2023'!$A$2:$J$213,10,0),"")</f>
        <v/>
      </c>
      <c r="EO31" s="28" t="str">
        <f>IF(CD31=1,VLOOKUP(EA31,'EIA 2023'!$A$2:$Z$213,26,0),"")</f>
        <v/>
      </c>
      <c r="EP31" s="23" t="str">
        <f t="shared" si="55"/>
        <v/>
      </c>
      <c r="EQ31" s="32" t="str">
        <f t="shared" si="56"/>
        <v/>
      </c>
      <c r="ER31" s="32" t="str">
        <f t="shared" si="57"/>
        <v/>
      </c>
      <c r="ES31" s="32"/>
      <c r="ET31" s="32"/>
    </row>
    <row r="32" spans="1:150" ht="15.75" customHeight="1">
      <c r="A32" s="7" t="s">
        <v>300</v>
      </c>
      <c r="B32" s="7" t="s">
        <v>301</v>
      </c>
      <c r="C32" s="32" t="s">
        <v>1117</v>
      </c>
      <c r="D32" s="42">
        <v>46052299</v>
      </c>
      <c r="E32" s="42">
        <v>0</v>
      </c>
      <c r="F32" s="42">
        <v>116227146</v>
      </c>
      <c r="G32" s="42">
        <v>209295625</v>
      </c>
      <c r="H32" s="42">
        <v>255440326</v>
      </c>
      <c r="I32" s="42">
        <v>4183113</v>
      </c>
      <c r="J32" s="42">
        <v>945603</v>
      </c>
      <c r="K32" s="42">
        <v>0</v>
      </c>
      <c r="L32" s="42">
        <v>3151705</v>
      </c>
      <c r="M32" s="42">
        <v>2546406</v>
      </c>
      <c r="N32" s="42">
        <v>801450</v>
      </c>
      <c r="O32" s="42">
        <v>9401777</v>
      </c>
      <c r="P32" s="42">
        <v>258811</v>
      </c>
      <c r="Q32" s="42">
        <v>1361055</v>
      </c>
      <c r="R32" s="42">
        <v>411657</v>
      </c>
      <c r="S32" s="42">
        <v>779672</v>
      </c>
      <c r="T32" s="42">
        <v>27486692</v>
      </c>
      <c r="U32" s="42">
        <v>861884</v>
      </c>
      <c r="V32" s="42">
        <v>443255</v>
      </c>
      <c r="W32" s="42">
        <v>1099461</v>
      </c>
      <c r="X32" s="42">
        <f>IFERROR(VLOOKUP(A32,'Trans 21-23'!$A$2:$J$229,10,0),0)</f>
        <v>2887281</v>
      </c>
      <c r="Y32" s="42">
        <v>2133258</v>
      </c>
      <c r="Z32" s="42">
        <v>60470</v>
      </c>
      <c r="AA32" s="42">
        <v>14623341</v>
      </c>
      <c r="AB32" s="42">
        <v>32966021</v>
      </c>
      <c r="AC32" s="42">
        <v>43646</v>
      </c>
      <c r="AD32" s="42">
        <v>122527420</v>
      </c>
      <c r="AE32" s="42">
        <v>0</v>
      </c>
      <c r="AF32" s="42">
        <v>745474225</v>
      </c>
      <c r="AG32" s="42">
        <v>413831</v>
      </c>
      <c r="AH32" s="42">
        <v>457044</v>
      </c>
      <c r="AI32" s="42">
        <v>13299746</v>
      </c>
      <c r="AJ32" s="42">
        <v>13342</v>
      </c>
      <c r="AK32" s="42">
        <v>0</v>
      </c>
      <c r="AL32" s="42">
        <v>4020329</v>
      </c>
      <c r="AM32" s="42">
        <v>3159672</v>
      </c>
      <c r="AN32" s="42">
        <v>2096554</v>
      </c>
      <c r="AO32" s="42">
        <v>16839</v>
      </c>
      <c r="AP32" s="42">
        <v>0</v>
      </c>
      <c r="AQ32" s="42">
        <v>9307869</v>
      </c>
      <c r="AR32" s="42">
        <v>3521491</v>
      </c>
      <c r="AS32" s="42">
        <v>12829360</v>
      </c>
      <c r="AT32" s="42">
        <v>0</v>
      </c>
      <c r="AU32" s="42">
        <v>1809</v>
      </c>
      <c r="AV32" s="42">
        <v>0</v>
      </c>
      <c r="AW32" s="42">
        <v>366378519</v>
      </c>
      <c r="AX32" s="42">
        <v>175726271</v>
      </c>
      <c r="AY32" s="42">
        <v>292108860</v>
      </c>
      <c r="AZ32" s="42">
        <v>87556400</v>
      </c>
      <c r="BA32" s="42">
        <v>84253081</v>
      </c>
      <c r="BB32" s="42">
        <v>2407306658</v>
      </c>
      <c r="BC32" s="42">
        <v>5352763952</v>
      </c>
      <c r="BD32" s="42">
        <v>169217153</v>
      </c>
      <c r="BE32" s="42">
        <v>788670773</v>
      </c>
      <c r="BF32" s="42">
        <v>60509580</v>
      </c>
      <c r="BG32" s="42">
        <v>0</v>
      </c>
      <c r="BH32" s="42">
        <v>17025418</v>
      </c>
      <c r="BI32" s="42">
        <v>6507117</v>
      </c>
      <c r="BJ32" s="42">
        <v>422600</v>
      </c>
      <c r="BK32" s="42">
        <v>0</v>
      </c>
      <c r="BL32" s="42">
        <v>0</v>
      </c>
      <c r="BM32" s="42">
        <v>29427473</v>
      </c>
      <c r="BN32" s="42">
        <v>79888247</v>
      </c>
      <c r="BO32" s="42">
        <v>9629046</v>
      </c>
      <c r="BP32" s="42">
        <v>56052640</v>
      </c>
      <c r="BQ32" s="42">
        <v>240605484</v>
      </c>
      <c r="BR32" s="42">
        <v>14475</v>
      </c>
      <c r="BS32" s="42">
        <f>IFERROR(VLOOKUP(A32,'Trans 21-23'!$A$2:$J$229,9,0),0)</f>
        <v>372200953</v>
      </c>
      <c r="BT32" s="67"/>
      <c r="BU32" s="32">
        <f t="shared" si="0"/>
        <v>2407306658</v>
      </c>
      <c r="BV32" s="32">
        <f t="shared" si="1"/>
        <v>1809</v>
      </c>
      <c r="BW32" s="32">
        <f t="shared" si="2"/>
        <v>413831</v>
      </c>
      <c r="BX32" s="32">
        <f t="shared" si="3"/>
        <v>53732541</v>
      </c>
      <c r="BY32" s="32">
        <f t="shared" si="4"/>
        <v>49826736</v>
      </c>
      <c r="BZ32" s="32">
        <f t="shared" si="5"/>
        <v>87556400</v>
      </c>
      <c r="CA32" s="32">
        <f t="shared" si="6"/>
        <v>122527420</v>
      </c>
      <c r="CB32" s="32">
        <f t="shared" si="7"/>
        <v>457044</v>
      </c>
      <c r="CC32" s="32">
        <f t="shared" si="8"/>
        <v>9307869</v>
      </c>
      <c r="CD32" s="41">
        <f t="shared" si="9"/>
        <v>1</v>
      </c>
      <c r="CE32" s="44">
        <f t="shared" si="10"/>
        <v>10</v>
      </c>
      <c r="CF32" s="27"/>
      <c r="CG32" s="28">
        <f t="shared" si="11"/>
        <v>1330.7388933112215</v>
      </c>
      <c r="CH32" s="28">
        <f t="shared" si="12"/>
        <v>4.3713496572272259</v>
      </c>
      <c r="CI32" s="28">
        <f t="shared" si="13"/>
        <v>129.84174940978323</v>
      </c>
      <c r="CJ32" s="28">
        <f t="shared" si="14"/>
        <v>211.57525656608615</v>
      </c>
      <c r="CK32" s="23">
        <f t="shared" si="15"/>
        <v>4.9102968681660648E-2</v>
      </c>
      <c r="CL32" s="29" t="str">
        <f t="shared" si="16"/>
        <v/>
      </c>
      <c r="CM32" s="29" t="str">
        <f t="shared" si="17"/>
        <v/>
      </c>
      <c r="CN32" s="29" t="str">
        <f t="shared" si="18"/>
        <v/>
      </c>
      <c r="CO32" s="29" t="str">
        <f t="shared" si="19"/>
        <v/>
      </c>
      <c r="CP32" s="29" t="str">
        <f t="shared" si="20"/>
        <v/>
      </c>
      <c r="CQ32" s="29">
        <f t="shared" si="21"/>
        <v>0</v>
      </c>
      <c r="CR32" s="13"/>
      <c r="CS32" s="7">
        <f>VLOOKUP(A32,'Empresas 21-23'!$A$2:$M$228,13,0)</f>
        <v>1</v>
      </c>
      <c r="CT32" s="30"/>
      <c r="CU32" s="6">
        <f t="shared" si="22"/>
        <v>2326997051.4000001</v>
      </c>
      <c r="CV32" s="6">
        <f t="shared" si="23"/>
        <v>87556400</v>
      </c>
      <c r="CW32" s="6">
        <f t="shared" si="24"/>
        <v>169217153</v>
      </c>
      <c r="CX32" s="23">
        <f t="shared" si="58"/>
        <v>0.44891984998551954</v>
      </c>
      <c r="CY32" s="23">
        <f t="shared" si="59"/>
        <v>1.6891214335499241E-2</v>
      </c>
      <c r="CZ32" s="6">
        <f t="shared" si="27"/>
        <v>2402961990.3397369</v>
      </c>
      <c r="DA32" s="6">
        <f t="shared" si="28"/>
        <v>90414683.200565964</v>
      </c>
      <c r="DB32" s="6">
        <f t="shared" si="29"/>
        <v>53732541</v>
      </c>
      <c r="DC32" s="6">
        <f t="shared" si="30"/>
        <v>56619822</v>
      </c>
      <c r="DD32" s="6">
        <f t="shared" si="31"/>
        <v>49826736</v>
      </c>
      <c r="DE32" s="6">
        <f t="shared" si="32"/>
        <v>122527420</v>
      </c>
      <c r="DF32" s="6">
        <f t="shared" si="33"/>
        <v>63552163.988397159</v>
      </c>
      <c r="DG32" s="30"/>
      <c r="DH32" s="32">
        <f>VLOOKUP(A32,'T_med_comp-USA'!$A$7:$Q$233,17,0)</f>
        <v>12.979402473562621</v>
      </c>
      <c r="DI32" s="6" t="str">
        <f t="shared" si="34"/>
        <v>1_2011</v>
      </c>
      <c r="DJ32" s="32">
        <f>IF(DI32="","",VLOOKUP(DI32,'CPI USA'!$T:$U,2,FALSE))</f>
        <v>224.93899999999999</v>
      </c>
      <c r="DK32" s="32">
        <f>IF(DI32="","",VLOOKUP(DI32,'PPI USA'!$S:$T,2,FALSE))</f>
        <v>169.6</v>
      </c>
      <c r="DL32" s="32">
        <f>IF(DI32="","",VLOOKUP(DI32,'CPI USA'!$T:$V,3,FALSE))</f>
        <v>0.6684022975047168</v>
      </c>
      <c r="DM32" s="32">
        <f>IF(DI32="","",VLOOKUP(DI32,'CPI USA'!$T:$X,5,FALSE))</f>
        <v>0.49636791791307899</v>
      </c>
      <c r="DN32" s="32">
        <f t="shared" si="35"/>
        <v>1.4208751760332547</v>
      </c>
      <c r="DO32" s="32">
        <f t="shared" si="36"/>
        <v>1.4334111417560953</v>
      </c>
      <c r="DP32" s="32">
        <f t="shared" si="37"/>
        <v>0.35504586067050986</v>
      </c>
      <c r="DQ32" s="32">
        <f>IF(DP32="","",DP32*$DO$1/'CPI USA'!$U$532+(1-DP32)*AVERAGE($DO$1,$DQ$1)/AVERAGE('CPI USA'!$U$532,'PPI USA'!$T$538))</f>
        <v>1.039103553840762</v>
      </c>
      <c r="DR32" s="6">
        <f t="shared" si="38"/>
        <v>6929717</v>
      </c>
      <c r="DS32" s="32">
        <f t="shared" si="39"/>
        <v>0.2</v>
      </c>
      <c r="DT32" s="28">
        <f>IF(DS32="","",DS32*$DO$1/'CPI USA'!$U$532+(1-DS32)*AVERAGE($DO$1,$DQ$1)/AVERAGE('CPI USA'!$U$532,'PPI USA'!$T$538))</f>
        <v>1.0426818386380585</v>
      </c>
      <c r="DU32" s="6">
        <f t="shared" si="40"/>
        <v>32974408.898853283</v>
      </c>
      <c r="DV32" s="6">
        <f t="shared" si="41"/>
        <v>8937751.9978977945</v>
      </c>
      <c r="DW32" s="6">
        <f t="shared" si="42"/>
        <v>12567699.381654888</v>
      </c>
      <c r="DX32" s="16">
        <f t="shared" si="43"/>
        <v>0.2</v>
      </c>
      <c r="DY32" s="28">
        <f>IF(DX32="","",DX32*$DO$1/'CPI USA'!$U$532+(1-DX32)*AVERAGE($DO$1,$DQ$1)/AVERAGE('CPI USA'!$U$532,'PPI USA'!$T$538))</f>
        <v>1.0426818386380585</v>
      </c>
      <c r="DZ32" s="30"/>
      <c r="EA32" s="29" t="str">
        <f t="shared" si="44"/>
        <v>C000379</v>
      </c>
      <c r="EB32" s="29">
        <f t="shared" si="45"/>
        <v>3414309041.0251937</v>
      </c>
      <c r="EC32" s="29">
        <f t="shared" si="46"/>
        <v>129601414.2780389</v>
      </c>
      <c r="ED32" s="29">
        <f t="shared" si="47"/>
        <v>58833858.258031361</v>
      </c>
      <c r="EE32" s="29">
        <f t="shared" si="48"/>
        <v>51953432.70581314</v>
      </c>
      <c r="EF32" s="29">
        <f t="shared" si="49"/>
        <v>66264687.196849361</v>
      </c>
      <c r="EG32" s="29">
        <f t="shared" si="50"/>
        <v>1809</v>
      </c>
      <c r="EH32" s="29">
        <f t="shared" si="51"/>
        <v>413831</v>
      </c>
      <c r="EI32" s="29">
        <f t="shared" si="52"/>
        <v>457044</v>
      </c>
      <c r="EJ32" s="29">
        <f t="shared" si="53"/>
        <v>9307869</v>
      </c>
      <c r="EK32" s="29">
        <f t="shared" si="54"/>
        <v>9711286.233502537</v>
      </c>
      <c r="EL32" s="29">
        <f>IF(CD32=1,VLOOKUP(EA32,'EIA 2023'!$A$2:$J$213,4,0)*EH32,"")</f>
        <v>67454453</v>
      </c>
      <c r="EM32" s="29">
        <f>IF(CD32=1,VLOOKUP(EA32,'EIA 2023'!$A$2:$J$213,7,0)*EH32,"")</f>
        <v>422107.62</v>
      </c>
      <c r="EN32" s="29">
        <f>IF(CD32=1,VLOOKUP(EA32,'EIA 2023'!$A$2:$J$213,10,0),"")</f>
        <v>145956</v>
      </c>
      <c r="EO32" s="28">
        <f>IF(CD32=1,VLOOKUP(EA32,'EIA 2023'!$A$2:$Z$213,26,0),"")</f>
        <v>0</v>
      </c>
      <c r="EP32" s="23">
        <f t="shared" si="55"/>
        <v>4.1541071265184901E-2</v>
      </c>
      <c r="EQ32" s="32">
        <f t="shared" si="56"/>
        <v>53626.766497462057</v>
      </c>
      <c r="ER32" s="32">
        <f t="shared" si="57"/>
        <v>403417.23350253794</v>
      </c>
      <c r="ES32" s="32"/>
      <c r="ET32" s="32"/>
    </row>
    <row r="33" spans="1:150" ht="15.75" customHeight="1">
      <c r="A33" s="7" t="s">
        <v>303</v>
      </c>
      <c r="B33" s="7" t="s">
        <v>304</v>
      </c>
      <c r="C33" s="32" t="s">
        <v>1118</v>
      </c>
      <c r="D33" s="42">
        <v>562948763</v>
      </c>
      <c r="E33" s="42">
        <v>106241438</v>
      </c>
      <c r="F33" s="42">
        <v>0</v>
      </c>
      <c r="G33" s="42">
        <v>5015005843</v>
      </c>
      <c r="H33" s="42">
        <v>5138949708</v>
      </c>
      <c r="I33" s="42">
        <v>12019880</v>
      </c>
      <c r="J33" s="42">
        <v>6727050</v>
      </c>
      <c r="K33" s="42">
        <v>0</v>
      </c>
      <c r="L33" s="42">
        <v>76793142</v>
      </c>
      <c r="M33" s="42">
        <v>62293958</v>
      </c>
      <c r="N33" s="42">
        <v>24564507</v>
      </c>
      <c r="O33" s="42">
        <v>770637596</v>
      </c>
      <c r="P33" s="42">
        <v>286734</v>
      </c>
      <c r="Q33" s="42">
        <v>3097675</v>
      </c>
      <c r="R33" s="42">
        <v>4463555</v>
      </c>
      <c r="S33" s="42">
        <v>46664682</v>
      </c>
      <c r="T33" s="42">
        <v>2174013571</v>
      </c>
      <c r="U33" s="42">
        <v>85346422</v>
      </c>
      <c r="V33" s="42">
        <v>1449399</v>
      </c>
      <c r="W33" s="42">
        <v>5305434</v>
      </c>
      <c r="X33" s="42">
        <f>IFERROR(VLOOKUP(A33,'Trans 21-23'!$A$2:$J$229,10,0),0)</f>
        <v>0</v>
      </c>
      <c r="Y33" s="42">
        <v>3024761</v>
      </c>
      <c r="Z33" s="42">
        <v>11807128</v>
      </c>
      <c r="AA33" s="42">
        <v>617602762</v>
      </c>
      <c r="AB33" s="42">
        <v>434942355</v>
      </c>
      <c r="AC33" s="42">
        <v>2808253</v>
      </c>
      <c r="AD33" s="42">
        <v>3534378054</v>
      </c>
      <c r="AE33" s="42">
        <v>0</v>
      </c>
      <c r="AF33" s="42">
        <v>15096839460</v>
      </c>
      <c r="AG33" s="42">
        <v>5649612</v>
      </c>
      <c r="AH33" s="42">
        <v>31377333</v>
      </c>
      <c r="AI33" s="42">
        <v>84006408</v>
      </c>
      <c r="AJ33" s="42">
        <v>0</v>
      </c>
      <c r="AK33" s="42">
        <v>46159417</v>
      </c>
      <c r="AL33" s="42">
        <v>25637919</v>
      </c>
      <c r="AM33" s="42">
        <v>32849665</v>
      </c>
      <c r="AN33" s="42">
        <v>13791087</v>
      </c>
      <c r="AO33" s="42">
        <v>266748</v>
      </c>
      <c r="AP33" s="42">
        <v>819</v>
      </c>
      <c r="AQ33" s="42">
        <v>73203173</v>
      </c>
      <c r="AR33" s="42">
        <v>25585319</v>
      </c>
      <c r="AS33" s="42">
        <v>98788492</v>
      </c>
      <c r="AT33" s="42">
        <v>386573</v>
      </c>
      <c r="AU33" s="42">
        <v>17066</v>
      </c>
      <c r="AV33" s="42">
        <v>0</v>
      </c>
      <c r="AW33" s="42">
        <v>6452937765</v>
      </c>
      <c r="AX33" s="42">
        <v>4485694598</v>
      </c>
      <c r="AY33" s="42">
        <v>7215882339</v>
      </c>
      <c r="AZ33" s="42">
        <v>1503225561</v>
      </c>
      <c r="BA33" s="42">
        <v>329669596</v>
      </c>
      <c r="BB33" s="42">
        <v>45193587757</v>
      </c>
      <c r="BC33" s="42">
        <v>81963265566</v>
      </c>
      <c r="BD33" s="42">
        <v>1645227571</v>
      </c>
      <c r="BE33" s="42">
        <v>18012817394</v>
      </c>
      <c r="BF33" s="42">
        <v>1574841374</v>
      </c>
      <c r="BG33" s="42">
        <v>0</v>
      </c>
      <c r="BH33" s="42">
        <v>736859127</v>
      </c>
      <c r="BI33" s="42">
        <v>136575627</v>
      </c>
      <c r="BJ33" s="42">
        <v>38099860</v>
      </c>
      <c r="BK33" s="42">
        <v>1573364</v>
      </c>
      <c r="BL33" s="42">
        <v>0</v>
      </c>
      <c r="BM33" s="42">
        <v>487399655</v>
      </c>
      <c r="BN33" s="42">
        <v>2088481005</v>
      </c>
      <c r="BO33" s="42">
        <v>0</v>
      </c>
      <c r="BP33" s="42">
        <v>25212048</v>
      </c>
      <c r="BQ33" s="42">
        <v>4976448302</v>
      </c>
      <c r="BR33" s="42">
        <v>270362</v>
      </c>
      <c r="BS33" s="42">
        <f>IFERROR(VLOOKUP(A33,'Trans 21-23'!$A$2:$J$229,9,0),0)</f>
        <v>0</v>
      </c>
      <c r="BT33" s="67"/>
      <c r="BU33" s="32">
        <f t="shared" si="0"/>
        <v>45193587757</v>
      </c>
      <c r="BV33" s="32">
        <f t="shared" si="1"/>
        <v>17066</v>
      </c>
      <c r="BW33" s="32">
        <f t="shared" si="2"/>
        <v>5649612</v>
      </c>
      <c r="BX33" s="32">
        <f t="shared" si="3"/>
        <v>3273663605</v>
      </c>
      <c r="BY33" s="32">
        <f t="shared" si="4"/>
        <v>1070185259</v>
      </c>
      <c r="BZ33" s="32">
        <f t="shared" si="5"/>
        <v>1503225561</v>
      </c>
      <c r="CA33" s="32">
        <f t="shared" si="6"/>
        <v>3534378054</v>
      </c>
      <c r="CB33" s="32">
        <f t="shared" si="7"/>
        <v>31377333</v>
      </c>
      <c r="CC33" s="32">
        <f t="shared" si="8"/>
        <v>73203173</v>
      </c>
      <c r="CD33" s="41">
        <f t="shared" si="9"/>
        <v>1</v>
      </c>
      <c r="CE33" s="44">
        <f t="shared" si="10"/>
        <v>10</v>
      </c>
      <c r="CF33" s="27"/>
      <c r="CG33" s="28">
        <f t="shared" si="11"/>
        <v>2648.1652265908824</v>
      </c>
      <c r="CH33" s="28">
        <f t="shared" si="12"/>
        <v>3.0207384153106442</v>
      </c>
      <c r="CI33" s="28">
        <f t="shared" si="13"/>
        <v>579.44927987975109</v>
      </c>
      <c r="CJ33" s="28">
        <f t="shared" si="14"/>
        <v>266.07589353038759</v>
      </c>
      <c r="CK33" s="23">
        <f t="shared" si="15"/>
        <v>0.42863351018951051</v>
      </c>
      <c r="CL33" s="29" t="str">
        <f t="shared" si="16"/>
        <v/>
      </c>
      <c r="CM33" s="29" t="str">
        <f t="shared" si="17"/>
        <v/>
      </c>
      <c r="CN33" s="29" t="str">
        <f t="shared" si="18"/>
        <v/>
      </c>
      <c r="CO33" s="29" t="str">
        <f t="shared" si="19"/>
        <v/>
      </c>
      <c r="CP33" s="29">
        <f t="shared" si="20"/>
        <v>1</v>
      </c>
      <c r="CQ33" s="29">
        <f t="shared" si="21"/>
        <v>1</v>
      </c>
      <c r="CR33" s="13"/>
      <c r="CS33" s="7" t="str">
        <f>VLOOKUP(A33,'Empresas 21-23'!$A$2:$M$228,13,0)</f>
        <v/>
      </c>
      <c r="CT33" s="30"/>
      <c r="CU33" s="6">
        <f t="shared" si="22"/>
        <v>36339746437.800003</v>
      </c>
      <c r="CV33" s="6">
        <f t="shared" si="23"/>
        <v>1503225561</v>
      </c>
      <c r="CW33" s="6">
        <f t="shared" si="24"/>
        <v>1645227571</v>
      </c>
      <c r="CX33" s="23">
        <f t="shared" si="58"/>
        <v>0.45244813425425362</v>
      </c>
      <c r="CY33" s="23">
        <f t="shared" si="59"/>
        <v>1.8715914862033601E-2</v>
      </c>
      <c r="CZ33" s="6">
        <f t="shared" si="27"/>
        <v>37084126582.72261</v>
      </c>
      <c r="DA33" s="6">
        <f t="shared" si="28"/>
        <v>1534017500.1475062</v>
      </c>
      <c r="DB33" s="6">
        <f t="shared" si="29"/>
        <v>3273663605</v>
      </c>
      <c r="DC33" s="6">
        <f t="shared" si="30"/>
        <v>3273663605</v>
      </c>
      <c r="DD33" s="6">
        <f t="shared" si="31"/>
        <v>1070185259</v>
      </c>
      <c r="DE33" s="6">
        <f t="shared" si="32"/>
        <v>3534378054</v>
      </c>
      <c r="DF33" s="6">
        <f t="shared" si="33"/>
        <v>2668047675.6153746</v>
      </c>
      <c r="DG33" s="30"/>
      <c r="DH33" s="32">
        <f>VLOOKUP(A33,'T_med_comp-USA'!$A$7:$Q$233,17,0)</f>
        <v>11.417401688452827</v>
      </c>
      <c r="DI33" s="6" t="str">
        <f t="shared" si="34"/>
        <v>8_2012</v>
      </c>
      <c r="DJ33" s="32">
        <f>IF(DI33="","",VLOOKUP(DI33,'CPI USA'!$T:$U,2,FALSE))</f>
        <v>229.59399999999999</v>
      </c>
      <c r="DK33" s="32">
        <f>IF(DI33="","",VLOOKUP(DI33,'PPI USA'!$S:$T,2,FALSE))</f>
        <v>175.1</v>
      </c>
      <c r="DL33" s="32">
        <f>IF(DI33="","",VLOOKUP(DI33,'CPI USA'!$T:$V,3,FALSE))</f>
        <v>0.66730871354337351</v>
      </c>
      <c r="DM33" s="32">
        <f>IF(DI33="","",VLOOKUP(DI33,'CPI USA'!$T:$X,5,FALSE))</f>
        <v>0.49513551903851311</v>
      </c>
      <c r="DN33" s="32">
        <f t="shared" si="35"/>
        <v>1.3897894616766442</v>
      </c>
      <c r="DO33" s="32">
        <f t="shared" si="36"/>
        <v>1.4008620811189902</v>
      </c>
      <c r="DP33" s="32">
        <f t="shared" si="37"/>
        <v>0.22508700218145963</v>
      </c>
      <c r="DQ33" s="32">
        <f>IF(DP33="","",DP33*$DO$1/'CPI USA'!$U$532+(1-DP33)*AVERAGE($DO$1,$DQ$1)/AVERAGE('CPI USA'!$U$532,'PPI USA'!$T$538))</f>
        <v>1.0421028587276795</v>
      </c>
      <c r="DR33" s="6">
        <f t="shared" si="38"/>
        <v>176248851</v>
      </c>
      <c r="DS33" s="32">
        <f t="shared" si="39"/>
        <v>0.2</v>
      </c>
      <c r="DT33" s="28">
        <f>IF(DS33="","",DS33*$DO$1/'CPI USA'!$U$532+(1-DS33)*AVERAGE($DO$1,$DQ$1)/AVERAGE('CPI USA'!$U$532,'PPI USA'!$T$538))</f>
        <v>1.0426818386380585</v>
      </c>
      <c r="DU33" s="6">
        <f t="shared" si="40"/>
        <v>487399655</v>
      </c>
      <c r="DV33" s="6">
        <f t="shared" si="41"/>
        <v>2481873.7920485912</v>
      </c>
      <c r="DW33" s="6">
        <f t="shared" si="42"/>
        <v>214181853.29143381</v>
      </c>
      <c r="DX33" s="16">
        <f t="shared" si="43"/>
        <v>0.2</v>
      </c>
      <c r="DY33" s="28">
        <f>IF(DX33="","",DX33*$DO$1/'CPI USA'!$U$532+(1-DX33)*AVERAGE($DO$1,$DQ$1)/AVERAGE('CPI USA'!$U$532,'PPI USA'!$T$538))</f>
        <v>1.0426818386380585</v>
      </c>
      <c r="DZ33" s="30"/>
      <c r="EA33" s="29" t="str">
        <f t="shared" si="44"/>
        <v>C000388</v>
      </c>
      <c r="EB33" s="29">
        <f t="shared" si="45"/>
        <v>51539128320.150589</v>
      </c>
      <c r="EC33" s="29">
        <f t="shared" si="46"/>
        <v>2148946947.7295866</v>
      </c>
      <c r="ED33" s="29">
        <f t="shared" si="47"/>
        <v>3411494201.2832608</v>
      </c>
      <c r="EE33" s="29">
        <f t="shared" si="48"/>
        <v>1115862733.5374668</v>
      </c>
      <c r="EF33" s="29">
        <f t="shared" si="49"/>
        <v>2781924855.9846373</v>
      </c>
      <c r="EG33" s="29">
        <f t="shared" si="50"/>
        <v>17066</v>
      </c>
      <c r="EH33" s="29">
        <f t="shared" si="51"/>
        <v>5649612</v>
      </c>
      <c r="EI33" s="29">
        <f t="shared" si="52"/>
        <v>31377333</v>
      </c>
      <c r="EJ33" s="29">
        <f t="shared" si="53"/>
        <v>73203173</v>
      </c>
      <c r="EK33" s="29">
        <f t="shared" si="54"/>
        <v>104190881.85279188</v>
      </c>
      <c r="EL33" s="29">
        <f>IF(CD33=1,VLOOKUP(EA33,'EIA 2023'!$A$2:$J$213,4,0)*EH33,"")</f>
        <v>1445735710.8</v>
      </c>
      <c r="EM33" s="29">
        <f>IF(CD33=1,VLOOKUP(EA33,'EIA 2023'!$A$2:$J$213,7,0)*EH33,"")</f>
        <v>12553437.864</v>
      </c>
      <c r="EN33" s="29">
        <f>IF(CD33=1,VLOOKUP(EA33,'EIA 2023'!$A$2:$J$213,10,0),"")</f>
        <v>5670961</v>
      </c>
      <c r="EO33" s="28">
        <f>IF(CD33=1,VLOOKUP(EA33,'EIA 2023'!$A$2:$Z$213,26,0),"")</f>
        <v>0</v>
      </c>
      <c r="EP33" s="23">
        <f t="shared" si="55"/>
        <v>0.2974128666707464</v>
      </c>
      <c r="EQ33" s="32">
        <f t="shared" si="56"/>
        <v>389624.14720812067</v>
      </c>
      <c r="ER33" s="32">
        <f t="shared" si="57"/>
        <v>30987708.852791879</v>
      </c>
      <c r="ES33" s="32"/>
      <c r="ET33" s="32"/>
    </row>
    <row r="34" spans="1:150" ht="15.75" customHeight="1">
      <c r="A34" s="7" t="s">
        <v>306</v>
      </c>
      <c r="B34" s="7" t="s">
        <v>307</v>
      </c>
      <c r="C34" s="32" t="s">
        <v>1119</v>
      </c>
      <c r="D34" s="42">
        <v>712566522</v>
      </c>
      <c r="E34" s="42">
        <v>59449467</v>
      </c>
      <c r="F34" s="42">
        <v>76569948</v>
      </c>
      <c r="G34" s="42">
        <v>437343304</v>
      </c>
      <c r="H34" s="42">
        <v>222232239</v>
      </c>
      <c r="I34" s="42">
        <v>54318452</v>
      </c>
      <c r="J34" s="42">
        <v>4242952</v>
      </c>
      <c r="K34" s="42">
        <v>1305053</v>
      </c>
      <c r="L34" s="42">
        <v>4697255</v>
      </c>
      <c r="M34" s="42">
        <v>1049678</v>
      </c>
      <c r="N34" s="42">
        <v>319000</v>
      </c>
      <c r="O34" s="42">
        <v>22720725</v>
      </c>
      <c r="P34" s="42">
        <v>0</v>
      </c>
      <c r="Q34" s="42">
        <v>3140654</v>
      </c>
      <c r="R34" s="42">
        <v>1770280</v>
      </c>
      <c r="S34" s="42">
        <v>10478657</v>
      </c>
      <c r="T34" s="42">
        <v>302715322</v>
      </c>
      <c r="U34" s="42">
        <v>9666089</v>
      </c>
      <c r="V34" s="42">
        <v>0</v>
      </c>
      <c r="W34" s="42">
        <v>0</v>
      </c>
      <c r="X34" s="42">
        <f>IFERROR(VLOOKUP(A34,'Trans 21-23'!$A$2:$J$229,10,0),0)</f>
        <v>0</v>
      </c>
      <c r="Y34" s="42">
        <v>8783990</v>
      </c>
      <c r="Z34" s="42">
        <v>0</v>
      </c>
      <c r="AA34" s="42">
        <v>205142772</v>
      </c>
      <c r="AB34" s="42">
        <v>127579030</v>
      </c>
      <c r="AC34" s="42">
        <v>8516566</v>
      </c>
      <c r="AD34" s="42">
        <v>238577995</v>
      </c>
      <c r="AE34" s="42">
        <v>0</v>
      </c>
      <c r="AF34" s="42">
        <v>2899589262</v>
      </c>
      <c r="AG34" s="42">
        <v>2266460</v>
      </c>
      <c r="AH34" s="42">
        <v>1162820</v>
      </c>
      <c r="AI34" s="42">
        <v>48010664</v>
      </c>
      <c r="AJ34" s="42">
        <v>68283</v>
      </c>
      <c r="AK34" s="42">
        <v>0</v>
      </c>
      <c r="AL34" s="42">
        <v>14451501</v>
      </c>
      <c r="AM34" s="42">
        <v>15915752</v>
      </c>
      <c r="AN34" s="42">
        <v>8551132</v>
      </c>
      <c r="AO34" s="42">
        <v>203563</v>
      </c>
      <c r="AP34" s="42">
        <v>0</v>
      </c>
      <c r="AQ34" s="42">
        <v>39121948</v>
      </c>
      <c r="AR34" s="42">
        <v>7657613</v>
      </c>
      <c r="AS34" s="42">
        <v>46779561</v>
      </c>
      <c r="AT34" s="42">
        <v>0</v>
      </c>
      <c r="AU34" s="42">
        <v>10340</v>
      </c>
      <c r="AV34" s="42">
        <v>0</v>
      </c>
      <c r="AW34" s="42">
        <v>3097442964</v>
      </c>
      <c r="AX34" s="42">
        <v>602851707</v>
      </c>
      <c r="AY34" s="42">
        <v>2006781322</v>
      </c>
      <c r="AZ34" s="42">
        <v>465319937</v>
      </c>
      <c r="BA34" s="42">
        <v>260495122</v>
      </c>
      <c r="BB34" s="42">
        <v>12779676559</v>
      </c>
      <c r="BC34" s="42">
        <v>29551728678</v>
      </c>
      <c r="BD34" s="42">
        <v>1739154554</v>
      </c>
      <c r="BE34" s="42">
        <v>3560760757</v>
      </c>
      <c r="BF34" s="42">
        <v>498669171</v>
      </c>
      <c r="BG34" s="42">
        <v>0</v>
      </c>
      <c r="BH34" s="42">
        <v>110692892</v>
      </c>
      <c r="BI34" s="42">
        <v>44733088</v>
      </c>
      <c r="BJ34" s="42">
        <v>21352063</v>
      </c>
      <c r="BK34" s="42">
        <v>3961443</v>
      </c>
      <c r="BL34" s="42">
        <v>0</v>
      </c>
      <c r="BM34" s="42">
        <v>133332702</v>
      </c>
      <c r="BN34" s="42">
        <v>520777883</v>
      </c>
      <c r="BO34" s="42">
        <v>0</v>
      </c>
      <c r="BP34" s="42">
        <v>533681</v>
      </c>
      <c r="BQ34" s="42">
        <v>983867892</v>
      </c>
      <c r="BR34" s="42">
        <v>0</v>
      </c>
      <c r="BS34" s="42">
        <f>IFERROR(VLOOKUP(A34,'Trans 21-23'!$A$2:$J$229,9,0),0)</f>
        <v>0</v>
      </c>
      <c r="BT34" s="67"/>
      <c r="BU34" s="32">
        <f t="shared" si="0"/>
        <v>12779676559</v>
      </c>
      <c r="BV34" s="32">
        <f t="shared" si="1"/>
        <v>10340</v>
      </c>
      <c r="BW34" s="32">
        <f t="shared" si="2"/>
        <v>2266460</v>
      </c>
      <c r="BX34" s="32">
        <f t="shared" si="3"/>
        <v>416424117</v>
      </c>
      <c r="BY34" s="32">
        <f t="shared" si="4"/>
        <v>350022358</v>
      </c>
      <c r="BZ34" s="32">
        <f t="shared" si="5"/>
        <v>465319937</v>
      </c>
      <c r="CA34" s="32">
        <f t="shared" si="6"/>
        <v>238577995</v>
      </c>
      <c r="CB34" s="32">
        <f t="shared" si="7"/>
        <v>1162820</v>
      </c>
      <c r="CC34" s="32">
        <f t="shared" si="8"/>
        <v>39121948</v>
      </c>
      <c r="CD34" s="41">
        <f t="shared" si="9"/>
        <v>1</v>
      </c>
      <c r="CE34" s="44">
        <f t="shared" si="10"/>
        <v>15</v>
      </c>
      <c r="CF34" s="27"/>
      <c r="CG34" s="28">
        <f t="shared" si="11"/>
        <v>1235.9455086073501</v>
      </c>
      <c r="CH34" s="28">
        <f t="shared" si="12"/>
        <v>4.5621806694139764</v>
      </c>
      <c r="CI34" s="28">
        <f t="shared" si="13"/>
        <v>183.73327435736789</v>
      </c>
      <c r="CJ34" s="28">
        <f t="shared" si="14"/>
        <v>205.30692666096027</v>
      </c>
      <c r="CK34" s="23">
        <f t="shared" si="15"/>
        <v>2.9722957558248379E-2</v>
      </c>
      <c r="CL34" s="29" t="str">
        <f t="shared" si="16"/>
        <v/>
      </c>
      <c r="CM34" s="29" t="str">
        <f t="shared" si="17"/>
        <v/>
      </c>
      <c r="CN34" s="29" t="str">
        <f t="shared" si="18"/>
        <v/>
      </c>
      <c r="CO34" s="29" t="str">
        <f t="shared" si="19"/>
        <v/>
      </c>
      <c r="CP34" s="29" t="str">
        <f t="shared" si="20"/>
        <v/>
      </c>
      <c r="CQ34" s="29">
        <f t="shared" si="21"/>
        <v>0</v>
      </c>
      <c r="CR34" s="13"/>
      <c r="CS34" s="7">
        <f>VLOOKUP(A34,'Empresas 21-23'!$A$2:$M$228,13,0)</f>
        <v>1</v>
      </c>
      <c r="CT34" s="30"/>
      <c r="CU34" s="6">
        <f t="shared" si="22"/>
        <v>10488081682.6</v>
      </c>
      <c r="CV34" s="6">
        <f t="shared" si="23"/>
        <v>465319937</v>
      </c>
      <c r="CW34" s="6">
        <f t="shared" si="24"/>
        <v>1739154554</v>
      </c>
      <c r="CX34" s="23">
        <f t="shared" si="58"/>
        <v>0.37709856109829243</v>
      </c>
      <c r="CY34" s="23">
        <f t="shared" si="59"/>
        <v>1.6730559887244187E-2</v>
      </c>
      <c r="CZ34" s="6">
        <f t="shared" si="27"/>
        <v>11143914362.440943</v>
      </c>
      <c r="DA34" s="6">
        <f t="shared" si="28"/>
        <v>494416966.41887045</v>
      </c>
      <c r="DB34" s="6">
        <f t="shared" si="29"/>
        <v>416424117</v>
      </c>
      <c r="DC34" s="6">
        <f t="shared" si="30"/>
        <v>416424117</v>
      </c>
      <c r="DD34" s="6">
        <f t="shared" si="31"/>
        <v>350022358</v>
      </c>
      <c r="DE34" s="6">
        <f t="shared" si="32"/>
        <v>238577995</v>
      </c>
      <c r="DF34" s="6">
        <f t="shared" si="33"/>
        <v>114990603.54068513</v>
      </c>
      <c r="DG34" s="30"/>
      <c r="DH34" s="32">
        <f>VLOOKUP(A34,'T_med_comp-USA'!$A$7:$Q$233,17,0)</f>
        <v>7.5595135170292345</v>
      </c>
      <c r="DI34" s="6" t="str">
        <f t="shared" si="34"/>
        <v>6_2016</v>
      </c>
      <c r="DJ34" s="32">
        <f>IF(DI34="","",VLOOKUP(DI34,'CPI USA'!$T:$U,2,FALSE))</f>
        <v>241.018</v>
      </c>
      <c r="DK34" s="32">
        <f>IF(DI34="","",VLOOKUP(DI34,'PPI USA'!$S:$T,2,FALSE))</f>
        <v>183.2</v>
      </c>
      <c r="DL34" s="32">
        <f>IF(DI34="","",VLOOKUP(DI34,'CPI USA'!$T:$V,3,FALSE))</f>
        <v>0.67131212484522451</v>
      </c>
      <c r="DM34" s="32">
        <f>IF(DI34="","",VLOOKUP(DI34,'CPI USA'!$T:$X,5,FALSE))</f>
        <v>0.49965731919331663</v>
      </c>
      <c r="DN34" s="32">
        <f t="shared" si="35"/>
        <v>1.3243173549564331</v>
      </c>
      <c r="DO34" s="32">
        <f t="shared" si="36"/>
        <v>1.3351716494952734</v>
      </c>
      <c r="DP34" s="32">
        <f t="shared" si="37"/>
        <v>0.26581767837428111</v>
      </c>
      <c r="DQ34" s="32">
        <f>IF(DP34="","",DP34*$DO$1/'CPI USA'!$U$532+(1-DP34)*AVERAGE($DO$1,$DQ$1)/AVERAGE('CPI USA'!$U$532,'PPI USA'!$T$538))</f>
        <v>1.0411628403436084</v>
      </c>
      <c r="DR34" s="6">
        <f t="shared" si="38"/>
        <v>70046594</v>
      </c>
      <c r="DS34" s="32">
        <f t="shared" si="39"/>
        <v>0.20012034202683704</v>
      </c>
      <c r="DT34" s="28">
        <f>IF(DS34="","",DS34*$DO$1/'CPI USA'!$U$532+(1-DS34)*AVERAGE($DO$1,$DQ$1)/AVERAGE('CPI USA'!$U$532,'PPI USA'!$T$538))</f>
        <v>1.0426790612788743</v>
      </c>
      <c r="DU34" s="6">
        <f t="shared" si="40"/>
        <v>133332702</v>
      </c>
      <c r="DV34" s="6">
        <f t="shared" si="41"/>
        <v>72363.118195286705</v>
      </c>
      <c r="DW34" s="6">
        <f t="shared" si="42"/>
        <v>46299129.986783914</v>
      </c>
      <c r="DX34" s="16">
        <f t="shared" si="43"/>
        <v>0.40263402887873961</v>
      </c>
      <c r="DY34" s="28">
        <f>IF(DX34="","",DX34*$DO$1/'CPI USA'!$U$532+(1-DX34)*AVERAGE($DO$1,$DQ$1)/AVERAGE('CPI USA'!$U$532,'PPI USA'!$T$538))</f>
        <v>1.038005272222057</v>
      </c>
      <c r="DZ34" s="30"/>
      <c r="EA34" s="29" t="str">
        <f t="shared" si="44"/>
        <v>C000415</v>
      </c>
      <c r="EB34" s="29">
        <f t="shared" si="45"/>
        <v>14758079192.328794</v>
      </c>
      <c r="EC34" s="29">
        <f t="shared" si="46"/>
        <v>660131516.59193254</v>
      </c>
      <c r="ED34" s="29">
        <f t="shared" si="47"/>
        <v>433565316.44329911</v>
      </c>
      <c r="EE34" s="29">
        <f t="shared" si="48"/>
        <v>364960983.66605806</v>
      </c>
      <c r="EF34" s="29">
        <f t="shared" si="49"/>
        <v>119360852.7312275</v>
      </c>
      <c r="EG34" s="29">
        <f t="shared" si="50"/>
        <v>10340</v>
      </c>
      <c r="EH34" s="29">
        <f t="shared" si="51"/>
        <v>2266460</v>
      </c>
      <c r="EI34" s="29">
        <f t="shared" si="52"/>
        <v>1162820</v>
      </c>
      <c r="EJ34" s="29">
        <f t="shared" si="53"/>
        <v>39121948</v>
      </c>
      <c r="EK34" s="29">
        <f t="shared" si="54"/>
        <v>40168154.604060911</v>
      </c>
      <c r="EL34" s="29">
        <f>IF(CD34=1,VLOOKUP(EA34,'EIA 2023'!$A$2:$J$213,4,0)*EH34,"")</f>
        <v>355478385.77999997</v>
      </c>
      <c r="EM34" s="29">
        <f>IF(CD34=1,VLOOKUP(EA34,'EIA 2023'!$A$2:$J$213,7,0)*EH34,"")</f>
        <v>3902844.12</v>
      </c>
      <c r="EN34" s="29">
        <f>IF(CD34=1,VLOOKUP(EA34,'EIA 2023'!$A$2:$J$213,10,0),"")</f>
        <v>2585342</v>
      </c>
      <c r="EO34" s="28">
        <f>IF(CD34=1,VLOOKUP(EA34,'EIA 2023'!$A$2:$Z$213,26,0),"")</f>
        <v>0</v>
      </c>
      <c r="EP34" s="23">
        <f t="shared" si="55"/>
        <v>2.6045672607402887E-2</v>
      </c>
      <c r="EQ34" s="32">
        <f t="shared" si="56"/>
        <v>116613.39593908656</v>
      </c>
      <c r="ER34" s="32">
        <f t="shared" si="57"/>
        <v>1046206.6040609134</v>
      </c>
      <c r="ES34" s="32"/>
      <c r="ET34" s="32"/>
    </row>
    <row r="35" spans="1:150" ht="15.75" customHeight="1">
      <c r="A35" s="7" t="s">
        <v>309</v>
      </c>
      <c r="B35" s="7" t="s">
        <v>310</v>
      </c>
      <c r="C35" s="32" t="s">
        <v>1120</v>
      </c>
      <c r="D35" s="42">
        <v>331237701</v>
      </c>
      <c r="E35" s="42">
        <v>0</v>
      </c>
      <c r="F35" s="42">
        <v>0</v>
      </c>
      <c r="G35" s="42">
        <v>117876713</v>
      </c>
      <c r="H35" s="42">
        <v>175958697</v>
      </c>
      <c r="I35" s="42">
        <v>2457691</v>
      </c>
      <c r="J35" s="42">
        <v>313946</v>
      </c>
      <c r="K35" s="42">
        <v>0</v>
      </c>
      <c r="L35" s="42">
        <v>1490968</v>
      </c>
      <c r="M35" s="42">
        <v>667861</v>
      </c>
      <c r="N35" s="42">
        <v>0</v>
      </c>
      <c r="O35" s="42">
        <v>3319248</v>
      </c>
      <c r="P35" s="42">
        <v>3968301</v>
      </c>
      <c r="Q35" s="42">
        <v>974333</v>
      </c>
      <c r="R35" s="42">
        <v>0</v>
      </c>
      <c r="S35" s="42">
        <v>3842443</v>
      </c>
      <c r="T35" s="42">
        <v>19122050</v>
      </c>
      <c r="U35" s="42">
        <v>347486</v>
      </c>
      <c r="V35" s="42">
        <v>634959</v>
      </c>
      <c r="W35" s="42">
        <v>0</v>
      </c>
      <c r="X35" s="42">
        <f>IFERROR(VLOOKUP(A35,'Trans 21-23'!$A$2:$J$229,10,0),0)</f>
        <v>121630</v>
      </c>
      <c r="Y35" s="42">
        <v>1636444</v>
      </c>
      <c r="Z35" s="42">
        <v>1860365</v>
      </c>
      <c r="AA35" s="42">
        <v>16539607</v>
      </c>
      <c r="AB35" s="42">
        <v>15664438</v>
      </c>
      <c r="AC35" s="42">
        <v>4695863</v>
      </c>
      <c r="AD35" s="42">
        <v>83163628</v>
      </c>
      <c r="AE35" s="42">
        <v>0</v>
      </c>
      <c r="AF35" s="42">
        <v>783677577</v>
      </c>
      <c r="AG35" s="42">
        <v>294514</v>
      </c>
      <c r="AH35" s="42">
        <v>523908</v>
      </c>
      <c r="AI35" s="42">
        <v>12386174</v>
      </c>
      <c r="AJ35" s="42">
        <v>33860</v>
      </c>
      <c r="AK35" s="42">
        <v>0</v>
      </c>
      <c r="AL35" s="42">
        <v>3771793</v>
      </c>
      <c r="AM35" s="42">
        <v>2723342</v>
      </c>
      <c r="AN35" s="42">
        <v>2228865</v>
      </c>
      <c r="AO35" s="42">
        <v>16947</v>
      </c>
      <c r="AP35" s="42">
        <v>107429</v>
      </c>
      <c r="AQ35" s="42">
        <v>8848376</v>
      </c>
      <c r="AR35" s="42">
        <v>2980030</v>
      </c>
      <c r="AS35" s="42">
        <v>11828406</v>
      </c>
      <c r="AT35" s="42">
        <v>0</v>
      </c>
      <c r="AU35" s="42">
        <v>2759</v>
      </c>
      <c r="AV35" s="42">
        <v>0</v>
      </c>
      <c r="AW35" s="42">
        <v>429529686</v>
      </c>
      <c r="AX35" s="42">
        <v>97814076</v>
      </c>
      <c r="AY35" s="42">
        <v>140200714</v>
      </c>
      <c r="AZ35" s="42">
        <v>94040562</v>
      </c>
      <c r="BA35" s="42">
        <v>83003570</v>
      </c>
      <c r="BB35" s="42">
        <v>2022566737</v>
      </c>
      <c r="BC35" s="42">
        <v>5873828118</v>
      </c>
      <c r="BD35" s="42">
        <v>283353918</v>
      </c>
      <c r="BE35" s="42">
        <v>713456770</v>
      </c>
      <c r="BF35" s="42">
        <v>47089382</v>
      </c>
      <c r="BG35" s="42">
        <v>0</v>
      </c>
      <c r="BH35" s="42">
        <v>14559261</v>
      </c>
      <c r="BI35" s="42">
        <v>4413113</v>
      </c>
      <c r="BJ35" s="42">
        <v>3642867</v>
      </c>
      <c r="BK35" s="42">
        <v>1892726</v>
      </c>
      <c r="BL35" s="42">
        <v>0</v>
      </c>
      <c r="BM35" s="42">
        <v>2411653</v>
      </c>
      <c r="BN35" s="42">
        <v>57876856</v>
      </c>
      <c r="BO35" s="42">
        <v>714052</v>
      </c>
      <c r="BP35" s="42">
        <v>3049303</v>
      </c>
      <c r="BQ35" s="42">
        <v>84565490</v>
      </c>
      <c r="BR35" s="42">
        <v>0</v>
      </c>
      <c r="BS35" s="42">
        <f>IFERROR(VLOOKUP(A35,'Trans 21-23'!$A$2:$J$229,9,0),0)</f>
        <v>11978149</v>
      </c>
      <c r="BT35" s="67"/>
      <c r="BU35" s="32">
        <f t="shared" si="0"/>
        <v>2022566737</v>
      </c>
      <c r="BV35" s="32">
        <f t="shared" si="1"/>
        <v>2759</v>
      </c>
      <c r="BW35" s="32">
        <f t="shared" si="2"/>
        <v>294514</v>
      </c>
      <c r="BX35" s="32">
        <f t="shared" si="3"/>
        <v>37139286</v>
      </c>
      <c r="BY35" s="32">
        <f t="shared" si="4"/>
        <v>40396717</v>
      </c>
      <c r="BZ35" s="32">
        <f t="shared" si="5"/>
        <v>94040562</v>
      </c>
      <c r="CA35" s="32">
        <f t="shared" si="6"/>
        <v>83163628</v>
      </c>
      <c r="CB35" s="32">
        <f t="shared" si="7"/>
        <v>523908</v>
      </c>
      <c r="CC35" s="32">
        <f t="shared" si="8"/>
        <v>8848376</v>
      </c>
      <c r="CD35" s="41">
        <f t="shared" si="9"/>
        <v>1</v>
      </c>
      <c r="CE35" s="44">
        <f t="shared" si="10"/>
        <v>13</v>
      </c>
      <c r="CF35" s="27"/>
      <c r="CG35" s="28">
        <f t="shared" si="11"/>
        <v>733.07964371148967</v>
      </c>
      <c r="CH35" s="28">
        <f t="shared" si="12"/>
        <v>9.367975715925219</v>
      </c>
      <c r="CI35" s="28">
        <f t="shared" si="13"/>
        <v>126.1036351412836</v>
      </c>
      <c r="CJ35" s="28">
        <f t="shared" si="14"/>
        <v>319.30761186225442</v>
      </c>
      <c r="CK35" s="23">
        <f t="shared" si="15"/>
        <v>5.9209509179989642E-2</v>
      </c>
      <c r="CL35" s="29" t="str">
        <f t="shared" si="16"/>
        <v/>
      </c>
      <c r="CM35" s="29" t="str">
        <f t="shared" si="17"/>
        <v/>
      </c>
      <c r="CN35" s="29" t="str">
        <f t="shared" si="18"/>
        <v/>
      </c>
      <c r="CO35" s="29" t="str">
        <f t="shared" si="19"/>
        <v/>
      </c>
      <c r="CP35" s="29" t="str">
        <f t="shared" si="20"/>
        <v/>
      </c>
      <c r="CQ35" s="29">
        <f t="shared" si="21"/>
        <v>0</v>
      </c>
      <c r="CR35" s="13"/>
      <c r="CS35" s="7">
        <f>VLOOKUP(A35,'Empresas 21-23'!$A$2:$M$228,13,0)</f>
        <v>1</v>
      </c>
      <c r="CT35" s="30"/>
      <c r="CU35" s="6">
        <f t="shared" si="22"/>
        <v>1714691880</v>
      </c>
      <c r="CV35" s="6">
        <f t="shared" si="23"/>
        <v>94040562</v>
      </c>
      <c r="CW35" s="6">
        <f t="shared" si="24"/>
        <v>283353918</v>
      </c>
      <c r="CX35" s="23">
        <f t="shared" si="58"/>
        <v>0.30671671465722888</v>
      </c>
      <c r="CY35" s="23">
        <f t="shared" si="59"/>
        <v>1.6821571594051895E-2</v>
      </c>
      <c r="CZ35" s="6">
        <f t="shared" si="27"/>
        <v>1801601262.8142138</v>
      </c>
      <c r="DA35" s="6">
        <f t="shared" si="28"/>
        <v>98807020.218092114</v>
      </c>
      <c r="DB35" s="6">
        <f t="shared" si="29"/>
        <v>37139286</v>
      </c>
      <c r="DC35" s="6">
        <f t="shared" si="30"/>
        <v>37260916</v>
      </c>
      <c r="DD35" s="6">
        <f t="shared" si="31"/>
        <v>40396717</v>
      </c>
      <c r="DE35" s="6">
        <f t="shared" si="32"/>
        <v>83163628</v>
      </c>
      <c r="DF35" s="6">
        <f t="shared" si="33"/>
        <v>33407678.034223203</v>
      </c>
      <c r="DG35" s="30"/>
      <c r="DH35" s="32">
        <f>VLOOKUP(A35,'T_med_comp-USA'!$A$7:$Q$233,17,0)</f>
        <v>13.841143974915161</v>
      </c>
      <c r="DI35" s="6" t="str">
        <f t="shared" si="34"/>
        <v>3_2010</v>
      </c>
      <c r="DJ35" s="32">
        <f>IF(DI35="","",VLOOKUP(DI35,'CPI USA'!$T:$U,2,FALSE))</f>
        <v>218.05600000000001</v>
      </c>
      <c r="DK35" s="32">
        <f>IF(DI35="","",VLOOKUP(DI35,'PPI USA'!$S:$T,2,FALSE))</f>
        <v>160.80000000000001</v>
      </c>
      <c r="DL35" s="32">
        <f>IF(DI35="","",VLOOKUP(DI35,'CPI USA'!$T:$V,3,FALSE))</f>
        <v>0.67050107279443949</v>
      </c>
      <c r="DM35" s="32">
        <f>IF(DI35="","",VLOOKUP(DI35,'CPI USA'!$T:$X,5,FALSE))</f>
        <v>0.4987389730136107</v>
      </c>
      <c r="DN35" s="32">
        <f t="shared" si="35"/>
        <v>1.4703278680244813</v>
      </c>
      <c r="DO35" s="32">
        <f t="shared" si="36"/>
        <v>1.4857204383544427</v>
      </c>
      <c r="DP35" s="32">
        <f t="shared" si="37"/>
        <v>0.39685428925825184</v>
      </c>
      <c r="DQ35" s="32">
        <f>IF(DP35="","",DP35*$DO$1/'CPI USA'!$U$532+(1-DP35)*AVERAGE($DO$1,$DQ$1)/AVERAGE('CPI USA'!$U$532,'PPI USA'!$T$538))</f>
        <v>1.0381386621386075</v>
      </c>
      <c r="DR35" s="6">
        <f t="shared" si="38"/>
        <v>9948706</v>
      </c>
      <c r="DS35" s="32">
        <f t="shared" si="39"/>
        <v>0.24931351531343904</v>
      </c>
      <c r="DT35" s="28">
        <f>IF(DS35="","",DS35*$DO$1/'CPI USA'!$U$532+(1-DS35)*AVERAGE($DO$1,$DQ$1)/AVERAGE('CPI USA'!$U$532,'PPI USA'!$T$538))</f>
        <v>1.041543737940728</v>
      </c>
      <c r="DU35" s="6">
        <f t="shared" si="40"/>
        <v>2441406.6142591434</v>
      </c>
      <c r="DV35" s="6">
        <f t="shared" si="41"/>
        <v>90213.502354556898</v>
      </c>
      <c r="DW35" s="6">
        <f t="shared" si="42"/>
        <v>1072015.0775727124</v>
      </c>
      <c r="DX35" s="16">
        <f t="shared" si="43"/>
        <v>0.2</v>
      </c>
      <c r="DY35" s="28">
        <f>IF(DX35="","",DX35*$DO$1/'CPI USA'!$U$532+(1-DX35)*AVERAGE($DO$1,$DQ$1)/AVERAGE('CPI USA'!$U$532,'PPI USA'!$T$538))</f>
        <v>1.0426818386380585</v>
      </c>
      <c r="DZ35" s="30"/>
      <c r="EA35" s="29" t="str">
        <f t="shared" si="44"/>
        <v>C000447</v>
      </c>
      <c r="EB35" s="29">
        <f t="shared" si="45"/>
        <v>2648944543.7838364</v>
      </c>
      <c r="EC35" s="29">
        <f t="shared" si="46"/>
        <v>146799609.3909201</v>
      </c>
      <c r="ED35" s="29">
        <f t="shared" si="47"/>
        <v>38681997.486299038</v>
      </c>
      <c r="EE35" s="29">
        <f t="shared" si="48"/>
        <v>42074947.624713749</v>
      </c>
      <c r="EF35" s="29">
        <f t="shared" si="49"/>
        <v>34833579.157352127</v>
      </c>
      <c r="EG35" s="29">
        <f t="shared" si="50"/>
        <v>2759</v>
      </c>
      <c r="EH35" s="29">
        <f t="shared" si="51"/>
        <v>294514</v>
      </c>
      <c r="EI35" s="29">
        <f t="shared" si="52"/>
        <v>523908</v>
      </c>
      <c r="EJ35" s="29">
        <f t="shared" si="53"/>
        <v>8848376</v>
      </c>
      <c r="EK35" s="29">
        <f t="shared" si="54"/>
        <v>9326902.8324873094</v>
      </c>
      <c r="EL35" s="29">
        <f>IF(CD35=1,VLOOKUP(EA35,'EIA 2023'!$A$2:$J$213,4,0)*EH35,"")</f>
        <v>43116849.600000001</v>
      </c>
      <c r="EM35" s="29">
        <f>IF(CD35=1,VLOOKUP(EA35,'EIA 2023'!$A$2:$J$213,7,0)*EH35,"")</f>
        <v>801078.08000000007</v>
      </c>
      <c r="EN35" s="29">
        <f>IF(CD35=1,VLOOKUP(EA35,'EIA 2023'!$A$2:$J$213,10,0),"")</f>
        <v>294505</v>
      </c>
      <c r="EO35" s="28">
        <f>IF(CD35=1,VLOOKUP(EA35,'EIA 2023'!$A$2:$Z$213,26,0),"")</f>
        <v>0</v>
      </c>
      <c r="EP35" s="23">
        <f t="shared" si="55"/>
        <v>5.1306081030512429E-2</v>
      </c>
      <c r="EQ35" s="32">
        <f t="shared" si="56"/>
        <v>45381.167512690183</v>
      </c>
      <c r="ER35" s="32">
        <f t="shared" si="57"/>
        <v>478526.83248730982</v>
      </c>
      <c r="ES35" s="32"/>
      <c r="ET35" s="32"/>
    </row>
    <row r="36" spans="1:150" ht="15.75" customHeight="1">
      <c r="A36" s="7" t="s">
        <v>312</v>
      </c>
      <c r="B36" s="7" t="s">
        <v>313</v>
      </c>
      <c r="C36" s="32" t="s">
        <v>1121</v>
      </c>
      <c r="D36" s="42">
        <v>99232955</v>
      </c>
      <c r="E36" s="42">
        <v>35560125</v>
      </c>
      <c r="F36" s="42">
        <v>36894785</v>
      </c>
      <c r="G36" s="42">
        <v>193661464</v>
      </c>
      <c r="H36" s="42">
        <v>195202792</v>
      </c>
      <c r="I36" s="42">
        <v>1009796</v>
      </c>
      <c r="J36" s="42">
        <v>718447</v>
      </c>
      <c r="K36" s="42">
        <v>0</v>
      </c>
      <c r="L36" s="42">
        <v>604000</v>
      </c>
      <c r="M36" s="42">
        <v>857091</v>
      </c>
      <c r="N36" s="42">
        <v>804471</v>
      </c>
      <c r="O36" s="42">
        <v>12522083</v>
      </c>
      <c r="P36" s="42">
        <v>440609</v>
      </c>
      <c r="Q36" s="42">
        <v>0</v>
      </c>
      <c r="R36" s="42">
        <v>0</v>
      </c>
      <c r="S36" s="42">
        <v>2149890</v>
      </c>
      <c r="T36" s="42">
        <v>7272726</v>
      </c>
      <c r="U36" s="42">
        <v>962598</v>
      </c>
      <c r="V36" s="42">
        <v>0</v>
      </c>
      <c r="W36" s="42">
        <v>458783</v>
      </c>
      <c r="X36" s="42">
        <f>IFERROR(VLOOKUP(A36,'Trans 21-23'!$A$2:$J$229,10,0),0)</f>
        <v>1867035</v>
      </c>
      <c r="Y36" s="42">
        <v>1216556</v>
      </c>
      <c r="Z36" s="42">
        <v>291298</v>
      </c>
      <c r="AA36" s="42">
        <v>22364554</v>
      </c>
      <c r="AB36" s="42">
        <v>1064621</v>
      </c>
      <c r="AC36" s="42">
        <v>0</v>
      </c>
      <c r="AD36" s="42">
        <v>82969419</v>
      </c>
      <c r="AE36" s="42">
        <v>0</v>
      </c>
      <c r="AF36" s="42">
        <v>670577403</v>
      </c>
      <c r="AG36" s="42">
        <v>456346</v>
      </c>
      <c r="AH36" s="42">
        <v>513839</v>
      </c>
      <c r="AI36" s="42">
        <v>13978337</v>
      </c>
      <c r="AJ36" s="42">
        <v>13345</v>
      </c>
      <c r="AK36" s="42">
        <v>0</v>
      </c>
      <c r="AL36" s="42">
        <v>3486013</v>
      </c>
      <c r="AM36" s="42">
        <v>2487165</v>
      </c>
      <c r="AN36" s="42">
        <v>1038777</v>
      </c>
      <c r="AO36" s="42">
        <v>41574</v>
      </c>
      <c r="AP36" s="42">
        <v>1570563</v>
      </c>
      <c r="AQ36" s="42">
        <v>8624092</v>
      </c>
      <c r="AR36" s="42">
        <v>4827061</v>
      </c>
      <c r="AS36" s="42">
        <v>13451153</v>
      </c>
      <c r="AT36" s="42">
        <v>0</v>
      </c>
      <c r="AU36" s="42">
        <v>2384</v>
      </c>
      <c r="AV36" s="42">
        <v>0</v>
      </c>
      <c r="AW36" s="42">
        <v>167968674</v>
      </c>
      <c r="AX36" s="42">
        <v>179366566</v>
      </c>
      <c r="AY36" s="42">
        <v>208730103</v>
      </c>
      <c r="AZ36" s="42">
        <v>54512959</v>
      </c>
      <c r="BA36" s="42">
        <v>11972862</v>
      </c>
      <c r="BB36" s="42">
        <v>1734634722</v>
      </c>
      <c r="BC36" s="42">
        <v>6603225558</v>
      </c>
      <c r="BD36" s="42">
        <v>331644587</v>
      </c>
      <c r="BE36" s="42">
        <v>472768537</v>
      </c>
      <c r="BF36" s="42">
        <v>39794823</v>
      </c>
      <c r="BG36" s="42">
        <v>0</v>
      </c>
      <c r="BH36" s="42">
        <v>16379462</v>
      </c>
      <c r="BI36" s="42">
        <v>8131924</v>
      </c>
      <c r="BJ36" s="42">
        <v>375</v>
      </c>
      <c r="BK36" s="42">
        <v>0</v>
      </c>
      <c r="BL36" s="42">
        <v>0</v>
      </c>
      <c r="BM36" s="42">
        <v>33745523</v>
      </c>
      <c r="BN36" s="42">
        <v>86563482</v>
      </c>
      <c r="BO36" s="42">
        <v>1004865</v>
      </c>
      <c r="BP36" s="42">
        <v>1083397</v>
      </c>
      <c r="BQ36" s="42">
        <v>128937365</v>
      </c>
      <c r="BR36" s="42">
        <v>0</v>
      </c>
      <c r="BS36" s="42">
        <f>IFERROR(VLOOKUP(A36,'Trans 21-23'!$A$2:$J$229,9,0),0)</f>
        <v>183865581</v>
      </c>
      <c r="BT36" s="67"/>
      <c r="BU36" s="32">
        <f t="shared" si="0"/>
        <v>1734634722</v>
      </c>
      <c r="BV36" s="32">
        <f t="shared" si="1"/>
        <v>2384</v>
      </c>
      <c r="BW36" s="32">
        <f t="shared" si="2"/>
        <v>456346</v>
      </c>
      <c r="BX36" s="32">
        <f t="shared" si="3"/>
        <v>27800494</v>
      </c>
      <c r="BY36" s="32">
        <f t="shared" si="4"/>
        <v>24937029</v>
      </c>
      <c r="BZ36" s="32">
        <f t="shared" si="5"/>
        <v>54512959</v>
      </c>
      <c r="CA36" s="32">
        <f t="shared" si="6"/>
        <v>82969419</v>
      </c>
      <c r="CB36" s="32">
        <f t="shared" si="7"/>
        <v>513839</v>
      </c>
      <c r="CC36" s="32">
        <f t="shared" si="8"/>
        <v>8624092</v>
      </c>
      <c r="CD36" s="41">
        <f t="shared" si="9"/>
        <v>1</v>
      </c>
      <c r="CE36" s="44">
        <f t="shared" si="10"/>
        <v>13</v>
      </c>
      <c r="CF36" s="27"/>
      <c r="CG36" s="28">
        <f t="shared" si="11"/>
        <v>727.61523573825514</v>
      </c>
      <c r="CH36" s="28">
        <f t="shared" si="12"/>
        <v>5.2241062702423164</v>
      </c>
      <c r="CI36" s="28">
        <f t="shared" si="13"/>
        <v>60.919771401524279</v>
      </c>
      <c r="CJ36" s="28">
        <f t="shared" si="14"/>
        <v>119.45532337305465</v>
      </c>
      <c r="CK36" s="23">
        <f t="shared" si="15"/>
        <v>5.9581808728385553E-2</v>
      </c>
      <c r="CL36" s="29" t="str">
        <f t="shared" si="16"/>
        <v/>
      </c>
      <c r="CM36" s="29" t="str">
        <f t="shared" si="17"/>
        <v/>
      </c>
      <c r="CN36" s="29" t="str">
        <f t="shared" si="18"/>
        <v/>
      </c>
      <c r="CO36" s="29" t="str">
        <f t="shared" si="19"/>
        <v/>
      </c>
      <c r="CP36" s="29" t="str">
        <f t="shared" si="20"/>
        <v/>
      </c>
      <c r="CQ36" s="29">
        <f t="shared" si="21"/>
        <v>0</v>
      </c>
      <c r="CR36" s="13"/>
      <c r="CS36" s="7">
        <f>VLOOKUP(A36,'Empresas 21-23'!$A$2:$M$228,13,0)</f>
        <v>1</v>
      </c>
      <c r="CT36" s="30"/>
      <c r="CU36" s="6">
        <f t="shared" si="22"/>
        <v>1619156480.5999999</v>
      </c>
      <c r="CV36" s="6">
        <f t="shared" si="23"/>
        <v>54512959</v>
      </c>
      <c r="CW36" s="6">
        <f t="shared" si="24"/>
        <v>331644587</v>
      </c>
      <c r="CX36" s="23">
        <f t="shared" si="58"/>
        <v>0.2581735750661649</v>
      </c>
      <c r="CY36" s="23">
        <f t="shared" si="59"/>
        <v>8.6920601443351755E-3</v>
      </c>
      <c r="CZ36" s="6">
        <f t="shared" si="27"/>
        <v>1704778349.2771316</v>
      </c>
      <c r="DA36" s="6">
        <f t="shared" si="28"/>
        <v>57395633.696747199</v>
      </c>
      <c r="DB36" s="6">
        <f t="shared" si="29"/>
        <v>27800494</v>
      </c>
      <c r="DC36" s="6">
        <f t="shared" si="30"/>
        <v>29667529</v>
      </c>
      <c r="DD36" s="6">
        <f t="shared" si="31"/>
        <v>24937029</v>
      </c>
      <c r="DE36" s="6">
        <f t="shared" si="32"/>
        <v>82969419</v>
      </c>
      <c r="DF36" s="6">
        <f t="shared" si="33"/>
        <v>20526292.67303424</v>
      </c>
      <c r="DG36" s="30"/>
      <c r="DH36" s="32">
        <f>VLOOKUP(A36,'T_med_comp-USA'!$A$7:$Q$233,17,0)</f>
        <v>13.765194100478434</v>
      </c>
      <c r="DI36" s="6" t="str">
        <f t="shared" si="34"/>
        <v>3_2010</v>
      </c>
      <c r="DJ36" s="32">
        <f>IF(DI36="","",VLOOKUP(DI36,'CPI USA'!$T:$U,2,FALSE))</f>
        <v>218.05600000000001</v>
      </c>
      <c r="DK36" s="32">
        <f>IF(DI36="","",VLOOKUP(DI36,'PPI USA'!$S:$T,2,FALSE))</f>
        <v>160.80000000000001</v>
      </c>
      <c r="DL36" s="32">
        <f>IF(DI36="","",VLOOKUP(DI36,'CPI USA'!$T:$V,3,FALSE))</f>
        <v>0.67050107279443949</v>
      </c>
      <c r="DM36" s="32">
        <f>IF(DI36="","",VLOOKUP(DI36,'CPI USA'!$T:$X,5,FALSE))</f>
        <v>0.4987389730136107</v>
      </c>
      <c r="DN36" s="32">
        <f t="shared" si="35"/>
        <v>1.4703278680244813</v>
      </c>
      <c r="DO36" s="32">
        <f t="shared" si="36"/>
        <v>1.4857204383544427</v>
      </c>
      <c r="DP36" s="32">
        <f t="shared" si="37"/>
        <v>0.59601824434786066</v>
      </c>
      <c r="DQ36" s="32">
        <f>IF(DP36="","",DP36*$DO$1/'CPI USA'!$U$532+(1-DP36)*AVERAGE($DO$1,$DQ$1)/AVERAGE('CPI USA'!$U$532,'PPI USA'!$T$538))</f>
        <v>1.0335421811388268</v>
      </c>
      <c r="DR36" s="6">
        <f t="shared" si="38"/>
        <v>8132299</v>
      </c>
      <c r="DS36" s="32">
        <f t="shared" si="39"/>
        <v>0.32989904765053757</v>
      </c>
      <c r="DT36" s="28">
        <f>IF(DS36="","",DS36*$DO$1/'CPI USA'!$U$532+(1-DS36)*AVERAGE($DO$1,$DQ$1)/AVERAGE('CPI USA'!$U$532,'PPI USA'!$T$538))</f>
        <v>1.0396839141182996</v>
      </c>
      <c r="DU36" s="6">
        <f t="shared" si="40"/>
        <v>34137255.104415521</v>
      </c>
      <c r="DV36" s="6">
        <f t="shared" si="41"/>
        <v>285949.65767218894</v>
      </c>
      <c r="DW36" s="6">
        <f t="shared" si="42"/>
        <v>9747451.7947690208</v>
      </c>
      <c r="DX36" s="16">
        <f t="shared" si="43"/>
        <v>0.47487639146714611</v>
      </c>
      <c r="DY36" s="28">
        <f>IF(DX36="","",DX36*$DO$1/'CPI USA'!$U$532+(1-DX36)*AVERAGE($DO$1,$DQ$1)/AVERAGE('CPI USA'!$U$532,'PPI USA'!$T$538))</f>
        <v>1.0363379994122381</v>
      </c>
      <c r="DZ36" s="30"/>
      <c r="EA36" s="29" t="str">
        <f t="shared" si="44"/>
        <v>C000465</v>
      </c>
      <c r="EB36" s="29">
        <f t="shared" si="45"/>
        <v>2506583115.7469397</v>
      </c>
      <c r="EC36" s="29">
        <f t="shared" si="46"/>
        <v>85273866.055562273</v>
      </c>
      <c r="ED36" s="29">
        <f t="shared" si="47"/>
        <v>30662642.631659396</v>
      </c>
      <c r="EE36" s="29">
        <f t="shared" si="48"/>
        <v>25926627.917201549</v>
      </c>
      <c r="EF36" s="29">
        <f t="shared" si="49"/>
        <v>21272177.084122386</v>
      </c>
      <c r="EG36" s="29">
        <f t="shared" si="50"/>
        <v>2384</v>
      </c>
      <c r="EH36" s="29">
        <f t="shared" si="51"/>
        <v>456346</v>
      </c>
      <c r="EI36" s="29">
        <f t="shared" si="52"/>
        <v>513839</v>
      </c>
      <c r="EJ36" s="29">
        <f t="shared" si="53"/>
        <v>8624092</v>
      </c>
      <c r="EK36" s="29">
        <f t="shared" si="54"/>
        <v>9064422.4568527918</v>
      </c>
      <c r="EL36" s="29">
        <f>IF(CD36=1,VLOOKUP(EA36,'EIA 2023'!$A$2:$J$213,4,0)*EH36,"")</f>
        <v>36401807.728</v>
      </c>
      <c r="EM36" s="29">
        <f>IF(CD36=1,VLOOKUP(EA36,'EIA 2023'!$A$2:$J$213,7,0)*EH36,"")</f>
        <v>520234.43999999994</v>
      </c>
      <c r="EN36" s="29">
        <f>IF(CD36=1,VLOOKUP(EA36,'EIA 2023'!$A$2:$J$213,10,0),"")</f>
        <v>120081</v>
      </c>
      <c r="EO36" s="28">
        <f>IF(CD36=1,VLOOKUP(EA36,'EIA 2023'!$A$2:$Z$213,26,0),"")</f>
        <v>0</v>
      </c>
      <c r="EP36" s="23">
        <f t="shared" si="55"/>
        <v>4.8577883361989344E-2</v>
      </c>
      <c r="EQ36" s="32">
        <f t="shared" si="56"/>
        <v>73508.543147208169</v>
      </c>
      <c r="ER36" s="32">
        <f t="shared" si="57"/>
        <v>440330.45685279183</v>
      </c>
      <c r="ES36" s="32"/>
      <c r="ET36" s="32"/>
    </row>
    <row r="37" spans="1:150" ht="15.75" customHeight="1">
      <c r="A37" s="7" t="s">
        <v>315</v>
      </c>
      <c r="B37" s="7" t="s">
        <v>316</v>
      </c>
      <c r="C37" s="32" t="s">
        <v>1122</v>
      </c>
      <c r="D37" s="42">
        <v>102289654</v>
      </c>
      <c r="E37" s="42">
        <v>0</v>
      </c>
      <c r="F37" s="42">
        <v>163275483</v>
      </c>
      <c r="G37" s="42">
        <v>134533152</v>
      </c>
      <c r="H37" s="42">
        <v>137412163</v>
      </c>
      <c r="I37" s="42">
        <v>56585</v>
      </c>
      <c r="J37" s="42">
        <v>290091</v>
      </c>
      <c r="K37" s="42">
        <v>2105064</v>
      </c>
      <c r="L37" s="42">
        <v>52316</v>
      </c>
      <c r="M37" s="42">
        <v>161639</v>
      </c>
      <c r="N37" s="42">
        <v>0</v>
      </c>
      <c r="O37" s="42">
        <v>4721761</v>
      </c>
      <c r="P37" s="42">
        <v>0</v>
      </c>
      <c r="Q37" s="42">
        <v>16163</v>
      </c>
      <c r="R37" s="42">
        <v>28795</v>
      </c>
      <c r="S37" s="42">
        <v>1068912</v>
      </c>
      <c r="T37" s="42">
        <v>17218660</v>
      </c>
      <c r="U37" s="42">
        <v>3667724</v>
      </c>
      <c r="V37" s="42">
        <v>214140</v>
      </c>
      <c r="W37" s="42">
        <v>205</v>
      </c>
      <c r="X37" s="42">
        <f>IFERROR(VLOOKUP(A37,'Trans 21-23'!$A$2:$J$229,10,0),0)</f>
        <v>0</v>
      </c>
      <c r="Y37" s="42">
        <v>1782835</v>
      </c>
      <c r="Z37" s="42">
        <v>0</v>
      </c>
      <c r="AA37" s="42">
        <v>10590184</v>
      </c>
      <c r="AB37" s="42">
        <v>28383786</v>
      </c>
      <c r="AC37" s="42">
        <v>3272</v>
      </c>
      <c r="AD37" s="42">
        <v>55319427</v>
      </c>
      <c r="AE37" s="42">
        <v>0</v>
      </c>
      <c r="AF37" s="42">
        <v>762845639</v>
      </c>
      <c r="AG37" s="42">
        <v>463138</v>
      </c>
      <c r="AH37" s="42">
        <v>371066</v>
      </c>
      <c r="AI37" s="42">
        <v>13364710</v>
      </c>
      <c r="AJ37" s="42">
        <v>49594</v>
      </c>
      <c r="AK37" s="42">
        <v>0</v>
      </c>
      <c r="AL37" s="42">
        <v>2952094</v>
      </c>
      <c r="AM37" s="42">
        <v>4010145</v>
      </c>
      <c r="AN37" s="42">
        <v>3830465</v>
      </c>
      <c r="AO37" s="42">
        <v>22832</v>
      </c>
      <c r="AP37" s="42">
        <v>0</v>
      </c>
      <c r="AQ37" s="42">
        <v>10817248</v>
      </c>
      <c r="AR37" s="42">
        <v>2126802</v>
      </c>
      <c r="AS37" s="42">
        <v>12944050</v>
      </c>
      <c r="AT37" s="42">
        <v>0</v>
      </c>
      <c r="AU37" s="42">
        <v>2112</v>
      </c>
      <c r="AV37" s="42">
        <v>0</v>
      </c>
      <c r="AW37" s="42">
        <v>220299334</v>
      </c>
      <c r="AX37" s="42">
        <v>7836558</v>
      </c>
      <c r="AY37" s="42">
        <v>637355638</v>
      </c>
      <c r="AZ37" s="42">
        <v>83696086</v>
      </c>
      <c r="BA37" s="42">
        <v>22183298</v>
      </c>
      <c r="BB37" s="42">
        <v>2315110461</v>
      </c>
      <c r="BC37" s="42">
        <v>5777571023</v>
      </c>
      <c r="BD37" s="42">
        <v>34279602</v>
      </c>
      <c r="BE37" s="42">
        <v>496607054</v>
      </c>
      <c r="BF37" s="42">
        <v>56068807</v>
      </c>
      <c r="BG37" s="42">
        <v>0</v>
      </c>
      <c r="BH37" s="42">
        <v>10598721</v>
      </c>
      <c r="BI37" s="42">
        <v>2613987</v>
      </c>
      <c r="BJ37" s="42">
        <v>3646523</v>
      </c>
      <c r="BK37" s="42">
        <v>0</v>
      </c>
      <c r="BL37" s="42">
        <v>0</v>
      </c>
      <c r="BM37" s="42">
        <v>18195190</v>
      </c>
      <c r="BN37" s="42">
        <v>65182404</v>
      </c>
      <c r="BO37" s="42">
        <v>4759387</v>
      </c>
      <c r="BP37" s="42">
        <v>20952936</v>
      </c>
      <c r="BQ37" s="42">
        <v>141865808</v>
      </c>
      <c r="BR37" s="42">
        <v>1712</v>
      </c>
      <c r="BS37" s="42">
        <f>IFERROR(VLOOKUP(A37,'Trans 21-23'!$A$2:$J$229,9,0),0)</f>
        <v>0</v>
      </c>
      <c r="BT37" s="67"/>
      <c r="BU37" s="32">
        <f t="shared" si="0"/>
        <v>2315110461</v>
      </c>
      <c r="BV37" s="32">
        <f t="shared" si="1"/>
        <v>2112</v>
      </c>
      <c r="BW37" s="32">
        <f t="shared" si="2"/>
        <v>463138</v>
      </c>
      <c r="BX37" s="32">
        <f t="shared" si="3"/>
        <v>29602055</v>
      </c>
      <c r="BY37" s="32">
        <f t="shared" si="4"/>
        <v>40760077</v>
      </c>
      <c r="BZ37" s="32">
        <f t="shared" si="5"/>
        <v>83696086</v>
      </c>
      <c r="CA37" s="32">
        <f t="shared" si="6"/>
        <v>55319427</v>
      </c>
      <c r="CB37" s="32">
        <f t="shared" si="7"/>
        <v>371066</v>
      </c>
      <c r="CC37" s="32">
        <f t="shared" si="8"/>
        <v>10817248</v>
      </c>
      <c r="CD37" s="41">
        <f t="shared" si="9"/>
        <v>1</v>
      </c>
      <c r="CE37" s="44">
        <f t="shared" si="10"/>
        <v>14</v>
      </c>
      <c r="CF37" s="27"/>
      <c r="CG37" s="28">
        <f t="shared" si="11"/>
        <v>1096.1697258522727</v>
      </c>
      <c r="CH37" s="28">
        <f t="shared" si="12"/>
        <v>4.560195881141258</v>
      </c>
      <c r="CI37" s="28">
        <f t="shared" si="13"/>
        <v>63.916273335377362</v>
      </c>
      <c r="CJ37" s="28">
        <f t="shared" si="14"/>
        <v>180.71522094926351</v>
      </c>
      <c r="CK37" s="23">
        <f t="shared" si="15"/>
        <v>3.4303179514789714E-2</v>
      </c>
      <c r="CL37" s="29" t="str">
        <f t="shared" si="16"/>
        <v/>
      </c>
      <c r="CM37" s="29" t="str">
        <f t="shared" si="17"/>
        <v/>
      </c>
      <c r="CN37" s="29" t="str">
        <f t="shared" si="18"/>
        <v/>
      </c>
      <c r="CO37" s="29" t="str">
        <f t="shared" si="19"/>
        <v/>
      </c>
      <c r="CP37" s="29" t="str">
        <f t="shared" si="20"/>
        <v/>
      </c>
      <c r="CQ37" s="29">
        <f t="shared" si="21"/>
        <v>0</v>
      </c>
      <c r="CR37" s="13"/>
      <c r="CS37" s="7">
        <f>VLOOKUP(A37,'Empresas 21-23'!$A$2:$M$228,13,0)</f>
        <v>1</v>
      </c>
      <c r="CT37" s="30"/>
      <c r="CU37" s="6">
        <f t="shared" si="22"/>
        <v>1822115759.4000001</v>
      </c>
      <c r="CV37" s="6">
        <f t="shared" si="23"/>
        <v>83696086</v>
      </c>
      <c r="CW37" s="6">
        <f t="shared" si="24"/>
        <v>34279602</v>
      </c>
      <c r="CX37" s="23">
        <f t="shared" si="58"/>
        <v>0.31725984733032059</v>
      </c>
      <c r="CY37" s="23">
        <f t="shared" si="59"/>
        <v>1.4572843316633784E-2</v>
      </c>
      <c r="CZ37" s="6">
        <f t="shared" si="27"/>
        <v>1832991300.6970642</v>
      </c>
      <c r="DA37" s="6">
        <f t="shared" si="28"/>
        <v>84195637.26890257</v>
      </c>
      <c r="DB37" s="6">
        <f t="shared" si="29"/>
        <v>29602055</v>
      </c>
      <c r="DC37" s="6">
        <f t="shared" si="30"/>
        <v>29602055</v>
      </c>
      <c r="DD37" s="6">
        <f t="shared" si="31"/>
        <v>40760077</v>
      </c>
      <c r="DE37" s="6">
        <f t="shared" si="32"/>
        <v>55319427</v>
      </c>
      <c r="DF37" s="6">
        <f t="shared" si="33"/>
        <v>12780846.265963228</v>
      </c>
      <c r="DG37" s="30"/>
      <c r="DH37" s="32">
        <f>VLOOKUP(A37,'T_med_comp-USA'!$A$7:$Q$233,17,0)</f>
        <v>10.373982767263257</v>
      </c>
      <c r="DI37" s="6" t="str">
        <f t="shared" si="34"/>
        <v>8_2013</v>
      </c>
      <c r="DJ37" s="32">
        <f>IF(DI37="","",VLOOKUP(DI37,'CPI USA'!$T:$U,2,FALSE))</f>
        <v>233.87700000000001</v>
      </c>
      <c r="DK37" s="32">
        <f>IF(DI37="","",VLOOKUP(DI37,'PPI USA'!$S:$T,2,FALSE))</f>
        <v>175.2</v>
      </c>
      <c r="DL37" s="32">
        <f>IF(DI37="","",VLOOKUP(DI37,'CPI USA'!$T:$V,3,FALSE))</f>
        <v>0.67305131835944076</v>
      </c>
      <c r="DM37" s="32">
        <f>IF(DI37="","",VLOOKUP(DI37,'CPI USA'!$T:$X,5,FALSE))</f>
        <v>0.50163050295255052</v>
      </c>
      <c r="DN37" s="32">
        <f t="shared" si="35"/>
        <v>1.3675350167423739</v>
      </c>
      <c r="DO37" s="32">
        <f t="shared" si="36"/>
        <v>1.3802235637774118</v>
      </c>
      <c r="DP37" s="32">
        <f t="shared" si="37"/>
        <v>0.38418285018461712</v>
      </c>
      <c r="DQ37" s="32">
        <f>IF(DP37="","",DP37*$DO$1/'CPI USA'!$U$532+(1-DP37)*AVERAGE($DO$1,$DQ$1)/AVERAGE('CPI USA'!$U$532,'PPI USA'!$T$538))</f>
        <v>1.0384311047591388</v>
      </c>
      <c r="DR37" s="6">
        <f t="shared" si="38"/>
        <v>6260510</v>
      </c>
      <c r="DS37" s="32">
        <f t="shared" si="39"/>
        <v>0.2</v>
      </c>
      <c r="DT37" s="28">
        <f>IF(DS37="","",DS37*$DO$1/'CPI USA'!$U$532+(1-DS37)*AVERAGE($DO$1,$DQ$1)/AVERAGE('CPI USA'!$U$532,'PPI USA'!$T$538))</f>
        <v>1.0426818386380585</v>
      </c>
      <c r="DU37" s="6">
        <f t="shared" si="40"/>
        <v>19523737.973599285</v>
      </c>
      <c r="DV37" s="6">
        <f t="shared" si="41"/>
        <v>3153036.1099837245</v>
      </c>
      <c r="DW37" s="6">
        <f t="shared" si="42"/>
        <v>5865278.8045365624</v>
      </c>
      <c r="DX37" s="16">
        <f t="shared" si="43"/>
        <v>0.45891161527828028</v>
      </c>
      <c r="DY37" s="28">
        <f>IF(DX37="","",DX37*$DO$1/'CPI USA'!$U$532+(1-DX37)*AVERAGE($DO$1,$DQ$1)/AVERAGE('CPI USA'!$U$532,'PPI USA'!$T$538))</f>
        <v>1.0367064485645201</v>
      </c>
      <c r="DZ37" s="30"/>
      <c r="EA37" s="29" t="str">
        <f t="shared" si="44"/>
        <v>C000500</v>
      </c>
      <c r="EB37" s="29">
        <f t="shared" si="45"/>
        <v>2506679789.0873852</v>
      </c>
      <c r="EC37" s="29">
        <f t="shared" si="46"/>
        <v>116208802.52579498</v>
      </c>
      <c r="ED37" s="29">
        <f t="shared" si="47"/>
        <v>30739694.676790789</v>
      </c>
      <c r="EE37" s="29">
        <f t="shared" si="48"/>
        <v>42499792.029388838</v>
      </c>
      <c r="EF37" s="29">
        <f t="shared" si="49"/>
        <v>13249985.742035847</v>
      </c>
      <c r="EG37" s="29">
        <f t="shared" si="50"/>
        <v>2112</v>
      </c>
      <c r="EH37" s="29">
        <f t="shared" si="51"/>
        <v>463138</v>
      </c>
      <c r="EI37" s="29">
        <f t="shared" si="52"/>
        <v>371066</v>
      </c>
      <c r="EJ37" s="29">
        <f t="shared" si="53"/>
        <v>10817248</v>
      </c>
      <c r="EK37" s="29">
        <f t="shared" si="54"/>
        <v>11155926.152284265</v>
      </c>
      <c r="EL37" s="29">
        <f>IF(CD37=1,VLOOKUP(EA37,'EIA 2023'!$A$2:$J$213,4,0)*EH37,"")</f>
        <v>34272212</v>
      </c>
      <c r="EM37" s="29">
        <f>IF(CD37=1,VLOOKUP(EA37,'EIA 2023'!$A$2:$J$213,7,0)*EH37,"")</f>
        <v>393667.3</v>
      </c>
      <c r="EN37" s="29">
        <f>IF(CD37=1,VLOOKUP(EA37,'EIA 2023'!$A$2:$J$213,10,0),"")</f>
        <v>470298</v>
      </c>
      <c r="EO37" s="28">
        <f>IF(CD37=1,VLOOKUP(EA37,'EIA 2023'!$A$2:$Z$213,26,0),"")</f>
        <v>0</v>
      </c>
      <c r="EP37" s="23">
        <f t="shared" si="55"/>
        <v>3.0358586787069854E-2</v>
      </c>
      <c r="EQ37" s="32">
        <f t="shared" si="56"/>
        <v>32387.847715735901</v>
      </c>
      <c r="ER37" s="32">
        <f t="shared" si="57"/>
        <v>338678.1522842641</v>
      </c>
      <c r="ES37" s="32"/>
      <c r="ET37" s="32"/>
    </row>
    <row r="38" spans="1:150" ht="15.75" customHeight="1">
      <c r="A38" s="7" t="s">
        <v>318</v>
      </c>
      <c r="B38" s="7" t="s">
        <v>319</v>
      </c>
      <c r="C38" s="32" t="s">
        <v>1123</v>
      </c>
      <c r="D38" s="42">
        <v>0</v>
      </c>
      <c r="E38" s="42">
        <v>0</v>
      </c>
      <c r="F38" s="42">
        <v>9053</v>
      </c>
      <c r="G38" s="42">
        <v>30037173</v>
      </c>
      <c r="H38" s="42">
        <v>31741867</v>
      </c>
      <c r="I38" s="42">
        <v>1649744</v>
      </c>
      <c r="J38" s="42">
        <v>1440987</v>
      </c>
      <c r="K38" s="42">
        <v>0</v>
      </c>
      <c r="L38" s="42">
        <v>53661</v>
      </c>
      <c r="M38" s="42">
        <v>3644</v>
      </c>
      <c r="N38" s="42">
        <v>0</v>
      </c>
      <c r="O38" s="42">
        <v>2015640</v>
      </c>
      <c r="P38" s="42">
        <v>140516</v>
      </c>
      <c r="Q38" s="42">
        <v>192550</v>
      </c>
      <c r="R38" s="42">
        <v>0</v>
      </c>
      <c r="S38" s="42">
        <v>859450</v>
      </c>
      <c r="T38" s="42">
        <v>8088391</v>
      </c>
      <c r="U38" s="42">
        <v>694700</v>
      </c>
      <c r="V38" s="42">
        <v>985605</v>
      </c>
      <c r="W38" s="42">
        <v>36488</v>
      </c>
      <c r="X38" s="42">
        <f>IFERROR(VLOOKUP(A38,'Trans 21-23'!$A$2:$J$229,10,0),0)</f>
        <v>0</v>
      </c>
      <c r="Y38" s="42">
        <v>747815</v>
      </c>
      <c r="Z38" s="42">
        <v>48316</v>
      </c>
      <c r="AA38" s="42">
        <v>3466769</v>
      </c>
      <c r="AB38" s="42">
        <v>3998627</v>
      </c>
      <c r="AC38" s="42">
        <v>0</v>
      </c>
      <c r="AD38" s="42">
        <v>11062924</v>
      </c>
      <c r="AE38" s="42">
        <v>0</v>
      </c>
      <c r="AF38" s="42">
        <v>79413914</v>
      </c>
      <c r="AG38" s="42">
        <v>53484</v>
      </c>
      <c r="AH38" s="42">
        <v>52769</v>
      </c>
      <c r="AI38" s="42">
        <v>787743</v>
      </c>
      <c r="AJ38" s="42">
        <v>2425</v>
      </c>
      <c r="AK38" s="42">
        <v>0</v>
      </c>
      <c r="AL38" s="42">
        <v>248048</v>
      </c>
      <c r="AM38" s="42">
        <v>134338</v>
      </c>
      <c r="AN38" s="42">
        <v>277233</v>
      </c>
      <c r="AO38" s="42">
        <v>1810</v>
      </c>
      <c r="AP38" s="42">
        <v>0</v>
      </c>
      <c r="AQ38" s="42">
        <v>661429</v>
      </c>
      <c r="AR38" s="42">
        <v>71120</v>
      </c>
      <c r="AS38" s="42">
        <v>732549</v>
      </c>
      <c r="AT38" s="42">
        <v>0</v>
      </c>
      <c r="AU38" s="42">
        <v>123</v>
      </c>
      <c r="AV38" s="42">
        <v>0</v>
      </c>
      <c r="AW38" s="42">
        <v>22559745</v>
      </c>
      <c r="AX38" s="42">
        <v>0</v>
      </c>
      <c r="AY38" s="42">
        <v>42517329</v>
      </c>
      <c r="AZ38" s="42">
        <v>14126648</v>
      </c>
      <c r="BA38" s="42">
        <v>3531698</v>
      </c>
      <c r="BB38" s="42">
        <v>226023746</v>
      </c>
      <c r="BC38" s="42">
        <v>405396230</v>
      </c>
      <c r="BD38" s="42">
        <v>40233351</v>
      </c>
      <c r="BE38" s="42">
        <v>106930535</v>
      </c>
      <c r="BF38" s="42">
        <v>7046671</v>
      </c>
      <c r="BG38" s="42">
        <v>0</v>
      </c>
      <c r="BH38" s="42">
        <v>7051685</v>
      </c>
      <c r="BI38" s="42">
        <v>1824346</v>
      </c>
      <c r="BJ38" s="42">
        <v>450403</v>
      </c>
      <c r="BK38" s="42">
        <v>0</v>
      </c>
      <c r="BL38" s="42">
        <v>0</v>
      </c>
      <c r="BM38" s="42">
        <v>4021454</v>
      </c>
      <c r="BN38" s="42">
        <v>16261983</v>
      </c>
      <c r="BO38" s="42">
        <v>0</v>
      </c>
      <c r="BP38" s="42">
        <v>235712</v>
      </c>
      <c r="BQ38" s="42">
        <v>22255004</v>
      </c>
      <c r="BR38" s="42">
        <v>0</v>
      </c>
      <c r="BS38" s="42">
        <f>IFERROR(VLOOKUP(A38,'Trans 21-23'!$A$2:$J$229,9,0),0)</f>
        <v>0</v>
      </c>
      <c r="BT38" s="67"/>
      <c r="BU38" s="32">
        <f t="shared" si="0"/>
        <v>226023746</v>
      </c>
      <c r="BV38" s="32">
        <f t="shared" si="1"/>
        <v>123</v>
      </c>
      <c r="BW38" s="32">
        <f t="shared" si="2"/>
        <v>53484</v>
      </c>
      <c r="BX38" s="32">
        <f t="shared" si="3"/>
        <v>16161376</v>
      </c>
      <c r="BY38" s="32">
        <f t="shared" si="4"/>
        <v>8261527</v>
      </c>
      <c r="BZ38" s="32">
        <f t="shared" si="5"/>
        <v>14126648</v>
      </c>
      <c r="CA38" s="32">
        <f t="shared" si="6"/>
        <v>11062924</v>
      </c>
      <c r="CB38" s="32">
        <f t="shared" si="7"/>
        <v>52769</v>
      </c>
      <c r="CC38" s="32">
        <f t="shared" si="8"/>
        <v>661429</v>
      </c>
      <c r="CD38" s="41">
        <f t="shared" si="9"/>
        <v>1</v>
      </c>
      <c r="CE38" s="44">
        <f t="shared" si="10"/>
        <v>19</v>
      </c>
      <c r="CF38" s="27"/>
      <c r="CG38" s="28">
        <f t="shared" si="11"/>
        <v>1837.591430894309</v>
      </c>
      <c r="CH38" s="28">
        <f t="shared" si="12"/>
        <v>2.2997531972178598</v>
      </c>
      <c r="CI38" s="28">
        <f t="shared" si="13"/>
        <v>302.17216363772343</v>
      </c>
      <c r="CJ38" s="28">
        <f t="shared" si="14"/>
        <v>264.12848702415675</v>
      </c>
      <c r="CK38" s="23">
        <f t="shared" si="15"/>
        <v>7.9780293878859251E-2</v>
      </c>
      <c r="CL38" s="29" t="str">
        <f t="shared" si="16"/>
        <v/>
      </c>
      <c r="CM38" s="29" t="str">
        <f t="shared" si="17"/>
        <v/>
      </c>
      <c r="CN38" s="29" t="str">
        <f t="shared" si="18"/>
        <v/>
      </c>
      <c r="CO38" s="29" t="str">
        <f t="shared" si="19"/>
        <v/>
      </c>
      <c r="CP38" s="29" t="str">
        <f t="shared" si="20"/>
        <v/>
      </c>
      <c r="CQ38" s="29">
        <f t="shared" si="21"/>
        <v>0</v>
      </c>
      <c r="CR38" s="13"/>
      <c r="CS38" s="7">
        <f>VLOOKUP(A38,'Empresas 21-23'!$A$2:$M$228,13,0)</f>
        <v>1</v>
      </c>
      <c r="CT38" s="30"/>
      <c r="CU38" s="6">
        <f t="shared" si="22"/>
        <v>182855002.59999999</v>
      </c>
      <c r="CV38" s="6">
        <f t="shared" si="23"/>
        <v>14126648</v>
      </c>
      <c r="CW38" s="6">
        <f t="shared" si="24"/>
        <v>40233351</v>
      </c>
      <c r="CX38" s="23">
        <f t="shared" si="58"/>
        <v>0.50074915364001171</v>
      </c>
      <c r="CY38" s="23">
        <f t="shared" si="59"/>
        <v>3.868588186916995E-2</v>
      </c>
      <c r="CZ38" s="6">
        <f t="shared" si="27"/>
        <v>203001819.06135151</v>
      </c>
      <c r="DA38" s="6">
        <f t="shared" si="28"/>
        <v>15683110.663986851</v>
      </c>
      <c r="DB38" s="6">
        <f t="shared" si="29"/>
        <v>16161376</v>
      </c>
      <c r="DC38" s="6">
        <f t="shared" si="30"/>
        <v>16161376</v>
      </c>
      <c r="DD38" s="6">
        <f t="shared" si="31"/>
        <v>8261527</v>
      </c>
      <c r="DE38" s="6">
        <f t="shared" si="32"/>
        <v>11062924</v>
      </c>
      <c r="DF38" s="6">
        <f t="shared" si="33"/>
        <v>7382191.338660609</v>
      </c>
      <c r="DG38" s="30"/>
      <c r="DH38" s="32">
        <f>VLOOKUP(A38,'T_med_comp-USA'!$A$7:$Q$233,17,0)</f>
        <v>14.726254913148475</v>
      </c>
      <c r="DI38" s="6" t="str">
        <f t="shared" si="34"/>
        <v>4_2009</v>
      </c>
      <c r="DJ38" s="32">
        <f>IF(DI38="","",VLOOKUP(DI38,'CPI USA'!$T:$U,2,FALSE))</f>
        <v>214.53700000000001</v>
      </c>
      <c r="DK38" s="32">
        <f>IF(DI38="","",VLOOKUP(DI38,'PPI USA'!$S:$T,2,FALSE))</f>
        <v>159.1</v>
      </c>
      <c r="DL38" s="32">
        <f>IF(DI38="","",VLOOKUP(DI38,'CPI USA'!$T:$V,3,FALSE))</f>
        <v>0.66997101349938215</v>
      </c>
      <c r="DM38" s="32">
        <f>IF(DI38="","",VLOOKUP(DI38,'CPI USA'!$T:$X,5,FALSE))</f>
        <v>0.49813941766071862</v>
      </c>
      <c r="DN38" s="32">
        <f t="shared" si="35"/>
        <v>1.4932638886873792</v>
      </c>
      <c r="DO38" s="32">
        <f t="shared" si="36"/>
        <v>1.5082750176818205</v>
      </c>
      <c r="DP38" s="32">
        <f t="shared" si="37"/>
        <v>0.43632949323126941</v>
      </c>
      <c r="DQ38" s="32">
        <f>IF(DP38="","",DP38*$DO$1/'CPI USA'!$U$532+(1-DP38)*AVERAGE($DO$1,$DQ$1)/AVERAGE('CPI USA'!$U$532,'PPI USA'!$T$538))</f>
        <v>1.0372276186471141</v>
      </c>
      <c r="DR38" s="6">
        <f t="shared" si="38"/>
        <v>2274749</v>
      </c>
      <c r="DS38" s="32">
        <f t="shared" si="39"/>
        <v>0.2753424397208894</v>
      </c>
      <c r="DT38" s="28">
        <f>IF(DS38="","",DS38*$DO$1/'CPI USA'!$U$532+(1-DS38)*AVERAGE($DO$1,$DQ$1)/AVERAGE('CPI USA'!$U$532,'PPI USA'!$T$538))</f>
        <v>1.0409430195204206</v>
      </c>
      <c r="DU38" s="6">
        <f t="shared" si="40"/>
        <v>4021454</v>
      </c>
      <c r="DV38" s="6">
        <f t="shared" si="41"/>
        <v>43048.839410822111</v>
      </c>
      <c r="DW38" s="6">
        <f t="shared" si="42"/>
        <v>2331039.0543747111</v>
      </c>
      <c r="DX38" s="16">
        <f t="shared" si="43"/>
        <v>0.31576519050204466</v>
      </c>
      <c r="DY38" s="28">
        <f>IF(DX38="","",DX38*$DO$1/'CPI USA'!$U$532+(1-DX38)*AVERAGE($DO$1,$DQ$1)/AVERAGE('CPI USA'!$U$532,'PPI USA'!$T$538))</f>
        <v>1.0400101077099435</v>
      </c>
      <c r="DZ38" s="30"/>
      <c r="EA38" s="29" t="str">
        <f t="shared" si="44"/>
        <v>C000501</v>
      </c>
      <c r="EB38" s="29">
        <f t="shared" si="45"/>
        <v>303135285.74216551</v>
      </c>
      <c r="EC38" s="29">
        <f t="shared" si="46"/>
        <v>23654444.014030714</v>
      </c>
      <c r="ED38" s="29">
        <f t="shared" si="47"/>
        <v>16763025.542540623</v>
      </c>
      <c r="EE38" s="29">
        <f t="shared" si="48"/>
        <v>8599778.8612294812</v>
      </c>
      <c r="EF38" s="29">
        <f t="shared" si="49"/>
        <v>7677553.6092558317</v>
      </c>
      <c r="EG38" s="29">
        <f t="shared" si="50"/>
        <v>123</v>
      </c>
      <c r="EH38" s="29">
        <f t="shared" si="51"/>
        <v>53484</v>
      </c>
      <c r="EI38" s="29">
        <f t="shared" si="52"/>
        <v>52769</v>
      </c>
      <c r="EJ38" s="29">
        <f t="shared" si="53"/>
        <v>661429</v>
      </c>
      <c r="EK38" s="29">
        <f t="shared" si="54"/>
        <v>713114.95431472082</v>
      </c>
      <c r="EL38" s="29">
        <f>IF(CD38=1,VLOOKUP(EA38,'EIA 2023'!$A$2:$J$213,4,0)*EH38,"")</f>
        <v>7519850.3999999994</v>
      </c>
      <c r="EM38" s="29">
        <f>IF(CD38=1,VLOOKUP(EA38,'EIA 2023'!$A$2:$J$213,7,0)*EH38,"")</f>
        <v>84504.72</v>
      </c>
      <c r="EN38" s="29">
        <f>IF(CD38=1,VLOOKUP(EA38,'EIA 2023'!$A$2:$J$213,10,0),"")</f>
        <v>58885</v>
      </c>
      <c r="EO38" s="28">
        <f>IF(CD38=1,VLOOKUP(EA38,'EIA 2023'!$A$2:$Z$213,26,0),"")</f>
        <v>0</v>
      </c>
      <c r="EP38" s="23">
        <f t="shared" si="55"/>
        <v>7.2479133976918575E-2</v>
      </c>
      <c r="EQ38" s="32">
        <f t="shared" si="56"/>
        <v>1083.0456852791831</v>
      </c>
      <c r="ER38" s="32">
        <f t="shared" si="57"/>
        <v>51685.954314720817</v>
      </c>
      <c r="ES38" s="32"/>
      <c r="ET38" s="32"/>
    </row>
    <row r="39" spans="1:150" ht="15.75" customHeight="1">
      <c r="A39" s="7" t="s">
        <v>321</v>
      </c>
      <c r="B39" s="7" t="s">
        <v>322</v>
      </c>
      <c r="C39" s="32" t="s">
        <v>1124</v>
      </c>
      <c r="D39" s="42">
        <v>0</v>
      </c>
      <c r="E39" s="42">
        <v>0</v>
      </c>
      <c r="F39" s="42">
        <v>0</v>
      </c>
      <c r="G39" s="42">
        <v>0</v>
      </c>
      <c r="H39" s="42">
        <v>155244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f>IFERROR(VLOOKUP(A39,'Trans 21-23'!$A$2:$J$229,10,0),0)</f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1252684</v>
      </c>
      <c r="AE39" s="42">
        <v>0</v>
      </c>
      <c r="AF39" s="42">
        <v>4403415</v>
      </c>
      <c r="AG39" s="42">
        <v>0</v>
      </c>
      <c r="AH39" s="42">
        <v>0</v>
      </c>
      <c r="AI39" s="42">
        <v>172444</v>
      </c>
      <c r="AJ39" s="42">
        <v>0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172444</v>
      </c>
      <c r="AS39" s="42">
        <v>172444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54591250</v>
      </c>
      <c r="BD39" s="42">
        <v>2649505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520431</v>
      </c>
      <c r="BO39" s="42">
        <v>0</v>
      </c>
      <c r="BP39" s="42">
        <v>0</v>
      </c>
      <c r="BQ39" s="42">
        <v>731295</v>
      </c>
      <c r="BR39" s="42">
        <v>0</v>
      </c>
      <c r="BS39" s="42">
        <f>IFERROR(VLOOKUP(A39,'Trans 21-23'!$A$2:$J$229,9,0),0)</f>
        <v>0</v>
      </c>
      <c r="BT39" s="67"/>
      <c r="BU39" s="32">
        <f t="shared" si="0"/>
        <v>0</v>
      </c>
      <c r="BV39" s="32">
        <f t="shared" si="1"/>
        <v>0</v>
      </c>
      <c r="BW39" s="32">
        <f t="shared" si="2"/>
        <v>0</v>
      </c>
      <c r="BX39" s="32">
        <f t="shared" si="3"/>
        <v>0</v>
      </c>
      <c r="BY39" s="32">
        <f t="shared" si="4"/>
        <v>0</v>
      </c>
      <c r="BZ39" s="32">
        <f t="shared" si="5"/>
        <v>0</v>
      </c>
      <c r="CA39" s="32">
        <f t="shared" si="6"/>
        <v>1252684</v>
      </c>
      <c r="CB39" s="32">
        <f t="shared" si="7"/>
        <v>0</v>
      </c>
      <c r="CC39" s="32">
        <f t="shared" si="8"/>
        <v>0</v>
      </c>
      <c r="CD39" s="41">
        <f t="shared" si="9"/>
        <v>0</v>
      </c>
      <c r="CE39" s="44">
        <f t="shared" si="10"/>
        <v>58</v>
      </c>
      <c r="CF39" s="27"/>
      <c r="CG39" s="28" t="str">
        <f t="shared" si="11"/>
        <v/>
      </c>
      <c r="CH39" s="28" t="str">
        <f t="shared" si="12"/>
        <v/>
      </c>
      <c r="CI39" s="28" t="str">
        <f t="shared" si="13"/>
        <v/>
      </c>
      <c r="CJ39" s="28" t="str">
        <f t="shared" si="14"/>
        <v/>
      </c>
      <c r="CK39" s="23" t="str">
        <f t="shared" si="15"/>
        <v/>
      </c>
      <c r="CL39" s="29" t="str">
        <f t="shared" si="16"/>
        <v/>
      </c>
      <c r="CM39" s="29" t="str">
        <f t="shared" si="17"/>
        <v/>
      </c>
      <c r="CN39" s="29" t="str">
        <f t="shared" si="18"/>
        <v/>
      </c>
      <c r="CO39" s="29" t="str">
        <f t="shared" si="19"/>
        <v/>
      </c>
      <c r="CP39" s="29" t="str">
        <f t="shared" si="20"/>
        <v/>
      </c>
      <c r="CQ39" s="29" t="str">
        <f t="shared" si="21"/>
        <v/>
      </c>
      <c r="CR39" s="13"/>
      <c r="CS39" s="7" t="str">
        <f>VLOOKUP(A39,'Empresas 21-23'!$A$2:$M$228,13,0)</f>
        <v/>
      </c>
      <c r="CT39" s="30"/>
      <c r="CU39" s="6">
        <f t="shared" si="22"/>
        <v>0</v>
      </c>
      <c r="CV39" s="6">
        <f t="shared" si="23"/>
        <v>0</v>
      </c>
      <c r="CW39" s="6">
        <f t="shared" si="24"/>
        <v>2649505</v>
      </c>
      <c r="CX39" s="23">
        <f t="shared" si="58"/>
        <v>0</v>
      </c>
      <c r="CY39" s="23">
        <f t="shared" si="59"/>
        <v>0</v>
      </c>
      <c r="CZ39" s="6">
        <f t="shared" si="27"/>
        <v>0</v>
      </c>
      <c r="DA39" s="6">
        <f t="shared" si="28"/>
        <v>0</v>
      </c>
      <c r="DB39" s="6">
        <f t="shared" si="29"/>
        <v>0</v>
      </c>
      <c r="DC39" s="6">
        <f t="shared" si="30"/>
        <v>0</v>
      </c>
      <c r="DD39" s="6">
        <f t="shared" si="31"/>
        <v>0</v>
      </c>
      <c r="DE39" s="6">
        <f t="shared" si="32"/>
        <v>1252684</v>
      </c>
      <c r="DF39" s="6">
        <f t="shared" si="33"/>
        <v>0</v>
      </c>
      <c r="DG39" s="30"/>
      <c r="DH39" s="32" t="str">
        <f>VLOOKUP(A39,'T_med_comp-USA'!$A$7:$Q$233,17,0)</f>
        <v>-</v>
      </c>
      <c r="DI39" s="6" t="str">
        <f t="shared" si="34"/>
        <v/>
      </c>
      <c r="DJ39" s="32" t="str">
        <f>IF(DI39="","",VLOOKUP(DI39,'CPI USA'!$T:$U,2,FALSE))</f>
        <v/>
      </c>
      <c r="DK39" s="32" t="str">
        <f>IF(DI39="","",VLOOKUP(DI39,'PPI USA'!$S:$T,2,FALSE))</f>
        <v/>
      </c>
      <c r="DL39" s="32" t="str">
        <f>IF(DI39="","",VLOOKUP(DI39,'CPI USA'!$T:$V,3,FALSE))</f>
        <v/>
      </c>
      <c r="DM39" s="32" t="str">
        <f>IF(DI39="","",VLOOKUP(DI39,'CPI USA'!$T:$X,5,FALSE))</f>
        <v/>
      </c>
      <c r="DN39" s="32" t="str">
        <f t="shared" si="35"/>
        <v/>
      </c>
      <c r="DO39" s="32" t="str">
        <f t="shared" si="36"/>
        <v/>
      </c>
      <c r="DP39" s="32" t="str">
        <f t="shared" si="37"/>
        <v/>
      </c>
      <c r="DQ39" s="32" t="str">
        <f>IF(DP39="","",DP39*$DO$1/'CPI USA'!$U$532+(1-DP39)*AVERAGE($DO$1,$DQ$1)/AVERAGE('CPI USA'!$U$532,'PPI USA'!$T$538))</f>
        <v/>
      </c>
      <c r="DR39" s="6">
        <f t="shared" si="38"/>
        <v>0</v>
      </c>
      <c r="DS39" s="32" t="str">
        <f t="shared" si="39"/>
        <v/>
      </c>
      <c r="DT39" s="28" t="str">
        <f>IF(DS39="","",DS39*$DO$1/'CPI USA'!$U$532+(1-DS39)*AVERAGE($DO$1,$DQ$1)/AVERAGE('CPI USA'!$U$532,'PPI USA'!$T$538))</f>
        <v/>
      </c>
      <c r="DU39" s="6" t="str">
        <f t="shared" si="40"/>
        <v/>
      </c>
      <c r="DV39" s="6">
        <f t="shared" si="41"/>
        <v>0</v>
      </c>
      <c r="DW39" s="6">
        <f t="shared" si="42"/>
        <v>0</v>
      </c>
      <c r="DX39" s="16" t="str">
        <f t="shared" si="43"/>
        <v/>
      </c>
      <c r="DY39" s="28" t="str">
        <f>IF(DX39="","",DX39*$DO$1/'CPI USA'!$U$532+(1-DX39)*AVERAGE($DO$1,$DQ$1)/AVERAGE('CPI USA'!$U$532,'PPI USA'!$T$538))</f>
        <v/>
      </c>
      <c r="DZ39" s="30"/>
      <c r="EA39" s="29" t="str">
        <f t="shared" si="44"/>
        <v>C000502</v>
      </c>
      <c r="EB39" s="29" t="str">
        <f t="shared" si="45"/>
        <v/>
      </c>
      <c r="EC39" s="29" t="str">
        <f t="shared" si="46"/>
        <v/>
      </c>
      <c r="ED39" s="29" t="str">
        <f t="shared" si="47"/>
        <v/>
      </c>
      <c r="EE39" s="29" t="str">
        <f t="shared" si="48"/>
        <v/>
      </c>
      <c r="EF39" s="29" t="str">
        <f t="shared" si="49"/>
        <v/>
      </c>
      <c r="EG39" s="29" t="str">
        <f t="shared" si="50"/>
        <v/>
      </c>
      <c r="EH39" s="29" t="str">
        <f t="shared" si="51"/>
        <v/>
      </c>
      <c r="EI39" s="29" t="str">
        <f t="shared" si="52"/>
        <v/>
      </c>
      <c r="EJ39" s="29" t="str">
        <f t="shared" si="53"/>
        <v/>
      </c>
      <c r="EK39" s="29" t="str">
        <f t="shared" si="54"/>
        <v/>
      </c>
      <c r="EL39" s="29" t="str">
        <f>IF(CD39=1,VLOOKUP(EA39,'EIA 2023'!$A$2:$J$213,4,0)*EH39,"")</f>
        <v/>
      </c>
      <c r="EM39" s="29" t="str">
        <f>IF(CD39=1,VLOOKUP(EA39,'EIA 2023'!$A$2:$J$213,7,0)*EH39,"")</f>
        <v/>
      </c>
      <c r="EN39" s="29" t="str">
        <f>IF(CD39=1,VLOOKUP(EA39,'EIA 2023'!$A$2:$J$213,10,0),"")</f>
        <v/>
      </c>
      <c r="EO39" s="28" t="str">
        <f>IF(CD39=1,VLOOKUP(EA39,'EIA 2023'!$A$2:$Z$213,26,0),"")</f>
        <v/>
      </c>
      <c r="EP39" s="23" t="str">
        <f t="shared" si="55"/>
        <v/>
      </c>
      <c r="EQ39" s="32" t="str">
        <f t="shared" si="56"/>
        <v/>
      </c>
      <c r="ER39" s="32" t="str">
        <f t="shared" si="57"/>
        <v/>
      </c>
      <c r="ES39" s="32"/>
      <c r="ET39" s="32"/>
    </row>
    <row r="40" spans="1:150" ht="15.75" customHeight="1">
      <c r="A40" s="7" t="s">
        <v>324</v>
      </c>
      <c r="B40" s="7" t="s">
        <v>325</v>
      </c>
      <c r="C40" s="32" t="s">
        <v>1125</v>
      </c>
      <c r="D40" s="42">
        <v>0</v>
      </c>
      <c r="E40" s="42">
        <v>0</v>
      </c>
      <c r="F40" s="42">
        <v>0</v>
      </c>
      <c r="G40" s="42">
        <v>166615783</v>
      </c>
      <c r="H40" s="42">
        <v>166960542</v>
      </c>
      <c r="I40" s="42">
        <v>6858189</v>
      </c>
      <c r="J40" s="42">
        <v>3578217</v>
      </c>
      <c r="K40" s="42">
        <v>0</v>
      </c>
      <c r="L40" s="42">
        <v>1628184</v>
      </c>
      <c r="M40" s="42">
        <v>1723504</v>
      </c>
      <c r="N40" s="42">
        <v>38640</v>
      </c>
      <c r="O40" s="42">
        <v>3923137</v>
      </c>
      <c r="P40" s="42">
        <v>51679</v>
      </c>
      <c r="Q40" s="42">
        <v>0</v>
      </c>
      <c r="R40" s="42">
        <v>0</v>
      </c>
      <c r="S40" s="42">
        <v>979906</v>
      </c>
      <c r="T40" s="42">
        <v>41713644</v>
      </c>
      <c r="U40" s="42">
        <v>3466500</v>
      </c>
      <c r="V40" s="42">
        <v>72480</v>
      </c>
      <c r="W40" s="42">
        <v>0</v>
      </c>
      <c r="X40" s="42">
        <f>IFERROR(VLOOKUP(A40,'Trans 21-23'!$A$2:$J$229,10,0),0)</f>
        <v>0</v>
      </c>
      <c r="Y40" s="42">
        <v>3909765</v>
      </c>
      <c r="Z40" s="42">
        <v>0</v>
      </c>
      <c r="AA40" s="42">
        <v>19515422</v>
      </c>
      <c r="AB40" s="42">
        <v>34376160</v>
      </c>
      <c r="AC40" s="42">
        <v>4300</v>
      </c>
      <c r="AD40" s="42">
        <v>52561101</v>
      </c>
      <c r="AE40" s="42">
        <v>0</v>
      </c>
      <c r="AF40" s="42">
        <v>358447256</v>
      </c>
      <c r="AG40" s="42">
        <v>242334</v>
      </c>
      <c r="AH40" s="42">
        <v>56157</v>
      </c>
      <c r="AI40" s="42">
        <v>4167291</v>
      </c>
      <c r="AJ40" s="42">
        <v>14548</v>
      </c>
      <c r="AK40" s="42">
        <v>0</v>
      </c>
      <c r="AL40" s="42">
        <v>1606798</v>
      </c>
      <c r="AM40" s="42">
        <v>1847090</v>
      </c>
      <c r="AN40" s="42">
        <v>352671</v>
      </c>
      <c r="AO40" s="42">
        <v>15395</v>
      </c>
      <c r="AP40" s="42">
        <v>102789</v>
      </c>
      <c r="AQ40" s="42">
        <v>3924743</v>
      </c>
      <c r="AR40" s="42">
        <v>171843</v>
      </c>
      <c r="AS40" s="42">
        <v>4096586</v>
      </c>
      <c r="AT40" s="42">
        <v>0</v>
      </c>
      <c r="AU40" s="42">
        <v>1379</v>
      </c>
      <c r="AV40" s="42">
        <v>0</v>
      </c>
      <c r="AW40" s="42">
        <v>254822918</v>
      </c>
      <c r="AX40" s="42">
        <v>45753226</v>
      </c>
      <c r="AY40" s="42">
        <v>178488700</v>
      </c>
      <c r="AZ40" s="42">
        <v>44446960</v>
      </c>
      <c r="BA40" s="42">
        <v>21566282</v>
      </c>
      <c r="BB40" s="42">
        <v>1244939945</v>
      </c>
      <c r="BC40" s="42">
        <v>1720416575</v>
      </c>
      <c r="BD40" s="42">
        <v>76274629</v>
      </c>
      <c r="BE40" s="42">
        <v>407756444</v>
      </c>
      <c r="BF40" s="42">
        <v>34834156</v>
      </c>
      <c r="BG40" s="42">
        <v>0</v>
      </c>
      <c r="BH40" s="42">
        <v>37515395</v>
      </c>
      <c r="BI40" s="42">
        <v>9618420</v>
      </c>
      <c r="BJ40" s="42">
        <v>952826</v>
      </c>
      <c r="BK40" s="42">
        <v>0</v>
      </c>
      <c r="BL40" s="42">
        <v>0</v>
      </c>
      <c r="BM40" s="42">
        <v>9588107</v>
      </c>
      <c r="BN40" s="42">
        <v>65365143</v>
      </c>
      <c r="BO40" s="42">
        <v>0</v>
      </c>
      <c r="BP40" s="42">
        <v>0</v>
      </c>
      <c r="BQ40" s="42">
        <v>135698261</v>
      </c>
      <c r="BR40" s="42">
        <v>0</v>
      </c>
      <c r="BS40" s="42">
        <f>IFERROR(VLOOKUP(A40,'Trans 21-23'!$A$2:$J$229,9,0),0)</f>
        <v>0</v>
      </c>
      <c r="BT40" s="67"/>
      <c r="BU40" s="32">
        <f t="shared" si="0"/>
        <v>1244939945</v>
      </c>
      <c r="BV40" s="32">
        <f t="shared" si="1"/>
        <v>1379</v>
      </c>
      <c r="BW40" s="32">
        <f t="shared" si="2"/>
        <v>242334</v>
      </c>
      <c r="BX40" s="32">
        <f t="shared" si="3"/>
        <v>64034080</v>
      </c>
      <c r="BY40" s="32">
        <f t="shared" si="4"/>
        <v>57805647</v>
      </c>
      <c r="BZ40" s="32">
        <f t="shared" si="5"/>
        <v>44446960</v>
      </c>
      <c r="CA40" s="32">
        <f t="shared" si="6"/>
        <v>52561101</v>
      </c>
      <c r="CB40" s="32">
        <f t="shared" si="7"/>
        <v>56157</v>
      </c>
      <c r="CC40" s="32">
        <f t="shared" si="8"/>
        <v>3924743</v>
      </c>
      <c r="CD40" s="41">
        <f t="shared" si="9"/>
        <v>1</v>
      </c>
      <c r="CE40" s="44">
        <f t="shared" si="10"/>
        <v>20</v>
      </c>
      <c r="CF40" s="27"/>
      <c r="CG40" s="28">
        <f t="shared" si="11"/>
        <v>902.78458665699782</v>
      </c>
      <c r="CH40" s="28">
        <f t="shared" si="12"/>
        <v>5.6904932861257604</v>
      </c>
      <c r="CI40" s="28">
        <f t="shared" si="13"/>
        <v>264.23894294651183</v>
      </c>
      <c r="CJ40" s="28">
        <f t="shared" si="14"/>
        <v>183.41198511145774</v>
      </c>
      <c r="CK40" s="23">
        <f t="shared" si="15"/>
        <v>1.4308452808247572E-2</v>
      </c>
      <c r="CL40" s="29" t="str">
        <f t="shared" si="16"/>
        <v/>
      </c>
      <c r="CM40" s="29" t="str">
        <f t="shared" si="17"/>
        <v/>
      </c>
      <c r="CN40" s="29" t="str">
        <f t="shared" si="18"/>
        <v/>
      </c>
      <c r="CO40" s="29" t="str">
        <f t="shared" si="19"/>
        <v/>
      </c>
      <c r="CP40" s="29" t="str">
        <f t="shared" si="20"/>
        <v/>
      </c>
      <c r="CQ40" s="29">
        <f t="shared" si="21"/>
        <v>0</v>
      </c>
      <c r="CR40" s="13"/>
      <c r="CS40" s="7">
        <f>VLOOKUP(A40,'Empresas 21-23'!$A$2:$M$228,13,0)</f>
        <v>1</v>
      </c>
      <c r="CT40" s="30"/>
      <c r="CU40" s="6">
        <f t="shared" si="22"/>
        <v>1044381547.4</v>
      </c>
      <c r="CV40" s="6">
        <f t="shared" si="23"/>
        <v>44446960</v>
      </c>
      <c r="CW40" s="6">
        <f t="shared" si="24"/>
        <v>76274629</v>
      </c>
      <c r="CX40" s="23">
        <f t="shared" si="58"/>
        <v>0.63521373561501482</v>
      </c>
      <c r="CY40" s="23">
        <f t="shared" si="59"/>
        <v>2.7033529622022063E-2</v>
      </c>
      <c r="CZ40" s="6">
        <f t="shared" si="27"/>
        <v>1092832239.4197392</v>
      </c>
      <c r="DA40" s="6">
        <f t="shared" si="28"/>
        <v>46508932.442480244</v>
      </c>
      <c r="DB40" s="6">
        <f t="shared" si="29"/>
        <v>64034080</v>
      </c>
      <c r="DC40" s="6">
        <f t="shared" si="30"/>
        <v>64034080</v>
      </c>
      <c r="DD40" s="6">
        <f t="shared" si="31"/>
        <v>57805647</v>
      </c>
      <c r="DE40" s="6">
        <f t="shared" si="32"/>
        <v>52561101</v>
      </c>
      <c r="DF40" s="6">
        <f t="shared" si="33"/>
        <v>46096828.787499592</v>
      </c>
      <c r="DG40" s="30"/>
      <c r="DH40" s="32">
        <f>VLOOKUP(A40,'T_med_comp-USA'!$A$7:$Q$233,17,0)</f>
        <v>11.32383839288137</v>
      </c>
      <c r="DI40" s="6" t="str">
        <f t="shared" si="34"/>
        <v>9_2012</v>
      </c>
      <c r="DJ40" s="32">
        <f>IF(DI40="","",VLOOKUP(DI40,'CPI USA'!$T:$U,2,FALSE))</f>
        <v>229.59399999999999</v>
      </c>
      <c r="DK40" s="32">
        <f>IF(DI40="","",VLOOKUP(DI40,'PPI USA'!$S:$T,2,FALSE))</f>
        <v>175.1</v>
      </c>
      <c r="DL40" s="32">
        <f>IF(DI40="","",VLOOKUP(DI40,'CPI USA'!$T:$V,3,FALSE))</f>
        <v>0.66730871354337351</v>
      </c>
      <c r="DM40" s="32">
        <f>IF(DI40="","",VLOOKUP(DI40,'CPI USA'!$T:$X,5,FALSE))</f>
        <v>0.49513551903851311</v>
      </c>
      <c r="DN40" s="32">
        <f t="shared" si="35"/>
        <v>1.3897894616766442</v>
      </c>
      <c r="DO40" s="32">
        <f t="shared" si="36"/>
        <v>1.4008620811189902</v>
      </c>
      <c r="DP40" s="32">
        <f t="shared" si="37"/>
        <v>0.58586607319102579</v>
      </c>
      <c r="DQ40" s="32">
        <f>IF(DP40="","",DP40*$DO$1/'CPI USA'!$U$532+(1-DP40)*AVERAGE($DO$1,$DQ$1)/AVERAGE('CPI USA'!$U$532,'PPI USA'!$T$538))</f>
        <v>1.0337764818776725</v>
      </c>
      <c r="DR40" s="6">
        <f t="shared" si="38"/>
        <v>10571246</v>
      </c>
      <c r="DS40" s="32">
        <f t="shared" si="39"/>
        <v>0.2</v>
      </c>
      <c r="DT40" s="28">
        <f>IF(DS40="","",DS40*$DO$1/'CPI USA'!$U$532+(1-DS40)*AVERAGE($DO$1,$DQ$1)/AVERAGE('CPI USA'!$U$532,'PPI USA'!$T$538))</f>
        <v>1.0426818386380585</v>
      </c>
      <c r="DU40" s="6">
        <f t="shared" si="40"/>
        <v>9588107</v>
      </c>
      <c r="DV40" s="6">
        <f t="shared" si="41"/>
        <v>0</v>
      </c>
      <c r="DW40" s="6">
        <f t="shared" si="42"/>
        <v>7053604.3832809636</v>
      </c>
      <c r="DX40" s="16">
        <f t="shared" si="43"/>
        <v>0.2</v>
      </c>
      <c r="DY40" s="28">
        <f>IF(DX40="","",DX40*$DO$1/'CPI USA'!$U$532+(1-DX40)*AVERAGE($DO$1,$DQ$1)/AVERAGE('CPI USA'!$U$532,'PPI USA'!$T$538))</f>
        <v>1.0426818386380585</v>
      </c>
      <c r="DZ40" s="30"/>
      <c r="EA40" s="29" t="str">
        <f t="shared" si="44"/>
        <v>C000507</v>
      </c>
      <c r="EB40" s="29">
        <f t="shared" si="45"/>
        <v>1518806729.7260408</v>
      </c>
      <c r="EC40" s="29">
        <f t="shared" si="46"/>
        <v>65152599.891995393</v>
      </c>
      <c r="ED40" s="29">
        <f t="shared" si="47"/>
        <v>66196925.94267343</v>
      </c>
      <c r="EE40" s="29">
        <f t="shared" si="48"/>
        <v>60272898.297622569</v>
      </c>
      <c r="EF40" s="29">
        <f t="shared" si="49"/>
        <v>48064326.195533857</v>
      </c>
      <c r="EG40" s="29">
        <f t="shared" si="50"/>
        <v>1379</v>
      </c>
      <c r="EH40" s="29">
        <f t="shared" si="51"/>
        <v>242334</v>
      </c>
      <c r="EI40" s="29">
        <f t="shared" si="52"/>
        <v>56157</v>
      </c>
      <c r="EJ40" s="29">
        <f t="shared" si="53"/>
        <v>3924743</v>
      </c>
      <c r="EK40" s="29">
        <f t="shared" si="54"/>
        <v>3978283.1015228424</v>
      </c>
      <c r="EL40" s="29">
        <f>IF(CD40=1,VLOOKUP(EA40,'EIA 2023'!$A$2:$J$213,4,0)*EH40,"")</f>
        <v>26707630.139999997</v>
      </c>
      <c r="EM40" s="29">
        <f>IF(CD40=1,VLOOKUP(EA40,'EIA 2023'!$A$2:$J$213,7,0)*EH40,"")</f>
        <v>361319.99400000001</v>
      </c>
      <c r="EN40" s="29">
        <f>IF(CD40=1,VLOOKUP(EA40,'EIA 2023'!$A$2:$J$213,10,0),"")</f>
        <v>240626</v>
      </c>
      <c r="EO40" s="28">
        <f>IF(CD40=1,VLOOKUP(EA40,'EIA 2023'!$A$2:$Z$213,26,0),"")</f>
        <v>0</v>
      </c>
      <c r="EP40" s="23">
        <f t="shared" si="55"/>
        <v>1.3458092387228067E-2</v>
      </c>
      <c r="EQ40" s="32">
        <f t="shared" si="56"/>
        <v>2616.8984771573741</v>
      </c>
      <c r="ER40" s="32">
        <f t="shared" si="57"/>
        <v>53540.101522842626</v>
      </c>
      <c r="ES40" s="32"/>
      <c r="ET40" s="32"/>
    </row>
    <row r="41" spans="1:150" ht="15.75" customHeight="1">
      <c r="A41" s="7" t="s">
        <v>327</v>
      </c>
      <c r="B41" s="7" t="s">
        <v>328</v>
      </c>
      <c r="C41" s="32" t="s">
        <v>1126</v>
      </c>
      <c r="D41" s="42">
        <v>0</v>
      </c>
      <c r="E41" s="42">
        <v>0</v>
      </c>
      <c r="F41" s="42">
        <v>0</v>
      </c>
      <c r="G41" s="42">
        <v>94106755</v>
      </c>
      <c r="H41" s="42">
        <v>94106755</v>
      </c>
      <c r="I41" s="42">
        <v>2150738</v>
      </c>
      <c r="J41" s="42">
        <v>720155</v>
      </c>
      <c r="K41" s="42">
        <v>0</v>
      </c>
      <c r="L41" s="42">
        <v>172289</v>
      </c>
      <c r="M41" s="42">
        <v>321253</v>
      </c>
      <c r="N41" s="42">
        <v>0</v>
      </c>
      <c r="O41" s="42">
        <v>3771833</v>
      </c>
      <c r="P41" s="42">
        <v>5048</v>
      </c>
      <c r="Q41" s="42">
        <v>0</v>
      </c>
      <c r="R41" s="42">
        <v>0</v>
      </c>
      <c r="S41" s="42">
        <v>82124</v>
      </c>
      <c r="T41" s="42">
        <v>15269145</v>
      </c>
      <c r="U41" s="42">
        <v>818314</v>
      </c>
      <c r="V41" s="42">
        <v>0</v>
      </c>
      <c r="W41" s="42">
        <v>0</v>
      </c>
      <c r="X41" s="42">
        <f>IFERROR(VLOOKUP(A41,'Trans 21-23'!$A$2:$J$229,10,0),0)</f>
        <v>0</v>
      </c>
      <c r="Y41" s="42">
        <v>488490</v>
      </c>
      <c r="Z41" s="42">
        <v>0</v>
      </c>
      <c r="AA41" s="42">
        <v>8443144</v>
      </c>
      <c r="AB41" s="42">
        <v>10203316</v>
      </c>
      <c r="AC41" s="42">
        <v>781</v>
      </c>
      <c r="AD41" s="42">
        <v>13090747</v>
      </c>
      <c r="AE41" s="42">
        <v>0</v>
      </c>
      <c r="AF41" s="42">
        <v>164906644</v>
      </c>
      <c r="AG41" s="42">
        <v>75487</v>
      </c>
      <c r="AH41" s="42">
        <v>16275</v>
      </c>
      <c r="AI41" s="42">
        <v>1477910</v>
      </c>
      <c r="AJ41" s="42">
        <v>1311</v>
      </c>
      <c r="AK41" s="42">
        <v>0</v>
      </c>
      <c r="AL41" s="42">
        <v>684548</v>
      </c>
      <c r="AM41" s="42">
        <v>754311</v>
      </c>
      <c r="AN41" s="42">
        <v>15161</v>
      </c>
      <c r="AO41" s="42">
        <v>6304</v>
      </c>
      <c r="AP41" s="42">
        <v>0</v>
      </c>
      <c r="AQ41" s="42">
        <v>1460324</v>
      </c>
      <c r="AR41" s="42">
        <v>0</v>
      </c>
      <c r="AS41" s="42">
        <v>1460324</v>
      </c>
      <c r="AT41" s="42">
        <v>0</v>
      </c>
      <c r="AU41" s="42">
        <v>382</v>
      </c>
      <c r="AV41" s="42">
        <v>0</v>
      </c>
      <c r="AW41" s="42">
        <v>83232310</v>
      </c>
      <c r="AX41" s="42">
        <v>39783412</v>
      </c>
      <c r="AY41" s="42">
        <v>73908507</v>
      </c>
      <c r="AZ41" s="42">
        <v>12511650</v>
      </c>
      <c r="BA41" s="42">
        <v>7893650</v>
      </c>
      <c r="BB41" s="42">
        <v>428481514</v>
      </c>
      <c r="BC41" s="42">
        <v>528830162</v>
      </c>
      <c r="BD41" s="42">
        <v>12805551</v>
      </c>
      <c r="BE41" s="42">
        <v>97575401</v>
      </c>
      <c r="BF41" s="42">
        <v>7444235</v>
      </c>
      <c r="BG41" s="42">
        <v>0</v>
      </c>
      <c r="BH41" s="42">
        <v>7944300</v>
      </c>
      <c r="BI41" s="42">
        <v>2831763</v>
      </c>
      <c r="BJ41" s="42">
        <v>149169</v>
      </c>
      <c r="BK41" s="42">
        <v>0</v>
      </c>
      <c r="BL41" s="42">
        <v>0</v>
      </c>
      <c r="BM41" s="42">
        <v>3175618</v>
      </c>
      <c r="BN41" s="42">
        <v>15856424</v>
      </c>
      <c r="BO41" s="42">
        <v>0</v>
      </c>
      <c r="BP41" s="42">
        <v>0</v>
      </c>
      <c r="BQ41" s="42">
        <v>25073976</v>
      </c>
      <c r="BR41" s="42">
        <v>0</v>
      </c>
      <c r="BS41" s="42">
        <f>IFERROR(VLOOKUP(A41,'Trans 21-23'!$A$2:$J$229,9,0),0)</f>
        <v>0</v>
      </c>
      <c r="BT41" s="67"/>
      <c r="BU41" s="32">
        <f t="shared" si="0"/>
        <v>428481514</v>
      </c>
      <c r="BV41" s="32">
        <f t="shared" si="1"/>
        <v>382</v>
      </c>
      <c r="BW41" s="32">
        <f t="shared" si="2"/>
        <v>75487</v>
      </c>
      <c r="BX41" s="32">
        <f t="shared" si="3"/>
        <v>23310899</v>
      </c>
      <c r="BY41" s="32">
        <f t="shared" si="4"/>
        <v>19135731</v>
      </c>
      <c r="BZ41" s="32">
        <f t="shared" si="5"/>
        <v>12511650</v>
      </c>
      <c r="CA41" s="32">
        <f t="shared" si="6"/>
        <v>13090747</v>
      </c>
      <c r="CB41" s="32">
        <f t="shared" si="7"/>
        <v>16275</v>
      </c>
      <c r="CC41" s="32">
        <f t="shared" si="8"/>
        <v>1460324</v>
      </c>
      <c r="CD41" s="41">
        <f t="shared" si="9"/>
        <v>1</v>
      </c>
      <c r="CE41" s="44">
        <f t="shared" si="10"/>
        <v>24</v>
      </c>
      <c r="CF41" s="27"/>
      <c r="CG41" s="28">
        <f t="shared" si="11"/>
        <v>1121.6793560209424</v>
      </c>
      <c r="CH41" s="28">
        <f t="shared" si="12"/>
        <v>5.0604739888987504</v>
      </c>
      <c r="CI41" s="28">
        <f t="shared" si="13"/>
        <v>308.80680117106255</v>
      </c>
      <c r="CJ41" s="28">
        <f t="shared" si="14"/>
        <v>165.74575754765721</v>
      </c>
      <c r="CK41" s="23">
        <f t="shared" si="15"/>
        <v>1.1144787047258006E-2</v>
      </c>
      <c r="CL41" s="29" t="str">
        <f t="shared" si="16"/>
        <v/>
      </c>
      <c r="CM41" s="29" t="str">
        <f t="shared" si="17"/>
        <v/>
      </c>
      <c r="CN41" s="29" t="str">
        <f t="shared" si="18"/>
        <v/>
      </c>
      <c r="CO41" s="29" t="str">
        <f t="shared" si="19"/>
        <v/>
      </c>
      <c r="CP41" s="29" t="str">
        <f t="shared" si="20"/>
        <v/>
      </c>
      <c r="CQ41" s="29">
        <f t="shared" si="21"/>
        <v>0</v>
      </c>
      <c r="CR41" s="13"/>
      <c r="CS41" s="7">
        <f>VLOOKUP(A41,'Empresas 21-23'!$A$2:$M$228,13,0)</f>
        <v>1</v>
      </c>
      <c r="CT41" s="30"/>
      <c r="CU41" s="6">
        <f t="shared" si="22"/>
        <v>339861062.60000002</v>
      </c>
      <c r="CV41" s="6">
        <f t="shared" si="23"/>
        <v>12511650</v>
      </c>
      <c r="CW41" s="6">
        <f t="shared" si="24"/>
        <v>12805551</v>
      </c>
      <c r="CX41" s="23">
        <f t="shared" si="58"/>
        <v>0.65861405707256082</v>
      </c>
      <c r="CY41" s="23">
        <f t="shared" si="59"/>
        <v>2.4246227279264398E-2</v>
      </c>
      <c r="CZ41" s="6">
        <f t="shared" si="27"/>
        <v>348294978.4971596</v>
      </c>
      <c r="DA41" s="6">
        <f t="shared" si="28"/>
        <v>12822136.299982211</v>
      </c>
      <c r="DB41" s="6">
        <f t="shared" si="29"/>
        <v>23310899</v>
      </c>
      <c r="DC41" s="6">
        <f t="shared" si="30"/>
        <v>23310899</v>
      </c>
      <c r="DD41" s="6">
        <f t="shared" si="31"/>
        <v>19135731</v>
      </c>
      <c r="DE41" s="6">
        <f t="shared" si="32"/>
        <v>13090747</v>
      </c>
      <c r="DF41" s="6">
        <f t="shared" si="33"/>
        <v>9628597.3950645458</v>
      </c>
      <c r="DG41" s="30"/>
      <c r="DH41" s="32">
        <f>VLOOKUP(A41,'T_med_comp-USA'!$A$7:$Q$233,17,0)</f>
        <v>12.236553383879</v>
      </c>
      <c r="DI41" s="6" t="str">
        <f t="shared" si="34"/>
        <v>10_2011</v>
      </c>
      <c r="DJ41" s="32">
        <f>IF(DI41="","",VLOOKUP(DI41,'CPI USA'!$T:$U,2,FALSE))</f>
        <v>224.93899999999999</v>
      </c>
      <c r="DK41" s="32">
        <f>IF(DI41="","",VLOOKUP(DI41,'PPI USA'!$S:$T,2,FALSE))</f>
        <v>169.6</v>
      </c>
      <c r="DL41" s="32">
        <f>IF(DI41="","",VLOOKUP(DI41,'CPI USA'!$T:$V,3,FALSE))</f>
        <v>0.6684022975047168</v>
      </c>
      <c r="DM41" s="32">
        <f>IF(DI41="","",VLOOKUP(DI41,'CPI USA'!$T:$X,5,FALSE))</f>
        <v>0.49636791791307899</v>
      </c>
      <c r="DN41" s="32">
        <f t="shared" si="35"/>
        <v>1.4208751760332547</v>
      </c>
      <c r="DO41" s="32">
        <f t="shared" si="36"/>
        <v>1.4334111417560953</v>
      </c>
      <c r="DP41" s="32">
        <f t="shared" si="37"/>
        <v>0.3407976672199558</v>
      </c>
      <c r="DQ41" s="32">
        <f>IF(DP41="","",DP41*$DO$1/'CPI USA'!$U$532+(1-DP41)*AVERAGE($DO$1,$DQ$1)/AVERAGE('CPI USA'!$U$532,'PPI USA'!$T$538))</f>
        <v>1.0394323861861892</v>
      </c>
      <c r="DR41" s="6">
        <f t="shared" si="38"/>
        <v>2980932</v>
      </c>
      <c r="DS41" s="32">
        <f t="shared" si="39"/>
        <v>0.2</v>
      </c>
      <c r="DT41" s="28">
        <f>IF(DS41="","",DS41*$DO$1/'CPI USA'!$U$532+(1-DS41)*AVERAGE($DO$1,$DQ$1)/AVERAGE('CPI USA'!$U$532,'PPI USA'!$T$538))</f>
        <v>1.0426818386380585</v>
      </c>
      <c r="DU41" s="6">
        <f t="shared" si="40"/>
        <v>3175618</v>
      </c>
      <c r="DV41" s="6">
        <f t="shared" si="41"/>
        <v>0</v>
      </c>
      <c r="DW41" s="6">
        <f t="shared" si="42"/>
        <v>2188032.0173940859</v>
      </c>
      <c r="DX41" s="16">
        <f t="shared" si="43"/>
        <v>0.22724306849880685</v>
      </c>
      <c r="DY41" s="28">
        <f>IF(DX41="","",DX41*$DO$1/'CPI USA'!$U$532+(1-DX41)*AVERAGE($DO$1,$DQ$1)/AVERAGE('CPI USA'!$U$532,'PPI USA'!$T$538))</f>
        <v>1.0420530991320864</v>
      </c>
      <c r="DZ41" s="30"/>
      <c r="EA41" s="29" t="str">
        <f t="shared" si="44"/>
        <v>C000509</v>
      </c>
      <c r="EB41" s="29">
        <f t="shared" si="45"/>
        <v>494883688.8836503</v>
      </c>
      <c r="EC41" s="29">
        <f t="shared" si="46"/>
        <v>18379393.033509776</v>
      </c>
      <c r="ED41" s="29">
        <f t="shared" si="47"/>
        <v>24230103.371715251</v>
      </c>
      <c r="EE41" s="29">
        <f t="shared" si="48"/>
        <v>19952479.182763293</v>
      </c>
      <c r="EF41" s="29">
        <f t="shared" si="49"/>
        <v>10033509.755822144</v>
      </c>
      <c r="EG41" s="29">
        <f t="shared" si="50"/>
        <v>382</v>
      </c>
      <c r="EH41" s="29">
        <f t="shared" si="51"/>
        <v>75487</v>
      </c>
      <c r="EI41" s="29">
        <f t="shared" si="52"/>
        <v>16275</v>
      </c>
      <c r="EJ41" s="29">
        <f t="shared" si="53"/>
        <v>1460324</v>
      </c>
      <c r="EK41" s="29">
        <f t="shared" si="54"/>
        <v>1476599</v>
      </c>
      <c r="EL41" s="29">
        <f>IF(CD41=1,VLOOKUP(EA41,'EIA 2023'!$A$2:$J$213,4,0)*EH41,"")</f>
        <v>8924073.1400000006</v>
      </c>
      <c r="EM41" s="29">
        <f>IF(CD41=1,VLOOKUP(EA41,'EIA 2023'!$A$2:$J$213,7,0)*EH41,"")</f>
        <v>69070.604999999996</v>
      </c>
      <c r="EN41" s="29">
        <f>IF(CD41=1,VLOOKUP(EA41,'EIA 2023'!$A$2:$J$213,10,0),"")</f>
        <v>75074</v>
      </c>
      <c r="EO41" s="28">
        <f>IF(CD41=1,VLOOKUP(EA41,'EIA 2023'!$A$2:$Z$213,26,0),"")</f>
        <v>0</v>
      </c>
      <c r="EP41" s="23">
        <f t="shared" si="55"/>
        <v>1.1021949764289425E-2</v>
      </c>
      <c r="EQ41" s="32">
        <f t="shared" si="56"/>
        <v>0</v>
      </c>
      <c r="ER41" s="32">
        <f t="shared" si="57"/>
        <v>16275</v>
      </c>
      <c r="ES41" s="32"/>
      <c r="ET41" s="32"/>
    </row>
    <row r="42" spans="1:150" ht="15.75" customHeight="1">
      <c r="A42" s="7" t="s">
        <v>330</v>
      </c>
      <c r="B42" s="7" t="s">
        <v>331</v>
      </c>
      <c r="C42" s="32" t="s">
        <v>1127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0</v>
      </c>
      <c r="Q42" s="42">
        <v>0</v>
      </c>
      <c r="R42" s="42">
        <v>0</v>
      </c>
      <c r="S42" s="42">
        <v>0</v>
      </c>
      <c r="T42" s="42">
        <v>0</v>
      </c>
      <c r="U42" s="42">
        <v>0</v>
      </c>
      <c r="V42" s="42">
        <v>0</v>
      </c>
      <c r="W42" s="42">
        <v>0</v>
      </c>
      <c r="X42" s="42">
        <f>IFERROR(VLOOKUP(A42,'Trans 21-23'!$A$2:$J$229,10,0),0)</f>
        <v>0</v>
      </c>
      <c r="Y42" s="42">
        <v>0</v>
      </c>
      <c r="Z42" s="42">
        <v>0</v>
      </c>
      <c r="AA42" s="42">
        <v>0</v>
      </c>
      <c r="AB42" s="42">
        <v>0</v>
      </c>
      <c r="AC42" s="42">
        <v>0</v>
      </c>
      <c r="AD42" s="42">
        <v>8150371</v>
      </c>
      <c r="AE42" s="42">
        <v>0</v>
      </c>
      <c r="AF42" s="42">
        <v>34628441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3886864862</v>
      </c>
      <c r="BD42" s="42">
        <v>59966806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f>IFERROR(VLOOKUP(A42,'Trans 21-23'!$A$2:$J$229,9,0),0)</f>
        <v>0</v>
      </c>
      <c r="BT42" s="67"/>
      <c r="BU42" s="32">
        <f t="shared" si="0"/>
        <v>0</v>
      </c>
      <c r="BV42" s="32">
        <f t="shared" si="1"/>
        <v>0</v>
      </c>
      <c r="BW42" s="32">
        <f t="shared" si="2"/>
        <v>0</v>
      </c>
      <c r="BX42" s="32">
        <f t="shared" si="3"/>
        <v>0</v>
      </c>
      <c r="BY42" s="32">
        <f t="shared" si="4"/>
        <v>0</v>
      </c>
      <c r="BZ42" s="32">
        <f t="shared" si="5"/>
        <v>0</v>
      </c>
      <c r="CA42" s="32">
        <f t="shared" si="6"/>
        <v>8150371</v>
      </c>
      <c r="CB42" s="32">
        <f t="shared" si="7"/>
        <v>0</v>
      </c>
      <c r="CC42" s="32">
        <f t="shared" si="8"/>
        <v>0</v>
      </c>
      <c r="CD42" s="41">
        <f t="shared" si="9"/>
        <v>0</v>
      </c>
      <c r="CE42" s="44">
        <f t="shared" si="10"/>
        <v>64</v>
      </c>
      <c r="CF42" s="27"/>
      <c r="CG42" s="28" t="str">
        <f t="shared" si="11"/>
        <v/>
      </c>
      <c r="CH42" s="28" t="str">
        <f t="shared" si="12"/>
        <v/>
      </c>
      <c r="CI42" s="28" t="str">
        <f t="shared" si="13"/>
        <v/>
      </c>
      <c r="CJ42" s="28" t="str">
        <f t="shared" si="14"/>
        <v/>
      </c>
      <c r="CK42" s="23" t="str">
        <f t="shared" si="15"/>
        <v/>
      </c>
      <c r="CL42" s="29" t="str">
        <f t="shared" si="16"/>
        <v/>
      </c>
      <c r="CM42" s="29" t="str">
        <f t="shared" si="17"/>
        <v/>
      </c>
      <c r="CN42" s="29" t="str">
        <f t="shared" si="18"/>
        <v/>
      </c>
      <c r="CO42" s="29" t="str">
        <f t="shared" si="19"/>
        <v/>
      </c>
      <c r="CP42" s="29" t="str">
        <f t="shared" si="20"/>
        <v/>
      </c>
      <c r="CQ42" s="29" t="str">
        <f t="shared" si="21"/>
        <v/>
      </c>
      <c r="CR42" s="13"/>
      <c r="CS42" s="7" t="str">
        <f>VLOOKUP(A42,'Empresas 21-23'!$A$2:$M$228,13,0)</f>
        <v/>
      </c>
      <c r="CT42" s="30"/>
      <c r="CU42" s="6">
        <f t="shared" si="22"/>
        <v>0</v>
      </c>
      <c r="CV42" s="6">
        <f t="shared" si="23"/>
        <v>0</v>
      </c>
      <c r="CW42" s="6">
        <f t="shared" si="24"/>
        <v>59966806</v>
      </c>
      <c r="CX42" s="23">
        <f t="shared" si="58"/>
        <v>0</v>
      </c>
      <c r="CY42" s="23">
        <f t="shared" si="59"/>
        <v>0</v>
      </c>
      <c r="CZ42" s="6">
        <f t="shared" si="27"/>
        <v>0</v>
      </c>
      <c r="DA42" s="6">
        <f t="shared" si="28"/>
        <v>0</v>
      </c>
      <c r="DB42" s="6">
        <f t="shared" si="29"/>
        <v>0</v>
      </c>
      <c r="DC42" s="6">
        <f t="shared" si="30"/>
        <v>0</v>
      </c>
      <c r="DD42" s="6">
        <f t="shared" si="31"/>
        <v>0</v>
      </c>
      <c r="DE42" s="6">
        <f t="shared" si="32"/>
        <v>8150371</v>
      </c>
      <c r="DF42" s="6">
        <f t="shared" si="33"/>
        <v>0</v>
      </c>
      <c r="DG42" s="30"/>
      <c r="DH42" s="32" t="str">
        <f>VLOOKUP(A42,'T_med_comp-USA'!$A$7:$Q$233,17,0)</f>
        <v>-</v>
      </c>
      <c r="DI42" s="6" t="str">
        <f t="shared" si="34"/>
        <v/>
      </c>
      <c r="DJ42" s="32" t="str">
        <f>IF(DI42="","",VLOOKUP(DI42,'CPI USA'!$T:$U,2,FALSE))</f>
        <v/>
      </c>
      <c r="DK42" s="32" t="str">
        <f>IF(DI42="","",VLOOKUP(DI42,'PPI USA'!$S:$T,2,FALSE))</f>
        <v/>
      </c>
      <c r="DL42" s="32" t="str">
        <f>IF(DI42="","",VLOOKUP(DI42,'CPI USA'!$T:$V,3,FALSE))</f>
        <v/>
      </c>
      <c r="DM42" s="32" t="str">
        <f>IF(DI42="","",VLOOKUP(DI42,'CPI USA'!$T:$X,5,FALSE))</f>
        <v/>
      </c>
      <c r="DN42" s="32" t="str">
        <f t="shared" si="35"/>
        <v/>
      </c>
      <c r="DO42" s="32" t="str">
        <f t="shared" si="36"/>
        <v/>
      </c>
      <c r="DP42" s="32" t="str">
        <f t="shared" si="37"/>
        <v/>
      </c>
      <c r="DQ42" s="32" t="str">
        <f>IF(DP42="","",DP42*$DO$1/'CPI USA'!$U$532+(1-DP42)*AVERAGE($DO$1,$DQ$1)/AVERAGE('CPI USA'!$U$532,'PPI USA'!$T$538))</f>
        <v/>
      </c>
      <c r="DR42" s="6">
        <f t="shared" si="38"/>
        <v>0</v>
      </c>
      <c r="DS42" s="32" t="str">
        <f t="shared" si="39"/>
        <v/>
      </c>
      <c r="DT42" s="28" t="str">
        <f>IF(DS42="","",DS42*$DO$1/'CPI USA'!$U$532+(1-DS42)*AVERAGE($DO$1,$DQ$1)/AVERAGE('CPI USA'!$U$532,'PPI USA'!$T$538))</f>
        <v/>
      </c>
      <c r="DU42" s="6" t="str">
        <f t="shared" si="40"/>
        <v/>
      </c>
      <c r="DV42" s="6" t="str">
        <f t="shared" si="41"/>
        <v/>
      </c>
      <c r="DW42" s="6">
        <f t="shared" si="42"/>
        <v>0</v>
      </c>
      <c r="DX42" s="16" t="str">
        <f t="shared" si="43"/>
        <v/>
      </c>
      <c r="DY42" s="28" t="str">
        <f>IF(DX42="","",DX42*$DO$1/'CPI USA'!$U$532+(1-DX42)*AVERAGE($DO$1,$DQ$1)/AVERAGE('CPI USA'!$U$532,'PPI USA'!$T$538))</f>
        <v/>
      </c>
      <c r="DZ42" s="30"/>
      <c r="EA42" s="29" t="str">
        <f t="shared" si="44"/>
        <v>C000522</v>
      </c>
      <c r="EB42" s="29" t="str">
        <f t="shared" si="45"/>
        <v/>
      </c>
      <c r="EC42" s="29" t="str">
        <f t="shared" si="46"/>
        <v/>
      </c>
      <c r="ED42" s="29" t="str">
        <f t="shared" si="47"/>
        <v/>
      </c>
      <c r="EE42" s="29" t="str">
        <f t="shared" si="48"/>
        <v/>
      </c>
      <c r="EF42" s="29" t="str">
        <f t="shared" si="49"/>
        <v/>
      </c>
      <c r="EG42" s="29" t="str">
        <f t="shared" si="50"/>
        <v/>
      </c>
      <c r="EH42" s="29" t="str">
        <f t="shared" si="51"/>
        <v/>
      </c>
      <c r="EI42" s="29" t="str">
        <f t="shared" si="52"/>
        <v/>
      </c>
      <c r="EJ42" s="29" t="str">
        <f t="shared" si="53"/>
        <v/>
      </c>
      <c r="EK42" s="29" t="str">
        <f t="shared" si="54"/>
        <v/>
      </c>
      <c r="EL42" s="29" t="str">
        <f>IF(CD42=1,VLOOKUP(EA42,'EIA 2023'!$A$2:$J$213,4,0)*EH42,"")</f>
        <v/>
      </c>
      <c r="EM42" s="29" t="str">
        <f>IF(CD42=1,VLOOKUP(EA42,'EIA 2023'!$A$2:$J$213,7,0)*EH42,"")</f>
        <v/>
      </c>
      <c r="EN42" s="29" t="str">
        <f>IF(CD42=1,VLOOKUP(EA42,'EIA 2023'!$A$2:$J$213,10,0),"")</f>
        <v/>
      </c>
      <c r="EO42" s="28" t="str">
        <f>IF(CD42=1,VLOOKUP(EA42,'EIA 2023'!$A$2:$Z$213,26,0),"")</f>
        <v/>
      </c>
      <c r="EP42" s="23" t="str">
        <f t="shared" si="55"/>
        <v/>
      </c>
      <c r="EQ42" s="32" t="str">
        <f t="shared" si="56"/>
        <v/>
      </c>
      <c r="ER42" s="32" t="str">
        <f t="shared" si="57"/>
        <v/>
      </c>
      <c r="ES42" s="32"/>
      <c r="ET42" s="32"/>
    </row>
    <row r="43" spans="1:150" ht="15.75" customHeight="1">
      <c r="A43" s="7" t="s">
        <v>333</v>
      </c>
      <c r="B43" s="7" t="s">
        <v>334</v>
      </c>
      <c r="C43" s="32" t="s">
        <v>1128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2">
        <v>0</v>
      </c>
      <c r="O43" s="42">
        <v>0</v>
      </c>
      <c r="P43" s="42">
        <v>0</v>
      </c>
      <c r="Q43" s="42">
        <v>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f>IFERROR(VLOOKUP(A43,'Trans 21-23'!$A$2:$J$229,10,0),0)</f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628457</v>
      </c>
      <c r="AE43" s="42">
        <v>0</v>
      </c>
      <c r="AF43" s="42">
        <v>2164145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185546219</v>
      </c>
      <c r="BD43" s="42">
        <v>25203963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>
        <v>0</v>
      </c>
      <c r="BP43" s="42">
        <v>0</v>
      </c>
      <c r="BQ43" s="42">
        <v>0</v>
      </c>
      <c r="BR43" s="42">
        <v>0</v>
      </c>
      <c r="BS43" s="42">
        <f>IFERROR(VLOOKUP(A43,'Trans 21-23'!$A$2:$J$229,9,0),0)</f>
        <v>0</v>
      </c>
      <c r="BT43" s="67"/>
      <c r="BU43" s="32">
        <f t="shared" si="0"/>
        <v>0</v>
      </c>
      <c r="BV43" s="32">
        <f t="shared" si="1"/>
        <v>0</v>
      </c>
      <c r="BW43" s="32">
        <f t="shared" si="2"/>
        <v>0</v>
      </c>
      <c r="BX43" s="32">
        <f t="shared" si="3"/>
        <v>0</v>
      </c>
      <c r="BY43" s="32">
        <f t="shared" si="4"/>
        <v>0</v>
      </c>
      <c r="BZ43" s="32">
        <f t="shared" si="5"/>
        <v>0</v>
      </c>
      <c r="CA43" s="32">
        <f t="shared" si="6"/>
        <v>628457</v>
      </c>
      <c r="CB43" s="32">
        <f t="shared" si="7"/>
        <v>0</v>
      </c>
      <c r="CC43" s="32">
        <f t="shared" si="8"/>
        <v>0</v>
      </c>
      <c r="CD43" s="41">
        <f t="shared" si="9"/>
        <v>0</v>
      </c>
      <c r="CE43" s="44">
        <f t="shared" si="10"/>
        <v>64</v>
      </c>
      <c r="CF43" s="27"/>
      <c r="CG43" s="28" t="str">
        <f t="shared" si="11"/>
        <v/>
      </c>
      <c r="CH43" s="28" t="str">
        <f t="shared" si="12"/>
        <v/>
      </c>
      <c r="CI43" s="28" t="str">
        <f t="shared" si="13"/>
        <v/>
      </c>
      <c r="CJ43" s="28" t="str">
        <f t="shared" si="14"/>
        <v/>
      </c>
      <c r="CK43" s="23" t="str">
        <f t="shared" si="15"/>
        <v/>
      </c>
      <c r="CL43" s="29" t="str">
        <f t="shared" si="16"/>
        <v/>
      </c>
      <c r="CM43" s="29" t="str">
        <f t="shared" si="17"/>
        <v/>
      </c>
      <c r="CN43" s="29" t="str">
        <f t="shared" si="18"/>
        <v/>
      </c>
      <c r="CO43" s="29" t="str">
        <f t="shared" si="19"/>
        <v/>
      </c>
      <c r="CP43" s="29" t="str">
        <f t="shared" si="20"/>
        <v/>
      </c>
      <c r="CQ43" s="29" t="str">
        <f t="shared" si="21"/>
        <v/>
      </c>
      <c r="CR43" s="13"/>
      <c r="CS43" s="7" t="str">
        <f>VLOOKUP(A43,'Empresas 21-23'!$A$2:$M$228,13,0)</f>
        <v/>
      </c>
      <c r="CT43" s="30"/>
      <c r="CU43" s="6">
        <f t="shared" si="22"/>
        <v>0</v>
      </c>
      <c r="CV43" s="6">
        <f t="shared" si="23"/>
        <v>0</v>
      </c>
      <c r="CW43" s="6">
        <f t="shared" si="24"/>
        <v>25203963</v>
      </c>
      <c r="CX43" s="23">
        <f t="shared" si="58"/>
        <v>0</v>
      </c>
      <c r="CY43" s="23">
        <f t="shared" si="59"/>
        <v>0</v>
      </c>
      <c r="CZ43" s="6">
        <f t="shared" si="27"/>
        <v>0</v>
      </c>
      <c r="DA43" s="6">
        <f t="shared" si="28"/>
        <v>0</v>
      </c>
      <c r="DB43" s="6">
        <f t="shared" si="29"/>
        <v>0</v>
      </c>
      <c r="DC43" s="6">
        <f t="shared" si="30"/>
        <v>0</v>
      </c>
      <c r="DD43" s="6">
        <f t="shared" si="31"/>
        <v>0</v>
      </c>
      <c r="DE43" s="6">
        <f t="shared" si="32"/>
        <v>628457</v>
      </c>
      <c r="DF43" s="6">
        <f t="shared" si="33"/>
        <v>0</v>
      </c>
      <c r="DG43" s="30"/>
      <c r="DH43" s="32" t="str">
        <f>VLOOKUP(A43,'T_med_comp-USA'!$A$7:$Q$233,17,0)</f>
        <v>-</v>
      </c>
      <c r="DI43" s="6" t="str">
        <f t="shared" si="34"/>
        <v/>
      </c>
      <c r="DJ43" s="32" t="str">
        <f>IF(DI43="","",VLOOKUP(DI43,'CPI USA'!$T:$U,2,FALSE))</f>
        <v/>
      </c>
      <c r="DK43" s="32" t="str">
        <f>IF(DI43="","",VLOOKUP(DI43,'PPI USA'!$S:$T,2,FALSE))</f>
        <v/>
      </c>
      <c r="DL43" s="32" t="str">
        <f>IF(DI43="","",VLOOKUP(DI43,'CPI USA'!$T:$V,3,FALSE))</f>
        <v/>
      </c>
      <c r="DM43" s="32" t="str">
        <f>IF(DI43="","",VLOOKUP(DI43,'CPI USA'!$T:$X,5,FALSE))</f>
        <v/>
      </c>
      <c r="DN43" s="32" t="str">
        <f t="shared" si="35"/>
        <v/>
      </c>
      <c r="DO43" s="32" t="str">
        <f t="shared" si="36"/>
        <v/>
      </c>
      <c r="DP43" s="32" t="str">
        <f t="shared" si="37"/>
        <v/>
      </c>
      <c r="DQ43" s="32" t="str">
        <f>IF(DP43="","",DP43*$DO$1/'CPI USA'!$U$532+(1-DP43)*AVERAGE($DO$1,$DQ$1)/AVERAGE('CPI USA'!$U$532,'PPI USA'!$T$538))</f>
        <v/>
      </c>
      <c r="DR43" s="6">
        <f t="shared" si="38"/>
        <v>0</v>
      </c>
      <c r="DS43" s="32" t="str">
        <f t="shared" si="39"/>
        <v/>
      </c>
      <c r="DT43" s="28" t="str">
        <f>IF(DS43="","",DS43*$DO$1/'CPI USA'!$U$532+(1-DS43)*AVERAGE($DO$1,$DQ$1)/AVERAGE('CPI USA'!$U$532,'PPI USA'!$T$538))</f>
        <v/>
      </c>
      <c r="DU43" s="6" t="str">
        <f t="shared" si="40"/>
        <v/>
      </c>
      <c r="DV43" s="6" t="str">
        <f t="shared" si="41"/>
        <v/>
      </c>
      <c r="DW43" s="6">
        <f t="shared" si="42"/>
        <v>0</v>
      </c>
      <c r="DX43" s="16" t="str">
        <f t="shared" si="43"/>
        <v/>
      </c>
      <c r="DY43" s="28" t="str">
        <f>IF(DX43="","",DX43*$DO$1/'CPI USA'!$U$532+(1-DX43)*AVERAGE($DO$1,$DQ$1)/AVERAGE('CPI USA'!$U$532,'PPI USA'!$T$538))</f>
        <v/>
      </c>
      <c r="DZ43" s="30"/>
      <c r="EA43" s="29" t="str">
        <f t="shared" si="44"/>
        <v>C000523</v>
      </c>
      <c r="EB43" s="29" t="str">
        <f t="shared" si="45"/>
        <v/>
      </c>
      <c r="EC43" s="29" t="str">
        <f t="shared" si="46"/>
        <v/>
      </c>
      <c r="ED43" s="29" t="str">
        <f t="shared" si="47"/>
        <v/>
      </c>
      <c r="EE43" s="29" t="str">
        <f t="shared" si="48"/>
        <v/>
      </c>
      <c r="EF43" s="29" t="str">
        <f t="shared" si="49"/>
        <v/>
      </c>
      <c r="EG43" s="29" t="str">
        <f t="shared" si="50"/>
        <v/>
      </c>
      <c r="EH43" s="29" t="str">
        <f t="shared" si="51"/>
        <v/>
      </c>
      <c r="EI43" s="29" t="str">
        <f t="shared" si="52"/>
        <v/>
      </c>
      <c r="EJ43" s="29" t="str">
        <f t="shared" si="53"/>
        <v/>
      </c>
      <c r="EK43" s="29" t="str">
        <f t="shared" si="54"/>
        <v/>
      </c>
      <c r="EL43" s="29" t="str">
        <f>IF(CD43=1,VLOOKUP(EA43,'EIA 2023'!$A$2:$J$213,4,0)*EH43,"")</f>
        <v/>
      </c>
      <c r="EM43" s="29" t="str">
        <f>IF(CD43=1,VLOOKUP(EA43,'EIA 2023'!$A$2:$J$213,7,0)*EH43,"")</f>
        <v/>
      </c>
      <c r="EN43" s="29" t="str">
        <f>IF(CD43=1,VLOOKUP(EA43,'EIA 2023'!$A$2:$J$213,10,0),"")</f>
        <v/>
      </c>
      <c r="EO43" s="28" t="str">
        <f>IF(CD43=1,VLOOKUP(EA43,'EIA 2023'!$A$2:$Z$213,26,0),"")</f>
        <v/>
      </c>
      <c r="EP43" s="23" t="str">
        <f t="shared" si="55"/>
        <v/>
      </c>
      <c r="EQ43" s="32" t="str">
        <f t="shared" si="56"/>
        <v/>
      </c>
      <c r="ER43" s="32" t="str">
        <f t="shared" si="57"/>
        <v/>
      </c>
      <c r="ES43" s="32"/>
      <c r="ET43" s="32"/>
    </row>
    <row r="44" spans="1:150" ht="15.75" customHeight="1">
      <c r="A44" s="7" t="s">
        <v>336</v>
      </c>
      <c r="B44" s="7" t="s">
        <v>337</v>
      </c>
      <c r="C44" s="32" t="s">
        <v>1129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f>IFERROR(VLOOKUP(A44,'Trans 21-23'!$A$2:$J$229,10,0),0)</f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16768065</v>
      </c>
      <c r="AE44" s="42">
        <v>0</v>
      </c>
      <c r="AF44" s="42">
        <v>54440696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5781628284</v>
      </c>
      <c r="BD44" s="42">
        <v>182906474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f>IFERROR(VLOOKUP(A44,'Trans 21-23'!$A$2:$J$229,9,0),0)</f>
        <v>0</v>
      </c>
      <c r="BT44" s="67"/>
      <c r="BU44" s="32">
        <f t="shared" si="0"/>
        <v>0</v>
      </c>
      <c r="BV44" s="32">
        <f t="shared" si="1"/>
        <v>0</v>
      </c>
      <c r="BW44" s="32">
        <f t="shared" si="2"/>
        <v>0</v>
      </c>
      <c r="BX44" s="32">
        <f t="shared" si="3"/>
        <v>0</v>
      </c>
      <c r="BY44" s="32">
        <f t="shared" si="4"/>
        <v>0</v>
      </c>
      <c r="BZ44" s="32">
        <f t="shared" si="5"/>
        <v>0</v>
      </c>
      <c r="CA44" s="32">
        <f t="shared" si="6"/>
        <v>16768065</v>
      </c>
      <c r="CB44" s="32">
        <f t="shared" si="7"/>
        <v>0</v>
      </c>
      <c r="CC44" s="32">
        <f t="shared" si="8"/>
        <v>0</v>
      </c>
      <c r="CD44" s="41">
        <f t="shared" si="9"/>
        <v>0</v>
      </c>
      <c r="CE44" s="44">
        <f t="shared" si="10"/>
        <v>64</v>
      </c>
      <c r="CF44" s="27"/>
      <c r="CG44" s="28" t="str">
        <f t="shared" si="11"/>
        <v/>
      </c>
      <c r="CH44" s="28" t="str">
        <f t="shared" si="12"/>
        <v/>
      </c>
      <c r="CI44" s="28" t="str">
        <f t="shared" si="13"/>
        <v/>
      </c>
      <c r="CJ44" s="28" t="str">
        <f t="shared" si="14"/>
        <v/>
      </c>
      <c r="CK44" s="23" t="str">
        <f t="shared" si="15"/>
        <v/>
      </c>
      <c r="CL44" s="29" t="str">
        <f t="shared" si="16"/>
        <v/>
      </c>
      <c r="CM44" s="29" t="str">
        <f t="shared" si="17"/>
        <v/>
      </c>
      <c r="CN44" s="29" t="str">
        <f t="shared" si="18"/>
        <v/>
      </c>
      <c r="CO44" s="29" t="str">
        <f t="shared" si="19"/>
        <v/>
      </c>
      <c r="CP44" s="29" t="str">
        <f t="shared" si="20"/>
        <v/>
      </c>
      <c r="CQ44" s="29" t="str">
        <f t="shared" si="21"/>
        <v/>
      </c>
      <c r="CR44" s="13"/>
      <c r="CS44" s="7" t="str">
        <f>VLOOKUP(A44,'Empresas 21-23'!$A$2:$M$228,13,0)</f>
        <v/>
      </c>
      <c r="CT44" s="30"/>
      <c r="CU44" s="6">
        <f t="shared" si="22"/>
        <v>0</v>
      </c>
      <c r="CV44" s="6">
        <f t="shared" si="23"/>
        <v>0</v>
      </c>
      <c r="CW44" s="6">
        <f t="shared" si="24"/>
        <v>182906474</v>
      </c>
      <c r="CX44" s="23">
        <f t="shared" si="58"/>
        <v>0</v>
      </c>
      <c r="CY44" s="23">
        <f t="shared" si="59"/>
        <v>0</v>
      </c>
      <c r="CZ44" s="6">
        <f t="shared" si="27"/>
        <v>0</v>
      </c>
      <c r="DA44" s="6">
        <f t="shared" si="28"/>
        <v>0</v>
      </c>
      <c r="DB44" s="6">
        <f t="shared" si="29"/>
        <v>0</v>
      </c>
      <c r="DC44" s="6">
        <f t="shared" si="30"/>
        <v>0</v>
      </c>
      <c r="DD44" s="6">
        <f t="shared" si="31"/>
        <v>0</v>
      </c>
      <c r="DE44" s="6">
        <f t="shared" si="32"/>
        <v>16768065</v>
      </c>
      <c r="DF44" s="6">
        <f t="shared" si="33"/>
        <v>0</v>
      </c>
      <c r="DG44" s="30"/>
      <c r="DH44" s="32" t="str">
        <f>VLOOKUP(A44,'T_med_comp-USA'!$A$7:$Q$233,17,0)</f>
        <v>-</v>
      </c>
      <c r="DI44" s="6" t="str">
        <f t="shared" si="34"/>
        <v/>
      </c>
      <c r="DJ44" s="32" t="str">
        <f>IF(DI44="","",VLOOKUP(DI44,'CPI USA'!$T:$U,2,FALSE))</f>
        <v/>
      </c>
      <c r="DK44" s="32" t="str">
        <f>IF(DI44="","",VLOOKUP(DI44,'PPI USA'!$S:$T,2,FALSE))</f>
        <v/>
      </c>
      <c r="DL44" s="32" t="str">
        <f>IF(DI44="","",VLOOKUP(DI44,'CPI USA'!$T:$V,3,FALSE))</f>
        <v/>
      </c>
      <c r="DM44" s="32" t="str">
        <f>IF(DI44="","",VLOOKUP(DI44,'CPI USA'!$T:$X,5,FALSE))</f>
        <v/>
      </c>
      <c r="DN44" s="32" t="str">
        <f t="shared" si="35"/>
        <v/>
      </c>
      <c r="DO44" s="32" t="str">
        <f t="shared" si="36"/>
        <v/>
      </c>
      <c r="DP44" s="32" t="str">
        <f t="shared" si="37"/>
        <v/>
      </c>
      <c r="DQ44" s="32" t="str">
        <f>IF(DP44="","",DP44*$DO$1/'CPI USA'!$U$532+(1-DP44)*AVERAGE($DO$1,$DQ$1)/AVERAGE('CPI USA'!$U$532,'PPI USA'!$T$538))</f>
        <v/>
      </c>
      <c r="DR44" s="6">
        <f t="shared" si="38"/>
        <v>0</v>
      </c>
      <c r="DS44" s="32" t="str">
        <f t="shared" si="39"/>
        <v/>
      </c>
      <c r="DT44" s="28" t="str">
        <f>IF(DS44="","",DS44*$DO$1/'CPI USA'!$U$532+(1-DS44)*AVERAGE($DO$1,$DQ$1)/AVERAGE('CPI USA'!$U$532,'PPI USA'!$T$538))</f>
        <v/>
      </c>
      <c r="DU44" s="6" t="str">
        <f t="shared" si="40"/>
        <v/>
      </c>
      <c r="DV44" s="6" t="str">
        <f t="shared" si="41"/>
        <v/>
      </c>
      <c r="DW44" s="6">
        <f t="shared" si="42"/>
        <v>0</v>
      </c>
      <c r="DX44" s="16" t="str">
        <f t="shared" si="43"/>
        <v/>
      </c>
      <c r="DY44" s="28" t="str">
        <f>IF(DX44="","",DX44*$DO$1/'CPI USA'!$U$532+(1-DX44)*AVERAGE($DO$1,$DQ$1)/AVERAGE('CPI USA'!$U$532,'PPI USA'!$T$538))</f>
        <v/>
      </c>
      <c r="DZ44" s="30"/>
      <c r="EA44" s="29" t="str">
        <f t="shared" si="44"/>
        <v>C000524</v>
      </c>
      <c r="EB44" s="29" t="str">
        <f t="shared" si="45"/>
        <v/>
      </c>
      <c r="EC44" s="29" t="str">
        <f t="shared" si="46"/>
        <v/>
      </c>
      <c r="ED44" s="29" t="str">
        <f t="shared" si="47"/>
        <v/>
      </c>
      <c r="EE44" s="29" t="str">
        <f t="shared" si="48"/>
        <v/>
      </c>
      <c r="EF44" s="29" t="str">
        <f t="shared" si="49"/>
        <v/>
      </c>
      <c r="EG44" s="29" t="str">
        <f t="shared" si="50"/>
        <v/>
      </c>
      <c r="EH44" s="29" t="str">
        <f t="shared" si="51"/>
        <v/>
      </c>
      <c r="EI44" s="29" t="str">
        <f t="shared" si="52"/>
        <v/>
      </c>
      <c r="EJ44" s="29" t="str">
        <f t="shared" si="53"/>
        <v/>
      </c>
      <c r="EK44" s="29" t="str">
        <f t="shared" si="54"/>
        <v/>
      </c>
      <c r="EL44" s="29" t="str">
        <f>IF(CD44=1,VLOOKUP(EA44,'EIA 2023'!$A$2:$J$213,4,0)*EH44,"")</f>
        <v/>
      </c>
      <c r="EM44" s="29" t="str">
        <f>IF(CD44=1,VLOOKUP(EA44,'EIA 2023'!$A$2:$J$213,7,0)*EH44,"")</f>
        <v/>
      </c>
      <c r="EN44" s="29" t="str">
        <f>IF(CD44=1,VLOOKUP(EA44,'EIA 2023'!$A$2:$J$213,10,0),"")</f>
        <v/>
      </c>
      <c r="EO44" s="28" t="str">
        <f>IF(CD44=1,VLOOKUP(EA44,'EIA 2023'!$A$2:$Z$213,26,0),"")</f>
        <v/>
      </c>
      <c r="EP44" s="23" t="str">
        <f t="shared" si="55"/>
        <v/>
      </c>
      <c r="EQ44" s="32" t="str">
        <f t="shared" si="56"/>
        <v/>
      </c>
      <c r="ER44" s="32" t="str">
        <f t="shared" si="57"/>
        <v/>
      </c>
      <c r="ES44" s="32"/>
      <c r="ET44" s="32"/>
    </row>
    <row r="45" spans="1:150" ht="15.75" customHeight="1">
      <c r="A45" s="7" t="s">
        <v>339</v>
      </c>
      <c r="B45" s="7" t="s">
        <v>340</v>
      </c>
      <c r="C45" s="32" t="s">
        <v>1130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2">
        <v>0</v>
      </c>
      <c r="T45" s="42">
        <v>0</v>
      </c>
      <c r="U45" s="42">
        <v>0</v>
      </c>
      <c r="V45" s="42">
        <v>0</v>
      </c>
      <c r="W45" s="42">
        <v>0</v>
      </c>
      <c r="X45" s="42">
        <f>IFERROR(VLOOKUP(A45,'Trans 21-23'!$A$2:$J$229,10,0),0)</f>
        <v>0</v>
      </c>
      <c r="Y45" s="42">
        <v>0</v>
      </c>
      <c r="Z45" s="42">
        <v>0</v>
      </c>
      <c r="AA45" s="42">
        <v>0</v>
      </c>
      <c r="AB45" s="42">
        <v>0</v>
      </c>
      <c r="AC45" s="42">
        <v>0</v>
      </c>
      <c r="AD45" s="42">
        <v>3420049</v>
      </c>
      <c r="AE45" s="42">
        <v>0</v>
      </c>
      <c r="AF45" s="42">
        <v>14380052</v>
      </c>
      <c r="AG45" s="42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2">
        <v>0</v>
      </c>
      <c r="AN45" s="42">
        <v>0</v>
      </c>
      <c r="AO45" s="42">
        <v>0</v>
      </c>
      <c r="AP45" s="42">
        <v>0</v>
      </c>
      <c r="AQ45" s="42">
        <v>0</v>
      </c>
      <c r="AR45" s="42">
        <v>0</v>
      </c>
      <c r="AS45" s="42">
        <v>0</v>
      </c>
      <c r="AT45" s="42">
        <v>0</v>
      </c>
      <c r="AU45" s="42">
        <v>0</v>
      </c>
      <c r="AV45" s="42">
        <v>0</v>
      </c>
      <c r="AW45" s="42">
        <v>0</v>
      </c>
      <c r="AX45" s="42">
        <v>0</v>
      </c>
      <c r="AY45" s="42">
        <v>0</v>
      </c>
      <c r="AZ45" s="42">
        <v>0</v>
      </c>
      <c r="BA45" s="42">
        <v>0</v>
      </c>
      <c r="BB45" s="42">
        <v>0</v>
      </c>
      <c r="BC45" s="42">
        <v>1689140531</v>
      </c>
      <c r="BD45" s="42">
        <v>24039321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2">
        <v>0</v>
      </c>
      <c r="BL45" s="42">
        <v>0</v>
      </c>
      <c r="BM45" s="42">
        <v>0</v>
      </c>
      <c r="BN45" s="42">
        <v>0</v>
      </c>
      <c r="BO45" s="42">
        <v>0</v>
      </c>
      <c r="BP45" s="42">
        <v>0</v>
      </c>
      <c r="BQ45" s="42">
        <v>0</v>
      </c>
      <c r="BR45" s="42">
        <v>0</v>
      </c>
      <c r="BS45" s="42">
        <f>IFERROR(VLOOKUP(A45,'Trans 21-23'!$A$2:$J$229,9,0),0)</f>
        <v>0</v>
      </c>
      <c r="BT45" s="67"/>
      <c r="BU45" s="32">
        <f t="shared" si="0"/>
        <v>0</v>
      </c>
      <c r="BV45" s="32">
        <f t="shared" si="1"/>
        <v>0</v>
      </c>
      <c r="BW45" s="32">
        <f t="shared" si="2"/>
        <v>0</v>
      </c>
      <c r="BX45" s="32">
        <f t="shared" si="3"/>
        <v>0</v>
      </c>
      <c r="BY45" s="32">
        <f t="shared" si="4"/>
        <v>0</v>
      </c>
      <c r="BZ45" s="32">
        <f t="shared" si="5"/>
        <v>0</v>
      </c>
      <c r="CA45" s="32">
        <f t="shared" si="6"/>
        <v>3420049</v>
      </c>
      <c r="CB45" s="32">
        <f t="shared" si="7"/>
        <v>0</v>
      </c>
      <c r="CC45" s="32">
        <f t="shared" si="8"/>
        <v>0</v>
      </c>
      <c r="CD45" s="41">
        <f t="shared" si="9"/>
        <v>0</v>
      </c>
      <c r="CE45" s="44">
        <f t="shared" si="10"/>
        <v>64</v>
      </c>
      <c r="CF45" s="27"/>
      <c r="CG45" s="28" t="str">
        <f t="shared" si="11"/>
        <v/>
      </c>
      <c r="CH45" s="28" t="str">
        <f t="shared" si="12"/>
        <v/>
      </c>
      <c r="CI45" s="28" t="str">
        <f t="shared" si="13"/>
        <v/>
      </c>
      <c r="CJ45" s="28" t="str">
        <f t="shared" si="14"/>
        <v/>
      </c>
      <c r="CK45" s="23" t="str">
        <f t="shared" si="15"/>
        <v/>
      </c>
      <c r="CL45" s="29" t="str">
        <f t="shared" si="16"/>
        <v/>
      </c>
      <c r="CM45" s="29" t="str">
        <f t="shared" si="17"/>
        <v/>
      </c>
      <c r="CN45" s="29" t="str">
        <f t="shared" si="18"/>
        <v/>
      </c>
      <c r="CO45" s="29" t="str">
        <f t="shared" si="19"/>
        <v/>
      </c>
      <c r="CP45" s="29" t="str">
        <f t="shared" si="20"/>
        <v/>
      </c>
      <c r="CQ45" s="29" t="str">
        <f t="shared" si="21"/>
        <v/>
      </c>
      <c r="CR45" s="13"/>
      <c r="CS45" s="7" t="str">
        <f>VLOOKUP(A45,'Empresas 21-23'!$A$2:$M$228,13,0)</f>
        <v/>
      </c>
      <c r="CT45" s="30"/>
      <c r="CU45" s="6">
        <f t="shared" si="22"/>
        <v>0</v>
      </c>
      <c r="CV45" s="6">
        <f t="shared" si="23"/>
        <v>0</v>
      </c>
      <c r="CW45" s="6">
        <f t="shared" si="24"/>
        <v>24039321</v>
      </c>
      <c r="CX45" s="23">
        <f t="shared" si="58"/>
        <v>0</v>
      </c>
      <c r="CY45" s="23">
        <f t="shared" si="59"/>
        <v>0</v>
      </c>
      <c r="CZ45" s="6">
        <f t="shared" si="27"/>
        <v>0</v>
      </c>
      <c r="DA45" s="6">
        <f t="shared" si="28"/>
        <v>0</v>
      </c>
      <c r="DB45" s="6">
        <f t="shared" si="29"/>
        <v>0</v>
      </c>
      <c r="DC45" s="6">
        <f t="shared" si="30"/>
        <v>0</v>
      </c>
      <c r="DD45" s="6">
        <f t="shared" si="31"/>
        <v>0</v>
      </c>
      <c r="DE45" s="6">
        <f t="shared" si="32"/>
        <v>3420049</v>
      </c>
      <c r="DF45" s="6">
        <f t="shared" si="33"/>
        <v>0</v>
      </c>
      <c r="DG45" s="30"/>
      <c r="DH45" s="32" t="str">
        <f>VLOOKUP(A45,'T_med_comp-USA'!$A$7:$Q$233,17,0)</f>
        <v>-</v>
      </c>
      <c r="DI45" s="6" t="str">
        <f t="shared" si="34"/>
        <v/>
      </c>
      <c r="DJ45" s="32" t="str">
        <f>IF(DI45="","",VLOOKUP(DI45,'CPI USA'!$T:$U,2,FALSE))</f>
        <v/>
      </c>
      <c r="DK45" s="32" t="str">
        <f>IF(DI45="","",VLOOKUP(DI45,'PPI USA'!$S:$T,2,FALSE))</f>
        <v/>
      </c>
      <c r="DL45" s="32" t="str">
        <f>IF(DI45="","",VLOOKUP(DI45,'CPI USA'!$T:$V,3,FALSE))</f>
        <v/>
      </c>
      <c r="DM45" s="32" t="str">
        <f>IF(DI45="","",VLOOKUP(DI45,'CPI USA'!$T:$X,5,FALSE))</f>
        <v/>
      </c>
      <c r="DN45" s="32" t="str">
        <f t="shared" si="35"/>
        <v/>
      </c>
      <c r="DO45" s="32" t="str">
        <f t="shared" si="36"/>
        <v/>
      </c>
      <c r="DP45" s="32" t="str">
        <f t="shared" si="37"/>
        <v/>
      </c>
      <c r="DQ45" s="32" t="str">
        <f>IF(DP45="","",DP45*$DO$1/'CPI USA'!$U$532+(1-DP45)*AVERAGE($DO$1,$DQ$1)/AVERAGE('CPI USA'!$U$532,'PPI USA'!$T$538))</f>
        <v/>
      </c>
      <c r="DR45" s="6">
        <f t="shared" si="38"/>
        <v>0</v>
      </c>
      <c r="DS45" s="32" t="str">
        <f t="shared" si="39"/>
        <v/>
      </c>
      <c r="DT45" s="28" t="str">
        <f>IF(DS45="","",DS45*$DO$1/'CPI USA'!$U$532+(1-DS45)*AVERAGE($DO$1,$DQ$1)/AVERAGE('CPI USA'!$U$532,'PPI USA'!$T$538))</f>
        <v/>
      </c>
      <c r="DU45" s="6" t="str">
        <f t="shared" si="40"/>
        <v/>
      </c>
      <c r="DV45" s="6" t="str">
        <f t="shared" si="41"/>
        <v/>
      </c>
      <c r="DW45" s="6">
        <f t="shared" si="42"/>
        <v>0</v>
      </c>
      <c r="DX45" s="16" t="str">
        <f t="shared" si="43"/>
        <v/>
      </c>
      <c r="DY45" s="28" t="str">
        <f>IF(DX45="","",DX45*$DO$1/'CPI USA'!$U$532+(1-DX45)*AVERAGE($DO$1,$DQ$1)/AVERAGE('CPI USA'!$U$532,'PPI USA'!$T$538))</f>
        <v/>
      </c>
      <c r="DZ45" s="30"/>
      <c r="EA45" s="29" t="str">
        <f t="shared" si="44"/>
        <v>C000525</v>
      </c>
      <c r="EB45" s="29" t="str">
        <f t="shared" si="45"/>
        <v/>
      </c>
      <c r="EC45" s="29" t="str">
        <f t="shared" si="46"/>
        <v/>
      </c>
      <c r="ED45" s="29" t="str">
        <f t="shared" si="47"/>
        <v/>
      </c>
      <c r="EE45" s="29" t="str">
        <f t="shared" si="48"/>
        <v/>
      </c>
      <c r="EF45" s="29" t="str">
        <f t="shared" si="49"/>
        <v/>
      </c>
      <c r="EG45" s="29" t="str">
        <f t="shared" si="50"/>
        <v/>
      </c>
      <c r="EH45" s="29" t="str">
        <f t="shared" si="51"/>
        <v/>
      </c>
      <c r="EI45" s="29" t="str">
        <f t="shared" si="52"/>
        <v/>
      </c>
      <c r="EJ45" s="29" t="str">
        <f t="shared" si="53"/>
        <v/>
      </c>
      <c r="EK45" s="29" t="str">
        <f t="shared" si="54"/>
        <v/>
      </c>
      <c r="EL45" s="29" t="str">
        <f>IF(CD45=1,VLOOKUP(EA45,'EIA 2023'!$A$2:$J$213,4,0)*EH45,"")</f>
        <v/>
      </c>
      <c r="EM45" s="29" t="str">
        <f>IF(CD45=1,VLOOKUP(EA45,'EIA 2023'!$A$2:$J$213,7,0)*EH45,"")</f>
        <v/>
      </c>
      <c r="EN45" s="29" t="str">
        <f>IF(CD45=1,VLOOKUP(EA45,'EIA 2023'!$A$2:$J$213,10,0),"")</f>
        <v/>
      </c>
      <c r="EO45" s="28" t="str">
        <f>IF(CD45=1,VLOOKUP(EA45,'EIA 2023'!$A$2:$Z$213,26,0),"")</f>
        <v/>
      </c>
      <c r="EP45" s="23" t="str">
        <f t="shared" si="55"/>
        <v/>
      </c>
      <c r="EQ45" s="32" t="str">
        <f t="shared" si="56"/>
        <v/>
      </c>
      <c r="ER45" s="32" t="str">
        <f t="shared" si="57"/>
        <v/>
      </c>
      <c r="ES45" s="32"/>
      <c r="ET45" s="32"/>
    </row>
    <row r="46" spans="1:150" ht="15.75" customHeight="1">
      <c r="A46" s="7" t="s">
        <v>342</v>
      </c>
      <c r="B46" s="7" t="s">
        <v>343</v>
      </c>
      <c r="C46" s="32" t="s">
        <v>1131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f>IFERROR(VLOOKUP(A46,'Trans 21-23'!$A$2:$J$229,10,0),0)</f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60262</v>
      </c>
      <c r="AE46" s="42">
        <v>0</v>
      </c>
      <c r="AF46" s="42">
        <v>66322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f>IFERROR(VLOOKUP(A46,'Trans 21-23'!$A$2:$J$229,9,0),0)</f>
        <v>0</v>
      </c>
      <c r="BT46" s="67"/>
      <c r="BU46" s="32">
        <f t="shared" si="0"/>
        <v>0</v>
      </c>
      <c r="BV46" s="32">
        <f t="shared" si="1"/>
        <v>0</v>
      </c>
      <c r="BW46" s="32">
        <f t="shared" si="2"/>
        <v>0</v>
      </c>
      <c r="BX46" s="32">
        <f t="shared" si="3"/>
        <v>0</v>
      </c>
      <c r="BY46" s="32">
        <f t="shared" si="4"/>
        <v>0</v>
      </c>
      <c r="BZ46" s="32">
        <f t="shared" si="5"/>
        <v>0</v>
      </c>
      <c r="CA46" s="32">
        <f t="shared" si="6"/>
        <v>60262</v>
      </c>
      <c r="CB46" s="32">
        <f t="shared" si="7"/>
        <v>0</v>
      </c>
      <c r="CC46" s="32">
        <f t="shared" si="8"/>
        <v>0</v>
      </c>
      <c r="CD46" s="41">
        <f t="shared" si="9"/>
        <v>0</v>
      </c>
      <c r="CE46" s="44">
        <f t="shared" si="10"/>
        <v>66</v>
      </c>
      <c r="CF46" s="27"/>
      <c r="CG46" s="28" t="str">
        <f t="shared" si="11"/>
        <v/>
      </c>
      <c r="CH46" s="28" t="str">
        <f t="shared" si="12"/>
        <v/>
      </c>
      <c r="CI46" s="28" t="str">
        <f t="shared" si="13"/>
        <v/>
      </c>
      <c r="CJ46" s="28" t="str">
        <f t="shared" si="14"/>
        <v/>
      </c>
      <c r="CK46" s="23" t="str">
        <f t="shared" si="15"/>
        <v/>
      </c>
      <c r="CL46" s="29" t="str">
        <f t="shared" si="16"/>
        <v/>
      </c>
      <c r="CM46" s="29" t="str">
        <f t="shared" si="17"/>
        <v/>
      </c>
      <c r="CN46" s="29" t="str">
        <f t="shared" si="18"/>
        <v/>
      </c>
      <c r="CO46" s="29" t="str">
        <f t="shared" si="19"/>
        <v/>
      </c>
      <c r="CP46" s="29" t="str">
        <f t="shared" si="20"/>
        <v/>
      </c>
      <c r="CQ46" s="29" t="str">
        <f t="shared" si="21"/>
        <v/>
      </c>
      <c r="CR46" s="13"/>
      <c r="CS46" s="7" t="str">
        <f>VLOOKUP(A46,'Empresas 21-23'!$A$2:$M$228,13,0)</f>
        <v/>
      </c>
      <c r="CT46" s="30"/>
      <c r="CU46" s="6">
        <f t="shared" si="22"/>
        <v>0</v>
      </c>
      <c r="CV46" s="6">
        <f t="shared" si="23"/>
        <v>0</v>
      </c>
      <c r="CW46" s="6">
        <f t="shared" si="24"/>
        <v>0</v>
      </c>
      <c r="CX46" s="23" t="str">
        <f>IFERROR(CU46/(BC46-BD46),"")</f>
        <v/>
      </c>
      <c r="CY46" s="23" t="str">
        <f>IFERROR(CV46/(BC46-BD46),"")</f>
        <v/>
      </c>
      <c r="CZ46" s="6" t="e">
        <f t="shared" si="27"/>
        <v>#VALUE!</v>
      </c>
      <c r="DA46" s="6" t="e">
        <f t="shared" si="28"/>
        <v>#VALUE!</v>
      </c>
      <c r="DB46" s="6">
        <f t="shared" si="29"/>
        <v>0</v>
      </c>
      <c r="DC46" s="6">
        <f t="shared" si="30"/>
        <v>0</v>
      </c>
      <c r="DD46" s="6">
        <f t="shared" si="31"/>
        <v>0</v>
      </c>
      <c r="DE46" s="6">
        <f t="shared" si="32"/>
        <v>60262</v>
      </c>
      <c r="DF46" s="6">
        <f t="shared" si="33"/>
        <v>0</v>
      </c>
      <c r="DG46" s="30"/>
      <c r="DH46" s="32" t="str">
        <f>VLOOKUP(A46,'T_med_comp-USA'!$A$7:$Q$233,17,0)</f>
        <v>-</v>
      </c>
      <c r="DI46" s="6" t="str">
        <f t="shared" si="34"/>
        <v/>
      </c>
      <c r="DJ46" s="32" t="str">
        <f>IF(DI46="","",VLOOKUP(DI46,'CPI USA'!$T:$U,2,FALSE))</f>
        <v/>
      </c>
      <c r="DK46" s="32" t="str">
        <f>IF(DI46="","",VLOOKUP(DI46,'PPI USA'!$S:$T,2,FALSE))</f>
        <v/>
      </c>
      <c r="DL46" s="32" t="str">
        <f>IF(DI46="","",VLOOKUP(DI46,'CPI USA'!$T:$V,3,FALSE))</f>
        <v/>
      </c>
      <c r="DM46" s="32" t="str">
        <f>IF(DI46="","",VLOOKUP(DI46,'CPI USA'!$T:$X,5,FALSE))</f>
        <v/>
      </c>
      <c r="DN46" s="32" t="str">
        <f t="shared" si="35"/>
        <v/>
      </c>
      <c r="DO46" s="32" t="str">
        <f t="shared" si="36"/>
        <v/>
      </c>
      <c r="DP46" s="32" t="str">
        <f t="shared" si="37"/>
        <v/>
      </c>
      <c r="DQ46" s="32" t="str">
        <f>IF(DP46="","",DP46*$DO$1/'CPI USA'!$U$532+(1-DP46)*AVERAGE($DO$1,$DQ$1)/AVERAGE('CPI USA'!$U$532,'PPI USA'!$T$538))</f>
        <v/>
      </c>
      <c r="DR46" s="6">
        <f t="shared" si="38"/>
        <v>0</v>
      </c>
      <c r="DS46" s="32" t="str">
        <f t="shared" si="39"/>
        <v/>
      </c>
      <c r="DT46" s="28" t="str">
        <f>IF(DS46="","",DS46*$DO$1/'CPI USA'!$U$532+(1-DS46)*AVERAGE($DO$1,$DQ$1)/AVERAGE('CPI USA'!$U$532,'PPI USA'!$T$538))</f>
        <v/>
      </c>
      <c r="DU46" s="6" t="str">
        <f t="shared" si="40"/>
        <v/>
      </c>
      <c r="DV46" s="6" t="str">
        <f t="shared" si="41"/>
        <v/>
      </c>
      <c r="DW46" s="6">
        <f t="shared" si="42"/>
        <v>0</v>
      </c>
      <c r="DX46" s="16" t="e">
        <f t="shared" si="43"/>
        <v>#VALUE!</v>
      </c>
      <c r="DY46" s="28" t="e">
        <f>IF(DX46="","",DX46*$DO$1/'CPI USA'!$U$532+(1-DX46)*AVERAGE($DO$1,$DQ$1)/AVERAGE('CPI USA'!$U$532,'PPI USA'!$T$538))</f>
        <v>#VALUE!</v>
      </c>
      <c r="DZ46" s="30"/>
      <c r="EA46" s="29" t="str">
        <f t="shared" si="44"/>
        <v>C000526</v>
      </c>
      <c r="EB46" s="29" t="str">
        <f t="shared" si="45"/>
        <v/>
      </c>
      <c r="EC46" s="29" t="str">
        <f t="shared" si="46"/>
        <v/>
      </c>
      <c r="ED46" s="29" t="str">
        <f t="shared" si="47"/>
        <v/>
      </c>
      <c r="EE46" s="29" t="str">
        <f t="shared" si="48"/>
        <v/>
      </c>
      <c r="EF46" s="29" t="str">
        <f t="shared" si="49"/>
        <v/>
      </c>
      <c r="EG46" s="29" t="str">
        <f t="shared" si="50"/>
        <v/>
      </c>
      <c r="EH46" s="29" t="str">
        <f t="shared" si="51"/>
        <v/>
      </c>
      <c r="EI46" s="29" t="str">
        <f t="shared" si="52"/>
        <v/>
      </c>
      <c r="EJ46" s="29" t="str">
        <f t="shared" si="53"/>
        <v/>
      </c>
      <c r="EK46" s="29" t="str">
        <f t="shared" si="54"/>
        <v/>
      </c>
      <c r="EL46" s="29" t="str">
        <f>IF(CD46=1,VLOOKUP(EA46,'EIA 2023'!$A$2:$J$213,4,0)*EH46,"")</f>
        <v/>
      </c>
      <c r="EM46" s="29" t="str">
        <f>IF(CD46=1,VLOOKUP(EA46,'EIA 2023'!$A$2:$J$213,7,0)*EH46,"")</f>
        <v/>
      </c>
      <c r="EN46" s="29" t="str">
        <f>IF(CD46=1,VLOOKUP(EA46,'EIA 2023'!$A$2:$J$213,10,0),"")</f>
        <v/>
      </c>
      <c r="EO46" s="28" t="str">
        <f>IF(CD46=1,VLOOKUP(EA46,'EIA 2023'!$A$2:$Z$213,26,0),"")</f>
        <v/>
      </c>
      <c r="EP46" s="23" t="str">
        <f t="shared" si="55"/>
        <v/>
      </c>
      <c r="EQ46" s="32" t="str">
        <f t="shared" si="56"/>
        <v/>
      </c>
      <c r="ER46" s="32" t="str">
        <f t="shared" si="57"/>
        <v/>
      </c>
      <c r="ES46" s="32"/>
      <c r="ET46" s="32"/>
    </row>
    <row r="47" spans="1:150" ht="15.75" customHeight="1">
      <c r="A47" s="7" t="s">
        <v>345</v>
      </c>
      <c r="B47" s="7" t="s">
        <v>346</v>
      </c>
      <c r="C47" s="32" t="s">
        <v>1132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f>IFERROR(VLOOKUP(A47,'Trans 21-23'!$A$2:$J$229,10,0),0)</f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4820922</v>
      </c>
      <c r="AE47" s="42">
        <v>0</v>
      </c>
      <c r="AF47" s="42">
        <v>21491989</v>
      </c>
      <c r="AG47" s="42">
        <v>0</v>
      </c>
      <c r="AH47" s="42">
        <v>0</v>
      </c>
      <c r="AI47" s="42">
        <v>0</v>
      </c>
      <c r="AJ47" s="42">
        <v>0</v>
      </c>
      <c r="AK47" s="42">
        <v>0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2557880684</v>
      </c>
      <c r="BD47" s="42">
        <v>55551765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f>IFERROR(VLOOKUP(A47,'Trans 21-23'!$A$2:$J$229,9,0),0)</f>
        <v>0</v>
      </c>
      <c r="BT47" s="67"/>
      <c r="BU47" s="32">
        <f t="shared" si="0"/>
        <v>0</v>
      </c>
      <c r="BV47" s="32">
        <f t="shared" si="1"/>
        <v>0</v>
      </c>
      <c r="BW47" s="32">
        <f t="shared" si="2"/>
        <v>0</v>
      </c>
      <c r="BX47" s="32">
        <f t="shared" si="3"/>
        <v>0</v>
      </c>
      <c r="BY47" s="32">
        <f t="shared" si="4"/>
        <v>0</v>
      </c>
      <c r="BZ47" s="32">
        <f t="shared" si="5"/>
        <v>0</v>
      </c>
      <c r="CA47" s="32">
        <f t="shared" si="6"/>
        <v>4820922</v>
      </c>
      <c r="CB47" s="32">
        <f t="shared" si="7"/>
        <v>0</v>
      </c>
      <c r="CC47" s="32">
        <f t="shared" si="8"/>
        <v>0</v>
      </c>
      <c r="CD47" s="41">
        <f t="shared" si="9"/>
        <v>0</v>
      </c>
      <c r="CE47" s="44">
        <f t="shared" si="10"/>
        <v>64</v>
      </c>
      <c r="CF47" s="27"/>
      <c r="CG47" s="28" t="str">
        <f t="shared" si="11"/>
        <v/>
      </c>
      <c r="CH47" s="28" t="str">
        <f t="shared" si="12"/>
        <v/>
      </c>
      <c r="CI47" s="28" t="str">
        <f t="shared" si="13"/>
        <v/>
      </c>
      <c r="CJ47" s="28" t="str">
        <f t="shared" si="14"/>
        <v/>
      </c>
      <c r="CK47" s="23" t="str">
        <f t="shared" si="15"/>
        <v/>
      </c>
      <c r="CL47" s="29" t="str">
        <f t="shared" si="16"/>
        <v/>
      </c>
      <c r="CM47" s="29" t="str">
        <f t="shared" si="17"/>
        <v/>
      </c>
      <c r="CN47" s="29" t="str">
        <f t="shared" si="18"/>
        <v/>
      </c>
      <c r="CO47" s="29" t="str">
        <f t="shared" si="19"/>
        <v/>
      </c>
      <c r="CP47" s="29" t="str">
        <f t="shared" si="20"/>
        <v/>
      </c>
      <c r="CQ47" s="29" t="str">
        <f t="shared" si="21"/>
        <v/>
      </c>
      <c r="CR47" s="13"/>
      <c r="CS47" s="7" t="str">
        <f>VLOOKUP(A47,'Empresas 21-23'!$A$2:$M$228,13,0)</f>
        <v/>
      </c>
      <c r="CT47" s="30"/>
      <c r="CU47" s="6">
        <f t="shared" si="22"/>
        <v>0</v>
      </c>
      <c r="CV47" s="6">
        <f t="shared" si="23"/>
        <v>0</v>
      </c>
      <c r="CW47" s="6">
        <f t="shared" si="24"/>
        <v>55551765</v>
      </c>
      <c r="CX47" s="23">
        <f t="shared" ref="CX47:CX58" si="60">CU47/(BC47-BD47)</f>
        <v>0</v>
      </c>
      <c r="CY47" s="23">
        <f t="shared" ref="CY47:CY58" si="61">CV47/(BC47-BD47)</f>
        <v>0</v>
      </c>
      <c r="CZ47" s="6">
        <f t="shared" si="27"/>
        <v>0</v>
      </c>
      <c r="DA47" s="6">
        <f t="shared" si="28"/>
        <v>0</v>
      </c>
      <c r="DB47" s="6">
        <f t="shared" si="29"/>
        <v>0</v>
      </c>
      <c r="DC47" s="6">
        <f t="shared" si="30"/>
        <v>0</v>
      </c>
      <c r="DD47" s="6">
        <f t="shared" si="31"/>
        <v>0</v>
      </c>
      <c r="DE47" s="6">
        <f t="shared" si="32"/>
        <v>4820922</v>
      </c>
      <c r="DF47" s="6">
        <f t="shared" si="33"/>
        <v>0</v>
      </c>
      <c r="DG47" s="30"/>
      <c r="DH47" s="32" t="str">
        <f>VLOOKUP(A47,'T_med_comp-USA'!$A$7:$Q$233,17,0)</f>
        <v>-</v>
      </c>
      <c r="DI47" s="6" t="str">
        <f t="shared" si="34"/>
        <v/>
      </c>
      <c r="DJ47" s="32" t="str">
        <f>IF(DI47="","",VLOOKUP(DI47,'CPI USA'!$T:$U,2,FALSE))</f>
        <v/>
      </c>
      <c r="DK47" s="32" t="str">
        <f>IF(DI47="","",VLOOKUP(DI47,'PPI USA'!$S:$T,2,FALSE))</f>
        <v/>
      </c>
      <c r="DL47" s="32" t="str">
        <f>IF(DI47="","",VLOOKUP(DI47,'CPI USA'!$T:$V,3,FALSE))</f>
        <v/>
      </c>
      <c r="DM47" s="32" t="str">
        <f>IF(DI47="","",VLOOKUP(DI47,'CPI USA'!$T:$X,5,FALSE))</f>
        <v/>
      </c>
      <c r="DN47" s="32" t="str">
        <f t="shared" si="35"/>
        <v/>
      </c>
      <c r="DO47" s="32" t="str">
        <f t="shared" si="36"/>
        <v/>
      </c>
      <c r="DP47" s="32" t="str">
        <f t="shared" si="37"/>
        <v/>
      </c>
      <c r="DQ47" s="32" t="str">
        <f>IF(DP47="","",DP47*$DO$1/'CPI USA'!$U$532+(1-DP47)*AVERAGE($DO$1,$DQ$1)/AVERAGE('CPI USA'!$U$532,'PPI USA'!$T$538))</f>
        <v/>
      </c>
      <c r="DR47" s="6">
        <f t="shared" si="38"/>
        <v>0</v>
      </c>
      <c r="DS47" s="32" t="str">
        <f t="shared" si="39"/>
        <v/>
      </c>
      <c r="DT47" s="28" t="str">
        <f>IF(DS47="","",DS47*$DO$1/'CPI USA'!$U$532+(1-DS47)*AVERAGE($DO$1,$DQ$1)/AVERAGE('CPI USA'!$U$532,'PPI USA'!$T$538))</f>
        <v/>
      </c>
      <c r="DU47" s="6" t="str">
        <f t="shared" si="40"/>
        <v/>
      </c>
      <c r="DV47" s="6" t="str">
        <f t="shared" si="41"/>
        <v/>
      </c>
      <c r="DW47" s="6">
        <f t="shared" si="42"/>
        <v>0</v>
      </c>
      <c r="DX47" s="16" t="str">
        <f t="shared" si="43"/>
        <v/>
      </c>
      <c r="DY47" s="28" t="str">
        <f>IF(DX47="","",DX47*$DO$1/'CPI USA'!$U$532+(1-DX47)*AVERAGE($DO$1,$DQ$1)/AVERAGE('CPI USA'!$U$532,'PPI USA'!$T$538))</f>
        <v/>
      </c>
      <c r="DZ47" s="30"/>
      <c r="EA47" s="29" t="str">
        <f t="shared" si="44"/>
        <v>C000527</v>
      </c>
      <c r="EB47" s="29" t="str">
        <f t="shared" si="45"/>
        <v/>
      </c>
      <c r="EC47" s="29" t="str">
        <f t="shared" si="46"/>
        <v/>
      </c>
      <c r="ED47" s="29" t="str">
        <f t="shared" si="47"/>
        <v/>
      </c>
      <c r="EE47" s="29" t="str">
        <f t="shared" si="48"/>
        <v/>
      </c>
      <c r="EF47" s="29" t="str">
        <f t="shared" si="49"/>
        <v/>
      </c>
      <c r="EG47" s="29" t="str">
        <f t="shared" si="50"/>
        <v/>
      </c>
      <c r="EH47" s="29" t="str">
        <f t="shared" si="51"/>
        <v/>
      </c>
      <c r="EI47" s="29" t="str">
        <f t="shared" si="52"/>
        <v/>
      </c>
      <c r="EJ47" s="29" t="str">
        <f t="shared" si="53"/>
        <v/>
      </c>
      <c r="EK47" s="29" t="str">
        <f t="shared" si="54"/>
        <v/>
      </c>
      <c r="EL47" s="29" t="str">
        <f>IF(CD47=1,VLOOKUP(EA47,'EIA 2023'!$A$2:$J$213,4,0)*EH47,"")</f>
        <v/>
      </c>
      <c r="EM47" s="29" t="str">
        <f>IF(CD47=1,VLOOKUP(EA47,'EIA 2023'!$A$2:$J$213,7,0)*EH47,"")</f>
        <v/>
      </c>
      <c r="EN47" s="29" t="str">
        <f>IF(CD47=1,VLOOKUP(EA47,'EIA 2023'!$A$2:$J$213,10,0),"")</f>
        <v/>
      </c>
      <c r="EO47" s="28" t="str">
        <f>IF(CD47=1,VLOOKUP(EA47,'EIA 2023'!$A$2:$Z$213,26,0),"")</f>
        <v/>
      </c>
      <c r="EP47" s="23" t="str">
        <f t="shared" si="55"/>
        <v/>
      </c>
      <c r="EQ47" s="32" t="str">
        <f t="shared" si="56"/>
        <v/>
      </c>
      <c r="ER47" s="32" t="str">
        <f t="shared" si="57"/>
        <v/>
      </c>
      <c r="ES47" s="32"/>
      <c r="ET47" s="32"/>
    </row>
    <row r="48" spans="1:150" ht="15.75" customHeight="1">
      <c r="A48" s="7" t="s">
        <v>348</v>
      </c>
      <c r="B48" s="7" t="s">
        <v>349</v>
      </c>
      <c r="C48" s="32" t="s">
        <v>1133</v>
      </c>
      <c r="D48" s="42">
        <v>896985858</v>
      </c>
      <c r="E48" s="42">
        <v>0</v>
      </c>
      <c r="F48" s="42">
        <v>10419504</v>
      </c>
      <c r="G48" s="42">
        <v>521965140</v>
      </c>
      <c r="H48" s="42">
        <v>544860094</v>
      </c>
      <c r="I48" s="42">
        <v>5696889</v>
      </c>
      <c r="J48" s="42">
        <v>1688156</v>
      </c>
      <c r="K48" s="42">
        <v>26038</v>
      </c>
      <c r="L48" s="42">
        <v>5303327</v>
      </c>
      <c r="M48" s="42">
        <v>3567101</v>
      </c>
      <c r="N48" s="42">
        <v>1039122</v>
      </c>
      <c r="O48" s="42">
        <v>18014060</v>
      </c>
      <c r="P48" s="42">
        <v>3116801</v>
      </c>
      <c r="Q48" s="42">
        <v>126464</v>
      </c>
      <c r="R48" s="42">
        <v>84722</v>
      </c>
      <c r="S48" s="42">
        <v>2071539</v>
      </c>
      <c r="T48" s="42">
        <v>121526890</v>
      </c>
      <c r="U48" s="42">
        <v>2687539</v>
      </c>
      <c r="V48" s="42">
        <v>2161370</v>
      </c>
      <c r="W48" s="42">
        <v>5750045</v>
      </c>
      <c r="X48" s="42">
        <f>IFERROR(VLOOKUP(A48,'Trans 21-23'!$A$2:$J$229,10,0),0)</f>
        <v>3329894</v>
      </c>
      <c r="Y48" s="42">
        <v>2750013</v>
      </c>
      <c r="Z48" s="42">
        <v>476999</v>
      </c>
      <c r="AA48" s="42">
        <v>37560323</v>
      </c>
      <c r="AB48" s="42">
        <v>23588116</v>
      </c>
      <c r="AC48" s="42">
        <v>117246</v>
      </c>
      <c r="AD48" s="42">
        <v>70917806</v>
      </c>
      <c r="AE48" s="42">
        <v>0</v>
      </c>
      <c r="AF48" s="42">
        <v>2389270304</v>
      </c>
      <c r="AG48" s="42">
        <v>965525</v>
      </c>
      <c r="AH48" s="42">
        <v>1863095</v>
      </c>
      <c r="AI48" s="42">
        <v>32019738</v>
      </c>
      <c r="AJ48" s="42">
        <v>0</v>
      </c>
      <c r="AK48" s="42">
        <v>318641</v>
      </c>
      <c r="AL48" s="42">
        <v>10125697</v>
      </c>
      <c r="AM48" s="42">
        <v>5728265</v>
      </c>
      <c r="AN48" s="42">
        <v>8709584</v>
      </c>
      <c r="AO48" s="42">
        <v>63249</v>
      </c>
      <c r="AP48" s="42">
        <v>740883</v>
      </c>
      <c r="AQ48" s="42">
        <v>25367677</v>
      </c>
      <c r="AR48" s="42">
        <v>5107607</v>
      </c>
      <c r="AS48" s="42">
        <v>30475284</v>
      </c>
      <c r="AT48" s="42">
        <v>0</v>
      </c>
      <c r="AU48" s="42">
        <v>6004</v>
      </c>
      <c r="AV48" s="42">
        <v>0</v>
      </c>
      <c r="AW48" s="42">
        <v>1321865998</v>
      </c>
      <c r="AX48" s="42">
        <v>155771629</v>
      </c>
      <c r="AY48" s="42">
        <v>348257399</v>
      </c>
      <c r="AZ48" s="42">
        <v>211333062</v>
      </c>
      <c r="BA48" s="42">
        <v>35834987</v>
      </c>
      <c r="BB48" s="42">
        <v>5175188138</v>
      </c>
      <c r="BC48" s="42">
        <v>17819442452</v>
      </c>
      <c r="BD48" s="42">
        <v>627643206</v>
      </c>
      <c r="BE48" s="42">
        <v>1806088635</v>
      </c>
      <c r="BF48" s="42">
        <v>177353891</v>
      </c>
      <c r="BG48" s="42">
        <v>0</v>
      </c>
      <c r="BH48" s="42">
        <v>42227188</v>
      </c>
      <c r="BI48" s="42">
        <v>5711367</v>
      </c>
      <c r="BJ48" s="42">
        <v>2666134</v>
      </c>
      <c r="BK48" s="42">
        <v>0</v>
      </c>
      <c r="BL48" s="42">
        <v>0</v>
      </c>
      <c r="BM48" s="42">
        <v>4040450</v>
      </c>
      <c r="BN48" s="42">
        <v>106955072</v>
      </c>
      <c r="BO48" s="42">
        <v>7526675</v>
      </c>
      <c r="BP48" s="42">
        <v>22581703</v>
      </c>
      <c r="BQ48" s="42">
        <v>198724520</v>
      </c>
      <c r="BR48" s="42">
        <v>0</v>
      </c>
      <c r="BS48" s="42">
        <f>IFERROR(VLOOKUP(A48,'Trans 21-23'!$A$2:$J$229,9,0),0)</f>
        <v>327927983</v>
      </c>
      <c r="BT48" s="67"/>
      <c r="BU48" s="32">
        <f t="shared" si="0"/>
        <v>5175188138</v>
      </c>
      <c r="BV48" s="32">
        <f t="shared" si="1"/>
        <v>6004</v>
      </c>
      <c r="BW48" s="32">
        <f t="shared" si="2"/>
        <v>965525</v>
      </c>
      <c r="BX48" s="32">
        <f t="shared" si="3"/>
        <v>172860063</v>
      </c>
      <c r="BY48" s="32">
        <f t="shared" si="4"/>
        <v>64492697</v>
      </c>
      <c r="BZ48" s="32">
        <f t="shared" si="5"/>
        <v>211333062</v>
      </c>
      <c r="CA48" s="32">
        <f t="shared" si="6"/>
        <v>70917806</v>
      </c>
      <c r="CB48" s="32">
        <f t="shared" si="7"/>
        <v>1863095</v>
      </c>
      <c r="CC48" s="32">
        <f t="shared" si="8"/>
        <v>25367677</v>
      </c>
      <c r="CD48" s="41">
        <f t="shared" si="9"/>
        <v>1</v>
      </c>
      <c r="CE48" s="44">
        <f t="shared" si="10"/>
        <v>9</v>
      </c>
      <c r="CF48" s="27"/>
      <c r="CG48" s="28">
        <f t="shared" si="11"/>
        <v>861.95671852098599</v>
      </c>
      <c r="CH48" s="28">
        <f t="shared" si="12"/>
        <v>6.2183786023148029</v>
      </c>
      <c r="CI48" s="28">
        <f t="shared" si="13"/>
        <v>179.03219802698015</v>
      </c>
      <c r="CJ48" s="28">
        <f t="shared" si="14"/>
        <v>218.87891250873878</v>
      </c>
      <c r="CK48" s="23">
        <f t="shared" si="15"/>
        <v>7.3443658242731483E-2</v>
      </c>
      <c r="CL48" s="29" t="str">
        <f t="shared" si="16"/>
        <v/>
      </c>
      <c r="CM48" s="29" t="str">
        <f t="shared" si="17"/>
        <v/>
      </c>
      <c r="CN48" s="29" t="str">
        <f t="shared" si="18"/>
        <v/>
      </c>
      <c r="CO48" s="29" t="str">
        <f t="shared" si="19"/>
        <v/>
      </c>
      <c r="CP48" s="29" t="str">
        <f t="shared" si="20"/>
        <v/>
      </c>
      <c r="CQ48" s="29">
        <f t="shared" si="21"/>
        <v>0</v>
      </c>
      <c r="CR48" s="13"/>
      <c r="CS48" s="7">
        <f>VLOOKUP(A48,'Empresas 21-23'!$A$2:$M$228,13,0)</f>
        <v>1</v>
      </c>
      <c r="CT48" s="30"/>
      <c r="CU48" s="6">
        <f t="shared" si="22"/>
        <v>4953530655.1999998</v>
      </c>
      <c r="CV48" s="6">
        <f t="shared" si="23"/>
        <v>211333062</v>
      </c>
      <c r="CW48" s="6">
        <f t="shared" si="24"/>
        <v>627643206</v>
      </c>
      <c r="CX48" s="23">
        <f t="shared" si="60"/>
        <v>0.28813334685446218</v>
      </c>
      <c r="CY48" s="23">
        <f t="shared" si="61"/>
        <v>1.2292666926597032E-2</v>
      </c>
      <c r="CZ48" s="6">
        <f t="shared" si="27"/>
        <v>5134375592.7752447</v>
      </c>
      <c r="DA48" s="6">
        <f t="shared" si="28"/>
        <v>219048470.88009953</v>
      </c>
      <c r="DB48" s="6">
        <f t="shared" si="29"/>
        <v>172860063</v>
      </c>
      <c r="DC48" s="6">
        <f t="shared" si="30"/>
        <v>176189957</v>
      </c>
      <c r="DD48" s="6">
        <f t="shared" si="31"/>
        <v>64492697</v>
      </c>
      <c r="DE48" s="6">
        <f t="shared" si="32"/>
        <v>70917806</v>
      </c>
      <c r="DF48" s="6">
        <f t="shared" si="33"/>
        <v>19707817.963101592</v>
      </c>
      <c r="DG48" s="30"/>
      <c r="DH48" s="32">
        <f>VLOOKUP(A48,'T_med_comp-USA'!$A$7:$Q$233,17,0)</f>
        <v>9.9793273012488459</v>
      </c>
      <c r="DI48" s="6" t="str">
        <f t="shared" si="34"/>
        <v>1_2014</v>
      </c>
      <c r="DJ48" s="32">
        <f>IF(DI48="","",VLOOKUP(DI48,'CPI USA'!$T:$U,2,FALSE))</f>
        <v>233.916</v>
      </c>
      <c r="DK48" s="32">
        <f>IF(DI48="","",VLOOKUP(DI48,'PPI USA'!$S:$T,2,FALSE))</f>
        <v>179.5</v>
      </c>
      <c r="DL48" s="32">
        <f>IF(DI48="","",VLOOKUP(DI48,'CPI USA'!$T:$V,3,FALSE))</f>
        <v>0.66756601812039096</v>
      </c>
      <c r="DM48" s="32">
        <f>IF(DI48="","",VLOOKUP(DI48,'CPI USA'!$T:$X,5,FALSE))</f>
        <v>0.49542529667095003</v>
      </c>
      <c r="DN48" s="32">
        <f t="shared" si="35"/>
        <v>1.3628462972447253</v>
      </c>
      <c r="DO48" s="32">
        <f t="shared" si="36"/>
        <v>1.3730659524137003</v>
      </c>
      <c r="DP48" s="32">
        <f t="shared" si="37"/>
        <v>0.26147631667660926</v>
      </c>
      <c r="DQ48" s="32">
        <f>IF(DP48="","",DP48*$DO$1/'CPI USA'!$U$532+(1-DP48)*AVERAGE($DO$1,$DQ$1)/AVERAGE('CPI USA'!$U$532,'PPI USA'!$T$538))</f>
        <v>1.0412630341088283</v>
      </c>
      <c r="DR48" s="6">
        <f t="shared" si="38"/>
        <v>8377501</v>
      </c>
      <c r="DS48" s="32">
        <f t="shared" si="39"/>
        <v>0.2</v>
      </c>
      <c r="DT48" s="28">
        <f>IF(DS48="","",DS48*$DO$1/'CPI USA'!$U$532+(1-DS48)*AVERAGE($DO$1,$DQ$1)/AVERAGE('CPI USA'!$U$532,'PPI USA'!$T$538))</f>
        <v>1.0426818386380585</v>
      </c>
      <c r="DU48" s="6">
        <f t="shared" si="40"/>
        <v>4324785.7816985995</v>
      </c>
      <c r="DV48" s="6">
        <f t="shared" si="41"/>
        <v>517990.13686916343</v>
      </c>
      <c r="DW48" s="6">
        <f t="shared" si="42"/>
        <v>2291309.4692303226</v>
      </c>
      <c r="DX48" s="16">
        <f t="shared" si="43"/>
        <v>0.2</v>
      </c>
      <c r="DY48" s="28">
        <f>IF(DX48="","",DX48*$DO$1/'CPI USA'!$U$532+(1-DX48)*AVERAGE($DO$1,$DQ$1)/AVERAGE('CPI USA'!$U$532,'PPI USA'!$T$538))</f>
        <v>1.0426818386380585</v>
      </c>
      <c r="DZ48" s="30"/>
      <c r="EA48" s="29" t="str">
        <f t="shared" si="44"/>
        <v>C000530</v>
      </c>
      <c r="EB48" s="29">
        <f t="shared" si="45"/>
        <v>6997364765.2774334</v>
      </c>
      <c r="EC48" s="29">
        <f t="shared" si="46"/>
        <v>300767997.29374856</v>
      </c>
      <c r="ED48" s="29">
        <f t="shared" si="47"/>
        <v>183460089.20532399</v>
      </c>
      <c r="EE48" s="29">
        <f t="shared" si="48"/>
        <v>67245363.886687204</v>
      </c>
      <c r="EF48" s="29">
        <f t="shared" si="49"/>
        <v>20548983.869310927</v>
      </c>
      <c r="EG48" s="29">
        <f t="shared" si="50"/>
        <v>6004</v>
      </c>
      <c r="EH48" s="29">
        <f t="shared" si="51"/>
        <v>965525</v>
      </c>
      <c r="EI48" s="29">
        <f t="shared" si="52"/>
        <v>1863095</v>
      </c>
      <c r="EJ48" s="29">
        <f t="shared" si="53"/>
        <v>25367677</v>
      </c>
      <c r="EK48" s="29">
        <f t="shared" si="54"/>
        <v>27152991.182741117</v>
      </c>
      <c r="EL48" s="29">
        <f>IF(CD48=1,VLOOKUP(EA48,'EIA 2023'!$A$2:$J$213,4,0)*EH48,"")</f>
        <v>344306215</v>
      </c>
      <c r="EM48" s="29">
        <f>IF(CD48=1,VLOOKUP(EA48,'EIA 2023'!$A$2:$J$213,7,0)*EH48,"")</f>
        <v>1588288.625</v>
      </c>
      <c r="EN48" s="29">
        <f>IF(CD48=1,VLOOKUP(EA48,'EIA 2023'!$A$2:$J$213,10,0),"")</f>
        <v>569091</v>
      </c>
      <c r="EO48" s="28">
        <f>IF(CD48=1,VLOOKUP(EA48,'EIA 2023'!$A$2:$Z$213,26,0),"")</f>
        <v>0</v>
      </c>
      <c r="EP48" s="23">
        <f t="shared" si="55"/>
        <v>6.5750184601241699E-2</v>
      </c>
      <c r="EQ48" s="32">
        <f t="shared" si="56"/>
        <v>77780.817258883268</v>
      </c>
      <c r="ER48" s="32">
        <f t="shared" si="57"/>
        <v>1785314.1827411167</v>
      </c>
      <c r="ES48" s="32"/>
      <c r="ET48" s="32"/>
    </row>
    <row r="49" spans="1:150" ht="15.75" customHeight="1">
      <c r="A49" s="7" t="s">
        <v>351</v>
      </c>
      <c r="B49" s="7" t="s">
        <v>352</v>
      </c>
      <c r="C49" s="32" t="s">
        <v>1134</v>
      </c>
      <c r="D49" s="42">
        <v>28393142</v>
      </c>
      <c r="E49" s="42">
        <v>99235736</v>
      </c>
      <c r="F49" s="42">
        <v>0</v>
      </c>
      <c r="G49" s="42">
        <v>325674558</v>
      </c>
      <c r="H49" s="42">
        <v>330104705</v>
      </c>
      <c r="I49" s="42">
        <v>1736769</v>
      </c>
      <c r="J49" s="42">
        <v>1081702</v>
      </c>
      <c r="K49" s="42">
        <v>275193</v>
      </c>
      <c r="L49" s="42">
        <v>2746618</v>
      </c>
      <c r="M49" s="42">
        <v>4459018</v>
      </c>
      <c r="N49" s="42">
        <v>579781</v>
      </c>
      <c r="O49" s="42">
        <v>13260867</v>
      </c>
      <c r="P49" s="42">
        <v>2115795</v>
      </c>
      <c r="Q49" s="42">
        <v>79409</v>
      </c>
      <c r="R49" s="42">
        <v>14754</v>
      </c>
      <c r="S49" s="42">
        <v>1428747</v>
      </c>
      <c r="T49" s="42">
        <v>59069903</v>
      </c>
      <c r="U49" s="42">
        <v>1088631</v>
      </c>
      <c r="V49" s="42">
        <v>377679</v>
      </c>
      <c r="W49" s="42">
        <v>568618</v>
      </c>
      <c r="X49" s="42">
        <f>IFERROR(VLOOKUP(A49,'Trans 21-23'!$A$2:$J$229,10,0),0)</f>
        <v>0</v>
      </c>
      <c r="Y49" s="42">
        <v>1709527</v>
      </c>
      <c r="Z49" s="42">
        <v>61737</v>
      </c>
      <c r="AA49" s="42">
        <v>16603704</v>
      </c>
      <c r="AB49" s="42">
        <v>43424453</v>
      </c>
      <c r="AC49" s="42">
        <v>380801</v>
      </c>
      <c r="AD49" s="42">
        <v>89156094</v>
      </c>
      <c r="AE49" s="42">
        <v>0</v>
      </c>
      <c r="AF49" s="42">
        <v>1240668143</v>
      </c>
      <c r="AG49" s="42">
        <v>610654</v>
      </c>
      <c r="AH49" s="42">
        <v>1198260</v>
      </c>
      <c r="AI49" s="42">
        <v>24564645</v>
      </c>
      <c r="AJ49" s="42">
        <v>0</v>
      </c>
      <c r="AK49" s="42">
        <v>74</v>
      </c>
      <c r="AL49" s="42">
        <v>5169204</v>
      </c>
      <c r="AM49" s="42">
        <v>4971167</v>
      </c>
      <c r="AN49" s="42">
        <v>7308668</v>
      </c>
      <c r="AO49" s="42">
        <v>54903</v>
      </c>
      <c r="AP49" s="42">
        <v>0</v>
      </c>
      <c r="AQ49" s="42">
        <v>17503941</v>
      </c>
      <c r="AR49" s="42">
        <v>5862370</v>
      </c>
      <c r="AS49" s="42">
        <v>23366311</v>
      </c>
      <c r="AT49" s="42">
        <v>0</v>
      </c>
      <c r="AU49" s="42">
        <v>3970</v>
      </c>
      <c r="AV49" s="42">
        <v>0</v>
      </c>
      <c r="AW49" s="42">
        <v>688523347</v>
      </c>
      <c r="AX49" s="42">
        <v>202411863</v>
      </c>
      <c r="AY49" s="42">
        <v>333328486</v>
      </c>
      <c r="AZ49" s="42">
        <v>161407333</v>
      </c>
      <c r="BA49" s="42">
        <v>25759409</v>
      </c>
      <c r="BB49" s="42">
        <v>3253901085</v>
      </c>
      <c r="BC49" s="42">
        <v>11306609962</v>
      </c>
      <c r="BD49" s="42">
        <v>220776082</v>
      </c>
      <c r="BE49" s="42">
        <v>775717245</v>
      </c>
      <c r="BF49" s="42">
        <v>92998528</v>
      </c>
      <c r="BG49" s="42">
        <v>0</v>
      </c>
      <c r="BH49" s="42">
        <v>18020311</v>
      </c>
      <c r="BI49" s="42">
        <v>1915214</v>
      </c>
      <c r="BJ49" s="42">
        <v>3058499</v>
      </c>
      <c r="BK49" s="42">
        <v>0</v>
      </c>
      <c r="BL49" s="42">
        <v>0</v>
      </c>
      <c r="BM49" s="42">
        <v>4190413</v>
      </c>
      <c r="BN49" s="42">
        <v>158762645</v>
      </c>
      <c r="BO49" s="42">
        <v>7794271</v>
      </c>
      <c r="BP49" s="42">
        <v>21798489</v>
      </c>
      <c r="BQ49" s="42">
        <v>246465191</v>
      </c>
      <c r="BR49" s="42">
        <v>0</v>
      </c>
      <c r="BS49" s="42">
        <f>IFERROR(VLOOKUP(A49,'Trans 21-23'!$A$2:$J$229,9,0),0)</f>
        <v>0</v>
      </c>
      <c r="BT49" s="67"/>
      <c r="BU49" s="32">
        <f t="shared" si="0"/>
        <v>3253901085</v>
      </c>
      <c r="BV49" s="32">
        <f t="shared" si="1"/>
        <v>3970</v>
      </c>
      <c r="BW49" s="32">
        <f t="shared" si="2"/>
        <v>610654</v>
      </c>
      <c r="BX49" s="32">
        <f t="shared" si="3"/>
        <v>88883484</v>
      </c>
      <c r="BY49" s="32">
        <f t="shared" si="4"/>
        <v>62180222</v>
      </c>
      <c r="BZ49" s="32">
        <f t="shared" si="5"/>
        <v>161407333</v>
      </c>
      <c r="CA49" s="32">
        <f t="shared" si="6"/>
        <v>89156094</v>
      </c>
      <c r="CB49" s="32">
        <f t="shared" si="7"/>
        <v>1198260</v>
      </c>
      <c r="CC49" s="32">
        <f t="shared" si="8"/>
        <v>17503941</v>
      </c>
      <c r="CD49" s="41">
        <f t="shared" si="9"/>
        <v>1</v>
      </c>
      <c r="CE49" s="44">
        <f t="shared" si="10"/>
        <v>12</v>
      </c>
      <c r="CF49" s="27"/>
      <c r="CG49" s="28">
        <f t="shared" si="11"/>
        <v>819.62243954659948</v>
      </c>
      <c r="CH49" s="28">
        <f t="shared" si="12"/>
        <v>6.501226553825898</v>
      </c>
      <c r="CI49" s="28">
        <f t="shared" si="13"/>
        <v>145.55457591369253</v>
      </c>
      <c r="CJ49" s="28">
        <f t="shared" si="14"/>
        <v>264.31880082665469</v>
      </c>
      <c r="CK49" s="23">
        <f t="shared" si="15"/>
        <v>6.8456583577378369E-2</v>
      </c>
      <c r="CL49" s="29" t="str">
        <f t="shared" si="16"/>
        <v/>
      </c>
      <c r="CM49" s="29" t="str">
        <f t="shared" si="17"/>
        <v/>
      </c>
      <c r="CN49" s="29" t="str">
        <f t="shared" si="18"/>
        <v/>
      </c>
      <c r="CO49" s="29" t="str">
        <f t="shared" si="19"/>
        <v/>
      </c>
      <c r="CP49" s="29" t="str">
        <f t="shared" si="20"/>
        <v/>
      </c>
      <c r="CQ49" s="29">
        <f t="shared" si="21"/>
        <v>0</v>
      </c>
      <c r="CR49" s="13"/>
      <c r="CS49" s="7">
        <f>VLOOKUP(A49,'Empresas 21-23'!$A$2:$M$228,13,0)</f>
        <v>1</v>
      </c>
      <c r="CT49" s="30"/>
      <c r="CU49" s="6">
        <f t="shared" si="22"/>
        <v>2745290133.5999999</v>
      </c>
      <c r="CV49" s="6">
        <f t="shared" si="23"/>
        <v>161407333</v>
      </c>
      <c r="CW49" s="6">
        <f t="shared" si="24"/>
        <v>220776082</v>
      </c>
      <c r="CX49" s="23">
        <f t="shared" si="60"/>
        <v>0.2476394796563558</v>
      </c>
      <c r="CY49" s="23">
        <f t="shared" si="61"/>
        <v>1.4559782759436406E-2</v>
      </c>
      <c r="CZ49" s="6">
        <f t="shared" si="27"/>
        <v>2799963007.6670489</v>
      </c>
      <c r="DA49" s="6">
        <f t="shared" si="28"/>
        <v>164621784.79239953</v>
      </c>
      <c r="DB49" s="6">
        <f t="shared" si="29"/>
        <v>88883484</v>
      </c>
      <c r="DC49" s="6">
        <f t="shared" si="30"/>
        <v>88883484</v>
      </c>
      <c r="DD49" s="6">
        <f t="shared" si="31"/>
        <v>62180222</v>
      </c>
      <c r="DE49" s="6">
        <f t="shared" si="32"/>
        <v>89156094</v>
      </c>
      <c r="DF49" s="6">
        <f t="shared" si="33"/>
        <v>19412897.102119576</v>
      </c>
      <c r="DG49" s="30"/>
      <c r="DH49" s="32">
        <f>VLOOKUP(A49,'T_med_comp-USA'!$A$7:$Q$233,17,0)</f>
        <v>8.3802091462703405</v>
      </c>
      <c r="DI49" s="6" t="str">
        <f t="shared" si="34"/>
        <v>8_2015</v>
      </c>
      <c r="DJ49" s="32">
        <f>IF(DI49="","",VLOOKUP(DI49,'CPI USA'!$T:$U,2,FALSE))</f>
        <v>238.316</v>
      </c>
      <c r="DK49" s="32">
        <f>IF(DI49="","",VLOOKUP(DI49,'PPI USA'!$S:$T,2,FALSE))</f>
        <v>197.3</v>
      </c>
      <c r="DL49" s="32">
        <f>IF(DI49="","",VLOOKUP(DI49,'CPI USA'!$T:$V,3,FALSE))</f>
        <v>0.6679408278919865</v>
      </c>
      <c r="DM49" s="32">
        <f>IF(DI49="","",VLOOKUP(DI49,'CPI USA'!$T:$X,5,FALSE))</f>
        <v>0.49584761624008583</v>
      </c>
      <c r="DN49" s="32">
        <f t="shared" si="35"/>
        <v>1.3225272117779445</v>
      </c>
      <c r="DO49" s="32">
        <f t="shared" si="36"/>
        <v>1.3247114479798394</v>
      </c>
      <c r="DP49" s="32">
        <f t="shared" si="37"/>
        <v>0.2126941560684274</v>
      </c>
      <c r="DQ49" s="32">
        <f>IF(DP49="","",DP49*$DO$1/'CPI USA'!$U$532+(1-DP49)*AVERAGE($DO$1,$DQ$1)/AVERAGE('CPI USA'!$U$532,'PPI USA'!$T$538))</f>
        <v>1.0423888717347323</v>
      </c>
      <c r="DR49" s="6">
        <f t="shared" si="38"/>
        <v>4973713</v>
      </c>
      <c r="DS49" s="32">
        <f t="shared" si="39"/>
        <v>0.2</v>
      </c>
      <c r="DT49" s="28">
        <f>IF(DS49="","",DS49*$DO$1/'CPI USA'!$U$532+(1-DS49)*AVERAGE($DO$1,$DQ$1)/AVERAGE('CPI USA'!$U$532,'PPI USA'!$T$538))</f>
        <v>1.0426818386380585</v>
      </c>
      <c r="DU49" s="6">
        <f t="shared" si="40"/>
        <v>4396136.5473994715</v>
      </c>
      <c r="DV49" s="6">
        <f t="shared" si="41"/>
        <v>406578.59341326426</v>
      </c>
      <c r="DW49" s="6">
        <f t="shared" si="42"/>
        <v>695590.24550776056</v>
      </c>
      <c r="DX49" s="16">
        <f t="shared" si="43"/>
        <v>0.2</v>
      </c>
      <c r="DY49" s="28">
        <f>IF(DX49="","",DX49*$DO$1/'CPI USA'!$U$532+(1-DX49)*AVERAGE($DO$1,$DQ$1)/AVERAGE('CPI USA'!$U$532,'PPI USA'!$T$538))</f>
        <v>1.0426818386380585</v>
      </c>
      <c r="DZ49" s="30"/>
      <c r="EA49" s="29" t="str">
        <f t="shared" si="44"/>
        <v>C000532</v>
      </c>
      <c r="EB49" s="29">
        <f t="shared" si="45"/>
        <v>3703027269.6112895</v>
      </c>
      <c r="EC49" s="29">
        <f t="shared" si="46"/>
        <v>218076362.90136507</v>
      </c>
      <c r="ED49" s="29">
        <f t="shared" si="47"/>
        <v>92651154.602612123</v>
      </c>
      <c r="EE49" s="29">
        <f t="shared" si="48"/>
        <v>64834188.201882653</v>
      </c>
      <c r="EF49" s="29">
        <f t="shared" si="49"/>
        <v>20241475.24372948</v>
      </c>
      <c r="EG49" s="29">
        <f t="shared" si="50"/>
        <v>3970</v>
      </c>
      <c r="EH49" s="29">
        <f t="shared" si="51"/>
        <v>610654</v>
      </c>
      <c r="EI49" s="29">
        <f t="shared" si="52"/>
        <v>1198260</v>
      </c>
      <c r="EJ49" s="29">
        <f t="shared" si="53"/>
        <v>17503941</v>
      </c>
      <c r="EK49" s="29">
        <f t="shared" si="54"/>
        <v>18612926.329949237</v>
      </c>
      <c r="EL49" s="29">
        <f>IF(CD49=1,VLOOKUP(EA49,'EIA 2023'!$A$2:$J$213,4,0)*EH49,"")</f>
        <v>57767868.399999999</v>
      </c>
      <c r="EM49" s="29">
        <f>IF(CD49=1,VLOOKUP(EA49,'EIA 2023'!$A$2:$J$213,7,0)*EH49,"")</f>
        <v>517834.592</v>
      </c>
      <c r="EN49" s="29">
        <f>IF(CD49=1,VLOOKUP(EA49,'EIA 2023'!$A$2:$J$213,10,0),"")</f>
        <v>490649</v>
      </c>
      <c r="EO49" s="28">
        <f>IF(CD49=1,VLOOKUP(EA49,'EIA 2023'!$A$2:$Z$213,26,0),"")</f>
        <v>0</v>
      </c>
      <c r="EP49" s="23">
        <f t="shared" si="55"/>
        <v>5.9581460233086456E-2</v>
      </c>
      <c r="EQ49" s="32">
        <f t="shared" si="56"/>
        <v>89274.670050761662</v>
      </c>
      <c r="ER49" s="32">
        <f t="shared" si="57"/>
        <v>1108985.3299492383</v>
      </c>
      <c r="ES49" s="32"/>
      <c r="ET49" s="32"/>
    </row>
    <row r="50" spans="1:150" ht="15.75" customHeight="1">
      <c r="A50" s="7" t="s">
        <v>354</v>
      </c>
      <c r="B50" s="7" t="s">
        <v>355</v>
      </c>
      <c r="C50" s="32" t="s">
        <v>1135</v>
      </c>
      <c r="D50" s="42">
        <v>114274670</v>
      </c>
      <c r="E50" s="42">
        <v>0</v>
      </c>
      <c r="F50" s="42">
        <v>0</v>
      </c>
      <c r="G50" s="42">
        <v>118405459</v>
      </c>
      <c r="H50" s="42">
        <v>119222143</v>
      </c>
      <c r="I50" s="42">
        <v>873874</v>
      </c>
      <c r="J50" s="42">
        <v>325489</v>
      </c>
      <c r="K50" s="42">
        <v>1968</v>
      </c>
      <c r="L50" s="42">
        <v>469217</v>
      </c>
      <c r="M50" s="42">
        <v>260153</v>
      </c>
      <c r="N50" s="42">
        <v>222454</v>
      </c>
      <c r="O50" s="42">
        <v>3337241</v>
      </c>
      <c r="P50" s="42">
        <v>796344</v>
      </c>
      <c r="Q50" s="42">
        <v>18724</v>
      </c>
      <c r="R50" s="42">
        <v>3288</v>
      </c>
      <c r="S50" s="42">
        <v>784295</v>
      </c>
      <c r="T50" s="42">
        <v>32117233</v>
      </c>
      <c r="U50" s="42">
        <v>24053</v>
      </c>
      <c r="V50" s="42">
        <v>33838</v>
      </c>
      <c r="W50" s="42">
        <v>20915</v>
      </c>
      <c r="X50" s="42">
        <f>IFERROR(VLOOKUP(A50,'Trans 21-23'!$A$2:$J$229,10,0),0)</f>
        <v>1012024</v>
      </c>
      <c r="Y50" s="42">
        <v>1211647</v>
      </c>
      <c r="Z50" s="42">
        <v>34288</v>
      </c>
      <c r="AA50" s="42">
        <v>5821902</v>
      </c>
      <c r="AB50" s="42">
        <v>1633491</v>
      </c>
      <c r="AC50" s="42">
        <v>12959</v>
      </c>
      <c r="AD50" s="42">
        <v>16380921</v>
      </c>
      <c r="AE50" s="42">
        <v>0</v>
      </c>
      <c r="AF50" s="42">
        <v>395126219</v>
      </c>
      <c r="AG50" s="42">
        <v>162746</v>
      </c>
      <c r="AH50" s="42">
        <v>355290</v>
      </c>
      <c r="AI50" s="42">
        <v>6041863</v>
      </c>
      <c r="AJ50" s="42">
        <v>0</v>
      </c>
      <c r="AK50" s="42">
        <v>0</v>
      </c>
      <c r="AL50" s="42">
        <v>1755606</v>
      </c>
      <c r="AM50" s="42">
        <v>1343396</v>
      </c>
      <c r="AN50" s="42">
        <v>2059998</v>
      </c>
      <c r="AO50" s="42">
        <v>9346</v>
      </c>
      <c r="AP50" s="42">
        <v>0</v>
      </c>
      <c r="AQ50" s="42">
        <v>5168345</v>
      </c>
      <c r="AR50" s="42">
        <v>518228</v>
      </c>
      <c r="AS50" s="42">
        <v>5686573</v>
      </c>
      <c r="AT50" s="42">
        <v>0</v>
      </c>
      <c r="AU50" s="42">
        <v>1085</v>
      </c>
      <c r="AV50" s="42">
        <v>0</v>
      </c>
      <c r="AW50" s="42">
        <v>324443634</v>
      </c>
      <c r="AX50" s="42">
        <v>9986143</v>
      </c>
      <c r="AY50" s="42">
        <v>13075532</v>
      </c>
      <c r="AZ50" s="42">
        <v>25537484</v>
      </c>
      <c r="BA50" s="42">
        <v>5363552</v>
      </c>
      <c r="BB50" s="42">
        <v>1118501533</v>
      </c>
      <c r="BC50" s="42">
        <v>3371614967</v>
      </c>
      <c r="BD50" s="42">
        <v>114363449</v>
      </c>
      <c r="BE50" s="42">
        <v>348039395</v>
      </c>
      <c r="BF50" s="42">
        <v>38124141</v>
      </c>
      <c r="BG50" s="42">
        <v>0</v>
      </c>
      <c r="BH50" s="42">
        <v>8123808</v>
      </c>
      <c r="BI50" s="42">
        <v>882882</v>
      </c>
      <c r="BJ50" s="42">
        <v>246512</v>
      </c>
      <c r="BK50" s="42">
        <v>0</v>
      </c>
      <c r="BL50" s="42">
        <v>0</v>
      </c>
      <c r="BM50" s="42">
        <v>1991275</v>
      </c>
      <c r="BN50" s="42">
        <v>23246232</v>
      </c>
      <c r="BO50" s="42">
        <v>1363703</v>
      </c>
      <c r="BP50" s="42">
        <v>2670056</v>
      </c>
      <c r="BQ50" s="42">
        <v>43104494</v>
      </c>
      <c r="BR50" s="42">
        <v>0</v>
      </c>
      <c r="BS50" s="42">
        <f>IFERROR(VLOOKUP(A50,'Trans 21-23'!$A$2:$J$229,9,0),0)</f>
        <v>99664118</v>
      </c>
      <c r="BT50" s="67"/>
      <c r="BU50" s="32">
        <f t="shared" si="0"/>
        <v>1118501533</v>
      </c>
      <c r="BV50" s="32">
        <f t="shared" si="1"/>
        <v>1085</v>
      </c>
      <c r="BW50" s="32">
        <f t="shared" si="2"/>
        <v>162746</v>
      </c>
      <c r="BX50" s="32">
        <f t="shared" si="3"/>
        <v>39289086</v>
      </c>
      <c r="BY50" s="32">
        <f t="shared" si="4"/>
        <v>8714287</v>
      </c>
      <c r="BZ50" s="32">
        <f t="shared" si="5"/>
        <v>25537484</v>
      </c>
      <c r="CA50" s="32">
        <f t="shared" si="6"/>
        <v>16380921</v>
      </c>
      <c r="CB50" s="32">
        <f t="shared" si="7"/>
        <v>355290</v>
      </c>
      <c r="CC50" s="32">
        <f t="shared" si="8"/>
        <v>5168345</v>
      </c>
      <c r="CD50" s="41">
        <f t="shared" si="9"/>
        <v>1</v>
      </c>
      <c r="CE50" s="44">
        <f t="shared" si="10"/>
        <v>12</v>
      </c>
      <c r="CF50" s="27"/>
      <c r="CG50" s="28">
        <f t="shared" si="11"/>
        <v>1030.8769889400921</v>
      </c>
      <c r="CH50" s="28">
        <f t="shared" si="12"/>
        <v>6.6668305211802439</v>
      </c>
      <c r="CI50" s="28">
        <f t="shared" si="13"/>
        <v>241.41352782864095</v>
      </c>
      <c r="CJ50" s="28">
        <f t="shared" si="14"/>
        <v>156.91620070539369</v>
      </c>
      <c r="CK50" s="23">
        <f t="shared" si="15"/>
        <v>6.8743475909599686E-2</v>
      </c>
      <c r="CL50" s="29" t="str">
        <f t="shared" si="16"/>
        <v/>
      </c>
      <c r="CM50" s="29" t="str">
        <f t="shared" si="17"/>
        <v/>
      </c>
      <c r="CN50" s="29" t="str">
        <f t="shared" si="18"/>
        <v/>
      </c>
      <c r="CO50" s="29" t="str">
        <f t="shared" si="19"/>
        <v/>
      </c>
      <c r="CP50" s="29" t="str">
        <f t="shared" si="20"/>
        <v/>
      </c>
      <c r="CQ50" s="29">
        <f t="shared" si="21"/>
        <v>0</v>
      </c>
      <c r="CR50" s="13"/>
      <c r="CS50" s="7">
        <f>VLOOKUP(A50,'Empresas 21-23'!$A$2:$M$228,13,0)</f>
        <v>1</v>
      </c>
      <c r="CT50" s="30"/>
      <c r="CU50" s="6">
        <f t="shared" si="22"/>
        <v>1173427610</v>
      </c>
      <c r="CV50" s="6">
        <f t="shared" si="23"/>
        <v>25537484</v>
      </c>
      <c r="CW50" s="6">
        <f t="shared" si="24"/>
        <v>114363449</v>
      </c>
      <c r="CX50" s="23">
        <f t="shared" si="60"/>
        <v>0.36025084446671829</v>
      </c>
      <c r="CY50" s="23">
        <f t="shared" si="61"/>
        <v>7.8401940589716539E-3</v>
      </c>
      <c r="CZ50" s="6">
        <f t="shared" si="27"/>
        <v>1214627139.0783765</v>
      </c>
      <c r="DA50" s="6">
        <f t="shared" si="28"/>
        <v>26434115.633413307</v>
      </c>
      <c r="DB50" s="6">
        <f t="shared" si="29"/>
        <v>39289086</v>
      </c>
      <c r="DC50" s="6">
        <f t="shared" si="30"/>
        <v>40301110</v>
      </c>
      <c r="DD50" s="6">
        <f t="shared" si="31"/>
        <v>8714287</v>
      </c>
      <c r="DE50" s="6">
        <f t="shared" si="32"/>
        <v>16380921</v>
      </c>
      <c r="DF50" s="6">
        <f t="shared" si="33"/>
        <v>5527887.922828503</v>
      </c>
      <c r="DG50" s="30"/>
      <c r="DH50" s="32">
        <f>VLOOKUP(A50,'T_med_comp-USA'!$A$7:$Q$233,17,0)</f>
        <v>8.9477469822084732</v>
      </c>
      <c r="DI50" s="6" t="str">
        <f t="shared" si="34"/>
        <v>1_2015</v>
      </c>
      <c r="DJ50" s="32">
        <f>IF(DI50="","",VLOOKUP(DI50,'CPI USA'!$T:$U,2,FALSE))</f>
        <v>233.70699999999999</v>
      </c>
      <c r="DK50" s="32">
        <f>IF(DI50="","",VLOOKUP(DI50,'PPI USA'!$S:$T,2,FALSE))</f>
        <v>185.9</v>
      </c>
      <c r="DL50" s="32">
        <f>IF(DI50="","",VLOOKUP(DI50,'CPI USA'!$T:$V,3,FALSE))</f>
        <v>0.6679408278919865</v>
      </c>
      <c r="DM50" s="32">
        <f>IF(DI50="","",VLOOKUP(DI50,'CPI USA'!$T:$X,5,FALSE))</f>
        <v>0.49584761624008583</v>
      </c>
      <c r="DN50" s="32">
        <f t="shared" si="35"/>
        <v>1.3567551675445788</v>
      </c>
      <c r="DO50" s="32">
        <f t="shared" si="36"/>
        <v>1.3632042482651483</v>
      </c>
      <c r="DP50" s="32">
        <f t="shared" si="37"/>
        <v>0.21889993053089804</v>
      </c>
      <c r="DQ50" s="32">
        <f>IF(DP50="","",DP50*$DO$1/'CPI USA'!$U$532+(1-DP50)*AVERAGE($DO$1,$DQ$1)/AVERAGE('CPI USA'!$U$532,'PPI USA'!$T$538))</f>
        <v>1.0422456494112309</v>
      </c>
      <c r="DR50" s="6">
        <f t="shared" si="38"/>
        <v>1129394</v>
      </c>
      <c r="DS50" s="32">
        <f t="shared" si="39"/>
        <v>0.2</v>
      </c>
      <c r="DT50" s="28">
        <f>IF(DS50="","",DS50*$DO$1/'CPI USA'!$U$532+(1-DS50)*AVERAGE($DO$1,$DQ$1)/AVERAGE('CPI USA'!$U$532,'PPI USA'!$T$538))</f>
        <v>1.0426818386380585</v>
      </c>
      <c r="DU50" s="6">
        <f t="shared" si="40"/>
        <v>2108089.9612945872</v>
      </c>
      <c r="DV50" s="6">
        <f t="shared" si="41"/>
        <v>131492.26313965337</v>
      </c>
      <c r="DW50" s="6">
        <f t="shared" si="42"/>
        <v>891469.49571437493</v>
      </c>
      <c r="DX50" s="16">
        <f t="shared" si="43"/>
        <v>0.2</v>
      </c>
      <c r="DY50" s="28">
        <f>IF(DX50="","",DX50*$DO$1/'CPI USA'!$U$532+(1-DX50)*AVERAGE($DO$1,$DQ$1)/AVERAGE('CPI USA'!$U$532,'PPI USA'!$T$538))</f>
        <v>1.0426818386380585</v>
      </c>
      <c r="DZ50" s="30"/>
      <c r="EA50" s="29" t="str">
        <f t="shared" si="44"/>
        <v>C000533</v>
      </c>
      <c r="EB50" s="29">
        <f t="shared" si="45"/>
        <v>1647951647.5844753</v>
      </c>
      <c r="EC50" s="29">
        <f t="shared" si="46"/>
        <v>36035098.730601192</v>
      </c>
      <c r="ED50" s="29">
        <f t="shared" si="47"/>
        <v>42003656.563943453</v>
      </c>
      <c r="EE50" s="29">
        <f t="shared" si="48"/>
        <v>9086228.7915797308</v>
      </c>
      <c r="EF50" s="29">
        <f t="shared" si="49"/>
        <v>5763828.343159942</v>
      </c>
      <c r="EG50" s="29">
        <f t="shared" si="50"/>
        <v>1085</v>
      </c>
      <c r="EH50" s="29">
        <f t="shared" si="51"/>
        <v>162746</v>
      </c>
      <c r="EI50" s="29">
        <f t="shared" si="52"/>
        <v>355290</v>
      </c>
      <c r="EJ50" s="29">
        <f t="shared" si="53"/>
        <v>5168345</v>
      </c>
      <c r="EK50" s="29">
        <f t="shared" si="54"/>
        <v>5515743.2030456848</v>
      </c>
      <c r="EL50" s="29">
        <f>IF(CD50=1,VLOOKUP(EA50,'EIA 2023'!$A$2:$J$213,4,0)*EH50,"")</f>
        <v>53999122.800000004</v>
      </c>
      <c r="EM50" s="29">
        <f>IF(CD50=1,VLOOKUP(EA50,'EIA 2023'!$A$2:$J$213,7,0)*EH50,"")</f>
        <v>381964.86200000002</v>
      </c>
      <c r="EN50" s="29">
        <f>IF(CD50=1,VLOOKUP(EA50,'EIA 2023'!$A$2:$J$213,10,0),"")</f>
        <v>168243</v>
      </c>
      <c r="EO50" s="28">
        <f>IF(CD50=1,VLOOKUP(EA50,'EIA 2023'!$A$2:$Z$213,26,0),"")</f>
        <v>0</v>
      </c>
      <c r="EP50" s="23">
        <f t="shared" si="55"/>
        <v>6.2983026993326821E-2</v>
      </c>
      <c r="EQ50" s="32">
        <f t="shared" si="56"/>
        <v>7891.7969543146901</v>
      </c>
      <c r="ER50" s="32">
        <f t="shared" si="57"/>
        <v>347398.20304568531</v>
      </c>
      <c r="ES50" s="32"/>
      <c r="ET50" s="32"/>
    </row>
    <row r="51" spans="1:150" ht="15.75" customHeight="1">
      <c r="A51" s="7" t="s">
        <v>357</v>
      </c>
      <c r="B51" s="7" t="s">
        <v>358</v>
      </c>
      <c r="C51" s="32" t="s">
        <v>1136</v>
      </c>
      <c r="D51" s="42">
        <v>0</v>
      </c>
      <c r="E51" s="42">
        <v>0</v>
      </c>
      <c r="F51" s="42">
        <v>0</v>
      </c>
      <c r="G51" s="42">
        <v>187718429</v>
      </c>
      <c r="H51" s="42">
        <v>187718429</v>
      </c>
      <c r="I51" s="42">
        <v>211125</v>
      </c>
      <c r="J51" s="42">
        <v>32589</v>
      </c>
      <c r="K51" s="42">
        <v>0</v>
      </c>
      <c r="L51" s="42">
        <v>438833</v>
      </c>
      <c r="M51" s="42">
        <v>209950</v>
      </c>
      <c r="N51" s="42">
        <v>25042</v>
      </c>
      <c r="O51" s="42">
        <v>644228</v>
      </c>
      <c r="P51" s="42">
        <v>243638</v>
      </c>
      <c r="Q51" s="42">
        <v>3155</v>
      </c>
      <c r="R51" s="42">
        <v>0</v>
      </c>
      <c r="S51" s="42">
        <v>41583</v>
      </c>
      <c r="T51" s="42">
        <v>6118879</v>
      </c>
      <c r="U51" s="42">
        <v>104978</v>
      </c>
      <c r="V51" s="42">
        <v>3729</v>
      </c>
      <c r="W51" s="42">
        <v>172243</v>
      </c>
      <c r="X51" s="42">
        <f>IFERROR(VLOOKUP(A51,'Trans 21-23'!$A$2:$J$229,10,0),0)</f>
        <v>112919</v>
      </c>
      <c r="Y51" s="42">
        <v>80123</v>
      </c>
      <c r="Z51" s="42">
        <v>14872</v>
      </c>
      <c r="AA51" s="42">
        <v>1334956</v>
      </c>
      <c r="AB51" s="42">
        <v>135283</v>
      </c>
      <c r="AC51" s="42">
        <v>3354</v>
      </c>
      <c r="AD51" s="42">
        <v>2276206</v>
      </c>
      <c r="AE51" s="42">
        <v>0</v>
      </c>
      <c r="AF51" s="42">
        <v>200471027</v>
      </c>
      <c r="AG51" s="42">
        <v>49139</v>
      </c>
      <c r="AH51" s="42">
        <v>49401</v>
      </c>
      <c r="AI51" s="42">
        <v>1942232</v>
      </c>
      <c r="AJ51" s="42">
        <v>0</v>
      </c>
      <c r="AK51" s="42">
        <v>0</v>
      </c>
      <c r="AL51" s="42">
        <v>601847</v>
      </c>
      <c r="AM51" s="42">
        <v>343051</v>
      </c>
      <c r="AN51" s="42">
        <v>918517</v>
      </c>
      <c r="AO51" s="42">
        <v>8534</v>
      </c>
      <c r="AP51" s="42">
        <v>20882</v>
      </c>
      <c r="AQ51" s="42">
        <v>1892831</v>
      </c>
      <c r="AR51" s="42">
        <v>0</v>
      </c>
      <c r="AS51" s="42">
        <v>1892831</v>
      </c>
      <c r="AT51" s="42">
        <v>0</v>
      </c>
      <c r="AU51" s="42">
        <v>393</v>
      </c>
      <c r="AV51" s="42">
        <v>0</v>
      </c>
      <c r="AW51" s="42">
        <v>53396854</v>
      </c>
      <c r="AX51" s="42">
        <v>8062777</v>
      </c>
      <c r="AY51" s="42">
        <v>12333805</v>
      </c>
      <c r="AZ51" s="42">
        <v>6823882</v>
      </c>
      <c r="BA51" s="42">
        <v>9914443</v>
      </c>
      <c r="BB51" s="42">
        <v>246158969</v>
      </c>
      <c r="BC51" s="42">
        <v>330442266</v>
      </c>
      <c r="BD51" s="42">
        <v>13792133</v>
      </c>
      <c r="BE51" s="42">
        <v>81301978</v>
      </c>
      <c r="BF51" s="42">
        <v>7062560</v>
      </c>
      <c r="BG51" s="42">
        <v>0</v>
      </c>
      <c r="BH51" s="42">
        <v>1839358</v>
      </c>
      <c r="BI51" s="42">
        <v>227791</v>
      </c>
      <c r="BJ51" s="42">
        <v>76329</v>
      </c>
      <c r="BK51" s="42">
        <v>0</v>
      </c>
      <c r="BL51" s="42">
        <v>0</v>
      </c>
      <c r="BM51" s="42">
        <v>80106</v>
      </c>
      <c r="BN51" s="42">
        <v>2063761</v>
      </c>
      <c r="BO51" s="42">
        <v>142114</v>
      </c>
      <c r="BP51" s="42">
        <v>461742</v>
      </c>
      <c r="BQ51" s="42">
        <v>5961734</v>
      </c>
      <c r="BR51" s="42">
        <v>0</v>
      </c>
      <c r="BS51" s="42">
        <f>IFERROR(VLOOKUP(A51,'Trans 21-23'!$A$2:$J$229,9,0),0)</f>
        <v>11120260</v>
      </c>
      <c r="BT51" s="67"/>
      <c r="BU51" s="32">
        <f t="shared" si="0"/>
        <v>246158969</v>
      </c>
      <c r="BV51" s="32">
        <f t="shared" si="1"/>
        <v>393</v>
      </c>
      <c r="BW51" s="32">
        <f t="shared" si="2"/>
        <v>49139</v>
      </c>
      <c r="BX51" s="32">
        <f t="shared" si="3"/>
        <v>8249972</v>
      </c>
      <c r="BY51" s="32">
        <f t="shared" si="4"/>
        <v>1568588</v>
      </c>
      <c r="BZ51" s="32">
        <f t="shared" si="5"/>
        <v>6823882</v>
      </c>
      <c r="CA51" s="32">
        <f t="shared" si="6"/>
        <v>2276206</v>
      </c>
      <c r="CB51" s="32">
        <f t="shared" si="7"/>
        <v>49401</v>
      </c>
      <c r="CC51" s="32">
        <f t="shared" si="8"/>
        <v>1892831</v>
      </c>
      <c r="CD51" s="41">
        <f t="shared" si="9"/>
        <v>1</v>
      </c>
      <c r="CE51" s="44">
        <f t="shared" si="10"/>
        <v>15</v>
      </c>
      <c r="CF51" s="27"/>
      <c r="CG51" s="28">
        <f t="shared" si="11"/>
        <v>626.35869974554703</v>
      </c>
      <c r="CH51" s="28">
        <f t="shared" si="12"/>
        <v>7.9977207513380408</v>
      </c>
      <c r="CI51" s="28">
        <f t="shared" si="13"/>
        <v>167.89051466248804</v>
      </c>
      <c r="CJ51" s="28">
        <f t="shared" si="14"/>
        <v>138.86896355237184</v>
      </c>
      <c r="CK51" s="23">
        <f t="shared" si="15"/>
        <v>2.6099001971121562E-2</v>
      </c>
      <c r="CL51" s="29" t="str">
        <f t="shared" si="16"/>
        <v/>
      </c>
      <c r="CM51" s="29" t="str">
        <f t="shared" si="17"/>
        <v/>
      </c>
      <c r="CN51" s="29" t="str">
        <f t="shared" si="18"/>
        <v/>
      </c>
      <c r="CO51" s="29" t="str">
        <f t="shared" si="19"/>
        <v/>
      </c>
      <c r="CP51" s="29" t="str">
        <f t="shared" si="20"/>
        <v/>
      </c>
      <c r="CQ51" s="29">
        <f t="shared" si="21"/>
        <v>0</v>
      </c>
      <c r="CR51" s="13"/>
      <c r="CS51" s="7">
        <f>VLOOKUP(A51,'Empresas 21-23'!$A$2:$M$228,13,0)</f>
        <v>1</v>
      </c>
      <c r="CT51" s="30"/>
      <c r="CU51" s="6">
        <f t="shared" si="22"/>
        <v>228302954.80000001</v>
      </c>
      <c r="CV51" s="6">
        <f t="shared" si="23"/>
        <v>6823882</v>
      </c>
      <c r="CW51" s="6">
        <f t="shared" si="24"/>
        <v>13792133</v>
      </c>
      <c r="CX51" s="23">
        <f t="shared" si="60"/>
        <v>0.72099434362151371</v>
      </c>
      <c r="CY51" s="23">
        <f t="shared" si="61"/>
        <v>2.1550226223969404E-2</v>
      </c>
      <c r="CZ51" s="6">
        <f t="shared" si="27"/>
        <v>238247004.67947564</v>
      </c>
      <c r="DA51" s="6">
        <f t="shared" si="28"/>
        <v>7121105.5862610741</v>
      </c>
      <c r="DB51" s="6">
        <f t="shared" si="29"/>
        <v>8249972</v>
      </c>
      <c r="DC51" s="6">
        <f t="shared" si="30"/>
        <v>8362891</v>
      </c>
      <c r="DD51" s="6">
        <f t="shared" si="31"/>
        <v>1568588</v>
      </c>
      <c r="DE51" s="6">
        <f t="shared" si="32"/>
        <v>2276206</v>
      </c>
      <c r="DF51" s="6">
        <f t="shared" si="33"/>
        <v>2157812.7363575171</v>
      </c>
      <c r="DG51" s="30"/>
      <c r="DH51" s="32">
        <f>VLOOKUP(A51,'T_med_comp-USA'!$A$7:$Q$233,17,0)</f>
        <v>11.027134065289319</v>
      </c>
      <c r="DI51" s="6" t="str">
        <f t="shared" si="34"/>
        <v>12_2012</v>
      </c>
      <c r="DJ51" s="32">
        <f>IF(DI51="","",VLOOKUP(DI51,'CPI USA'!$T:$U,2,FALSE))</f>
        <v>229.59399999999999</v>
      </c>
      <c r="DK51" s="32">
        <f>IF(DI51="","",VLOOKUP(DI51,'PPI USA'!$S:$T,2,FALSE))</f>
        <v>175.1</v>
      </c>
      <c r="DL51" s="32">
        <f>IF(DI51="","",VLOOKUP(DI51,'CPI USA'!$T:$V,3,FALSE))</f>
        <v>0.66730871354337351</v>
      </c>
      <c r="DM51" s="32">
        <f>IF(DI51="","",VLOOKUP(DI51,'CPI USA'!$T:$X,5,FALSE))</f>
        <v>0.49513551903851311</v>
      </c>
      <c r="DN51" s="32">
        <f t="shared" si="35"/>
        <v>1.3897894616766442</v>
      </c>
      <c r="DO51" s="32">
        <f t="shared" si="36"/>
        <v>1.4008620811189902</v>
      </c>
      <c r="DP51" s="32">
        <f t="shared" si="37"/>
        <v>0.23830617095595899</v>
      </c>
      <c r="DQ51" s="32">
        <f>IF(DP51="","",DP51*$DO$1/'CPI USA'!$U$532+(1-DP51)*AVERAGE($DO$1,$DQ$1)/AVERAGE('CPI USA'!$U$532,'PPI USA'!$T$538))</f>
        <v>1.0417977751191643</v>
      </c>
      <c r="DR51" s="6">
        <f t="shared" si="38"/>
        <v>304120</v>
      </c>
      <c r="DS51" s="32">
        <f t="shared" si="39"/>
        <v>0.2072323687390282</v>
      </c>
      <c r="DT51" s="28">
        <f>IF(DS51="","",DS51*$DO$1/'CPI USA'!$U$532+(1-DS51)*AVERAGE($DO$1,$DQ$1)/AVERAGE('CPI USA'!$U$532,'PPI USA'!$T$538))</f>
        <v>1.0425149236685431</v>
      </c>
      <c r="DU51" s="6">
        <f t="shared" si="40"/>
        <v>85622.231813664475</v>
      </c>
      <c r="DV51" s="6">
        <f t="shared" si="41"/>
        <v>6725.1560824088465</v>
      </c>
      <c r="DW51" s="6">
        <f t="shared" si="42"/>
        <v>95914.495095458944</v>
      </c>
      <c r="DX51" s="16">
        <f t="shared" si="43"/>
        <v>0.2</v>
      </c>
      <c r="DY51" s="28">
        <f>IF(DX51="","",DX51*$DO$1/'CPI USA'!$U$532+(1-DX51)*AVERAGE($DO$1,$DQ$1)/AVERAGE('CPI USA'!$U$532,'PPI USA'!$T$538))</f>
        <v>1.0426818386380585</v>
      </c>
      <c r="DZ51" s="30"/>
      <c r="EA51" s="29" t="str">
        <f t="shared" si="44"/>
        <v>C000534</v>
      </c>
      <c r="EB51" s="29">
        <f t="shared" si="45"/>
        <v>331113176.37956136</v>
      </c>
      <c r="EC51" s="29">
        <f t="shared" si="46"/>
        <v>9975686.7914377544</v>
      </c>
      <c r="ED51" s="29">
        <f t="shared" si="47"/>
        <v>8712441.2373640835</v>
      </c>
      <c r="EE51" s="29">
        <f t="shared" si="48"/>
        <v>1635276.3990873927</v>
      </c>
      <c r="EF51" s="29">
        <f t="shared" si="49"/>
        <v>2249912.1513818763</v>
      </c>
      <c r="EG51" s="29">
        <f t="shared" si="50"/>
        <v>393</v>
      </c>
      <c r="EH51" s="29">
        <f t="shared" si="51"/>
        <v>49139</v>
      </c>
      <c r="EI51" s="29">
        <f t="shared" si="52"/>
        <v>49401</v>
      </c>
      <c r="EJ51" s="29">
        <f t="shared" si="53"/>
        <v>1892831</v>
      </c>
      <c r="EK51" s="29">
        <f t="shared" si="54"/>
        <v>1942232</v>
      </c>
      <c r="EL51" s="29">
        <f>IF(CD51=1,VLOOKUP(EA51,'EIA 2023'!$A$2:$J$213,4,0)*EH51,"")</f>
        <v>9410118.5</v>
      </c>
      <c r="EM51" s="29">
        <f>IF(CD51=1,VLOOKUP(EA51,'EIA 2023'!$A$2:$J$213,7,0)*EH51,"")</f>
        <v>101914.28599999999</v>
      </c>
      <c r="EN51" s="29">
        <f>IF(CD51=1,VLOOKUP(EA51,'EIA 2023'!$A$2:$J$213,10,0),"")</f>
        <v>51307</v>
      </c>
      <c r="EO51" s="28">
        <f>IF(CD51=1,VLOOKUP(EA51,'EIA 2023'!$A$2:$Z$213,26,0),"")</f>
        <v>0</v>
      </c>
      <c r="EP51" s="23">
        <f t="shared" si="55"/>
        <v>2.5435169433929622E-2</v>
      </c>
      <c r="EQ51" s="32">
        <f t="shared" si="56"/>
        <v>0</v>
      </c>
      <c r="ER51" s="32">
        <f t="shared" si="57"/>
        <v>49401</v>
      </c>
      <c r="ES51" s="32"/>
      <c r="ET51" s="32"/>
    </row>
    <row r="52" spans="1:150" ht="15.75" customHeight="1">
      <c r="A52" s="7" t="s">
        <v>360</v>
      </c>
      <c r="B52" s="7" t="s">
        <v>361</v>
      </c>
      <c r="C52" s="32" t="s">
        <v>1137</v>
      </c>
      <c r="D52" s="42">
        <v>0</v>
      </c>
      <c r="E52" s="42">
        <v>0</v>
      </c>
      <c r="F52" s="42">
        <v>0</v>
      </c>
      <c r="G52" s="42">
        <v>1138612999</v>
      </c>
      <c r="H52" s="42">
        <v>1224302418</v>
      </c>
      <c r="I52" s="42">
        <v>7630550</v>
      </c>
      <c r="J52" s="42">
        <v>3906395</v>
      </c>
      <c r="K52" s="42">
        <v>0</v>
      </c>
      <c r="L52" s="42">
        <v>5754818</v>
      </c>
      <c r="M52" s="42">
        <v>10254627</v>
      </c>
      <c r="N52" s="42">
        <v>105801</v>
      </c>
      <c r="O52" s="42">
        <v>39754722</v>
      </c>
      <c r="P52" s="42">
        <v>9280428</v>
      </c>
      <c r="Q52" s="42">
        <v>288932</v>
      </c>
      <c r="R52" s="42">
        <v>4138</v>
      </c>
      <c r="S52" s="42">
        <v>6055314</v>
      </c>
      <c r="T52" s="42">
        <v>141468932</v>
      </c>
      <c r="U52" s="42">
        <v>6796838</v>
      </c>
      <c r="V52" s="42">
        <v>2369888</v>
      </c>
      <c r="W52" s="42">
        <v>5592744</v>
      </c>
      <c r="X52" s="42">
        <f>IFERROR(VLOOKUP(A52,'Trans 21-23'!$A$2:$J$229,10,0),0)</f>
        <v>0</v>
      </c>
      <c r="Y52" s="42">
        <v>5590613</v>
      </c>
      <c r="Z52" s="42">
        <v>776416</v>
      </c>
      <c r="AA52" s="42">
        <v>217997038</v>
      </c>
      <c r="AB52" s="42">
        <v>6007820</v>
      </c>
      <c r="AC52" s="42">
        <v>205257</v>
      </c>
      <c r="AD52" s="42">
        <v>64071567</v>
      </c>
      <c r="AE52" s="42">
        <v>0</v>
      </c>
      <c r="AF52" s="42">
        <v>2465409590</v>
      </c>
      <c r="AG52" s="42">
        <v>1523797</v>
      </c>
      <c r="AH52" s="42">
        <v>424705</v>
      </c>
      <c r="AI52" s="42">
        <v>15110476</v>
      </c>
      <c r="AJ52" s="42">
        <v>0</v>
      </c>
      <c r="AK52" s="42">
        <v>32045415</v>
      </c>
      <c r="AL52" s="42">
        <v>13439446</v>
      </c>
      <c r="AM52" s="42">
        <v>16869474</v>
      </c>
      <c r="AN52" s="42">
        <v>13899802</v>
      </c>
      <c r="AO52" s="42">
        <v>108538</v>
      </c>
      <c r="AP52" s="42">
        <v>473</v>
      </c>
      <c r="AQ52" s="42">
        <v>44317733</v>
      </c>
      <c r="AR52" s="42">
        <v>2413453</v>
      </c>
      <c r="AS52" s="42">
        <v>46731186</v>
      </c>
      <c r="AT52" s="42">
        <v>0</v>
      </c>
      <c r="AU52" s="42">
        <v>3606</v>
      </c>
      <c r="AV52" s="42">
        <v>0</v>
      </c>
      <c r="AW52" s="42">
        <v>1237645628</v>
      </c>
      <c r="AX52" s="42">
        <v>540803118</v>
      </c>
      <c r="AY52" s="42">
        <v>878422898</v>
      </c>
      <c r="AZ52" s="42">
        <v>278250639</v>
      </c>
      <c r="BA52" s="42">
        <v>57850876</v>
      </c>
      <c r="BB52" s="42">
        <v>6837295441</v>
      </c>
      <c r="BC52" s="42">
        <v>11324443545</v>
      </c>
      <c r="BD52" s="42">
        <v>811668175</v>
      </c>
      <c r="BE52" s="42">
        <v>1939734686</v>
      </c>
      <c r="BF52" s="42">
        <v>174153363</v>
      </c>
      <c r="BG52" s="42">
        <v>0</v>
      </c>
      <c r="BH52" s="42">
        <v>66338818</v>
      </c>
      <c r="BI52" s="42">
        <v>7149572</v>
      </c>
      <c r="BJ52" s="42">
        <v>4986759</v>
      </c>
      <c r="BK52" s="42">
        <v>5434</v>
      </c>
      <c r="BL52" s="42">
        <v>0</v>
      </c>
      <c r="BM52" s="42">
        <v>3235824</v>
      </c>
      <c r="BN52" s="42">
        <v>81825628</v>
      </c>
      <c r="BO52" s="42">
        <v>6297490</v>
      </c>
      <c r="BP52" s="42">
        <v>15890333</v>
      </c>
      <c r="BQ52" s="42">
        <v>195648092</v>
      </c>
      <c r="BR52" s="42">
        <v>0</v>
      </c>
      <c r="BS52" s="42">
        <f>IFERROR(VLOOKUP(A52,'Trans 21-23'!$A$2:$J$229,9,0),0)</f>
        <v>0</v>
      </c>
      <c r="BT52" s="67"/>
      <c r="BU52" s="32">
        <f t="shared" si="0"/>
        <v>6837295441</v>
      </c>
      <c r="BV52" s="32">
        <f t="shared" si="1"/>
        <v>3606</v>
      </c>
      <c r="BW52" s="32">
        <f t="shared" si="2"/>
        <v>1523797</v>
      </c>
      <c r="BX52" s="32">
        <f t="shared" si="3"/>
        <v>239264127</v>
      </c>
      <c r="BY52" s="32">
        <f t="shared" si="4"/>
        <v>230577144</v>
      </c>
      <c r="BZ52" s="32">
        <f t="shared" si="5"/>
        <v>278250639</v>
      </c>
      <c r="CA52" s="32">
        <f t="shared" si="6"/>
        <v>64071567</v>
      </c>
      <c r="CB52" s="32">
        <f t="shared" si="7"/>
        <v>424705</v>
      </c>
      <c r="CC52" s="32">
        <f t="shared" si="8"/>
        <v>44317733</v>
      </c>
      <c r="CD52" s="41">
        <f t="shared" si="9"/>
        <v>1</v>
      </c>
      <c r="CE52" s="44">
        <f t="shared" si="10"/>
        <v>13</v>
      </c>
      <c r="CF52" s="27"/>
      <c r="CG52" s="28">
        <f t="shared" si="11"/>
        <v>1896.0885859678312</v>
      </c>
      <c r="CH52" s="28">
        <f t="shared" si="12"/>
        <v>2.3664569493180521</v>
      </c>
      <c r="CI52" s="28">
        <f t="shared" si="13"/>
        <v>157.01837383850997</v>
      </c>
      <c r="CJ52" s="28">
        <f t="shared" si="14"/>
        <v>182.60348261612276</v>
      </c>
      <c r="CK52" s="23">
        <f t="shared" si="15"/>
        <v>9.5831842301139364E-3</v>
      </c>
      <c r="CL52" s="29" t="str">
        <f t="shared" si="16"/>
        <v/>
      </c>
      <c r="CM52" s="29" t="str">
        <f t="shared" si="17"/>
        <v/>
      </c>
      <c r="CN52" s="29" t="str">
        <f t="shared" si="18"/>
        <v/>
      </c>
      <c r="CO52" s="29" t="str">
        <f t="shared" si="19"/>
        <v/>
      </c>
      <c r="CP52" s="29" t="str">
        <f t="shared" si="20"/>
        <v/>
      </c>
      <c r="CQ52" s="29">
        <f t="shared" si="21"/>
        <v>0</v>
      </c>
      <c r="CR52" s="13"/>
      <c r="CS52" s="7">
        <f>VLOOKUP(A52,'Empresas 21-23'!$A$2:$M$228,13,0)</f>
        <v>1</v>
      </c>
      <c r="CT52" s="30"/>
      <c r="CU52" s="6">
        <f t="shared" si="22"/>
        <v>5649658316.3999996</v>
      </c>
      <c r="CV52" s="6">
        <f t="shared" si="23"/>
        <v>278250639</v>
      </c>
      <c r="CW52" s="6">
        <f t="shared" si="24"/>
        <v>811668175</v>
      </c>
      <c r="CX52" s="23">
        <f t="shared" si="60"/>
        <v>0.53740883045235277</v>
      </c>
      <c r="CY52" s="23">
        <f t="shared" si="61"/>
        <v>2.6467857364672293E-2</v>
      </c>
      <c r="CZ52" s="6">
        <f t="shared" si="27"/>
        <v>6085855961.0421448</v>
      </c>
      <c r="DA52" s="6">
        <f t="shared" si="28"/>
        <v>299733756.48334384</v>
      </c>
      <c r="DB52" s="6">
        <f t="shared" si="29"/>
        <v>239264127</v>
      </c>
      <c r="DC52" s="6">
        <f t="shared" si="30"/>
        <v>239264127</v>
      </c>
      <c r="DD52" s="6">
        <f t="shared" si="31"/>
        <v>230577144</v>
      </c>
      <c r="DE52" s="6">
        <f t="shared" si="32"/>
        <v>64071567</v>
      </c>
      <c r="DF52" s="6">
        <f t="shared" si="33"/>
        <v>25575663.426291727</v>
      </c>
      <c r="DG52" s="30"/>
      <c r="DH52" s="32">
        <f>VLOOKUP(A52,'T_med_comp-USA'!$A$7:$Q$233,17,0)</f>
        <v>10.729629606155994</v>
      </c>
      <c r="DI52" s="6" t="str">
        <f t="shared" si="34"/>
        <v>4_2013</v>
      </c>
      <c r="DJ52" s="32">
        <f>IF(DI52="","",VLOOKUP(DI52,'CPI USA'!$T:$U,2,FALSE))</f>
        <v>232.53100000000001</v>
      </c>
      <c r="DK52" s="32">
        <f>IF(DI52="","",VLOOKUP(DI52,'PPI USA'!$S:$T,2,FALSE))</f>
        <v>165.8</v>
      </c>
      <c r="DL52" s="32">
        <f>IF(DI52="","",VLOOKUP(DI52,'CPI USA'!$T:$V,3,FALSE))</f>
        <v>0.67305131835944076</v>
      </c>
      <c r="DM52" s="32">
        <f>IF(DI52="","",VLOOKUP(DI52,'CPI USA'!$T:$X,5,FALSE))</f>
        <v>0.50163050295255052</v>
      </c>
      <c r="DN52" s="32">
        <f t="shared" si="35"/>
        <v>1.3852700274085046</v>
      </c>
      <c r="DO52" s="32">
        <f t="shared" si="36"/>
        <v>1.4031802076867612</v>
      </c>
      <c r="DP52" s="32">
        <f t="shared" si="37"/>
        <v>0.29860058045593579</v>
      </c>
      <c r="DQ52" s="32">
        <f>IF(DP52="","",DP52*$DO$1/'CPI USA'!$U$532+(1-DP52)*AVERAGE($DO$1,$DQ$1)/AVERAGE('CPI USA'!$U$532,'PPI USA'!$T$538))</f>
        <v>1.0404062476837159</v>
      </c>
      <c r="DR52" s="6">
        <f t="shared" si="38"/>
        <v>12141765</v>
      </c>
      <c r="DS52" s="32">
        <f t="shared" si="39"/>
        <v>0.2</v>
      </c>
      <c r="DT52" s="28">
        <f>IF(DS52="","",DS52*$DO$1/'CPI USA'!$U$532+(1-DS52)*AVERAGE($DO$1,$DQ$1)/AVERAGE('CPI USA'!$U$532,'PPI USA'!$T$538))</f>
        <v>1.0426818386380585</v>
      </c>
      <c r="DU52" s="6">
        <f t="shared" si="40"/>
        <v>3484860.5155738248</v>
      </c>
      <c r="DV52" s="6">
        <f t="shared" si="41"/>
        <v>286042.28921986063</v>
      </c>
      <c r="DW52" s="6">
        <f t="shared" si="42"/>
        <v>3616747.6839474258</v>
      </c>
      <c r="DX52" s="16">
        <f t="shared" si="43"/>
        <v>0.2</v>
      </c>
      <c r="DY52" s="28">
        <f>IF(DX52="","",DX52*$DO$1/'CPI USA'!$U$532+(1-DX52)*AVERAGE($DO$1,$DQ$1)/AVERAGE('CPI USA'!$U$532,'PPI USA'!$T$538))</f>
        <v>1.0426818386380585</v>
      </c>
      <c r="DZ52" s="30"/>
      <c r="EA52" s="29" t="str">
        <f t="shared" si="44"/>
        <v>C000535</v>
      </c>
      <c r="EB52" s="29">
        <f t="shared" si="45"/>
        <v>8430553853.9570627</v>
      </c>
      <c r="EC52" s="29">
        <f t="shared" si="46"/>
        <v>420580474.67303151</v>
      </c>
      <c r="ED52" s="29">
        <f t="shared" si="47"/>
        <v>248931892.57739007</v>
      </c>
      <c r="EE52" s="29">
        <f t="shared" si="48"/>
        <v>240418600.45383239</v>
      </c>
      <c r="EF52" s="29">
        <f t="shared" si="49"/>
        <v>26667279.765714005</v>
      </c>
      <c r="EG52" s="29">
        <f t="shared" si="50"/>
        <v>3606</v>
      </c>
      <c r="EH52" s="29">
        <f t="shared" si="51"/>
        <v>1523797</v>
      </c>
      <c r="EI52" s="29">
        <f t="shared" si="52"/>
        <v>424705</v>
      </c>
      <c r="EJ52" s="29">
        <f t="shared" si="53"/>
        <v>44317733</v>
      </c>
      <c r="EK52" s="29">
        <f t="shared" si="54"/>
        <v>44705684.90862944</v>
      </c>
      <c r="EL52" s="29">
        <f>IF(CD52=1,VLOOKUP(EA52,'EIA 2023'!$A$2:$J$213,4,0)*EH52,"")</f>
        <v>224912437.19999999</v>
      </c>
      <c r="EM52" s="29">
        <f>IF(CD52=1,VLOOKUP(EA52,'EIA 2023'!$A$2:$J$213,7,0)*EH52,"")</f>
        <v>1883413.0919999999</v>
      </c>
      <c r="EN52" s="29">
        <f>IF(CD52=1,VLOOKUP(EA52,'EIA 2023'!$A$2:$J$213,10,0),"")</f>
        <v>1563822</v>
      </c>
      <c r="EO52" s="28">
        <f>IF(CD52=1,VLOOKUP(EA52,'EIA 2023'!$A$2:$Z$213,26,0),"")</f>
        <v>0</v>
      </c>
      <c r="EP52" s="23">
        <f t="shared" si="55"/>
        <v>8.6779099665366295E-3</v>
      </c>
      <c r="EQ52" s="32">
        <f t="shared" si="56"/>
        <v>36753.091370558366</v>
      </c>
      <c r="ER52" s="32">
        <f t="shared" si="57"/>
        <v>387951.90862944163</v>
      </c>
      <c r="ES52" s="32"/>
      <c r="ET52" s="32"/>
    </row>
    <row r="53" spans="1:150" ht="15.75" customHeight="1">
      <c r="A53" s="7" t="s">
        <v>363</v>
      </c>
      <c r="B53" s="7" t="s">
        <v>364</v>
      </c>
      <c r="C53" s="32" t="s">
        <v>1138</v>
      </c>
      <c r="D53" s="42">
        <v>500255858</v>
      </c>
      <c r="E53" s="42">
        <v>0</v>
      </c>
      <c r="F53" s="42">
        <v>13247910</v>
      </c>
      <c r="G53" s="42">
        <v>452489818</v>
      </c>
      <c r="H53" s="42">
        <v>455891979</v>
      </c>
      <c r="I53" s="42">
        <v>2591726</v>
      </c>
      <c r="J53" s="42">
        <v>1226034</v>
      </c>
      <c r="K53" s="42">
        <v>2288633</v>
      </c>
      <c r="L53" s="42">
        <v>2887174</v>
      </c>
      <c r="M53" s="42">
        <v>4878678</v>
      </c>
      <c r="N53" s="42">
        <v>700391</v>
      </c>
      <c r="O53" s="42">
        <v>9341936</v>
      </c>
      <c r="P53" s="42">
        <v>844241</v>
      </c>
      <c r="Q53" s="42">
        <v>12064</v>
      </c>
      <c r="R53" s="42">
        <v>53214</v>
      </c>
      <c r="S53" s="42">
        <v>1415780</v>
      </c>
      <c r="T53" s="42">
        <v>53725316</v>
      </c>
      <c r="U53" s="42">
        <v>1354441</v>
      </c>
      <c r="V53" s="42">
        <v>148532</v>
      </c>
      <c r="W53" s="42">
        <v>151304</v>
      </c>
      <c r="X53" s="42">
        <f>IFERROR(VLOOKUP(A53,'Trans 21-23'!$A$2:$J$229,10,0),0)</f>
        <v>0</v>
      </c>
      <c r="Y53" s="42">
        <v>4615087</v>
      </c>
      <c r="Z53" s="42">
        <v>397839</v>
      </c>
      <c r="AA53" s="42">
        <v>16685739</v>
      </c>
      <c r="AB53" s="42">
        <v>32098239</v>
      </c>
      <c r="AC53" s="42">
        <v>102730</v>
      </c>
      <c r="AD53" s="42">
        <v>38626901</v>
      </c>
      <c r="AE53" s="42">
        <v>0</v>
      </c>
      <c r="AF53" s="42">
        <v>1406611802</v>
      </c>
      <c r="AG53" s="42">
        <v>575846</v>
      </c>
      <c r="AH53" s="42">
        <v>1160400</v>
      </c>
      <c r="AI53" s="42">
        <v>20141863</v>
      </c>
      <c r="AJ53" s="42">
        <v>13</v>
      </c>
      <c r="AK53" s="42">
        <v>0</v>
      </c>
      <c r="AL53" s="42">
        <v>6138285</v>
      </c>
      <c r="AM53" s="42">
        <v>5190452</v>
      </c>
      <c r="AN53" s="42">
        <v>5931873</v>
      </c>
      <c r="AO53" s="42">
        <v>41918</v>
      </c>
      <c r="AP53" s="42">
        <v>1212669</v>
      </c>
      <c r="AQ53" s="42">
        <v>18515197</v>
      </c>
      <c r="AR53" s="42">
        <v>466253</v>
      </c>
      <c r="AS53" s="42">
        <v>18981450</v>
      </c>
      <c r="AT53" s="42">
        <v>0</v>
      </c>
      <c r="AU53" s="42">
        <v>4287</v>
      </c>
      <c r="AV53" s="42">
        <v>0</v>
      </c>
      <c r="AW53" s="42">
        <v>618352730</v>
      </c>
      <c r="AX53" s="42">
        <v>122024355</v>
      </c>
      <c r="AY53" s="42">
        <v>456497115</v>
      </c>
      <c r="AZ53" s="42">
        <v>126257286</v>
      </c>
      <c r="BA53" s="42">
        <v>88547844</v>
      </c>
      <c r="BB53" s="42">
        <v>3450235672</v>
      </c>
      <c r="BC53" s="42">
        <v>7854034152</v>
      </c>
      <c r="BD53" s="42">
        <v>268244530</v>
      </c>
      <c r="BE53" s="42">
        <v>808966823</v>
      </c>
      <c r="BF53" s="42">
        <v>95307417</v>
      </c>
      <c r="BG53" s="42">
        <v>0</v>
      </c>
      <c r="BH53" s="42">
        <v>24582735</v>
      </c>
      <c r="BI53" s="42">
        <v>2248669</v>
      </c>
      <c r="BJ53" s="42">
        <v>3434984</v>
      </c>
      <c r="BK53" s="42">
        <v>0</v>
      </c>
      <c r="BL53" s="42">
        <v>0</v>
      </c>
      <c r="BM53" s="42">
        <v>2518837</v>
      </c>
      <c r="BN53" s="42">
        <v>62376319</v>
      </c>
      <c r="BO53" s="42">
        <v>3995289</v>
      </c>
      <c r="BP53" s="42">
        <v>10322870</v>
      </c>
      <c r="BQ53" s="42">
        <v>125016393</v>
      </c>
      <c r="BR53" s="42">
        <v>0</v>
      </c>
      <c r="BS53" s="42">
        <f>IFERROR(VLOOKUP(A53,'Trans 21-23'!$A$2:$J$229,9,0),0)</f>
        <v>0</v>
      </c>
      <c r="BT53" s="67"/>
      <c r="BU53" s="32">
        <f t="shared" si="0"/>
        <v>3450235672</v>
      </c>
      <c r="BV53" s="32">
        <f t="shared" si="1"/>
        <v>4287</v>
      </c>
      <c r="BW53" s="32">
        <f t="shared" si="2"/>
        <v>575846</v>
      </c>
      <c r="BX53" s="32">
        <f t="shared" si="3"/>
        <v>81619464</v>
      </c>
      <c r="BY53" s="32">
        <f t="shared" si="4"/>
        <v>53899634</v>
      </c>
      <c r="BZ53" s="32">
        <f t="shared" si="5"/>
        <v>126257286</v>
      </c>
      <c r="CA53" s="32">
        <f t="shared" si="6"/>
        <v>38626901</v>
      </c>
      <c r="CB53" s="32">
        <f t="shared" si="7"/>
        <v>1160400</v>
      </c>
      <c r="CC53" s="32">
        <f t="shared" si="8"/>
        <v>18515197</v>
      </c>
      <c r="CD53" s="41">
        <f t="shared" si="9"/>
        <v>1</v>
      </c>
      <c r="CE53" s="44">
        <f t="shared" si="10"/>
        <v>11</v>
      </c>
      <c r="CF53" s="27"/>
      <c r="CG53" s="28">
        <f t="shared" si="11"/>
        <v>804.81354606951254</v>
      </c>
      <c r="CH53" s="28">
        <f t="shared" si="12"/>
        <v>7.444698756264696</v>
      </c>
      <c r="CI53" s="28">
        <f t="shared" si="13"/>
        <v>141.73835365705415</v>
      </c>
      <c r="CJ53" s="28">
        <f t="shared" si="14"/>
        <v>219.25529742326941</v>
      </c>
      <c r="CK53" s="23">
        <f t="shared" si="15"/>
        <v>6.2672841126130072E-2</v>
      </c>
      <c r="CL53" s="29" t="str">
        <f t="shared" si="16"/>
        <v/>
      </c>
      <c r="CM53" s="29" t="str">
        <f t="shared" si="17"/>
        <v/>
      </c>
      <c r="CN53" s="29" t="str">
        <f t="shared" si="18"/>
        <v/>
      </c>
      <c r="CO53" s="29" t="str">
        <f t="shared" si="19"/>
        <v/>
      </c>
      <c r="CP53" s="29" t="str">
        <f t="shared" si="20"/>
        <v/>
      </c>
      <c r="CQ53" s="29">
        <f t="shared" si="21"/>
        <v>0</v>
      </c>
      <c r="CR53" s="13"/>
      <c r="CS53" s="7">
        <f>VLOOKUP(A53,'Empresas 21-23'!$A$2:$M$228,13,0)</f>
        <v>1</v>
      </c>
      <c r="CT53" s="30"/>
      <c r="CU53" s="6">
        <f t="shared" si="22"/>
        <v>2888317660</v>
      </c>
      <c r="CV53" s="6">
        <f t="shared" si="23"/>
        <v>126257286</v>
      </c>
      <c r="CW53" s="6">
        <f t="shared" si="24"/>
        <v>268244530</v>
      </c>
      <c r="CX53" s="23">
        <f t="shared" si="60"/>
        <v>0.38075372557438425</v>
      </c>
      <c r="CY53" s="23">
        <f t="shared" si="61"/>
        <v>1.6643921370272877E-2</v>
      </c>
      <c r="CZ53" s="6">
        <f t="shared" si="27"/>
        <v>2990452764.1624498</v>
      </c>
      <c r="DA53" s="6">
        <f t="shared" si="28"/>
        <v>130721926.86532581</v>
      </c>
      <c r="DB53" s="6">
        <f t="shared" si="29"/>
        <v>81619464</v>
      </c>
      <c r="DC53" s="6">
        <f t="shared" si="30"/>
        <v>81619464</v>
      </c>
      <c r="DD53" s="6">
        <f t="shared" si="31"/>
        <v>53899634</v>
      </c>
      <c r="DE53" s="6">
        <f t="shared" si="32"/>
        <v>38626901</v>
      </c>
      <c r="DF53" s="6">
        <f t="shared" si="33"/>
        <v>13133028.657511584</v>
      </c>
      <c r="DG53" s="30"/>
      <c r="DH53" s="32">
        <f>VLOOKUP(A53,'T_med_comp-USA'!$A$7:$Q$233,17,0)</f>
        <v>8.3844850962185049</v>
      </c>
      <c r="DI53" s="6" t="str">
        <f t="shared" si="34"/>
        <v>8_2015</v>
      </c>
      <c r="DJ53" s="32">
        <f>IF(DI53="","",VLOOKUP(DI53,'CPI USA'!$T:$U,2,FALSE))</f>
        <v>238.316</v>
      </c>
      <c r="DK53" s="32">
        <f>IF(DI53="","",VLOOKUP(DI53,'PPI USA'!$S:$T,2,FALSE))</f>
        <v>197.3</v>
      </c>
      <c r="DL53" s="32">
        <f>IF(DI53="","",VLOOKUP(DI53,'CPI USA'!$T:$V,3,FALSE))</f>
        <v>0.6679408278919865</v>
      </c>
      <c r="DM53" s="32">
        <f>IF(DI53="","",VLOOKUP(DI53,'CPI USA'!$T:$X,5,FALSE))</f>
        <v>0.49584761624008583</v>
      </c>
      <c r="DN53" s="32">
        <f t="shared" si="35"/>
        <v>1.3225272117779445</v>
      </c>
      <c r="DO53" s="32">
        <f t="shared" si="36"/>
        <v>1.3247114479798394</v>
      </c>
      <c r="DP53" s="32">
        <f t="shared" si="37"/>
        <v>0.32047861743188572</v>
      </c>
      <c r="DQ53" s="32">
        <f>IF(DP53="","",DP53*$DO$1/'CPI USA'!$U$532+(1-DP53)*AVERAGE($DO$1,$DQ$1)/AVERAGE('CPI USA'!$U$532,'PPI USA'!$T$538))</f>
        <v>1.0399013270959157</v>
      </c>
      <c r="DR53" s="6">
        <f t="shared" si="38"/>
        <v>5683653</v>
      </c>
      <c r="DS53" s="32">
        <f t="shared" si="39"/>
        <v>0.2</v>
      </c>
      <c r="DT53" s="28">
        <f>IF(DS53="","",DS53*$DO$1/'CPI USA'!$U$532+(1-DS53)*AVERAGE($DO$1,$DQ$1)/AVERAGE('CPI USA'!$U$532,'PPI USA'!$T$538))</f>
        <v>1.0426818386380585</v>
      </c>
      <c r="DU53" s="6">
        <f t="shared" si="40"/>
        <v>2680171.9732755632</v>
      </c>
      <c r="DV53" s="6">
        <f t="shared" si="41"/>
        <v>226705.27700321839</v>
      </c>
      <c r="DW53" s="6">
        <f t="shared" si="42"/>
        <v>1410481.9927785529</v>
      </c>
      <c r="DX53" s="16">
        <f t="shared" si="43"/>
        <v>0.2</v>
      </c>
      <c r="DY53" s="28">
        <f>IF(DX53="","",DX53*$DO$1/'CPI USA'!$U$532+(1-DX53)*AVERAGE($DO$1,$DQ$1)/AVERAGE('CPI USA'!$U$532,'PPI USA'!$T$538))</f>
        <v>1.0426818386380585</v>
      </c>
      <c r="DZ53" s="30"/>
      <c r="EA53" s="29" t="str">
        <f t="shared" si="44"/>
        <v>C000536</v>
      </c>
      <c r="EB53" s="29">
        <f t="shared" si="45"/>
        <v>3954955156.1414118</v>
      </c>
      <c r="EC53" s="29">
        <f t="shared" si="46"/>
        <v>173168833.02048042</v>
      </c>
      <c r="ED53" s="29">
        <f t="shared" si="47"/>
        <v>84876188.930457309</v>
      </c>
      <c r="EE53" s="29">
        <f t="shared" si="48"/>
        <v>56200169.481038414</v>
      </c>
      <c r="EF53" s="29">
        <f t="shared" si="49"/>
        <v>13693570.467500493</v>
      </c>
      <c r="EG53" s="29">
        <f t="shared" si="50"/>
        <v>4287</v>
      </c>
      <c r="EH53" s="29">
        <f t="shared" si="51"/>
        <v>575846</v>
      </c>
      <c r="EI53" s="29">
        <f t="shared" si="52"/>
        <v>1160400</v>
      </c>
      <c r="EJ53" s="29">
        <f t="shared" si="53"/>
        <v>18515197</v>
      </c>
      <c r="EK53" s="29">
        <f t="shared" si="54"/>
        <v>19668496.700507615</v>
      </c>
      <c r="EL53" s="29">
        <f>IF(CD53=1,VLOOKUP(EA53,'EIA 2023'!$A$2:$J$213,4,0)*EH53,"")</f>
        <v>61500352.799999997</v>
      </c>
      <c r="EM53" s="29">
        <f>IF(CD53=1,VLOOKUP(EA53,'EIA 2023'!$A$2:$J$213,7,0)*EH53,"")</f>
        <v>1137295.8500000001</v>
      </c>
      <c r="EN53" s="29">
        <f>IF(CD53=1,VLOOKUP(EA53,'EIA 2023'!$A$2:$J$213,10,0),"")</f>
        <v>606221</v>
      </c>
      <c r="EO53" s="28">
        <f>IF(CD53=1,VLOOKUP(EA53,'EIA 2023'!$A$2:$Z$213,26,0),"")</f>
        <v>0</v>
      </c>
      <c r="EP53" s="23">
        <f t="shared" si="55"/>
        <v>5.8636901338669639E-2</v>
      </c>
      <c r="EQ53" s="32">
        <f t="shared" si="56"/>
        <v>7100.2994923858205</v>
      </c>
      <c r="ER53" s="32">
        <f t="shared" si="57"/>
        <v>1153299.7005076143</v>
      </c>
      <c r="ES53" s="32"/>
      <c r="ET53" s="32"/>
    </row>
    <row r="54" spans="1:150" ht="15.75" customHeight="1">
      <c r="A54" s="7" t="s">
        <v>366</v>
      </c>
      <c r="B54" s="7" t="s">
        <v>367</v>
      </c>
      <c r="C54" s="32" t="s">
        <v>1139</v>
      </c>
      <c r="D54" s="42">
        <v>382292673</v>
      </c>
      <c r="E54" s="42">
        <v>0</v>
      </c>
      <c r="F54" s="42">
        <v>9416233</v>
      </c>
      <c r="G54" s="42">
        <v>221555627</v>
      </c>
      <c r="H54" s="42">
        <v>272055304</v>
      </c>
      <c r="I54" s="42">
        <v>1951988</v>
      </c>
      <c r="J54" s="42">
        <v>1237425</v>
      </c>
      <c r="K54" s="42">
        <v>89709</v>
      </c>
      <c r="L54" s="42">
        <v>1313333</v>
      </c>
      <c r="M54" s="42">
        <v>2159193</v>
      </c>
      <c r="N54" s="42">
        <v>780877</v>
      </c>
      <c r="O54" s="42">
        <v>19599925</v>
      </c>
      <c r="P54" s="42">
        <v>1029116</v>
      </c>
      <c r="Q54" s="42">
        <v>134960</v>
      </c>
      <c r="R54" s="42">
        <v>15279</v>
      </c>
      <c r="S54" s="42">
        <v>1919357</v>
      </c>
      <c r="T54" s="42">
        <v>58187799</v>
      </c>
      <c r="U54" s="42">
        <v>718317</v>
      </c>
      <c r="V54" s="42">
        <v>151917</v>
      </c>
      <c r="W54" s="42">
        <v>158076</v>
      </c>
      <c r="X54" s="42">
        <f>IFERROR(VLOOKUP(A54,'Trans 21-23'!$A$2:$J$229,10,0),0)</f>
        <v>0</v>
      </c>
      <c r="Y54" s="42">
        <v>3528872</v>
      </c>
      <c r="Z54" s="42">
        <v>358201</v>
      </c>
      <c r="AA54" s="42">
        <v>20800610</v>
      </c>
      <c r="AB54" s="42">
        <v>24876251</v>
      </c>
      <c r="AC54" s="42">
        <v>109706</v>
      </c>
      <c r="AD54" s="42">
        <v>66661567</v>
      </c>
      <c r="AE54" s="42">
        <v>0</v>
      </c>
      <c r="AF54" s="42">
        <v>1156233765</v>
      </c>
      <c r="AG54" s="42">
        <v>552060</v>
      </c>
      <c r="AH54" s="42">
        <v>1284490</v>
      </c>
      <c r="AI54" s="42">
        <v>24080204</v>
      </c>
      <c r="AJ54" s="42">
        <v>33671</v>
      </c>
      <c r="AK54" s="42">
        <v>0</v>
      </c>
      <c r="AL54" s="42">
        <v>6137956</v>
      </c>
      <c r="AM54" s="42">
        <v>5538280</v>
      </c>
      <c r="AN54" s="42">
        <v>5147435</v>
      </c>
      <c r="AO54" s="42">
        <v>70983</v>
      </c>
      <c r="AP54" s="42">
        <v>0</v>
      </c>
      <c r="AQ54" s="42">
        <v>16894653</v>
      </c>
      <c r="AR54" s="42">
        <v>5867390</v>
      </c>
      <c r="AS54" s="42">
        <v>22762043</v>
      </c>
      <c r="AT54" s="42">
        <v>0</v>
      </c>
      <c r="AU54" s="42">
        <v>4886</v>
      </c>
      <c r="AV54" s="42">
        <v>0</v>
      </c>
      <c r="AW54" s="42">
        <v>576249684</v>
      </c>
      <c r="AX54" s="42">
        <v>91349923</v>
      </c>
      <c r="AY54" s="42">
        <v>281810680</v>
      </c>
      <c r="AZ54" s="42">
        <v>116092853</v>
      </c>
      <c r="BA54" s="42">
        <v>55521425</v>
      </c>
      <c r="BB54" s="42">
        <v>2834292767</v>
      </c>
      <c r="BC54" s="42">
        <v>10963151369</v>
      </c>
      <c r="BD54" s="42">
        <v>314071921</v>
      </c>
      <c r="BE54" s="42">
        <v>857957527</v>
      </c>
      <c r="BF54" s="42">
        <v>83784938</v>
      </c>
      <c r="BG54" s="42">
        <v>0</v>
      </c>
      <c r="BH54" s="42">
        <v>30882358</v>
      </c>
      <c r="BI54" s="42">
        <v>3676824</v>
      </c>
      <c r="BJ54" s="42">
        <v>3466064</v>
      </c>
      <c r="BK54" s="42">
        <v>0</v>
      </c>
      <c r="BL54" s="42">
        <v>0</v>
      </c>
      <c r="BM54" s="42">
        <v>3584852</v>
      </c>
      <c r="BN54" s="42">
        <v>87411635</v>
      </c>
      <c r="BO54" s="42">
        <v>4245102</v>
      </c>
      <c r="BP54" s="42">
        <v>12197784</v>
      </c>
      <c r="BQ54" s="42">
        <v>156069025</v>
      </c>
      <c r="BR54" s="42">
        <v>0</v>
      </c>
      <c r="BS54" s="42">
        <f>IFERROR(VLOOKUP(A54,'Trans 21-23'!$A$2:$J$229,9,0),0)</f>
        <v>0</v>
      </c>
      <c r="BT54" s="67"/>
      <c r="BU54" s="32">
        <f t="shared" si="0"/>
        <v>2834292767</v>
      </c>
      <c r="BV54" s="32">
        <f t="shared" si="1"/>
        <v>4886</v>
      </c>
      <c r="BW54" s="32">
        <f t="shared" si="2"/>
        <v>552060</v>
      </c>
      <c r="BX54" s="32">
        <f t="shared" si="3"/>
        <v>89447271</v>
      </c>
      <c r="BY54" s="32">
        <f t="shared" si="4"/>
        <v>49673640</v>
      </c>
      <c r="BZ54" s="32">
        <f t="shared" si="5"/>
        <v>116092853</v>
      </c>
      <c r="CA54" s="32">
        <f t="shared" si="6"/>
        <v>66661567</v>
      </c>
      <c r="CB54" s="32">
        <f t="shared" si="7"/>
        <v>1284490</v>
      </c>
      <c r="CC54" s="32">
        <f t="shared" si="8"/>
        <v>16894653</v>
      </c>
      <c r="CD54" s="41">
        <f t="shared" si="9"/>
        <v>1</v>
      </c>
      <c r="CE54" s="44">
        <f t="shared" si="10"/>
        <v>12</v>
      </c>
      <c r="CF54" s="27"/>
      <c r="CG54" s="28">
        <f t="shared" si="11"/>
        <v>580.08447953336054</v>
      </c>
      <c r="CH54" s="28">
        <f t="shared" si="12"/>
        <v>8.8504872658768967</v>
      </c>
      <c r="CI54" s="28">
        <f t="shared" si="13"/>
        <v>162.02454624497338</v>
      </c>
      <c r="CJ54" s="28">
        <f t="shared" si="14"/>
        <v>210.29028185342173</v>
      </c>
      <c r="CK54" s="23">
        <f t="shared" si="15"/>
        <v>7.6029380419947071E-2</v>
      </c>
      <c r="CL54" s="29" t="str">
        <f t="shared" si="16"/>
        <v/>
      </c>
      <c r="CM54" s="29" t="str">
        <f t="shared" si="17"/>
        <v/>
      </c>
      <c r="CN54" s="29" t="str">
        <f t="shared" si="18"/>
        <v/>
      </c>
      <c r="CO54" s="29" t="str">
        <f t="shared" si="19"/>
        <v/>
      </c>
      <c r="CP54" s="29" t="str">
        <f t="shared" si="20"/>
        <v/>
      </c>
      <c r="CQ54" s="29">
        <f t="shared" si="21"/>
        <v>0</v>
      </c>
      <c r="CR54" s="13"/>
      <c r="CS54" s="7">
        <f>VLOOKUP(A54,'Empresas 21-23'!$A$2:$M$228,13,0)</f>
        <v>1</v>
      </c>
      <c r="CT54" s="30"/>
      <c r="CU54" s="6">
        <f t="shared" si="22"/>
        <v>2438782127.1999998</v>
      </c>
      <c r="CV54" s="6">
        <f t="shared" si="23"/>
        <v>116092853</v>
      </c>
      <c r="CW54" s="6">
        <f t="shared" si="24"/>
        <v>314071921</v>
      </c>
      <c r="CX54" s="23">
        <f t="shared" si="60"/>
        <v>0.22901342215622467</v>
      </c>
      <c r="CY54" s="23">
        <f t="shared" si="61"/>
        <v>1.0901679677279839E-2</v>
      </c>
      <c r="CZ54" s="6">
        <f t="shared" si="27"/>
        <v>2510708812.6313891</v>
      </c>
      <c r="DA54" s="6">
        <f t="shared" si="28"/>
        <v>119516764.47836994</v>
      </c>
      <c r="DB54" s="6">
        <f t="shared" si="29"/>
        <v>89447271</v>
      </c>
      <c r="DC54" s="6">
        <f t="shared" si="30"/>
        <v>89447271</v>
      </c>
      <c r="DD54" s="6">
        <f t="shared" si="31"/>
        <v>49673640</v>
      </c>
      <c r="DE54" s="6">
        <f t="shared" si="32"/>
        <v>66661567</v>
      </c>
      <c r="DF54" s="6">
        <f t="shared" si="33"/>
        <v>21779812.007020254</v>
      </c>
      <c r="DG54" s="30"/>
      <c r="DH54" s="32">
        <f>VLOOKUP(A54,'T_med_comp-USA'!$A$7:$Q$233,17,0)</f>
        <v>11.033614909800562</v>
      </c>
      <c r="DI54" s="6" t="str">
        <f t="shared" si="34"/>
        <v>12_2012</v>
      </c>
      <c r="DJ54" s="32">
        <f>IF(DI54="","",VLOOKUP(DI54,'CPI USA'!$T:$U,2,FALSE))</f>
        <v>229.59399999999999</v>
      </c>
      <c r="DK54" s="32">
        <f>IF(DI54="","",VLOOKUP(DI54,'PPI USA'!$S:$T,2,FALSE))</f>
        <v>175.1</v>
      </c>
      <c r="DL54" s="32">
        <f>IF(DI54="","",VLOOKUP(DI54,'CPI USA'!$T:$V,3,FALSE))</f>
        <v>0.66730871354337351</v>
      </c>
      <c r="DM54" s="32">
        <f>IF(DI54="","",VLOOKUP(DI54,'CPI USA'!$T:$X,5,FALSE))</f>
        <v>0.49513551903851311</v>
      </c>
      <c r="DN54" s="32">
        <f t="shared" si="35"/>
        <v>1.3897894616766442</v>
      </c>
      <c r="DO54" s="32">
        <f t="shared" si="36"/>
        <v>1.4008620811189902</v>
      </c>
      <c r="DP54" s="32">
        <f t="shared" si="37"/>
        <v>0.36202495380947175</v>
      </c>
      <c r="DQ54" s="32">
        <f>IF(DP54="","",DP54*$DO$1/'CPI USA'!$U$532+(1-DP54)*AVERAGE($DO$1,$DQ$1)/AVERAGE('CPI USA'!$U$532,'PPI USA'!$T$538))</f>
        <v>1.0389424841884018</v>
      </c>
      <c r="DR54" s="6">
        <f t="shared" si="38"/>
        <v>7142888</v>
      </c>
      <c r="DS54" s="32">
        <f t="shared" si="39"/>
        <v>0.2</v>
      </c>
      <c r="DT54" s="28">
        <f>IF(DS54="","",DS54*$DO$1/'CPI USA'!$U$532+(1-DS54)*AVERAGE($DO$1,$DQ$1)/AVERAGE('CPI USA'!$U$532,'PPI USA'!$T$538))</f>
        <v>1.0426818386380585</v>
      </c>
      <c r="DU54" s="6">
        <f t="shared" si="40"/>
        <v>3758948.5306838616</v>
      </c>
      <c r="DV54" s="6">
        <f t="shared" si="41"/>
        <v>303933.22573736607</v>
      </c>
      <c r="DW54" s="6">
        <f t="shared" si="42"/>
        <v>1767408.6322356202</v>
      </c>
      <c r="DX54" s="16">
        <f t="shared" si="43"/>
        <v>0.2</v>
      </c>
      <c r="DY54" s="28">
        <f>IF(DX54="","",DX54*$DO$1/'CPI USA'!$U$532+(1-DX54)*AVERAGE($DO$1,$DQ$1)/AVERAGE('CPI USA'!$U$532,'PPI USA'!$T$538))</f>
        <v>1.0426818386380585</v>
      </c>
      <c r="DZ54" s="30"/>
      <c r="EA54" s="29" t="str">
        <f t="shared" si="44"/>
        <v>C000537</v>
      </c>
      <c r="EB54" s="29">
        <f t="shared" si="45"/>
        <v>3489356649.1337848</v>
      </c>
      <c r="EC54" s="29">
        <f t="shared" si="46"/>
        <v>167426503.4157775</v>
      </c>
      <c r="ED54" s="29">
        <f t="shared" si="47"/>
        <v>92930569.936613202</v>
      </c>
      <c r="EE54" s="29">
        <f t="shared" si="48"/>
        <v>51793802.287045009</v>
      </c>
      <c r="EF54" s="29">
        <f t="shared" si="49"/>
        <v>22709414.42867114</v>
      </c>
      <c r="EG54" s="29">
        <f t="shared" si="50"/>
        <v>4886</v>
      </c>
      <c r="EH54" s="29">
        <f t="shared" si="51"/>
        <v>552060</v>
      </c>
      <c r="EI54" s="29">
        <f t="shared" si="52"/>
        <v>1284490</v>
      </c>
      <c r="EJ54" s="29">
        <f t="shared" si="53"/>
        <v>16894653</v>
      </c>
      <c r="EK54" s="29">
        <f t="shared" si="54"/>
        <v>18089791.883248731</v>
      </c>
      <c r="EL54" s="29">
        <f>IF(CD54=1,VLOOKUP(EA54,'EIA 2023'!$A$2:$J$213,4,0)*EH54,"")</f>
        <v>107706906</v>
      </c>
      <c r="EM54" s="29">
        <f>IF(CD54=1,VLOOKUP(EA54,'EIA 2023'!$A$2:$J$213,7,0)*EH54,"")</f>
        <v>1152701.28</v>
      </c>
      <c r="EN54" s="29">
        <f>IF(CD54=1,VLOOKUP(EA54,'EIA 2023'!$A$2:$J$213,10,0),"")</f>
        <v>124199</v>
      </c>
      <c r="EO54" s="28">
        <f>IF(CD54=1,VLOOKUP(EA54,'EIA 2023'!$A$2:$Z$213,26,0),"")</f>
        <v>0</v>
      </c>
      <c r="EP54" s="23">
        <f t="shared" si="55"/>
        <v>6.6067033328085834E-2</v>
      </c>
      <c r="EQ54" s="32">
        <f t="shared" si="56"/>
        <v>89351.116751269437</v>
      </c>
      <c r="ER54" s="32">
        <f t="shared" si="57"/>
        <v>1195138.8832487306</v>
      </c>
      <c r="ES54" s="32"/>
      <c r="ET54" s="32"/>
    </row>
    <row r="55" spans="1:150" ht="15.75" customHeight="1">
      <c r="A55" s="7" t="s">
        <v>369</v>
      </c>
      <c r="B55" s="7" t="s">
        <v>370</v>
      </c>
      <c r="C55" s="32" t="s">
        <v>1140</v>
      </c>
      <c r="D55" s="42">
        <v>121136346</v>
      </c>
      <c r="E55" s="42">
        <v>0</v>
      </c>
      <c r="F55" s="42">
        <v>0</v>
      </c>
      <c r="G55" s="42">
        <v>112095015</v>
      </c>
      <c r="H55" s="42">
        <v>112915380</v>
      </c>
      <c r="I55" s="42">
        <v>202867</v>
      </c>
      <c r="J55" s="42">
        <v>38598</v>
      </c>
      <c r="K55" s="42">
        <v>0</v>
      </c>
      <c r="L55" s="42">
        <v>55840</v>
      </c>
      <c r="M55" s="42">
        <v>140600</v>
      </c>
      <c r="N55" s="42">
        <v>47437</v>
      </c>
      <c r="O55" s="42">
        <v>580924</v>
      </c>
      <c r="P55" s="42">
        <v>96783</v>
      </c>
      <c r="Q55" s="42">
        <v>869</v>
      </c>
      <c r="R55" s="42">
        <v>1826</v>
      </c>
      <c r="S55" s="42">
        <v>199963</v>
      </c>
      <c r="T55" s="42">
        <v>10948583</v>
      </c>
      <c r="U55" s="42">
        <v>159354</v>
      </c>
      <c r="V55" s="42">
        <v>3802</v>
      </c>
      <c r="W55" s="42">
        <v>175049</v>
      </c>
      <c r="X55" s="42">
        <f>IFERROR(VLOOKUP(A55,'Trans 21-23'!$A$2:$J$229,10,0),0)</f>
        <v>0</v>
      </c>
      <c r="Y55" s="42">
        <v>44056</v>
      </c>
      <c r="Z55" s="42">
        <v>10894</v>
      </c>
      <c r="AA55" s="42">
        <v>1467566</v>
      </c>
      <c r="AB55" s="42">
        <v>1557250</v>
      </c>
      <c r="AC55" s="42">
        <v>2947</v>
      </c>
      <c r="AD55" s="42">
        <v>5702249</v>
      </c>
      <c r="AE55" s="42">
        <v>0</v>
      </c>
      <c r="AF55" s="42">
        <v>359146337</v>
      </c>
      <c r="AG55" s="42">
        <v>41403</v>
      </c>
      <c r="AH55" s="42">
        <v>78614</v>
      </c>
      <c r="AI55" s="42">
        <v>5193808</v>
      </c>
      <c r="AJ55" s="42">
        <v>0</v>
      </c>
      <c r="AK55" s="42">
        <v>0</v>
      </c>
      <c r="AL55" s="42">
        <v>360996</v>
      </c>
      <c r="AM55" s="42">
        <v>366730</v>
      </c>
      <c r="AN55" s="42">
        <v>4071942</v>
      </c>
      <c r="AO55" s="42">
        <v>5510</v>
      </c>
      <c r="AP55" s="42">
        <v>0</v>
      </c>
      <c r="AQ55" s="42">
        <v>4805178</v>
      </c>
      <c r="AR55" s="42">
        <v>310016</v>
      </c>
      <c r="AS55" s="42">
        <v>5115194</v>
      </c>
      <c r="AT55" s="42">
        <v>0</v>
      </c>
      <c r="AU55" s="42">
        <v>690</v>
      </c>
      <c r="AV55" s="42">
        <v>0</v>
      </c>
      <c r="AW55" s="42">
        <v>51666366</v>
      </c>
      <c r="AX55" s="42">
        <v>25717064</v>
      </c>
      <c r="AY55" s="42">
        <v>33658274</v>
      </c>
      <c r="AZ55" s="42">
        <v>15612293</v>
      </c>
      <c r="BA55" s="42">
        <v>1701580</v>
      </c>
      <c r="BB55" s="42">
        <v>280712347</v>
      </c>
      <c r="BC55" s="42">
        <v>1631548544</v>
      </c>
      <c r="BD55" s="42">
        <v>13310212</v>
      </c>
      <c r="BE55" s="42">
        <v>82680474</v>
      </c>
      <c r="BF55" s="42">
        <v>10667672</v>
      </c>
      <c r="BG55" s="42">
        <v>0</v>
      </c>
      <c r="BH55" s="42">
        <v>1709254</v>
      </c>
      <c r="BI55" s="42">
        <v>129312</v>
      </c>
      <c r="BJ55" s="42">
        <v>6065</v>
      </c>
      <c r="BK55" s="42">
        <v>0</v>
      </c>
      <c r="BL55" s="42">
        <v>0</v>
      </c>
      <c r="BM55" s="42">
        <v>204707</v>
      </c>
      <c r="BN55" s="42">
        <v>10359321</v>
      </c>
      <c r="BO55" s="42">
        <v>450781</v>
      </c>
      <c r="BP55" s="42">
        <v>4060063</v>
      </c>
      <c r="BQ55" s="42">
        <v>18142860</v>
      </c>
      <c r="BR55" s="42">
        <v>0</v>
      </c>
      <c r="BS55" s="42">
        <f>IFERROR(VLOOKUP(A55,'Trans 21-23'!$A$2:$J$229,9,0),0)</f>
        <v>0</v>
      </c>
      <c r="BT55" s="67"/>
      <c r="BU55" s="32">
        <f t="shared" si="0"/>
        <v>280712347</v>
      </c>
      <c r="BV55" s="32">
        <f t="shared" si="1"/>
        <v>690</v>
      </c>
      <c r="BW55" s="32">
        <f t="shared" si="2"/>
        <v>41403</v>
      </c>
      <c r="BX55" s="32">
        <f t="shared" si="3"/>
        <v>12652495</v>
      </c>
      <c r="BY55" s="32">
        <f t="shared" si="4"/>
        <v>3082713</v>
      </c>
      <c r="BZ55" s="32">
        <f t="shared" si="5"/>
        <v>15612293</v>
      </c>
      <c r="CA55" s="32">
        <f t="shared" si="6"/>
        <v>5702249</v>
      </c>
      <c r="CB55" s="32">
        <f t="shared" si="7"/>
        <v>78614</v>
      </c>
      <c r="CC55" s="32">
        <f t="shared" si="8"/>
        <v>4805178</v>
      </c>
      <c r="CD55" s="41">
        <f t="shared" si="9"/>
        <v>1</v>
      </c>
      <c r="CE55" s="44">
        <f t="shared" si="10"/>
        <v>15</v>
      </c>
      <c r="CF55" s="27"/>
      <c r="CG55" s="28">
        <f t="shared" si="11"/>
        <v>406.82948840579712</v>
      </c>
      <c r="CH55" s="28">
        <f t="shared" si="12"/>
        <v>16.665459024708355</v>
      </c>
      <c r="CI55" s="28">
        <f t="shared" si="13"/>
        <v>305.59367678670628</v>
      </c>
      <c r="CJ55" s="28">
        <f t="shared" si="14"/>
        <v>377.08120184527689</v>
      </c>
      <c r="CK55" s="23">
        <f t="shared" si="15"/>
        <v>1.6360268027531967E-2</v>
      </c>
      <c r="CL55" s="29" t="str">
        <f t="shared" si="16"/>
        <v/>
      </c>
      <c r="CM55" s="29" t="str">
        <f t="shared" si="17"/>
        <v/>
      </c>
      <c r="CN55" s="29" t="str">
        <f t="shared" si="18"/>
        <v/>
      </c>
      <c r="CO55" s="29" t="str">
        <f t="shared" si="19"/>
        <v/>
      </c>
      <c r="CP55" s="29" t="str">
        <f t="shared" si="20"/>
        <v/>
      </c>
      <c r="CQ55" s="29">
        <f t="shared" si="21"/>
        <v>0</v>
      </c>
      <c r="CR55" s="13"/>
      <c r="CS55" s="7" t="str">
        <f>VLOOKUP(A55,'Empresas 21-23'!$A$2:$M$228,13,0)</f>
        <v/>
      </c>
      <c r="CT55" s="30"/>
      <c r="CU55" s="6">
        <f t="shared" si="22"/>
        <v>227773271.19999999</v>
      </c>
      <c r="CV55" s="6">
        <f t="shared" si="23"/>
        <v>15612293</v>
      </c>
      <c r="CW55" s="6">
        <f t="shared" si="24"/>
        <v>13310212</v>
      </c>
      <c r="CX55" s="23">
        <f t="shared" si="60"/>
        <v>0.14075384737580174</v>
      </c>
      <c r="CY55" s="23">
        <f t="shared" si="61"/>
        <v>9.6477092967539469E-3</v>
      </c>
      <c r="CZ55" s="6">
        <f t="shared" si="27"/>
        <v>229646734.74838755</v>
      </c>
      <c r="DA55" s="6">
        <f t="shared" si="28"/>
        <v>15740706.056054166</v>
      </c>
      <c r="DB55" s="6">
        <f t="shared" si="29"/>
        <v>12652495</v>
      </c>
      <c r="DC55" s="6">
        <f t="shared" si="30"/>
        <v>12652495</v>
      </c>
      <c r="DD55" s="6">
        <f t="shared" si="31"/>
        <v>3082713</v>
      </c>
      <c r="DE55" s="6">
        <f t="shared" si="32"/>
        <v>5702249</v>
      </c>
      <c r="DF55" s="6">
        <f t="shared" si="33"/>
        <v>751522.73210569366</v>
      </c>
      <c r="DG55" s="30"/>
      <c r="DH55" s="32">
        <f>VLOOKUP(A55,'T_med_comp-USA'!$A$7:$Q$233,17,0)</f>
        <v>8.0656661752939076</v>
      </c>
      <c r="DI55" s="6" t="str">
        <f t="shared" si="34"/>
        <v>12_2015</v>
      </c>
      <c r="DJ55" s="32">
        <f>IF(DI55="","",VLOOKUP(DI55,'CPI USA'!$T:$U,2,FALSE))</f>
        <v>236.52500000000001</v>
      </c>
      <c r="DK55" s="32">
        <f>IF(DI55="","",VLOOKUP(DI55,'PPI USA'!$S:$T,2,FALSE))</f>
        <v>179.2</v>
      </c>
      <c r="DL55" s="32">
        <f>IF(DI55="","",VLOOKUP(DI55,'CPI USA'!$T:$V,3,FALSE))</f>
        <v>0.6679408278919865</v>
      </c>
      <c r="DM55" s="32">
        <f>IF(DI55="","",VLOOKUP(DI55,'CPI USA'!$T:$X,5,FALSE))</f>
        <v>0.49584761624008583</v>
      </c>
      <c r="DN55" s="32">
        <f t="shared" si="35"/>
        <v>1.3503417401112208</v>
      </c>
      <c r="DO55" s="32">
        <f t="shared" si="36"/>
        <v>1.3617676435350337</v>
      </c>
      <c r="DP55" s="32">
        <f t="shared" si="37"/>
        <v>0.2</v>
      </c>
      <c r="DQ55" s="32">
        <f>IF(DP55="","",DP55*$DO$1/'CPI USA'!$U$532+(1-DP55)*AVERAGE($DO$1,$DQ$1)/AVERAGE('CPI USA'!$U$532,'PPI USA'!$T$538))</f>
        <v>1.0426818386380585</v>
      </c>
      <c r="DR55" s="6">
        <f t="shared" si="38"/>
        <v>135377</v>
      </c>
      <c r="DS55" s="32">
        <f t="shared" si="39"/>
        <v>0.2</v>
      </c>
      <c r="DT55" s="28">
        <f>IF(DS55="","",DS55*$DO$1/'CPI USA'!$U$532+(1-DS55)*AVERAGE($DO$1,$DQ$1)/AVERAGE('CPI USA'!$U$532,'PPI USA'!$T$538))</f>
        <v>1.0426818386380585</v>
      </c>
      <c r="DU55" s="6">
        <f t="shared" si="40"/>
        <v>213614.72920030184</v>
      </c>
      <c r="DV55" s="6">
        <f t="shared" si="41"/>
        <v>59016.920895827723</v>
      </c>
      <c r="DW55" s="6">
        <f t="shared" si="42"/>
        <v>48546.115459543493</v>
      </c>
      <c r="DX55" s="16">
        <f t="shared" si="43"/>
        <v>0.2</v>
      </c>
      <c r="DY55" s="28">
        <f>IF(DX55="","",DX55*$DO$1/'CPI USA'!$U$532+(1-DX55)*AVERAGE($DO$1,$DQ$1)/AVERAGE('CPI USA'!$U$532,'PPI USA'!$T$538))</f>
        <v>1.0426818386380585</v>
      </c>
      <c r="DZ55" s="30"/>
      <c r="EA55" s="29" t="str">
        <f t="shared" si="44"/>
        <v>C000538</v>
      </c>
      <c r="EB55" s="29">
        <f t="shared" si="45"/>
        <v>310101571.41099757</v>
      </c>
      <c r="EC55" s="29">
        <f t="shared" si="46"/>
        <v>21435184.193530515</v>
      </c>
      <c r="ED55" s="29">
        <f t="shared" si="47"/>
        <v>13192526.749958843</v>
      </c>
      <c r="EE55" s="29">
        <f t="shared" si="48"/>
        <v>3214288.8588334452</v>
      </c>
      <c r="EF55" s="29">
        <f t="shared" si="49"/>
        <v>783599.10409026174</v>
      </c>
      <c r="EG55" s="29">
        <f t="shared" si="50"/>
        <v>690</v>
      </c>
      <c r="EH55" s="29">
        <f t="shared" si="51"/>
        <v>41403</v>
      </c>
      <c r="EI55" s="29">
        <f t="shared" si="52"/>
        <v>78614</v>
      </c>
      <c r="EJ55" s="29">
        <f t="shared" si="53"/>
        <v>4805178</v>
      </c>
      <c r="EK55" s="29">
        <f t="shared" si="54"/>
        <v>4879070.9441624368</v>
      </c>
      <c r="EL55" s="29">
        <f>IF(CD55=1,VLOOKUP(EA55,'EIA 2023'!$A$2:$J$213,4,0)*EH55,"")</f>
        <v>24585101.399999999</v>
      </c>
      <c r="EM55" s="29">
        <f>IF(CD55=1,VLOOKUP(EA55,'EIA 2023'!$A$2:$J$213,7,0)*EH55,"")</f>
        <v>92949.735000000001</v>
      </c>
      <c r="EN55" s="29">
        <f>IF(CD55=1,VLOOKUP(EA55,'EIA 2023'!$A$2:$J$213,10,0),"")</f>
        <v>42291</v>
      </c>
      <c r="EO55" s="28">
        <f>IF(CD55=1,VLOOKUP(EA55,'EIA 2023'!$A$2:$Z$213,26,0),"")</f>
        <v>0</v>
      </c>
      <c r="EP55" s="23">
        <f t="shared" si="55"/>
        <v>1.5144880041321335E-2</v>
      </c>
      <c r="EQ55" s="32">
        <f t="shared" si="56"/>
        <v>4721.0558375634719</v>
      </c>
      <c r="ER55" s="32">
        <f t="shared" si="57"/>
        <v>73892.944162436528</v>
      </c>
      <c r="ES55" s="32"/>
      <c r="ET55" s="32"/>
    </row>
    <row r="56" spans="1:150" ht="15.75" customHeight="1">
      <c r="A56" s="7" t="s">
        <v>372</v>
      </c>
      <c r="B56" s="7" t="s">
        <v>373</v>
      </c>
      <c r="C56" s="32" t="s">
        <v>1141</v>
      </c>
      <c r="D56" s="42">
        <v>178883086</v>
      </c>
      <c r="E56" s="42">
        <v>0</v>
      </c>
      <c r="F56" s="42">
        <v>48213809</v>
      </c>
      <c r="G56" s="42">
        <v>245539217</v>
      </c>
      <c r="H56" s="42">
        <v>249225454</v>
      </c>
      <c r="I56" s="42">
        <v>4440478</v>
      </c>
      <c r="J56" s="42">
        <v>1005144</v>
      </c>
      <c r="K56" s="42">
        <v>0</v>
      </c>
      <c r="L56" s="42">
        <v>152403</v>
      </c>
      <c r="M56" s="42">
        <v>4193652</v>
      </c>
      <c r="N56" s="42">
        <v>2638037</v>
      </c>
      <c r="O56" s="42">
        <v>4482511</v>
      </c>
      <c r="P56" s="42">
        <v>0</v>
      </c>
      <c r="Q56" s="42">
        <v>2412773</v>
      </c>
      <c r="R56" s="42">
        <v>77435</v>
      </c>
      <c r="S56" s="42">
        <v>3189813</v>
      </c>
      <c r="T56" s="42">
        <v>37538896</v>
      </c>
      <c r="U56" s="42">
        <v>1625826</v>
      </c>
      <c r="V56" s="42">
        <v>200615</v>
      </c>
      <c r="W56" s="42">
        <v>404637</v>
      </c>
      <c r="X56" s="42">
        <f>IFERROR(VLOOKUP(A56,'Trans 21-23'!$A$2:$J$229,10,0),0)</f>
        <v>4020141</v>
      </c>
      <c r="Y56" s="42">
        <v>2033855</v>
      </c>
      <c r="Z56" s="42">
        <v>666389</v>
      </c>
      <c r="AA56" s="42">
        <v>17183432</v>
      </c>
      <c r="AB56" s="42">
        <v>540574</v>
      </c>
      <c r="AC56" s="42">
        <v>467912</v>
      </c>
      <c r="AD56" s="42">
        <v>228348043</v>
      </c>
      <c r="AE56" s="42">
        <v>0</v>
      </c>
      <c r="AF56" s="42">
        <v>957429777</v>
      </c>
      <c r="AG56" s="42">
        <v>487082</v>
      </c>
      <c r="AH56" s="42">
        <v>401844</v>
      </c>
      <c r="AI56" s="42">
        <v>15179050</v>
      </c>
      <c r="AJ56" s="42">
        <v>0</v>
      </c>
      <c r="AK56" s="42">
        <v>0</v>
      </c>
      <c r="AL56" s="42">
        <v>3262923</v>
      </c>
      <c r="AM56" s="42">
        <v>3614248</v>
      </c>
      <c r="AN56" s="42">
        <v>7820276</v>
      </c>
      <c r="AO56" s="42">
        <v>36584</v>
      </c>
      <c r="AP56" s="42">
        <v>16119</v>
      </c>
      <c r="AQ56" s="42">
        <v>14776345</v>
      </c>
      <c r="AR56" s="42">
        <v>861</v>
      </c>
      <c r="AS56" s="42">
        <v>14777206</v>
      </c>
      <c r="AT56" s="42">
        <v>10977</v>
      </c>
      <c r="AU56" s="42">
        <v>3050</v>
      </c>
      <c r="AV56" s="42">
        <v>0</v>
      </c>
      <c r="AW56" s="42">
        <v>418019363</v>
      </c>
      <c r="AX56" s="42">
        <v>4776093</v>
      </c>
      <c r="AY56" s="42">
        <v>597046451</v>
      </c>
      <c r="AZ56" s="42">
        <v>87748330</v>
      </c>
      <c r="BA56" s="42">
        <v>63148932</v>
      </c>
      <c r="BB56" s="42">
        <v>3175291973</v>
      </c>
      <c r="BC56" s="42">
        <v>8958655583</v>
      </c>
      <c r="BD56" s="42">
        <v>183022335</v>
      </c>
      <c r="BE56" s="42">
        <v>1153754606</v>
      </c>
      <c r="BF56" s="42">
        <v>81856364</v>
      </c>
      <c r="BG56" s="42">
        <v>0</v>
      </c>
      <c r="BH56" s="42">
        <v>17673882</v>
      </c>
      <c r="BI56" s="42">
        <v>6669947</v>
      </c>
      <c r="BJ56" s="42">
        <v>147781</v>
      </c>
      <c r="BK56" s="42">
        <v>0</v>
      </c>
      <c r="BL56" s="42">
        <v>0</v>
      </c>
      <c r="BM56" s="42">
        <v>26546733</v>
      </c>
      <c r="BN56" s="42">
        <v>96629634</v>
      </c>
      <c r="BO56" s="42">
        <v>24362361</v>
      </c>
      <c r="BP56" s="42">
        <v>96205983</v>
      </c>
      <c r="BQ56" s="42">
        <v>355578307</v>
      </c>
      <c r="BR56" s="42">
        <v>15218</v>
      </c>
      <c r="BS56" s="42">
        <f>IFERROR(VLOOKUP(A56,'Trans 21-23'!$A$2:$J$229,9,0),0)</f>
        <v>395903501</v>
      </c>
      <c r="BT56" s="67"/>
      <c r="BU56" s="32">
        <f t="shared" si="0"/>
        <v>3175291973</v>
      </c>
      <c r="BV56" s="32">
        <f t="shared" si="1"/>
        <v>3050</v>
      </c>
      <c r="BW56" s="32">
        <f t="shared" si="2"/>
        <v>487082</v>
      </c>
      <c r="BX56" s="32">
        <f t="shared" si="3"/>
        <v>62362220</v>
      </c>
      <c r="BY56" s="32">
        <f t="shared" si="4"/>
        <v>20892162</v>
      </c>
      <c r="BZ56" s="32">
        <f t="shared" si="5"/>
        <v>87748330</v>
      </c>
      <c r="CA56" s="32">
        <f t="shared" si="6"/>
        <v>228348043</v>
      </c>
      <c r="CB56" s="32">
        <f t="shared" si="7"/>
        <v>401844</v>
      </c>
      <c r="CC56" s="32">
        <f t="shared" si="8"/>
        <v>14776345</v>
      </c>
      <c r="CD56" s="41">
        <f t="shared" si="9"/>
        <v>1</v>
      </c>
      <c r="CE56" s="44">
        <f t="shared" si="10"/>
        <v>10</v>
      </c>
      <c r="CF56" s="27"/>
      <c r="CG56" s="28">
        <f t="shared" si="11"/>
        <v>1041.0793354098359</v>
      </c>
      <c r="CH56" s="28">
        <f t="shared" si="12"/>
        <v>6.261779330790298</v>
      </c>
      <c r="CI56" s="28">
        <f t="shared" si="13"/>
        <v>128.03228203875324</v>
      </c>
      <c r="CJ56" s="28">
        <f t="shared" si="14"/>
        <v>180.15104232962827</v>
      </c>
      <c r="CK56" s="23">
        <f t="shared" si="15"/>
        <v>2.7195087824492457E-2</v>
      </c>
      <c r="CL56" s="29" t="str">
        <f t="shared" si="16"/>
        <v/>
      </c>
      <c r="CM56" s="29" t="str">
        <f t="shared" si="17"/>
        <v/>
      </c>
      <c r="CN56" s="29" t="str">
        <f t="shared" si="18"/>
        <v/>
      </c>
      <c r="CO56" s="29" t="str">
        <f t="shared" si="19"/>
        <v/>
      </c>
      <c r="CP56" s="29" t="str">
        <f t="shared" si="20"/>
        <v/>
      </c>
      <c r="CQ56" s="29">
        <f t="shared" si="21"/>
        <v>0</v>
      </c>
      <c r="CR56" s="13"/>
      <c r="CS56" s="7">
        <f>VLOOKUP(A56,'Empresas 21-23'!$A$2:$M$228,13,0)</f>
        <v>1</v>
      </c>
      <c r="CT56" s="30"/>
      <c r="CU56" s="6">
        <f t="shared" si="22"/>
        <v>3059204685.5999999</v>
      </c>
      <c r="CV56" s="6">
        <f t="shared" si="23"/>
        <v>87748330</v>
      </c>
      <c r="CW56" s="6">
        <f t="shared" si="24"/>
        <v>183022335</v>
      </c>
      <c r="CX56" s="23">
        <f t="shared" si="60"/>
        <v>0.34860215771861297</v>
      </c>
      <c r="CY56" s="23">
        <f t="shared" si="61"/>
        <v>9.9990881022743484E-3</v>
      </c>
      <c r="CZ56" s="6">
        <f t="shared" si="27"/>
        <v>3123006666.4916987</v>
      </c>
      <c r="DA56" s="6">
        <f t="shared" si="28"/>
        <v>89578386.452348977</v>
      </c>
      <c r="DB56" s="6">
        <f t="shared" si="29"/>
        <v>62362220</v>
      </c>
      <c r="DC56" s="6">
        <f t="shared" si="30"/>
        <v>66382361</v>
      </c>
      <c r="DD56" s="6">
        <f t="shared" si="31"/>
        <v>20892162</v>
      </c>
      <c r="DE56" s="6">
        <f t="shared" si="32"/>
        <v>228348043</v>
      </c>
      <c r="DF56" s="6">
        <f t="shared" si="33"/>
        <v>78845604.608542979</v>
      </c>
      <c r="DG56" s="30"/>
      <c r="DH56" s="32">
        <f>VLOOKUP(A56,'T_med_comp-USA'!$A$7:$Q$233,17,0)</f>
        <v>13.853946087478489</v>
      </c>
      <c r="DI56" s="6" t="str">
        <f t="shared" si="34"/>
        <v>2_2010</v>
      </c>
      <c r="DJ56" s="32">
        <f>IF(DI56="","",VLOOKUP(DI56,'CPI USA'!$T:$U,2,FALSE))</f>
        <v>218.05600000000001</v>
      </c>
      <c r="DK56" s="32">
        <f>IF(DI56="","",VLOOKUP(DI56,'PPI USA'!$S:$T,2,FALSE))</f>
        <v>160.80000000000001</v>
      </c>
      <c r="DL56" s="32">
        <f>IF(DI56="","",VLOOKUP(DI56,'CPI USA'!$T:$V,3,FALSE))</f>
        <v>0.67050107279443949</v>
      </c>
      <c r="DM56" s="32">
        <f>IF(DI56="","",VLOOKUP(DI56,'CPI USA'!$T:$X,5,FALSE))</f>
        <v>0.4987389730136107</v>
      </c>
      <c r="DN56" s="32">
        <f t="shared" si="35"/>
        <v>1.4703278680244813</v>
      </c>
      <c r="DO56" s="32">
        <f t="shared" si="36"/>
        <v>1.4857204383544427</v>
      </c>
      <c r="DP56" s="32">
        <f t="shared" si="37"/>
        <v>0.35485970504403463</v>
      </c>
      <c r="DQ56" s="32">
        <f>IF(DP56="","",DP56*$DO$1/'CPI USA'!$U$532+(1-DP56)*AVERAGE($DO$1,$DQ$1)/AVERAGE('CPI USA'!$U$532,'PPI USA'!$T$538))</f>
        <v>1.039107850104108</v>
      </c>
      <c r="DR56" s="6">
        <f t="shared" si="38"/>
        <v>6817728</v>
      </c>
      <c r="DS56" s="32">
        <f t="shared" si="39"/>
        <v>0.40860397669274107</v>
      </c>
      <c r="DT56" s="28">
        <f>IF(DS56="","",DS56*$DO$1/'CPI USA'!$U$532+(1-DS56)*AVERAGE($DO$1,$DQ$1)/AVERAGE('CPI USA'!$U$532,'PPI USA'!$T$538))</f>
        <v>1.0378674925134526</v>
      </c>
      <c r="DU56" s="6">
        <f t="shared" si="40"/>
        <v>33239722.158135619</v>
      </c>
      <c r="DV56" s="6">
        <f t="shared" si="41"/>
        <v>9846673.3239570279</v>
      </c>
      <c r="DW56" s="6">
        <f t="shared" si="42"/>
        <v>10920616.696666524</v>
      </c>
      <c r="DX56" s="16">
        <f t="shared" si="43"/>
        <v>0.2</v>
      </c>
      <c r="DY56" s="28">
        <f>IF(DX56="","",DX56*$DO$1/'CPI USA'!$U$532+(1-DX56)*AVERAGE($DO$1,$DQ$1)/AVERAGE('CPI USA'!$U$532,'PPI USA'!$T$538))</f>
        <v>1.0426818386380585</v>
      </c>
      <c r="DZ56" s="30"/>
      <c r="EA56" s="29" t="str">
        <f t="shared" si="44"/>
        <v>C000542</v>
      </c>
      <c r="EB56" s="29">
        <f t="shared" si="45"/>
        <v>4591843733.7689819</v>
      </c>
      <c r="EC56" s="29">
        <f t="shared" si="46"/>
        <v>133088439.58706759</v>
      </c>
      <c r="ED56" s="29">
        <f t="shared" si="47"/>
        <v>68978432.423544779</v>
      </c>
      <c r="EE56" s="29">
        <f t="shared" si="48"/>
        <v>21683295.788124837</v>
      </c>
      <c r="EF56" s="29">
        <f t="shared" si="49"/>
        <v>82210879.981764972</v>
      </c>
      <c r="EG56" s="29">
        <f t="shared" si="50"/>
        <v>3050</v>
      </c>
      <c r="EH56" s="29">
        <f t="shared" si="51"/>
        <v>487082</v>
      </c>
      <c r="EI56" s="29">
        <f t="shared" si="52"/>
        <v>401844</v>
      </c>
      <c r="EJ56" s="29">
        <f t="shared" si="53"/>
        <v>14776345</v>
      </c>
      <c r="EK56" s="29">
        <f t="shared" si="54"/>
        <v>15178175.888324874</v>
      </c>
      <c r="EL56" s="29">
        <f>IF(CD56=1,VLOOKUP(EA56,'EIA 2023'!$A$2:$J$213,4,0)*EH56,"")</f>
        <v>72575218</v>
      </c>
      <c r="EM56" s="29">
        <f>IF(CD56=1,VLOOKUP(EA56,'EIA 2023'!$A$2:$J$213,7,0)*EH56,"")</f>
        <v>555273.48</v>
      </c>
      <c r="EN56" s="29">
        <f>IF(CD56=1,VLOOKUP(EA56,'EIA 2023'!$A$2:$J$213,10,0),"")</f>
        <v>487327</v>
      </c>
      <c r="EO56" s="28">
        <f>IF(CD56=1,VLOOKUP(EA56,'EIA 2023'!$A$2:$Z$213,26,0),"")</f>
        <v>0</v>
      </c>
      <c r="EP56" s="23">
        <f t="shared" si="55"/>
        <v>2.6474254303111837E-2</v>
      </c>
      <c r="EQ56" s="32">
        <f t="shared" si="56"/>
        <v>13.111675126903606</v>
      </c>
      <c r="ER56" s="32">
        <f t="shared" si="57"/>
        <v>401830.88832487311</v>
      </c>
      <c r="ES56" s="32"/>
      <c r="ET56" s="32"/>
    </row>
    <row r="57" spans="1:150" ht="15.75" customHeight="1">
      <c r="A57" s="7" t="s">
        <v>375</v>
      </c>
      <c r="B57" s="7" t="s">
        <v>376</v>
      </c>
      <c r="C57" s="32" t="s">
        <v>1142</v>
      </c>
      <c r="D57" s="42">
        <v>246314560</v>
      </c>
      <c r="E57" s="42">
        <v>0</v>
      </c>
      <c r="F57" s="42">
        <v>41679184</v>
      </c>
      <c r="G57" s="42">
        <v>56215437</v>
      </c>
      <c r="H57" s="42">
        <v>57924116</v>
      </c>
      <c r="I57" s="42">
        <v>3729487</v>
      </c>
      <c r="J57" s="42">
        <v>1308535</v>
      </c>
      <c r="K57" s="42">
        <v>0</v>
      </c>
      <c r="L57" s="42">
        <v>5055891</v>
      </c>
      <c r="M57" s="42">
        <v>4945536</v>
      </c>
      <c r="N57" s="42">
        <v>202</v>
      </c>
      <c r="O57" s="42">
        <v>6887187</v>
      </c>
      <c r="P57" s="42">
        <v>17051</v>
      </c>
      <c r="Q57" s="42">
        <v>21831</v>
      </c>
      <c r="R57" s="42">
        <v>0</v>
      </c>
      <c r="S57" s="42">
        <v>556527</v>
      </c>
      <c r="T57" s="42">
        <v>18789312</v>
      </c>
      <c r="U57" s="42">
        <v>1871057</v>
      </c>
      <c r="V57" s="42">
        <v>13304</v>
      </c>
      <c r="W57" s="42">
        <v>879806</v>
      </c>
      <c r="X57" s="42">
        <f>IFERROR(VLOOKUP(A57,'Trans 21-23'!$A$2:$J$229,10,0),0)</f>
        <v>1298247</v>
      </c>
      <c r="Y57" s="42">
        <v>4984517</v>
      </c>
      <c r="Z57" s="42">
        <v>0</v>
      </c>
      <c r="AA57" s="42">
        <v>15528036</v>
      </c>
      <c r="AB57" s="42">
        <v>9538865</v>
      </c>
      <c r="AC57" s="42">
        <v>508996</v>
      </c>
      <c r="AD57" s="42">
        <v>74777600</v>
      </c>
      <c r="AE57" s="42">
        <v>0</v>
      </c>
      <c r="AF57" s="42">
        <v>611816482</v>
      </c>
      <c r="AG57" s="42">
        <v>434134</v>
      </c>
      <c r="AH57" s="42">
        <v>485823</v>
      </c>
      <c r="AI57" s="42">
        <v>12803189</v>
      </c>
      <c r="AJ57" s="42">
        <v>21826</v>
      </c>
      <c r="AK57" s="42">
        <v>1168</v>
      </c>
      <c r="AL57" s="42">
        <v>3923113</v>
      </c>
      <c r="AM57" s="42">
        <v>3496343</v>
      </c>
      <c r="AN57" s="42">
        <v>2384339</v>
      </c>
      <c r="AO57" s="42">
        <v>6776</v>
      </c>
      <c r="AP57" s="42">
        <v>1048324</v>
      </c>
      <c r="AQ57" s="42">
        <v>10858895</v>
      </c>
      <c r="AR57" s="42">
        <v>1435477</v>
      </c>
      <c r="AS57" s="42">
        <v>12294372</v>
      </c>
      <c r="AT57" s="42">
        <v>0</v>
      </c>
      <c r="AU57" s="42">
        <v>2639</v>
      </c>
      <c r="AV57" s="42">
        <v>0</v>
      </c>
      <c r="AW57" s="42">
        <v>452323746</v>
      </c>
      <c r="AX57" s="42">
        <v>95868970</v>
      </c>
      <c r="AY57" s="42">
        <v>419252712</v>
      </c>
      <c r="AZ57" s="42">
        <v>38224766</v>
      </c>
      <c r="BA57" s="42">
        <v>154861252</v>
      </c>
      <c r="BB57" s="42">
        <v>1932896458</v>
      </c>
      <c r="BC57" s="42">
        <v>6768759688</v>
      </c>
      <c r="BD57" s="42">
        <v>29742317</v>
      </c>
      <c r="BE57" s="42">
        <v>602332421</v>
      </c>
      <c r="BF57" s="42">
        <v>45569281</v>
      </c>
      <c r="BG57" s="42">
        <v>0</v>
      </c>
      <c r="BH57" s="42">
        <v>11755273</v>
      </c>
      <c r="BI57" s="42">
        <v>4493610</v>
      </c>
      <c r="BJ57" s="42">
        <v>799373</v>
      </c>
      <c r="BK57" s="42">
        <v>0</v>
      </c>
      <c r="BL57" s="42">
        <v>0</v>
      </c>
      <c r="BM57" s="42">
        <v>17070289</v>
      </c>
      <c r="BN57" s="42">
        <v>66829089</v>
      </c>
      <c r="BO57" s="42">
        <v>18864760</v>
      </c>
      <c r="BP57" s="42">
        <v>4473115</v>
      </c>
      <c r="BQ57" s="42">
        <v>128184822</v>
      </c>
      <c r="BR57" s="42">
        <v>0</v>
      </c>
      <c r="BS57" s="42">
        <f>IFERROR(VLOOKUP(A57,'Trans 21-23'!$A$2:$J$229,9,0),0)</f>
        <v>127851341</v>
      </c>
      <c r="BT57" s="67"/>
      <c r="BU57" s="32">
        <f t="shared" si="0"/>
        <v>1932896458</v>
      </c>
      <c r="BV57" s="32">
        <f t="shared" si="1"/>
        <v>2639</v>
      </c>
      <c r="BW57" s="32">
        <f t="shared" si="2"/>
        <v>434134</v>
      </c>
      <c r="BX57" s="32">
        <f t="shared" si="3"/>
        <v>44075726</v>
      </c>
      <c r="BY57" s="32">
        <f t="shared" si="4"/>
        <v>30560414</v>
      </c>
      <c r="BZ57" s="32">
        <f t="shared" si="5"/>
        <v>38224766</v>
      </c>
      <c r="CA57" s="32">
        <f t="shared" si="6"/>
        <v>74777600</v>
      </c>
      <c r="CB57" s="32">
        <f t="shared" si="7"/>
        <v>485823</v>
      </c>
      <c r="CC57" s="32">
        <f t="shared" si="8"/>
        <v>10858895</v>
      </c>
      <c r="CD57" s="41">
        <f t="shared" si="9"/>
        <v>1</v>
      </c>
      <c r="CE57" s="44">
        <f t="shared" si="10"/>
        <v>11</v>
      </c>
      <c r="CF57" s="27"/>
      <c r="CG57" s="28">
        <f t="shared" si="11"/>
        <v>732.43518681318687</v>
      </c>
      <c r="CH57" s="28">
        <f t="shared" si="12"/>
        <v>6.0787683065597262</v>
      </c>
      <c r="CI57" s="28">
        <f t="shared" si="13"/>
        <v>101.52562572846172</v>
      </c>
      <c r="CJ57" s="28">
        <f t="shared" si="14"/>
        <v>88.048312272247742</v>
      </c>
      <c r="CK57" s="23">
        <f t="shared" si="15"/>
        <v>4.4739635110202285E-2</v>
      </c>
      <c r="CL57" s="29" t="str">
        <f t="shared" si="16"/>
        <v/>
      </c>
      <c r="CM57" s="29" t="str">
        <f t="shared" si="17"/>
        <v/>
      </c>
      <c r="CN57" s="29" t="str">
        <f t="shared" si="18"/>
        <v/>
      </c>
      <c r="CO57" s="29" t="str">
        <f t="shared" si="19"/>
        <v/>
      </c>
      <c r="CP57" s="29" t="str">
        <f t="shared" si="20"/>
        <v/>
      </c>
      <c r="CQ57" s="29">
        <f t="shared" si="21"/>
        <v>0</v>
      </c>
      <c r="CR57" s="13"/>
      <c r="CS57" s="7">
        <f>VLOOKUP(A57,'Empresas 21-23'!$A$2:$M$228,13,0)</f>
        <v>1</v>
      </c>
      <c r="CT57" s="30"/>
      <c r="CU57" s="6">
        <f t="shared" si="22"/>
        <v>1558588771.8</v>
      </c>
      <c r="CV57" s="6">
        <f t="shared" si="23"/>
        <v>38224766</v>
      </c>
      <c r="CW57" s="6">
        <f t="shared" si="24"/>
        <v>29742317</v>
      </c>
      <c r="CX57" s="23">
        <f t="shared" si="60"/>
        <v>0.23127834311676831</v>
      </c>
      <c r="CY57" s="23">
        <f t="shared" si="61"/>
        <v>5.6721572145655179E-3</v>
      </c>
      <c r="CZ57" s="6">
        <f t="shared" si="27"/>
        <v>1565467525.5962136</v>
      </c>
      <c r="DA57" s="6">
        <f t="shared" si="28"/>
        <v>38393469.097949445</v>
      </c>
      <c r="DB57" s="6">
        <f t="shared" si="29"/>
        <v>44075726</v>
      </c>
      <c r="DC57" s="6">
        <f t="shared" si="30"/>
        <v>45373973</v>
      </c>
      <c r="DD57" s="6">
        <f t="shared" si="31"/>
        <v>30560414</v>
      </c>
      <c r="DE57" s="6">
        <f t="shared" si="32"/>
        <v>74777600</v>
      </c>
      <c r="DF57" s="6">
        <f t="shared" si="33"/>
        <v>29709924.936102528</v>
      </c>
      <c r="DG57" s="30"/>
      <c r="DH57" s="32">
        <f>VLOOKUP(A57,'T_med_comp-USA'!$A$7:$Q$233,17,0)</f>
        <v>13.535161028803008</v>
      </c>
      <c r="DI57" s="6" t="str">
        <f t="shared" si="34"/>
        <v>6_2010</v>
      </c>
      <c r="DJ57" s="32">
        <f>IF(DI57="","",VLOOKUP(DI57,'CPI USA'!$T:$U,2,FALSE))</f>
        <v>218.05600000000001</v>
      </c>
      <c r="DK57" s="32">
        <f>IF(DI57="","",VLOOKUP(DI57,'PPI USA'!$S:$T,2,FALSE))</f>
        <v>160.80000000000001</v>
      </c>
      <c r="DL57" s="32">
        <f>IF(DI57="","",VLOOKUP(DI57,'CPI USA'!$T:$V,3,FALSE))</f>
        <v>0.67050107279443949</v>
      </c>
      <c r="DM57" s="32">
        <f>IF(DI57="","",VLOOKUP(DI57,'CPI USA'!$T:$X,5,FALSE))</f>
        <v>0.4987389730136107</v>
      </c>
      <c r="DN57" s="32">
        <f t="shared" si="35"/>
        <v>1.4703278680244813</v>
      </c>
      <c r="DO57" s="32">
        <f t="shared" si="36"/>
        <v>1.4857204383544427</v>
      </c>
      <c r="DP57" s="32">
        <f t="shared" si="37"/>
        <v>0.34199310784677978</v>
      </c>
      <c r="DQ57" s="32">
        <f>IF(DP57="","",DP57*$DO$1/'CPI USA'!$U$532+(1-DP57)*AVERAGE($DO$1,$DQ$1)/AVERAGE('CPI USA'!$U$532,'PPI USA'!$T$538))</f>
        <v>1.039404796755536</v>
      </c>
      <c r="DR57" s="6">
        <f t="shared" si="38"/>
        <v>5292983</v>
      </c>
      <c r="DS57" s="32">
        <f t="shared" si="39"/>
        <v>0.22208814404271876</v>
      </c>
      <c r="DT57" s="28">
        <f>IF(DS57="","",DS57*$DO$1/'CPI USA'!$U$532+(1-DS57)*AVERAGE($DO$1,$DQ$1)/AVERAGE('CPI USA'!$U$532,'PPI USA'!$T$538))</f>
        <v>1.0421720690144984</v>
      </c>
      <c r="DU57" s="6">
        <f t="shared" si="40"/>
        <v>21888952.697714627</v>
      </c>
      <c r="DV57" s="6">
        <f t="shared" si="41"/>
        <v>617220.21005041176</v>
      </c>
      <c r="DW57" s="6">
        <f t="shared" si="42"/>
        <v>5741377.0418424038</v>
      </c>
      <c r="DX57" s="16">
        <f t="shared" si="43"/>
        <v>0.2</v>
      </c>
      <c r="DY57" s="28">
        <f>IF(DX57="","",DX57*$DO$1/'CPI USA'!$U$532+(1-DX57)*AVERAGE($DO$1,$DQ$1)/AVERAGE('CPI USA'!$U$532,'PPI USA'!$T$538))</f>
        <v>1.0426818386380585</v>
      </c>
      <c r="DZ57" s="30"/>
      <c r="EA57" s="29" t="str">
        <f t="shared" si="44"/>
        <v>C000553</v>
      </c>
      <c r="EB57" s="29">
        <f t="shared" si="45"/>
        <v>2301750529.3714409</v>
      </c>
      <c r="EC57" s="29">
        <f t="shared" si="46"/>
        <v>57041961.738153197</v>
      </c>
      <c r="ED57" s="29">
        <f t="shared" si="47"/>
        <v>47161925.184056178</v>
      </c>
      <c r="EE57" s="29">
        <f t="shared" si="48"/>
        <v>31849209.888319645</v>
      </c>
      <c r="EF57" s="29">
        <f t="shared" si="49"/>
        <v>30977999.158174086</v>
      </c>
      <c r="EG57" s="29">
        <f t="shared" si="50"/>
        <v>2639</v>
      </c>
      <c r="EH57" s="29">
        <f t="shared" si="51"/>
        <v>434134</v>
      </c>
      <c r="EI57" s="29">
        <f t="shared" si="52"/>
        <v>485823</v>
      </c>
      <c r="EJ57" s="29">
        <f t="shared" si="53"/>
        <v>10858895</v>
      </c>
      <c r="EK57" s="29">
        <f t="shared" si="54"/>
        <v>11322857.944162436</v>
      </c>
      <c r="EL57" s="29">
        <f>IF(CD57=1,VLOOKUP(EA57,'EIA 2023'!$A$2:$J$213,4,0)*EH57,"")</f>
        <v>29904018.188000001</v>
      </c>
      <c r="EM57" s="29">
        <f>IF(CD57=1,VLOOKUP(EA57,'EIA 2023'!$A$2:$J$213,7,0)*EH57,"")</f>
        <v>639479.38199999998</v>
      </c>
      <c r="EN57" s="29">
        <f>IF(CD57=1,VLOOKUP(EA57,'EIA 2023'!$A$2:$J$213,10,0),"")</f>
        <v>162912</v>
      </c>
      <c r="EO57" s="28">
        <f>IF(CD57=1,VLOOKUP(EA57,'EIA 2023'!$A$2:$Z$213,26,0),"")</f>
        <v>0</v>
      </c>
      <c r="EP57" s="23">
        <f t="shared" si="55"/>
        <v>4.097578071282218E-2</v>
      </c>
      <c r="EQ57" s="32">
        <f t="shared" si="56"/>
        <v>21860.055837563472</v>
      </c>
      <c r="ER57" s="32">
        <f t="shared" si="57"/>
        <v>463962.94416243653</v>
      </c>
      <c r="ES57" s="32"/>
      <c r="ET57" s="32"/>
    </row>
    <row r="58" spans="1:150" ht="15.75" customHeight="1">
      <c r="A58" s="7" t="s">
        <v>378</v>
      </c>
      <c r="B58" s="7" t="s">
        <v>379</v>
      </c>
      <c r="C58" s="32" t="s">
        <v>1143</v>
      </c>
      <c r="D58" s="42">
        <v>332148174</v>
      </c>
      <c r="E58" s="42">
        <v>0</v>
      </c>
      <c r="F58" s="42">
        <v>118869871</v>
      </c>
      <c r="G58" s="42">
        <v>53019918</v>
      </c>
      <c r="H58" s="42">
        <v>55357084</v>
      </c>
      <c r="I58" s="42">
        <v>2589104</v>
      </c>
      <c r="J58" s="42">
        <v>1443097</v>
      </c>
      <c r="K58" s="42">
        <v>0</v>
      </c>
      <c r="L58" s="42">
        <v>7439247</v>
      </c>
      <c r="M58" s="42">
        <v>1808499</v>
      </c>
      <c r="N58" s="42">
        <v>198</v>
      </c>
      <c r="O58" s="42">
        <v>8126019</v>
      </c>
      <c r="P58" s="42">
        <v>0</v>
      </c>
      <c r="Q58" s="42">
        <v>19040</v>
      </c>
      <c r="R58" s="42">
        <v>0</v>
      </c>
      <c r="S58" s="42">
        <v>875849</v>
      </c>
      <c r="T58" s="42">
        <v>25070725</v>
      </c>
      <c r="U58" s="42">
        <v>360353</v>
      </c>
      <c r="V58" s="42">
        <v>72856</v>
      </c>
      <c r="W58" s="42">
        <v>892503</v>
      </c>
      <c r="X58" s="42">
        <f>IFERROR(VLOOKUP(A58,'Trans 21-23'!$A$2:$J$229,10,0),0)</f>
        <v>6557795</v>
      </c>
      <c r="Y58" s="42">
        <v>10763937</v>
      </c>
      <c r="Z58" s="42">
        <v>0</v>
      </c>
      <c r="AA58" s="42">
        <v>34265550</v>
      </c>
      <c r="AB58" s="42">
        <v>10678195</v>
      </c>
      <c r="AC58" s="42">
        <v>1241676</v>
      </c>
      <c r="AD58" s="42">
        <v>108920921</v>
      </c>
      <c r="AE58" s="42">
        <v>0</v>
      </c>
      <c r="AF58" s="42">
        <v>918389838</v>
      </c>
      <c r="AG58" s="42">
        <v>569628</v>
      </c>
      <c r="AH58" s="42">
        <v>1055826</v>
      </c>
      <c r="AI58" s="42">
        <v>19439254</v>
      </c>
      <c r="AJ58" s="42">
        <v>27584</v>
      </c>
      <c r="AK58" s="42">
        <v>50</v>
      </c>
      <c r="AL58" s="42">
        <v>5858490</v>
      </c>
      <c r="AM58" s="42">
        <v>3922244</v>
      </c>
      <c r="AN58" s="42">
        <v>6084477</v>
      </c>
      <c r="AO58" s="42">
        <v>20565</v>
      </c>
      <c r="AP58" s="42">
        <v>1533434</v>
      </c>
      <c r="AQ58" s="42">
        <v>17419210</v>
      </c>
      <c r="AR58" s="42">
        <v>936584</v>
      </c>
      <c r="AS58" s="42">
        <v>18355794</v>
      </c>
      <c r="AT58" s="42">
        <v>0</v>
      </c>
      <c r="AU58" s="42">
        <v>3561</v>
      </c>
      <c r="AV58" s="42">
        <v>0</v>
      </c>
      <c r="AW58" s="42">
        <v>531092548</v>
      </c>
      <c r="AX58" s="42">
        <v>2557897</v>
      </c>
      <c r="AY58" s="42">
        <v>254200879</v>
      </c>
      <c r="AZ58" s="42">
        <v>62335975</v>
      </c>
      <c r="BA58" s="42">
        <v>168077077</v>
      </c>
      <c r="BB58" s="42">
        <v>2460527289</v>
      </c>
      <c r="BC58" s="42">
        <v>11369235090</v>
      </c>
      <c r="BD58" s="42">
        <v>287420870</v>
      </c>
      <c r="BE58" s="42">
        <v>729909594</v>
      </c>
      <c r="BF58" s="42">
        <v>44390825</v>
      </c>
      <c r="BG58" s="42">
        <v>0</v>
      </c>
      <c r="BH58" s="42">
        <v>16336167</v>
      </c>
      <c r="BI58" s="42">
        <v>12243770</v>
      </c>
      <c r="BJ58" s="42">
        <v>1286286</v>
      </c>
      <c r="BK58" s="42">
        <v>0</v>
      </c>
      <c r="BL58" s="42">
        <v>0</v>
      </c>
      <c r="BM58" s="42">
        <v>23913727</v>
      </c>
      <c r="BN58" s="42">
        <v>103198494</v>
      </c>
      <c r="BO58" s="42">
        <v>28779172</v>
      </c>
      <c r="BP58" s="42">
        <v>4145476</v>
      </c>
      <c r="BQ58" s="42">
        <v>145603255</v>
      </c>
      <c r="BR58" s="42">
        <v>0</v>
      </c>
      <c r="BS58" s="42">
        <f>IFERROR(VLOOKUP(A58,'Trans 21-23'!$A$2:$J$229,9,0),0)</f>
        <v>645811657</v>
      </c>
      <c r="BT58" s="67"/>
      <c r="BU58" s="32">
        <f t="shared" si="0"/>
        <v>2460527289</v>
      </c>
      <c r="BV58" s="32">
        <f t="shared" si="1"/>
        <v>3561</v>
      </c>
      <c r="BW58" s="32">
        <f t="shared" si="2"/>
        <v>569628</v>
      </c>
      <c r="BX58" s="32">
        <f t="shared" si="3"/>
        <v>48697490</v>
      </c>
      <c r="BY58" s="32">
        <f t="shared" si="4"/>
        <v>56949358</v>
      </c>
      <c r="BZ58" s="32">
        <f t="shared" si="5"/>
        <v>62335975</v>
      </c>
      <c r="CA58" s="32">
        <f t="shared" si="6"/>
        <v>108920921</v>
      </c>
      <c r="CB58" s="32">
        <f t="shared" si="7"/>
        <v>1055826</v>
      </c>
      <c r="CC58" s="32">
        <f t="shared" si="8"/>
        <v>17419210</v>
      </c>
      <c r="CD58" s="41">
        <f t="shared" si="9"/>
        <v>1</v>
      </c>
      <c r="CE58" s="44">
        <f t="shared" si="10"/>
        <v>12</v>
      </c>
      <c r="CF58" s="27"/>
      <c r="CG58" s="28">
        <f t="shared" si="11"/>
        <v>690.96525947767486</v>
      </c>
      <c r="CH58" s="28">
        <f t="shared" si="12"/>
        <v>6.251448313636268</v>
      </c>
      <c r="CI58" s="28">
        <f t="shared" si="13"/>
        <v>85.489986447295422</v>
      </c>
      <c r="CJ58" s="28">
        <f t="shared" si="14"/>
        <v>109.43277893642869</v>
      </c>
      <c r="CK58" s="23">
        <f t="shared" si="15"/>
        <v>6.0612737317019542E-2</v>
      </c>
      <c r="CL58" s="29" t="str">
        <f t="shared" si="16"/>
        <v/>
      </c>
      <c r="CM58" s="29" t="str">
        <f t="shared" si="17"/>
        <v/>
      </c>
      <c r="CN58" s="29" t="str">
        <f t="shared" si="18"/>
        <v/>
      </c>
      <c r="CO58" s="29" t="str">
        <f t="shared" si="19"/>
        <v/>
      </c>
      <c r="CP58" s="29" t="str">
        <f t="shared" si="20"/>
        <v/>
      </c>
      <c r="CQ58" s="29">
        <f t="shared" si="21"/>
        <v>0</v>
      </c>
      <c r="CR58" s="13"/>
      <c r="CS58" s="7">
        <f>VLOOKUP(A58,'Empresas 21-23'!$A$2:$M$228,13,0)</f>
        <v>1</v>
      </c>
      <c r="CT58" s="30"/>
      <c r="CU58" s="6">
        <f t="shared" si="22"/>
        <v>2721870628.4000001</v>
      </c>
      <c r="CV58" s="6">
        <f t="shared" si="23"/>
        <v>62335975</v>
      </c>
      <c r="CW58" s="6">
        <f t="shared" si="24"/>
        <v>287420870</v>
      </c>
      <c r="CX58" s="23">
        <f t="shared" si="60"/>
        <v>0.2456159771644322</v>
      </c>
      <c r="CY58" s="23">
        <f t="shared" si="61"/>
        <v>5.625069484335752E-3</v>
      </c>
      <c r="CZ58" s="6">
        <f t="shared" si="27"/>
        <v>2792465786.2425013</v>
      </c>
      <c r="DA58" s="6">
        <f t="shared" si="28"/>
        <v>63952737.364998236</v>
      </c>
      <c r="DB58" s="6">
        <f t="shared" si="29"/>
        <v>48697490</v>
      </c>
      <c r="DC58" s="6">
        <f t="shared" si="30"/>
        <v>55255285</v>
      </c>
      <c r="DD58" s="6">
        <f t="shared" si="31"/>
        <v>56949358</v>
      </c>
      <c r="DE58" s="6">
        <f t="shared" si="32"/>
        <v>108920921</v>
      </c>
      <c r="DF58" s="6">
        <f t="shared" si="33"/>
        <v>40322281.550805666</v>
      </c>
      <c r="DG58" s="30"/>
      <c r="DH58" s="32">
        <f>VLOOKUP(A58,'T_med_comp-USA'!$A$7:$Q$233,17,0)</f>
        <v>17.183348409152249</v>
      </c>
      <c r="DI58" s="6" t="str">
        <f t="shared" si="34"/>
        <v>10_2006</v>
      </c>
      <c r="DJ58" s="32">
        <f>IF(DI58="","",VLOOKUP(DI58,'CPI USA'!$T:$U,2,FALSE))</f>
        <v>201.6</v>
      </c>
      <c r="DK58" s="32">
        <f>IF(DI58="","",VLOOKUP(DI58,'PPI USA'!$S:$T,2,FALSE))</f>
        <v>145.30000000000001</v>
      </c>
      <c r="DL58" s="32">
        <f>IF(DI58="","",VLOOKUP(DI58,'CPI USA'!$T:$V,3,FALSE))</f>
        <v>0.67263024008352756</v>
      </c>
      <c r="DM58" s="32">
        <f>IF(DI58="","",VLOOKUP(DI58,'CPI USA'!$T:$X,5,FALSE))</f>
        <v>0.50115228263529643</v>
      </c>
      <c r="DN58" s="32">
        <f t="shared" si="35"/>
        <v>1.595396421204319</v>
      </c>
      <c r="DO58" s="32">
        <f t="shared" si="36"/>
        <v>1.6147712829199015</v>
      </c>
      <c r="DP58" s="32">
        <f t="shared" si="37"/>
        <v>0.42901321636763323</v>
      </c>
      <c r="DQ58" s="32">
        <f>IF(DP58="","",DP58*$DO$1/'CPI USA'!$U$532+(1-DP58)*AVERAGE($DO$1,$DQ$1)/AVERAGE('CPI USA'!$U$532,'PPI USA'!$T$538))</f>
        <v>1.0373964701221601</v>
      </c>
      <c r="DR58" s="6">
        <f t="shared" si="38"/>
        <v>13530056</v>
      </c>
      <c r="DS58" s="32">
        <f t="shared" si="39"/>
        <v>0.30383503154052682</v>
      </c>
      <c r="DT58" s="28">
        <f>IF(DS58="","",DS58*$DO$1/'CPI USA'!$U$532+(1-DS58)*AVERAGE($DO$1,$DQ$1)/AVERAGE('CPI USA'!$U$532,'PPI USA'!$T$538))</f>
        <v>1.0402854424157957</v>
      </c>
      <c r="DU58" s="6">
        <f t="shared" si="40"/>
        <v>30582596.242355842</v>
      </c>
      <c r="DV58" s="6">
        <f t="shared" si="41"/>
        <v>700801.20054091897</v>
      </c>
      <c r="DW58" s="6">
        <f t="shared" si="42"/>
        <v>9053590.6873523202</v>
      </c>
      <c r="DX58" s="16">
        <f t="shared" si="43"/>
        <v>0.22453071451189804</v>
      </c>
      <c r="DY58" s="28">
        <f>IF(DX58="","",DX58*$DO$1/'CPI USA'!$U$532+(1-DX58)*AVERAGE($DO$1,$DQ$1)/AVERAGE('CPI USA'!$U$532,'PPI USA'!$T$538))</f>
        <v>1.0421156972239947</v>
      </c>
      <c r="DZ58" s="30"/>
      <c r="EA58" s="29" t="str">
        <f t="shared" si="44"/>
        <v>C000555</v>
      </c>
      <c r="EB58" s="29">
        <f t="shared" si="45"/>
        <v>4455089921.7067919</v>
      </c>
      <c r="EC58" s="29">
        <f t="shared" si="46"/>
        <v>103269043.76111773</v>
      </c>
      <c r="ED58" s="29">
        <f t="shared" si="47"/>
        <v>57321637.614593938</v>
      </c>
      <c r="EE58" s="29">
        <f t="shared" si="48"/>
        <v>59243588.082325533</v>
      </c>
      <c r="EF58" s="29">
        <f t="shared" si="49"/>
        <v>42020482.551980063</v>
      </c>
      <c r="EG58" s="29">
        <f t="shared" si="50"/>
        <v>3561</v>
      </c>
      <c r="EH58" s="29">
        <f t="shared" si="51"/>
        <v>569628</v>
      </c>
      <c r="EI58" s="29">
        <f t="shared" si="52"/>
        <v>1055826</v>
      </c>
      <c r="EJ58" s="29">
        <f t="shared" si="53"/>
        <v>17419210</v>
      </c>
      <c r="EK58" s="29">
        <f t="shared" si="54"/>
        <v>18460773.299492385</v>
      </c>
      <c r="EL58" s="29">
        <f>IF(CD58=1,VLOOKUP(EA58,'EIA 2023'!$A$2:$J$213,4,0)*EH58,"")</f>
        <v>42488552.520000003</v>
      </c>
      <c r="EM58" s="29">
        <f>IF(CD58=1,VLOOKUP(EA58,'EIA 2023'!$A$2:$J$213,7,0)*EH58,"")</f>
        <v>765580.03200000001</v>
      </c>
      <c r="EN58" s="29">
        <f>IF(CD58=1,VLOOKUP(EA58,'EIA 2023'!$A$2:$J$213,10,0),"")</f>
        <v>233530</v>
      </c>
      <c r="EO58" s="28">
        <f>IF(CD58=1,VLOOKUP(EA58,'EIA 2023'!$A$2:$Z$213,26,0),"")</f>
        <v>0</v>
      </c>
      <c r="EP58" s="23">
        <f t="shared" si="55"/>
        <v>5.6420350469339527E-2</v>
      </c>
      <c r="EQ58" s="32">
        <f t="shared" si="56"/>
        <v>14262.70050761418</v>
      </c>
      <c r="ER58" s="32">
        <f t="shared" si="57"/>
        <v>1041563.2994923858</v>
      </c>
      <c r="ES58" s="32"/>
      <c r="ET58" s="32"/>
    </row>
    <row r="59" spans="1:150" ht="15.75" customHeight="1">
      <c r="A59" s="7" t="s">
        <v>381</v>
      </c>
      <c r="B59" s="7" t="s">
        <v>382</v>
      </c>
      <c r="C59" s="32" t="s">
        <v>1144</v>
      </c>
      <c r="D59" s="42">
        <v>0</v>
      </c>
      <c r="E59" s="42">
        <v>0</v>
      </c>
      <c r="F59" s="42">
        <v>0</v>
      </c>
      <c r="G59" s="42">
        <v>281438347</v>
      </c>
      <c r="H59" s="42">
        <v>282473680</v>
      </c>
      <c r="I59" s="42">
        <v>7827626</v>
      </c>
      <c r="J59" s="42">
        <v>109430</v>
      </c>
      <c r="K59" s="42">
        <v>680036</v>
      </c>
      <c r="L59" s="42">
        <v>582727</v>
      </c>
      <c r="M59" s="42">
        <v>2035118</v>
      </c>
      <c r="N59" s="42">
        <v>472522</v>
      </c>
      <c r="O59" s="42">
        <v>313451</v>
      </c>
      <c r="P59" s="42">
        <v>41480</v>
      </c>
      <c r="Q59" s="42">
        <v>518122</v>
      </c>
      <c r="R59" s="42">
        <v>1957</v>
      </c>
      <c r="S59" s="42">
        <v>2256780</v>
      </c>
      <c r="T59" s="42">
        <v>44188195</v>
      </c>
      <c r="U59" s="42">
        <v>560161</v>
      </c>
      <c r="V59" s="42">
        <v>266541</v>
      </c>
      <c r="W59" s="42">
        <v>420504</v>
      </c>
      <c r="X59" s="42">
        <f>IFERROR(VLOOKUP(A59,'Trans 21-23'!$A$2:$J$229,10,0),0)</f>
        <v>2013705</v>
      </c>
      <c r="Y59" s="42">
        <v>666777</v>
      </c>
      <c r="Z59" s="42">
        <v>352376</v>
      </c>
      <c r="AA59" s="42">
        <v>63944465</v>
      </c>
      <c r="AB59" s="42">
        <v>4215750</v>
      </c>
      <c r="AC59" s="42">
        <v>0</v>
      </c>
      <c r="AD59" s="42">
        <v>80410067</v>
      </c>
      <c r="AE59" s="42">
        <v>0</v>
      </c>
      <c r="AF59" s="42">
        <v>575261206</v>
      </c>
      <c r="AG59" s="42">
        <v>539128</v>
      </c>
      <c r="AH59" s="42">
        <v>93237</v>
      </c>
      <c r="AI59" s="42">
        <v>3240131</v>
      </c>
      <c r="AJ59" s="42">
        <v>4986</v>
      </c>
      <c r="AK59" s="42">
        <v>0</v>
      </c>
      <c r="AL59" s="42">
        <v>2032389</v>
      </c>
      <c r="AM59" s="42">
        <v>484900</v>
      </c>
      <c r="AN59" s="42">
        <v>136664</v>
      </c>
      <c r="AO59" s="42">
        <v>1064</v>
      </c>
      <c r="AP59" s="42">
        <v>17398</v>
      </c>
      <c r="AQ59" s="42">
        <v>2672415</v>
      </c>
      <c r="AR59" s="42">
        <v>469493</v>
      </c>
      <c r="AS59" s="42">
        <v>3141908</v>
      </c>
      <c r="AT59" s="42">
        <v>0</v>
      </c>
      <c r="AU59" s="42">
        <v>3241</v>
      </c>
      <c r="AV59" s="42">
        <v>0</v>
      </c>
      <c r="AW59" s="42">
        <v>209781581</v>
      </c>
      <c r="AX59" s="42">
        <v>20579078</v>
      </c>
      <c r="AY59" s="42">
        <v>293918060</v>
      </c>
      <c r="AZ59" s="42">
        <v>91907444</v>
      </c>
      <c r="BA59" s="42">
        <v>0</v>
      </c>
      <c r="BB59" s="42">
        <v>2322389665</v>
      </c>
      <c r="BC59" s="42">
        <v>0</v>
      </c>
      <c r="BD59" s="42">
        <v>33812457</v>
      </c>
      <c r="BE59" s="42">
        <v>988219442</v>
      </c>
      <c r="BF59" s="42">
        <v>65206808</v>
      </c>
      <c r="BG59" s="42">
        <v>0</v>
      </c>
      <c r="BH59" s="42">
        <v>24610358</v>
      </c>
      <c r="BI59" s="42">
        <v>12348233</v>
      </c>
      <c r="BJ59" s="42">
        <v>670926</v>
      </c>
      <c r="BK59" s="42">
        <v>0</v>
      </c>
      <c r="BL59" s="42">
        <v>0</v>
      </c>
      <c r="BM59" s="42">
        <v>15715987</v>
      </c>
      <c r="BN59" s="42">
        <v>58001419</v>
      </c>
      <c r="BO59" s="42">
        <v>244857</v>
      </c>
      <c r="BP59" s="42">
        <v>256674</v>
      </c>
      <c r="BQ59" s="42">
        <v>87199363</v>
      </c>
      <c r="BR59" s="42">
        <v>0</v>
      </c>
      <c r="BS59" s="42">
        <f>IFERROR(VLOOKUP(A59,'Trans 21-23'!$A$2:$J$229,9,0),0)</f>
        <v>198309669</v>
      </c>
      <c r="BT59" s="67"/>
      <c r="BU59" s="32">
        <f t="shared" si="0"/>
        <v>2322389665</v>
      </c>
      <c r="BV59" s="32">
        <f t="shared" si="1"/>
        <v>3241</v>
      </c>
      <c r="BW59" s="32">
        <f t="shared" si="2"/>
        <v>539128</v>
      </c>
      <c r="BX59" s="32">
        <f t="shared" si="3"/>
        <v>60274650</v>
      </c>
      <c r="BY59" s="32">
        <f t="shared" si="4"/>
        <v>69179368</v>
      </c>
      <c r="BZ59" s="32">
        <f t="shared" si="5"/>
        <v>91907444</v>
      </c>
      <c r="CA59" s="32">
        <f t="shared" si="6"/>
        <v>80410067</v>
      </c>
      <c r="CB59" s="32">
        <f t="shared" si="7"/>
        <v>93237</v>
      </c>
      <c r="CC59" s="32">
        <f t="shared" si="8"/>
        <v>2672415</v>
      </c>
      <c r="CD59" s="41">
        <f t="shared" si="9"/>
        <v>1</v>
      </c>
      <c r="CE59" s="44">
        <f t="shared" si="10"/>
        <v>14</v>
      </c>
      <c r="CF59" s="27"/>
      <c r="CG59" s="28">
        <f t="shared" si="11"/>
        <v>716.56577136686212</v>
      </c>
      <c r="CH59" s="28">
        <f t="shared" si="12"/>
        <v>6.0115594070424834</v>
      </c>
      <c r="CI59" s="28">
        <f t="shared" si="13"/>
        <v>111.80025893665326</v>
      </c>
      <c r="CJ59" s="28">
        <f t="shared" si="14"/>
        <v>170.47425472244069</v>
      </c>
      <c r="CK59" s="23">
        <f t="shared" si="15"/>
        <v>3.4888668114795046E-2</v>
      </c>
      <c r="CL59" s="29" t="str">
        <f t="shared" si="16"/>
        <v/>
      </c>
      <c r="CM59" s="29" t="str">
        <f t="shared" si="17"/>
        <v/>
      </c>
      <c r="CN59" s="29" t="str">
        <f t="shared" si="18"/>
        <v/>
      </c>
      <c r="CO59" s="29" t="str">
        <f t="shared" si="19"/>
        <v/>
      </c>
      <c r="CP59" s="29" t="str">
        <f t="shared" si="20"/>
        <v/>
      </c>
      <c r="CQ59" s="29">
        <f t="shared" si="21"/>
        <v>0</v>
      </c>
      <c r="CR59" s="13"/>
      <c r="CS59" s="7">
        <f>VLOOKUP(A59,'Empresas 21-23'!$A$2:$M$228,13,0)</f>
        <v>1</v>
      </c>
      <c r="CT59" s="30"/>
      <c r="CU59" s="6">
        <f t="shared" si="22"/>
        <v>2240093607.1999998</v>
      </c>
      <c r="CV59" s="6">
        <f t="shared" si="23"/>
        <v>91907444</v>
      </c>
      <c r="CW59" s="6">
        <f t="shared" si="24"/>
        <v>33812457</v>
      </c>
      <c r="CX59" s="23">
        <v>0.75447075286337995</v>
      </c>
      <c r="CY59" s="23">
        <v>2.3905668178422691E-2</v>
      </c>
      <c r="CZ59" s="6">
        <f t="shared" si="27"/>
        <v>2265604117.0889506</v>
      </c>
      <c r="DA59" s="6">
        <f t="shared" si="28"/>
        <v>92715753.377339184</v>
      </c>
      <c r="DB59" s="6">
        <f t="shared" si="29"/>
        <v>60274650</v>
      </c>
      <c r="DC59" s="6">
        <f t="shared" si="30"/>
        <v>62288355</v>
      </c>
      <c r="DD59" s="6">
        <f t="shared" si="31"/>
        <v>69179368</v>
      </c>
      <c r="DE59" s="6">
        <f t="shared" si="32"/>
        <v>80410067</v>
      </c>
      <c r="DF59" s="6">
        <f t="shared" si="33"/>
        <v>49776131.914109774</v>
      </c>
      <c r="DG59" s="30"/>
      <c r="DH59" s="32">
        <f>VLOOKUP(A59,'T_med_comp-USA'!$A$7:$Q$233,17,0)</f>
        <v>15.225034598435256</v>
      </c>
      <c r="DI59" s="6" t="str">
        <f t="shared" si="34"/>
        <v>10_2008</v>
      </c>
      <c r="DJ59" s="32">
        <f>IF(DI59="","",VLOOKUP(DI59,'CPI USA'!$T:$U,2,FALSE))</f>
        <v>215.303</v>
      </c>
      <c r="DK59" s="32">
        <f>IF(DI59="","",VLOOKUP(DI59,'PPI USA'!$S:$T,2,FALSE))</f>
        <v>159.30000000000001</v>
      </c>
      <c r="DL59" s="32">
        <f>IF(DI59="","",VLOOKUP(DI59,'CPI USA'!$T:$V,3,FALSE))</f>
        <v>0.67018812038291731</v>
      </c>
      <c r="DM59" s="32">
        <f>IF(DI59="","",VLOOKUP(DI59,'CPI USA'!$T:$X,5,FALSE))</f>
        <v>0.49838492968660258</v>
      </c>
      <c r="DN59" s="32">
        <f t="shared" si="35"/>
        <v>1.4884333659448254</v>
      </c>
      <c r="DO59" s="32">
        <f t="shared" si="36"/>
        <v>1.5036496327119213</v>
      </c>
      <c r="DP59" s="32">
        <f t="shared" si="37"/>
        <v>0.4100273054697739</v>
      </c>
      <c r="DQ59" s="32">
        <f>IF(DP59="","",DP59*$DO$1/'CPI USA'!$U$532+(1-DP59)*AVERAGE($DO$1,$DQ$1)/AVERAGE('CPI USA'!$U$532,'PPI USA'!$T$538))</f>
        <v>1.0378346436795503</v>
      </c>
      <c r="DR59" s="6">
        <f t="shared" si="38"/>
        <v>13019159</v>
      </c>
      <c r="DS59" s="32">
        <f t="shared" si="39"/>
        <v>0.2</v>
      </c>
      <c r="DT59" s="28">
        <f>IF(DS59="","",DS59*$DO$1/'CPI USA'!$U$532+(1-DS59)*AVERAGE($DO$1,$DQ$1)/AVERAGE('CPI USA'!$U$532,'PPI USA'!$T$538))</f>
        <v>1.0426818386380585</v>
      </c>
      <c r="DU59" s="6">
        <f t="shared" si="40"/>
        <v>15782333.125581151</v>
      </c>
      <c r="DV59" s="6">
        <f t="shared" si="41"/>
        <v>46397.061025315197</v>
      </c>
      <c r="DW59" s="6">
        <f t="shared" si="42"/>
        <v>10269187.9253044</v>
      </c>
      <c r="DX59" s="16">
        <f t="shared" si="43"/>
        <v>0.20630747168189353</v>
      </c>
      <c r="DY59" s="28">
        <f>IF(DX59="","",DX59*$DO$1/'CPI USA'!$U$532+(1-DX59)*AVERAGE($DO$1,$DQ$1)/AVERAGE('CPI USA'!$U$532,'PPI USA'!$T$538))</f>
        <v>1.042536269256644</v>
      </c>
      <c r="DZ59" s="30"/>
      <c r="EA59" s="29" t="str">
        <f t="shared" si="44"/>
        <v>C000602</v>
      </c>
      <c r="EB59" s="29">
        <f t="shared" si="45"/>
        <v>3372200761.897161</v>
      </c>
      <c r="EC59" s="29">
        <f t="shared" si="46"/>
        <v>139412008.51244515</v>
      </c>
      <c r="ED59" s="29">
        <f t="shared" si="47"/>
        <v>64645012.716810331</v>
      </c>
      <c r="EE59" s="29">
        <f t="shared" si="48"/>
        <v>72132070.622058868</v>
      </c>
      <c r="EF59" s="29">
        <f t="shared" si="49"/>
        <v>51893422.86376258</v>
      </c>
      <c r="EG59" s="29">
        <f t="shared" si="50"/>
        <v>3241</v>
      </c>
      <c r="EH59" s="29">
        <f t="shared" si="51"/>
        <v>539128</v>
      </c>
      <c r="EI59" s="29">
        <f t="shared" si="52"/>
        <v>93237</v>
      </c>
      <c r="EJ59" s="29">
        <f t="shared" si="53"/>
        <v>2672415</v>
      </c>
      <c r="EK59" s="29">
        <f t="shared" si="54"/>
        <v>2758502.3604060914</v>
      </c>
      <c r="EL59" s="29">
        <f>IF(CD59=1,VLOOKUP(EA59,'EIA 2023'!$A$2:$J$213,4,0)*EH59,"")</f>
        <v>51864113.600000001</v>
      </c>
      <c r="EM59" s="29">
        <f>IF(CD59=1,VLOOKUP(EA59,'EIA 2023'!$A$2:$J$213,7,0)*EH59,"")</f>
        <v>533736.72</v>
      </c>
      <c r="EN59" s="29">
        <f>IF(CD59=1,VLOOKUP(EA59,'EIA 2023'!$A$2:$J$213,10,0),"")</f>
        <v>488889</v>
      </c>
      <c r="EO59" s="28">
        <f>IF(CD59=1,VLOOKUP(EA59,'EIA 2023'!$A$2:$Z$213,26,0),"")</f>
        <v>0</v>
      </c>
      <c r="EP59" s="23">
        <f t="shared" si="55"/>
        <v>3.1208006794461497E-2</v>
      </c>
      <c r="EQ59" s="32">
        <f t="shared" si="56"/>
        <v>7149.6395939086215</v>
      </c>
      <c r="ER59" s="32">
        <f t="shared" si="57"/>
        <v>86087.360406091379</v>
      </c>
      <c r="ES59" s="32"/>
      <c r="ET59" s="32"/>
    </row>
    <row r="60" spans="1:150" ht="15.75" customHeight="1">
      <c r="A60" s="7" t="s">
        <v>384</v>
      </c>
      <c r="B60" s="7" t="s">
        <v>385</v>
      </c>
      <c r="C60" s="32" t="s">
        <v>1145</v>
      </c>
      <c r="D60" s="42">
        <v>0</v>
      </c>
      <c r="E60" s="42">
        <v>0</v>
      </c>
      <c r="F60" s="42">
        <v>0</v>
      </c>
      <c r="G60" s="42">
        <v>103827114</v>
      </c>
      <c r="H60" s="42">
        <v>104162660</v>
      </c>
      <c r="I60" s="42">
        <v>4377545</v>
      </c>
      <c r="J60" s="42">
        <v>2487405</v>
      </c>
      <c r="K60" s="42">
        <v>1806306</v>
      </c>
      <c r="L60" s="42">
        <v>6590238</v>
      </c>
      <c r="M60" s="42">
        <v>151238</v>
      </c>
      <c r="N60" s="42">
        <v>3229295</v>
      </c>
      <c r="O60" s="42">
        <v>8215146</v>
      </c>
      <c r="P60" s="42">
        <v>5831631</v>
      </c>
      <c r="Q60" s="42">
        <v>355965</v>
      </c>
      <c r="R60" s="42">
        <v>890</v>
      </c>
      <c r="S60" s="42">
        <v>1372774</v>
      </c>
      <c r="T60" s="42">
        <v>288185424</v>
      </c>
      <c r="U60" s="42">
        <v>1268608</v>
      </c>
      <c r="V60" s="42">
        <v>0</v>
      </c>
      <c r="W60" s="42">
        <v>131515792</v>
      </c>
      <c r="X60" s="42">
        <f>IFERROR(VLOOKUP(A60,'Trans 21-23'!$A$2:$J$229,10,0),0)</f>
        <v>10543154</v>
      </c>
      <c r="Y60" s="42">
        <v>3856776</v>
      </c>
      <c r="Z60" s="42">
        <v>0</v>
      </c>
      <c r="AA60" s="42">
        <v>49363723</v>
      </c>
      <c r="AB60" s="42">
        <v>33457601</v>
      </c>
      <c r="AC60" s="42">
        <v>712403</v>
      </c>
      <c r="AD60" s="42">
        <v>64647452</v>
      </c>
      <c r="AE60" s="42">
        <v>0</v>
      </c>
      <c r="AF60" s="42">
        <v>690103504</v>
      </c>
      <c r="AG60" s="42">
        <v>666319</v>
      </c>
      <c r="AH60" s="42">
        <v>8559</v>
      </c>
      <c r="AI60" s="42">
        <v>822983</v>
      </c>
      <c r="AJ60" s="42">
        <v>0</v>
      </c>
      <c r="AK60" s="42">
        <v>0</v>
      </c>
      <c r="AL60" s="42">
        <v>134</v>
      </c>
      <c r="AM60" s="42">
        <v>184</v>
      </c>
      <c r="AN60" s="42">
        <v>0</v>
      </c>
      <c r="AO60" s="42">
        <v>1</v>
      </c>
      <c r="AP60" s="42">
        <v>0</v>
      </c>
      <c r="AQ60" s="42">
        <v>319</v>
      </c>
      <c r="AR60" s="42">
        <v>814105</v>
      </c>
      <c r="AS60" s="42">
        <v>814424</v>
      </c>
      <c r="AT60" s="42">
        <v>0</v>
      </c>
      <c r="AU60" s="42">
        <v>1608</v>
      </c>
      <c r="AV60" s="42">
        <v>0</v>
      </c>
      <c r="AW60" s="42">
        <v>499871310</v>
      </c>
      <c r="AX60" s="42">
        <v>8593445</v>
      </c>
      <c r="AY60" s="42">
        <v>68916167</v>
      </c>
      <c r="AZ60" s="42">
        <v>90417127</v>
      </c>
      <c r="BA60" s="42">
        <v>15769449</v>
      </c>
      <c r="BB60" s="42">
        <v>1998198949</v>
      </c>
      <c r="BC60" s="42">
        <v>5262821605</v>
      </c>
      <c r="BD60" s="42">
        <v>487467823</v>
      </c>
      <c r="BE60" s="42">
        <v>528325812</v>
      </c>
      <c r="BF60" s="42">
        <v>42991224</v>
      </c>
      <c r="BG60" s="42">
        <v>0</v>
      </c>
      <c r="BH60" s="42">
        <v>36789819</v>
      </c>
      <c r="BI60" s="42">
        <v>15427650</v>
      </c>
      <c r="BJ60" s="42">
        <v>314729</v>
      </c>
      <c r="BK60" s="42">
        <v>10046</v>
      </c>
      <c r="BL60" s="42">
        <v>0</v>
      </c>
      <c r="BM60" s="42">
        <v>12964268</v>
      </c>
      <c r="BN60" s="42">
        <v>75273300</v>
      </c>
      <c r="BO60" s="42">
        <v>32499635</v>
      </c>
      <c r="BP60" s="42">
        <v>1705322</v>
      </c>
      <c r="BQ60" s="42">
        <v>112568721</v>
      </c>
      <c r="BR60" s="42">
        <v>0</v>
      </c>
      <c r="BS60" s="42">
        <f>IFERROR(VLOOKUP(A60,'Trans 21-23'!$A$2:$J$229,9,0),0)</f>
        <v>1038289817</v>
      </c>
      <c r="BT60" s="67"/>
      <c r="BU60" s="32">
        <f t="shared" si="0"/>
        <v>1998198949</v>
      </c>
      <c r="BV60" s="32">
        <f t="shared" si="1"/>
        <v>1608</v>
      </c>
      <c r="BW60" s="32">
        <f t="shared" si="2"/>
        <v>666319</v>
      </c>
      <c r="BX60" s="32">
        <f t="shared" si="3"/>
        <v>455388257</v>
      </c>
      <c r="BY60" s="32">
        <f t="shared" si="4"/>
        <v>87390503</v>
      </c>
      <c r="BZ60" s="32">
        <f t="shared" si="5"/>
        <v>90417127</v>
      </c>
      <c r="CA60" s="32">
        <f t="shared" si="6"/>
        <v>64647452</v>
      </c>
      <c r="CB60" s="32">
        <f t="shared" si="7"/>
        <v>8559</v>
      </c>
      <c r="CC60" s="32">
        <f t="shared" si="8"/>
        <v>319</v>
      </c>
      <c r="CD60" s="41">
        <v>0</v>
      </c>
      <c r="CE60" s="44">
        <f t="shared" si="10"/>
        <v>15</v>
      </c>
      <c r="CF60" s="27"/>
      <c r="CG60" s="28" t="str">
        <f t="shared" si="11"/>
        <v/>
      </c>
      <c r="CH60" s="28" t="str">
        <f t="shared" si="12"/>
        <v/>
      </c>
      <c r="CI60" s="28" t="str">
        <f t="shared" si="13"/>
        <v/>
      </c>
      <c r="CJ60" s="28" t="str">
        <f t="shared" si="14"/>
        <v/>
      </c>
      <c r="CK60" s="23" t="str">
        <f t="shared" si="15"/>
        <v/>
      </c>
      <c r="CL60" s="29" t="str">
        <f t="shared" si="16"/>
        <v/>
      </c>
      <c r="CM60" s="29" t="str">
        <f t="shared" si="17"/>
        <v/>
      </c>
      <c r="CN60" s="29" t="str">
        <f t="shared" si="18"/>
        <v/>
      </c>
      <c r="CO60" s="29" t="str">
        <f t="shared" si="19"/>
        <v/>
      </c>
      <c r="CP60" s="29" t="str">
        <f t="shared" si="20"/>
        <v/>
      </c>
      <c r="CQ60" s="29" t="str">
        <f t="shared" si="21"/>
        <v/>
      </c>
      <c r="CR60" s="13"/>
      <c r="CS60" s="7" t="str">
        <f>VLOOKUP(A60,'Empresas 21-23'!$A$2:$M$228,13,0)</f>
        <v/>
      </c>
      <c r="CT60" s="30"/>
      <c r="CU60" s="6">
        <f t="shared" si="22"/>
        <v>2883796422.8000002</v>
      </c>
      <c r="CV60" s="6">
        <f t="shared" si="23"/>
        <v>90417127</v>
      </c>
      <c r="CW60" s="6">
        <f t="shared" si="24"/>
        <v>487467823</v>
      </c>
      <c r="CX60" s="23">
        <f t="shared" ref="CX60:CX78" si="62">CU60/(BC60-BD60)</f>
        <v>0.60389168100383483</v>
      </c>
      <c r="CY60" s="23">
        <f t="shared" ref="CY60:CY78" si="63">CV60/(BC60-BD60)</f>
        <v>1.8934121141100411E-2</v>
      </c>
      <c r="CZ60" s="6">
        <f t="shared" si="27"/>
        <v>3178174185.8667498</v>
      </c>
      <c r="DA60" s="6">
        <f t="shared" si="28"/>
        <v>99646901.813070491</v>
      </c>
      <c r="DB60" s="6">
        <f t="shared" si="29"/>
        <v>455388257</v>
      </c>
      <c r="DC60" s="6">
        <f t="shared" si="30"/>
        <v>465931411</v>
      </c>
      <c r="DD60" s="6">
        <f t="shared" si="31"/>
        <v>87390503</v>
      </c>
      <c r="DE60" s="6">
        <f t="shared" si="32"/>
        <v>64647452</v>
      </c>
      <c r="DF60" s="6">
        <f t="shared" si="33"/>
        <v>68619423.19779709</v>
      </c>
      <c r="DG60" s="30"/>
      <c r="DH60" s="32">
        <f>VLOOKUP(A60,'T_med_comp-USA'!$A$7:$Q$233,17,0)</f>
        <v>13.253804205895468</v>
      </c>
      <c r="DI60" s="6" t="str">
        <f t="shared" si="34"/>
        <v>10_2010</v>
      </c>
      <c r="DJ60" s="32">
        <f>IF(DI60="","",VLOOKUP(DI60,'CPI USA'!$T:$U,2,FALSE))</f>
        <v>218.05600000000001</v>
      </c>
      <c r="DK60" s="32">
        <f>IF(DI60="","",VLOOKUP(DI60,'PPI USA'!$S:$T,2,FALSE))</f>
        <v>160.80000000000001</v>
      </c>
      <c r="DL60" s="32">
        <f>IF(DI60="","",VLOOKUP(DI60,'CPI USA'!$T:$V,3,FALSE))</f>
        <v>0.67050107279443949</v>
      </c>
      <c r="DM60" s="32">
        <f>IF(DI60="","",VLOOKUP(DI60,'CPI USA'!$T:$X,5,FALSE))</f>
        <v>0.4987389730136107</v>
      </c>
      <c r="DN60" s="32">
        <f t="shared" si="35"/>
        <v>1.4703278680244813</v>
      </c>
      <c r="DO60" s="32">
        <f t="shared" si="36"/>
        <v>1.4857204383544427</v>
      </c>
      <c r="DP60" s="32">
        <f t="shared" si="37"/>
        <v>0.2</v>
      </c>
      <c r="DQ60" s="32">
        <f>IF(DP60="","",DP60*$DO$1/'CPI USA'!$U$532+(1-DP60)*AVERAGE($DO$1,$DQ$1)/AVERAGE('CPI USA'!$U$532,'PPI USA'!$T$538))</f>
        <v>1.0426818386380585</v>
      </c>
      <c r="DR60" s="6">
        <f t="shared" si="38"/>
        <v>15752425</v>
      </c>
      <c r="DS60" s="32">
        <f t="shared" si="39"/>
        <v>0.2580785652745986</v>
      </c>
      <c r="DT60" s="28">
        <f>IF(DS60="","",DS60*$DO$1/'CPI USA'!$U$532+(1-DS60)*AVERAGE($DO$1,$DQ$1)/AVERAGE('CPI USA'!$U$532,'PPI USA'!$T$538))</f>
        <v>1.0413414504053629</v>
      </c>
      <c r="DU60" s="6">
        <f t="shared" si="40"/>
        <v>18561657.486606538</v>
      </c>
      <c r="DV60" s="6">
        <f t="shared" si="41"/>
        <v>199418.84908558504</v>
      </c>
      <c r="DW60" s="6">
        <f t="shared" si="42"/>
        <v>13095600.306251505</v>
      </c>
      <c r="DX60" s="16">
        <f t="shared" si="43"/>
        <v>0.2</v>
      </c>
      <c r="DY60" s="28">
        <f>IF(DX60="","",DX60*$DO$1/'CPI USA'!$U$532+(1-DX60)*AVERAGE($DO$1,$DQ$1)/AVERAGE('CPI USA'!$U$532,'PPI USA'!$T$538))</f>
        <v>1.0426818386380585</v>
      </c>
      <c r="DZ60" s="30"/>
      <c r="EA60" s="29" t="str">
        <f t="shared" si="44"/>
        <v>C000615</v>
      </c>
      <c r="EB60" s="29" t="str">
        <f t="shared" si="45"/>
        <v/>
      </c>
      <c r="EC60" s="29" t="str">
        <f t="shared" si="46"/>
        <v/>
      </c>
      <c r="ED60" s="29" t="str">
        <f t="shared" si="47"/>
        <v/>
      </c>
      <c r="EE60" s="29" t="str">
        <f t="shared" si="48"/>
        <v/>
      </c>
      <c r="EF60" s="29" t="str">
        <f t="shared" si="49"/>
        <v/>
      </c>
      <c r="EG60" s="29" t="str">
        <f t="shared" si="50"/>
        <v/>
      </c>
      <c r="EH60" s="29" t="str">
        <f t="shared" si="51"/>
        <v/>
      </c>
      <c r="EI60" s="29" t="str">
        <f t="shared" si="52"/>
        <v/>
      </c>
      <c r="EJ60" s="29" t="str">
        <f t="shared" si="53"/>
        <v/>
      </c>
      <c r="EK60" s="29" t="str">
        <f t="shared" si="54"/>
        <v/>
      </c>
      <c r="EL60" s="29" t="str">
        <f>IF(CD60=1,VLOOKUP(EA60,'EIA 2023'!$A$2:$J$213,4,0)*EH60,"")</f>
        <v/>
      </c>
      <c r="EM60" s="29" t="str">
        <f>IF(CD60=1,VLOOKUP(EA60,'EIA 2023'!$A$2:$J$213,7,0)*EH60,"")</f>
        <v/>
      </c>
      <c r="EN60" s="29" t="str">
        <f>IF(CD60=1,VLOOKUP(EA60,'EIA 2023'!$A$2:$J$213,10,0),"")</f>
        <v/>
      </c>
      <c r="EO60" s="28" t="str">
        <f>IF(CD60=1,VLOOKUP(EA60,'EIA 2023'!$A$2:$Z$213,26,0),"")</f>
        <v/>
      </c>
      <c r="EP60" s="23" t="str">
        <f t="shared" si="55"/>
        <v/>
      </c>
      <c r="EQ60" s="32" t="str">
        <f t="shared" si="56"/>
        <v/>
      </c>
      <c r="ER60" s="32" t="str">
        <f t="shared" si="57"/>
        <v/>
      </c>
      <c r="ES60" s="32"/>
      <c r="ET60" s="32"/>
    </row>
    <row r="61" spans="1:150" ht="15.75" customHeight="1">
      <c r="A61" s="7" t="s">
        <v>387</v>
      </c>
      <c r="B61" s="7" t="s">
        <v>388</v>
      </c>
      <c r="C61" s="32" t="s">
        <v>1146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f>IFERROR(VLOOKUP(A61,'Trans 21-23'!$A$2:$J$229,10,0),0)</f>
        <v>0</v>
      </c>
      <c r="Y61" s="42">
        <v>0</v>
      </c>
      <c r="Z61" s="42">
        <v>0</v>
      </c>
      <c r="AA61" s="42">
        <v>337</v>
      </c>
      <c r="AB61" s="42">
        <v>0</v>
      </c>
      <c r="AC61" s="42">
        <v>0</v>
      </c>
      <c r="AD61" s="42">
        <v>505848</v>
      </c>
      <c r="AE61" s="42">
        <v>0</v>
      </c>
      <c r="AF61" s="42">
        <v>1865319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156339829</v>
      </c>
      <c r="BD61" s="42">
        <v>654368</v>
      </c>
      <c r="BE61" s="42">
        <v>0</v>
      </c>
      <c r="BF61" s="42">
        <v>0</v>
      </c>
      <c r="BG61" s="42">
        <v>0</v>
      </c>
      <c r="BH61" s="42">
        <v>0</v>
      </c>
      <c r="BI61" s="42">
        <v>0</v>
      </c>
      <c r="BJ61" s="42">
        <v>0</v>
      </c>
      <c r="BK61" s="42">
        <v>0</v>
      </c>
      <c r="BL61" s="42">
        <v>0</v>
      </c>
      <c r="BM61" s="42">
        <v>0</v>
      </c>
      <c r="BN61" s="42">
        <v>0</v>
      </c>
      <c r="BO61" s="42">
        <v>0</v>
      </c>
      <c r="BP61" s="42">
        <v>0</v>
      </c>
      <c r="BQ61" s="42">
        <v>0</v>
      </c>
      <c r="BR61" s="42">
        <v>0</v>
      </c>
      <c r="BS61" s="42">
        <f>IFERROR(VLOOKUP(A61,'Trans 21-23'!$A$2:$J$229,9,0),0)</f>
        <v>0</v>
      </c>
      <c r="BT61" s="67"/>
      <c r="BU61" s="32">
        <f t="shared" si="0"/>
        <v>0</v>
      </c>
      <c r="BV61" s="32">
        <f t="shared" si="1"/>
        <v>0</v>
      </c>
      <c r="BW61" s="32">
        <f t="shared" si="2"/>
        <v>0</v>
      </c>
      <c r="BX61" s="32">
        <f t="shared" si="3"/>
        <v>0</v>
      </c>
      <c r="BY61" s="32">
        <f t="shared" si="4"/>
        <v>337</v>
      </c>
      <c r="BZ61" s="32">
        <f t="shared" si="5"/>
        <v>0</v>
      </c>
      <c r="CA61" s="32">
        <f t="shared" si="6"/>
        <v>505848</v>
      </c>
      <c r="CB61" s="32">
        <f t="shared" si="7"/>
        <v>0</v>
      </c>
      <c r="CC61" s="32">
        <f t="shared" si="8"/>
        <v>0</v>
      </c>
      <c r="CD61" s="41">
        <f t="shared" ref="CD61:CD93" si="64">IF(OR(BU61&lt;=0,BV61&lt;=0,BW61&lt;=0,BX61&lt;=0,BY61&lt;=0,BZ61&lt;=0,CA61&lt;=0,CB61&lt;=0,CC61&lt;=0,DH61="-"),0,1)</f>
        <v>0</v>
      </c>
      <c r="CE61" s="44">
        <f t="shared" si="10"/>
        <v>63</v>
      </c>
      <c r="CF61" s="27"/>
      <c r="CG61" s="28" t="str">
        <f t="shared" si="11"/>
        <v/>
      </c>
      <c r="CH61" s="28" t="str">
        <f t="shared" si="12"/>
        <v/>
      </c>
      <c r="CI61" s="28" t="str">
        <f t="shared" si="13"/>
        <v/>
      </c>
      <c r="CJ61" s="28" t="str">
        <f t="shared" si="14"/>
        <v/>
      </c>
      <c r="CK61" s="23" t="str">
        <f t="shared" si="15"/>
        <v/>
      </c>
      <c r="CL61" s="29" t="str">
        <f t="shared" si="16"/>
        <v/>
      </c>
      <c r="CM61" s="29" t="str">
        <f t="shared" si="17"/>
        <v/>
      </c>
      <c r="CN61" s="29" t="str">
        <f t="shared" si="18"/>
        <v/>
      </c>
      <c r="CO61" s="29" t="str">
        <f t="shared" si="19"/>
        <v/>
      </c>
      <c r="CP61" s="29" t="str">
        <f t="shared" si="20"/>
        <v/>
      </c>
      <c r="CQ61" s="29" t="str">
        <f t="shared" si="21"/>
        <v/>
      </c>
      <c r="CR61" s="13"/>
      <c r="CS61" s="7" t="str">
        <f>VLOOKUP(A61,'Empresas 21-23'!$A$2:$M$228,13,0)</f>
        <v/>
      </c>
      <c r="CT61" s="30"/>
      <c r="CU61" s="6">
        <f t="shared" si="22"/>
        <v>0</v>
      </c>
      <c r="CV61" s="6">
        <f t="shared" si="23"/>
        <v>0</v>
      </c>
      <c r="CW61" s="6">
        <f t="shared" si="24"/>
        <v>654368</v>
      </c>
      <c r="CX61" s="23">
        <f t="shared" si="62"/>
        <v>0</v>
      </c>
      <c r="CY61" s="23">
        <f t="shared" si="63"/>
        <v>0</v>
      </c>
      <c r="CZ61" s="6">
        <f t="shared" si="27"/>
        <v>0</v>
      </c>
      <c r="DA61" s="6">
        <f t="shared" si="28"/>
        <v>0</v>
      </c>
      <c r="DB61" s="6">
        <f t="shared" si="29"/>
        <v>0</v>
      </c>
      <c r="DC61" s="6">
        <f t="shared" si="30"/>
        <v>0</v>
      </c>
      <c r="DD61" s="6">
        <f t="shared" si="31"/>
        <v>337</v>
      </c>
      <c r="DE61" s="6">
        <f t="shared" si="32"/>
        <v>505848</v>
      </c>
      <c r="DF61" s="6">
        <f t="shared" si="33"/>
        <v>125.39493376467759</v>
      </c>
      <c r="DG61" s="30"/>
      <c r="DH61" s="32" t="str">
        <f>VLOOKUP(A61,'T_med_comp-USA'!$A$7:$Q$233,17,0)</f>
        <v>-</v>
      </c>
      <c r="DI61" s="6" t="str">
        <f t="shared" si="34"/>
        <v/>
      </c>
      <c r="DJ61" s="32" t="str">
        <f>IF(DI61="","",VLOOKUP(DI61,'CPI USA'!$T:$U,2,FALSE))</f>
        <v/>
      </c>
      <c r="DK61" s="32" t="str">
        <f>IF(DI61="","",VLOOKUP(DI61,'PPI USA'!$S:$T,2,FALSE))</f>
        <v/>
      </c>
      <c r="DL61" s="32" t="str">
        <f>IF(DI61="","",VLOOKUP(DI61,'CPI USA'!$T:$V,3,FALSE))</f>
        <v/>
      </c>
      <c r="DM61" s="32" t="str">
        <f>IF(DI61="","",VLOOKUP(DI61,'CPI USA'!$T:$X,5,FALSE))</f>
        <v/>
      </c>
      <c r="DN61" s="32" t="str">
        <f t="shared" si="35"/>
        <v/>
      </c>
      <c r="DO61" s="32" t="str">
        <f t="shared" si="36"/>
        <v/>
      </c>
      <c r="DP61" s="32" t="str">
        <f t="shared" si="37"/>
        <v/>
      </c>
      <c r="DQ61" s="32" t="str">
        <f>IF(DP61="","",DP61*$DO$1/'CPI USA'!$U$532+(1-DP61)*AVERAGE($DO$1,$DQ$1)/AVERAGE('CPI USA'!$U$532,'PPI USA'!$T$538))</f>
        <v/>
      </c>
      <c r="DR61" s="6">
        <f t="shared" si="38"/>
        <v>0</v>
      </c>
      <c r="DS61" s="32">
        <f t="shared" si="39"/>
        <v>0.2</v>
      </c>
      <c r="DT61" s="28">
        <f>IF(DS61="","",DS61*$DO$1/'CPI USA'!$U$532+(1-DS61)*AVERAGE($DO$1,$DQ$1)/AVERAGE('CPI USA'!$U$532,'PPI USA'!$T$538))</f>
        <v>1.0426818386380585</v>
      </c>
      <c r="DU61" s="6" t="str">
        <f t="shared" si="40"/>
        <v/>
      </c>
      <c r="DV61" s="6" t="str">
        <f t="shared" si="41"/>
        <v/>
      </c>
      <c r="DW61" s="6">
        <f t="shared" si="42"/>
        <v>0</v>
      </c>
      <c r="DX61" s="16" t="str">
        <f t="shared" si="43"/>
        <v/>
      </c>
      <c r="DY61" s="28" t="str">
        <f>IF(DX61="","",DX61*$DO$1/'CPI USA'!$U$532+(1-DX61)*AVERAGE($DO$1,$DQ$1)/AVERAGE('CPI USA'!$U$532,'PPI USA'!$T$538))</f>
        <v/>
      </c>
      <c r="DZ61" s="30"/>
      <c r="EA61" s="29" t="str">
        <f t="shared" si="44"/>
        <v>C000616</v>
      </c>
      <c r="EB61" s="29" t="str">
        <f t="shared" si="45"/>
        <v/>
      </c>
      <c r="EC61" s="29" t="str">
        <f t="shared" si="46"/>
        <v/>
      </c>
      <c r="ED61" s="29" t="str">
        <f t="shared" si="47"/>
        <v/>
      </c>
      <c r="EE61" s="29" t="str">
        <f t="shared" si="48"/>
        <v/>
      </c>
      <c r="EF61" s="29" t="str">
        <f t="shared" si="49"/>
        <v/>
      </c>
      <c r="EG61" s="29" t="str">
        <f t="shared" si="50"/>
        <v/>
      </c>
      <c r="EH61" s="29" t="str">
        <f t="shared" si="51"/>
        <v/>
      </c>
      <c r="EI61" s="29" t="str">
        <f t="shared" si="52"/>
        <v/>
      </c>
      <c r="EJ61" s="29" t="str">
        <f t="shared" si="53"/>
        <v/>
      </c>
      <c r="EK61" s="29" t="str">
        <f t="shared" si="54"/>
        <v/>
      </c>
      <c r="EL61" s="29" t="str">
        <f>IF(CD61=1,VLOOKUP(EA61,'EIA 2023'!$A$2:$J$213,4,0)*EH61,"")</f>
        <v/>
      </c>
      <c r="EM61" s="29" t="str">
        <f>IF(CD61=1,VLOOKUP(EA61,'EIA 2023'!$A$2:$J$213,7,0)*EH61,"")</f>
        <v/>
      </c>
      <c r="EN61" s="29" t="str">
        <f>IF(CD61=1,VLOOKUP(EA61,'EIA 2023'!$A$2:$J$213,10,0),"")</f>
        <v/>
      </c>
      <c r="EO61" s="28" t="str">
        <f>IF(CD61=1,VLOOKUP(EA61,'EIA 2023'!$A$2:$Z$213,26,0),"")</f>
        <v/>
      </c>
      <c r="EP61" s="23" t="str">
        <f t="shared" si="55"/>
        <v/>
      </c>
      <c r="EQ61" s="32" t="str">
        <f t="shared" si="56"/>
        <v/>
      </c>
      <c r="ER61" s="32" t="str">
        <f t="shared" si="57"/>
        <v/>
      </c>
      <c r="ES61" s="32"/>
      <c r="ET61" s="32"/>
    </row>
    <row r="62" spans="1:150" ht="15.75" customHeight="1">
      <c r="A62" s="7" t="s">
        <v>390</v>
      </c>
      <c r="B62" s="7" t="s">
        <v>391</v>
      </c>
      <c r="C62" s="32" t="s">
        <v>1147</v>
      </c>
      <c r="D62" s="42">
        <v>0</v>
      </c>
      <c r="E62" s="42">
        <v>0</v>
      </c>
      <c r="F62" s="42">
        <v>0</v>
      </c>
      <c r="G62" s="42">
        <v>173544189</v>
      </c>
      <c r="H62" s="42">
        <v>191543959</v>
      </c>
      <c r="I62" s="42">
        <v>5208939</v>
      </c>
      <c r="J62" s="42">
        <v>1743405</v>
      </c>
      <c r="K62" s="42">
        <v>1362024</v>
      </c>
      <c r="L62" s="42">
        <v>829550</v>
      </c>
      <c r="M62" s="42">
        <v>193528</v>
      </c>
      <c r="N62" s="42">
        <v>498988</v>
      </c>
      <c r="O62" s="42">
        <v>7638193</v>
      </c>
      <c r="P62" s="42">
        <v>70114</v>
      </c>
      <c r="Q62" s="42">
        <v>2543408</v>
      </c>
      <c r="R62" s="42">
        <v>0</v>
      </c>
      <c r="S62" s="42">
        <v>5742041</v>
      </c>
      <c r="T62" s="42">
        <v>55093437</v>
      </c>
      <c r="U62" s="42">
        <v>2408264</v>
      </c>
      <c r="V62" s="42">
        <v>0</v>
      </c>
      <c r="W62" s="42">
        <v>18695327</v>
      </c>
      <c r="X62" s="42">
        <f>IFERROR(VLOOKUP(A62,'Trans 21-23'!$A$2:$J$229,10,0),0)</f>
        <v>5142237</v>
      </c>
      <c r="Y62" s="42">
        <v>1554854</v>
      </c>
      <c r="Z62" s="42">
        <v>0</v>
      </c>
      <c r="AA62" s="42">
        <v>64848691</v>
      </c>
      <c r="AB62" s="42">
        <v>57935213</v>
      </c>
      <c r="AC62" s="42">
        <v>9787970</v>
      </c>
      <c r="AD62" s="42">
        <v>47653656</v>
      </c>
      <c r="AE62" s="42">
        <v>0</v>
      </c>
      <c r="AF62" s="42">
        <v>490416706</v>
      </c>
      <c r="AG62" s="42">
        <v>391614</v>
      </c>
      <c r="AH62" s="42">
        <v>261475</v>
      </c>
      <c r="AI62" s="42">
        <v>7467009</v>
      </c>
      <c r="AJ62" s="42">
        <v>12764</v>
      </c>
      <c r="AK62" s="42">
        <v>0</v>
      </c>
      <c r="AL62" s="42">
        <v>2799309</v>
      </c>
      <c r="AM62" s="42">
        <v>2563957</v>
      </c>
      <c r="AN62" s="42">
        <v>1024586</v>
      </c>
      <c r="AO62" s="42">
        <v>32423</v>
      </c>
      <c r="AP62" s="42">
        <v>505112</v>
      </c>
      <c r="AQ62" s="42">
        <v>6925428</v>
      </c>
      <c r="AR62" s="42">
        <v>267342</v>
      </c>
      <c r="AS62" s="42">
        <v>7192770</v>
      </c>
      <c r="AT62" s="42">
        <v>0</v>
      </c>
      <c r="AU62" s="42">
        <v>1502</v>
      </c>
      <c r="AV62" s="42">
        <v>0</v>
      </c>
      <c r="AW62" s="42">
        <v>299555640</v>
      </c>
      <c r="AX62" s="42">
        <v>188443276</v>
      </c>
      <c r="AY62" s="42">
        <v>305510356</v>
      </c>
      <c r="AZ62" s="42">
        <v>70873463</v>
      </c>
      <c r="BA62" s="42">
        <v>17463577</v>
      </c>
      <c r="BB62" s="42">
        <v>1908032813</v>
      </c>
      <c r="BC62" s="42">
        <v>3593602672</v>
      </c>
      <c r="BD62" s="42">
        <v>46048733</v>
      </c>
      <c r="BE62" s="42">
        <v>482577280</v>
      </c>
      <c r="BF62" s="42">
        <v>37897633</v>
      </c>
      <c r="BG62" s="42">
        <v>0</v>
      </c>
      <c r="BH62" s="42">
        <v>27334405</v>
      </c>
      <c r="BI62" s="42">
        <v>6013674</v>
      </c>
      <c r="BJ62" s="42">
        <v>732014</v>
      </c>
      <c r="BK62" s="42">
        <v>365750</v>
      </c>
      <c r="BL62" s="42">
        <v>0</v>
      </c>
      <c r="BM62" s="42">
        <v>5606563</v>
      </c>
      <c r="BN62" s="42">
        <v>46434561</v>
      </c>
      <c r="BO62" s="42">
        <v>16522723</v>
      </c>
      <c r="BP62" s="42">
        <v>325685</v>
      </c>
      <c r="BQ62" s="42">
        <v>98075270</v>
      </c>
      <c r="BR62" s="42">
        <v>41</v>
      </c>
      <c r="BS62" s="42">
        <f>IFERROR(VLOOKUP(A62,'Trans 21-23'!$A$2:$J$229,9,0),0)</f>
        <v>506407473</v>
      </c>
      <c r="BT62" s="67"/>
      <c r="BU62" s="32">
        <f t="shared" si="0"/>
        <v>1908032813</v>
      </c>
      <c r="BV62" s="32">
        <f t="shared" si="1"/>
        <v>1502</v>
      </c>
      <c r="BW62" s="32">
        <f t="shared" si="2"/>
        <v>391614</v>
      </c>
      <c r="BX62" s="32">
        <f t="shared" si="3"/>
        <v>102027218</v>
      </c>
      <c r="BY62" s="32">
        <f t="shared" si="4"/>
        <v>134126728</v>
      </c>
      <c r="BZ62" s="32">
        <f t="shared" si="5"/>
        <v>70873463</v>
      </c>
      <c r="CA62" s="32">
        <f t="shared" si="6"/>
        <v>47653656</v>
      </c>
      <c r="CB62" s="32">
        <f t="shared" si="7"/>
        <v>261475</v>
      </c>
      <c r="CC62" s="32">
        <f t="shared" si="8"/>
        <v>6925428</v>
      </c>
      <c r="CD62" s="41">
        <f t="shared" si="64"/>
        <v>1</v>
      </c>
      <c r="CE62" s="44">
        <f t="shared" si="10"/>
        <v>12</v>
      </c>
      <c r="CF62" s="27"/>
      <c r="CG62" s="28">
        <f t="shared" si="11"/>
        <v>1270.328104527297</v>
      </c>
      <c r="CH62" s="28">
        <f t="shared" si="12"/>
        <v>3.8354093571731349</v>
      </c>
      <c r="CI62" s="28">
        <f t="shared" si="13"/>
        <v>260.5300576588171</v>
      </c>
      <c r="CJ62" s="28">
        <f t="shared" si="14"/>
        <v>180.97785829924365</v>
      </c>
      <c r="CK62" s="23">
        <f t="shared" si="15"/>
        <v>3.7755789245083479E-2</v>
      </c>
      <c r="CL62" s="29" t="str">
        <f t="shared" si="16"/>
        <v/>
      </c>
      <c r="CM62" s="29" t="str">
        <f t="shared" si="17"/>
        <v/>
      </c>
      <c r="CN62" s="29" t="str">
        <f t="shared" si="18"/>
        <v/>
      </c>
      <c r="CO62" s="29" t="str">
        <f t="shared" si="19"/>
        <v/>
      </c>
      <c r="CP62" s="29" t="str">
        <f t="shared" si="20"/>
        <v/>
      </c>
      <c r="CQ62" s="29">
        <f t="shared" si="21"/>
        <v>0</v>
      </c>
      <c r="CR62" s="13"/>
      <c r="CS62" s="7">
        <f>VLOOKUP(A62,'Empresas 21-23'!$A$2:$M$228,13,0)</f>
        <v>1</v>
      </c>
      <c r="CT62" s="30"/>
      <c r="CU62" s="6">
        <f t="shared" si="22"/>
        <v>2029731066.8</v>
      </c>
      <c r="CV62" s="6">
        <f t="shared" si="23"/>
        <v>70873463</v>
      </c>
      <c r="CW62" s="6">
        <f t="shared" si="24"/>
        <v>46048733</v>
      </c>
      <c r="CX62" s="23">
        <f t="shared" si="62"/>
        <v>0.57214945895146818</v>
      </c>
      <c r="CY62" s="23">
        <f t="shared" si="63"/>
        <v>1.9978121324908768E-2</v>
      </c>
      <c r="CZ62" s="6">
        <f t="shared" si="27"/>
        <v>2056077824.4713507</v>
      </c>
      <c r="DA62" s="6">
        <f t="shared" si="28"/>
        <v>71793430.174732327</v>
      </c>
      <c r="DB62" s="6">
        <f t="shared" si="29"/>
        <v>102027218</v>
      </c>
      <c r="DC62" s="6">
        <f t="shared" si="30"/>
        <v>107169455</v>
      </c>
      <c r="DD62" s="6">
        <f t="shared" si="31"/>
        <v>134126728</v>
      </c>
      <c r="DE62" s="6">
        <f t="shared" si="32"/>
        <v>47653656</v>
      </c>
      <c r="DF62" s="6">
        <f t="shared" si="33"/>
        <v>45771383.26957424</v>
      </c>
      <c r="DG62" s="30"/>
      <c r="DH62" s="32">
        <f>VLOOKUP(A62,'T_med_comp-USA'!$A$7:$Q$233,17,0)</f>
        <v>13.765181674941019</v>
      </c>
      <c r="DI62" s="6" t="str">
        <f t="shared" si="34"/>
        <v>3_2010</v>
      </c>
      <c r="DJ62" s="32">
        <f>IF(DI62="","",VLOOKUP(DI62,'CPI USA'!$T:$U,2,FALSE))</f>
        <v>218.05600000000001</v>
      </c>
      <c r="DK62" s="32">
        <f>IF(DI62="","",VLOOKUP(DI62,'PPI USA'!$S:$T,2,FALSE))</f>
        <v>160.80000000000001</v>
      </c>
      <c r="DL62" s="32">
        <f>IF(DI62="","",VLOOKUP(DI62,'CPI USA'!$T:$V,3,FALSE))</f>
        <v>0.67050107279443949</v>
      </c>
      <c r="DM62" s="32">
        <f>IF(DI62="","",VLOOKUP(DI62,'CPI USA'!$T:$X,5,FALSE))</f>
        <v>0.4987389730136107</v>
      </c>
      <c r="DN62" s="32">
        <f t="shared" si="35"/>
        <v>1.4703278680244813</v>
      </c>
      <c r="DO62" s="32">
        <f t="shared" si="36"/>
        <v>1.4857204383544427</v>
      </c>
      <c r="DP62" s="32">
        <f t="shared" si="37"/>
        <v>0.36324380824637192</v>
      </c>
      <c r="DQ62" s="32">
        <f>IF(DP62="","",DP62*$DO$1/'CPI USA'!$U$532+(1-DP62)*AVERAGE($DO$1,$DQ$1)/AVERAGE('CPI USA'!$U$532,'PPI USA'!$T$538))</f>
        <v>1.038914354393238</v>
      </c>
      <c r="DR62" s="6">
        <f t="shared" si="38"/>
        <v>7111438</v>
      </c>
      <c r="DS62" s="32">
        <f t="shared" si="39"/>
        <v>0.2</v>
      </c>
      <c r="DT62" s="28">
        <f>IF(DS62="","",DS62*$DO$1/'CPI USA'!$U$532+(1-DS62)*AVERAGE($DO$1,$DQ$1)/AVERAGE('CPI USA'!$U$532,'PPI USA'!$T$538))</f>
        <v>1.0426818386380585</v>
      </c>
      <c r="DU62" s="6">
        <f t="shared" si="40"/>
        <v>7601535.8270511487</v>
      </c>
      <c r="DV62" s="6">
        <f t="shared" si="41"/>
        <v>18680.114812303294</v>
      </c>
      <c r="DW62" s="6">
        <f t="shared" si="42"/>
        <v>5652788.7053680904</v>
      </c>
      <c r="DX62" s="16">
        <f t="shared" si="43"/>
        <v>0.2</v>
      </c>
      <c r="DY62" s="28">
        <f>IF(DX62="","",DX62*$DO$1/'CPI USA'!$U$532+(1-DX62)*AVERAGE($DO$1,$DQ$1)/AVERAGE('CPI USA'!$U$532,'PPI USA'!$T$538))</f>
        <v>1.0426818386380585</v>
      </c>
      <c r="DZ62" s="30"/>
      <c r="EA62" s="29" t="str">
        <f t="shared" si="44"/>
        <v>C000617</v>
      </c>
      <c r="EB62" s="29">
        <f t="shared" si="45"/>
        <v>3023108524.1473746</v>
      </c>
      <c r="EC62" s="29">
        <f t="shared" si="46"/>
        <v>106664966.55017239</v>
      </c>
      <c r="ED62" s="29">
        <f t="shared" si="47"/>
        <v>111339885.15200017</v>
      </c>
      <c r="EE62" s="29">
        <f t="shared" si="48"/>
        <v>139851503.36154675</v>
      </c>
      <c r="EF62" s="29">
        <f t="shared" si="49"/>
        <v>47724990.064526938</v>
      </c>
      <c r="EG62" s="29">
        <f t="shared" si="50"/>
        <v>1502</v>
      </c>
      <c r="EH62" s="29">
        <f t="shared" si="51"/>
        <v>391614</v>
      </c>
      <c r="EI62" s="29">
        <f t="shared" si="52"/>
        <v>261475</v>
      </c>
      <c r="EJ62" s="29">
        <f t="shared" si="53"/>
        <v>6925428</v>
      </c>
      <c r="EK62" s="29">
        <f t="shared" si="54"/>
        <v>7182831.8020304572</v>
      </c>
      <c r="EL62" s="29">
        <f>IF(CD62=1,VLOOKUP(EA62,'EIA 2023'!$A$2:$J$213,4,0)*EH62,"")</f>
        <v>28482086.220000003</v>
      </c>
      <c r="EM62" s="29">
        <f>IF(CD62=1,VLOOKUP(EA62,'EIA 2023'!$A$2:$J$213,7,0)*EH62,"")</f>
        <v>328955.76</v>
      </c>
      <c r="EN62" s="29">
        <f>IF(CD62=1,VLOOKUP(EA62,'EIA 2023'!$A$2:$J$213,10,0),"")</f>
        <v>146762</v>
      </c>
      <c r="EO62" s="28">
        <f>IF(CD62=1,VLOOKUP(EA62,'EIA 2023'!$A$2:$Z$213,26,0),"")</f>
        <v>0</v>
      </c>
      <c r="EP62" s="23">
        <f t="shared" si="55"/>
        <v>3.5835977943642426E-2</v>
      </c>
      <c r="EQ62" s="32">
        <f t="shared" si="56"/>
        <v>4071.1979695431655</v>
      </c>
      <c r="ER62" s="32">
        <f t="shared" si="57"/>
        <v>257403.80203045683</v>
      </c>
      <c r="ES62" s="32"/>
      <c r="ET62" s="32"/>
    </row>
    <row r="63" spans="1:150" ht="15.75" customHeight="1">
      <c r="A63" s="7" t="s">
        <v>393</v>
      </c>
      <c r="B63" s="7" t="s">
        <v>394</v>
      </c>
      <c r="C63" s="32" t="s">
        <v>1148</v>
      </c>
      <c r="D63" s="42">
        <v>0</v>
      </c>
      <c r="E63" s="42">
        <v>0</v>
      </c>
      <c r="F63" s="42">
        <v>0</v>
      </c>
      <c r="G63" s="42">
        <v>513155211</v>
      </c>
      <c r="H63" s="42">
        <v>560075470</v>
      </c>
      <c r="I63" s="42">
        <v>11843736</v>
      </c>
      <c r="J63" s="42">
        <v>4127363</v>
      </c>
      <c r="K63" s="42">
        <v>1835929</v>
      </c>
      <c r="L63" s="42">
        <v>14340828</v>
      </c>
      <c r="M63" s="42">
        <v>914437</v>
      </c>
      <c r="N63" s="42">
        <v>2300745</v>
      </c>
      <c r="O63" s="42">
        <v>22778252</v>
      </c>
      <c r="P63" s="42">
        <v>1114063</v>
      </c>
      <c r="Q63" s="42">
        <v>-1296463</v>
      </c>
      <c r="R63" s="42">
        <v>23628</v>
      </c>
      <c r="S63" s="42">
        <v>9887034</v>
      </c>
      <c r="T63" s="42">
        <v>293368904</v>
      </c>
      <c r="U63" s="42">
        <v>708874</v>
      </c>
      <c r="V63" s="42">
        <v>0</v>
      </c>
      <c r="W63" s="42">
        <v>-52418567</v>
      </c>
      <c r="X63" s="42">
        <f>IFERROR(VLOOKUP(A63,'Trans 21-23'!$A$2:$J$229,10,0),0)</f>
        <v>0</v>
      </c>
      <c r="Y63" s="42">
        <v>9858296</v>
      </c>
      <c r="Z63" s="42">
        <v>0</v>
      </c>
      <c r="AA63" s="42">
        <v>122977123</v>
      </c>
      <c r="AB63" s="42">
        <v>116704146</v>
      </c>
      <c r="AC63" s="42">
        <v>10570203</v>
      </c>
      <c r="AD63" s="42">
        <v>102082693</v>
      </c>
      <c r="AE63" s="42">
        <v>0</v>
      </c>
      <c r="AF63" s="42">
        <v>1288327181</v>
      </c>
      <c r="AG63" s="42">
        <v>919140</v>
      </c>
      <c r="AH63" s="42">
        <v>743264</v>
      </c>
      <c r="AI63" s="42">
        <v>17394125</v>
      </c>
      <c r="AJ63" s="42">
        <v>38315</v>
      </c>
      <c r="AK63" s="42">
        <v>0</v>
      </c>
      <c r="AL63" s="42">
        <v>6797432</v>
      </c>
      <c r="AM63" s="42">
        <v>4444865</v>
      </c>
      <c r="AN63" s="42">
        <v>2664144</v>
      </c>
      <c r="AO63" s="42">
        <v>36747</v>
      </c>
      <c r="AP63" s="42">
        <v>1268161</v>
      </c>
      <c r="AQ63" s="42">
        <v>15211635</v>
      </c>
      <c r="AR63" s="42">
        <v>1400911</v>
      </c>
      <c r="AS63" s="42">
        <v>16612546</v>
      </c>
      <c r="AT63" s="42">
        <v>0</v>
      </c>
      <c r="AU63" s="42">
        <v>2860</v>
      </c>
      <c r="AV63" s="42">
        <v>0</v>
      </c>
      <c r="AW63" s="42">
        <v>891159209</v>
      </c>
      <c r="AX63" s="42">
        <v>46934121</v>
      </c>
      <c r="AY63" s="42">
        <v>181864269</v>
      </c>
      <c r="AZ63" s="42">
        <v>157919179</v>
      </c>
      <c r="BA63" s="42">
        <v>51229073</v>
      </c>
      <c r="BB63" s="42">
        <v>3918494651</v>
      </c>
      <c r="BC63" s="42">
        <v>6100761118</v>
      </c>
      <c r="BD63" s="42">
        <v>212694395</v>
      </c>
      <c r="BE63" s="42">
        <v>1194092680</v>
      </c>
      <c r="BF63" s="42">
        <v>79562526</v>
      </c>
      <c r="BG63" s="42">
        <v>0</v>
      </c>
      <c r="BH63" s="42">
        <v>78353202</v>
      </c>
      <c r="BI63" s="42">
        <v>29848841</v>
      </c>
      <c r="BJ63" s="42">
        <v>482759</v>
      </c>
      <c r="BK63" s="42">
        <v>1416399</v>
      </c>
      <c r="BL63" s="42">
        <v>0</v>
      </c>
      <c r="BM63" s="42">
        <v>15300326</v>
      </c>
      <c r="BN63" s="42">
        <v>143044888</v>
      </c>
      <c r="BO63" s="42">
        <v>48277460</v>
      </c>
      <c r="BP63" s="42">
        <v>1633174</v>
      </c>
      <c r="BQ63" s="42">
        <v>252666713</v>
      </c>
      <c r="BR63" s="42">
        <v>286</v>
      </c>
      <c r="BS63" s="42">
        <f>IFERROR(VLOOKUP(A63,'Trans 21-23'!$A$2:$J$229,9,0),0)</f>
        <v>0</v>
      </c>
      <c r="BT63" s="67"/>
      <c r="BU63" s="32">
        <f t="shared" si="0"/>
        <v>3918494651</v>
      </c>
      <c r="BV63" s="32">
        <f t="shared" si="1"/>
        <v>2860</v>
      </c>
      <c r="BW63" s="32">
        <f t="shared" si="2"/>
        <v>919140</v>
      </c>
      <c r="BX63" s="32">
        <f t="shared" si="3"/>
        <v>309528763</v>
      </c>
      <c r="BY63" s="32">
        <f t="shared" si="4"/>
        <v>260109768</v>
      </c>
      <c r="BZ63" s="32">
        <f t="shared" si="5"/>
        <v>157919179</v>
      </c>
      <c r="CA63" s="32">
        <f t="shared" si="6"/>
        <v>102082693</v>
      </c>
      <c r="CB63" s="32">
        <f t="shared" si="7"/>
        <v>743264</v>
      </c>
      <c r="CC63" s="32">
        <f t="shared" si="8"/>
        <v>15211635</v>
      </c>
      <c r="CD63" s="41">
        <f t="shared" si="64"/>
        <v>1</v>
      </c>
      <c r="CE63" s="44">
        <f t="shared" si="10"/>
        <v>13</v>
      </c>
      <c r="CF63" s="27"/>
      <c r="CG63" s="28">
        <f t="shared" si="11"/>
        <v>1370.1030248251748</v>
      </c>
      <c r="CH63" s="28">
        <f t="shared" si="12"/>
        <v>3.111604325782797</v>
      </c>
      <c r="CI63" s="48">
        <f t="shared" si="13"/>
        <v>336.75910416258677</v>
      </c>
      <c r="CJ63" s="28">
        <f t="shared" si="14"/>
        <v>171.81188828687687</v>
      </c>
      <c r="CK63" s="23">
        <f t="shared" si="15"/>
        <v>4.8861545783868726E-2</v>
      </c>
      <c r="CL63" s="29" t="str">
        <f t="shared" si="16"/>
        <v/>
      </c>
      <c r="CM63" s="29" t="str">
        <f t="shared" si="17"/>
        <v/>
      </c>
      <c r="CN63" s="29" t="str">
        <f t="shared" si="18"/>
        <v/>
      </c>
      <c r="CO63" s="29" t="str">
        <f t="shared" si="19"/>
        <v/>
      </c>
      <c r="CP63" s="29" t="str">
        <f t="shared" si="20"/>
        <v/>
      </c>
      <c r="CQ63" s="29">
        <f t="shared" si="21"/>
        <v>0</v>
      </c>
      <c r="CR63" s="13"/>
      <c r="CS63" s="7">
        <f>VLOOKUP(A63,'Empresas 21-23'!$A$2:$M$228,13,0)</f>
        <v>1</v>
      </c>
      <c r="CT63" s="30"/>
      <c r="CU63" s="6">
        <f t="shared" si="22"/>
        <v>3572067365</v>
      </c>
      <c r="CV63" s="6">
        <f t="shared" si="23"/>
        <v>157919179</v>
      </c>
      <c r="CW63" s="6">
        <f t="shared" si="24"/>
        <v>212694395</v>
      </c>
      <c r="CX63" s="23">
        <f t="shared" si="62"/>
        <v>0.60666217504750242</v>
      </c>
      <c r="CY63" s="23">
        <f t="shared" si="63"/>
        <v>2.6820208810327369E-2</v>
      </c>
      <c r="CZ63" s="6">
        <f t="shared" si="27"/>
        <v>3701101009.2911124</v>
      </c>
      <c r="DA63" s="6">
        <f t="shared" si="28"/>
        <v>163623687.08668625</v>
      </c>
      <c r="DB63" s="6">
        <f t="shared" si="29"/>
        <v>309528763</v>
      </c>
      <c r="DC63" s="6">
        <f t="shared" si="30"/>
        <v>309528763</v>
      </c>
      <c r="DD63" s="6">
        <f t="shared" si="31"/>
        <v>260109768</v>
      </c>
      <c r="DE63" s="6">
        <f t="shared" si="32"/>
        <v>102082693</v>
      </c>
      <c r="DF63" s="6">
        <f t="shared" si="33"/>
        <v>92866675.944423661</v>
      </c>
      <c r="DG63" s="30"/>
      <c r="DH63" s="32">
        <f>VLOOKUP(A63,'T_med_comp-USA'!$A$7:$Q$233,17,0)</f>
        <v>17.175025864341666</v>
      </c>
      <c r="DI63" s="6" t="str">
        <f t="shared" si="34"/>
        <v>11_2006</v>
      </c>
      <c r="DJ63" s="32">
        <f>IF(DI63="","",VLOOKUP(DI63,'CPI USA'!$T:$U,2,FALSE))</f>
        <v>201.6</v>
      </c>
      <c r="DK63" s="32">
        <f>IF(DI63="","",VLOOKUP(DI63,'PPI USA'!$S:$T,2,FALSE))</f>
        <v>145.30000000000001</v>
      </c>
      <c r="DL63" s="32">
        <f>IF(DI63="","",VLOOKUP(DI63,'CPI USA'!$T:$V,3,FALSE))</f>
        <v>0.67263024008352756</v>
      </c>
      <c r="DM63" s="32">
        <f>IF(DI63="","",VLOOKUP(DI63,'CPI USA'!$T:$X,5,FALSE))</f>
        <v>0.50115228263529643</v>
      </c>
      <c r="DN63" s="32">
        <f t="shared" si="35"/>
        <v>1.595396421204319</v>
      </c>
      <c r="DO63" s="32">
        <f t="shared" si="36"/>
        <v>1.6147712829199015</v>
      </c>
      <c r="DP63" s="32">
        <f t="shared" si="37"/>
        <v>0.3385704861500754</v>
      </c>
      <c r="DQ63" s="32">
        <f>IF(DP63="","",DP63*$DO$1/'CPI USA'!$U$532+(1-DP63)*AVERAGE($DO$1,$DQ$1)/AVERAGE('CPI USA'!$U$532,'PPI USA'!$T$538))</f>
        <v>1.0394837870306151</v>
      </c>
      <c r="DR63" s="6">
        <f t="shared" si="38"/>
        <v>31747999</v>
      </c>
      <c r="DS63" s="32">
        <f t="shared" si="39"/>
        <v>0.2</v>
      </c>
      <c r="DT63" s="28">
        <f>IF(DS63="","",DS63*$DO$1/'CPI USA'!$U$532+(1-DS63)*AVERAGE($DO$1,$DQ$1)/AVERAGE('CPI USA'!$U$532,'PPI USA'!$T$538))</f>
        <v>1.0426818386380585</v>
      </c>
      <c r="DU63" s="6">
        <f t="shared" si="40"/>
        <v>20464165.734363385</v>
      </c>
      <c r="DV63" s="6">
        <f t="shared" si="41"/>
        <v>99540.861011101792</v>
      </c>
      <c r="DW63" s="6">
        <f t="shared" si="42"/>
        <v>15827820.377351424</v>
      </c>
      <c r="DX63" s="16">
        <f t="shared" si="43"/>
        <v>0.2</v>
      </c>
      <c r="DY63" s="28">
        <f>IF(DX63="","",DX63*$DO$1/'CPI USA'!$U$532+(1-DX63)*AVERAGE($DO$1,$DQ$1)/AVERAGE('CPI USA'!$U$532,'PPI USA'!$T$538))</f>
        <v>1.0426818386380585</v>
      </c>
      <c r="DZ63" s="30"/>
      <c r="EA63" s="29" t="str">
        <f t="shared" si="44"/>
        <v>C000618</v>
      </c>
      <c r="EB63" s="29">
        <f t="shared" si="45"/>
        <v>5904723304.7387342</v>
      </c>
      <c r="EC63" s="29">
        <f t="shared" si="46"/>
        <v>264214831.11305287</v>
      </c>
      <c r="ED63" s="29">
        <f t="shared" si="47"/>
        <v>321750130.7581417</v>
      </c>
      <c r="EE63" s="29">
        <f t="shared" si="48"/>
        <v>271211731.14595884</v>
      </c>
      <c r="EF63" s="29">
        <f t="shared" si="49"/>
        <v>96830396.421936423</v>
      </c>
      <c r="EG63" s="29">
        <f t="shared" si="50"/>
        <v>2860</v>
      </c>
      <c r="EH63" s="29">
        <f t="shared" si="51"/>
        <v>919140</v>
      </c>
      <c r="EI63" s="29">
        <f t="shared" si="52"/>
        <v>743264</v>
      </c>
      <c r="EJ63" s="29">
        <f t="shared" si="53"/>
        <v>15211635</v>
      </c>
      <c r="EK63" s="29">
        <f t="shared" si="54"/>
        <v>15933565.329949239</v>
      </c>
      <c r="EL63" s="29">
        <f>IF(CD63=1,VLOOKUP(EA63,'EIA 2023'!$A$2:$J$213,4,0)*EH63,"")</f>
        <v>139047499.19999999</v>
      </c>
      <c r="EM63" s="29">
        <f>IF(CD63=1,VLOOKUP(EA63,'EIA 2023'!$A$2:$J$213,7,0)*EH63,"")</f>
        <v>1709600.4000000001</v>
      </c>
      <c r="EN63" s="29">
        <f>IF(CD63=1,VLOOKUP(EA63,'EIA 2023'!$A$2:$J$213,10,0),"")</f>
        <v>138826</v>
      </c>
      <c r="EO63" s="28">
        <f>IF(CD63=1,VLOOKUP(EA63,'EIA 2023'!$A$2:$Z$213,26,0),"")</f>
        <v>0</v>
      </c>
      <c r="EP63" s="23">
        <f t="shared" si="55"/>
        <v>4.5308775217576397E-2</v>
      </c>
      <c r="EQ63" s="32">
        <f t="shared" si="56"/>
        <v>21333.67005076143</v>
      </c>
      <c r="ER63" s="32">
        <f t="shared" si="57"/>
        <v>721930.32994923857</v>
      </c>
      <c r="ES63" s="32"/>
      <c r="ET63" s="32"/>
    </row>
    <row r="64" spans="1:150" ht="15.75" customHeight="1">
      <c r="A64" s="7" t="s">
        <v>396</v>
      </c>
      <c r="B64" s="7" t="s">
        <v>397</v>
      </c>
      <c r="C64" s="32" t="s">
        <v>1149</v>
      </c>
      <c r="D64" s="42">
        <v>95499326</v>
      </c>
      <c r="E64" s="42">
        <v>0</v>
      </c>
      <c r="F64" s="42">
        <v>179905516</v>
      </c>
      <c r="G64" s="42">
        <v>490480562</v>
      </c>
      <c r="H64" s="42">
        <v>499642635</v>
      </c>
      <c r="I64" s="42">
        <v>4454785</v>
      </c>
      <c r="J64" s="42">
        <v>1798005</v>
      </c>
      <c r="K64" s="42">
        <v>5797830</v>
      </c>
      <c r="L64" s="42">
        <v>5617399</v>
      </c>
      <c r="M64" s="42">
        <v>5370499</v>
      </c>
      <c r="N64" s="42">
        <v>1271643</v>
      </c>
      <c r="O64" s="42">
        <v>4413695</v>
      </c>
      <c r="P64" s="42">
        <v>639456</v>
      </c>
      <c r="Q64" s="42">
        <v>7280</v>
      </c>
      <c r="R64" s="42">
        <v>0</v>
      </c>
      <c r="S64" s="42">
        <v>5071241</v>
      </c>
      <c r="T64" s="42">
        <v>17770697</v>
      </c>
      <c r="U64" s="42">
        <v>707482</v>
      </c>
      <c r="V64" s="42">
        <v>64482</v>
      </c>
      <c r="W64" s="42">
        <v>150957</v>
      </c>
      <c r="X64" s="42">
        <f>IFERROR(VLOOKUP(A64,'Trans 21-23'!$A$2:$J$229,10,0),0)</f>
        <v>1478051</v>
      </c>
      <c r="Y64" s="42">
        <v>6557689</v>
      </c>
      <c r="Z64" s="42">
        <v>984112</v>
      </c>
      <c r="AA64" s="42">
        <v>22992868</v>
      </c>
      <c r="AB64" s="42">
        <v>41941467</v>
      </c>
      <c r="AC64" s="42">
        <v>0</v>
      </c>
      <c r="AD64" s="42">
        <v>174739005</v>
      </c>
      <c r="AE64" s="42">
        <v>0</v>
      </c>
      <c r="AF64" s="42">
        <v>1209638999</v>
      </c>
      <c r="AG64" s="42">
        <v>625440</v>
      </c>
      <c r="AH64" s="42">
        <v>1207582</v>
      </c>
      <c r="AI64" s="42">
        <v>18835165</v>
      </c>
      <c r="AJ64" s="42">
        <v>0</v>
      </c>
      <c r="AK64" s="42">
        <v>0</v>
      </c>
      <c r="AL64" s="42">
        <v>5902715</v>
      </c>
      <c r="AM64" s="42">
        <v>6049846</v>
      </c>
      <c r="AN64" s="42">
        <v>3537648</v>
      </c>
      <c r="AO64" s="42">
        <v>24783</v>
      </c>
      <c r="AP64" s="42">
        <v>0</v>
      </c>
      <c r="AQ64" s="42">
        <v>15514992</v>
      </c>
      <c r="AR64" s="42">
        <v>2095145</v>
      </c>
      <c r="AS64" s="42">
        <v>17610137</v>
      </c>
      <c r="AT64" s="42">
        <v>0</v>
      </c>
      <c r="AU64" s="42">
        <v>3615</v>
      </c>
      <c r="AV64" s="42">
        <v>0</v>
      </c>
      <c r="AW64" s="42">
        <v>165014148</v>
      </c>
      <c r="AX64" s="42">
        <v>57714926</v>
      </c>
      <c r="AY64" s="42">
        <v>351104224</v>
      </c>
      <c r="AZ64" s="42">
        <v>118921722</v>
      </c>
      <c r="BA64" s="42">
        <v>7085273</v>
      </c>
      <c r="BB64" s="42">
        <v>2454458287</v>
      </c>
      <c r="BC64" s="42">
        <v>7293443644</v>
      </c>
      <c r="BD64" s="42">
        <v>536538839</v>
      </c>
      <c r="BE64" s="42">
        <v>722571735</v>
      </c>
      <c r="BF64" s="42">
        <v>50525692</v>
      </c>
      <c r="BG64" s="42">
        <v>0</v>
      </c>
      <c r="BH64" s="42">
        <v>30288449</v>
      </c>
      <c r="BI64" s="42">
        <v>10415201</v>
      </c>
      <c r="BJ64" s="42">
        <v>5786139</v>
      </c>
      <c r="BK64" s="42">
        <v>0</v>
      </c>
      <c r="BL64" s="42">
        <v>0</v>
      </c>
      <c r="BM64" s="42">
        <v>91306764</v>
      </c>
      <c r="BN64" s="42">
        <v>178243593</v>
      </c>
      <c r="BO64" s="42">
        <v>0</v>
      </c>
      <c r="BP64" s="42">
        <v>112625557</v>
      </c>
      <c r="BQ64" s="42">
        <v>290869150</v>
      </c>
      <c r="BR64" s="42">
        <v>0</v>
      </c>
      <c r="BS64" s="42">
        <f>IFERROR(VLOOKUP(A64,'Trans 21-23'!$A$2:$J$229,9,0),0)</f>
        <v>145558436</v>
      </c>
      <c r="BT64" s="67"/>
      <c r="BU64" s="32">
        <f t="shared" si="0"/>
        <v>2454458287</v>
      </c>
      <c r="BV64" s="32">
        <f t="shared" si="1"/>
        <v>3615</v>
      </c>
      <c r="BW64" s="32">
        <f t="shared" si="2"/>
        <v>625440</v>
      </c>
      <c r="BX64" s="32">
        <f t="shared" si="3"/>
        <v>53135451</v>
      </c>
      <c r="BY64" s="32">
        <f t="shared" si="4"/>
        <v>72476136</v>
      </c>
      <c r="BZ64" s="32">
        <f t="shared" si="5"/>
        <v>118921722</v>
      </c>
      <c r="CA64" s="32">
        <f t="shared" si="6"/>
        <v>174739005</v>
      </c>
      <c r="CB64" s="32">
        <f t="shared" si="7"/>
        <v>1207582</v>
      </c>
      <c r="CC64" s="32">
        <f t="shared" si="8"/>
        <v>15514992</v>
      </c>
      <c r="CD64" s="41">
        <f t="shared" si="64"/>
        <v>1</v>
      </c>
      <c r="CE64" s="44">
        <f t="shared" si="10"/>
        <v>14</v>
      </c>
      <c r="CF64" s="27"/>
      <c r="CG64" s="28">
        <f t="shared" si="11"/>
        <v>678.96494799446748</v>
      </c>
      <c r="CH64" s="28">
        <f t="shared" si="12"/>
        <v>5.7799309286262472</v>
      </c>
      <c r="CI64" s="28">
        <f t="shared" si="13"/>
        <v>84.95691193399847</v>
      </c>
      <c r="CJ64" s="28">
        <f t="shared" si="14"/>
        <v>190.14089600920951</v>
      </c>
      <c r="CK64" s="23">
        <f t="shared" si="15"/>
        <v>7.7833233816685179E-2</v>
      </c>
      <c r="CL64" s="29" t="str">
        <f t="shared" si="16"/>
        <v/>
      </c>
      <c r="CM64" s="29" t="str">
        <f t="shared" si="17"/>
        <v/>
      </c>
      <c r="CN64" s="29" t="str">
        <f t="shared" si="18"/>
        <v/>
      </c>
      <c r="CO64" s="29" t="str">
        <f t="shared" si="19"/>
        <v/>
      </c>
      <c r="CP64" s="29" t="str">
        <f t="shared" si="20"/>
        <v/>
      </c>
      <c r="CQ64" s="29">
        <f t="shared" si="21"/>
        <v>0</v>
      </c>
      <c r="CR64" s="13"/>
      <c r="CS64" s="7">
        <f>VLOOKUP(A64,'Empresas 21-23'!$A$2:$M$228,13,0)</f>
        <v>1</v>
      </c>
      <c r="CT64" s="30"/>
      <c r="CU64" s="6">
        <f t="shared" si="22"/>
        <v>2228718238</v>
      </c>
      <c r="CV64" s="6">
        <f t="shared" si="23"/>
        <v>118921722</v>
      </c>
      <c r="CW64" s="6">
        <f t="shared" si="24"/>
        <v>536538839</v>
      </c>
      <c r="CX64" s="23">
        <f t="shared" si="62"/>
        <v>0.32984307198627166</v>
      </c>
      <c r="CY64" s="23">
        <f t="shared" si="63"/>
        <v>1.7600029219295772E-2</v>
      </c>
      <c r="CZ64" s="6">
        <f t="shared" si="27"/>
        <v>2405691856.8957076</v>
      </c>
      <c r="DA64" s="6">
        <f t="shared" si="28"/>
        <v>128364821.24368703</v>
      </c>
      <c r="DB64" s="6">
        <f t="shared" si="29"/>
        <v>53135451</v>
      </c>
      <c r="DC64" s="6">
        <f t="shared" si="30"/>
        <v>54613502</v>
      </c>
      <c r="DD64" s="6">
        <f t="shared" si="31"/>
        <v>72476136</v>
      </c>
      <c r="DE64" s="6">
        <f t="shared" si="32"/>
        <v>174739005</v>
      </c>
      <c r="DF64" s="6">
        <f t="shared" si="33"/>
        <v>85462004.164193615</v>
      </c>
      <c r="DG64" s="30"/>
      <c r="DH64" s="32">
        <f>VLOOKUP(A64,'T_med_comp-USA'!$A$7:$Q$233,17,0)</f>
        <v>14.93315132486731</v>
      </c>
      <c r="DI64" s="6" t="str">
        <f t="shared" si="34"/>
        <v>1_2009</v>
      </c>
      <c r="DJ64" s="32">
        <f>IF(DI64="","",VLOOKUP(DI64,'CPI USA'!$T:$U,2,FALSE))</f>
        <v>214.53700000000001</v>
      </c>
      <c r="DK64" s="32">
        <f>IF(DI64="","",VLOOKUP(DI64,'PPI USA'!$S:$T,2,FALSE))</f>
        <v>159.1</v>
      </c>
      <c r="DL64" s="32">
        <f>IF(DI64="","",VLOOKUP(DI64,'CPI USA'!$T:$V,3,FALSE))</f>
        <v>0.66997101349938215</v>
      </c>
      <c r="DM64" s="32">
        <f>IF(DI64="","",VLOOKUP(DI64,'CPI USA'!$T:$X,5,FALSE))</f>
        <v>0.49813941766071862</v>
      </c>
      <c r="DN64" s="32">
        <f t="shared" si="35"/>
        <v>1.4932638886873792</v>
      </c>
      <c r="DO64" s="32">
        <f t="shared" si="36"/>
        <v>1.5082750176818205</v>
      </c>
      <c r="DP64" s="32">
        <f t="shared" si="37"/>
        <v>0.57002337290785388</v>
      </c>
      <c r="DQ64" s="32">
        <f>IF(DP64="","",DP64*$DO$1/'CPI USA'!$U$532+(1-DP64)*AVERAGE($DO$1,$DQ$1)/AVERAGE('CPI USA'!$U$532,'PPI USA'!$T$538))</f>
        <v>1.0341421136547884</v>
      </c>
      <c r="DR64" s="6">
        <f t="shared" si="38"/>
        <v>16201340</v>
      </c>
      <c r="DS64" s="32">
        <f t="shared" si="39"/>
        <v>0.22354033885029412</v>
      </c>
      <c r="DT64" s="28">
        <f>IF(DS64="","",DS64*$DO$1/'CPI USA'!$U$532+(1-DS64)*AVERAGE($DO$1,$DQ$1)/AVERAGE('CPI USA'!$U$532,'PPI USA'!$T$538))</f>
        <v>1.0421385539849439</v>
      </c>
      <c r="DU64" s="6">
        <f t="shared" si="40"/>
        <v>91306764</v>
      </c>
      <c r="DV64" s="6">
        <f t="shared" si="41"/>
        <v>57693378.933219478</v>
      </c>
      <c r="DW64" s="6">
        <f t="shared" si="42"/>
        <v>38862463.942449898</v>
      </c>
      <c r="DX64" s="16">
        <f t="shared" si="43"/>
        <v>0.45473382379127814</v>
      </c>
      <c r="DY64" s="28">
        <f>IF(DX64="","",DX64*$DO$1/'CPI USA'!$U$532+(1-DX64)*AVERAGE($DO$1,$DQ$1)/AVERAGE('CPI USA'!$U$532,'PPI USA'!$T$538))</f>
        <v>1.0368028673124927</v>
      </c>
      <c r="DZ64" s="30"/>
      <c r="EA64" s="29" t="str">
        <f t="shared" si="44"/>
        <v>C000620</v>
      </c>
      <c r="EB64" s="29">
        <f t="shared" si="45"/>
        <v>3592332777.2116466</v>
      </c>
      <c r="EC64" s="29">
        <f t="shared" si="46"/>
        <v>193609453.03104579</v>
      </c>
      <c r="ED64" s="29">
        <f t="shared" si="47"/>
        <v>56478122.392370008</v>
      </c>
      <c r="EE64" s="29">
        <f t="shared" si="48"/>
        <v>75530175.569456145</v>
      </c>
      <c r="EF64" s="29">
        <f t="shared" si="49"/>
        <v>88607250.963708133</v>
      </c>
      <c r="EG64" s="29">
        <f t="shared" si="50"/>
        <v>3615</v>
      </c>
      <c r="EH64" s="29">
        <f t="shared" si="51"/>
        <v>625440</v>
      </c>
      <c r="EI64" s="29">
        <f t="shared" si="52"/>
        <v>1207582</v>
      </c>
      <c r="EJ64" s="29">
        <f t="shared" si="53"/>
        <v>15514992</v>
      </c>
      <c r="EK64" s="29">
        <f t="shared" si="54"/>
        <v>16690668.238578681</v>
      </c>
      <c r="EL64" s="29">
        <f>IF(CD64=1,VLOOKUP(EA64,'EIA 2023'!$A$2:$J$213,4,0)*EH64,"")</f>
        <v>74871422.399999991</v>
      </c>
      <c r="EM64" s="29">
        <f>IF(CD64=1,VLOOKUP(EA64,'EIA 2023'!$A$2:$J$213,7,0)*EH64,"")</f>
        <v>669220.80000000005</v>
      </c>
      <c r="EN64" s="29">
        <f>IF(CD64=1,VLOOKUP(EA64,'EIA 2023'!$A$2:$J$213,10,0),"")</f>
        <v>604900</v>
      </c>
      <c r="EO64" s="28">
        <f>IF(CD64=1,VLOOKUP(EA64,'EIA 2023'!$A$2:$Z$213,26,0),"")</f>
        <v>0</v>
      </c>
      <c r="EP64" s="23">
        <f t="shared" si="55"/>
        <v>7.0439135316417767E-2</v>
      </c>
      <c r="EQ64" s="32">
        <f t="shared" si="56"/>
        <v>31905.761421320029</v>
      </c>
      <c r="ER64" s="32">
        <f t="shared" si="57"/>
        <v>1175676.23857868</v>
      </c>
      <c r="ES64" s="32"/>
      <c r="ET64" s="32"/>
    </row>
    <row r="65" spans="1:150" ht="15.75" customHeight="1">
      <c r="A65" s="7" t="s">
        <v>399</v>
      </c>
      <c r="B65" s="7" t="s">
        <v>400</v>
      </c>
      <c r="C65" s="32" t="s">
        <v>1150</v>
      </c>
      <c r="D65" s="42">
        <v>149637790</v>
      </c>
      <c r="E65" s="42">
        <v>0</v>
      </c>
      <c r="F65" s="42">
        <v>0</v>
      </c>
      <c r="G65" s="42">
        <v>377977130</v>
      </c>
      <c r="H65" s="42">
        <v>378168287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f>IFERROR(VLOOKUP(A65,'Trans 21-23'!$A$2:$J$229,10,0),0)</f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35305206</v>
      </c>
      <c r="AE65" s="42">
        <v>0</v>
      </c>
      <c r="AF65" s="42">
        <v>639999811</v>
      </c>
      <c r="AG65" s="42">
        <v>14</v>
      </c>
      <c r="AH65" s="42">
        <v>5142</v>
      </c>
      <c r="AI65" s="42">
        <v>9691562</v>
      </c>
      <c r="AJ65" s="42">
        <v>0</v>
      </c>
      <c r="AK65" s="42">
        <v>0</v>
      </c>
      <c r="AL65" s="42">
        <v>0</v>
      </c>
      <c r="AM65" s="42">
        <v>0</v>
      </c>
      <c r="AN65" s="42">
        <v>115214</v>
      </c>
      <c r="AO65" s="42">
        <v>0</v>
      </c>
      <c r="AP65" s="42">
        <v>0</v>
      </c>
      <c r="AQ65" s="42">
        <v>115214</v>
      </c>
      <c r="AR65" s="42">
        <v>9581490</v>
      </c>
      <c r="AS65" s="42">
        <v>9696704</v>
      </c>
      <c r="AT65" s="42">
        <v>0</v>
      </c>
      <c r="AU65" s="42">
        <v>969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1566397579</v>
      </c>
      <c r="BD65" s="42">
        <v>12237113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5957598</v>
      </c>
      <c r="BN65" s="42">
        <v>31997235</v>
      </c>
      <c r="BO65" s="42">
        <v>0</v>
      </c>
      <c r="BP65" s="42">
        <v>0</v>
      </c>
      <c r="BQ65" s="42">
        <v>32175281</v>
      </c>
      <c r="BR65" s="42">
        <v>0</v>
      </c>
      <c r="BS65" s="42">
        <f>IFERROR(VLOOKUP(A65,'Trans 21-23'!$A$2:$J$229,9,0),0)</f>
        <v>0</v>
      </c>
      <c r="BT65" s="67"/>
      <c r="BU65" s="32">
        <f t="shared" si="0"/>
        <v>0</v>
      </c>
      <c r="BV65" s="32">
        <f t="shared" si="1"/>
        <v>969</v>
      </c>
      <c r="BW65" s="32">
        <f t="shared" si="2"/>
        <v>14</v>
      </c>
      <c r="BX65" s="32">
        <f t="shared" si="3"/>
        <v>0</v>
      </c>
      <c r="BY65" s="32">
        <f t="shared" si="4"/>
        <v>0</v>
      </c>
      <c r="BZ65" s="32">
        <f t="shared" si="5"/>
        <v>0</v>
      </c>
      <c r="CA65" s="32">
        <f t="shared" si="6"/>
        <v>35305206</v>
      </c>
      <c r="CB65" s="32">
        <f t="shared" si="7"/>
        <v>5142</v>
      </c>
      <c r="CC65" s="32">
        <f t="shared" si="8"/>
        <v>115214</v>
      </c>
      <c r="CD65" s="41">
        <f t="shared" si="64"/>
        <v>0</v>
      </c>
      <c r="CE65" s="44">
        <f t="shared" si="10"/>
        <v>50</v>
      </c>
      <c r="CF65" s="27"/>
      <c r="CG65" s="28" t="str">
        <f t="shared" si="11"/>
        <v/>
      </c>
      <c r="CH65" s="28" t="str">
        <f t="shared" si="12"/>
        <v/>
      </c>
      <c r="CI65" s="28" t="str">
        <f t="shared" si="13"/>
        <v/>
      </c>
      <c r="CJ65" s="28" t="str">
        <f t="shared" si="14"/>
        <v/>
      </c>
      <c r="CK65" s="23" t="str">
        <f t="shared" si="15"/>
        <v/>
      </c>
      <c r="CL65" s="29" t="str">
        <f t="shared" si="16"/>
        <v/>
      </c>
      <c r="CM65" s="29" t="str">
        <f t="shared" si="17"/>
        <v/>
      </c>
      <c r="CN65" s="29" t="str">
        <f t="shared" si="18"/>
        <v/>
      </c>
      <c r="CO65" s="29" t="str">
        <f t="shared" si="19"/>
        <v/>
      </c>
      <c r="CP65" s="29" t="str">
        <f t="shared" si="20"/>
        <v/>
      </c>
      <c r="CQ65" s="29" t="str">
        <f t="shared" si="21"/>
        <v/>
      </c>
      <c r="CR65" s="13"/>
      <c r="CS65" s="7" t="str">
        <f>VLOOKUP(A65,'Empresas 21-23'!$A$2:$M$228,13,0)</f>
        <v/>
      </c>
      <c r="CT65" s="30"/>
      <c r="CU65" s="6">
        <f t="shared" si="22"/>
        <v>0</v>
      </c>
      <c r="CV65" s="6">
        <f t="shared" si="23"/>
        <v>0</v>
      </c>
      <c r="CW65" s="6">
        <f t="shared" si="24"/>
        <v>12237113</v>
      </c>
      <c r="CX65" s="23">
        <f t="shared" si="62"/>
        <v>0</v>
      </c>
      <c r="CY65" s="23">
        <f t="shared" si="63"/>
        <v>0</v>
      </c>
      <c r="CZ65" s="6">
        <f t="shared" si="27"/>
        <v>0</v>
      </c>
      <c r="DA65" s="6">
        <f t="shared" si="28"/>
        <v>0</v>
      </c>
      <c r="DB65" s="6">
        <f t="shared" si="29"/>
        <v>0</v>
      </c>
      <c r="DC65" s="6">
        <f t="shared" si="30"/>
        <v>0</v>
      </c>
      <c r="DD65" s="6">
        <f t="shared" si="31"/>
        <v>0</v>
      </c>
      <c r="DE65" s="6">
        <f t="shared" si="32"/>
        <v>35305206</v>
      </c>
      <c r="DF65" s="6">
        <f t="shared" si="33"/>
        <v>0</v>
      </c>
      <c r="DG65" s="30"/>
      <c r="DH65" s="32" t="str">
        <f>VLOOKUP(A65,'T_med_comp-USA'!$A$7:$Q$233,17,0)</f>
        <v>-</v>
      </c>
      <c r="DI65" s="6" t="str">
        <f t="shared" si="34"/>
        <v/>
      </c>
      <c r="DJ65" s="32" t="str">
        <f>IF(DI65="","",VLOOKUP(DI65,'CPI USA'!$T:$U,2,FALSE))</f>
        <v/>
      </c>
      <c r="DK65" s="32" t="str">
        <f>IF(DI65="","",VLOOKUP(DI65,'PPI USA'!$S:$T,2,FALSE))</f>
        <v/>
      </c>
      <c r="DL65" s="32" t="str">
        <f>IF(DI65="","",VLOOKUP(DI65,'CPI USA'!$T:$V,3,FALSE))</f>
        <v/>
      </c>
      <c r="DM65" s="32" t="str">
        <f>IF(DI65="","",VLOOKUP(DI65,'CPI USA'!$T:$X,5,FALSE))</f>
        <v/>
      </c>
      <c r="DN65" s="32" t="str">
        <f t="shared" si="35"/>
        <v/>
      </c>
      <c r="DO65" s="32" t="str">
        <f t="shared" si="36"/>
        <v/>
      </c>
      <c r="DP65" s="32" t="str">
        <f t="shared" si="37"/>
        <v/>
      </c>
      <c r="DQ65" s="32" t="str">
        <f>IF(DP65="","",DP65*$DO$1/'CPI USA'!$U$532+(1-DP65)*AVERAGE($DO$1,$DQ$1)/AVERAGE('CPI USA'!$U$532,'PPI USA'!$T$538))</f>
        <v/>
      </c>
      <c r="DR65" s="6">
        <f t="shared" si="38"/>
        <v>0</v>
      </c>
      <c r="DS65" s="32" t="str">
        <f t="shared" si="39"/>
        <v/>
      </c>
      <c r="DT65" s="28" t="str">
        <f>IF(DS65="","",DS65*$DO$1/'CPI USA'!$U$532+(1-DS65)*AVERAGE($DO$1,$DQ$1)/AVERAGE('CPI USA'!$U$532,'PPI USA'!$T$538))</f>
        <v/>
      </c>
      <c r="DU65" s="6" t="str">
        <f t="shared" si="40"/>
        <v/>
      </c>
      <c r="DV65" s="6">
        <f t="shared" si="41"/>
        <v>0</v>
      </c>
      <c r="DW65" s="6">
        <f t="shared" si="42"/>
        <v>0</v>
      </c>
      <c r="DX65" s="16" t="str">
        <f t="shared" si="43"/>
        <v/>
      </c>
      <c r="DY65" s="28" t="str">
        <f>IF(DX65="","",DX65*$DO$1/'CPI USA'!$U$532+(1-DX65)*AVERAGE($DO$1,$DQ$1)/AVERAGE('CPI USA'!$U$532,'PPI USA'!$T$538))</f>
        <v/>
      </c>
      <c r="DZ65" s="30"/>
      <c r="EA65" s="29" t="str">
        <f t="shared" si="44"/>
        <v>C000622</v>
      </c>
      <c r="EB65" s="29" t="str">
        <f t="shared" si="45"/>
        <v/>
      </c>
      <c r="EC65" s="29" t="str">
        <f t="shared" si="46"/>
        <v/>
      </c>
      <c r="ED65" s="29" t="str">
        <f t="shared" si="47"/>
        <v/>
      </c>
      <c r="EE65" s="29" t="str">
        <f t="shared" si="48"/>
        <v/>
      </c>
      <c r="EF65" s="29" t="str">
        <f t="shared" si="49"/>
        <v/>
      </c>
      <c r="EG65" s="29" t="str">
        <f t="shared" si="50"/>
        <v/>
      </c>
      <c r="EH65" s="29" t="str">
        <f t="shared" si="51"/>
        <v/>
      </c>
      <c r="EI65" s="29" t="str">
        <f t="shared" si="52"/>
        <v/>
      </c>
      <c r="EJ65" s="29" t="str">
        <f t="shared" si="53"/>
        <v/>
      </c>
      <c r="EK65" s="29" t="str">
        <f t="shared" si="54"/>
        <v/>
      </c>
      <c r="EL65" s="29" t="str">
        <f>IF(CD65=1,VLOOKUP(EA65,'EIA 2023'!$A$2:$J$213,4,0)*EH65,"")</f>
        <v/>
      </c>
      <c r="EM65" s="29" t="str">
        <f>IF(CD65=1,VLOOKUP(EA65,'EIA 2023'!$A$2:$J$213,7,0)*EH65,"")</f>
        <v/>
      </c>
      <c r="EN65" s="29" t="str">
        <f>IF(CD65=1,VLOOKUP(EA65,'EIA 2023'!$A$2:$J$213,10,0),"")</f>
        <v/>
      </c>
      <c r="EO65" s="28" t="str">
        <f>IF(CD65=1,VLOOKUP(EA65,'EIA 2023'!$A$2:$Z$213,26,0),"")</f>
        <v/>
      </c>
      <c r="EP65" s="23" t="str">
        <f t="shared" si="55"/>
        <v/>
      </c>
      <c r="EQ65" s="32" t="str">
        <f t="shared" si="56"/>
        <v/>
      </c>
      <c r="ER65" s="32" t="str">
        <f t="shared" si="57"/>
        <v/>
      </c>
      <c r="ES65" s="32"/>
      <c r="ET65" s="32"/>
    </row>
    <row r="66" spans="1:150" ht="15.75" customHeight="1">
      <c r="A66" s="7" t="s">
        <v>402</v>
      </c>
      <c r="B66" s="7" t="s">
        <v>403</v>
      </c>
      <c r="C66" s="32" t="s">
        <v>1151</v>
      </c>
      <c r="D66" s="42">
        <v>168148318</v>
      </c>
      <c r="E66" s="42">
        <v>0</v>
      </c>
      <c r="F66" s="42">
        <v>2183942</v>
      </c>
      <c r="G66" s="42">
        <v>1310069729</v>
      </c>
      <c r="H66" s="42">
        <v>1319037706</v>
      </c>
      <c r="I66" s="42">
        <v>27075792</v>
      </c>
      <c r="J66" s="42">
        <v>6203691</v>
      </c>
      <c r="K66" s="42">
        <v>1799517</v>
      </c>
      <c r="L66" s="42">
        <v>5941889</v>
      </c>
      <c r="M66" s="42">
        <v>6514849</v>
      </c>
      <c r="N66" s="42">
        <v>6019980</v>
      </c>
      <c r="O66" s="42">
        <v>97352721</v>
      </c>
      <c r="P66" s="42">
        <v>727167</v>
      </c>
      <c r="Q66" s="42">
        <v>360569</v>
      </c>
      <c r="R66" s="42">
        <v>8278</v>
      </c>
      <c r="S66" s="42">
        <v>7305658</v>
      </c>
      <c r="T66" s="42">
        <v>166066541</v>
      </c>
      <c r="U66" s="42">
        <v>17396472</v>
      </c>
      <c r="V66" s="42">
        <v>3817</v>
      </c>
      <c r="W66" s="42">
        <v>3929152</v>
      </c>
      <c r="X66" s="42">
        <f>IFERROR(VLOOKUP(A66,'Trans 21-23'!$A$2:$J$229,10,0),0)</f>
        <v>0</v>
      </c>
      <c r="Y66" s="42">
        <v>14069461</v>
      </c>
      <c r="Z66" s="42">
        <v>2521177</v>
      </c>
      <c r="AA66" s="42">
        <v>135113937</v>
      </c>
      <c r="AB66" s="42">
        <v>214342245</v>
      </c>
      <c r="AC66" s="42">
        <v>4925</v>
      </c>
      <c r="AD66" s="42">
        <v>626994170</v>
      </c>
      <c r="AE66" s="42">
        <v>0</v>
      </c>
      <c r="AF66" s="42">
        <v>3010860290</v>
      </c>
      <c r="AG66" s="42">
        <v>512632</v>
      </c>
      <c r="AH66" s="42">
        <v>822459</v>
      </c>
      <c r="AI66" s="42">
        <v>14697735</v>
      </c>
      <c r="AJ66" s="42">
        <v>68046</v>
      </c>
      <c r="AK66" s="42">
        <v>0</v>
      </c>
      <c r="AL66" s="42">
        <v>2003818</v>
      </c>
      <c r="AM66" s="42">
        <v>1868067</v>
      </c>
      <c r="AN66" s="42">
        <v>670435</v>
      </c>
      <c r="AO66" s="42">
        <v>77149</v>
      </c>
      <c r="AP66" s="42">
        <v>0</v>
      </c>
      <c r="AQ66" s="42">
        <v>4619469</v>
      </c>
      <c r="AR66" s="42">
        <v>9187761</v>
      </c>
      <c r="AS66" s="42">
        <v>13807230</v>
      </c>
      <c r="AT66" s="42">
        <v>0</v>
      </c>
      <c r="AU66" s="42">
        <v>4572</v>
      </c>
      <c r="AV66" s="42">
        <v>0</v>
      </c>
      <c r="AW66" s="42">
        <v>1505609168</v>
      </c>
      <c r="AX66" s="42">
        <v>2004258799</v>
      </c>
      <c r="AY66" s="42">
        <v>2325557839</v>
      </c>
      <c r="AZ66" s="42">
        <v>316136860</v>
      </c>
      <c r="BA66" s="42">
        <v>41427188</v>
      </c>
      <c r="BB66" s="42">
        <v>10887402425</v>
      </c>
      <c r="BC66" s="42">
        <v>21235850093</v>
      </c>
      <c r="BD66" s="42">
        <v>614792320</v>
      </c>
      <c r="BE66" s="42">
        <v>3953158673</v>
      </c>
      <c r="BF66" s="42">
        <v>402402145</v>
      </c>
      <c r="BG66" s="42">
        <v>0</v>
      </c>
      <c r="BH66" s="42">
        <v>77850196</v>
      </c>
      <c r="BI66" s="42">
        <v>19469244</v>
      </c>
      <c r="BJ66" s="42">
        <v>18488069</v>
      </c>
      <c r="BK66" s="42">
        <v>0</v>
      </c>
      <c r="BL66" s="42">
        <v>0</v>
      </c>
      <c r="BM66" s="42">
        <v>58197405</v>
      </c>
      <c r="BN66" s="42">
        <v>220829968</v>
      </c>
      <c r="BO66" s="42">
        <v>42317466</v>
      </c>
      <c r="BP66" s="42">
        <v>845724</v>
      </c>
      <c r="BQ66" s="42">
        <v>423394601</v>
      </c>
      <c r="BR66" s="42">
        <v>0</v>
      </c>
      <c r="BS66" s="42">
        <f>IFERROR(VLOOKUP(A66,'Trans 21-23'!$A$2:$J$229,9,0),0)</f>
        <v>0</v>
      </c>
      <c r="BT66" s="67"/>
      <c r="BU66" s="32">
        <f t="shared" si="0"/>
        <v>10887402425</v>
      </c>
      <c r="BV66" s="32">
        <f t="shared" si="1"/>
        <v>4572</v>
      </c>
      <c r="BW66" s="32">
        <f t="shared" si="2"/>
        <v>512632</v>
      </c>
      <c r="BX66" s="32">
        <f t="shared" si="3"/>
        <v>346706093</v>
      </c>
      <c r="BY66" s="32">
        <f t="shared" si="4"/>
        <v>366051745</v>
      </c>
      <c r="BZ66" s="32">
        <f t="shared" si="5"/>
        <v>316136860</v>
      </c>
      <c r="CA66" s="32">
        <f t="shared" si="6"/>
        <v>626994170</v>
      </c>
      <c r="CB66" s="32">
        <f t="shared" si="7"/>
        <v>822459</v>
      </c>
      <c r="CC66" s="32">
        <f t="shared" si="8"/>
        <v>4619469</v>
      </c>
      <c r="CD66" s="41">
        <f t="shared" si="64"/>
        <v>1</v>
      </c>
      <c r="CE66" s="44">
        <f t="shared" si="10"/>
        <v>12</v>
      </c>
      <c r="CF66" s="27"/>
      <c r="CG66" s="28">
        <f t="shared" si="11"/>
        <v>2381.3216152668419</v>
      </c>
      <c r="CH66" s="28">
        <f t="shared" si="12"/>
        <v>8.9186785062188854</v>
      </c>
      <c r="CI66" s="28">
        <f t="shared" si="13"/>
        <v>676.32549860328652</v>
      </c>
      <c r="CJ66" s="28">
        <f t="shared" si="14"/>
        <v>616.69357355763975</v>
      </c>
      <c r="CK66" s="23">
        <f t="shared" si="15"/>
        <v>0.17804189182782695</v>
      </c>
      <c r="CL66" s="29" t="str">
        <f t="shared" si="16"/>
        <v/>
      </c>
      <c r="CM66" s="29" t="str">
        <f t="shared" si="17"/>
        <v/>
      </c>
      <c r="CN66" s="29" t="str">
        <f t="shared" si="18"/>
        <v/>
      </c>
      <c r="CO66" s="29" t="str">
        <f t="shared" si="19"/>
        <v/>
      </c>
      <c r="CP66" s="29" t="str">
        <f t="shared" si="20"/>
        <v/>
      </c>
      <c r="CQ66" s="29">
        <f t="shared" si="21"/>
        <v>0</v>
      </c>
      <c r="CR66" s="13"/>
      <c r="CS66" s="7">
        <f>VLOOKUP(A66,'Empresas 21-23'!$A$2:$M$228,13,0)</f>
        <v>1</v>
      </c>
      <c r="CT66" s="30"/>
      <c r="CU66" s="6">
        <f t="shared" si="22"/>
        <v>7931948394.2000008</v>
      </c>
      <c r="CV66" s="6">
        <f t="shared" si="23"/>
        <v>316136860</v>
      </c>
      <c r="CW66" s="6">
        <f t="shared" si="24"/>
        <v>614792320</v>
      </c>
      <c r="CX66" s="23">
        <f t="shared" si="62"/>
        <v>0.38465283796380356</v>
      </c>
      <c r="CY66" s="23">
        <f t="shared" si="63"/>
        <v>1.533077805610588E-2</v>
      </c>
      <c r="CZ66" s="6">
        <f t="shared" si="27"/>
        <v>8168430004.8463516</v>
      </c>
      <c r="DA66" s="6">
        <f t="shared" si="28"/>
        <v>325562104.60851842</v>
      </c>
      <c r="DB66" s="6">
        <f t="shared" si="29"/>
        <v>346706093</v>
      </c>
      <c r="DC66" s="6">
        <f t="shared" si="30"/>
        <v>346706093</v>
      </c>
      <c r="DD66" s="6">
        <f t="shared" si="31"/>
        <v>366051745</v>
      </c>
      <c r="DE66" s="6">
        <f t="shared" si="32"/>
        <v>626994170</v>
      </c>
      <c r="DF66" s="6">
        <f t="shared" si="33"/>
        <v>499605288.46254212</v>
      </c>
      <c r="DG66" s="30"/>
      <c r="DH66" s="32">
        <f>VLOOKUP(A66,'T_med_comp-USA'!$A$7:$Q$233,17,0)</f>
        <v>10.464831168647338</v>
      </c>
      <c r="DI66" s="6" t="str">
        <f t="shared" si="34"/>
        <v>7_2013</v>
      </c>
      <c r="DJ66" s="32">
        <f>IF(DI66="","",VLOOKUP(DI66,'CPI USA'!$T:$U,2,FALSE))</f>
        <v>233.596</v>
      </c>
      <c r="DK66" s="32">
        <f>IF(DI66="","",VLOOKUP(DI66,'PPI USA'!$S:$T,2,FALSE))</f>
        <v>176</v>
      </c>
      <c r="DL66" s="32">
        <f>IF(DI66="","",VLOOKUP(DI66,'CPI USA'!$T:$V,3,FALSE))</f>
        <v>0.67305131835944076</v>
      </c>
      <c r="DM66" s="32">
        <f>IF(DI66="","",VLOOKUP(DI66,'CPI USA'!$T:$X,5,FALSE))</f>
        <v>0.50163050295255052</v>
      </c>
      <c r="DN66" s="32">
        <f t="shared" si="35"/>
        <v>1.3680354489709332</v>
      </c>
      <c r="DO66" s="32">
        <f t="shared" si="36"/>
        <v>1.3801391301464276</v>
      </c>
      <c r="DP66" s="32">
        <f t="shared" si="37"/>
        <v>0.26757119994591133</v>
      </c>
      <c r="DQ66" s="32">
        <f>IF(DP66="","",DP66*$DO$1/'CPI USA'!$U$532+(1-DP66)*AVERAGE($DO$1,$DQ$1)/AVERAGE('CPI USA'!$U$532,'PPI USA'!$T$538))</f>
        <v>1.0411223710298558</v>
      </c>
      <c r="DR66" s="6">
        <f t="shared" si="38"/>
        <v>37957313</v>
      </c>
      <c r="DS66" s="32">
        <f t="shared" si="39"/>
        <v>0.2</v>
      </c>
      <c r="DT66" s="28">
        <f>IF(DS66="","",DS66*$DO$1/'CPI USA'!$U$532+(1-DS66)*AVERAGE($DO$1,$DQ$1)/AVERAGE('CPI USA'!$U$532,'PPI USA'!$T$538))</f>
        <v>1.0426818386380585</v>
      </c>
      <c r="DU66" s="6">
        <f t="shared" si="40"/>
        <v>69349726.080695584</v>
      </c>
      <c r="DV66" s="6">
        <f t="shared" si="41"/>
        <v>116481.06248835208</v>
      </c>
      <c r="DW66" s="6">
        <f t="shared" si="42"/>
        <v>36429423.423772529</v>
      </c>
      <c r="DX66" s="16">
        <f t="shared" si="43"/>
        <v>0.2</v>
      </c>
      <c r="DY66" s="28">
        <f>IF(DX66="","",DX66*$DO$1/'CPI USA'!$U$532+(1-DX66)*AVERAGE($DO$1,$DQ$1)/AVERAGE('CPI USA'!$U$532,'PPI USA'!$T$538))</f>
        <v>1.0426818386380585</v>
      </c>
      <c r="DZ66" s="30"/>
      <c r="EA66" s="29" t="str">
        <f t="shared" si="44"/>
        <v>C000685</v>
      </c>
      <c r="EB66" s="29">
        <f t="shared" si="45"/>
        <v>11174701809.067621</v>
      </c>
      <c r="EC66" s="29">
        <f t="shared" si="46"/>
        <v>449320999.86304092</v>
      </c>
      <c r="ED66" s="29">
        <f t="shared" si="47"/>
        <v>360963469.59465772</v>
      </c>
      <c r="EE66" s="29">
        <f t="shared" si="48"/>
        <v>381675506.51326972</v>
      </c>
      <c r="EF66" s="29">
        <f t="shared" si="49"/>
        <v>520929360.76742101</v>
      </c>
      <c r="EG66" s="29">
        <f t="shared" si="50"/>
        <v>4572</v>
      </c>
      <c r="EH66" s="29">
        <f t="shared" si="51"/>
        <v>512632</v>
      </c>
      <c r="EI66" s="29">
        <f t="shared" si="52"/>
        <v>822459</v>
      </c>
      <c r="EJ66" s="29">
        <f t="shared" si="53"/>
        <v>4619469</v>
      </c>
      <c r="EK66" s="29">
        <f t="shared" si="54"/>
        <v>5302012.8578680195</v>
      </c>
      <c r="EL66" s="29">
        <f>IF(CD66=1,VLOOKUP(EA66,'EIA 2023'!$A$2:$J$213,4,0)*EH66,"")</f>
        <v>36186692.880000003</v>
      </c>
      <c r="EM66" s="29">
        <f>IF(CD66=1,VLOOKUP(EA66,'EIA 2023'!$A$2:$J$213,7,0)*EH66,"")</f>
        <v>300914.984</v>
      </c>
      <c r="EN66" s="29">
        <f>IF(CD66=1,VLOOKUP(EA66,'EIA 2023'!$A$2:$J$213,10,0),"")</f>
        <v>1516422</v>
      </c>
      <c r="EO66" s="28">
        <f>IF(CD66=1,VLOOKUP(EA66,'EIA 2023'!$A$2:$Z$213,26,0),"")</f>
        <v>0</v>
      </c>
      <c r="EP66" s="23">
        <f t="shared" si="55"/>
        <v>0.12873296918832364</v>
      </c>
      <c r="EQ66" s="32">
        <f t="shared" si="56"/>
        <v>139915.14213198051</v>
      </c>
      <c r="ER66" s="32">
        <f t="shared" si="57"/>
        <v>682543.85786801949</v>
      </c>
      <c r="ES66" s="32"/>
      <c r="ET66" s="32"/>
    </row>
    <row r="67" spans="1:150" ht="15.75" customHeight="1">
      <c r="A67" s="7" t="s">
        <v>405</v>
      </c>
      <c r="B67" s="7" t="s">
        <v>406</v>
      </c>
      <c r="C67" s="32" t="s">
        <v>1152</v>
      </c>
      <c r="D67" s="42">
        <v>193583219</v>
      </c>
      <c r="E67" s="42">
        <v>0</v>
      </c>
      <c r="F67" s="42">
        <v>227403969</v>
      </c>
      <c r="G67" s="42">
        <v>60957148</v>
      </c>
      <c r="H67" s="42">
        <v>61507000</v>
      </c>
      <c r="I67" s="42">
        <v>1870243</v>
      </c>
      <c r="J67" s="42">
        <v>462337</v>
      </c>
      <c r="K67" s="42">
        <v>1694379</v>
      </c>
      <c r="L67" s="42">
        <v>2076956</v>
      </c>
      <c r="M67" s="42">
        <v>6838091</v>
      </c>
      <c r="N67" s="42">
        <v>0</v>
      </c>
      <c r="O67" s="42">
        <v>7303544</v>
      </c>
      <c r="P67" s="42">
        <v>348478</v>
      </c>
      <c r="Q67" s="42">
        <v>0</v>
      </c>
      <c r="R67" s="42">
        <v>16749</v>
      </c>
      <c r="S67" s="42">
        <v>2109086</v>
      </c>
      <c r="T67" s="42">
        <v>12545353</v>
      </c>
      <c r="U67" s="42">
        <v>762093</v>
      </c>
      <c r="V67" s="42">
        <v>0</v>
      </c>
      <c r="W67" s="42">
        <v>0</v>
      </c>
      <c r="X67" s="42">
        <f>IFERROR(VLOOKUP(A67,'Trans 21-23'!$A$2:$J$229,10,0),0)</f>
        <v>0</v>
      </c>
      <c r="Y67" s="42">
        <v>5184658</v>
      </c>
      <c r="Z67" s="42">
        <v>0</v>
      </c>
      <c r="AA67" s="42">
        <v>11980348</v>
      </c>
      <c r="AB67" s="42">
        <v>22683413</v>
      </c>
      <c r="AC67" s="42">
        <v>0</v>
      </c>
      <c r="AD67" s="42">
        <v>86630778</v>
      </c>
      <c r="AE67" s="42">
        <v>0</v>
      </c>
      <c r="AF67" s="42">
        <v>891627419</v>
      </c>
      <c r="AG67" s="42">
        <v>495176</v>
      </c>
      <c r="AH67" s="42">
        <v>397611</v>
      </c>
      <c r="AI67" s="42">
        <v>17563171</v>
      </c>
      <c r="AJ67" s="42">
        <v>25842</v>
      </c>
      <c r="AK67" s="42">
        <v>0</v>
      </c>
      <c r="AL67" s="42">
        <v>3589536</v>
      </c>
      <c r="AM67" s="42">
        <v>2341242</v>
      </c>
      <c r="AN67" s="42">
        <v>5100357</v>
      </c>
      <c r="AO67" s="42">
        <v>25887</v>
      </c>
      <c r="AP67" s="42">
        <v>0</v>
      </c>
      <c r="AQ67" s="42">
        <v>11057022</v>
      </c>
      <c r="AR67" s="42">
        <v>6082696</v>
      </c>
      <c r="AS67" s="42">
        <v>17139718</v>
      </c>
      <c r="AT67" s="42">
        <v>0</v>
      </c>
      <c r="AU67" s="42">
        <v>2926</v>
      </c>
      <c r="AV67" s="42">
        <v>0</v>
      </c>
      <c r="AW67" s="42">
        <v>569816911</v>
      </c>
      <c r="AX67" s="42">
        <v>73702983</v>
      </c>
      <c r="AY67" s="42">
        <v>749560926</v>
      </c>
      <c r="AZ67" s="42">
        <v>141361763</v>
      </c>
      <c r="BA67" s="42">
        <v>31172473</v>
      </c>
      <c r="BB67" s="42">
        <v>3227546900</v>
      </c>
      <c r="BC67" s="42">
        <v>9346399240</v>
      </c>
      <c r="BD67" s="42">
        <v>155492929</v>
      </c>
      <c r="BE67" s="42">
        <v>875087017</v>
      </c>
      <c r="BF67" s="42">
        <v>68138343</v>
      </c>
      <c r="BG67" s="42">
        <v>0</v>
      </c>
      <c r="BH67" s="42">
        <v>15696476</v>
      </c>
      <c r="BI67" s="42">
        <v>1787135</v>
      </c>
      <c r="BJ67" s="42">
        <v>3202269</v>
      </c>
      <c r="BK67" s="42">
        <v>0</v>
      </c>
      <c r="BL67" s="42">
        <v>0</v>
      </c>
      <c r="BM67" s="42">
        <v>23452830</v>
      </c>
      <c r="BN67" s="42">
        <v>75678374</v>
      </c>
      <c r="BO67" s="42">
        <v>13055998</v>
      </c>
      <c r="BP67" s="42">
        <v>6326413</v>
      </c>
      <c r="BQ67" s="42">
        <v>136527241</v>
      </c>
      <c r="BR67" s="42">
        <v>0</v>
      </c>
      <c r="BS67" s="42">
        <f>IFERROR(VLOOKUP(A67,'Trans 21-23'!$A$2:$J$229,9,0),0)</f>
        <v>0</v>
      </c>
      <c r="BT67" s="67"/>
      <c r="BU67" s="32">
        <f t="shared" si="0"/>
        <v>3227546900</v>
      </c>
      <c r="BV67" s="32">
        <f t="shared" si="1"/>
        <v>2926</v>
      </c>
      <c r="BW67" s="32">
        <f t="shared" si="2"/>
        <v>495176</v>
      </c>
      <c r="BX67" s="32">
        <f t="shared" si="3"/>
        <v>36027309</v>
      </c>
      <c r="BY67" s="32">
        <f t="shared" si="4"/>
        <v>39848419</v>
      </c>
      <c r="BZ67" s="32">
        <f t="shared" si="5"/>
        <v>141361763</v>
      </c>
      <c r="CA67" s="32">
        <f t="shared" si="6"/>
        <v>86630778</v>
      </c>
      <c r="CB67" s="32">
        <f t="shared" si="7"/>
        <v>397611</v>
      </c>
      <c r="CC67" s="32">
        <f t="shared" si="8"/>
        <v>11057022</v>
      </c>
      <c r="CD67" s="41">
        <f t="shared" si="64"/>
        <v>1</v>
      </c>
      <c r="CE67" s="44">
        <f t="shared" si="10"/>
        <v>18</v>
      </c>
      <c r="CF67" s="27"/>
      <c r="CG67" s="28">
        <f t="shared" si="11"/>
        <v>1103.0577238550923</v>
      </c>
      <c r="CH67" s="28">
        <f t="shared" si="12"/>
        <v>5.9090101297316506</v>
      </c>
      <c r="CI67" s="28">
        <f t="shared" si="13"/>
        <v>72.756573420359629</v>
      </c>
      <c r="CJ67" s="28">
        <f t="shared" si="14"/>
        <v>285.47781596846374</v>
      </c>
      <c r="CK67" s="23">
        <f t="shared" si="15"/>
        <v>3.5960044214436764E-2</v>
      </c>
      <c r="CL67" s="29" t="str">
        <f t="shared" si="16"/>
        <v/>
      </c>
      <c r="CM67" s="29" t="str">
        <f t="shared" si="17"/>
        <v/>
      </c>
      <c r="CN67" s="29" t="str">
        <f t="shared" si="18"/>
        <v/>
      </c>
      <c r="CO67" s="29" t="str">
        <f t="shared" si="19"/>
        <v/>
      </c>
      <c r="CP67" s="29" t="str">
        <f t="shared" si="20"/>
        <v/>
      </c>
      <c r="CQ67" s="29">
        <f t="shared" si="21"/>
        <v>0</v>
      </c>
      <c r="CR67" s="13"/>
      <c r="CS67" s="7">
        <f>VLOOKUP(A67,'Empresas 21-23'!$A$2:$M$228,13,0)</f>
        <v>1</v>
      </c>
      <c r="CT67" s="30"/>
      <c r="CU67" s="6">
        <f t="shared" si="22"/>
        <v>2561054318.5999999</v>
      </c>
      <c r="CV67" s="6">
        <f t="shared" si="23"/>
        <v>141361763</v>
      </c>
      <c r="CW67" s="6">
        <f t="shared" si="24"/>
        <v>155492929</v>
      </c>
      <c r="CX67" s="23">
        <f t="shared" si="62"/>
        <v>0.27865090035080003</v>
      </c>
      <c r="CY67" s="23">
        <f t="shared" si="63"/>
        <v>1.5380611902311882E-2</v>
      </c>
      <c r="CZ67" s="6">
        <f t="shared" si="27"/>
        <v>2604382563.2640328</v>
      </c>
      <c r="DA67" s="6">
        <f t="shared" si="28"/>
        <v>143753339.39450273</v>
      </c>
      <c r="DB67" s="6">
        <f t="shared" si="29"/>
        <v>36027309</v>
      </c>
      <c r="DC67" s="6">
        <f t="shared" si="30"/>
        <v>36027309</v>
      </c>
      <c r="DD67" s="6">
        <f t="shared" si="31"/>
        <v>39848419</v>
      </c>
      <c r="DE67" s="6">
        <f t="shared" si="32"/>
        <v>86630778</v>
      </c>
      <c r="DF67" s="6">
        <f t="shared" si="33"/>
        <v>20381777.8339701</v>
      </c>
      <c r="DG67" s="30"/>
      <c r="DH67" s="32">
        <f>VLOOKUP(A67,'T_med_comp-USA'!$A$7:$Q$233,17,0)</f>
        <v>13.043523345608422</v>
      </c>
      <c r="DI67" s="6" t="str">
        <f t="shared" si="34"/>
        <v>12_2010</v>
      </c>
      <c r="DJ67" s="32">
        <f>IF(DI67="","",VLOOKUP(DI67,'CPI USA'!$T:$U,2,FALSE))</f>
        <v>218.05600000000001</v>
      </c>
      <c r="DK67" s="32">
        <f>IF(DI67="","",VLOOKUP(DI67,'PPI USA'!$S:$T,2,FALSE))</f>
        <v>160.80000000000001</v>
      </c>
      <c r="DL67" s="32">
        <f>IF(DI67="","",VLOOKUP(DI67,'CPI USA'!$T:$V,3,FALSE))</f>
        <v>0.67050107279443949</v>
      </c>
      <c r="DM67" s="32">
        <f>IF(DI67="","",VLOOKUP(DI67,'CPI USA'!$T:$X,5,FALSE))</f>
        <v>0.4987389730136107</v>
      </c>
      <c r="DN67" s="32">
        <f t="shared" si="35"/>
        <v>1.4703278680244813</v>
      </c>
      <c r="DO67" s="32">
        <f t="shared" si="36"/>
        <v>1.4857204383544427</v>
      </c>
      <c r="DP67" s="32">
        <f t="shared" si="37"/>
        <v>0.51084650155390421</v>
      </c>
      <c r="DQ67" s="32">
        <f>IF(DP67="","",DP67*$DO$1/'CPI USA'!$U$532+(1-DP67)*AVERAGE($DO$1,$DQ$1)/AVERAGE('CPI USA'!$U$532,'PPI USA'!$T$538))</f>
        <v>1.0355078495615817</v>
      </c>
      <c r="DR67" s="6">
        <f t="shared" si="38"/>
        <v>4989404</v>
      </c>
      <c r="DS67" s="32">
        <f t="shared" si="39"/>
        <v>0.2</v>
      </c>
      <c r="DT67" s="28">
        <f>IF(DS67="","",DS67*$DO$1/'CPI USA'!$U$532+(1-DS67)*AVERAGE($DO$1,$DQ$1)/AVERAGE('CPI USA'!$U$532,'PPI USA'!$T$538))</f>
        <v>1.0426818386380585</v>
      </c>
      <c r="DU67" s="6">
        <f t="shared" si="40"/>
        <v>27498901.359492213</v>
      </c>
      <c r="DV67" s="6">
        <f t="shared" si="41"/>
        <v>1139564.8620513382</v>
      </c>
      <c r="DW67" s="6">
        <f t="shared" si="42"/>
        <v>7828020.6660214886</v>
      </c>
      <c r="DX67" s="16">
        <f t="shared" si="43"/>
        <v>0.38406957085826965</v>
      </c>
      <c r="DY67" s="28">
        <f>IF(DX67="","",DX67*$DO$1/'CPI USA'!$U$532+(1-DX67)*AVERAGE($DO$1,$DQ$1)/AVERAGE('CPI USA'!$U$532,'PPI USA'!$T$538))</f>
        <v>1.0384337191191069</v>
      </c>
      <c r="DZ67" s="30"/>
      <c r="EA67" s="29" t="str">
        <f t="shared" si="44"/>
        <v>C000691</v>
      </c>
      <c r="EB67" s="29">
        <f t="shared" si="45"/>
        <v>3829296261.7641392</v>
      </c>
      <c r="EC67" s="29">
        <f t="shared" si="46"/>
        <v>213577274.42011556</v>
      </c>
      <c r="ED67" s="29">
        <f t="shared" si="47"/>
        <v>37306561.268080622</v>
      </c>
      <c r="EE67" s="29">
        <f t="shared" si="48"/>
        <v>41549222.789739743</v>
      </c>
      <c r="EF67" s="29">
        <f t="shared" si="49"/>
        <v>21165125.358388945</v>
      </c>
      <c r="EG67" s="29">
        <f t="shared" si="50"/>
        <v>2926</v>
      </c>
      <c r="EH67" s="29">
        <f t="shared" si="51"/>
        <v>495176</v>
      </c>
      <c r="EI67" s="29">
        <f t="shared" si="52"/>
        <v>397611</v>
      </c>
      <c r="EJ67" s="29">
        <f t="shared" si="53"/>
        <v>11057022</v>
      </c>
      <c r="EK67" s="29">
        <f t="shared" si="54"/>
        <v>11362003.111675126</v>
      </c>
      <c r="EL67" s="29">
        <f>IF(CD67=1,VLOOKUP(EA67,'EIA 2023'!$A$2:$J$213,4,0)*EH67,"")</f>
        <v>28076479.200000003</v>
      </c>
      <c r="EM67" s="29">
        <f>IF(CD67=1,VLOOKUP(EA67,'EIA 2023'!$A$2:$J$213,7,0)*EH67,"")</f>
        <v>386237.28</v>
      </c>
      <c r="EN67" s="29">
        <f>IF(CD67=1,VLOOKUP(EA67,'EIA 2023'!$A$2:$J$213,10,0),"")</f>
        <v>497668</v>
      </c>
      <c r="EO67" s="28">
        <f>IF(CD67=1,VLOOKUP(EA67,'EIA 2023'!$A$2:$Z$213,26,0),"")</f>
        <v>0</v>
      </c>
      <c r="EP67" s="23">
        <f t="shared" si="55"/>
        <v>2.6842195753470657E-2</v>
      </c>
      <c r="EQ67" s="32">
        <f t="shared" si="56"/>
        <v>92629.888324873522</v>
      </c>
      <c r="ER67" s="32">
        <f t="shared" si="57"/>
        <v>304981.11167512648</v>
      </c>
      <c r="ES67" s="32"/>
      <c r="ET67" s="32"/>
    </row>
    <row r="68" spans="1:150" ht="15.75" customHeight="1">
      <c r="A68" s="7" t="s">
        <v>408</v>
      </c>
      <c r="B68" s="7" t="s">
        <v>409</v>
      </c>
      <c r="C68" s="32" t="s">
        <v>1153</v>
      </c>
      <c r="D68" s="42">
        <v>66457088</v>
      </c>
      <c r="E68" s="42">
        <v>0</v>
      </c>
      <c r="F68" s="42">
        <v>162296730</v>
      </c>
      <c r="G68" s="42">
        <v>110181742</v>
      </c>
      <c r="H68" s="42">
        <v>89876590</v>
      </c>
      <c r="I68" s="42">
        <v>2442529</v>
      </c>
      <c r="J68" s="42">
        <v>1015078</v>
      </c>
      <c r="K68" s="42">
        <v>1949537</v>
      </c>
      <c r="L68" s="42">
        <v>313205</v>
      </c>
      <c r="M68" s="42">
        <v>4339364</v>
      </c>
      <c r="N68" s="42">
        <v>0</v>
      </c>
      <c r="O68" s="42">
        <v>6326138</v>
      </c>
      <c r="P68" s="42">
        <v>467907</v>
      </c>
      <c r="Q68" s="42">
        <v>0</v>
      </c>
      <c r="R68" s="42">
        <v>0</v>
      </c>
      <c r="S68" s="42">
        <v>2326581</v>
      </c>
      <c r="T68" s="42">
        <v>19975758</v>
      </c>
      <c r="U68" s="42">
        <v>1523592</v>
      </c>
      <c r="V68" s="42">
        <v>0</v>
      </c>
      <c r="W68" s="42">
        <v>961</v>
      </c>
      <c r="X68" s="42">
        <f>IFERROR(VLOOKUP(A68,'Trans 21-23'!$A$2:$J$229,10,0),0)</f>
        <v>0</v>
      </c>
      <c r="Y68" s="42">
        <v>879978</v>
      </c>
      <c r="Z68" s="42">
        <v>0</v>
      </c>
      <c r="AA68" s="42">
        <v>17569460</v>
      </c>
      <c r="AB68" s="42">
        <v>25692228</v>
      </c>
      <c r="AC68" s="42">
        <v>0</v>
      </c>
      <c r="AD68" s="42">
        <v>98241183</v>
      </c>
      <c r="AE68" s="42">
        <v>0</v>
      </c>
      <c r="AF68" s="42">
        <v>996748236</v>
      </c>
      <c r="AG68" s="42">
        <v>500042</v>
      </c>
      <c r="AH68" s="42">
        <v>196727</v>
      </c>
      <c r="AI68" s="42">
        <v>17558706</v>
      </c>
      <c r="AJ68" s="42">
        <v>24495</v>
      </c>
      <c r="AK68" s="42">
        <v>0</v>
      </c>
      <c r="AL68" s="42">
        <v>3586061</v>
      </c>
      <c r="AM68" s="42">
        <v>3987808</v>
      </c>
      <c r="AN68" s="42">
        <v>6334335</v>
      </c>
      <c r="AO68" s="42">
        <v>31830</v>
      </c>
      <c r="AP68" s="42">
        <v>0</v>
      </c>
      <c r="AQ68" s="42">
        <v>13940034</v>
      </c>
      <c r="AR68" s="42">
        <v>3397450</v>
      </c>
      <c r="AS68" s="42">
        <v>17337484</v>
      </c>
      <c r="AT68" s="42">
        <v>0</v>
      </c>
      <c r="AU68" s="42">
        <v>2940</v>
      </c>
      <c r="AV68" s="42">
        <v>0</v>
      </c>
      <c r="AW68" s="42">
        <v>811210931</v>
      </c>
      <c r="AX68" s="42">
        <v>156731280</v>
      </c>
      <c r="AY68" s="42">
        <v>861025023</v>
      </c>
      <c r="AZ68" s="42">
        <v>127669007</v>
      </c>
      <c r="BA68" s="42">
        <v>74837733</v>
      </c>
      <c r="BB68" s="42">
        <v>4065195500</v>
      </c>
      <c r="BC68" s="42">
        <v>9479990690</v>
      </c>
      <c r="BD68" s="42">
        <v>282528151</v>
      </c>
      <c r="BE68" s="42">
        <v>1010035824</v>
      </c>
      <c r="BF68" s="42">
        <v>81474563</v>
      </c>
      <c r="BG68" s="42">
        <v>0</v>
      </c>
      <c r="BH68" s="42">
        <v>19881785</v>
      </c>
      <c r="BI68" s="42">
        <v>2156717</v>
      </c>
      <c r="BJ68" s="42">
        <v>3964898</v>
      </c>
      <c r="BK68" s="42">
        <v>0</v>
      </c>
      <c r="BL68" s="42">
        <v>0</v>
      </c>
      <c r="BM68" s="42">
        <v>27312079</v>
      </c>
      <c r="BN68" s="42">
        <v>71850993</v>
      </c>
      <c r="BO68" s="42">
        <v>14022891</v>
      </c>
      <c r="BP68" s="42">
        <v>4486085</v>
      </c>
      <c r="BQ68" s="42">
        <v>138311426</v>
      </c>
      <c r="BR68" s="42">
        <v>0</v>
      </c>
      <c r="BS68" s="42">
        <f>IFERROR(VLOOKUP(A68,'Trans 21-23'!$A$2:$J$229,9,0),0)</f>
        <v>0</v>
      </c>
      <c r="BT68" s="67"/>
      <c r="BU68" s="32">
        <f t="shared" si="0"/>
        <v>4065195500</v>
      </c>
      <c r="BV68" s="32">
        <f t="shared" si="1"/>
        <v>2940</v>
      </c>
      <c r="BW68" s="32">
        <f t="shared" si="2"/>
        <v>500042</v>
      </c>
      <c r="BX68" s="32">
        <f t="shared" si="3"/>
        <v>40680650</v>
      </c>
      <c r="BY68" s="32">
        <f t="shared" si="4"/>
        <v>44141666</v>
      </c>
      <c r="BZ68" s="32">
        <f t="shared" si="5"/>
        <v>127669007</v>
      </c>
      <c r="CA68" s="32">
        <f t="shared" si="6"/>
        <v>98241183</v>
      </c>
      <c r="CB68" s="32">
        <f t="shared" si="7"/>
        <v>196727</v>
      </c>
      <c r="CC68" s="32">
        <f t="shared" si="8"/>
        <v>13940034</v>
      </c>
      <c r="CD68" s="41">
        <f t="shared" si="64"/>
        <v>1</v>
      </c>
      <c r="CE68" s="44">
        <f t="shared" si="10"/>
        <v>18</v>
      </c>
      <c r="CF68" s="27"/>
      <c r="CG68" s="28">
        <f t="shared" si="11"/>
        <v>1382.7195578231292</v>
      </c>
      <c r="CH68" s="28">
        <f t="shared" si="12"/>
        <v>5.8795061214857949</v>
      </c>
      <c r="CI68" s="28">
        <f t="shared" si="13"/>
        <v>81.354466224837111</v>
      </c>
      <c r="CJ68" s="28">
        <f t="shared" si="14"/>
        <v>255.3165674083377</v>
      </c>
      <c r="CK68" s="23">
        <f t="shared" si="15"/>
        <v>1.4112375909556605E-2</v>
      </c>
      <c r="CL68" s="29" t="str">
        <f t="shared" si="16"/>
        <v/>
      </c>
      <c r="CM68" s="29" t="str">
        <f t="shared" si="17"/>
        <v/>
      </c>
      <c r="CN68" s="29" t="str">
        <f t="shared" si="18"/>
        <v/>
      </c>
      <c r="CO68" s="29" t="str">
        <f t="shared" si="19"/>
        <v/>
      </c>
      <c r="CP68" s="29" t="str">
        <f t="shared" si="20"/>
        <v/>
      </c>
      <c r="CQ68" s="29">
        <f t="shared" si="21"/>
        <v>0</v>
      </c>
      <c r="CR68" s="13"/>
      <c r="CS68" s="7">
        <f>VLOOKUP(A68,'Empresas 21-23'!$A$2:$M$228,13,0)</f>
        <v>1</v>
      </c>
      <c r="CT68" s="30"/>
      <c r="CU68" s="6">
        <f t="shared" si="22"/>
        <v>3252034978.1999998</v>
      </c>
      <c r="CV68" s="6">
        <f t="shared" si="23"/>
        <v>127669007</v>
      </c>
      <c r="CW68" s="6">
        <f t="shared" si="24"/>
        <v>282528151</v>
      </c>
      <c r="CX68" s="23">
        <f t="shared" si="62"/>
        <v>0.35357958397877631</v>
      </c>
      <c r="CY68" s="23">
        <f t="shared" si="63"/>
        <v>1.3880894481346906E-2</v>
      </c>
      <c r="CZ68" s="6">
        <f t="shared" si="27"/>
        <v>3351931164.2928729</v>
      </c>
      <c r="DA68" s="6">
        <f t="shared" si="28"/>
        <v>131590750.45204104</v>
      </c>
      <c r="DB68" s="6">
        <f t="shared" si="29"/>
        <v>40680650</v>
      </c>
      <c r="DC68" s="6">
        <f t="shared" si="30"/>
        <v>40680650</v>
      </c>
      <c r="DD68" s="6">
        <f t="shared" si="31"/>
        <v>44141666</v>
      </c>
      <c r="DE68" s="6">
        <f t="shared" si="32"/>
        <v>98241183</v>
      </c>
      <c r="DF68" s="6">
        <f t="shared" si="33"/>
        <v>14370374.700363778</v>
      </c>
      <c r="DG68" s="30"/>
      <c r="DH68" s="32">
        <f>VLOOKUP(A68,'T_med_comp-USA'!$A$7:$Q$233,17,0)</f>
        <v>12.196453259044141</v>
      </c>
      <c r="DI68" s="6" t="str">
        <f t="shared" si="34"/>
        <v>10_2011</v>
      </c>
      <c r="DJ68" s="32">
        <f>IF(DI68="","",VLOOKUP(DI68,'CPI USA'!$T:$U,2,FALSE))</f>
        <v>224.93899999999999</v>
      </c>
      <c r="DK68" s="32">
        <f>IF(DI68="","",VLOOKUP(DI68,'PPI USA'!$S:$T,2,FALSE))</f>
        <v>169.6</v>
      </c>
      <c r="DL68" s="32">
        <f>IF(DI68="","",VLOOKUP(DI68,'CPI USA'!$T:$V,3,FALSE))</f>
        <v>0.6684022975047168</v>
      </c>
      <c r="DM68" s="32">
        <f>IF(DI68="","",VLOOKUP(DI68,'CPI USA'!$T:$X,5,FALSE))</f>
        <v>0.49636791791307899</v>
      </c>
      <c r="DN68" s="32">
        <f t="shared" si="35"/>
        <v>1.4208751760332547</v>
      </c>
      <c r="DO68" s="32">
        <f t="shared" si="36"/>
        <v>1.4334111417560953</v>
      </c>
      <c r="DP68" s="32">
        <f t="shared" si="37"/>
        <v>0.58411158654537076</v>
      </c>
      <c r="DQ68" s="32">
        <f>IF(DP68="","",DP68*$DO$1/'CPI USA'!$U$532+(1-DP68)*AVERAGE($DO$1,$DQ$1)/AVERAGE('CPI USA'!$U$532,'PPI USA'!$T$538))</f>
        <v>1.0338169734642526</v>
      </c>
      <c r="DR68" s="6">
        <f t="shared" si="38"/>
        <v>6121615</v>
      </c>
      <c r="DS68" s="32">
        <f t="shared" si="39"/>
        <v>0.2</v>
      </c>
      <c r="DT68" s="28">
        <f>IF(DS68="","",DS68*$DO$1/'CPI USA'!$U$532+(1-DS68)*AVERAGE($DO$1,$DQ$1)/AVERAGE('CPI USA'!$U$532,'PPI USA'!$T$538))</f>
        <v>1.0426818386380585</v>
      </c>
      <c r="DU68" s="6">
        <f t="shared" si="40"/>
        <v>32642475.850609832</v>
      </c>
      <c r="DV68" s="6">
        <f t="shared" si="41"/>
        <v>915553.86300652137</v>
      </c>
      <c r="DW68" s="6">
        <f t="shared" si="42"/>
        <v>12144896.45056195</v>
      </c>
      <c r="DX68" s="16">
        <f t="shared" si="43"/>
        <v>0.84513429216668301</v>
      </c>
      <c r="DY68" s="28">
        <f>IF(DX68="","",DX68*$DO$1/'CPI USA'!$U$532+(1-DX68)*AVERAGE($DO$1,$DQ$1)/AVERAGE('CPI USA'!$U$532,'PPI USA'!$T$538))</f>
        <v>1.0277928617902308</v>
      </c>
      <c r="DZ68" s="30"/>
      <c r="EA68" s="29" t="str">
        <f t="shared" si="44"/>
        <v>C000692</v>
      </c>
      <c r="EB68" s="29">
        <f t="shared" si="45"/>
        <v>4762675783.1159887</v>
      </c>
      <c r="EC68" s="29">
        <f t="shared" si="46"/>
        <v>188623647.85000157</v>
      </c>
      <c r="ED68" s="29">
        <f t="shared" si="47"/>
        <v>42056346.461558551</v>
      </c>
      <c r="EE68" s="29">
        <f t="shared" si="48"/>
        <v>46025713.465427071</v>
      </c>
      <c r="EF68" s="29">
        <f t="shared" si="49"/>
        <v>14769768.538284818</v>
      </c>
      <c r="EG68" s="29">
        <f t="shared" si="50"/>
        <v>2940</v>
      </c>
      <c r="EH68" s="29">
        <f t="shared" si="51"/>
        <v>500042</v>
      </c>
      <c r="EI68" s="29">
        <f t="shared" si="52"/>
        <v>196727</v>
      </c>
      <c r="EJ68" s="29">
        <f t="shared" si="53"/>
        <v>13940034</v>
      </c>
      <c r="EK68" s="29">
        <f t="shared" si="54"/>
        <v>14085023.182741117</v>
      </c>
      <c r="EL68" s="29">
        <f>IF(CD68=1,VLOOKUP(EA68,'EIA 2023'!$A$2:$J$213,4,0)*EH68,"")</f>
        <v>44103704.399999999</v>
      </c>
      <c r="EM68" s="29">
        <f>IF(CD68=1,VLOOKUP(EA68,'EIA 2023'!$A$2:$J$213,7,0)*EH68,"")</f>
        <v>500042</v>
      </c>
      <c r="EN68" s="29">
        <f>IF(CD68=1,VLOOKUP(EA68,'EIA 2023'!$A$2:$J$213,10,0),"")</f>
        <v>490211</v>
      </c>
      <c r="EO68" s="28">
        <f>IF(CD68=1,VLOOKUP(EA68,'EIA 2023'!$A$2:$Z$213,26,0),"")</f>
        <v>0</v>
      </c>
      <c r="EP68" s="23">
        <f t="shared" si="55"/>
        <v>1.0293854746279521E-2</v>
      </c>
      <c r="EQ68" s="32">
        <f t="shared" si="56"/>
        <v>51737.817258883268</v>
      </c>
      <c r="ER68" s="32">
        <f t="shared" si="57"/>
        <v>144989.18274111673</v>
      </c>
      <c r="ES68" s="32"/>
      <c r="ET68" s="32"/>
    </row>
    <row r="69" spans="1:150" ht="15.75" customHeight="1">
      <c r="A69" s="7" t="s">
        <v>411</v>
      </c>
      <c r="B69" s="7" t="s">
        <v>412</v>
      </c>
      <c r="C69" s="32" t="s">
        <v>1154</v>
      </c>
      <c r="D69" s="42">
        <v>355552304</v>
      </c>
      <c r="E69" s="42">
        <v>67501388</v>
      </c>
      <c r="F69" s="42">
        <v>24570637</v>
      </c>
      <c r="G69" s="42">
        <v>380574902</v>
      </c>
      <c r="H69" s="42">
        <v>484089972</v>
      </c>
      <c r="I69" s="42">
        <v>9052373</v>
      </c>
      <c r="J69" s="42">
        <v>2161419</v>
      </c>
      <c r="K69" s="42">
        <v>1376351</v>
      </c>
      <c r="L69" s="42">
        <v>13427611</v>
      </c>
      <c r="M69" s="42">
        <v>5280494</v>
      </c>
      <c r="N69" s="42">
        <v>672313</v>
      </c>
      <c r="O69" s="42">
        <v>30878335</v>
      </c>
      <c r="P69" s="42">
        <v>327912</v>
      </c>
      <c r="Q69" s="42">
        <v>1324637</v>
      </c>
      <c r="R69" s="42">
        <v>733337</v>
      </c>
      <c r="S69" s="42">
        <v>12529290</v>
      </c>
      <c r="T69" s="42">
        <v>63366694</v>
      </c>
      <c r="U69" s="42">
        <v>5652582</v>
      </c>
      <c r="V69" s="42">
        <v>1463140</v>
      </c>
      <c r="W69" s="42">
        <v>2087113</v>
      </c>
      <c r="X69" s="42">
        <f>IFERROR(VLOOKUP(A69,'Trans 21-23'!$A$2:$J$229,10,0),0)</f>
        <v>0</v>
      </c>
      <c r="Y69" s="42">
        <v>4218783</v>
      </c>
      <c r="Z69" s="42">
        <v>759657</v>
      </c>
      <c r="AA69" s="42">
        <v>55067827</v>
      </c>
      <c r="AB69" s="42">
        <v>93279709</v>
      </c>
      <c r="AC69" s="42">
        <v>373426</v>
      </c>
      <c r="AD69" s="42">
        <v>188547098</v>
      </c>
      <c r="AE69" s="42">
        <v>0</v>
      </c>
      <c r="AF69" s="42">
        <v>1868523594</v>
      </c>
      <c r="AG69" s="42">
        <v>1254169</v>
      </c>
      <c r="AH69" s="42">
        <v>1367421</v>
      </c>
      <c r="AI69" s="42">
        <v>35814715</v>
      </c>
      <c r="AJ69" s="42">
        <v>0</v>
      </c>
      <c r="AK69" s="42">
        <v>0</v>
      </c>
      <c r="AL69" s="42">
        <v>12803699</v>
      </c>
      <c r="AM69" s="42">
        <v>13451192</v>
      </c>
      <c r="AN69" s="42">
        <v>3975939</v>
      </c>
      <c r="AO69" s="42">
        <v>71150</v>
      </c>
      <c r="AP69" s="42">
        <v>156</v>
      </c>
      <c r="AQ69" s="42">
        <v>30302136</v>
      </c>
      <c r="AR69" s="42">
        <v>4145158</v>
      </c>
      <c r="AS69" s="42">
        <v>34447294</v>
      </c>
      <c r="AT69" s="42">
        <v>0</v>
      </c>
      <c r="AU69" s="42">
        <v>7423</v>
      </c>
      <c r="AV69" s="42">
        <v>0</v>
      </c>
      <c r="AW69" s="42">
        <v>1761848025</v>
      </c>
      <c r="AX69" s="42">
        <v>785734448</v>
      </c>
      <c r="AY69" s="42">
        <v>1292654071</v>
      </c>
      <c r="AZ69" s="42">
        <v>284624097</v>
      </c>
      <c r="BA69" s="42">
        <v>250923857</v>
      </c>
      <c r="BB69" s="42">
        <v>8638168631</v>
      </c>
      <c r="BC69" s="42">
        <v>24113670236</v>
      </c>
      <c r="BD69" s="42">
        <v>1199044246</v>
      </c>
      <c r="BE69" s="42">
        <v>3383430383</v>
      </c>
      <c r="BF69" s="42">
        <v>210688354</v>
      </c>
      <c r="BG69" s="42">
        <v>0</v>
      </c>
      <c r="BH69" s="42">
        <v>69091860</v>
      </c>
      <c r="BI69" s="42">
        <v>19344419</v>
      </c>
      <c r="BJ69" s="42">
        <v>7916441</v>
      </c>
      <c r="BK69" s="42">
        <v>318367</v>
      </c>
      <c r="BL69" s="42">
        <v>0</v>
      </c>
      <c r="BM69" s="42">
        <v>72893120</v>
      </c>
      <c r="BN69" s="42">
        <v>373016279</v>
      </c>
      <c r="BO69" s="42">
        <v>8076759</v>
      </c>
      <c r="BP69" s="42">
        <v>5943053</v>
      </c>
      <c r="BQ69" s="42">
        <v>685697538</v>
      </c>
      <c r="BR69" s="42">
        <v>0</v>
      </c>
      <c r="BS69" s="42">
        <f>IFERROR(VLOOKUP(A69,'Trans 21-23'!$A$2:$J$229,9,0),0)</f>
        <v>0</v>
      </c>
      <c r="BT69" s="67"/>
      <c r="BU69" s="32">
        <f t="shared" si="0"/>
        <v>8638168631</v>
      </c>
      <c r="BV69" s="32">
        <f t="shared" si="1"/>
        <v>7423</v>
      </c>
      <c r="BW69" s="32">
        <f t="shared" si="2"/>
        <v>1254169</v>
      </c>
      <c r="BX69" s="32">
        <f t="shared" si="3"/>
        <v>150333601</v>
      </c>
      <c r="BY69" s="32">
        <f t="shared" si="4"/>
        <v>153699402</v>
      </c>
      <c r="BZ69" s="32">
        <f t="shared" si="5"/>
        <v>284624097</v>
      </c>
      <c r="CA69" s="32">
        <f t="shared" si="6"/>
        <v>188547098</v>
      </c>
      <c r="CB69" s="32">
        <f t="shared" si="7"/>
        <v>1367421</v>
      </c>
      <c r="CC69" s="32">
        <f t="shared" si="8"/>
        <v>30302136</v>
      </c>
      <c r="CD69" s="41">
        <f t="shared" si="64"/>
        <v>1</v>
      </c>
      <c r="CE69" s="44">
        <f t="shared" si="10"/>
        <v>10</v>
      </c>
      <c r="CF69" s="27"/>
      <c r="CG69" s="28">
        <f t="shared" si="11"/>
        <v>1163.7031700121245</v>
      </c>
      <c r="CH69" s="28">
        <f t="shared" si="12"/>
        <v>5.918660084884892</v>
      </c>
      <c r="CI69" s="28">
        <f t="shared" si="13"/>
        <v>119.86710004792018</v>
      </c>
      <c r="CJ69" s="28">
        <f t="shared" si="14"/>
        <v>226.94237937630416</v>
      </c>
      <c r="CK69" s="23">
        <f t="shared" si="15"/>
        <v>4.5126224765145266E-2</v>
      </c>
      <c r="CL69" s="29" t="str">
        <f t="shared" si="16"/>
        <v/>
      </c>
      <c r="CM69" s="29" t="str">
        <f t="shared" si="17"/>
        <v/>
      </c>
      <c r="CN69" s="29" t="str">
        <f t="shared" si="18"/>
        <v/>
      </c>
      <c r="CO69" s="29" t="str">
        <f t="shared" si="19"/>
        <v/>
      </c>
      <c r="CP69" s="29" t="str">
        <f t="shared" si="20"/>
        <v/>
      </c>
      <c r="CQ69" s="29">
        <f t="shared" si="21"/>
        <v>0</v>
      </c>
      <c r="CR69" s="13"/>
      <c r="CS69" s="7">
        <f>VLOOKUP(A69,'Empresas 21-23'!$A$2:$M$228,13,0)</f>
        <v>1</v>
      </c>
      <c r="CT69" s="30"/>
      <c r="CU69" s="6">
        <f t="shared" si="22"/>
        <v>6855587565.6000004</v>
      </c>
      <c r="CV69" s="6">
        <f t="shared" si="23"/>
        <v>284624097</v>
      </c>
      <c r="CW69" s="6">
        <f t="shared" si="24"/>
        <v>1199044246</v>
      </c>
      <c r="CX69" s="23">
        <f t="shared" si="62"/>
        <v>0.29917955320727452</v>
      </c>
      <c r="CY69" s="23">
        <f t="shared" si="63"/>
        <v>1.2421066663894522E-2</v>
      </c>
      <c r="CZ69" s="6">
        <f t="shared" si="27"/>
        <v>7214317087.3940334</v>
      </c>
      <c r="DA69" s="6">
        <f t="shared" si="28"/>
        <v>299517505.51252514</v>
      </c>
      <c r="DB69" s="6">
        <f t="shared" si="29"/>
        <v>150333601</v>
      </c>
      <c r="DC69" s="6">
        <f t="shared" si="30"/>
        <v>150333601</v>
      </c>
      <c r="DD69" s="6">
        <f t="shared" si="31"/>
        <v>153699402</v>
      </c>
      <c r="DE69" s="6">
        <f t="shared" si="32"/>
        <v>188547098</v>
      </c>
      <c r="DF69" s="6">
        <f t="shared" si="33"/>
        <v>76610232.074968442</v>
      </c>
      <c r="DG69" s="30"/>
      <c r="DH69" s="32">
        <f>VLOOKUP(A69,'T_med_comp-USA'!$A$7:$Q$233,17,0)</f>
        <v>16.463784284588034</v>
      </c>
      <c r="DI69" s="6" t="str">
        <f t="shared" si="34"/>
        <v>7_2007</v>
      </c>
      <c r="DJ69" s="32">
        <f>IF(DI69="","",VLOOKUP(DI69,'CPI USA'!$T:$U,2,FALSE))</f>
        <v>207.34200000000001</v>
      </c>
      <c r="DK69" s="32">
        <f>IF(DI69="","",VLOOKUP(DI69,'PPI USA'!$S:$T,2,FALSE))</f>
        <v>151.69999999999999</v>
      </c>
      <c r="DL69" s="32">
        <f>IF(DI69="","",VLOOKUP(DI69,'CPI USA'!$T:$V,3,FALSE))</f>
        <v>0.67123734379962852</v>
      </c>
      <c r="DM69" s="32">
        <f>IF(DI69="","",VLOOKUP(DI69,'CPI USA'!$T:$X,5,FALSE))</f>
        <v>0.49957259686190569</v>
      </c>
      <c r="DN69" s="32">
        <f t="shared" si="35"/>
        <v>1.5480022216582647</v>
      </c>
      <c r="DO69" s="32">
        <f t="shared" si="36"/>
        <v>1.5651038394149617</v>
      </c>
      <c r="DP69" s="32">
        <f t="shared" si="37"/>
        <v>0.46954157605494534</v>
      </c>
      <c r="DQ69" s="32">
        <f>IF(DP69="","",DP69*$DO$1/'CPI USA'!$U$532+(1-DP69)*AVERAGE($DO$1,$DQ$1)/AVERAGE('CPI USA'!$U$532,'PPI USA'!$T$538))</f>
        <v>1.0364611209764214</v>
      </c>
      <c r="DR69" s="6">
        <f t="shared" si="38"/>
        <v>27579227</v>
      </c>
      <c r="DS69" s="32">
        <f t="shared" si="39"/>
        <v>0.2</v>
      </c>
      <c r="DT69" s="28">
        <f>IF(DS69="","",DS69*$DO$1/'CPI USA'!$U$532+(1-DS69)*AVERAGE($DO$1,$DQ$1)/AVERAGE('CPI USA'!$U$532,'PPI USA'!$T$538))</f>
        <v>1.0426818386380585</v>
      </c>
      <c r="DU69" s="6">
        <f t="shared" si="40"/>
        <v>74471442.974472865</v>
      </c>
      <c r="DV69" s="6">
        <f t="shared" si="41"/>
        <v>637300.20920032612</v>
      </c>
      <c r="DW69" s="6">
        <f t="shared" si="42"/>
        <v>19465219.765300184</v>
      </c>
      <c r="DX69" s="16">
        <f t="shared" si="43"/>
        <v>0.25408120087995706</v>
      </c>
      <c r="DY69" s="28">
        <f>IF(DX69="","",DX69*$DO$1/'CPI USA'!$U$532+(1-DX69)*AVERAGE($DO$1,$DQ$1)/AVERAGE('CPI USA'!$U$532,'PPI USA'!$T$538))</f>
        <v>1.0414337050981406</v>
      </c>
      <c r="DZ69" s="30"/>
      <c r="EA69" s="29" t="str">
        <f t="shared" si="44"/>
        <v>C000744</v>
      </c>
      <c r="EB69" s="29">
        <f t="shared" si="45"/>
        <v>11167778879.033146</v>
      </c>
      <c r="EC69" s="29">
        <f t="shared" si="46"/>
        <v>468775997.84964502</v>
      </c>
      <c r="ED69" s="29">
        <f t="shared" si="47"/>
        <v>155814932.61288208</v>
      </c>
      <c r="EE69" s="29">
        <f t="shared" si="48"/>
        <v>160259575.0749301</v>
      </c>
      <c r="EF69" s="29">
        <f t="shared" si="49"/>
        <v>79784477.838262796</v>
      </c>
      <c r="EG69" s="29">
        <f t="shared" si="50"/>
        <v>7423</v>
      </c>
      <c r="EH69" s="29">
        <f t="shared" si="51"/>
        <v>1254169</v>
      </c>
      <c r="EI69" s="29">
        <f t="shared" si="52"/>
        <v>1367421</v>
      </c>
      <c r="EJ69" s="29">
        <f t="shared" si="53"/>
        <v>30302136</v>
      </c>
      <c r="EK69" s="29">
        <f t="shared" si="54"/>
        <v>31606432.766497463</v>
      </c>
      <c r="EL69" s="29">
        <f>IF(CD69=1,VLOOKUP(EA69,'EIA 2023'!$A$2:$J$213,4,0)*EH69,"")</f>
        <v>116637717</v>
      </c>
      <c r="EM69" s="29">
        <f>IF(CD69=1,VLOOKUP(EA69,'EIA 2023'!$A$2:$J$213,7,0)*EH69,"")</f>
        <v>1479919.42</v>
      </c>
      <c r="EN69" s="29">
        <f>IF(CD69=1,VLOOKUP(EA69,'EIA 2023'!$A$2:$J$213,10,0),"")</f>
        <v>1250842</v>
      </c>
      <c r="EO69" s="28">
        <f>IF(CD69=1,VLOOKUP(EA69,'EIA 2023'!$A$2:$Z$213,26,0),"")</f>
        <v>0</v>
      </c>
      <c r="EP69" s="23">
        <f t="shared" si="55"/>
        <v>4.1266813503863839E-2</v>
      </c>
      <c r="EQ69" s="32">
        <f t="shared" si="56"/>
        <v>63124.233502537943</v>
      </c>
      <c r="ER69" s="32">
        <f t="shared" si="57"/>
        <v>1304296.7664974621</v>
      </c>
      <c r="ES69" s="32"/>
      <c r="ET69" s="32"/>
    </row>
    <row r="70" spans="1:150" ht="15.75" customHeight="1">
      <c r="A70" s="7" t="s">
        <v>414</v>
      </c>
      <c r="B70" s="7" t="s">
        <v>415</v>
      </c>
      <c r="C70" s="32" t="s">
        <v>1155</v>
      </c>
      <c r="D70" s="42">
        <v>0</v>
      </c>
      <c r="E70" s="42">
        <v>0</v>
      </c>
      <c r="F70" s="42">
        <v>0</v>
      </c>
      <c r="G70" s="42">
        <v>670752010</v>
      </c>
      <c r="H70" s="42">
        <v>716016538</v>
      </c>
      <c r="I70" s="42">
        <v>8835355</v>
      </c>
      <c r="J70" s="42">
        <v>2364383</v>
      </c>
      <c r="K70" s="42">
        <v>4362631</v>
      </c>
      <c r="L70" s="42">
        <v>22334973</v>
      </c>
      <c r="M70" s="42">
        <v>4386726</v>
      </c>
      <c r="N70" s="42">
        <v>1439625</v>
      </c>
      <c r="O70" s="42">
        <v>42539195</v>
      </c>
      <c r="P70" s="42">
        <v>652523</v>
      </c>
      <c r="Q70" s="42">
        <v>1191904</v>
      </c>
      <c r="R70" s="42">
        <v>1402058</v>
      </c>
      <c r="S70" s="42">
        <v>35302605</v>
      </c>
      <c r="T70" s="42">
        <v>132856400</v>
      </c>
      <c r="U70" s="42">
        <v>7249906</v>
      </c>
      <c r="V70" s="42">
        <v>1489242</v>
      </c>
      <c r="W70" s="42">
        <v>3139733</v>
      </c>
      <c r="X70" s="42">
        <f>IFERROR(VLOOKUP(A70,'Trans 21-23'!$A$2:$J$229,10,0),0)</f>
        <v>0</v>
      </c>
      <c r="Y70" s="42">
        <v>17553973</v>
      </c>
      <c r="Z70" s="42">
        <v>219696</v>
      </c>
      <c r="AA70" s="42">
        <v>60858652</v>
      </c>
      <c r="AB70" s="42">
        <v>58608859</v>
      </c>
      <c r="AC70" s="42">
        <v>3168</v>
      </c>
      <c r="AD70" s="42">
        <v>88022326</v>
      </c>
      <c r="AE70" s="42">
        <v>0</v>
      </c>
      <c r="AF70" s="42">
        <v>1360430584</v>
      </c>
      <c r="AG70" s="42">
        <v>1226027</v>
      </c>
      <c r="AH70" s="42">
        <v>255232</v>
      </c>
      <c r="AI70" s="42">
        <v>10747242</v>
      </c>
      <c r="AJ70" s="42">
        <v>0</v>
      </c>
      <c r="AK70" s="42">
        <v>0</v>
      </c>
      <c r="AL70" s="42">
        <v>6052859</v>
      </c>
      <c r="AM70" s="42">
        <v>2452569</v>
      </c>
      <c r="AN70" s="42">
        <v>582777</v>
      </c>
      <c r="AO70" s="42">
        <v>45434</v>
      </c>
      <c r="AP70" s="42">
        <v>42722</v>
      </c>
      <c r="AQ70" s="42">
        <v>9176361</v>
      </c>
      <c r="AR70" s="42">
        <v>1315649</v>
      </c>
      <c r="AS70" s="42">
        <v>10492010</v>
      </c>
      <c r="AT70" s="42">
        <v>0</v>
      </c>
      <c r="AU70" s="42">
        <v>2281</v>
      </c>
      <c r="AV70" s="42">
        <v>0</v>
      </c>
      <c r="AW70" s="42">
        <v>1595610643</v>
      </c>
      <c r="AX70" s="42">
        <v>159062789</v>
      </c>
      <c r="AY70" s="42">
        <v>852878013</v>
      </c>
      <c r="AZ70" s="42">
        <v>301784534</v>
      </c>
      <c r="BA70" s="42">
        <v>368036295</v>
      </c>
      <c r="BB70" s="42">
        <v>8163171107</v>
      </c>
      <c r="BC70" s="42">
        <v>15330902973</v>
      </c>
      <c r="BD70" s="42">
        <v>948317786</v>
      </c>
      <c r="BE70" s="42">
        <v>3688983192</v>
      </c>
      <c r="BF70" s="42">
        <v>255633562</v>
      </c>
      <c r="BG70" s="42">
        <v>0</v>
      </c>
      <c r="BH70" s="42">
        <v>108049090</v>
      </c>
      <c r="BI70" s="42">
        <v>15212003</v>
      </c>
      <c r="BJ70" s="42">
        <v>689302</v>
      </c>
      <c r="BK70" s="42">
        <v>0</v>
      </c>
      <c r="BL70" s="42">
        <v>0</v>
      </c>
      <c r="BM70" s="42">
        <v>67512348</v>
      </c>
      <c r="BN70" s="42">
        <v>206109187</v>
      </c>
      <c r="BO70" s="42">
        <v>4619955</v>
      </c>
      <c r="BP70" s="42">
        <v>2390235</v>
      </c>
      <c r="BQ70" s="42">
        <v>556737340</v>
      </c>
      <c r="BR70" s="42">
        <v>0</v>
      </c>
      <c r="BS70" s="42">
        <f>IFERROR(VLOOKUP(A70,'Trans 21-23'!$A$2:$J$229,9,0),0)</f>
        <v>0</v>
      </c>
      <c r="BT70" s="67"/>
      <c r="BU70" s="32">
        <f t="shared" si="0"/>
        <v>8163171107</v>
      </c>
      <c r="BV70" s="32">
        <f t="shared" si="1"/>
        <v>2281</v>
      </c>
      <c r="BW70" s="32">
        <f t="shared" si="2"/>
        <v>1226027</v>
      </c>
      <c r="BX70" s="32">
        <f t="shared" si="3"/>
        <v>269547259</v>
      </c>
      <c r="BY70" s="32">
        <f t="shared" si="4"/>
        <v>137244348</v>
      </c>
      <c r="BZ70" s="32">
        <f t="shared" si="5"/>
        <v>301784534</v>
      </c>
      <c r="CA70" s="32">
        <f t="shared" si="6"/>
        <v>88022326</v>
      </c>
      <c r="CB70" s="32">
        <f t="shared" si="7"/>
        <v>255232</v>
      </c>
      <c r="CC70" s="32">
        <f t="shared" si="8"/>
        <v>9176361</v>
      </c>
      <c r="CD70" s="41">
        <f t="shared" si="64"/>
        <v>1</v>
      </c>
      <c r="CE70" s="44">
        <f t="shared" si="10"/>
        <v>14</v>
      </c>
      <c r="CF70" s="27"/>
      <c r="CG70" s="28">
        <f t="shared" si="11"/>
        <v>3578.768569487067</v>
      </c>
      <c r="CH70" s="28">
        <f t="shared" si="12"/>
        <v>1.8604810497648094</v>
      </c>
      <c r="CI70" s="28">
        <f t="shared" si="13"/>
        <v>219.85426014272116</v>
      </c>
      <c r="CJ70" s="28">
        <f t="shared" si="14"/>
        <v>246.14835888606041</v>
      </c>
      <c r="CK70" s="23">
        <f t="shared" si="15"/>
        <v>2.781407575399442E-2</v>
      </c>
      <c r="CL70" s="29" t="str">
        <f t="shared" si="16"/>
        <v/>
      </c>
      <c r="CM70" s="29" t="str">
        <f t="shared" si="17"/>
        <v/>
      </c>
      <c r="CN70" s="29" t="str">
        <f t="shared" si="18"/>
        <v/>
      </c>
      <c r="CO70" s="29" t="str">
        <f t="shared" si="19"/>
        <v/>
      </c>
      <c r="CP70" s="29" t="str">
        <f t="shared" si="20"/>
        <v/>
      </c>
      <c r="CQ70" s="29">
        <f t="shared" si="21"/>
        <v>0</v>
      </c>
      <c r="CR70" s="13"/>
      <c r="CS70" s="7">
        <f>VLOOKUP(A70,'Empresas 21-23'!$A$2:$M$228,13,0)</f>
        <v>1</v>
      </c>
      <c r="CT70" s="30"/>
      <c r="CU70" s="6">
        <f t="shared" si="22"/>
        <v>6886185796.8000002</v>
      </c>
      <c r="CV70" s="6">
        <f t="shared" si="23"/>
        <v>301784534</v>
      </c>
      <c r="CW70" s="6">
        <f t="shared" si="24"/>
        <v>948317786</v>
      </c>
      <c r="CX70" s="23">
        <f t="shared" si="62"/>
        <v>0.47878637305233712</v>
      </c>
      <c r="CY70" s="23">
        <f t="shared" si="63"/>
        <v>2.0982634907163577E-2</v>
      </c>
      <c r="CZ70" s="6">
        <f t="shared" si="27"/>
        <v>7340227430.0599623</v>
      </c>
      <c r="DA70" s="6">
        <f t="shared" si="28"/>
        <v>321682739.87960768</v>
      </c>
      <c r="DB70" s="6">
        <f t="shared" si="29"/>
        <v>269547259</v>
      </c>
      <c r="DC70" s="6">
        <f t="shared" si="30"/>
        <v>269547259</v>
      </c>
      <c r="DD70" s="6">
        <f t="shared" si="31"/>
        <v>137244348</v>
      </c>
      <c r="DE70" s="6">
        <f t="shared" si="32"/>
        <v>88022326</v>
      </c>
      <c r="DF70" s="6">
        <f t="shared" si="33"/>
        <v>64355277.331262007</v>
      </c>
      <c r="DG70" s="30"/>
      <c r="DH70" s="32">
        <f>VLOOKUP(A70,'T_med_comp-USA'!$A$7:$Q$233,17,0)</f>
        <v>14.001655633406864</v>
      </c>
      <c r="DI70" s="6" t="str">
        <f t="shared" si="34"/>
        <v>1_2010</v>
      </c>
      <c r="DJ70" s="32">
        <f>IF(DI70="","",VLOOKUP(DI70,'CPI USA'!$T:$U,2,FALSE))</f>
        <v>218.05600000000001</v>
      </c>
      <c r="DK70" s="32">
        <f>IF(DI70="","",VLOOKUP(DI70,'PPI USA'!$S:$T,2,FALSE))</f>
        <v>160.80000000000001</v>
      </c>
      <c r="DL70" s="32">
        <f>IF(DI70="","",VLOOKUP(DI70,'CPI USA'!$T:$V,3,FALSE))</f>
        <v>0.67050107279443949</v>
      </c>
      <c r="DM70" s="32">
        <f>IF(DI70="","",VLOOKUP(DI70,'CPI USA'!$T:$X,5,FALSE))</f>
        <v>0.4987389730136107</v>
      </c>
      <c r="DN70" s="32">
        <f t="shared" si="35"/>
        <v>1.4703278680244813</v>
      </c>
      <c r="DO70" s="32">
        <f t="shared" si="36"/>
        <v>1.4857204383544427</v>
      </c>
      <c r="DP70" s="32">
        <f t="shared" si="37"/>
        <v>0.40983915019106543</v>
      </c>
      <c r="DQ70" s="32">
        <f>IF(DP70="","",DP70*$DO$1/'CPI USA'!$U$532+(1-DP70)*AVERAGE($DO$1,$DQ$1)/AVERAGE('CPI USA'!$U$532,'PPI USA'!$T$538))</f>
        <v>1.03783898609263</v>
      </c>
      <c r="DR70" s="6">
        <f t="shared" si="38"/>
        <v>15901305</v>
      </c>
      <c r="DS70" s="32">
        <f t="shared" si="39"/>
        <v>0.2</v>
      </c>
      <c r="DT70" s="28">
        <f>IF(DS70="","",DS70*$DO$1/'CPI USA'!$U$532+(1-DS70)*AVERAGE($DO$1,$DQ$1)/AVERAGE('CPI USA'!$U$532,'PPI USA'!$T$538))</f>
        <v>1.0426818386380585</v>
      </c>
      <c r="DU70" s="6">
        <f t="shared" si="40"/>
        <v>69025643.036694989</v>
      </c>
      <c r="DV70" s="6">
        <f t="shared" si="41"/>
        <v>291099.88248568558</v>
      </c>
      <c r="DW70" s="6">
        <f t="shared" si="42"/>
        <v>41685854.910222404</v>
      </c>
      <c r="DX70" s="16">
        <f t="shared" si="43"/>
        <v>0.6477457116010682</v>
      </c>
      <c r="DY70" s="28">
        <f>IF(DX70="","",DX70*$DO$1/'CPI USA'!$U$532+(1-DX70)*AVERAGE($DO$1,$DQ$1)/AVERAGE('CPI USA'!$U$532,'PPI USA'!$T$538))</f>
        <v>1.0323483691345956</v>
      </c>
      <c r="DZ70" s="30"/>
      <c r="EA70" s="29" t="str">
        <f t="shared" si="44"/>
        <v>C000746</v>
      </c>
      <c r="EB70" s="29">
        <f t="shared" si="45"/>
        <v>10792540948.054882</v>
      </c>
      <c r="EC70" s="29">
        <f t="shared" si="46"/>
        <v>477930621.30498886</v>
      </c>
      <c r="ED70" s="29">
        <f t="shared" si="47"/>
        <v>279746653.98460752</v>
      </c>
      <c r="EE70" s="29">
        <f t="shared" si="48"/>
        <v>143102189.11532155</v>
      </c>
      <c r="EF70" s="29">
        <f t="shared" si="49"/>
        <v>66437065.598132946</v>
      </c>
      <c r="EG70" s="29">
        <f t="shared" si="50"/>
        <v>2281</v>
      </c>
      <c r="EH70" s="29">
        <f t="shared" si="51"/>
        <v>1226027</v>
      </c>
      <c r="EI70" s="29">
        <f t="shared" si="52"/>
        <v>255232</v>
      </c>
      <c r="EJ70" s="29">
        <f t="shared" si="53"/>
        <v>9176361</v>
      </c>
      <c r="EK70" s="29">
        <f t="shared" si="54"/>
        <v>9411557.736040609</v>
      </c>
      <c r="EL70" s="29">
        <f>IF(CD70=1,VLOOKUP(EA70,'EIA 2023'!$A$2:$J$213,4,0)*EH70,"")</f>
        <v>139644475.30000001</v>
      </c>
      <c r="EM70" s="29">
        <f>IF(CD70=1,VLOOKUP(EA70,'EIA 2023'!$A$2:$J$213,7,0)*EH70,"")</f>
        <v>1630615.9100000001</v>
      </c>
      <c r="EN70" s="29">
        <f>IF(CD70=1,VLOOKUP(EA70,'EIA 2023'!$A$2:$J$213,10,0),"")</f>
        <v>1220592</v>
      </c>
      <c r="EO70" s="28">
        <f>IF(CD70=1,VLOOKUP(EA70,'EIA 2023'!$A$2:$Z$213,26,0),"")</f>
        <v>0</v>
      </c>
      <c r="EP70" s="23">
        <f t="shared" si="55"/>
        <v>2.499020275251004E-2</v>
      </c>
      <c r="EQ70" s="32">
        <f t="shared" si="56"/>
        <v>20035.26395939081</v>
      </c>
      <c r="ER70" s="32">
        <f t="shared" si="57"/>
        <v>235196.73604060919</v>
      </c>
      <c r="ES70" s="32"/>
      <c r="ET70" s="32"/>
    </row>
    <row r="71" spans="1:150" ht="15.75" customHeight="1">
      <c r="A71" s="7" t="s">
        <v>417</v>
      </c>
      <c r="B71" s="7" t="s">
        <v>418</v>
      </c>
      <c r="C71" s="32" t="s">
        <v>1156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2">
        <v>0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0</v>
      </c>
      <c r="W71" s="42">
        <v>0</v>
      </c>
      <c r="X71" s="42">
        <f>IFERROR(VLOOKUP(A71,'Trans 21-23'!$A$2:$J$229,10,0),0)</f>
        <v>0</v>
      </c>
      <c r="Y71" s="42">
        <v>0</v>
      </c>
      <c r="Z71" s="42">
        <v>0</v>
      </c>
      <c r="AA71" s="42">
        <v>5240788</v>
      </c>
      <c r="AB71" s="42">
        <v>2463734</v>
      </c>
      <c r="AC71" s="42">
        <v>0</v>
      </c>
      <c r="AD71" s="42">
        <v>142594386</v>
      </c>
      <c r="AE71" s="42">
        <v>0</v>
      </c>
      <c r="AF71" s="42">
        <v>219284295</v>
      </c>
      <c r="AG71" s="42">
        <v>0</v>
      </c>
      <c r="AH71" s="42">
        <v>0</v>
      </c>
      <c r="AI71" s="42">
        <v>0</v>
      </c>
      <c r="AJ71" s="42">
        <v>0</v>
      </c>
      <c r="AK71" s="42">
        <v>0</v>
      </c>
      <c r="AL71" s="42">
        <v>0</v>
      </c>
      <c r="AM71" s="42">
        <v>0</v>
      </c>
      <c r="AN71" s="42">
        <v>0</v>
      </c>
      <c r="AO71" s="42">
        <v>0</v>
      </c>
      <c r="AP71" s="42">
        <v>0</v>
      </c>
      <c r="AQ71" s="42">
        <v>0</v>
      </c>
      <c r="AR71" s="42">
        <v>0</v>
      </c>
      <c r="AS71" s="42">
        <v>0</v>
      </c>
      <c r="AT71" s="42">
        <v>0</v>
      </c>
      <c r="AU71" s="42">
        <v>56184</v>
      </c>
      <c r="AV71" s="42">
        <v>0</v>
      </c>
      <c r="AW71" s="42">
        <v>0</v>
      </c>
      <c r="AX71" s="42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335827610</v>
      </c>
      <c r="BD71" s="42">
        <v>117984554</v>
      </c>
      <c r="BE71" s="42">
        <v>0</v>
      </c>
      <c r="BF71" s="42">
        <v>0</v>
      </c>
      <c r="BG71" s="42">
        <v>0</v>
      </c>
      <c r="BH71" s="42">
        <v>0</v>
      </c>
      <c r="BI71" s="42">
        <v>5232200</v>
      </c>
      <c r="BJ71" s="42">
        <v>2463734</v>
      </c>
      <c r="BK71" s="42">
        <v>0</v>
      </c>
      <c r="BL71" s="42">
        <v>0</v>
      </c>
      <c r="BM71" s="42">
        <v>56648243</v>
      </c>
      <c r="BN71" s="42">
        <v>106269415</v>
      </c>
      <c r="BO71" s="42">
        <v>0</v>
      </c>
      <c r="BP71" s="42">
        <v>0</v>
      </c>
      <c r="BQ71" s="42">
        <v>106269415</v>
      </c>
      <c r="BR71" s="42">
        <v>0</v>
      </c>
      <c r="BS71" s="42">
        <f>IFERROR(VLOOKUP(A71,'Trans 21-23'!$A$2:$J$229,9,0),0)</f>
        <v>0</v>
      </c>
      <c r="BT71" s="67"/>
      <c r="BU71" s="32">
        <f t="shared" si="0"/>
        <v>0</v>
      </c>
      <c r="BV71" s="32">
        <f t="shared" si="1"/>
        <v>56184</v>
      </c>
      <c r="BW71" s="32">
        <f t="shared" si="2"/>
        <v>0</v>
      </c>
      <c r="BX71" s="32">
        <f t="shared" si="3"/>
        <v>0</v>
      </c>
      <c r="BY71" s="32">
        <f t="shared" si="4"/>
        <v>7704522</v>
      </c>
      <c r="BZ71" s="32">
        <f t="shared" si="5"/>
        <v>0</v>
      </c>
      <c r="CA71" s="32">
        <f t="shared" si="6"/>
        <v>142594386</v>
      </c>
      <c r="CB71" s="32">
        <f t="shared" si="7"/>
        <v>0</v>
      </c>
      <c r="CC71" s="32">
        <f t="shared" si="8"/>
        <v>0</v>
      </c>
      <c r="CD71" s="41">
        <f t="shared" si="64"/>
        <v>0</v>
      </c>
      <c r="CE71" s="44">
        <f t="shared" si="10"/>
        <v>56</v>
      </c>
      <c r="CF71" s="27"/>
      <c r="CG71" s="28" t="str">
        <f t="shared" si="11"/>
        <v/>
      </c>
      <c r="CH71" s="28" t="str">
        <f t="shared" si="12"/>
        <v/>
      </c>
      <c r="CI71" s="28" t="str">
        <f t="shared" si="13"/>
        <v/>
      </c>
      <c r="CJ71" s="28" t="str">
        <f t="shared" si="14"/>
        <v/>
      </c>
      <c r="CK71" s="23" t="str">
        <f t="shared" si="15"/>
        <v/>
      </c>
      <c r="CL71" s="29" t="str">
        <f t="shared" si="16"/>
        <v/>
      </c>
      <c r="CM71" s="29" t="str">
        <f t="shared" si="17"/>
        <v/>
      </c>
      <c r="CN71" s="29" t="str">
        <f t="shared" si="18"/>
        <v/>
      </c>
      <c r="CO71" s="29" t="str">
        <f t="shared" si="19"/>
        <v/>
      </c>
      <c r="CP71" s="29" t="str">
        <f t="shared" si="20"/>
        <v/>
      </c>
      <c r="CQ71" s="29" t="str">
        <f t="shared" si="21"/>
        <v/>
      </c>
      <c r="CR71" s="13"/>
      <c r="CS71" s="7" t="str">
        <f>VLOOKUP(A71,'Empresas 21-23'!$A$2:$M$228,13,0)</f>
        <v/>
      </c>
      <c r="CT71" s="30"/>
      <c r="CU71" s="6">
        <f t="shared" si="22"/>
        <v>0</v>
      </c>
      <c r="CV71" s="6">
        <f t="shared" si="23"/>
        <v>0</v>
      </c>
      <c r="CW71" s="6">
        <f t="shared" si="24"/>
        <v>117984554</v>
      </c>
      <c r="CX71" s="23">
        <f t="shared" si="62"/>
        <v>0</v>
      </c>
      <c r="CY71" s="23">
        <f t="shared" si="63"/>
        <v>0</v>
      </c>
      <c r="CZ71" s="6">
        <f t="shared" si="27"/>
        <v>0</v>
      </c>
      <c r="DA71" s="6">
        <f t="shared" si="28"/>
        <v>0</v>
      </c>
      <c r="DB71" s="6">
        <f t="shared" si="29"/>
        <v>0</v>
      </c>
      <c r="DC71" s="6">
        <f t="shared" si="30"/>
        <v>0</v>
      </c>
      <c r="DD71" s="6">
        <f t="shared" si="31"/>
        <v>7704522</v>
      </c>
      <c r="DE71" s="6">
        <f t="shared" si="32"/>
        <v>142594386</v>
      </c>
      <c r="DF71" s="6">
        <f t="shared" si="33"/>
        <v>14325503.815808309</v>
      </c>
      <c r="DG71" s="30"/>
      <c r="DH71" s="32" t="str">
        <f>VLOOKUP(A71,'T_med_comp-USA'!$A$7:$Q$233,17,0)</f>
        <v>-</v>
      </c>
      <c r="DI71" s="6" t="str">
        <f t="shared" si="34"/>
        <v/>
      </c>
      <c r="DJ71" s="32" t="str">
        <f>IF(DI71="","",VLOOKUP(DI71,'CPI USA'!$T:$U,2,FALSE))</f>
        <v/>
      </c>
      <c r="DK71" s="32" t="str">
        <f>IF(DI71="","",VLOOKUP(DI71,'PPI USA'!$S:$T,2,FALSE))</f>
        <v/>
      </c>
      <c r="DL71" s="32" t="str">
        <f>IF(DI71="","",VLOOKUP(DI71,'CPI USA'!$T:$V,3,FALSE))</f>
        <v/>
      </c>
      <c r="DM71" s="32" t="str">
        <f>IF(DI71="","",VLOOKUP(DI71,'CPI USA'!$T:$X,5,FALSE))</f>
        <v/>
      </c>
      <c r="DN71" s="32" t="str">
        <f t="shared" si="35"/>
        <v/>
      </c>
      <c r="DO71" s="32" t="str">
        <f t="shared" si="36"/>
        <v/>
      </c>
      <c r="DP71" s="32" t="str">
        <f t="shared" si="37"/>
        <v/>
      </c>
      <c r="DQ71" s="32" t="str">
        <f>IF(DP71="","",DP71*$DO$1/'CPI USA'!$U$532+(1-DP71)*AVERAGE($DO$1,$DQ$1)/AVERAGE('CPI USA'!$U$532,'PPI USA'!$T$538))</f>
        <v/>
      </c>
      <c r="DR71" s="6">
        <f t="shared" si="38"/>
        <v>7695934</v>
      </c>
      <c r="DS71" s="32">
        <f t="shared" si="39"/>
        <v>0.8</v>
      </c>
      <c r="DT71" s="28">
        <f>IF(DS71="","",DS71*$DO$1/'CPI USA'!$U$532+(1-DS71)*AVERAGE($DO$1,$DQ$1)/AVERAGE('CPI USA'!$U$532,'PPI USA'!$T$538))</f>
        <v>1.0288345106984851</v>
      </c>
      <c r="DU71" s="6" t="str">
        <f t="shared" si="40"/>
        <v/>
      </c>
      <c r="DV71" s="6">
        <f t="shared" si="41"/>
        <v>0</v>
      </c>
      <c r="DW71" s="6">
        <f t="shared" si="42"/>
        <v>0</v>
      </c>
      <c r="DX71" s="16" t="str">
        <f t="shared" si="43"/>
        <v/>
      </c>
      <c r="DY71" s="28" t="str">
        <f>IF(DX71="","",DX71*$DO$1/'CPI USA'!$U$532+(1-DX71)*AVERAGE($DO$1,$DQ$1)/AVERAGE('CPI USA'!$U$532,'PPI USA'!$T$538))</f>
        <v/>
      </c>
      <c r="DZ71" s="30"/>
      <c r="EA71" s="29" t="str">
        <f t="shared" si="44"/>
        <v>C000771</v>
      </c>
      <c r="EB71" s="29" t="str">
        <f t="shared" si="45"/>
        <v/>
      </c>
      <c r="EC71" s="29" t="str">
        <f t="shared" si="46"/>
        <v/>
      </c>
      <c r="ED71" s="29" t="str">
        <f t="shared" si="47"/>
        <v/>
      </c>
      <c r="EE71" s="29" t="str">
        <f t="shared" si="48"/>
        <v/>
      </c>
      <c r="EF71" s="29" t="str">
        <f t="shared" si="49"/>
        <v/>
      </c>
      <c r="EG71" s="29" t="str">
        <f t="shared" si="50"/>
        <v/>
      </c>
      <c r="EH71" s="29" t="str">
        <f t="shared" si="51"/>
        <v/>
      </c>
      <c r="EI71" s="29" t="str">
        <f t="shared" si="52"/>
        <v/>
      </c>
      <c r="EJ71" s="29" t="str">
        <f t="shared" si="53"/>
        <v/>
      </c>
      <c r="EK71" s="29" t="str">
        <f t="shared" si="54"/>
        <v/>
      </c>
      <c r="EL71" s="29" t="str">
        <f>IF(CD71=1,VLOOKUP(EA71,'EIA 2023'!$A$2:$J$213,4,0)*EH71,"")</f>
        <v/>
      </c>
      <c r="EM71" s="29" t="str">
        <f>IF(CD71=1,VLOOKUP(EA71,'EIA 2023'!$A$2:$J$213,7,0)*EH71,"")</f>
        <v/>
      </c>
      <c r="EN71" s="29" t="str">
        <f>IF(CD71=1,VLOOKUP(EA71,'EIA 2023'!$A$2:$J$213,10,0),"")</f>
        <v/>
      </c>
      <c r="EO71" s="28" t="str">
        <f>IF(CD71=1,VLOOKUP(EA71,'EIA 2023'!$A$2:$Z$213,26,0),"")</f>
        <v/>
      </c>
      <c r="EP71" s="23" t="str">
        <f t="shared" si="55"/>
        <v/>
      </c>
      <c r="EQ71" s="32" t="str">
        <f t="shared" si="56"/>
        <v/>
      </c>
      <c r="ER71" s="32" t="str">
        <f t="shared" si="57"/>
        <v/>
      </c>
      <c r="ES71" s="32"/>
      <c r="ET71" s="32"/>
    </row>
    <row r="72" spans="1:150" ht="15.75" customHeight="1">
      <c r="A72" s="7" t="s">
        <v>420</v>
      </c>
      <c r="B72" s="7" t="s">
        <v>421</v>
      </c>
      <c r="C72" s="32" t="s">
        <v>1157</v>
      </c>
      <c r="D72" s="42">
        <v>147490992</v>
      </c>
      <c r="E72" s="42">
        <v>0</v>
      </c>
      <c r="F72" s="42">
        <v>65233191</v>
      </c>
      <c r="G72" s="42">
        <v>203551824</v>
      </c>
      <c r="H72" s="42">
        <v>202640055</v>
      </c>
      <c r="I72" s="42">
        <v>1310532</v>
      </c>
      <c r="J72" s="42">
        <v>187550</v>
      </c>
      <c r="K72" s="42">
        <v>0</v>
      </c>
      <c r="L72" s="42">
        <v>2529233</v>
      </c>
      <c r="M72" s="42">
        <v>216190</v>
      </c>
      <c r="N72" s="42">
        <v>5771</v>
      </c>
      <c r="O72" s="42">
        <v>4723881</v>
      </c>
      <c r="P72" s="42">
        <v>40898</v>
      </c>
      <c r="Q72" s="42">
        <v>470826</v>
      </c>
      <c r="R72" s="42">
        <v>179582</v>
      </c>
      <c r="S72" s="42">
        <v>1808028</v>
      </c>
      <c r="T72" s="42">
        <v>15321874</v>
      </c>
      <c r="U72" s="42">
        <v>1741299</v>
      </c>
      <c r="V72" s="42">
        <v>10349</v>
      </c>
      <c r="W72" s="42">
        <v>3627790</v>
      </c>
      <c r="X72" s="42">
        <f>IFERROR(VLOOKUP(A72,'Trans 21-23'!$A$2:$J$229,10,0),0)</f>
        <v>8036729</v>
      </c>
      <c r="Y72" s="42">
        <v>500564</v>
      </c>
      <c r="Z72" s="42">
        <v>260238</v>
      </c>
      <c r="AA72" s="42">
        <v>24887118</v>
      </c>
      <c r="AB72" s="42">
        <v>1700453</v>
      </c>
      <c r="AC72" s="42">
        <v>768085</v>
      </c>
      <c r="AD72" s="42">
        <v>67865751</v>
      </c>
      <c r="AE72" s="42">
        <v>0</v>
      </c>
      <c r="AF72" s="42">
        <v>767472538</v>
      </c>
      <c r="AG72" s="42">
        <v>395750</v>
      </c>
      <c r="AH72" s="42">
        <v>574703</v>
      </c>
      <c r="AI72" s="42">
        <v>17322509</v>
      </c>
      <c r="AJ72" s="42">
        <v>12057</v>
      </c>
      <c r="AK72" s="42">
        <v>0</v>
      </c>
      <c r="AL72" s="42">
        <v>3447298</v>
      </c>
      <c r="AM72" s="42">
        <v>4206241</v>
      </c>
      <c r="AN72" s="42">
        <v>2005320</v>
      </c>
      <c r="AO72" s="42">
        <v>22652</v>
      </c>
      <c r="AP72" s="42">
        <v>0</v>
      </c>
      <c r="AQ72" s="42">
        <v>9681511</v>
      </c>
      <c r="AR72" s="42">
        <v>7054238</v>
      </c>
      <c r="AS72" s="42">
        <v>16735749</v>
      </c>
      <c r="AT72" s="42">
        <v>0</v>
      </c>
      <c r="AU72" s="42">
        <v>2865</v>
      </c>
      <c r="AV72" s="42">
        <v>0</v>
      </c>
      <c r="AW72" s="42">
        <v>246042997</v>
      </c>
      <c r="AX72" s="42">
        <v>58562162</v>
      </c>
      <c r="AY72" s="42">
        <v>191187381</v>
      </c>
      <c r="AZ72" s="42">
        <v>95586951</v>
      </c>
      <c r="BA72" s="42">
        <v>51397743</v>
      </c>
      <c r="BB72" s="42">
        <v>1865556740</v>
      </c>
      <c r="BC72" s="42">
        <v>8736824042</v>
      </c>
      <c r="BD72" s="42">
        <v>372566777</v>
      </c>
      <c r="BE72" s="42">
        <v>362711540</v>
      </c>
      <c r="BF72" s="42">
        <v>44438320</v>
      </c>
      <c r="BG72" s="42">
        <v>0</v>
      </c>
      <c r="BH72" s="42">
        <v>6361030</v>
      </c>
      <c r="BI72" s="42">
        <v>5303172</v>
      </c>
      <c r="BJ72" s="42">
        <v>749915</v>
      </c>
      <c r="BK72" s="42">
        <v>738483</v>
      </c>
      <c r="BL72" s="42">
        <v>0</v>
      </c>
      <c r="BM72" s="42">
        <v>20694969</v>
      </c>
      <c r="BN72" s="42">
        <v>67613934</v>
      </c>
      <c r="BO72" s="42">
        <v>4650871</v>
      </c>
      <c r="BP72" s="42">
        <v>12500232</v>
      </c>
      <c r="BQ72" s="42">
        <v>115891311</v>
      </c>
      <c r="BR72" s="42">
        <v>0</v>
      </c>
      <c r="BS72" s="42">
        <f>IFERROR(VLOOKUP(A72,'Trans 21-23'!$A$2:$J$229,9,0),0)</f>
        <v>791457094</v>
      </c>
      <c r="BT72" s="67"/>
      <c r="BU72" s="32">
        <f t="shared" si="0"/>
        <v>1865556740</v>
      </c>
      <c r="BV72" s="32">
        <f t="shared" si="1"/>
        <v>2865</v>
      </c>
      <c r="BW72" s="32">
        <f t="shared" si="2"/>
        <v>395750</v>
      </c>
      <c r="BX72" s="32">
        <f t="shared" si="3"/>
        <v>32173803</v>
      </c>
      <c r="BY72" s="32">
        <f t="shared" si="4"/>
        <v>28116458</v>
      </c>
      <c r="BZ72" s="32">
        <f t="shared" si="5"/>
        <v>95586951</v>
      </c>
      <c r="CA72" s="32">
        <f t="shared" si="6"/>
        <v>67865751</v>
      </c>
      <c r="CB72" s="32">
        <f t="shared" si="7"/>
        <v>574703</v>
      </c>
      <c r="CC72" s="32">
        <f t="shared" si="8"/>
        <v>9681511</v>
      </c>
      <c r="CD72" s="41">
        <f t="shared" si="64"/>
        <v>1</v>
      </c>
      <c r="CE72" s="44">
        <f t="shared" si="10"/>
        <v>10</v>
      </c>
      <c r="CF72" s="27"/>
      <c r="CG72" s="28">
        <f t="shared" si="11"/>
        <v>651.15418499127406</v>
      </c>
      <c r="CH72" s="28">
        <f t="shared" si="12"/>
        <v>7.2394188250157931</v>
      </c>
      <c r="CI72" s="28">
        <f t="shared" si="13"/>
        <v>81.298301958307007</v>
      </c>
      <c r="CJ72" s="28">
        <f t="shared" si="14"/>
        <v>241.53367277321541</v>
      </c>
      <c r="CK72" s="23">
        <f t="shared" si="15"/>
        <v>5.9360878689287237E-2</v>
      </c>
      <c r="CL72" s="29" t="str">
        <f t="shared" si="16"/>
        <v/>
      </c>
      <c r="CM72" s="29" t="str">
        <f t="shared" si="17"/>
        <v/>
      </c>
      <c r="CN72" s="29" t="str">
        <f t="shared" si="18"/>
        <v/>
      </c>
      <c r="CO72" s="29" t="str">
        <f t="shared" si="19"/>
        <v/>
      </c>
      <c r="CP72" s="29" t="str">
        <f t="shared" si="20"/>
        <v/>
      </c>
      <c r="CQ72" s="29">
        <f t="shared" si="21"/>
        <v>0</v>
      </c>
      <c r="CR72" s="13"/>
      <c r="CS72" s="7">
        <f>VLOOKUP(A72,'Empresas 21-23'!$A$2:$M$228,13,0)</f>
        <v>1</v>
      </c>
      <c r="CT72" s="30"/>
      <c r="CU72" s="6">
        <f t="shared" si="22"/>
        <v>2360179414.1999998</v>
      </c>
      <c r="CV72" s="6">
        <f t="shared" si="23"/>
        <v>95586951</v>
      </c>
      <c r="CW72" s="6">
        <f t="shared" si="24"/>
        <v>372566777</v>
      </c>
      <c r="CX72" s="23">
        <f t="shared" si="62"/>
        <v>0.28217441661868825</v>
      </c>
      <c r="CY72" s="23">
        <f t="shared" si="63"/>
        <v>1.1428026179919277E-2</v>
      </c>
      <c r="CZ72" s="6">
        <f t="shared" si="27"/>
        <v>2465308227.1514797</v>
      </c>
      <c r="DA72" s="6">
        <f t="shared" si="28"/>
        <v>99844653.881324142</v>
      </c>
      <c r="DB72" s="6">
        <f t="shared" si="29"/>
        <v>32173803</v>
      </c>
      <c r="DC72" s="6">
        <f t="shared" si="30"/>
        <v>40210532</v>
      </c>
      <c r="DD72" s="6">
        <f t="shared" si="31"/>
        <v>28116458</v>
      </c>
      <c r="DE72" s="6">
        <f t="shared" si="32"/>
        <v>67865751</v>
      </c>
      <c r="DF72" s="6">
        <f t="shared" si="33"/>
        <v>16313752.132582691</v>
      </c>
      <c r="DG72" s="30"/>
      <c r="DH72" s="32">
        <f>VLOOKUP(A72,'T_med_comp-USA'!$A$7:$Q$233,17,0)</f>
        <v>8.553637953351247</v>
      </c>
      <c r="DI72" s="6" t="str">
        <f t="shared" si="34"/>
        <v>6_2015</v>
      </c>
      <c r="DJ72" s="32">
        <f>IF(DI72="","",VLOOKUP(DI72,'CPI USA'!$T:$U,2,FALSE))</f>
        <v>238.63800000000001</v>
      </c>
      <c r="DK72" s="32">
        <f>IF(DI72="","",VLOOKUP(DI72,'PPI USA'!$S:$T,2,FALSE))</f>
        <v>197.8</v>
      </c>
      <c r="DL72" s="32">
        <f>IF(DI72="","",VLOOKUP(DI72,'CPI USA'!$T:$V,3,FALSE))</f>
        <v>0.6679408278919865</v>
      </c>
      <c r="DM72" s="32">
        <f>IF(DI72="","",VLOOKUP(DI72,'CPI USA'!$T:$X,5,FALSE))</f>
        <v>0.49584761624008583</v>
      </c>
      <c r="DN72" s="32">
        <f t="shared" si="35"/>
        <v>1.3205066343366378</v>
      </c>
      <c r="DO72" s="32">
        <f t="shared" si="36"/>
        <v>1.3225655828737524</v>
      </c>
      <c r="DP72" s="32">
        <f t="shared" si="37"/>
        <v>0.21130787143487242</v>
      </c>
      <c r="DQ72" s="32">
        <f>IF(DP72="","",DP72*$DO$1/'CPI USA'!$U$532+(1-DP72)*AVERAGE($DO$1,$DQ$1)/AVERAGE('CPI USA'!$U$532,'PPI USA'!$T$538))</f>
        <v>1.0424208656312965</v>
      </c>
      <c r="DR72" s="6">
        <f t="shared" si="38"/>
        <v>6791570</v>
      </c>
      <c r="DS72" s="32">
        <f t="shared" si="39"/>
        <v>0.25816668721951125</v>
      </c>
      <c r="DT72" s="28">
        <f>IF(DS72="","",DS72*$DO$1/'CPI USA'!$U$532+(1-DS72)*AVERAGE($DO$1,$DQ$1)/AVERAGE('CPI USA'!$U$532,'PPI USA'!$T$538))</f>
        <v>1.04133941664958</v>
      </c>
      <c r="DU72" s="6">
        <f t="shared" si="40"/>
        <v>22118486.690421607</v>
      </c>
      <c r="DV72" s="6">
        <f t="shared" si="41"/>
        <v>2502071.90247824</v>
      </c>
      <c r="DW72" s="6">
        <f t="shared" si="42"/>
        <v>4789313.9740837226</v>
      </c>
      <c r="DX72" s="16">
        <f t="shared" si="43"/>
        <v>0.29357525694645381</v>
      </c>
      <c r="DY72" s="28">
        <f>IF(DX72="","",DX72*$DO$1/'CPI USA'!$U$532+(1-DX72)*AVERAGE($DO$1,$DQ$1)/AVERAGE('CPI USA'!$U$532,'PPI USA'!$T$538))</f>
        <v>1.0405222265214462</v>
      </c>
      <c r="DZ72" s="30"/>
      <c r="EA72" s="29" t="str">
        <f t="shared" si="44"/>
        <v>C000772</v>
      </c>
      <c r="EB72" s="29">
        <f t="shared" si="45"/>
        <v>3255455869.6382241</v>
      </c>
      <c r="EC72" s="29">
        <f t="shared" si="46"/>
        <v>132051102.85738152</v>
      </c>
      <c r="ED72" s="29">
        <f t="shared" si="47"/>
        <v>41916297.574934952</v>
      </c>
      <c r="EE72" s="29">
        <f t="shared" si="48"/>
        <v>29278775.971972417</v>
      </c>
      <c r="EF72" s="29">
        <f t="shared" si="49"/>
        <v>16974821.691913933</v>
      </c>
      <c r="EG72" s="29">
        <f t="shared" si="50"/>
        <v>2865</v>
      </c>
      <c r="EH72" s="29">
        <f t="shared" si="51"/>
        <v>395750</v>
      </c>
      <c r="EI72" s="29">
        <f t="shared" si="52"/>
        <v>574703</v>
      </c>
      <c r="EJ72" s="29">
        <f t="shared" si="53"/>
        <v>9681511</v>
      </c>
      <c r="EK72" s="29">
        <f t="shared" si="54"/>
        <v>10148789.055837564</v>
      </c>
      <c r="EL72" s="29">
        <f>IF(CD72=1,VLOOKUP(EA72,'EIA 2023'!$A$2:$J$213,4,0)*EH72,"")</f>
        <v>38276940</v>
      </c>
      <c r="EM72" s="29">
        <f>IF(CD72=1,VLOOKUP(EA72,'EIA 2023'!$A$2:$J$213,7,0)*EH72,"")</f>
        <v>497457.74999999994</v>
      </c>
      <c r="EN72" s="29">
        <f>IF(CD72=1,VLOOKUP(EA72,'EIA 2023'!$A$2:$J$213,10,0),"")</f>
        <v>403116</v>
      </c>
      <c r="EO72" s="28">
        <f>IF(CD72=1,VLOOKUP(EA72,'EIA 2023'!$A$2:$Z$213,26,0),"")</f>
        <v>0</v>
      </c>
      <c r="EP72" s="23">
        <f t="shared" si="55"/>
        <v>4.6042740002442538E-2</v>
      </c>
      <c r="EQ72" s="32">
        <f t="shared" si="56"/>
        <v>107424.94416243676</v>
      </c>
      <c r="ER72" s="32">
        <f t="shared" si="57"/>
        <v>467278.05583756324</v>
      </c>
      <c r="ES72" s="32"/>
      <c r="ET72" s="32"/>
    </row>
    <row r="73" spans="1:150" ht="15.75" customHeight="1">
      <c r="A73" s="7" t="s">
        <v>423</v>
      </c>
      <c r="B73" s="7" t="s">
        <v>424</v>
      </c>
      <c r="C73" s="32" t="s">
        <v>1158</v>
      </c>
      <c r="D73" s="42">
        <v>223745254</v>
      </c>
      <c r="E73" s="42">
        <v>0</v>
      </c>
      <c r="F73" s="42">
        <v>297708687</v>
      </c>
      <c r="G73" s="42">
        <v>690831660</v>
      </c>
      <c r="H73" s="42">
        <v>936268536</v>
      </c>
      <c r="I73" s="42">
        <v>16273274</v>
      </c>
      <c r="J73" s="42">
        <v>705966</v>
      </c>
      <c r="K73" s="42">
        <v>1201186</v>
      </c>
      <c r="L73" s="42">
        <v>4783343</v>
      </c>
      <c r="M73" s="42">
        <v>10006015</v>
      </c>
      <c r="N73" s="42">
        <v>354050</v>
      </c>
      <c r="O73" s="42">
        <v>20243113</v>
      </c>
      <c r="P73" s="42">
        <v>4897968</v>
      </c>
      <c r="Q73" s="42">
        <v>910949</v>
      </c>
      <c r="R73" s="42">
        <v>0</v>
      </c>
      <c r="S73" s="42">
        <v>846954</v>
      </c>
      <c r="T73" s="42">
        <v>40678881</v>
      </c>
      <c r="U73" s="42">
        <v>8356506</v>
      </c>
      <c r="V73" s="42">
        <v>0</v>
      </c>
      <c r="W73" s="42">
        <v>1376370</v>
      </c>
      <c r="X73" s="42">
        <f>IFERROR(VLOOKUP(A73,'Trans 21-23'!$A$2:$J$229,10,0),0)</f>
        <v>5913134</v>
      </c>
      <c r="Y73" s="42">
        <v>4420030</v>
      </c>
      <c r="Z73" s="42">
        <v>230468</v>
      </c>
      <c r="AA73" s="42">
        <v>64353674</v>
      </c>
      <c r="AB73" s="42">
        <v>114863679</v>
      </c>
      <c r="AC73" s="42">
        <v>9921116</v>
      </c>
      <c r="AD73" s="42">
        <v>183901850</v>
      </c>
      <c r="AE73" s="42">
        <v>0</v>
      </c>
      <c r="AF73" s="42">
        <v>2194559418</v>
      </c>
      <c r="AG73" s="42">
        <v>1569509</v>
      </c>
      <c r="AH73" s="42">
        <v>522739</v>
      </c>
      <c r="AI73" s="42">
        <v>36184549</v>
      </c>
      <c r="AJ73" s="42">
        <v>20923</v>
      </c>
      <c r="AK73" s="42">
        <v>0</v>
      </c>
      <c r="AL73" s="42">
        <v>9458383</v>
      </c>
      <c r="AM73" s="42">
        <v>12433200</v>
      </c>
      <c r="AN73" s="42">
        <v>5907425</v>
      </c>
      <c r="AO73" s="42">
        <v>146975</v>
      </c>
      <c r="AP73" s="42">
        <v>90113</v>
      </c>
      <c r="AQ73" s="42">
        <v>28039983</v>
      </c>
      <c r="AR73" s="42">
        <v>7600904</v>
      </c>
      <c r="AS73" s="42">
        <v>35640887</v>
      </c>
      <c r="AT73" s="42">
        <v>0</v>
      </c>
      <c r="AU73" s="42">
        <v>6819</v>
      </c>
      <c r="AV73" s="42">
        <v>0</v>
      </c>
      <c r="AW73" s="42">
        <v>687266387</v>
      </c>
      <c r="AX73" s="42">
        <v>629308796</v>
      </c>
      <c r="AY73" s="42">
        <v>2244483337</v>
      </c>
      <c r="AZ73" s="42">
        <v>325095826</v>
      </c>
      <c r="BA73" s="42">
        <v>206910504</v>
      </c>
      <c r="BB73" s="42">
        <v>7103962525</v>
      </c>
      <c r="BC73" s="42">
        <v>18708610983</v>
      </c>
      <c r="BD73" s="42">
        <v>633034724</v>
      </c>
      <c r="BE73" s="42">
        <v>1719469951</v>
      </c>
      <c r="BF73" s="42">
        <v>161326564</v>
      </c>
      <c r="BG73" s="42">
        <v>0</v>
      </c>
      <c r="BH73" s="42">
        <v>46903170</v>
      </c>
      <c r="BI73" s="42">
        <v>14909442</v>
      </c>
      <c r="BJ73" s="42">
        <v>1097929</v>
      </c>
      <c r="BK73" s="42">
        <v>4378887</v>
      </c>
      <c r="BL73" s="42">
        <v>0</v>
      </c>
      <c r="BM73" s="42">
        <v>66305810</v>
      </c>
      <c r="BN73" s="42">
        <v>217878226</v>
      </c>
      <c r="BO73" s="42">
        <v>3167090</v>
      </c>
      <c r="BP73" s="42">
        <v>17101970</v>
      </c>
      <c r="BQ73" s="42">
        <v>479529979</v>
      </c>
      <c r="BR73" s="42">
        <v>3887</v>
      </c>
      <c r="BS73" s="42">
        <f>IFERROR(VLOOKUP(A73,'Trans 21-23'!$A$2:$J$229,9,0),0)</f>
        <v>582325384</v>
      </c>
      <c r="BT73" s="67"/>
      <c r="BU73" s="32">
        <f t="shared" si="0"/>
        <v>7103962525</v>
      </c>
      <c r="BV73" s="32">
        <f t="shared" si="1"/>
        <v>6819</v>
      </c>
      <c r="BW73" s="32">
        <f t="shared" si="2"/>
        <v>1569509</v>
      </c>
      <c r="BX73" s="32">
        <f t="shared" si="3"/>
        <v>110634575</v>
      </c>
      <c r="BY73" s="32">
        <f t="shared" si="4"/>
        <v>193788967</v>
      </c>
      <c r="BZ73" s="32">
        <f t="shared" si="5"/>
        <v>325095826</v>
      </c>
      <c r="CA73" s="32">
        <f t="shared" si="6"/>
        <v>183901850</v>
      </c>
      <c r="CB73" s="32">
        <f t="shared" si="7"/>
        <v>522739</v>
      </c>
      <c r="CC73" s="32">
        <f t="shared" si="8"/>
        <v>28039983</v>
      </c>
      <c r="CD73" s="41">
        <f t="shared" si="64"/>
        <v>1</v>
      </c>
      <c r="CE73" s="44">
        <f t="shared" si="10"/>
        <v>9</v>
      </c>
      <c r="CF73" s="27"/>
      <c r="CG73" s="28">
        <f t="shared" si="11"/>
        <v>1041.7894889279953</v>
      </c>
      <c r="CH73" s="28">
        <f t="shared" si="12"/>
        <v>4.3446708492910844</v>
      </c>
      <c r="CI73" s="28">
        <f t="shared" si="13"/>
        <v>70.489927104591303</v>
      </c>
      <c r="CJ73" s="28">
        <f t="shared" si="14"/>
        <v>207.13218337709438</v>
      </c>
      <c r="CK73" s="23">
        <f t="shared" si="15"/>
        <v>1.8642628991608162E-2</v>
      </c>
      <c r="CL73" s="29" t="str">
        <f t="shared" si="16"/>
        <v/>
      </c>
      <c r="CM73" s="29" t="str">
        <f t="shared" si="17"/>
        <v/>
      </c>
      <c r="CN73" s="29" t="str">
        <f t="shared" si="18"/>
        <v/>
      </c>
      <c r="CO73" s="29" t="str">
        <f t="shared" si="19"/>
        <v/>
      </c>
      <c r="CP73" s="29" t="str">
        <f t="shared" si="20"/>
        <v/>
      </c>
      <c r="CQ73" s="29">
        <f t="shared" si="21"/>
        <v>0</v>
      </c>
      <c r="CR73" s="13"/>
      <c r="CS73" s="7">
        <f>VLOOKUP(A73,'Empresas 21-23'!$A$2:$M$228,13,0)</f>
        <v>1</v>
      </c>
      <c r="CT73" s="30"/>
      <c r="CU73" s="6">
        <f t="shared" si="22"/>
        <v>5430006299.1999998</v>
      </c>
      <c r="CV73" s="6">
        <f t="shared" si="23"/>
        <v>325095826</v>
      </c>
      <c r="CW73" s="6">
        <f t="shared" si="24"/>
        <v>633034724</v>
      </c>
      <c r="CX73" s="23">
        <f t="shared" si="62"/>
        <v>0.30040570886343654</v>
      </c>
      <c r="CY73" s="23">
        <f t="shared" si="63"/>
        <v>1.7985364413382492E-2</v>
      </c>
      <c r="CZ73" s="6">
        <f t="shared" si="27"/>
        <v>5620173544.19839</v>
      </c>
      <c r="DA73" s="6">
        <f t="shared" si="28"/>
        <v>336481186.197465</v>
      </c>
      <c r="DB73" s="6">
        <f t="shared" si="29"/>
        <v>110634575</v>
      </c>
      <c r="DC73" s="6">
        <f t="shared" si="30"/>
        <v>116547709</v>
      </c>
      <c r="DD73" s="6">
        <f t="shared" si="31"/>
        <v>193788967</v>
      </c>
      <c r="DE73" s="6">
        <f t="shared" si="32"/>
        <v>183901850</v>
      </c>
      <c r="DF73" s="6">
        <f t="shared" si="33"/>
        <v>103215530.66208018</v>
      </c>
      <c r="DG73" s="30"/>
      <c r="DH73" s="32">
        <f>VLOOKUP(A73,'T_med_comp-USA'!$A$7:$Q$233,17,0)</f>
        <v>11.397196883502778</v>
      </c>
      <c r="DI73" s="6" t="str">
        <f t="shared" si="34"/>
        <v>8_2012</v>
      </c>
      <c r="DJ73" s="32">
        <f>IF(DI73="","",VLOOKUP(DI73,'CPI USA'!$T:$U,2,FALSE))</f>
        <v>229.59399999999999</v>
      </c>
      <c r="DK73" s="32">
        <f>IF(DI73="","",VLOOKUP(DI73,'PPI USA'!$S:$T,2,FALSE))</f>
        <v>175.1</v>
      </c>
      <c r="DL73" s="32">
        <f>IF(DI73="","",VLOOKUP(DI73,'CPI USA'!$T:$V,3,FALSE))</f>
        <v>0.66730871354337351</v>
      </c>
      <c r="DM73" s="32">
        <f>IF(DI73="","",VLOOKUP(DI73,'CPI USA'!$T:$X,5,FALSE))</f>
        <v>0.49513551903851311</v>
      </c>
      <c r="DN73" s="32">
        <f t="shared" si="35"/>
        <v>1.3897894616766442</v>
      </c>
      <c r="DO73" s="32">
        <f t="shared" si="36"/>
        <v>1.4008620811189902</v>
      </c>
      <c r="DP73" s="32">
        <f t="shared" si="37"/>
        <v>0.4301092771892851</v>
      </c>
      <c r="DQ73" s="32">
        <f>IF(DP73="","",DP73*$DO$1/'CPI USA'!$U$532+(1-DP73)*AVERAGE($DO$1,$DQ$1)/AVERAGE('CPI USA'!$U$532,'PPI USA'!$T$538))</f>
        <v>1.0373711742660947</v>
      </c>
      <c r="DR73" s="6">
        <f t="shared" si="38"/>
        <v>20386258</v>
      </c>
      <c r="DS73" s="32">
        <f t="shared" si="39"/>
        <v>0.2</v>
      </c>
      <c r="DT73" s="28">
        <f>IF(DS73="","",DS73*$DO$1/'CPI USA'!$U$532+(1-DS73)*AVERAGE($DO$1,$DQ$1)/AVERAGE('CPI USA'!$U$532,'PPI USA'!$T$538))</f>
        <v>1.0426818386380585</v>
      </c>
      <c r="DU73" s="6">
        <f t="shared" si="40"/>
        <v>67269634.938582435</v>
      </c>
      <c r="DV73" s="6">
        <f t="shared" si="41"/>
        <v>2452187.0461477605</v>
      </c>
      <c r="DW73" s="6">
        <f t="shared" si="42"/>
        <v>21532860.8397533</v>
      </c>
      <c r="DX73" s="16">
        <f t="shared" si="43"/>
        <v>0.2086203568555032</v>
      </c>
      <c r="DY73" s="28">
        <f>IF(DX73="","",DX73*$DO$1/'CPI USA'!$U$532+(1-DX73)*AVERAGE($DO$1,$DQ$1)/AVERAGE('CPI USA'!$U$532,'PPI USA'!$T$538))</f>
        <v>1.0424828904575014</v>
      </c>
      <c r="DZ73" s="30"/>
      <c r="EA73" s="29" t="str">
        <f t="shared" si="44"/>
        <v>C000822</v>
      </c>
      <c r="EB73" s="29">
        <f t="shared" si="45"/>
        <v>7810857964.5207977</v>
      </c>
      <c r="EC73" s="29">
        <f t="shared" si="46"/>
        <v>471363734.75396729</v>
      </c>
      <c r="ED73" s="29">
        <f t="shared" si="47"/>
        <v>120903233.7433531</v>
      </c>
      <c r="EE73" s="29">
        <f t="shared" si="48"/>
        <v>202060236.41933006</v>
      </c>
      <c r="EF73" s="29">
        <f t="shared" si="49"/>
        <v>107600424.74471022</v>
      </c>
      <c r="EG73" s="29">
        <f t="shared" si="50"/>
        <v>6819</v>
      </c>
      <c r="EH73" s="29">
        <f t="shared" si="51"/>
        <v>1569509</v>
      </c>
      <c r="EI73" s="29">
        <f t="shared" si="52"/>
        <v>522739</v>
      </c>
      <c r="EJ73" s="29">
        <f t="shared" si="53"/>
        <v>28039983</v>
      </c>
      <c r="EK73" s="29">
        <f t="shared" si="54"/>
        <v>28446972.192893401</v>
      </c>
      <c r="EL73" s="29">
        <f>IF(CD73=1,VLOOKUP(EA73,'EIA 2023'!$A$2:$J$213,4,0)*EH73,"")</f>
        <v>163542837.80000001</v>
      </c>
      <c r="EM73" s="29">
        <f>IF(CD73=1,VLOOKUP(EA73,'EIA 2023'!$A$2:$J$213,7,0)*EH73,"")</f>
        <v>1600899.18</v>
      </c>
      <c r="EN73" s="29">
        <f>IF(CD73=1,VLOOKUP(EA73,'EIA 2023'!$A$2:$J$213,10,0),"")</f>
        <v>1432396</v>
      </c>
      <c r="EO73" s="28">
        <f>IF(CD73=1,VLOOKUP(EA73,'EIA 2023'!$A$2:$Z$213,26,0),"")</f>
        <v>0</v>
      </c>
      <c r="EP73" s="23">
        <f t="shared" si="55"/>
        <v>1.4306942409676714E-2</v>
      </c>
      <c r="EQ73" s="32">
        <f t="shared" si="56"/>
        <v>115749.80710659921</v>
      </c>
      <c r="ER73" s="32">
        <f t="shared" si="57"/>
        <v>406989.19289340079</v>
      </c>
      <c r="ES73" s="32"/>
      <c r="ET73" s="32"/>
    </row>
    <row r="74" spans="1:150" ht="15.75" customHeight="1">
      <c r="A74" s="7" t="s">
        <v>426</v>
      </c>
      <c r="B74" s="7" t="s">
        <v>427</v>
      </c>
      <c r="C74" s="32" t="s">
        <v>1159</v>
      </c>
      <c r="D74" s="42">
        <v>9114076</v>
      </c>
      <c r="E74" s="42">
        <v>0</v>
      </c>
      <c r="F74" s="42">
        <v>1957356</v>
      </c>
      <c r="G74" s="42">
        <v>1568487</v>
      </c>
      <c r="H74" s="42">
        <v>419278342</v>
      </c>
      <c r="I74" s="42">
        <v>3393676</v>
      </c>
      <c r="J74" s="42">
        <v>907282</v>
      </c>
      <c r="K74" s="42">
        <v>180472</v>
      </c>
      <c r="L74" s="42">
        <v>477526</v>
      </c>
      <c r="M74" s="42">
        <v>1459280</v>
      </c>
      <c r="N74" s="42">
        <v>1143790</v>
      </c>
      <c r="O74" s="42">
        <v>4832037</v>
      </c>
      <c r="P74" s="42">
        <v>589431</v>
      </c>
      <c r="Q74" s="42">
        <v>720</v>
      </c>
      <c r="R74" s="42">
        <v>0</v>
      </c>
      <c r="S74" s="42">
        <v>293182</v>
      </c>
      <c r="T74" s="42">
        <v>26273978</v>
      </c>
      <c r="U74" s="42">
        <v>516595</v>
      </c>
      <c r="V74" s="42">
        <v>0</v>
      </c>
      <c r="W74" s="42">
        <v>123167</v>
      </c>
      <c r="X74" s="42">
        <f>IFERROR(VLOOKUP(A74,'Trans 21-23'!$A$2:$J$229,10,0),0)</f>
        <v>5953844</v>
      </c>
      <c r="Y74" s="42">
        <v>888303</v>
      </c>
      <c r="Z74" s="42">
        <v>151846</v>
      </c>
      <c r="AA74" s="42">
        <v>14586463</v>
      </c>
      <c r="AB74" s="42">
        <v>12926342</v>
      </c>
      <c r="AC74" s="42">
        <v>485511</v>
      </c>
      <c r="AD74" s="42">
        <v>51924463</v>
      </c>
      <c r="AE74" s="42">
        <v>0</v>
      </c>
      <c r="AF74" s="42">
        <v>644027528</v>
      </c>
      <c r="AG74" s="42">
        <v>268830</v>
      </c>
      <c r="AH74" s="42">
        <v>529673</v>
      </c>
      <c r="AI74" s="42">
        <v>7423723</v>
      </c>
      <c r="AJ74" s="42">
        <v>5856</v>
      </c>
      <c r="AK74" s="42">
        <v>0</v>
      </c>
      <c r="AL74" s="42">
        <v>1947905</v>
      </c>
      <c r="AM74" s="42">
        <v>2734623</v>
      </c>
      <c r="AN74" s="42">
        <v>2177933</v>
      </c>
      <c r="AO74" s="42">
        <v>14435</v>
      </c>
      <c r="AP74" s="42">
        <v>11226</v>
      </c>
      <c r="AQ74" s="42">
        <v>6888194</v>
      </c>
      <c r="AR74" s="42">
        <v>0</v>
      </c>
      <c r="AS74" s="42">
        <v>6888194</v>
      </c>
      <c r="AT74" s="42">
        <v>0</v>
      </c>
      <c r="AU74" s="42">
        <v>1425</v>
      </c>
      <c r="AV74" s="42">
        <v>0</v>
      </c>
      <c r="AW74" s="42">
        <v>216751883</v>
      </c>
      <c r="AX74" s="42">
        <v>34947864</v>
      </c>
      <c r="AY74" s="42">
        <v>162536188</v>
      </c>
      <c r="AZ74" s="42">
        <v>48187349</v>
      </c>
      <c r="BA74" s="42">
        <v>21675839</v>
      </c>
      <c r="BB74" s="42">
        <v>1361703294</v>
      </c>
      <c r="BC74" s="42">
        <v>3855123647</v>
      </c>
      <c r="BD74" s="42">
        <v>218417492</v>
      </c>
      <c r="BE74" s="42">
        <v>595405663</v>
      </c>
      <c r="BF74" s="42">
        <v>41532881</v>
      </c>
      <c r="BG74" s="42">
        <v>0</v>
      </c>
      <c r="BH74" s="42">
        <v>13045787</v>
      </c>
      <c r="BI74" s="42">
        <v>2538782</v>
      </c>
      <c r="BJ74" s="42">
        <v>1536021</v>
      </c>
      <c r="BK74" s="42">
        <v>209148</v>
      </c>
      <c r="BL74" s="42">
        <v>0</v>
      </c>
      <c r="BM74" s="42">
        <v>17081920</v>
      </c>
      <c r="BN74" s="42">
        <v>52305866</v>
      </c>
      <c r="BO74" s="42">
        <v>973645</v>
      </c>
      <c r="BP74" s="42">
        <v>3151326</v>
      </c>
      <c r="BQ74" s="42">
        <v>109165208</v>
      </c>
      <c r="BR74" s="42">
        <v>2072</v>
      </c>
      <c r="BS74" s="42">
        <f>IFERROR(VLOOKUP(A74,'Trans 21-23'!$A$2:$J$229,9,0),0)</f>
        <v>586334566</v>
      </c>
      <c r="BT74" s="67"/>
      <c r="BU74" s="32">
        <f t="shared" si="0"/>
        <v>1361703294</v>
      </c>
      <c r="BV74" s="32">
        <f t="shared" si="1"/>
        <v>1425</v>
      </c>
      <c r="BW74" s="32">
        <f t="shared" si="2"/>
        <v>268830</v>
      </c>
      <c r="BX74" s="32">
        <f t="shared" si="3"/>
        <v>40191136</v>
      </c>
      <c r="BY74" s="32">
        <f t="shared" si="4"/>
        <v>29038465</v>
      </c>
      <c r="BZ74" s="32">
        <f t="shared" si="5"/>
        <v>48187349</v>
      </c>
      <c r="CA74" s="32">
        <f t="shared" si="6"/>
        <v>51924463</v>
      </c>
      <c r="CB74" s="32">
        <f t="shared" si="7"/>
        <v>529673</v>
      </c>
      <c r="CC74" s="32">
        <f t="shared" si="8"/>
        <v>6888194</v>
      </c>
      <c r="CD74" s="41">
        <f t="shared" si="64"/>
        <v>1</v>
      </c>
      <c r="CE74" s="44">
        <f t="shared" si="10"/>
        <v>10</v>
      </c>
      <c r="CF74" s="27"/>
      <c r="CG74" s="28">
        <f t="shared" si="11"/>
        <v>955.5812589473685</v>
      </c>
      <c r="CH74" s="28">
        <f t="shared" si="12"/>
        <v>5.3007476844102221</v>
      </c>
      <c r="CI74" s="28">
        <f t="shared" si="13"/>
        <v>149.50390953390618</v>
      </c>
      <c r="CJ74" s="28">
        <f t="shared" si="14"/>
        <v>179.24840605587175</v>
      </c>
      <c r="CK74" s="23">
        <f t="shared" si="15"/>
        <v>7.6895772680037763E-2</v>
      </c>
      <c r="CL74" s="29" t="str">
        <f t="shared" si="16"/>
        <v/>
      </c>
      <c r="CM74" s="29" t="str">
        <f t="shared" si="17"/>
        <v/>
      </c>
      <c r="CN74" s="29" t="str">
        <f t="shared" si="18"/>
        <v/>
      </c>
      <c r="CO74" s="29" t="str">
        <f t="shared" si="19"/>
        <v/>
      </c>
      <c r="CP74" s="29" t="str">
        <f t="shared" si="20"/>
        <v/>
      </c>
      <c r="CQ74" s="29">
        <f t="shared" si="21"/>
        <v>0</v>
      </c>
      <c r="CR74" s="13"/>
      <c r="CS74" s="7">
        <f>VLOOKUP(A74,'Empresas 21-23'!$A$2:$M$228,13,0)</f>
        <v>1</v>
      </c>
      <c r="CT74" s="30"/>
      <c r="CU74" s="6">
        <f t="shared" si="22"/>
        <v>1759684240.8</v>
      </c>
      <c r="CV74" s="6">
        <f t="shared" si="23"/>
        <v>48187349</v>
      </c>
      <c r="CW74" s="6">
        <f t="shared" si="24"/>
        <v>218417492</v>
      </c>
      <c r="CX74" s="23">
        <f t="shared" si="62"/>
        <v>0.48386758946159619</v>
      </c>
      <c r="CY74" s="23">
        <f t="shared" si="63"/>
        <v>1.3250272897013865E-2</v>
      </c>
      <c r="CZ74" s="6">
        <f t="shared" si="27"/>
        <v>1865369386.1502874</v>
      </c>
      <c r="DA74" s="6">
        <f t="shared" si="28"/>
        <v>51081440.374481343</v>
      </c>
      <c r="DB74" s="6">
        <f t="shared" si="29"/>
        <v>40191136</v>
      </c>
      <c r="DC74" s="6">
        <f t="shared" si="30"/>
        <v>46144980</v>
      </c>
      <c r="DD74" s="6">
        <f t="shared" si="31"/>
        <v>29038465</v>
      </c>
      <c r="DE74" s="6">
        <f t="shared" si="32"/>
        <v>51924463</v>
      </c>
      <c r="DF74" s="6">
        <f t="shared" si="33"/>
        <v>24134655.832845066</v>
      </c>
      <c r="DG74" s="30"/>
      <c r="DH74" s="32">
        <f>VLOOKUP(A74,'T_med_comp-USA'!$A$7:$Q$233,17,0)</f>
        <v>14.322873235005426</v>
      </c>
      <c r="DI74" s="6" t="str">
        <f t="shared" si="34"/>
        <v>9_2009</v>
      </c>
      <c r="DJ74" s="32">
        <f>IF(DI74="","",VLOOKUP(DI74,'CPI USA'!$T:$U,2,FALSE))</f>
        <v>214.53700000000001</v>
      </c>
      <c r="DK74" s="32">
        <f>IF(DI74="","",VLOOKUP(DI74,'PPI USA'!$S:$T,2,FALSE))</f>
        <v>159.1</v>
      </c>
      <c r="DL74" s="32">
        <f>IF(DI74="","",VLOOKUP(DI74,'CPI USA'!$T:$V,3,FALSE))</f>
        <v>0.66997101349938215</v>
      </c>
      <c r="DM74" s="32">
        <f>IF(DI74="","",VLOOKUP(DI74,'CPI USA'!$T:$X,5,FALSE))</f>
        <v>0.49813941766071862</v>
      </c>
      <c r="DN74" s="32">
        <f t="shared" si="35"/>
        <v>1.4932638886873792</v>
      </c>
      <c r="DO74" s="32">
        <f t="shared" si="36"/>
        <v>1.5082750176818205</v>
      </c>
      <c r="DP74" s="32">
        <f t="shared" si="37"/>
        <v>0.33063576923873517</v>
      </c>
      <c r="DQ74" s="32">
        <f>IF(DP74="","",DP74*$DO$1/'CPI USA'!$U$532+(1-DP74)*AVERAGE($DO$1,$DQ$1)/AVERAGE('CPI USA'!$U$532,'PPI USA'!$T$538))</f>
        <v>1.0396669114092465</v>
      </c>
      <c r="DR74" s="6">
        <f t="shared" si="38"/>
        <v>4283951</v>
      </c>
      <c r="DS74" s="32">
        <f t="shared" si="39"/>
        <v>0.2</v>
      </c>
      <c r="DT74" s="28">
        <f>IF(DS74="","",DS74*$DO$1/'CPI USA'!$U$532+(1-DS74)*AVERAGE($DO$1,$DQ$1)/AVERAGE('CPI USA'!$U$532,'PPI USA'!$T$538))</f>
        <v>1.0426818386380585</v>
      </c>
      <c r="DU74" s="6">
        <f t="shared" si="40"/>
        <v>17399890.569465384</v>
      </c>
      <c r="DV74" s="6">
        <f t="shared" si="41"/>
        <v>507770.28074417653</v>
      </c>
      <c r="DW74" s="6">
        <f t="shared" si="42"/>
        <v>5933083.5039991299</v>
      </c>
      <c r="DX74" s="16">
        <f t="shared" si="43"/>
        <v>0.24583252999716468</v>
      </c>
      <c r="DY74" s="28">
        <f>IF(DX74="","",DX74*$DO$1/'CPI USA'!$U$532+(1-DX74)*AVERAGE($DO$1,$DQ$1)/AVERAGE('CPI USA'!$U$532,'PPI USA'!$T$538))</f>
        <v>1.0416240751827734</v>
      </c>
      <c r="DZ74" s="30"/>
      <c r="EA74" s="29" t="str">
        <f t="shared" si="44"/>
        <v>C000823</v>
      </c>
      <c r="EB74" s="29">
        <f t="shared" si="45"/>
        <v>2785488743.4011679</v>
      </c>
      <c r="EC74" s="29">
        <f t="shared" si="46"/>
        <v>77044860.38403371</v>
      </c>
      <c r="ED74" s="29">
        <f t="shared" si="47"/>
        <v>47975408.833641455</v>
      </c>
      <c r="EE74" s="29">
        <f t="shared" si="48"/>
        <v>30277880.07742691</v>
      </c>
      <c r="EF74" s="29">
        <f t="shared" si="49"/>
        <v>25139238.561741769</v>
      </c>
      <c r="EG74" s="29">
        <f t="shared" si="50"/>
        <v>1425</v>
      </c>
      <c r="EH74" s="29">
        <f t="shared" si="51"/>
        <v>268830</v>
      </c>
      <c r="EI74" s="29">
        <f t="shared" si="52"/>
        <v>529673</v>
      </c>
      <c r="EJ74" s="29">
        <f t="shared" si="53"/>
        <v>6888194</v>
      </c>
      <c r="EK74" s="29">
        <f t="shared" si="54"/>
        <v>7417867</v>
      </c>
      <c r="EL74" s="29">
        <f>IF(CD74=1,VLOOKUP(EA74,'EIA 2023'!$A$2:$J$213,4,0)*EH74,"")</f>
        <v>43948328.399999999</v>
      </c>
      <c r="EM74" s="29">
        <f>IF(CD74=1,VLOOKUP(EA74,'EIA 2023'!$A$2:$J$213,7,0)*EH74,"")</f>
        <v>427439.7</v>
      </c>
      <c r="EN74" s="29">
        <f>IF(CD74=1,VLOOKUP(EA74,'EIA 2023'!$A$2:$J$213,10,0),"")</f>
        <v>9151</v>
      </c>
      <c r="EO74" s="28">
        <f>IF(CD74=1,VLOOKUP(EA74,'EIA 2023'!$A$2:$Z$213,26,0),"")</f>
        <v>0</v>
      </c>
      <c r="EP74" s="23">
        <f t="shared" si="55"/>
        <v>7.1405027887396735E-2</v>
      </c>
      <c r="EQ74" s="32">
        <f t="shared" si="56"/>
        <v>0</v>
      </c>
      <c r="ER74" s="32">
        <f t="shared" si="57"/>
        <v>529673</v>
      </c>
      <c r="ES74" s="32"/>
      <c r="ET74" s="32"/>
    </row>
    <row r="75" spans="1:150" ht="15.75" customHeight="1">
      <c r="A75" s="7" t="s">
        <v>429</v>
      </c>
      <c r="B75" s="7" t="s">
        <v>430</v>
      </c>
      <c r="C75" s="32" t="s">
        <v>1160</v>
      </c>
      <c r="D75" s="42">
        <v>218422593</v>
      </c>
      <c r="E75" s="42">
        <v>96379479</v>
      </c>
      <c r="F75" s="42">
        <v>186652908</v>
      </c>
      <c r="G75" s="42">
        <v>1082622299</v>
      </c>
      <c r="H75" s="42">
        <v>1203780902</v>
      </c>
      <c r="I75" s="42">
        <v>17280225</v>
      </c>
      <c r="J75" s="42">
        <v>3032286</v>
      </c>
      <c r="K75" s="42">
        <v>757288</v>
      </c>
      <c r="L75" s="42">
        <v>6170008</v>
      </c>
      <c r="M75" s="42">
        <v>7834722</v>
      </c>
      <c r="N75" s="42">
        <v>2271257</v>
      </c>
      <c r="O75" s="42">
        <v>13925838</v>
      </c>
      <c r="P75" s="42">
        <v>3110938</v>
      </c>
      <c r="Q75" s="42">
        <v>101855</v>
      </c>
      <c r="R75" s="42">
        <v>0</v>
      </c>
      <c r="S75" s="42">
        <v>1690316</v>
      </c>
      <c r="T75" s="42">
        <v>47801680</v>
      </c>
      <c r="U75" s="42">
        <v>6737175</v>
      </c>
      <c r="V75" s="42">
        <v>3116</v>
      </c>
      <c r="W75" s="42">
        <v>216677</v>
      </c>
      <c r="X75" s="42">
        <f>IFERROR(VLOOKUP(A75,'Trans 21-23'!$A$2:$J$229,10,0),0)</f>
        <v>13175032</v>
      </c>
      <c r="Y75" s="42">
        <v>150285</v>
      </c>
      <c r="Z75" s="42">
        <v>512933</v>
      </c>
      <c r="AA75" s="42">
        <v>70118162</v>
      </c>
      <c r="AB75" s="42">
        <v>101206320</v>
      </c>
      <c r="AC75" s="42">
        <v>8364397</v>
      </c>
      <c r="AD75" s="42">
        <v>329363031</v>
      </c>
      <c r="AE75" s="42">
        <v>0</v>
      </c>
      <c r="AF75" s="42">
        <v>3210496234</v>
      </c>
      <c r="AG75" s="42">
        <v>1556301</v>
      </c>
      <c r="AH75" s="42">
        <v>203846</v>
      </c>
      <c r="AI75" s="42">
        <v>54679028</v>
      </c>
      <c r="AJ75" s="42">
        <v>49940</v>
      </c>
      <c r="AK75" s="42">
        <v>255</v>
      </c>
      <c r="AL75" s="42">
        <v>10669105</v>
      </c>
      <c r="AM75" s="42">
        <v>14404301</v>
      </c>
      <c r="AN75" s="42">
        <v>7830382</v>
      </c>
      <c r="AO75" s="42">
        <v>108934</v>
      </c>
      <c r="AP75" s="42">
        <v>83243</v>
      </c>
      <c r="AQ75" s="42">
        <v>33101611</v>
      </c>
      <c r="AR75" s="42">
        <v>14923743</v>
      </c>
      <c r="AS75" s="42">
        <v>48025354</v>
      </c>
      <c r="AT75" s="42">
        <v>0</v>
      </c>
      <c r="AU75" s="42">
        <v>7806</v>
      </c>
      <c r="AV75" s="42">
        <v>0</v>
      </c>
      <c r="AW75" s="42">
        <v>721100006</v>
      </c>
      <c r="AX75" s="42">
        <v>413181083</v>
      </c>
      <c r="AY75" s="42">
        <v>1485454805</v>
      </c>
      <c r="AZ75" s="42">
        <v>190699177</v>
      </c>
      <c r="BA75" s="42">
        <v>100218571</v>
      </c>
      <c r="BB75" s="42">
        <v>5601847282</v>
      </c>
      <c r="BC75" s="42">
        <v>23429985801</v>
      </c>
      <c r="BD75" s="42">
        <v>956371633</v>
      </c>
      <c r="BE75" s="42">
        <v>1983268682</v>
      </c>
      <c r="BF75" s="42">
        <v>169980520</v>
      </c>
      <c r="BG75" s="42">
        <v>0</v>
      </c>
      <c r="BH75" s="42">
        <v>53488501</v>
      </c>
      <c r="BI75" s="42">
        <v>16364814</v>
      </c>
      <c r="BJ75" s="42">
        <v>1921114</v>
      </c>
      <c r="BK75" s="42">
        <v>2970045</v>
      </c>
      <c r="BL75" s="42">
        <v>0</v>
      </c>
      <c r="BM75" s="42">
        <v>107815398</v>
      </c>
      <c r="BN75" s="42">
        <v>462881948</v>
      </c>
      <c r="BO75" s="42">
        <v>7654454</v>
      </c>
      <c r="BP75" s="42">
        <v>18446826</v>
      </c>
      <c r="BQ75" s="42">
        <v>759561640</v>
      </c>
      <c r="BR75" s="42">
        <v>5646</v>
      </c>
      <c r="BS75" s="42">
        <f>IFERROR(VLOOKUP(A75,'Trans 21-23'!$A$2:$J$229,9,0),0)</f>
        <v>1297477152</v>
      </c>
      <c r="BT75" s="67"/>
      <c r="BU75" s="32">
        <f t="shared" si="0"/>
        <v>5601847282</v>
      </c>
      <c r="BV75" s="32">
        <f t="shared" si="1"/>
        <v>7806</v>
      </c>
      <c r="BW75" s="32">
        <f t="shared" si="2"/>
        <v>1556301</v>
      </c>
      <c r="BX75" s="32">
        <f t="shared" si="3"/>
        <v>110933381</v>
      </c>
      <c r="BY75" s="32">
        <f t="shared" si="4"/>
        <v>180352097</v>
      </c>
      <c r="BZ75" s="32">
        <f t="shared" si="5"/>
        <v>190699177</v>
      </c>
      <c r="CA75" s="32">
        <f t="shared" si="6"/>
        <v>329363031</v>
      </c>
      <c r="CB75" s="32">
        <f t="shared" si="7"/>
        <v>203846</v>
      </c>
      <c r="CC75" s="32">
        <f t="shared" si="8"/>
        <v>33101611</v>
      </c>
      <c r="CD75" s="41">
        <f t="shared" si="64"/>
        <v>1</v>
      </c>
      <c r="CE75" s="44">
        <f t="shared" si="10"/>
        <v>6</v>
      </c>
      <c r="CF75" s="27"/>
      <c r="CG75" s="28">
        <f t="shared" si="11"/>
        <v>717.63352318729176</v>
      </c>
      <c r="CH75" s="28">
        <f t="shared" si="12"/>
        <v>5.0157392432440764</v>
      </c>
      <c r="CI75" s="28">
        <f t="shared" si="13"/>
        <v>71.280157887195344</v>
      </c>
      <c r="CJ75" s="28">
        <f t="shared" si="14"/>
        <v>122.53360821589141</v>
      </c>
      <c r="CK75" s="23">
        <f t="shared" si="15"/>
        <v>6.1581897026099421E-3</v>
      </c>
      <c r="CL75" s="29" t="str">
        <f t="shared" si="16"/>
        <v/>
      </c>
      <c r="CM75" s="29" t="str">
        <f t="shared" si="17"/>
        <v/>
      </c>
      <c r="CN75" s="29" t="str">
        <f t="shared" si="18"/>
        <v/>
      </c>
      <c r="CO75" s="29" t="str">
        <f t="shared" si="19"/>
        <v/>
      </c>
      <c r="CP75" s="29" t="str">
        <f t="shared" si="20"/>
        <v/>
      </c>
      <c r="CQ75" s="29">
        <f t="shared" si="21"/>
        <v>0</v>
      </c>
      <c r="CR75" s="13"/>
      <c r="CS75" s="7">
        <f>VLOOKUP(A75,'Empresas 21-23'!$A$2:$M$228,13,0)</f>
        <v>1</v>
      </c>
      <c r="CT75" s="30"/>
      <c r="CU75" s="6">
        <f t="shared" si="22"/>
        <v>5469225153.1999998</v>
      </c>
      <c r="CV75" s="6">
        <f t="shared" si="23"/>
        <v>190699177</v>
      </c>
      <c r="CW75" s="6">
        <f t="shared" si="24"/>
        <v>956371633</v>
      </c>
      <c r="CX75" s="23">
        <f t="shared" si="62"/>
        <v>0.24336206505616645</v>
      </c>
      <c r="CY75" s="23">
        <f t="shared" si="63"/>
        <v>8.4854699192769382E-3</v>
      </c>
      <c r="CZ75" s="6">
        <f t="shared" si="27"/>
        <v>5701969728.7680178</v>
      </c>
      <c r="DA75" s="6">
        <f t="shared" si="28"/>
        <v>198814439.72347125</v>
      </c>
      <c r="DB75" s="6">
        <f t="shared" si="29"/>
        <v>110933381</v>
      </c>
      <c r="DC75" s="6">
        <f t="shared" si="30"/>
        <v>124108413</v>
      </c>
      <c r="DD75" s="6">
        <f t="shared" si="31"/>
        <v>180352097</v>
      </c>
      <c r="DE75" s="6">
        <f t="shared" si="32"/>
        <v>329363031</v>
      </c>
      <c r="DF75" s="6">
        <f t="shared" si="33"/>
        <v>85277884.899106607</v>
      </c>
      <c r="DG75" s="30"/>
      <c r="DH75" s="32">
        <f>VLOOKUP(A75,'T_med_comp-USA'!$A$7:$Q$233,17,0)</f>
        <v>13.00134785928905</v>
      </c>
      <c r="DI75" s="6" t="str">
        <f t="shared" si="34"/>
        <v>1_2011</v>
      </c>
      <c r="DJ75" s="32">
        <f>IF(DI75="","",VLOOKUP(DI75,'CPI USA'!$T:$U,2,FALSE))</f>
        <v>224.93899999999999</v>
      </c>
      <c r="DK75" s="32">
        <f>IF(DI75="","",VLOOKUP(DI75,'PPI USA'!$S:$T,2,FALSE))</f>
        <v>169.6</v>
      </c>
      <c r="DL75" s="32">
        <f>IF(DI75="","",VLOOKUP(DI75,'CPI USA'!$T:$V,3,FALSE))</f>
        <v>0.6684022975047168</v>
      </c>
      <c r="DM75" s="32">
        <f>IF(DI75="","",VLOOKUP(DI75,'CPI USA'!$T:$X,5,FALSE))</f>
        <v>0.49636791791307899</v>
      </c>
      <c r="DN75" s="32">
        <f t="shared" si="35"/>
        <v>1.4208751760332547</v>
      </c>
      <c r="DO75" s="32">
        <f t="shared" si="36"/>
        <v>1.4334111417560953</v>
      </c>
      <c r="DP75" s="32">
        <f t="shared" si="37"/>
        <v>0.49014114486587634</v>
      </c>
      <c r="DQ75" s="32">
        <f>IF(DP75="","",DP75*$DO$1/'CPI USA'!$U$532+(1-DP75)*AVERAGE($DO$1,$DQ$1)/AVERAGE('CPI USA'!$U$532,'PPI USA'!$T$538))</f>
        <v>1.0359857060018567</v>
      </c>
      <c r="DR75" s="6">
        <f t="shared" si="38"/>
        <v>21255973</v>
      </c>
      <c r="DS75" s="32">
        <f t="shared" si="39"/>
        <v>0.2</v>
      </c>
      <c r="DT75" s="28">
        <f>IF(DS75="","",DS75*$DO$1/'CPI USA'!$U$532+(1-DS75)*AVERAGE($DO$1,$DQ$1)/AVERAGE('CPI USA'!$U$532,'PPI USA'!$T$538))</f>
        <v>1.0426818386380585</v>
      </c>
      <c r="DU75" s="6">
        <f t="shared" si="40"/>
        <v>109598288.88189435</v>
      </c>
      <c r="DV75" s="6">
        <f t="shared" si="41"/>
        <v>2683594.8350463659</v>
      </c>
      <c r="DW75" s="6">
        <f t="shared" si="42"/>
        <v>18130865.492624264</v>
      </c>
      <c r="DX75" s="16">
        <f t="shared" si="43"/>
        <v>0.21260923056517092</v>
      </c>
      <c r="DY75" s="28">
        <f>IF(DX75="","",DX75*$DO$1/'CPI USA'!$U$532+(1-DX75)*AVERAGE($DO$1,$DQ$1)/AVERAGE('CPI USA'!$U$532,'PPI USA'!$T$538))</f>
        <v>1.0423908317202224</v>
      </c>
      <c r="DZ75" s="30"/>
      <c r="EA75" s="29" t="str">
        <f t="shared" si="44"/>
        <v>C000824</v>
      </c>
      <c r="EB75" s="29">
        <f t="shared" si="45"/>
        <v>8101787242.0995474</v>
      </c>
      <c r="EC75" s="29">
        <f t="shared" si="46"/>
        <v>284982833.0416193</v>
      </c>
      <c r="ED75" s="29">
        <f t="shared" si="47"/>
        <v>128574541.86257501</v>
      </c>
      <c r="EE75" s="29">
        <f t="shared" si="48"/>
        <v>188049856.10218948</v>
      </c>
      <c r="EF75" s="29">
        <f t="shared" si="49"/>
        <v>88892885.367321134</v>
      </c>
      <c r="EG75" s="29">
        <f t="shared" si="50"/>
        <v>7806</v>
      </c>
      <c r="EH75" s="29">
        <f t="shared" si="51"/>
        <v>1556301</v>
      </c>
      <c r="EI75" s="29">
        <f t="shared" si="52"/>
        <v>203846</v>
      </c>
      <c r="EJ75" s="29">
        <f t="shared" si="53"/>
        <v>33101611</v>
      </c>
      <c r="EK75" s="29">
        <f t="shared" si="54"/>
        <v>33078191.878172591</v>
      </c>
      <c r="EL75" s="29">
        <f>IF(CD75=1,VLOOKUP(EA75,'EIA 2023'!$A$2:$J$213,4,0)*EH75,"")</f>
        <v>129888881.45999999</v>
      </c>
      <c r="EM75" s="29">
        <f>IF(CD75=1,VLOOKUP(EA75,'EIA 2023'!$A$2:$J$213,7,0)*EH75,"")</f>
        <v>1649679.06</v>
      </c>
      <c r="EN75" s="29">
        <f>IF(CD75=1,VLOOKUP(EA75,'EIA 2023'!$A$2:$J$213,10,0),"")</f>
        <v>1387709</v>
      </c>
      <c r="EO75" s="28">
        <f>IF(CD75=1,VLOOKUP(EA75,'EIA 2023'!$A$2:$Z$213,26,0),"")</f>
        <v>0</v>
      </c>
      <c r="EP75" s="23">
        <f t="shared" si="55"/>
        <v>-7.0799280425192109E-4</v>
      </c>
      <c r="EQ75" s="32">
        <f t="shared" si="56"/>
        <v>227265.12182741053</v>
      </c>
      <c r="ER75" s="32">
        <f t="shared" si="57"/>
        <v>-23419.121827410534</v>
      </c>
      <c r="ES75" s="32"/>
      <c r="ET75" s="32"/>
    </row>
    <row r="76" spans="1:150" ht="15.75" customHeight="1">
      <c r="A76" s="7" t="s">
        <v>432</v>
      </c>
      <c r="B76" s="7" t="s">
        <v>433</v>
      </c>
      <c r="C76" s="32" t="s">
        <v>1161</v>
      </c>
      <c r="D76" s="42">
        <v>291605062</v>
      </c>
      <c r="E76" s="42">
        <v>0</v>
      </c>
      <c r="F76" s="42">
        <v>42122558</v>
      </c>
      <c r="G76" s="42">
        <v>375200980</v>
      </c>
      <c r="H76" s="42">
        <v>409159656</v>
      </c>
      <c r="I76" s="42">
        <v>6836275</v>
      </c>
      <c r="J76" s="42">
        <v>949617</v>
      </c>
      <c r="K76" s="42">
        <v>344018</v>
      </c>
      <c r="L76" s="42">
        <v>4931351</v>
      </c>
      <c r="M76" s="42">
        <v>790271</v>
      </c>
      <c r="N76" s="42">
        <v>768808</v>
      </c>
      <c r="O76" s="42">
        <v>5884117</v>
      </c>
      <c r="P76" s="42">
        <v>2153228</v>
      </c>
      <c r="Q76" s="42">
        <v>5213</v>
      </c>
      <c r="R76" s="42">
        <v>0</v>
      </c>
      <c r="S76" s="42">
        <v>385785</v>
      </c>
      <c r="T76" s="42">
        <v>6349805</v>
      </c>
      <c r="U76" s="42">
        <v>93410</v>
      </c>
      <c r="V76" s="42">
        <v>0</v>
      </c>
      <c r="W76" s="42">
        <v>140625</v>
      </c>
      <c r="X76" s="42">
        <f>IFERROR(VLOOKUP(A76,'Trans 21-23'!$A$2:$J$229,10,0),0)</f>
        <v>12807114</v>
      </c>
      <c r="Y76" s="42">
        <v>2414257</v>
      </c>
      <c r="Z76" s="42">
        <v>117244</v>
      </c>
      <c r="AA76" s="42">
        <v>27600271</v>
      </c>
      <c r="AB76" s="42">
        <v>22971241</v>
      </c>
      <c r="AC76" s="42">
        <v>873166</v>
      </c>
      <c r="AD76" s="42">
        <v>126379649</v>
      </c>
      <c r="AE76" s="42">
        <v>0</v>
      </c>
      <c r="AF76" s="42">
        <v>1171133300</v>
      </c>
      <c r="AG76" s="42">
        <v>406432</v>
      </c>
      <c r="AH76" s="42">
        <v>873690</v>
      </c>
      <c r="AI76" s="42">
        <v>30152528</v>
      </c>
      <c r="AJ76" s="42">
        <v>16039</v>
      </c>
      <c r="AK76" s="42">
        <v>0</v>
      </c>
      <c r="AL76" s="42">
        <v>3728263</v>
      </c>
      <c r="AM76" s="42">
        <v>5565916</v>
      </c>
      <c r="AN76" s="42">
        <v>13615181</v>
      </c>
      <c r="AO76" s="42">
        <v>21010</v>
      </c>
      <c r="AP76" s="42">
        <v>503991</v>
      </c>
      <c r="AQ76" s="42">
        <v>23434361</v>
      </c>
      <c r="AR76" s="42">
        <v>5828438</v>
      </c>
      <c r="AS76" s="42">
        <v>29262799</v>
      </c>
      <c r="AT76" s="42">
        <v>0</v>
      </c>
      <c r="AU76" s="42">
        <v>4325</v>
      </c>
      <c r="AV76" s="42">
        <v>0</v>
      </c>
      <c r="AW76" s="42">
        <v>380649741</v>
      </c>
      <c r="AX76" s="42">
        <v>28888601</v>
      </c>
      <c r="AY76" s="42">
        <v>63504966</v>
      </c>
      <c r="AZ76" s="42">
        <v>84222367</v>
      </c>
      <c r="BA76" s="42">
        <v>40095096</v>
      </c>
      <c r="BB76" s="42">
        <v>2131816916</v>
      </c>
      <c r="BC76" s="42">
        <v>11494796170</v>
      </c>
      <c r="BD76" s="42">
        <v>697031294</v>
      </c>
      <c r="BE76" s="42">
        <v>447106369</v>
      </c>
      <c r="BF76" s="42">
        <v>50696712</v>
      </c>
      <c r="BG76" s="42">
        <v>0</v>
      </c>
      <c r="BH76" s="42">
        <v>17638212</v>
      </c>
      <c r="BI76" s="42">
        <v>8642602</v>
      </c>
      <c r="BJ76" s="42">
        <v>2316726</v>
      </c>
      <c r="BK76" s="42">
        <v>396923</v>
      </c>
      <c r="BL76" s="42">
        <v>0</v>
      </c>
      <c r="BM76" s="42">
        <v>43296392</v>
      </c>
      <c r="BN76" s="42">
        <v>132204494</v>
      </c>
      <c r="BO76" s="42">
        <v>1636090</v>
      </c>
      <c r="BP76" s="42">
        <v>1305594</v>
      </c>
      <c r="BQ76" s="42">
        <v>199451625</v>
      </c>
      <c r="BR76" s="42">
        <v>0</v>
      </c>
      <c r="BS76" s="42">
        <f>IFERROR(VLOOKUP(A76,'Trans 21-23'!$A$2:$J$229,9,0),0)</f>
        <v>1261244583</v>
      </c>
      <c r="BT76" s="67"/>
      <c r="BU76" s="32">
        <f t="shared" si="0"/>
        <v>2131816916</v>
      </c>
      <c r="BV76" s="32">
        <f t="shared" si="1"/>
        <v>4325</v>
      </c>
      <c r="BW76" s="32">
        <f t="shared" si="2"/>
        <v>406432</v>
      </c>
      <c r="BX76" s="32">
        <f t="shared" si="3"/>
        <v>29632523</v>
      </c>
      <c r="BY76" s="32">
        <f t="shared" si="4"/>
        <v>53976179</v>
      </c>
      <c r="BZ76" s="32">
        <f t="shared" si="5"/>
        <v>84222367</v>
      </c>
      <c r="CA76" s="32">
        <f t="shared" si="6"/>
        <v>126379649</v>
      </c>
      <c r="CB76" s="32">
        <f t="shared" si="7"/>
        <v>873690</v>
      </c>
      <c r="CC76" s="32">
        <f t="shared" si="8"/>
        <v>23434361</v>
      </c>
      <c r="CD76" s="41">
        <f t="shared" si="64"/>
        <v>1</v>
      </c>
      <c r="CE76" s="44">
        <f t="shared" si="10"/>
        <v>10</v>
      </c>
      <c r="CF76" s="27"/>
      <c r="CG76" s="28">
        <f t="shared" si="11"/>
        <v>492.9056453179191</v>
      </c>
      <c r="CH76" s="28">
        <f t="shared" si="12"/>
        <v>10.641386504999605</v>
      </c>
      <c r="CI76" s="28">
        <f t="shared" si="13"/>
        <v>72.908931875442875</v>
      </c>
      <c r="CJ76" s="28">
        <f t="shared" si="14"/>
        <v>207.22375944807496</v>
      </c>
      <c r="CK76" s="23">
        <f t="shared" si="15"/>
        <v>3.7282433261141619E-2</v>
      </c>
      <c r="CL76" s="29" t="str">
        <f t="shared" si="16"/>
        <v/>
      </c>
      <c r="CM76" s="29" t="str">
        <f t="shared" si="17"/>
        <v/>
      </c>
      <c r="CN76" s="29" t="str">
        <f t="shared" si="18"/>
        <v/>
      </c>
      <c r="CO76" s="29" t="str">
        <f t="shared" si="19"/>
        <v/>
      </c>
      <c r="CP76" s="29" t="str">
        <f t="shared" si="20"/>
        <v/>
      </c>
      <c r="CQ76" s="29">
        <f t="shared" si="21"/>
        <v>0</v>
      </c>
      <c r="CR76" s="13"/>
      <c r="CS76" s="7">
        <f>VLOOKUP(A76,'Empresas 21-23'!$A$2:$M$228,13,0)</f>
        <v>1</v>
      </c>
      <c r="CT76" s="30"/>
      <c r="CU76" s="6">
        <f t="shared" si="22"/>
        <v>3213307895.8000002</v>
      </c>
      <c r="CV76" s="6">
        <f t="shared" si="23"/>
        <v>84222367</v>
      </c>
      <c r="CW76" s="6">
        <f t="shared" si="24"/>
        <v>697031294</v>
      </c>
      <c r="CX76" s="23">
        <f t="shared" si="62"/>
        <v>0.29759009690442162</v>
      </c>
      <c r="CY76" s="23">
        <f t="shared" si="63"/>
        <v>7.7999815672222641E-3</v>
      </c>
      <c r="CZ76" s="6">
        <f t="shared" si="27"/>
        <v>3420737506.1268744</v>
      </c>
      <c r="DA76" s="6">
        <f t="shared" si="28"/>
        <v>89659198.244977087</v>
      </c>
      <c r="DB76" s="6">
        <f t="shared" si="29"/>
        <v>29632523</v>
      </c>
      <c r="DC76" s="6">
        <f t="shared" si="30"/>
        <v>42439637</v>
      </c>
      <c r="DD76" s="6">
        <f t="shared" si="31"/>
        <v>53976179</v>
      </c>
      <c r="DE76" s="6">
        <f t="shared" si="32"/>
        <v>126379649</v>
      </c>
      <c r="DF76" s="6">
        <f t="shared" si="33"/>
        <v>40365532.544419974</v>
      </c>
      <c r="DG76" s="30"/>
      <c r="DH76" s="32">
        <f>VLOOKUP(A76,'T_med_comp-USA'!$A$7:$Q$233,17,0)</f>
        <v>9.1717557883961334</v>
      </c>
      <c r="DI76" s="6" t="str">
        <f t="shared" si="34"/>
        <v>10_2014</v>
      </c>
      <c r="DJ76" s="32">
        <f>IF(DI76="","",VLOOKUP(DI76,'CPI USA'!$T:$U,2,FALSE))</f>
        <v>237.43299999999999</v>
      </c>
      <c r="DK76" s="32">
        <f>IF(DI76="","",VLOOKUP(DI76,'PPI USA'!$S:$T,2,FALSE))</f>
        <v>181.3</v>
      </c>
      <c r="DL76" s="32">
        <f>IF(DI76="","",VLOOKUP(DI76,'CPI USA'!$T:$V,3,FALSE))</f>
        <v>0.66756601812039096</v>
      </c>
      <c r="DM76" s="32">
        <f>IF(DI76="","",VLOOKUP(DI76,'CPI USA'!$T:$X,5,FALSE))</f>
        <v>0.49542529667095003</v>
      </c>
      <c r="DN76" s="32">
        <f t="shared" si="35"/>
        <v>1.3436449732207416</v>
      </c>
      <c r="DO76" s="32">
        <f t="shared" si="36"/>
        <v>1.3542238044000909</v>
      </c>
      <c r="DP76" s="32">
        <f t="shared" si="37"/>
        <v>0.60259778745975756</v>
      </c>
      <c r="DQ76" s="32">
        <f>IF(DP76="","",DP76*$DO$1/'CPI USA'!$U$532+(1-DP76)*AVERAGE($DO$1,$DQ$1)/AVERAGE('CPI USA'!$U$532,'PPI USA'!$T$538))</f>
        <v>1.0333903326535552</v>
      </c>
      <c r="DR76" s="6">
        <f t="shared" si="38"/>
        <v>11356251</v>
      </c>
      <c r="DS76" s="32">
        <f t="shared" si="39"/>
        <v>0.21299747259610857</v>
      </c>
      <c r="DT76" s="28">
        <f>IF(DS76="","",DS76*$DO$1/'CPI USA'!$U$532+(1-DS76)*AVERAGE($DO$1,$DQ$1)/AVERAGE('CPI USA'!$U$532,'PPI USA'!$T$538))</f>
        <v>1.0423818715290185</v>
      </c>
      <c r="DU76" s="6">
        <f t="shared" si="40"/>
        <v>43832204.299900182</v>
      </c>
      <c r="DV76" s="6">
        <f t="shared" si="41"/>
        <v>285282.06864182913</v>
      </c>
      <c r="DW76" s="6">
        <f t="shared" si="42"/>
        <v>9675638.0018798411</v>
      </c>
      <c r="DX76" s="16">
        <f t="shared" si="43"/>
        <v>0.23970049178051475</v>
      </c>
      <c r="DY76" s="28">
        <f>IF(DX76="","",DX76*$DO$1/'CPI USA'!$U$532+(1-DX76)*AVERAGE($DO$1,$DQ$1)/AVERAGE('CPI USA'!$U$532,'PPI USA'!$T$538))</f>
        <v>1.0417655957563132</v>
      </c>
      <c r="DZ76" s="30"/>
      <c r="EA76" s="29" t="str">
        <f t="shared" si="44"/>
        <v>C000825</v>
      </c>
      <c r="EB76" s="29">
        <f t="shared" si="45"/>
        <v>4596256754.8150311</v>
      </c>
      <c r="EC76" s="29">
        <f t="shared" si="46"/>
        <v>121418620.54677482</v>
      </c>
      <c r="ED76" s="29">
        <f t="shared" si="47"/>
        <v>43856710.597126126</v>
      </c>
      <c r="EE76" s="29">
        <f t="shared" si="48"/>
        <v>56263790.48400531</v>
      </c>
      <c r="EF76" s="29">
        <f t="shared" si="49"/>
        <v>42051423.059158526</v>
      </c>
      <c r="EG76" s="29">
        <f t="shared" si="50"/>
        <v>4325</v>
      </c>
      <c r="EH76" s="29">
        <f t="shared" si="51"/>
        <v>406432</v>
      </c>
      <c r="EI76" s="29">
        <f t="shared" si="52"/>
        <v>873690</v>
      </c>
      <c r="EJ76" s="29">
        <f t="shared" si="53"/>
        <v>23434361</v>
      </c>
      <c r="EK76" s="29">
        <f t="shared" si="54"/>
        <v>24219293.060913704</v>
      </c>
      <c r="EL76" s="29">
        <f>IF(CD76=1,VLOOKUP(EA76,'EIA 2023'!$A$2:$J$213,4,0)*EH76,"")</f>
        <v>47312749.119999997</v>
      </c>
      <c r="EM76" s="29">
        <f>IF(CD76=1,VLOOKUP(EA76,'EIA 2023'!$A$2:$J$213,7,0)*EH76,"")</f>
        <v>564940.48</v>
      </c>
      <c r="EN76" s="29">
        <f>IF(CD76=1,VLOOKUP(EA76,'EIA 2023'!$A$2:$J$213,10,0),"")</f>
        <v>7999</v>
      </c>
      <c r="EO76" s="28">
        <f>IF(CD76=1,VLOOKUP(EA76,'EIA 2023'!$A$2:$Z$213,26,0),"")</f>
        <v>0</v>
      </c>
      <c r="EP76" s="23">
        <f t="shared" si="55"/>
        <v>3.2409371278489855E-2</v>
      </c>
      <c r="EQ76" s="32">
        <f t="shared" si="56"/>
        <v>88757.939086294733</v>
      </c>
      <c r="ER76" s="32">
        <f t="shared" si="57"/>
        <v>784932.06091370527</v>
      </c>
      <c r="ES76" s="32"/>
      <c r="ET76" s="32"/>
    </row>
    <row r="77" spans="1:150" ht="15.75" customHeight="1">
      <c r="A77" s="7" t="s">
        <v>435</v>
      </c>
      <c r="B77" s="7" t="s">
        <v>436</v>
      </c>
      <c r="C77" s="32" t="s">
        <v>1162</v>
      </c>
      <c r="D77" s="42">
        <v>281315688</v>
      </c>
      <c r="E77" s="42">
        <v>0</v>
      </c>
      <c r="F77" s="42">
        <v>0</v>
      </c>
      <c r="G77" s="42">
        <v>468208591</v>
      </c>
      <c r="H77" s="42">
        <v>591053057</v>
      </c>
      <c r="I77" s="42">
        <v>12298935</v>
      </c>
      <c r="J77" s="42">
        <v>479534</v>
      </c>
      <c r="K77" s="42">
        <v>647626</v>
      </c>
      <c r="L77" s="42">
        <v>4505203</v>
      </c>
      <c r="M77" s="42">
        <v>1782272</v>
      </c>
      <c r="N77" s="42">
        <v>707024</v>
      </c>
      <c r="O77" s="42">
        <v>6017895</v>
      </c>
      <c r="P77" s="42">
        <v>2138652</v>
      </c>
      <c r="Q77" s="42">
        <v>4058138</v>
      </c>
      <c r="R77" s="42">
        <v>1686456</v>
      </c>
      <c r="S77" s="42">
        <v>1518297</v>
      </c>
      <c r="T77" s="42">
        <v>34441760</v>
      </c>
      <c r="U77" s="42">
        <v>2347053</v>
      </c>
      <c r="V77" s="42">
        <v>179542</v>
      </c>
      <c r="W77" s="42">
        <v>878463</v>
      </c>
      <c r="X77" s="42">
        <f>IFERROR(VLOOKUP(A77,'Trans 21-23'!$A$2:$J$229,10,0),0)</f>
        <v>1192258</v>
      </c>
      <c r="Y77" s="42">
        <v>1662967</v>
      </c>
      <c r="Z77" s="42">
        <v>213784</v>
      </c>
      <c r="AA77" s="42">
        <v>24924638</v>
      </c>
      <c r="AB77" s="42">
        <v>15146344</v>
      </c>
      <c r="AC77" s="42">
        <v>3217708</v>
      </c>
      <c r="AD77" s="42">
        <v>109762089</v>
      </c>
      <c r="AE77" s="42">
        <v>0</v>
      </c>
      <c r="AF77" s="42">
        <v>1206042754</v>
      </c>
      <c r="AG77" s="42">
        <v>506334</v>
      </c>
      <c r="AH77" s="42">
        <v>732751</v>
      </c>
      <c r="AI77" s="42">
        <v>22367753</v>
      </c>
      <c r="AJ77" s="42">
        <v>8117</v>
      </c>
      <c r="AK77" s="42">
        <v>0</v>
      </c>
      <c r="AL77" s="42">
        <v>6785117</v>
      </c>
      <c r="AM77" s="42">
        <v>4797945</v>
      </c>
      <c r="AN77" s="42">
        <v>9307669</v>
      </c>
      <c r="AO77" s="42">
        <v>36916</v>
      </c>
      <c r="AP77" s="42">
        <v>236837</v>
      </c>
      <c r="AQ77" s="42">
        <v>21164484</v>
      </c>
      <c r="AR77" s="42">
        <v>462401</v>
      </c>
      <c r="AS77" s="42">
        <v>21626885</v>
      </c>
      <c r="AT77" s="42">
        <v>0</v>
      </c>
      <c r="AU77" s="42">
        <v>4153</v>
      </c>
      <c r="AV77" s="42">
        <v>0</v>
      </c>
      <c r="AW77" s="42">
        <v>471406663</v>
      </c>
      <c r="AX77" s="42">
        <v>104526621</v>
      </c>
      <c r="AY77" s="42">
        <v>222112810</v>
      </c>
      <c r="AZ77" s="42">
        <v>161477192</v>
      </c>
      <c r="BA77" s="42">
        <v>40105918</v>
      </c>
      <c r="BB77" s="42">
        <v>2897222494</v>
      </c>
      <c r="BC77" s="42">
        <v>7903627238</v>
      </c>
      <c r="BD77" s="42">
        <v>192670658</v>
      </c>
      <c r="BE77" s="42">
        <v>635278286</v>
      </c>
      <c r="BF77" s="42">
        <v>95655432</v>
      </c>
      <c r="BG77" s="42">
        <v>0</v>
      </c>
      <c r="BH77" s="42">
        <v>16108808</v>
      </c>
      <c r="BI77" s="42">
        <v>1631026</v>
      </c>
      <c r="BJ77" s="42">
        <v>2581277</v>
      </c>
      <c r="BK77" s="42">
        <v>398367</v>
      </c>
      <c r="BL77" s="42">
        <v>0</v>
      </c>
      <c r="BM77" s="42">
        <v>4212202</v>
      </c>
      <c r="BN77" s="42">
        <v>46069450</v>
      </c>
      <c r="BO77" s="42">
        <v>0</v>
      </c>
      <c r="BP77" s="42">
        <v>9369604</v>
      </c>
      <c r="BQ77" s="42">
        <v>92709251</v>
      </c>
      <c r="BR77" s="42">
        <v>0</v>
      </c>
      <c r="BS77" s="42">
        <f>IFERROR(VLOOKUP(A77,'Trans 21-23'!$A$2:$J$229,9,0),0)</f>
        <v>117413529</v>
      </c>
      <c r="BT77" s="67"/>
      <c r="BU77" s="32">
        <f t="shared" si="0"/>
        <v>2897222494</v>
      </c>
      <c r="BV77" s="32">
        <f t="shared" si="1"/>
        <v>4153</v>
      </c>
      <c r="BW77" s="32">
        <f t="shared" si="2"/>
        <v>506334</v>
      </c>
      <c r="BX77" s="32">
        <f t="shared" si="3"/>
        <v>73686850</v>
      </c>
      <c r="BY77" s="32">
        <f t="shared" si="4"/>
        <v>45165441</v>
      </c>
      <c r="BZ77" s="32">
        <f t="shared" si="5"/>
        <v>161477192</v>
      </c>
      <c r="CA77" s="32">
        <f t="shared" si="6"/>
        <v>109762089</v>
      </c>
      <c r="CB77" s="32">
        <f t="shared" si="7"/>
        <v>732751</v>
      </c>
      <c r="CC77" s="32">
        <f t="shared" si="8"/>
        <v>21164484</v>
      </c>
      <c r="CD77" s="41">
        <f t="shared" si="64"/>
        <v>1</v>
      </c>
      <c r="CE77" s="44">
        <f t="shared" si="10"/>
        <v>10</v>
      </c>
      <c r="CF77" s="27"/>
      <c r="CG77" s="28">
        <f t="shared" si="11"/>
        <v>697.62159739947026</v>
      </c>
      <c r="CH77" s="28">
        <f t="shared" si="12"/>
        <v>8.2020958497750502</v>
      </c>
      <c r="CI77" s="28">
        <f t="shared" si="13"/>
        <v>145.53012438429968</v>
      </c>
      <c r="CJ77" s="28">
        <f t="shared" si="14"/>
        <v>318.91437667626508</v>
      </c>
      <c r="CK77" s="23">
        <f t="shared" si="15"/>
        <v>3.4621727607438951E-2</v>
      </c>
      <c r="CL77" s="29" t="str">
        <f t="shared" si="16"/>
        <v/>
      </c>
      <c r="CM77" s="29" t="str">
        <f t="shared" si="17"/>
        <v/>
      </c>
      <c r="CN77" s="29" t="str">
        <f t="shared" si="18"/>
        <v/>
      </c>
      <c r="CO77" s="29" t="str">
        <f t="shared" si="19"/>
        <v/>
      </c>
      <c r="CP77" s="29" t="str">
        <f t="shared" si="20"/>
        <v/>
      </c>
      <c r="CQ77" s="29">
        <f t="shared" si="21"/>
        <v>0</v>
      </c>
      <c r="CR77" s="13"/>
      <c r="CS77" s="7">
        <f>VLOOKUP(A77,'Empresas 21-23'!$A$2:$M$228,13,0)</f>
        <v>1</v>
      </c>
      <c r="CT77" s="30"/>
      <c r="CU77" s="6">
        <f t="shared" si="22"/>
        <v>2617069254.4000001</v>
      </c>
      <c r="CV77" s="6">
        <f t="shared" si="23"/>
        <v>161477192</v>
      </c>
      <c r="CW77" s="6">
        <f t="shared" si="24"/>
        <v>192670658</v>
      </c>
      <c r="CX77" s="23">
        <f t="shared" si="62"/>
        <v>0.33939618609549999</v>
      </c>
      <c r="CY77" s="23">
        <f t="shared" si="63"/>
        <v>2.0941265888959264E-2</v>
      </c>
      <c r="CZ77" s="6">
        <f t="shared" si="27"/>
        <v>2682460940.8977103</v>
      </c>
      <c r="DA77" s="6">
        <f t="shared" si="28"/>
        <v>165511959.47817874</v>
      </c>
      <c r="DB77" s="6">
        <f t="shared" si="29"/>
        <v>73686850</v>
      </c>
      <c r="DC77" s="6">
        <f t="shared" si="30"/>
        <v>74879108</v>
      </c>
      <c r="DD77" s="6">
        <f t="shared" si="31"/>
        <v>45165441</v>
      </c>
      <c r="DE77" s="6">
        <f t="shared" si="32"/>
        <v>109762089</v>
      </c>
      <c r="DF77" s="6">
        <f t="shared" si="33"/>
        <v>58846087.654926367</v>
      </c>
      <c r="DG77" s="30"/>
      <c r="DH77" s="32">
        <f>VLOOKUP(A77,'T_med_comp-USA'!$A$7:$Q$233,17,0)</f>
        <v>6.9758211040944182</v>
      </c>
      <c r="DI77" s="6" t="str">
        <f t="shared" si="34"/>
        <v>1_2017</v>
      </c>
      <c r="DJ77" s="32">
        <f>IF(DI77="","",VLOOKUP(DI77,'CPI USA'!$T:$U,2,FALSE))</f>
        <v>242.839</v>
      </c>
      <c r="DK77" s="32">
        <f>IF(DI77="","",VLOOKUP(DI77,'PPI USA'!$S:$T,2,FALSE))</f>
        <v>193.8</v>
      </c>
      <c r="DL77" s="32">
        <f>IF(DI77="","",VLOOKUP(DI77,'CPI USA'!$T:$V,3,FALSE))</f>
        <v>0.66204311420409623</v>
      </c>
      <c r="DM77" s="32">
        <f>IF(DI77="","",VLOOKUP(DI77,'CPI USA'!$T:$X,5,FALSE))</f>
        <v>0.48923067262022524</v>
      </c>
      <c r="DN77" s="32">
        <f t="shared" si="35"/>
        <v>1.3052922111247434</v>
      </c>
      <c r="DO77" s="32">
        <f t="shared" si="36"/>
        <v>1.311189955387182</v>
      </c>
      <c r="DP77" s="32">
        <f t="shared" si="37"/>
        <v>0.21861170615924008</v>
      </c>
      <c r="DQ77" s="32">
        <f>IF(DP77="","",DP77*$DO$1/'CPI USA'!$U$532+(1-DP77)*AVERAGE($DO$1,$DQ$1)/AVERAGE('CPI USA'!$U$532,'PPI USA'!$T$538))</f>
        <v>1.0422523013068885</v>
      </c>
      <c r="DR77" s="6">
        <f t="shared" si="38"/>
        <v>4610670</v>
      </c>
      <c r="DS77" s="32">
        <f t="shared" si="39"/>
        <v>0.2</v>
      </c>
      <c r="DT77" s="28">
        <f>IF(DS77="","",DS77*$DO$1/'CPI USA'!$U$532+(1-DS77)*AVERAGE($DO$1,$DQ$1)/AVERAGE('CPI USA'!$U$532,'PPI USA'!$T$538))</f>
        <v>1.0426818386380585</v>
      </c>
      <c r="DU77" s="6">
        <f t="shared" si="40"/>
        <v>4212202</v>
      </c>
      <c r="DV77" s="6">
        <f t="shared" si="41"/>
        <v>473564.09738582169</v>
      </c>
      <c r="DW77" s="6">
        <f t="shared" si="42"/>
        <v>2107397.1486078389</v>
      </c>
      <c r="DX77" s="16">
        <f t="shared" si="43"/>
        <v>0.2</v>
      </c>
      <c r="DY77" s="28">
        <f>IF(DX77="","",DX77*$DO$1/'CPI USA'!$U$532+(1-DX77)*AVERAGE($DO$1,$DQ$1)/AVERAGE('CPI USA'!$U$532,'PPI USA'!$T$538))</f>
        <v>1.0426818386380585</v>
      </c>
      <c r="DZ77" s="30"/>
      <c r="EA77" s="29" t="str">
        <f t="shared" si="44"/>
        <v>C000851</v>
      </c>
      <c r="EB77" s="29">
        <f t="shared" si="45"/>
        <v>3501395372.8001318</v>
      </c>
      <c r="EC77" s="29">
        <f t="shared" si="46"/>
        <v>217017618.76423824</v>
      </c>
      <c r="ED77" s="29">
        <f t="shared" si="47"/>
        <v>78042922.632807046</v>
      </c>
      <c r="EE77" s="29">
        <f t="shared" si="48"/>
        <v>47093185.064778753</v>
      </c>
      <c r="EF77" s="29">
        <f t="shared" si="49"/>
        <v>61357746.872694984</v>
      </c>
      <c r="EG77" s="29">
        <f t="shared" si="50"/>
        <v>4153</v>
      </c>
      <c r="EH77" s="29">
        <f t="shared" si="51"/>
        <v>506334</v>
      </c>
      <c r="EI77" s="29">
        <f t="shared" si="52"/>
        <v>732751</v>
      </c>
      <c r="EJ77" s="29">
        <f t="shared" si="53"/>
        <v>21164484</v>
      </c>
      <c r="EK77" s="29">
        <f t="shared" si="54"/>
        <v>21890193.36040609</v>
      </c>
      <c r="EL77" s="29">
        <f>IF(CD77=1,VLOOKUP(EA77,'EIA 2023'!$A$2:$J$213,4,0)*EH77,"")</f>
        <v>156457206</v>
      </c>
      <c r="EM77" s="29">
        <f>IF(CD77=1,VLOOKUP(EA77,'EIA 2023'!$A$2:$J$213,7,0)*EH77,"")</f>
        <v>1202543.25</v>
      </c>
      <c r="EN77" s="29">
        <f>IF(CD77=1,VLOOKUP(EA77,'EIA 2023'!$A$2:$J$213,10,0),"")</f>
        <v>576694</v>
      </c>
      <c r="EO77" s="28">
        <f>IF(CD77=1,VLOOKUP(EA77,'EIA 2023'!$A$2:$Z$213,26,0),"")</f>
        <v>0</v>
      </c>
      <c r="EP77" s="23">
        <f t="shared" si="55"/>
        <v>3.3152259025665758E-2</v>
      </c>
      <c r="EQ77" s="32">
        <f t="shared" si="56"/>
        <v>7041.6395939086215</v>
      </c>
      <c r="ER77" s="32">
        <f t="shared" si="57"/>
        <v>725709.36040609144</v>
      </c>
      <c r="ES77" s="32"/>
      <c r="ET77" s="32"/>
    </row>
    <row r="78" spans="1:150" ht="15.75" customHeight="1">
      <c r="A78" s="7" t="s">
        <v>438</v>
      </c>
      <c r="B78" s="7" t="s">
        <v>439</v>
      </c>
      <c r="C78" s="32" t="s">
        <v>1163</v>
      </c>
      <c r="D78" s="42">
        <v>0</v>
      </c>
      <c r="E78" s="42">
        <v>71762249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f>IFERROR(VLOOKUP(A78,'Trans 21-23'!$A$2:$J$229,10,0),0)</f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80744562</v>
      </c>
      <c r="AE78" s="42">
        <v>0</v>
      </c>
      <c r="AF78" s="42">
        <v>334720677</v>
      </c>
      <c r="AG78" s="42">
        <v>0</v>
      </c>
      <c r="AH78" s="42">
        <v>0</v>
      </c>
      <c r="AI78" s="42">
        <v>10574201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2">
        <v>0</v>
      </c>
      <c r="AR78" s="42">
        <v>10574201</v>
      </c>
      <c r="AS78" s="42">
        <v>10574201</v>
      </c>
      <c r="AT78" s="42">
        <v>0</v>
      </c>
      <c r="AU78" s="42">
        <v>0</v>
      </c>
      <c r="AV78" s="42">
        <v>0</v>
      </c>
      <c r="AW78" s="42">
        <v>0</v>
      </c>
      <c r="AX78" s="42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5499030505</v>
      </c>
      <c r="BD78" s="42">
        <v>6441507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2">
        <v>0</v>
      </c>
      <c r="BL78" s="42">
        <v>0</v>
      </c>
      <c r="BM78" s="42">
        <v>13240</v>
      </c>
      <c r="BN78" s="42">
        <v>89536242</v>
      </c>
      <c r="BO78" s="42">
        <v>0</v>
      </c>
      <c r="BP78" s="42">
        <v>2037473</v>
      </c>
      <c r="BQ78" s="42">
        <v>102364648</v>
      </c>
      <c r="BR78" s="42">
        <v>0</v>
      </c>
      <c r="BS78" s="42">
        <f>IFERROR(VLOOKUP(A78,'Trans 21-23'!$A$2:$J$229,9,0),0)</f>
        <v>0</v>
      </c>
      <c r="BT78" s="67"/>
      <c r="BU78" s="32">
        <f t="shared" si="0"/>
        <v>0</v>
      </c>
      <c r="BV78" s="32">
        <f t="shared" si="1"/>
        <v>0</v>
      </c>
      <c r="BW78" s="32">
        <f t="shared" si="2"/>
        <v>0</v>
      </c>
      <c r="BX78" s="32">
        <f t="shared" si="3"/>
        <v>0</v>
      </c>
      <c r="BY78" s="32">
        <f t="shared" si="4"/>
        <v>0</v>
      </c>
      <c r="BZ78" s="32">
        <f t="shared" si="5"/>
        <v>0</v>
      </c>
      <c r="CA78" s="32">
        <f t="shared" si="6"/>
        <v>80744562</v>
      </c>
      <c r="CB78" s="32">
        <f t="shared" si="7"/>
        <v>0</v>
      </c>
      <c r="CC78" s="32">
        <f t="shared" si="8"/>
        <v>0</v>
      </c>
      <c r="CD78" s="41">
        <f t="shared" si="64"/>
        <v>0</v>
      </c>
      <c r="CE78" s="44">
        <f t="shared" si="10"/>
        <v>56</v>
      </c>
      <c r="CF78" s="27"/>
      <c r="CG78" s="28" t="str">
        <f t="shared" si="11"/>
        <v/>
      </c>
      <c r="CH78" s="28" t="str">
        <f t="shared" si="12"/>
        <v/>
      </c>
      <c r="CI78" s="28" t="str">
        <f t="shared" si="13"/>
        <v/>
      </c>
      <c r="CJ78" s="28" t="str">
        <f t="shared" si="14"/>
        <v/>
      </c>
      <c r="CK78" s="23" t="str">
        <f t="shared" si="15"/>
        <v/>
      </c>
      <c r="CL78" s="29" t="str">
        <f t="shared" si="16"/>
        <v/>
      </c>
      <c r="CM78" s="29" t="str">
        <f t="shared" si="17"/>
        <v/>
      </c>
      <c r="CN78" s="29" t="str">
        <f t="shared" si="18"/>
        <v/>
      </c>
      <c r="CO78" s="29" t="str">
        <f t="shared" si="19"/>
        <v/>
      </c>
      <c r="CP78" s="29" t="str">
        <f t="shared" si="20"/>
        <v/>
      </c>
      <c r="CQ78" s="29" t="str">
        <f t="shared" si="21"/>
        <v/>
      </c>
      <c r="CR78" s="13"/>
      <c r="CS78" s="7" t="str">
        <f>VLOOKUP(A78,'Empresas 21-23'!$A$2:$M$228,13,0)</f>
        <v/>
      </c>
      <c r="CT78" s="30"/>
      <c r="CU78" s="6">
        <f t="shared" si="22"/>
        <v>0</v>
      </c>
      <c r="CV78" s="6">
        <f t="shared" si="23"/>
        <v>0</v>
      </c>
      <c r="CW78" s="6">
        <f t="shared" si="24"/>
        <v>6441507</v>
      </c>
      <c r="CX78" s="23">
        <f t="shared" si="62"/>
        <v>0</v>
      </c>
      <c r="CY78" s="23">
        <f t="shared" si="63"/>
        <v>0</v>
      </c>
      <c r="CZ78" s="6">
        <f t="shared" si="27"/>
        <v>0</v>
      </c>
      <c r="DA78" s="6">
        <f t="shared" si="28"/>
        <v>0</v>
      </c>
      <c r="DB78" s="6">
        <f t="shared" si="29"/>
        <v>0</v>
      </c>
      <c r="DC78" s="6">
        <f t="shared" si="30"/>
        <v>0</v>
      </c>
      <c r="DD78" s="6">
        <f t="shared" si="31"/>
        <v>0</v>
      </c>
      <c r="DE78" s="6">
        <f t="shared" si="32"/>
        <v>80744562</v>
      </c>
      <c r="DF78" s="6">
        <f t="shared" si="33"/>
        <v>0</v>
      </c>
      <c r="DG78" s="30"/>
      <c r="DH78" s="32" t="str">
        <f>VLOOKUP(A78,'T_med_comp-USA'!$A$7:$Q$233,17,0)</f>
        <v>-</v>
      </c>
      <c r="DI78" s="6" t="str">
        <f t="shared" si="34"/>
        <v/>
      </c>
      <c r="DJ78" s="32" t="str">
        <f>IF(DI78="","",VLOOKUP(DI78,'CPI USA'!$T:$U,2,FALSE))</f>
        <v/>
      </c>
      <c r="DK78" s="32" t="str">
        <f>IF(DI78="","",VLOOKUP(DI78,'PPI USA'!$S:$T,2,FALSE))</f>
        <v/>
      </c>
      <c r="DL78" s="32" t="str">
        <f>IF(DI78="","",VLOOKUP(DI78,'CPI USA'!$T:$V,3,FALSE))</f>
        <v/>
      </c>
      <c r="DM78" s="32" t="str">
        <f>IF(DI78="","",VLOOKUP(DI78,'CPI USA'!$T:$X,5,FALSE))</f>
        <v/>
      </c>
      <c r="DN78" s="32" t="str">
        <f t="shared" si="35"/>
        <v/>
      </c>
      <c r="DO78" s="32" t="str">
        <f t="shared" si="36"/>
        <v/>
      </c>
      <c r="DP78" s="32" t="str">
        <f t="shared" si="37"/>
        <v/>
      </c>
      <c r="DQ78" s="32" t="str">
        <f>IF(DP78="","",DP78*$DO$1/'CPI USA'!$U$532+(1-DP78)*AVERAGE($DO$1,$DQ$1)/AVERAGE('CPI USA'!$U$532,'PPI USA'!$T$538))</f>
        <v/>
      </c>
      <c r="DR78" s="6">
        <f t="shared" si="38"/>
        <v>0</v>
      </c>
      <c r="DS78" s="32" t="str">
        <f t="shared" si="39"/>
        <v/>
      </c>
      <c r="DT78" s="28" t="str">
        <f>IF(DS78="","",DS78*$DO$1/'CPI USA'!$U$532+(1-DS78)*AVERAGE($DO$1,$DQ$1)/AVERAGE('CPI USA'!$U$532,'PPI USA'!$T$538))</f>
        <v/>
      </c>
      <c r="DU78" s="6" t="str">
        <f t="shared" si="40"/>
        <v/>
      </c>
      <c r="DV78" s="6">
        <f t="shared" si="41"/>
        <v>268.881711460529</v>
      </c>
      <c r="DW78" s="6">
        <f t="shared" si="42"/>
        <v>0</v>
      </c>
      <c r="DX78" s="16" t="str">
        <f t="shared" si="43"/>
        <v/>
      </c>
      <c r="DY78" s="28" t="str">
        <f>IF(DX78="","",DX78*$DO$1/'CPI USA'!$U$532+(1-DX78)*AVERAGE($DO$1,$DQ$1)/AVERAGE('CPI USA'!$U$532,'PPI USA'!$T$538))</f>
        <v/>
      </c>
      <c r="DZ78" s="30"/>
      <c r="EA78" s="29" t="str">
        <f t="shared" si="44"/>
        <v>C000852</v>
      </c>
      <c r="EB78" s="29" t="str">
        <f t="shared" si="45"/>
        <v/>
      </c>
      <c r="EC78" s="29" t="str">
        <f t="shared" si="46"/>
        <v/>
      </c>
      <c r="ED78" s="29" t="str">
        <f t="shared" si="47"/>
        <v/>
      </c>
      <c r="EE78" s="29" t="str">
        <f t="shared" si="48"/>
        <v/>
      </c>
      <c r="EF78" s="29" t="str">
        <f t="shared" si="49"/>
        <v/>
      </c>
      <c r="EG78" s="29" t="str">
        <f t="shared" si="50"/>
        <v/>
      </c>
      <c r="EH78" s="29" t="str">
        <f t="shared" si="51"/>
        <v/>
      </c>
      <c r="EI78" s="29" t="str">
        <f t="shared" si="52"/>
        <v/>
      </c>
      <c r="EJ78" s="29" t="str">
        <f t="shared" si="53"/>
        <v/>
      </c>
      <c r="EK78" s="29" t="str">
        <f t="shared" si="54"/>
        <v/>
      </c>
      <c r="EL78" s="29" t="str">
        <f>IF(CD78=1,VLOOKUP(EA78,'EIA 2023'!$A$2:$J$213,4,0)*EH78,"")</f>
        <v/>
      </c>
      <c r="EM78" s="29" t="str">
        <f>IF(CD78=1,VLOOKUP(EA78,'EIA 2023'!$A$2:$J$213,7,0)*EH78,"")</f>
        <v/>
      </c>
      <c r="EN78" s="29" t="str">
        <f>IF(CD78=1,VLOOKUP(EA78,'EIA 2023'!$A$2:$J$213,10,0),"")</f>
        <v/>
      </c>
      <c r="EO78" s="28" t="str">
        <f>IF(CD78=1,VLOOKUP(EA78,'EIA 2023'!$A$2:$Z$213,26,0),"")</f>
        <v/>
      </c>
      <c r="EP78" s="23" t="str">
        <f t="shared" si="55"/>
        <v/>
      </c>
      <c r="EQ78" s="32" t="str">
        <f t="shared" si="56"/>
        <v/>
      </c>
      <c r="ER78" s="32" t="str">
        <f t="shared" si="57"/>
        <v/>
      </c>
      <c r="ES78" s="32"/>
      <c r="ET78" s="32"/>
    </row>
    <row r="79" spans="1:150" ht="15.75" customHeight="1">
      <c r="A79" s="7" t="s">
        <v>441</v>
      </c>
      <c r="B79" s="7" t="s">
        <v>442</v>
      </c>
      <c r="C79" s="32" t="s">
        <v>1164</v>
      </c>
      <c r="D79" s="42">
        <v>0</v>
      </c>
      <c r="E79" s="42">
        <v>0</v>
      </c>
      <c r="F79" s="42">
        <v>33315112</v>
      </c>
      <c r="G79" s="42">
        <v>76022343</v>
      </c>
      <c r="H79" s="42">
        <v>76022343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2">
        <v>0</v>
      </c>
      <c r="O79" s="42">
        <v>0</v>
      </c>
      <c r="P79" s="42">
        <v>0</v>
      </c>
      <c r="Q79" s="42">
        <v>0</v>
      </c>
      <c r="R79" s="42">
        <v>0</v>
      </c>
      <c r="S79" s="42">
        <v>0</v>
      </c>
      <c r="T79" s="42">
        <v>0</v>
      </c>
      <c r="U79" s="42">
        <v>0</v>
      </c>
      <c r="V79" s="42">
        <v>0</v>
      </c>
      <c r="W79" s="42">
        <v>0</v>
      </c>
      <c r="X79" s="42">
        <f>IFERROR(VLOOKUP(A79,'Trans 21-23'!$A$2:$J$229,10,0),0)</f>
        <v>0</v>
      </c>
      <c r="Y79" s="42">
        <v>0</v>
      </c>
      <c r="Z79" s="42">
        <v>0</v>
      </c>
      <c r="AA79" s="42">
        <v>0</v>
      </c>
      <c r="AB79" s="42">
        <v>0</v>
      </c>
      <c r="AC79" s="42">
        <v>0</v>
      </c>
      <c r="AD79" s="42">
        <v>3531784</v>
      </c>
      <c r="AE79" s="42">
        <v>0</v>
      </c>
      <c r="AF79" s="42">
        <v>116294856</v>
      </c>
      <c r="AG79" s="42">
        <v>0</v>
      </c>
      <c r="AH79" s="42">
        <v>0</v>
      </c>
      <c r="AI79" s="42">
        <v>2755127</v>
      </c>
      <c r="AJ79" s="42">
        <v>0</v>
      </c>
      <c r="AK79" s="42">
        <v>0</v>
      </c>
      <c r="AL79" s="42">
        <v>0</v>
      </c>
      <c r="AM79" s="42">
        <v>0</v>
      </c>
      <c r="AN79" s="42">
        <v>0</v>
      </c>
      <c r="AO79" s="42">
        <v>0</v>
      </c>
      <c r="AP79" s="42">
        <v>0</v>
      </c>
      <c r="AQ79" s="42">
        <v>0</v>
      </c>
      <c r="AR79" s="42">
        <v>2755127</v>
      </c>
      <c r="AS79" s="42">
        <v>2755127</v>
      </c>
      <c r="AT79" s="42">
        <v>0</v>
      </c>
      <c r="AU79" s="42">
        <v>0</v>
      </c>
      <c r="AV79" s="42">
        <v>0</v>
      </c>
      <c r="AW79" s="42">
        <v>0</v>
      </c>
      <c r="AX79" s="42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2">
        <v>0</v>
      </c>
      <c r="BL79" s="42">
        <v>0</v>
      </c>
      <c r="BM79" s="42">
        <v>0</v>
      </c>
      <c r="BN79" s="42">
        <v>0</v>
      </c>
      <c r="BO79" s="42">
        <v>0</v>
      </c>
      <c r="BP79" s="42">
        <v>0</v>
      </c>
      <c r="BQ79" s="42">
        <v>0</v>
      </c>
      <c r="BR79" s="42">
        <v>0</v>
      </c>
      <c r="BS79" s="42">
        <f>IFERROR(VLOOKUP(A79,'Trans 21-23'!$A$2:$J$229,9,0),0)</f>
        <v>0</v>
      </c>
      <c r="BT79" s="67"/>
      <c r="BU79" s="32">
        <f t="shared" si="0"/>
        <v>0</v>
      </c>
      <c r="BV79" s="32">
        <f t="shared" si="1"/>
        <v>0</v>
      </c>
      <c r="BW79" s="32">
        <f t="shared" si="2"/>
        <v>0</v>
      </c>
      <c r="BX79" s="32">
        <f t="shared" si="3"/>
        <v>0</v>
      </c>
      <c r="BY79" s="32">
        <f t="shared" si="4"/>
        <v>0</v>
      </c>
      <c r="BZ79" s="32">
        <f t="shared" si="5"/>
        <v>0</v>
      </c>
      <c r="CA79" s="32">
        <f t="shared" si="6"/>
        <v>3531784</v>
      </c>
      <c r="CB79" s="32">
        <f t="shared" si="7"/>
        <v>0</v>
      </c>
      <c r="CC79" s="32">
        <f t="shared" si="8"/>
        <v>0</v>
      </c>
      <c r="CD79" s="41">
        <f t="shared" si="64"/>
        <v>0</v>
      </c>
      <c r="CE79" s="44">
        <f t="shared" si="10"/>
        <v>60</v>
      </c>
      <c r="CF79" s="27"/>
      <c r="CG79" s="28" t="str">
        <f t="shared" si="11"/>
        <v/>
      </c>
      <c r="CH79" s="28" t="str">
        <f t="shared" si="12"/>
        <v/>
      </c>
      <c r="CI79" s="28" t="str">
        <f t="shared" si="13"/>
        <v/>
      </c>
      <c r="CJ79" s="28" t="str">
        <f t="shared" si="14"/>
        <v/>
      </c>
      <c r="CK79" s="23" t="str">
        <f t="shared" si="15"/>
        <v/>
      </c>
      <c r="CL79" s="29" t="str">
        <f t="shared" si="16"/>
        <v/>
      </c>
      <c r="CM79" s="29" t="str">
        <f t="shared" si="17"/>
        <v/>
      </c>
      <c r="CN79" s="29" t="str">
        <f t="shared" si="18"/>
        <v/>
      </c>
      <c r="CO79" s="29" t="str">
        <f t="shared" si="19"/>
        <v/>
      </c>
      <c r="CP79" s="29" t="str">
        <f t="shared" si="20"/>
        <v/>
      </c>
      <c r="CQ79" s="29" t="str">
        <f t="shared" si="21"/>
        <v/>
      </c>
      <c r="CR79" s="13"/>
      <c r="CS79" s="7" t="str">
        <f>VLOOKUP(A79,'Empresas 21-23'!$A$2:$M$228,13,0)</f>
        <v/>
      </c>
      <c r="CT79" s="30"/>
      <c r="CU79" s="6">
        <f t="shared" si="22"/>
        <v>0</v>
      </c>
      <c r="CV79" s="6">
        <f t="shared" si="23"/>
        <v>0</v>
      </c>
      <c r="CW79" s="6">
        <f t="shared" si="24"/>
        <v>0</v>
      </c>
      <c r="CX79" s="23" t="str">
        <f>IFERROR(CU79/(BC79-BD79),"")</f>
        <v/>
      </c>
      <c r="CY79" s="23" t="str">
        <f>IFERROR(CV79/(BC79-BD79),"")</f>
        <v/>
      </c>
      <c r="CZ79" s="6" t="e">
        <f t="shared" si="27"/>
        <v>#VALUE!</v>
      </c>
      <c r="DA79" s="6" t="e">
        <f t="shared" si="28"/>
        <v>#VALUE!</v>
      </c>
      <c r="DB79" s="6">
        <f t="shared" si="29"/>
        <v>0</v>
      </c>
      <c r="DC79" s="6">
        <f t="shared" si="30"/>
        <v>0</v>
      </c>
      <c r="DD79" s="6">
        <f t="shared" si="31"/>
        <v>0</v>
      </c>
      <c r="DE79" s="6">
        <f t="shared" si="32"/>
        <v>3531784</v>
      </c>
      <c r="DF79" s="6">
        <f t="shared" si="33"/>
        <v>0</v>
      </c>
      <c r="DG79" s="30"/>
      <c r="DH79" s="32" t="str">
        <f>VLOOKUP(A79,'T_med_comp-USA'!$A$7:$Q$233,17,0)</f>
        <v>-</v>
      </c>
      <c r="DI79" s="6" t="str">
        <f t="shared" si="34"/>
        <v/>
      </c>
      <c r="DJ79" s="32" t="str">
        <f>IF(DI79="","",VLOOKUP(DI79,'CPI USA'!$T:$U,2,FALSE))</f>
        <v/>
      </c>
      <c r="DK79" s="32" t="str">
        <f>IF(DI79="","",VLOOKUP(DI79,'PPI USA'!$S:$T,2,FALSE))</f>
        <v/>
      </c>
      <c r="DL79" s="32" t="str">
        <f>IF(DI79="","",VLOOKUP(DI79,'CPI USA'!$T:$V,3,FALSE))</f>
        <v/>
      </c>
      <c r="DM79" s="32" t="str">
        <f>IF(DI79="","",VLOOKUP(DI79,'CPI USA'!$T:$X,5,FALSE))</f>
        <v/>
      </c>
      <c r="DN79" s="32" t="str">
        <f t="shared" si="35"/>
        <v/>
      </c>
      <c r="DO79" s="32" t="str">
        <f t="shared" si="36"/>
        <v/>
      </c>
      <c r="DP79" s="32" t="str">
        <f t="shared" si="37"/>
        <v/>
      </c>
      <c r="DQ79" s="32" t="str">
        <f>IF(DP79="","",DP79*$DO$1/'CPI USA'!$U$532+(1-DP79)*AVERAGE($DO$1,$DQ$1)/AVERAGE('CPI USA'!$U$532,'PPI USA'!$T$538))</f>
        <v/>
      </c>
      <c r="DR79" s="6">
        <f t="shared" si="38"/>
        <v>0</v>
      </c>
      <c r="DS79" s="32" t="str">
        <f t="shared" si="39"/>
        <v/>
      </c>
      <c r="DT79" s="28" t="str">
        <f>IF(DS79="","",DS79*$DO$1/'CPI USA'!$U$532+(1-DS79)*AVERAGE($DO$1,$DQ$1)/AVERAGE('CPI USA'!$U$532,'PPI USA'!$T$538))</f>
        <v/>
      </c>
      <c r="DU79" s="6" t="str">
        <f t="shared" si="40"/>
        <v/>
      </c>
      <c r="DV79" s="6" t="str">
        <f t="shared" si="41"/>
        <v/>
      </c>
      <c r="DW79" s="6">
        <f t="shared" si="42"/>
        <v>0</v>
      </c>
      <c r="DX79" s="16" t="e">
        <f t="shared" si="43"/>
        <v>#VALUE!</v>
      </c>
      <c r="DY79" s="28" t="e">
        <f>IF(DX79="","",DX79*$DO$1/'CPI USA'!$U$532+(1-DX79)*AVERAGE($DO$1,$DQ$1)/AVERAGE('CPI USA'!$U$532,'PPI USA'!$T$538))</f>
        <v>#VALUE!</v>
      </c>
      <c r="DZ79" s="30"/>
      <c r="EA79" s="29" t="str">
        <f t="shared" si="44"/>
        <v>C000862</v>
      </c>
      <c r="EB79" s="29" t="str">
        <f t="shared" si="45"/>
        <v/>
      </c>
      <c r="EC79" s="29" t="str">
        <f t="shared" si="46"/>
        <v/>
      </c>
      <c r="ED79" s="29" t="str">
        <f t="shared" si="47"/>
        <v/>
      </c>
      <c r="EE79" s="29" t="str">
        <f t="shared" si="48"/>
        <v/>
      </c>
      <c r="EF79" s="29" t="str">
        <f t="shared" si="49"/>
        <v/>
      </c>
      <c r="EG79" s="29" t="str">
        <f t="shared" si="50"/>
        <v/>
      </c>
      <c r="EH79" s="29" t="str">
        <f t="shared" si="51"/>
        <v/>
      </c>
      <c r="EI79" s="29" t="str">
        <f t="shared" si="52"/>
        <v/>
      </c>
      <c r="EJ79" s="29" t="str">
        <f t="shared" si="53"/>
        <v/>
      </c>
      <c r="EK79" s="29" t="str">
        <f t="shared" si="54"/>
        <v/>
      </c>
      <c r="EL79" s="29" t="str">
        <f>IF(CD79=1,VLOOKUP(EA79,'EIA 2023'!$A$2:$J$213,4,0)*EH79,"")</f>
        <v/>
      </c>
      <c r="EM79" s="29" t="str">
        <f>IF(CD79=1,VLOOKUP(EA79,'EIA 2023'!$A$2:$J$213,7,0)*EH79,"")</f>
        <v/>
      </c>
      <c r="EN79" s="29" t="str">
        <f>IF(CD79=1,VLOOKUP(EA79,'EIA 2023'!$A$2:$J$213,10,0),"")</f>
        <v/>
      </c>
      <c r="EO79" s="28" t="str">
        <f>IF(CD79=1,VLOOKUP(EA79,'EIA 2023'!$A$2:$Z$213,26,0),"")</f>
        <v/>
      </c>
      <c r="EP79" s="23" t="str">
        <f t="shared" si="55"/>
        <v/>
      </c>
      <c r="EQ79" s="32" t="str">
        <f t="shared" si="56"/>
        <v/>
      </c>
      <c r="ER79" s="32" t="str">
        <f t="shared" si="57"/>
        <v/>
      </c>
      <c r="ES79" s="32"/>
      <c r="ET79" s="32"/>
    </row>
    <row r="80" spans="1:150" ht="15.75" customHeight="1">
      <c r="A80" s="7" t="s">
        <v>444</v>
      </c>
      <c r="B80" s="7" t="s">
        <v>445</v>
      </c>
      <c r="C80" s="32" t="s">
        <v>1165</v>
      </c>
      <c r="D80" s="42">
        <v>0</v>
      </c>
      <c r="E80" s="42">
        <v>0</v>
      </c>
      <c r="F80" s="42">
        <v>0</v>
      </c>
      <c r="G80" s="42">
        <v>601519744</v>
      </c>
      <c r="H80" s="42">
        <v>601521713</v>
      </c>
      <c r="I80" s="42">
        <v>2014847</v>
      </c>
      <c r="J80" s="42">
        <v>1746145</v>
      </c>
      <c r="K80" s="42">
        <v>246374</v>
      </c>
      <c r="L80" s="42">
        <v>154143</v>
      </c>
      <c r="M80" s="42">
        <v>2061845</v>
      </c>
      <c r="N80" s="42">
        <v>0</v>
      </c>
      <c r="O80" s="42">
        <v>13486600</v>
      </c>
      <c r="P80" s="42">
        <v>0</v>
      </c>
      <c r="Q80" s="42">
        <v>959914</v>
      </c>
      <c r="R80" s="42">
        <v>0</v>
      </c>
      <c r="S80" s="42">
        <v>4353842</v>
      </c>
      <c r="T80" s="42">
        <v>59807838</v>
      </c>
      <c r="U80" s="42">
        <v>1114515</v>
      </c>
      <c r="V80" s="42">
        <v>196095</v>
      </c>
      <c r="W80" s="42">
        <v>210060</v>
      </c>
      <c r="X80" s="42">
        <f>IFERROR(VLOOKUP(A80,'Trans 21-23'!$A$2:$J$229,10,0),0)</f>
        <v>1772890</v>
      </c>
      <c r="Y80" s="42">
        <v>1248288</v>
      </c>
      <c r="Z80" s="42">
        <v>1722887</v>
      </c>
      <c r="AA80" s="42">
        <v>13044747</v>
      </c>
      <c r="AB80" s="42">
        <v>60619259</v>
      </c>
      <c r="AC80" s="42">
        <v>76984</v>
      </c>
      <c r="AD80" s="42">
        <v>64840772</v>
      </c>
      <c r="AE80" s="42">
        <v>0</v>
      </c>
      <c r="AF80" s="42">
        <v>924620607</v>
      </c>
      <c r="AG80" s="42">
        <v>737360</v>
      </c>
      <c r="AH80" s="42">
        <v>245067</v>
      </c>
      <c r="AI80" s="42">
        <v>7482644</v>
      </c>
      <c r="AJ80" s="42">
        <v>8403</v>
      </c>
      <c r="AK80" s="42">
        <v>11511621</v>
      </c>
      <c r="AL80" s="42">
        <v>6768904</v>
      </c>
      <c r="AM80" s="42">
        <v>2552879</v>
      </c>
      <c r="AN80" s="42">
        <v>9332983</v>
      </c>
      <c r="AO80" s="42">
        <v>21837</v>
      </c>
      <c r="AP80" s="42">
        <v>0</v>
      </c>
      <c r="AQ80" s="42">
        <v>18676603</v>
      </c>
      <c r="AR80" s="42">
        <v>64192</v>
      </c>
      <c r="AS80" s="42">
        <v>18740795</v>
      </c>
      <c r="AT80" s="42">
        <v>0</v>
      </c>
      <c r="AU80" s="42">
        <v>3706</v>
      </c>
      <c r="AV80" s="42">
        <v>0</v>
      </c>
      <c r="AW80" s="42">
        <v>816897387</v>
      </c>
      <c r="AX80" s="42">
        <v>24548994</v>
      </c>
      <c r="AY80" s="42">
        <v>222666217</v>
      </c>
      <c r="AZ80" s="42">
        <v>188293410</v>
      </c>
      <c r="BA80" s="42">
        <v>44507062</v>
      </c>
      <c r="BB80" s="42">
        <v>2764134789</v>
      </c>
      <c r="BC80" s="42">
        <v>4061390197</v>
      </c>
      <c r="BD80" s="42">
        <v>284252120</v>
      </c>
      <c r="BE80" s="42">
        <v>819708892</v>
      </c>
      <c r="BF80" s="42">
        <v>73444015</v>
      </c>
      <c r="BG80" s="42">
        <v>0</v>
      </c>
      <c r="BH80" s="42">
        <v>29358895</v>
      </c>
      <c r="BI80" s="42">
        <v>998575</v>
      </c>
      <c r="BJ80" s="42">
        <v>182675</v>
      </c>
      <c r="BK80" s="42">
        <v>0</v>
      </c>
      <c r="BL80" s="42">
        <v>0</v>
      </c>
      <c r="BM80" s="42">
        <v>554043</v>
      </c>
      <c r="BN80" s="42">
        <v>34372821</v>
      </c>
      <c r="BO80" s="42">
        <v>0</v>
      </c>
      <c r="BP80" s="42">
        <v>1823401</v>
      </c>
      <c r="BQ80" s="42">
        <v>70437738</v>
      </c>
      <c r="BR80" s="42">
        <v>0</v>
      </c>
      <c r="BS80" s="42">
        <f>IFERROR(VLOOKUP(A80,'Trans 21-23'!$A$2:$J$229,9,0),0)</f>
        <v>174594161</v>
      </c>
      <c r="BT80" s="67"/>
      <c r="BU80" s="32">
        <f t="shared" si="0"/>
        <v>2764134789</v>
      </c>
      <c r="BV80" s="32">
        <f t="shared" si="1"/>
        <v>3706</v>
      </c>
      <c r="BW80" s="32">
        <f t="shared" si="2"/>
        <v>737360</v>
      </c>
      <c r="BX80" s="32">
        <f t="shared" si="3"/>
        <v>86352218</v>
      </c>
      <c r="BY80" s="32">
        <f t="shared" si="4"/>
        <v>76712165</v>
      </c>
      <c r="BZ80" s="32">
        <f t="shared" si="5"/>
        <v>188293410</v>
      </c>
      <c r="CA80" s="32">
        <f t="shared" si="6"/>
        <v>64840772</v>
      </c>
      <c r="CB80" s="32">
        <f t="shared" si="7"/>
        <v>245067</v>
      </c>
      <c r="CC80" s="32">
        <f t="shared" si="8"/>
        <v>18676603</v>
      </c>
      <c r="CD80" s="41">
        <f t="shared" si="64"/>
        <v>1</v>
      </c>
      <c r="CE80" s="44">
        <f t="shared" si="10"/>
        <v>15</v>
      </c>
      <c r="CF80" s="27"/>
      <c r="CG80" s="28">
        <f t="shared" si="11"/>
        <v>745.85396357258503</v>
      </c>
      <c r="CH80" s="28">
        <f t="shared" si="12"/>
        <v>5.0260388412715633</v>
      </c>
      <c r="CI80" s="28">
        <f t="shared" si="13"/>
        <v>117.10998426820007</v>
      </c>
      <c r="CJ80" s="28">
        <f t="shared" si="14"/>
        <v>255.36157372246936</v>
      </c>
      <c r="CK80" s="23">
        <f t="shared" si="15"/>
        <v>1.3121604608718191E-2</v>
      </c>
      <c r="CL80" s="29" t="str">
        <f t="shared" si="16"/>
        <v/>
      </c>
      <c r="CM80" s="29" t="str">
        <f t="shared" si="17"/>
        <v/>
      </c>
      <c r="CN80" s="29" t="str">
        <f t="shared" si="18"/>
        <v/>
      </c>
      <c r="CO80" s="29" t="str">
        <f t="shared" si="19"/>
        <v/>
      </c>
      <c r="CP80" s="29" t="str">
        <f t="shared" si="20"/>
        <v/>
      </c>
      <c r="CQ80" s="29">
        <f t="shared" si="21"/>
        <v>0</v>
      </c>
      <c r="CR80" s="13"/>
      <c r="CS80" s="7">
        <f>VLOOKUP(A80,'Empresas 21-23'!$A$2:$M$228,13,0)</f>
        <v>1</v>
      </c>
      <c r="CT80" s="30"/>
      <c r="CU80" s="6">
        <f t="shared" si="22"/>
        <v>2557599351.4000001</v>
      </c>
      <c r="CV80" s="6">
        <f t="shared" si="23"/>
        <v>188293410</v>
      </c>
      <c r="CW80" s="6">
        <f t="shared" si="24"/>
        <v>284252120</v>
      </c>
      <c r="CX80" s="23">
        <f t="shared" ref="CX80:CX124" si="65">CU80/(BC80-BD80)</f>
        <v>0.67712625253863601</v>
      </c>
      <c r="CY80" s="23">
        <f t="shared" ref="CY80:CY124" si="66">CV80/(BC80-BD80)</f>
        <v>4.985081460128999E-2</v>
      </c>
      <c r="CZ80" s="6">
        <f t="shared" si="27"/>
        <v>2750073924.1917629</v>
      </c>
      <c r="DA80" s="6">
        <f t="shared" si="28"/>
        <v>202463609.73414364</v>
      </c>
      <c r="DB80" s="6">
        <f t="shared" si="29"/>
        <v>86352218</v>
      </c>
      <c r="DC80" s="6">
        <f t="shared" si="30"/>
        <v>88125108</v>
      </c>
      <c r="DD80" s="6">
        <f t="shared" si="31"/>
        <v>76712165</v>
      </c>
      <c r="DE80" s="6">
        <f t="shared" si="32"/>
        <v>64840772</v>
      </c>
      <c r="DF80" s="6">
        <f t="shared" si="33"/>
        <v>41385633.694396473</v>
      </c>
      <c r="DG80" s="30"/>
      <c r="DH80" s="32">
        <f>VLOOKUP(A80,'T_med_comp-USA'!$A$7:$Q$233,17,0)</f>
        <v>11.171653046066682</v>
      </c>
      <c r="DI80" s="6" t="str">
        <f t="shared" si="34"/>
        <v>10_2012</v>
      </c>
      <c r="DJ80" s="32">
        <f>IF(DI80="","",VLOOKUP(DI80,'CPI USA'!$T:$U,2,FALSE))</f>
        <v>229.59399999999999</v>
      </c>
      <c r="DK80" s="32">
        <f>IF(DI80="","",VLOOKUP(DI80,'PPI USA'!$S:$T,2,FALSE))</f>
        <v>175.1</v>
      </c>
      <c r="DL80" s="32">
        <f>IF(DI80="","",VLOOKUP(DI80,'CPI USA'!$T:$V,3,FALSE))</f>
        <v>0.66730871354337351</v>
      </c>
      <c r="DM80" s="32">
        <f>IF(DI80="","",VLOOKUP(DI80,'CPI USA'!$T:$X,5,FALSE))</f>
        <v>0.49513551903851311</v>
      </c>
      <c r="DN80" s="32">
        <f t="shared" si="35"/>
        <v>1.3897894616766442</v>
      </c>
      <c r="DO80" s="32">
        <f t="shared" si="36"/>
        <v>1.4008620811189902</v>
      </c>
      <c r="DP80" s="32">
        <f t="shared" si="37"/>
        <v>0.33999005097935064</v>
      </c>
      <c r="DQ80" s="32">
        <f>IF(DP80="","",DP80*$DO$1/'CPI USA'!$U$532+(1-DP80)*AVERAGE($DO$1,$DQ$1)/AVERAGE('CPI USA'!$U$532,'PPI USA'!$T$538))</f>
        <v>1.0394510250644107</v>
      </c>
      <c r="DR80" s="6">
        <f t="shared" si="38"/>
        <v>1181250</v>
      </c>
      <c r="DS80" s="32">
        <f t="shared" si="39"/>
        <v>0.2</v>
      </c>
      <c r="DT80" s="28">
        <f>IF(DS80="","",DS80*$DO$1/'CPI USA'!$U$532+(1-DS80)*AVERAGE($DO$1,$DQ$1)/AVERAGE('CPI USA'!$U$532,'PPI USA'!$T$538))</f>
        <v>1.0426818386380585</v>
      </c>
      <c r="DU80" s="6">
        <f t="shared" si="40"/>
        <v>554043</v>
      </c>
      <c r="DV80" s="6">
        <f t="shared" si="41"/>
        <v>14723.49080984343</v>
      </c>
      <c r="DW80" s="6">
        <f t="shared" si="42"/>
        <v>505347.26551753742</v>
      </c>
      <c r="DX80" s="16">
        <f t="shared" si="43"/>
        <v>0.2</v>
      </c>
      <c r="DY80" s="28">
        <f>IF(DX80="","",DX80*$DO$1/'CPI USA'!$U$532+(1-DX80)*AVERAGE($DO$1,$DQ$1)/AVERAGE('CPI USA'!$U$532,'PPI USA'!$T$538))</f>
        <v>1.0426818386380585</v>
      </c>
      <c r="DZ80" s="30"/>
      <c r="EA80" s="29" t="str">
        <f t="shared" si="44"/>
        <v>C000905</v>
      </c>
      <c r="EB80" s="29">
        <f t="shared" si="45"/>
        <v>3822023758.6734467</v>
      </c>
      <c r="EC80" s="29">
        <f t="shared" si="46"/>
        <v>283623593.68303549</v>
      </c>
      <c r="ED80" s="29">
        <f t="shared" si="47"/>
        <v>91601733.844511896</v>
      </c>
      <c r="EE80" s="29">
        <f t="shared" si="48"/>
        <v>79986381.248106122</v>
      </c>
      <c r="EF80" s="29">
        <f t="shared" si="49"/>
        <v>43152048.633674502</v>
      </c>
      <c r="EG80" s="29">
        <f t="shared" si="50"/>
        <v>3706</v>
      </c>
      <c r="EH80" s="29">
        <f t="shared" si="51"/>
        <v>737360</v>
      </c>
      <c r="EI80" s="29">
        <f t="shared" si="52"/>
        <v>245067</v>
      </c>
      <c r="EJ80" s="29">
        <f t="shared" si="53"/>
        <v>18676603</v>
      </c>
      <c r="EK80" s="29">
        <f t="shared" si="54"/>
        <v>18920692.456852794</v>
      </c>
      <c r="EL80" s="29">
        <f>IF(CD80=1,VLOOKUP(EA80,'EIA 2023'!$A$2:$J$213,4,0)*EH80,"")</f>
        <v>118066083.2</v>
      </c>
      <c r="EM80" s="29">
        <f>IF(CD80=1,VLOOKUP(EA80,'EIA 2023'!$A$2:$J$213,7,0)*EH80,"")</f>
        <v>1040414.9600000001</v>
      </c>
      <c r="EN80" s="29">
        <f>IF(CD80=1,VLOOKUP(EA80,'EIA 2023'!$A$2:$J$213,10,0),"")</f>
        <v>749703</v>
      </c>
      <c r="EO80" s="28">
        <f>IF(CD80=1,VLOOKUP(EA80,'EIA 2023'!$A$2:$Z$213,26,0),"")</f>
        <v>0</v>
      </c>
      <c r="EP80" s="23">
        <f t="shared" si="55"/>
        <v>1.2900661929230096E-2</v>
      </c>
      <c r="EQ80" s="32">
        <f t="shared" si="56"/>
        <v>977.54314720812545</v>
      </c>
      <c r="ER80" s="32">
        <f t="shared" si="57"/>
        <v>244089.45685279189</v>
      </c>
      <c r="ES80" s="32"/>
      <c r="ET80" s="32"/>
    </row>
    <row r="81" spans="1:150" ht="15.75" customHeight="1">
      <c r="A81" s="7" t="s">
        <v>447</v>
      </c>
      <c r="B81" s="7" t="s">
        <v>448</v>
      </c>
      <c r="C81" s="32" t="s">
        <v>1166</v>
      </c>
      <c r="D81" s="42">
        <v>522143375</v>
      </c>
      <c r="E81" s="42">
        <v>0</v>
      </c>
      <c r="F81" s="42">
        <v>0</v>
      </c>
      <c r="G81" s="42">
        <v>196989510</v>
      </c>
      <c r="H81" s="42">
        <v>256057284</v>
      </c>
      <c r="I81" s="42">
        <v>1543034</v>
      </c>
      <c r="J81" s="42">
        <v>107327</v>
      </c>
      <c r="K81" s="42">
        <v>158030</v>
      </c>
      <c r="L81" s="42">
        <v>178320</v>
      </c>
      <c r="M81" s="42">
        <v>5572</v>
      </c>
      <c r="N81" s="42">
        <v>0</v>
      </c>
      <c r="O81" s="42">
        <v>11183569</v>
      </c>
      <c r="P81" s="42">
        <v>187</v>
      </c>
      <c r="Q81" s="42">
        <v>570684</v>
      </c>
      <c r="R81" s="42">
        <v>0</v>
      </c>
      <c r="S81" s="42">
        <v>5191383</v>
      </c>
      <c r="T81" s="42">
        <v>51415941</v>
      </c>
      <c r="U81" s="42">
        <v>831619</v>
      </c>
      <c r="V81" s="42">
        <v>105747</v>
      </c>
      <c r="W81" s="42">
        <v>1664209</v>
      </c>
      <c r="X81" s="42">
        <f>IFERROR(VLOOKUP(A81,'Trans 21-23'!$A$2:$J$229,10,0),0)</f>
        <v>0</v>
      </c>
      <c r="Y81" s="42">
        <v>1979647</v>
      </c>
      <c r="Z81" s="42">
        <v>1916499</v>
      </c>
      <c r="AA81" s="42">
        <v>10991236</v>
      </c>
      <c r="AB81" s="42">
        <v>3076620</v>
      </c>
      <c r="AC81" s="42">
        <v>80053</v>
      </c>
      <c r="AD81" s="42">
        <v>80564373</v>
      </c>
      <c r="AE81" s="42">
        <v>0</v>
      </c>
      <c r="AF81" s="42">
        <v>1203218699</v>
      </c>
      <c r="AG81" s="42">
        <v>396731</v>
      </c>
      <c r="AH81" s="42">
        <v>593680</v>
      </c>
      <c r="AI81" s="42">
        <v>14881791</v>
      </c>
      <c r="AJ81" s="42">
        <v>587</v>
      </c>
      <c r="AK81" s="42">
        <v>0</v>
      </c>
      <c r="AL81" s="42">
        <v>3446643</v>
      </c>
      <c r="AM81" s="42">
        <v>2924374</v>
      </c>
      <c r="AN81" s="42">
        <v>5716540</v>
      </c>
      <c r="AO81" s="42">
        <v>22121</v>
      </c>
      <c r="AP81" s="42">
        <v>0</v>
      </c>
      <c r="AQ81" s="42">
        <v>12109678</v>
      </c>
      <c r="AR81" s="42">
        <v>2177846</v>
      </c>
      <c r="AS81" s="42">
        <v>14287524</v>
      </c>
      <c r="AT81" s="42">
        <v>0</v>
      </c>
      <c r="AU81" s="42">
        <v>2051</v>
      </c>
      <c r="AV81" s="42">
        <v>0</v>
      </c>
      <c r="AW81" s="42">
        <v>806010897</v>
      </c>
      <c r="AX81" s="42">
        <v>15225886</v>
      </c>
      <c r="AY81" s="42">
        <v>107548832</v>
      </c>
      <c r="AZ81" s="42">
        <v>105813757</v>
      </c>
      <c r="BA81" s="42">
        <v>18635576</v>
      </c>
      <c r="BB81" s="42">
        <v>2290271612</v>
      </c>
      <c r="BC81" s="42">
        <v>6269093587</v>
      </c>
      <c r="BD81" s="42">
        <v>156794563</v>
      </c>
      <c r="BE81" s="42">
        <v>752490377</v>
      </c>
      <c r="BF81" s="42">
        <v>53609612</v>
      </c>
      <c r="BG81" s="42">
        <v>0</v>
      </c>
      <c r="BH81" s="42">
        <v>20213068</v>
      </c>
      <c r="BI81" s="42">
        <v>7689442</v>
      </c>
      <c r="BJ81" s="42">
        <v>285054</v>
      </c>
      <c r="BK81" s="42">
        <v>0</v>
      </c>
      <c r="BL81" s="42">
        <v>0</v>
      </c>
      <c r="BM81" s="42">
        <v>450421</v>
      </c>
      <c r="BN81" s="42">
        <v>66662142</v>
      </c>
      <c r="BO81" s="42">
        <v>0</v>
      </c>
      <c r="BP81" s="42">
        <v>10572903</v>
      </c>
      <c r="BQ81" s="42">
        <v>103797352</v>
      </c>
      <c r="BR81" s="42">
        <v>0</v>
      </c>
      <c r="BS81" s="42">
        <f>IFERROR(VLOOKUP(A81,'Trans 21-23'!$A$2:$J$229,9,0),0)</f>
        <v>0</v>
      </c>
      <c r="BT81" s="67"/>
      <c r="BU81" s="32">
        <f t="shared" si="0"/>
        <v>2290271612</v>
      </c>
      <c r="BV81" s="32">
        <f t="shared" si="1"/>
        <v>2051</v>
      </c>
      <c r="BW81" s="32">
        <f t="shared" si="2"/>
        <v>396731</v>
      </c>
      <c r="BX81" s="32">
        <f t="shared" si="3"/>
        <v>72955622</v>
      </c>
      <c r="BY81" s="32">
        <f t="shared" si="4"/>
        <v>18044055</v>
      </c>
      <c r="BZ81" s="32">
        <f t="shared" si="5"/>
        <v>105813757</v>
      </c>
      <c r="CA81" s="32">
        <f t="shared" si="6"/>
        <v>80564373</v>
      </c>
      <c r="CB81" s="32">
        <f t="shared" si="7"/>
        <v>593680</v>
      </c>
      <c r="CC81" s="32">
        <f t="shared" si="8"/>
        <v>12109678</v>
      </c>
      <c r="CD81" s="41">
        <f t="shared" si="64"/>
        <v>1</v>
      </c>
      <c r="CE81" s="44">
        <f t="shared" si="10"/>
        <v>16</v>
      </c>
      <c r="CF81" s="27"/>
      <c r="CG81" s="28">
        <f t="shared" si="11"/>
        <v>1116.660951730863</v>
      </c>
      <c r="CH81" s="28">
        <f t="shared" si="12"/>
        <v>5.1697497800776846</v>
      </c>
      <c r="CI81" s="28">
        <f t="shared" si="13"/>
        <v>183.89191164794281</v>
      </c>
      <c r="CJ81" s="28">
        <f t="shared" si="14"/>
        <v>266.71411359334161</v>
      </c>
      <c r="CK81" s="23">
        <f t="shared" si="15"/>
        <v>4.9025250712694424E-2</v>
      </c>
      <c r="CL81" s="29" t="str">
        <f t="shared" si="16"/>
        <v/>
      </c>
      <c r="CM81" s="29" t="str">
        <f t="shared" si="17"/>
        <v/>
      </c>
      <c r="CN81" s="29" t="str">
        <f t="shared" si="18"/>
        <v/>
      </c>
      <c r="CO81" s="29" t="str">
        <f t="shared" si="19"/>
        <v/>
      </c>
      <c r="CP81" s="29" t="str">
        <f t="shared" si="20"/>
        <v/>
      </c>
      <c r="CQ81" s="29">
        <f t="shared" si="21"/>
        <v>0</v>
      </c>
      <c r="CR81" s="13"/>
      <c r="CS81" s="7">
        <f>VLOOKUP(A81,'Empresas 21-23'!$A$2:$M$228,13,0)</f>
        <v>1</v>
      </c>
      <c r="CT81" s="30"/>
      <c r="CU81" s="6">
        <f t="shared" si="22"/>
        <v>2092157448.2</v>
      </c>
      <c r="CV81" s="6">
        <f t="shared" si="23"/>
        <v>105813757</v>
      </c>
      <c r="CW81" s="6">
        <f t="shared" si="24"/>
        <v>156794563</v>
      </c>
      <c r="CX81" s="23">
        <f t="shared" si="65"/>
        <v>0.34228650136145566</v>
      </c>
      <c r="CY81" s="23">
        <f t="shared" si="66"/>
        <v>1.7311613287327939E-2</v>
      </c>
      <c r="CZ81" s="6">
        <f t="shared" si="27"/>
        <v>2145826110.6017685</v>
      </c>
      <c r="DA81" s="6">
        <f t="shared" si="28"/>
        <v>108528123.84021157</v>
      </c>
      <c r="DB81" s="6">
        <f t="shared" si="29"/>
        <v>72955622</v>
      </c>
      <c r="DC81" s="6">
        <f t="shared" si="30"/>
        <v>72955622</v>
      </c>
      <c r="DD81" s="6">
        <f t="shared" si="31"/>
        <v>18044055</v>
      </c>
      <c r="DE81" s="6">
        <f t="shared" si="32"/>
        <v>80564373</v>
      </c>
      <c r="DF81" s="6">
        <f t="shared" si="33"/>
        <v>21283942.146876667</v>
      </c>
      <c r="DG81" s="30"/>
      <c r="DH81" s="32">
        <f>VLOOKUP(A81,'T_med_comp-USA'!$A$7:$Q$233,17,0)</f>
        <v>14.056824095496557</v>
      </c>
      <c r="DI81" s="6" t="str">
        <f t="shared" si="34"/>
        <v>12_2009</v>
      </c>
      <c r="DJ81" s="32">
        <f>IF(DI81="","",VLOOKUP(DI81,'CPI USA'!$T:$U,2,FALSE))</f>
        <v>214.53700000000001</v>
      </c>
      <c r="DK81" s="32">
        <f>IF(DI81="","",VLOOKUP(DI81,'PPI USA'!$S:$T,2,FALSE))</f>
        <v>159.1</v>
      </c>
      <c r="DL81" s="32">
        <f>IF(DI81="","",VLOOKUP(DI81,'CPI USA'!$T:$V,3,FALSE))</f>
        <v>0.66997101349938215</v>
      </c>
      <c r="DM81" s="32">
        <f>IF(DI81="","",VLOOKUP(DI81,'CPI USA'!$T:$X,5,FALSE))</f>
        <v>0.49813941766071862</v>
      </c>
      <c r="DN81" s="32">
        <f t="shared" si="35"/>
        <v>1.4932638886873792</v>
      </c>
      <c r="DO81" s="32">
        <f t="shared" si="36"/>
        <v>1.5082750176818205</v>
      </c>
      <c r="DP81" s="32">
        <f t="shared" si="37"/>
        <v>0.27705977203511473</v>
      </c>
      <c r="DQ81" s="32">
        <f>IF(DP81="","",DP81*$DO$1/'CPI USA'!$U$532+(1-DP81)*AVERAGE($DO$1,$DQ$1)/AVERAGE('CPI USA'!$U$532,'PPI USA'!$T$538))</f>
        <v>1.0409033854141936</v>
      </c>
      <c r="DR81" s="6">
        <f t="shared" si="38"/>
        <v>7974496</v>
      </c>
      <c r="DS81" s="32">
        <f t="shared" si="39"/>
        <v>0.44194589298248094</v>
      </c>
      <c r="DT81" s="28">
        <f>IF(DS81="","",DS81*$DO$1/'CPI USA'!$U$532+(1-DS81)*AVERAGE($DO$1,$DQ$1)/AVERAGE('CPI USA'!$U$532,'PPI USA'!$T$538))</f>
        <v>1.0370979984317896</v>
      </c>
      <c r="DU81" s="6">
        <f t="shared" si="40"/>
        <v>450421</v>
      </c>
      <c r="DV81" s="6">
        <f t="shared" si="41"/>
        <v>51083.783205444321</v>
      </c>
      <c r="DW81" s="6">
        <f t="shared" si="42"/>
        <v>212057.36492700141</v>
      </c>
      <c r="DX81" s="16">
        <f t="shared" si="43"/>
        <v>0.2</v>
      </c>
      <c r="DY81" s="28">
        <f>IF(DX81="","",DX81*$DO$1/'CPI USA'!$U$532+(1-DX81)*AVERAGE($DO$1,$DQ$1)/AVERAGE('CPI USA'!$U$532,'PPI USA'!$T$538))</f>
        <v>1.0426818386380585</v>
      </c>
      <c r="DZ81" s="30"/>
      <c r="EA81" s="29" t="str">
        <f t="shared" si="44"/>
        <v>C000906</v>
      </c>
      <c r="EB81" s="29">
        <f t="shared" si="45"/>
        <v>3204284642.3641109</v>
      </c>
      <c r="EC81" s="29">
        <f t="shared" si="46"/>
        <v>163690257.9040699</v>
      </c>
      <c r="ED81" s="29">
        <f t="shared" si="47"/>
        <v>75939753.92479822</v>
      </c>
      <c r="EE81" s="29">
        <f t="shared" si="48"/>
        <v>18713453.324093126</v>
      </c>
      <c r="EF81" s="29">
        <f t="shared" si="49"/>
        <v>22192379.931171428</v>
      </c>
      <c r="EG81" s="29">
        <f t="shared" si="50"/>
        <v>2051</v>
      </c>
      <c r="EH81" s="29">
        <f t="shared" si="51"/>
        <v>396731</v>
      </c>
      <c r="EI81" s="29">
        <f t="shared" si="52"/>
        <v>593680</v>
      </c>
      <c r="EJ81" s="29">
        <f t="shared" si="53"/>
        <v>12109678</v>
      </c>
      <c r="EK81" s="29">
        <f t="shared" si="54"/>
        <v>12670192.832487309</v>
      </c>
      <c r="EL81" s="29">
        <f>IF(CD81=1,VLOOKUP(EA81,'EIA 2023'!$A$2:$J$213,4,0)*EH81,"")</f>
        <v>141724215.13</v>
      </c>
      <c r="EM81" s="29">
        <f>IF(CD81=1,VLOOKUP(EA81,'EIA 2023'!$A$2:$J$213,7,0)*EH81,"")</f>
        <v>1019598.6699999999</v>
      </c>
      <c r="EN81" s="29">
        <f>IF(CD81=1,VLOOKUP(EA81,'EIA 2023'!$A$2:$J$213,10,0),"")</f>
        <v>99132</v>
      </c>
      <c r="EO81" s="28">
        <f>IF(CD81=1,VLOOKUP(EA81,'EIA 2023'!$A$2:$Z$213,26,0),"")</f>
        <v>0</v>
      </c>
      <c r="EP81" s="23">
        <f t="shared" si="55"/>
        <v>4.4238855706292678E-2</v>
      </c>
      <c r="EQ81" s="32">
        <f t="shared" si="56"/>
        <v>33165.167512690183</v>
      </c>
      <c r="ER81" s="32">
        <f t="shared" si="57"/>
        <v>560514.83248730982</v>
      </c>
      <c r="ES81" s="32"/>
      <c r="ET81" s="32"/>
    </row>
    <row r="82" spans="1:150" ht="15.75" customHeight="1">
      <c r="A82" s="7" t="s">
        <v>450</v>
      </c>
      <c r="B82" s="7" t="s">
        <v>451</v>
      </c>
      <c r="C82" s="32" t="s">
        <v>1167</v>
      </c>
      <c r="D82" s="42">
        <v>0</v>
      </c>
      <c r="E82" s="42">
        <v>0</v>
      </c>
      <c r="F82" s="42">
        <v>0</v>
      </c>
      <c r="G82" s="42">
        <v>0</v>
      </c>
      <c r="H82" s="42">
        <v>60166</v>
      </c>
      <c r="I82" s="42">
        <v>0</v>
      </c>
      <c r="J82" s="42">
        <v>0</v>
      </c>
      <c r="K82" s="42">
        <v>0</v>
      </c>
      <c r="L82" s="42">
        <v>0</v>
      </c>
      <c r="M82" s="42">
        <v>0</v>
      </c>
      <c r="N82" s="42">
        <v>0</v>
      </c>
      <c r="O82" s="42">
        <v>0</v>
      </c>
      <c r="P82" s="42">
        <v>0</v>
      </c>
      <c r="Q82" s="42">
        <v>0</v>
      </c>
      <c r="R82" s="42">
        <v>0</v>
      </c>
      <c r="S82" s="42">
        <v>0</v>
      </c>
      <c r="T82" s="42">
        <v>0</v>
      </c>
      <c r="U82" s="42">
        <v>0</v>
      </c>
      <c r="V82" s="42">
        <v>0</v>
      </c>
      <c r="W82" s="42">
        <v>0</v>
      </c>
      <c r="X82" s="42">
        <f>IFERROR(VLOOKUP(A82,'Trans 21-23'!$A$2:$J$229,10,0),0)</f>
        <v>0</v>
      </c>
      <c r="Y82" s="42">
        <v>0</v>
      </c>
      <c r="Z82" s="42">
        <v>0</v>
      </c>
      <c r="AA82" s="42">
        <v>0</v>
      </c>
      <c r="AB82" s="42">
        <v>0</v>
      </c>
      <c r="AC82" s="42">
        <v>0</v>
      </c>
      <c r="AD82" s="42">
        <v>844541</v>
      </c>
      <c r="AE82" s="42">
        <v>0</v>
      </c>
      <c r="AF82" s="42">
        <v>7495036</v>
      </c>
      <c r="AG82" s="42">
        <v>0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2">
        <v>0</v>
      </c>
      <c r="AO82" s="42">
        <v>0</v>
      </c>
      <c r="AP82" s="42">
        <v>0</v>
      </c>
      <c r="AQ82" s="42">
        <v>0</v>
      </c>
      <c r="AR82" s="42">
        <v>0</v>
      </c>
      <c r="AS82" s="42">
        <v>0</v>
      </c>
      <c r="AT82" s="42">
        <v>0</v>
      </c>
      <c r="AU82" s="42">
        <v>0</v>
      </c>
      <c r="AV82" s="42">
        <v>0</v>
      </c>
      <c r="AW82" s="42">
        <v>0</v>
      </c>
      <c r="AX82" s="42">
        <v>0</v>
      </c>
      <c r="AY82" s="42">
        <v>0</v>
      </c>
      <c r="AZ82" s="42">
        <v>0</v>
      </c>
      <c r="BA82" s="42">
        <v>0</v>
      </c>
      <c r="BB82" s="42">
        <v>0</v>
      </c>
      <c r="BC82" s="42">
        <v>344003275</v>
      </c>
      <c r="BD82" s="42">
        <v>1399619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2">
        <v>0</v>
      </c>
      <c r="BL82" s="42">
        <v>0</v>
      </c>
      <c r="BM82" s="42">
        <v>0</v>
      </c>
      <c r="BN82" s="42">
        <v>0</v>
      </c>
      <c r="BO82" s="42">
        <v>0</v>
      </c>
      <c r="BP82" s="42">
        <v>0</v>
      </c>
      <c r="BQ82" s="42">
        <v>0</v>
      </c>
      <c r="BR82" s="42">
        <v>0</v>
      </c>
      <c r="BS82" s="42">
        <f>IFERROR(VLOOKUP(A82,'Trans 21-23'!$A$2:$J$229,9,0),0)</f>
        <v>0</v>
      </c>
      <c r="BT82" s="67"/>
      <c r="BU82" s="32">
        <f t="shared" si="0"/>
        <v>0</v>
      </c>
      <c r="BV82" s="32">
        <f t="shared" si="1"/>
        <v>0</v>
      </c>
      <c r="BW82" s="32">
        <f t="shared" si="2"/>
        <v>0</v>
      </c>
      <c r="BX82" s="32">
        <f t="shared" si="3"/>
        <v>0</v>
      </c>
      <c r="BY82" s="32">
        <f t="shared" si="4"/>
        <v>0</v>
      </c>
      <c r="BZ82" s="32">
        <f t="shared" si="5"/>
        <v>0</v>
      </c>
      <c r="CA82" s="32">
        <f t="shared" si="6"/>
        <v>844541</v>
      </c>
      <c r="CB82" s="32">
        <f t="shared" si="7"/>
        <v>0</v>
      </c>
      <c r="CC82" s="32">
        <f t="shared" si="8"/>
        <v>0</v>
      </c>
      <c r="CD82" s="41">
        <f t="shared" si="64"/>
        <v>0</v>
      </c>
      <c r="CE82" s="44">
        <f t="shared" si="10"/>
        <v>63</v>
      </c>
      <c r="CF82" s="27"/>
      <c r="CG82" s="28" t="str">
        <f t="shared" si="11"/>
        <v/>
      </c>
      <c r="CH82" s="28" t="str">
        <f t="shared" si="12"/>
        <v/>
      </c>
      <c r="CI82" s="28" t="str">
        <f t="shared" si="13"/>
        <v/>
      </c>
      <c r="CJ82" s="28" t="str">
        <f t="shared" si="14"/>
        <v/>
      </c>
      <c r="CK82" s="23" t="str">
        <f t="shared" si="15"/>
        <v/>
      </c>
      <c r="CL82" s="29" t="str">
        <f t="shared" si="16"/>
        <v/>
      </c>
      <c r="CM82" s="29" t="str">
        <f t="shared" si="17"/>
        <v/>
      </c>
      <c r="CN82" s="29" t="str">
        <f t="shared" si="18"/>
        <v/>
      </c>
      <c r="CO82" s="29" t="str">
        <f t="shared" si="19"/>
        <v/>
      </c>
      <c r="CP82" s="29" t="str">
        <f t="shared" si="20"/>
        <v/>
      </c>
      <c r="CQ82" s="29" t="str">
        <f t="shared" si="21"/>
        <v/>
      </c>
      <c r="CR82" s="13"/>
      <c r="CS82" s="7" t="str">
        <f>VLOOKUP(A82,'Empresas 21-23'!$A$2:$M$228,13,0)</f>
        <v/>
      </c>
      <c r="CT82" s="30"/>
      <c r="CU82" s="6">
        <f t="shared" si="22"/>
        <v>0</v>
      </c>
      <c r="CV82" s="6">
        <f t="shared" si="23"/>
        <v>0</v>
      </c>
      <c r="CW82" s="6">
        <f t="shared" si="24"/>
        <v>1399619</v>
      </c>
      <c r="CX82" s="23">
        <f t="shared" si="65"/>
        <v>0</v>
      </c>
      <c r="CY82" s="23">
        <f t="shared" si="66"/>
        <v>0</v>
      </c>
      <c r="CZ82" s="6">
        <f t="shared" si="27"/>
        <v>0</v>
      </c>
      <c r="DA82" s="6">
        <f t="shared" si="28"/>
        <v>0</v>
      </c>
      <c r="DB82" s="6">
        <f t="shared" si="29"/>
        <v>0</v>
      </c>
      <c r="DC82" s="6">
        <f t="shared" si="30"/>
        <v>0</v>
      </c>
      <c r="DD82" s="6">
        <f t="shared" si="31"/>
        <v>0</v>
      </c>
      <c r="DE82" s="6">
        <f t="shared" si="32"/>
        <v>844541</v>
      </c>
      <c r="DF82" s="6">
        <f t="shared" si="33"/>
        <v>0</v>
      </c>
      <c r="DG82" s="30"/>
      <c r="DH82" s="32" t="str">
        <f>VLOOKUP(A82,'T_med_comp-USA'!$A$7:$Q$233,17,0)</f>
        <v>-</v>
      </c>
      <c r="DI82" s="6" t="str">
        <f t="shared" si="34"/>
        <v/>
      </c>
      <c r="DJ82" s="32" t="str">
        <f>IF(DI82="","",VLOOKUP(DI82,'CPI USA'!$T:$U,2,FALSE))</f>
        <v/>
      </c>
      <c r="DK82" s="32" t="str">
        <f>IF(DI82="","",VLOOKUP(DI82,'PPI USA'!$S:$T,2,FALSE))</f>
        <v/>
      </c>
      <c r="DL82" s="32" t="str">
        <f>IF(DI82="","",VLOOKUP(DI82,'CPI USA'!$T:$V,3,FALSE))</f>
        <v/>
      </c>
      <c r="DM82" s="32" t="str">
        <f>IF(DI82="","",VLOOKUP(DI82,'CPI USA'!$T:$X,5,FALSE))</f>
        <v/>
      </c>
      <c r="DN82" s="32" t="str">
        <f t="shared" si="35"/>
        <v/>
      </c>
      <c r="DO82" s="32" t="str">
        <f t="shared" si="36"/>
        <v/>
      </c>
      <c r="DP82" s="32" t="str">
        <f t="shared" si="37"/>
        <v/>
      </c>
      <c r="DQ82" s="32" t="str">
        <f>IF(DP82="","",DP82*$DO$1/'CPI USA'!$U$532+(1-DP82)*AVERAGE($DO$1,$DQ$1)/AVERAGE('CPI USA'!$U$532,'PPI USA'!$T$538))</f>
        <v/>
      </c>
      <c r="DR82" s="6">
        <f t="shared" si="38"/>
        <v>0</v>
      </c>
      <c r="DS82" s="32" t="str">
        <f t="shared" si="39"/>
        <v/>
      </c>
      <c r="DT82" s="28" t="str">
        <f>IF(DS82="","",DS82*$DO$1/'CPI USA'!$U$532+(1-DS82)*AVERAGE($DO$1,$DQ$1)/AVERAGE('CPI USA'!$U$532,'PPI USA'!$T$538))</f>
        <v/>
      </c>
      <c r="DU82" s="6" t="str">
        <f t="shared" si="40"/>
        <v/>
      </c>
      <c r="DV82" s="6" t="str">
        <f t="shared" si="41"/>
        <v/>
      </c>
      <c r="DW82" s="6">
        <f t="shared" si="42"/>
        <v>0</v>
      </c>
      <c r="DX82" s="16" t="str">
        <f t="shared" si="43"/>
        <v/>
      </c>
      <c r="DY82" s="28" t="str">
        <f>IF(DX82="","",DX82*$DO$1/'CPI USA'!$U$532+(1-DX82)*AVERAGE($DO$1,$DQ$1)/AVERAGE('CPI USA'!$U$532,'PPI USA'!$T$538))</f>
        <v/>
      </c>
      <c r="DZ82" s="30"/>
      <c r="EA82" s="29" t="str">
        <f t="shared" si="44"/>
        <v>C000911</v>
      </c>
      <c r="EB82" s="29" t="str">
        <f t="shared" si="45"/>
        <v/>
      </c>
      <c r="EC82" s="29" t="str">
        <f t="shared" si="46"/>
        <v/>
      </c>
      <c r="ED82" s="29" t="str">
        <f t="shared" si="47"/>
        <v/>
      </c>
      <c r="EE82" s="29" t="str">
        <f t="shared" si="48"/>
        <v/>
      </c>
      <c r="EF82" s="29" t="str">
        <f t="shared" si="49"/>
        <v/>
      </c>
      <c r="EG82" s="29" t="str">
        <f t="shared" si="50"/>
        <v/>
      </c>
      <c r="EH82" s="29" t="str">
        <f t="shared" si="51"/>
        <v/>
      </c>
      <c r="EI82" s="29" t="str">
        <f t="shared" si="52"/>
        <v/>
      </c>
      <c r="EJ82" s="29" t="str">
        <f t="shared" si="53"/>
        <v/>
      </c>
      <c r="EK82" s="29" t="str">
        <f t="shared" si="54"/>
        <v/>
      </c>
      <c r="EL82" s="29" t="str">
        <f>IF(CD82=1,VLOOKUP(EA82,'EIA 2023'!$A$2:$J$213,4,0)*EH82,"")</f>
        <v/>
      </c>
      <c r="EM82" s="29" t="str">
        <f>IF(CD82=1,VLOOKUP(EA82,'EIA 2023'!$A$2:$J$213,7,0)*EH82,"")</f>
        <v/>
      </c>
      <c r="EN82" s="29" t="str">
        <f>IF(CD82=1,VLOOKUP(EA82,'EIA 2023'!$A$2:$J$213,10,0),"")</f>
        <v/>
      </c>
      <c r="EO82" s="28" t="str">
        <f>IF(CD82=1,VLOOKUP(EA82,'EIA 2023'!$A$2:$Z$213,26,0),"")</f>
        <v/>
      </c>
      <c r="EP82" s="23" t="str">
        <f t="shared" si="55"/>
        <v/>
      </c>
      <c r="EQ82" s="32" t="str">
        <f t="shared" si="56"/>
        <v/>
      </c>
      <c r="ER82" s="32" t="str">
        <f t="shared" si="57"/>
        <v/>
      </c>
      <c r="ES82" s="32"/>
      <c r="ET82" s="32"/>
    </row>
    <row r="83" spans="1:150" ht="15.75" customHeight="1">
      <c r="A83" s="7" t="s">
        <v>453</v>
      </c>
      <c r="B83" s="7" t="s">
        <v>454</v>
      </c>
      <c r="C83" s="32" t="s">
        <v>1168</v>
      </c>
      <c r="D83" s="42">
        <v>0</v>
      </c>
      <c r="E83" s="42">
        <v>0</v>
      </c>
      <c r="F83" s="42">
        <v>0</v>
      </c>
      <c r="G83" s="42">
        <v>304705755</v>
      </c>
      <c r="H83" s="42">
        <v>309579847</v>
      </c>
      <c r="I83" s="42">
        <v>390694</v>
      </c>
      <c r="J83" s="42">
        <v>45947</v>
      </c>
      <c r="K83" s="42">
        <v>144312</v>
      </c>
      <c r="L83" s="42">
        <v>1559186</v>
      </c>
      <c r="M83" s="42">
        <v>1986996</v>
      </c>
      <c r="N83" s="42">
        <v>0</v>
      </c>
      <c r="O83" s="42">
        <v>8946047</v>
      </c>
      <c r="P83" s="42">
        <v>0</v>
      </c>
      <c r="Q83" s="42">
        <v>558490</v>
      </c>
      <c r="R83" s="42">
        <v>0</v>
      </c>
      <c r="S83" s="42">
        <v>3490050</v>
      </c>
      <c r="T83" s="42">
        <v>32097981</v>
      </c>
      <c r="U83" s="42">
        <v>945831</v>
      </c>
      <c r="V83" s="42">
        <v>106604</v>
      </c>
      <c r="W83" s="42">
        <v>327322</v>
      </c>
      <c r="X83" s="42">
        <f>IFERROR(VLOOKUP(A83,'Trans 21-23'!$A$2:$J$229,10,0),0)</f>
        <v>413383</v>
      </c>
      <c r="Y83" s="42">
        <v>1686290</v>
      </c>
      <c r="Z83" s="42">
        <v>1382046</v>
      </c>
      <c r="AA83" s="42">
        <v>8236671</v>
      </c>
      <c r="AB83" s="42">
        <v>12257576</v>
      </c>
      <c r="AC83" s="42">
        <v>45067</v>
      </c>
      <c r="AD83" s="42">
        <v>42481767</v>
      </c>
      <c r="AE83" s="42">
        <v>0</v>
      </c>
      <c r="AF83" s="42">
        <v>672378109</v>
      </c>
      <c r="AG83" s="42">
        <v>441662</v>
      </c>
      <c r="AH83" s="42">
        <v>200092</v>
      </c>
      <c r="AI83" s="42">
        <v>7359277</v>
      </c>
      <c r="AJ83" s="42">
        <v>4637</v>
      </c>
      <c r="AK83" s="42">
        <v>2921345</v>
      </c>
      <c r="AL83" s="42">
        <v>5062031</v>
      </c>
      <c r="AM83" s="42">
        <v>2780844</v>
      </c>
      <c r="AN83" s="42">
        <v>2324083</v>
      </c>
      <c r="AO83" s="42">
        <v>21917</v>
      </c>
      <c r="AP83" s="42">
        <v>0</v>
      </c>
      <c r="AQ83" s="42">
        <v>10188875</v>
      </c>
      <c r="AR83" s="42">
        <v>287202</v>
      </c>
      <c r="AS83" s="42">
        <v>10476077</v>
      </c>
      <c r="AT83" s="42">
        <v>0</v>
      </c>
      <c r="AU83" s="42">
        <v>3103</v>
      </c>
      <c r="AV83" s="42">
        <v>0</v>
      </c>
      <c r="AW83" s="42">
        <v>466523845</v>
      </c>
      <c r="AX83" s="42">
        <v>84459961</v>
      </c>
      <c r="AY83" s="42">
        <v>402652612</v>
      </c>
      <c r="AZ83" s="42">
        <v>92386375</v>
      </c>
      <c r="BA83" s="42">
        <v>42647616</v>
      </c>
      <c r="BB83" s="42">
        <v>2169111880</v>
      </c>
      <c r="BC83" s="42">
        <v>2939695403</v>
      </c>
      <c r="BD83" s="42">
        <v>115998186</v>
      </c>
      <c r="BE83" s="42">
        <v>818920535</v>
      </c>
      <c r="BF83" s="42">
        <v>45476417</v>
      </c>
      <c r="BG83" s="42">
        <v>0</v>
      </c>
      <c r="BH83" s="42">
        <v>14821885</v>
      </c>
      <c r="BI83" s="42">
        <v>4653380</v>
      </c>
      <c r="BJ83" s="42">
        <v>123799</v>
      </c>
      <c r="BK83" s="42">
        <v>0</v>
      </c>
      <c r="BL83" s="42">
        <v>0</v>
      </c>
      <c r="BM83" s="42">
        <v>321884</v>
      </c>
      <c r="BN83" s="42">
        <v>21923959</v>
      </c>
      <c r="BO83" s="42">
        <v>0</v>
      </c>
      <c r="BP83" s="42">
        <v>1202263</v>
      </c>
      <c r="BQ83" s="42">
        <v>46375064</v>
      </c>
      <c r="BR83" s="42">
        <v>0</v>
      </c>
      <c r="BS83" s="42">
        <f>IFERROR(VLOOKUP(A83,'Trans 21-23'!$A$2:$J$229,9,0),0)</f>
        <v>40709995</v>
      </c>
      <c r="BT83" s="67"/>
      <c r="BU83" s="32">
        <f t="shared" si="0"/>
        <v>2169111880</v>
      </c>
      <c r="BV83" s="32">
        <f t="shared" si="1"/>
        <v>3103</v>
      </c>
      <c r="BW83" s="32">
        <f t="shared" si="2"/>
        <v>441662</v>
      </c>
      <c r="BX83" s="32">
        <f t="shared" si="3"/>
        <v>50599460</v>
      </c>
      <c r="BY83" s="32">
        <f t="shared" si="4"/>
        <v>23607650</v>
      </c>
      <c r="BZ83" s="32">
        <f t="shared" si="5"/>
        <v>92386375</v>
      </c>
      <c r="CA83" s="32">
        <f t="shared" si="6"/>
        <v>42481767</v>
      </c>
      <c r="CB83" s="32">
        <f t="shared" si="7"/>
        <v>200092</v>
      </c>
      <c r="CC83" s="32">
        <f t="shared" si="8"/>
        <v>10188875</v>
      </c>
      <c r="CD83" s="41">
        <f t="shared" si="64"/>
        <v>1</v>
      </c>
      <c r="CE83" s="44">
        <f t="shared" si="10"/>
        <v>15</v>
      </c>
      <c r="CF83" s="27"/>
      <c r="CG83" s="28">
        <f t="shared" si="11"/>
        <v>699.03702223654523</v>
      </c>
      <c r="CH83" s="28">
        <f t="shared" si="12"/>
        <v>7.0257346115355181</v>
      </c>
      <c r="CI83" s="28">
        <f t="shared" si="13"/>
        <v>114.56602560328939</v>
      </c>
      <c r="CJ83" s="28">
        <f t="shared" si="14"/>
        <v>209.17890830544624</v>
      </c>
      <c r="CK83" s="23">
        <f t="shared" si="15"/>
        <v>1.9638281949675505E-2</v>
      </c>
      <c r="CL83" s="29" t="str">
        <f t="shared" si="16"/>
        <v/>
      </c>
      <c r="CM83" s="29" t="str">
        <f t="shared" si="17"/>
        <v/>
      </c>
      <c r="CN83" s="29" t="str">
        <f t="shared" si="18"/>
        <v/>
      </c>
      <c r="CO83" s="29" t="str">
        <f t="shared" si="19"/>
        <v/>
      </c>
      <c r="CP83" s="29" t="str">
        <f t="shared" si="20"/>
        <v/>
      </c>
      <c r="CQ83" s="29">
        <f t="shared" si="21"/>
        <v>0</v>
      </c>
      <c r="CR83" s="13"/>
      <c r="CS83" s="7">
        <f>VLOOKUP(A83,'Empresas 21-23'!$A$2:$M$228,13,0)</f>
        <v>1</v>
      </c>
      <c r="CT83" s="30"/>
      <c r="CU83" s="6">
        <f t="shared" si="22"/>
        <v>1782520340.2</v>
      </c>
      <c r="CV83" s="6">
        <f t="shared" si="23"/>
        <v>92386375</v>
      </c>
      <c r="CW83" s="6">
        <f t="shared" si="24"/>
        <v>115998186</v>
      </c>
      <c r="CX83" s="23">
        <f t="shared" si="65"/>
        <v>0.63127177002845059</v>
      </c>
      <c r="CY83" s="23">
        <f t="shared" si="66"/>
        <v>3.2718230001357824E-2</v>
      </c>
      <c r="CZ83" s="6">
        <f t="shared" si="27"/>
        <v>1855746720.3963094</v>
      </c>
      <c r="DA83" s="6">
        <f t="shared" si="28"/>
        <v>96181630.329288289</v>
      </c>
      <c r="DB83" s="6">
        <f t="shared" si="29"/>
        <v>50599460</v>
      </c>
      <c r="DC83" s="6">
        <f t="shared" si="30"/>
        <v>51012843</v>
      </c>
      <c r="DD83" s="6">
        <f t="shared" si="31"/>
        <v>23607650</v>
      </c>
      <c r="DE83" s="6">
        <f t="shared" si="32"/>
        <v>42481767</v>
      </c>
      <c r="DF83" s="6">
        <f t="shared" si="33"/>
        <v>9896494.3939310126</v>
      </c>
      <c r="DG83" s="30"/>
      <c r="DH83" s="32">
        <f>VLOOKUP(A83,'T_med_comp-USA'!$A$7:$Q$233,17,0)</f>
        <v>17.79253095365932</v>
      </c>
      <c r="DI83" s="6" t="str">
        <f t="shared" si="34"/>
        <v>3_2006</v>
      </c>
      <c r="DJ83" s="32">
        <f>IF(DI83="","",VLOOKUP(DI83,'CPI USA'!$T:$U,2,FALSE))</f>
        <v>201.6</v>
      </c>
      <c r="DK83" s="32">
        <f>IF(DI83="","",VLOOKUP(DI83,'PPI USA'!$S:$T,2,FALSE))</f>
        <v>145.30000000000001</v>
      </c>
      <c r="DL83" s="32">
        <f>IF(DI83="","",VLOOKUP(DI83,'CPI USA'!$T:$V,3,FALSE))</f>
        <v>0.67263024008352756</v>
      </c>
      <c r="DM83" s="32">
        <f>IF(DI83="","",VLOOKUP(DI83,'CPI USA'!$T:$X,5,FALSE))</f>
        <v>0.50115228263529643</v>
      </c>
      <c r="DN83" s="32">
        <f t="shared" si="35"/>
        <v>1.595396421204319</v>
      </c>
      <c r="DO83" s="32">
        <f t="shared" si="36"/>
        <v>1.6147712829199015</v>
      </c>
      <c r="DP83" s="32">
        <f t="shared" si="37"/>
        <v>0.29292575454362557</v>
      </c>
      <c r="DQ83" s="32">
        <f>IF(DP83="","",DP83*$DO$1/'CPI USA'!$U$532+(1-DP83)*AVERAGE($DO$1,$DQ$1)/AVERAGE('CPI USA'!$U$532,'PPI USA'!$T$538))</f>
        <v>1.0405372163093953</v>
      </c>
      <c r="DR83" s="6">
        <f t="shared" si="38"/>
        <v>4777179</v>
      </c>
      <c r="DS83" s="32">
        <f t="shared" si="39"/>
        <v>0.20235724436782146</v>
      </c>
      <c r="DT83" s="28">
        <f>IF(DS83="","",DS83*$DO$1/'CPI USA'!$U$532+(1-DS83)*AVERAGE($DO$1,$DQ$1)/AVERAGE('CPI USA'!$U$532,'PPI USA'!$T$538))</f>
        <v>1.0426274360784005</v>
      </c>
      <c r="DU83" s="6">
        <f t="shared" si="40"/>
        <v>321884</v>
      </c>
      <c r="DV83" s="6">
        <f t="shared" si="41"/>
        <v>8566.8635755396263</v>
      </c>
      <c r="DW83" s="6">
        <f t="shared" si="42"/>
        <v>295408.67249716481</v>
      </c>
      <c r="DX83" s="16">
        <f t="shared" si="43"/>
        <v>0.2</v>
      </c>
      <c r="DY83" s="28">
        <f>IF(DX83="","",DX83*$DO$1/'CPI USA'!$U$532+(1-DX83)*AVERAGE($DO$1,$DQ$1)/AVERAGE('CPI USA'!$U$532,'PPI USA'!$T$538))</f>
        <v>1.0426818386380585</v>
      </c>
      <c r="DZ83" s="30"/>
      <c r="EA83" s="29" t="str">
        <f t="shared" si="44"/>
        <v>C000913</v>
      </c>
      <c r="EB83" s="29">
        <f t="shared" si="45"/>
        <v>2960651676.3819242</v>
      </c>
      <c r="EC83" s="29">
        <f t="shared" si="46"/>
        <v>155311334.60015255</v>
      </c>
      <c r="ED83" s="29">
        <f t="shared" si="47"/>
        <v>53080761.651248224</v>
      </c>
      <c r="EE83" s="29">
        <f t="shared" si="48"/>
        <v>24613983.59133625</v>
      </c>
      <c r="EF83" s="29">
        <f t="shared" si="49"/>
        <v>10318894.970735228</v>
      </c>
      <c r="EG83" s="29">
        <f t="shared" si="50"/>
        <v>3103</v>
      </c>
      <c r="EH83" s="29">
        <f t="shared" si="51"/>
        <v>441662</v>
      </c>
      <c r="EI83" s="29">
        <f t="shared" si="52"/>
        <v>200092</v>
      </c>
      <c r="EJ83" s="29">
        <f t="shared" si="53"/>
        <v>10188875</v>
      </c>
      <c r="EK83" s="29">
        <f t="shared" si="54"/>
        <v>10384593.365482233</v>
      </c>
      <c r="EL83" s="29">
        <f>IF(CD83=1,VLOOKUP(EA83,'EIA 2023'!$A$2:$J$213,4,0)*EH83,"")</f>
        <v>54368592.199999996</v>
      </c>
      <c r="EM83" s="29">
        <f>IF(CD83=1,VLOOKUP(EA83,'EIA 2023'!$A$2:$J$213,7,0)*EH83,"")</f>
        <v>463303.43799999997</v>
      </c>
      <c r="EN83" s="29">
        <f>IF(CD83=1,VLOOKUP(EA83,'EIA 2023'!$A$2:$J$213,10,0),"")</f>
        <v>41761</v>
      </c>
      <c r="EO83" s="28">
        <f>IF(CD83=1,VLOOKUP(EA83,'EIA 2023'!$A$2:$Z$213,26,0),"")</f>
        <v>0</v>
      </c>
      <c r="EP83" s="23">
        <f t="shared" si="55"/>
        <v>1.8846993675533764E-2</v>
      </c>
      <c r="EQ83" s="32">
        <f t="shared" si="56"/>
        <v>4373.6345177664771</v>
      </c>
      <c r="ER83" s="32">
        <f t="shared" si="57"/>
        <v>195718.36548223352</v>
      </c>
      <c r="ES83" s="32"/>
      <c r="ET83" s="32"/>
    </row>
    <row r="84" spans="1:150" ht="15.75" customHeight="1">
      <c r="A84" s="7" t="s">
        <v>456</v>
      </c>
      <c r="B84" s="7" t="s">
        <v>457</v>
      </c>
      <c r="C84" s="32" t="s">
        <v>1169</v>
      </c>
      <c r="D84" s="42">
        <v>0</v>
      </c>
      <c r="E84" s="42">
        <v>0</v>
      </c>
      <c r="F84" s="42">
        <v>0</v>
      </c>
      <c r="G84" s="42">
        <v>42612530</v>
      </c>
      <c r="H84" s="42">
        <v>36492104</v>
      </c>
      <c r="I84" s="42">
        <v>334554</v>
      </c>
      <c r="J84" s="42">
        <v>42936</v>
      </c>
      <c r="K84" s="42">
        <v>888956</v>
      </c>
      <c r="L84" s="42">
        <v>399422</v>
      </c>
      <c r="M84" s="42">
        <v>140995</v>
      </c>
      <c r="N84" s="42">
        <v>236</v>
      </c>
      <c r="O84" s="42">
        <v>3184193</v>
      </c>
      <c r="P84" s="42">
        <v>0</v>
      </c>
      <c r="Q84" s="42">
        <v>3283</v>
      </c>
      <c r="R84" s="42">
        <v>7886</v>
      </c>
      <c r="S84" s="42">
        <v>754370</v>
      </c>
      <c r="T84" s="42">
        <v>25122103</v>
      </c>
      <c r="U84" s="42">
        <v>227824</v>
      </c>
      <c r="V84" s="42">
        <v>3797</v>
      </c>
      <c r="W84" s="42">
        <v>1007132</v>
      </c>
      <c r="X84" s="42">
        <f>IFERROR(VLOOKUP(A84,'Trans 21-23'!$A$2:$J$229,10,0),0)</f>
        <v>0</v>
      </c>
      <c r="Y84" s="42">
        <v>112618</v>
      </c>
      <c r="Z84" s="42">
        <v>102857</v>
      </c>
      <c r="AA84" s="42">
        <v>2692397</v>
      </c>
      <c r="AB84" s="42">
        <v>2363885</v>
      </c>
      <c r="AC84" s="42">
        <v>298</v>
      </c>
      <c r="AD84" s="42">
        <v>32093720</v>
      </c>
      <c r="AE84" s="42">
        <v>0</v>
      </c>
      <c r="AF84" s="42">
        <v>107027040</v>
      </c>
      <c r="AG84" s="42">
        <v>0</v>
      </c>
      <c r="AH84" s="42">
        <v>133045</v>
      </c>
      <c r="AI84" s="42">
        <v>682750</v>
      </c>
      <c r="AJ84" s="42">
        <v>800</v>
      </c>
      <c r="AK84" s="42">
        <v>0</v>
      </c>
      <c r="AL84" s="42">
        <v>307264</v>
      </c>
      <c r="AM84" s="42">
        <v>141314</v>
      </c>
      <c r="AN84" s="42">
        <v>95113</v>
      </c>
      <c r="AO84" s="42">
        <v>289</v>
      </c>
      <c r="AP84" s="42">
        <v>0</v>
      </c>
      <c r="AQ84" s="42">
        <v>543980</v>
      </c>
      <c r="AR84" s="42">
        <v>4925</v>
      </c>
      <c r="AS84" s="42">
        <v>548905</v>
      </c>
      <c r="AT84" s="42">
        <v>0</v>
      </c>
      <c r="AU84" s="42">
        <v>120</v>
      </c>
      <c r="AV84" s="42">
        <v>0</v>
      </c>
      <c r="AW84" s="42">
        <v>87830621</v>
      </c>
      <c r="AX84" s="42">
        <v>17475434</v>
      </c>
      <c r="AY84" s="42">
        <v>72070000</v>
      </c>
      <c r="AZ84" s="42">
        <v>5020605</v>
      </c>
      <c r="BA84" s="42">
        <v>931303</v>
      </c>
      <c r="BB84" s="42">
        <v>465154358</v>
      </c>
      <c r="BC84" s="42">
        <v>694770382</v>
      </c>
      <c r="BD84" s="42">
        <v>41550182</v>
      </c>
      <c r="BE84" s="42">
        <v>86147293</v>
      </c>
      <c r="BF84" s="42">
        <v>9647201</v>
      </c>
      <c r="BG84" s="42">
        <v>0</v>
      </c>
      <c r="BH84" s="42">
        <v>3424954</v>
      </c>
      <c r="BI84" s="42">
        <v>1339123</v>
      </c>
      <c r="BJ84" s="42">
        <v>1606943</v>
      </c>
      <c r="BK84" s="42">
        <v>0</v>
      </c>
      <c r="BL84" s="42">
        <v>0</v>
      </c>
      <c r="BM84" s="42">
        <v>7593484</v>
      </c>
      <c r="BN84" s="42">
        <v>16593067</v>
      </c>
      <c r="BO84" s="42">
        <v>90831</v>
      </c>
      <c r="BP84" s="42">
        <v>0</v>
      </c>
      <c r="BQ84" s="42">
        <v>22727767</v>
      </c>
      <c r="BR84" s="42">
        <v>0</v>
      </c>
      <c r="BS84" s="42">
        <f>IFERROR(VLOOKUP(A84,'Trans 21-23'!$A$2:$J$229,9,0),0)</f>
        <v>0</v>
      </c>
      <c r="BT84" s="67"/>
      <c r="BU84" s="32">
        <f t="shared" si="0"/>
        <v>465154358</v>
      </c>
      <c r="BV84" s="32">
        <f t="shared" si="1"/>
        <v>120</v>
      </c>
      <c r="BW84" s="32">
        <f t="shared" si="2"/>
        <v>0</v>
      </c>
      <c r="BX84" s="32">
        <f t="shared" si="3"/>
        <v>32117687</v>
      </c>
      <c r="BY84" s="32">
        <f t="shared" si="4"/>
        <v>5272055</v>
      </c>
      <c r="BZ84" s="32">
        <f t="shared" si="5"/>
        <v>5020605</v>
      </c>
      <c r="CA84" s="32">
        <f t="shared" si="6"/>
        <v>32093720</v>
      </c>
      <c r="CB84" s="32">
        <f t="shared" si="7"/>
        <v>133045</v>
      </c>
      <c r="CC84" s="32">
        <f t="shared" si="8"/>
        <v>543980</v>
      </c>
      <c r="CD84" s="41">
        <f t="shared" si="64"/>
        <v>0</v>
      </c>
      <c r="CE84" s="44">
        <f t="shared" si="10"/>
        <v>17</v>
      </c>
      <c r="CF84" s="27"/>
      <c r="CG84" s="28" t="str">
        <f t="shared" si="11"/>
        <v/>
      </c>
      <c r="CH84" s="28" t="str">
        <f t="shared" si="12"/>
        <v/>
      </c>
      <c r="CI84" s="28" t="str">
        <f t="shared" si="13"/>
        <v/>
      </c>
      <c r="CJ84" s="28" t="str">
        <f t="shared" si="14"/>
        <v/>
      </c>
      <c r="CK84" s="23" t="str">
        <f t="shared" si="15"/>
        <v/>
      </c>
      <c r="CL84" s="29" t="str">
        <f t="shared" si="16"/>
        <v/>
      </c>
      <c r="CM84" s="29" t="str">
        <f t="shared" si="17"/>
        <v/>
      </c>
      <c r="CN84" s="29" t="str">
        <f t="shared" si="18"/>
        <v/>
      </c>
      <c r="CO84" s="29" t="str">
        <f t="shared" si="19"/>
        <v/>
      </c>
      <c r="CP84" s="29" t="str">
        <f t="shared" si="20"/>
        <v/>
      </c>
      <c r="CQ84" s="29" t="str">
        <f t="shared" si="21"/>
        <v/>
      </c>
      <c r="CR84" s="13"/>
      <c r="CS84" s="7" t="str">
        <f>VLOOKUP(A84,'Empresas 21-23'!$A$2:$M$228,13,0)</f>
        <v/>
      </c>
      <c r="CT84" s="30"/>
      <c r="CU84" s="6">
        <f t="shared" si="22"/>
        <v>405475189.60000002</v>
      </c>
      <c r="CV84" s="6">
        <f t="shared" si="23"/>
        <v>5020605</v>
      </c>
      <c r="CW84" s="6">
        <f t="shared" si="24"/>
        <v>41550182</v>
      </c>
      <c r="CX84" s="23">
        <f t="shared" si="65"/>
        <v>0.62073277831885787</v>
      </c>
      <c r="CY84" s="23">
        <f t="shared" si="66"/>
        <v>7.6859304106027338E-3</v>
      </c>
      <c r="CZ84" s="6">
        <f t="shared" si="27"/>
        <v>431266749.51251423</v>
      </c>
      <c r="DA84" s="6">
        <f t="shared" si="28"/>
        <v>5339956.8073998783</v>
      </c>
      <c r="DB84" s="6">
        <f t="shared" si="29"/>
        <v>32117687</v>
      </c>
      <c r="DC84" s="6">
        <f t="shared" si="30"/>
        <v>32117687</v>
      </c>
      <c r="DD84" s="6">
        <f t="shared" si="31"/>
        <v>5272055</v>
      </c>
      <c r="DE84" s="6">
        <f t="shared" si="32"/>
        <v>32093720</v>
      </c>
      <c r="DF84" s="6">
        <f t="shared" si="33"/>
        <v>31215867.641133934</v>
      </c>
      <c r="DG84" s="30"/>
      <c r="DH84" s="32">
        <f>VLOOKUP(A84,'T_med_comp-USA'!$A$7:$Q$233,17,0)</f>
        <v>10.108970487591627</v>
      </c>
      <c r="DI84" s="6" t="str">
        <f t="shared" si="34"/>
        <v>11_2013</v>
      </c>
      <c r="DJ84" s="32">
        <f>IF(DI84="","",VLOOKUP(DI84,'CPI USA'!$T:$U,2,FALSE))</f>
        <v>233.06899999999999</v>
      </c>
      <c r="DK84" s="32">
        <f>IF(DI84="","",VLOOKUP(DI84,'PPI USA'!$S:$T,2,FALSE))</f>
        <v>166</v>
      </c>
      <c r="DL84" s="32">
        <f>IF(DI84="","",VLOOKUP(DI84,'CPI USA'!$T:$V,3,FALSE))</f>
        <v>0.67305131835944076</v>
      </c>
      <c r="DM84" s="32">
        <f>IF(DI84="","",VLOOKUP(DI84,'CPI USA'!$T:$X,5,FALSE))</f>
        <v>0.50163050295255052</v>
      </c>
      <c r="DN84" s="32">
        <f t="shared" si="35"/>
        <v>1.3822908196671626</v>
      </c>
      <c r="DO84" s="32">
        <f t="shared" si="36"/>
        <v>1.400274192630873</v>
      </c>
      <c r="DP84" s="32">
        <f t="shared" si="37"/>
        <v>0.2</v>
      </c>
      <c r="DQ84" s="32">
        <f>IF(DP84="","",DP84*$DO$1/'CPI USA'!$U$532+(1-DP84)*AVERAGE($DO$1,$DQ$1)/AVERAGE('CPI USA'!$U$532,'PPI USA'!$T$538))</f>
        <v>1.0426818386380585</v>
      </c>
      <c r="DR84" s="6">
        <f t="shared" si="38"/>
        <v>2946066</v>
      </c>
      <c r="DS84" s="32">
        <f t="shared" si="39"/>
        <v>0.56186683620635958</v>
      </c>
      <c r="DT84" s="28">
        <f>IF(DS84="","",DS84*$DO$1/'CPI USA'!$U$532+(1-DS84)*AVERAGE($DO$1,$DQ$1)/AVERAGE('CPI USA'!$U$532,'PPI USA'!$T$538))</f>
        <v>1.0343303573857163</v>
      </c>
      <c r="DU84" s="6">
        <f t="shared" si="40"/>
        <v>7635050.983680835</v>
      </c>
      <c r="DV84" s="6">
        <f t="shared" si="41"/>
        <v>0</v>
      </c>
      <c r="DW84" s="6">
        <f t="shared" si="42"/>
        <v>2931529.325955851</v>
      </c>
      <c r="DX84" s="16">
        <f t="shared" si="43"/>
        <v>0.2</v>
      </c>
      <c r="DY84" s="28">
        <f>IF(DX84="","",DX84*$DO$1/'CPI USA'!$U$532+(1-DX84)*AVERAGE($DO$1,$DQ$1)/AVERAGE('CPI USA'!$U$532,'PPI USA'!$T$538))</f>
        <v>1.0426818386380585</v>
      </c>
      <c r="DZ84" s="30"/>
      <c r="EA84" s="29" t="str">
        <f t="shared" si="44"/>
        <v>C000945</v>
      </c>
      <c r="EB84" s="29" t="str">
        <f t="shared" si="45"/>
        <v/>
      </c>
      <c r="EC84" s="29" t="str">
        <f t="shared" si="46"/>
        <v/>
      </c>
      <c r="ED84" s="29" t="str">
        <f t="shared" si="47"/>
        <v/>
      </c>
      <c r="EE84" s="29" t="str">
        <f t="shared" si="48"/>
        <v/>
      </c>
      <c r="EF84" s="29" t="str">
        <f t="shared" si="49"/>
        <v/>
      </c>
      <c r="EG84" s="29" t="str">
        <f t="shared" si="50"/>
        <v/>
      </c>
      <c r="EH84" s="29" t="str">
        <f t="shared" si="51"/>
        <v/>
      </c>
      <c r="EI84" s="29" t="str">
        <f t="shared" si="52"/>
        <v/>
      </c>
      <c r="EJ84" s="29" t="str">
        <f t="shared" si="53"/>
        <v/>
      </c>
      <c r="EK84" s="29" t="str">
        <f t="shared" si="54"/>
        <v/>
      </c>
      <c r="EL84" s="29" t="str">
        <f>IF(CD84=1,VLOOKUP(EA84,'EIA 2023'!$A$2:$J$213,4,0)*EH84,"")</f>
        <v/>
      </c>
      <c r="EM84" s="29" t="str">
        <f>IF(CD84=1,VLOOKUP(EA84,'EIA 2023'!$A$2:$J$213,7,0)*EH84,"")</f>
        <v/>
      </c>
      <c r="EN84" s="29" t="str">
        <f>IF(CD84=1,VLOOKUP(EA84,'EIA 2023'!$A$2:$J$213,10,0),"")</f>
        <v/>
      </c>
      <c r="EO84" s="28" t="str">
        <f>IF(CD84=1,VLOOKUP(EA84,'EIA 2023'!$A$2:$Z$213,26,0),"")</f>
        <v/>
      </c>
      <c r="EP84" s="23" t="str">
        <f t="shared" si="55"/>
        <v/>
      </c>
      <c r="EQ84" s="32" t="str">
        <f t="shared" si="56"/>
        <v/>
      </c>
      <c r="ER84" s="32" t="str">
        <f t="shared" si="57"/>
        <v/>
      </c>
      <c r="ES84" s="32"/>
      <c r="ET84" s="32"/>
    </row>
    <row r="85" spans="1:150" ht="15.75" customHeight="1">
      <c r="A85" s="7" t="s">
        <v>459</v>
      </c>
      <c r="B85" s="7" t="s">
        <v>460</v>
      </c>
      <c r="C85" s="32" t="s">
        <v>1170</v>
      </c>
      <c r="D85" s="42">
        <v>118516759</v>
      </c>
      <c r="E85" s="42">
        <v>0</v>
      </c>
      <c r="F85" s="42">
        <v>7784758</v>
      </c>
      <c r="G85" s="42">
        <v>52465970</v>
      </c>
      <c r="H85" s="42">
        <v>53024565</v>
      </c>
      <c r="I85" s="42">
        <v>1427387</v>
      </c>
      <c r="J85" s="42">
        <v>161436</v>
      </c>
      <c r="K85" s="42">
        <v>269447</v>
      </c>
      <c r="L85" s="42">
        <v>47537</v>
      </c>
      <c r="M85" s="42">
        <v>0</v>
      </c>
      <c r="N85" s="42">
        <v>0</v>
      </c>
      <c r="O85" s="42">
        <v>5535940</v>
      </c>
      <c r="P85" s="42">
        <v>0</v>
      </c>
      <c r="Q85" s="42">
        <v>289177</v>
      </c>
      <c r="R85" s="42">
        <v>1489162</v>
      </c>
      <c r="S85" s="42">
        <v>813516</v>
      </c>
      <c r="T85" s="42">
        <v>10098403</v>
      </c>
      <c r="U85" s="42">
        <v>543790</v>
      </c>
      <c r="V85" s="42">
        <v>32531</v>
      </c>
      <c r="W85" s="42">
        <v>653209</v>
      </c>
      <c r="X85" s="42">
        <f>IFERROR(VLOOKUP(A85,'Trans 21-23'!$A$2:$J$229,10,0),0)</f>
        <v>1733666</v>
      </c>
      <c r="Y85" s="42">
        <v>1267072</v>
      </c>
      <c r="Z85" s="42">
        <v>0</v>
      </c>
      <c r="AA85" s="42">
        <v>3424671</v>
      </c>
      <c r="AB85" s="42">
        <v>20409</v>
      </c>
      <c r="AC85" s="42">
        <v>10503105</v>
      </c>
      <c r="AD85" s="42">
        <v>48188093</v>
      </c>
      <c r="AE85" s="42">
        <v>0</v>
      </c>
      <c r="AF85" s="42">
        <v>366162592</v>
      </c>
      <c r="AG85" s="42">
        <v>155182</v>
      </c>
      <c r="AH85" s="42">
        <v>235653</v>
      </c>
      <c r="AI85" s="42">
        <v>5153202</v>
      </c>
      <c r="AJ85" s="42">
        <v>12759</v>
      </c>
      <c r="AK85" s="42">
        <v>0</v>
      </c>
      <c r="AL85" s="42">
        <v>1335877</v>
      </c>
      <c r="AM85" s="42">
        <v>1116271</v>
      </c>
      <c r="AN85" s="42">
        <v>1928879</v>
      </c>
      <c r="AO85" s="42">
        <v>12667</v>
      </c>
      <c r="AP85" s="42">
        <v>0</v>
      </c>
      <c r="AQ85" s="42">
        <v>4394490</v>
      </c>
      <c r="AR85" s="42">
        <v>510300</v>
      </c>
      <c r="AS85" s="42">
        <v>4904790</v>
      </c>
      <c r="AT85" s="42">
        <v>0</v>
      </c>
      <c r="AU85" s="42">
        <v>1136</v>
      </c>
      <c r="AV85" s="42">
        <v>0</v>
      </c>
      <c r="AW85" s="42">
        <v>264911032</v>
      </c>
      <c r="AX85" s="42">
        <v>48848383</v>
      </c>
      <c r="AY85" s="42">
        <v>135458191</v>
      </c>
      <c r="AZ85" s="42">
        <v>25909903</v>
      </c>
      <c r="BA85" s="42">
        <v>20295545</v>
      </c>
      <c r="BB85" s="42">
        <v>1175062334</v>
      </c>
      <c r="BC85" s="42">
        <v>3403681031</v>
      </c>
      <c r="BD85" s="42">
        <v>67170170</v>
      </c>
      <c r="BE85" s="42">
        <v>397489810</v>
      </c>
      <c r="BF85" s="42">
        <v>30306768</v>
      </c>
      <c r="BG85" s="42">
        <v>0</v>
      </c>
      <c r="BH85" s="42">
        <v>7037491</v>
      </c>
      <c r="BI85" s="42">
        <v>637256</v>
      </c>
      <c r="BJ85" s="42">
        <v>15596</v>
      </c>
      <c r="BK85" s="42">
        <v>337649</v>
      </c>
      <c r="BL85" s="42">
        <v>0</v>
      </c>
      <c r="BM85" s="42">
        <v>7820503</v>
      </c>
      <c r="BN85" s="42">
        <v>29777712</v>
      </c>
      <c r="BO85" s="42">
        <v>19831486</v>
      </c>
      <c r="BP85" s="42">
        <v>530970</v>
      </c>
      <c r="BQ85" s="42">
        <v>56916149</v>
      </c>
      <c r="BR85" s="42">
        <v>796</v>
      </c>
      <c r="BS85" s="42">
        <f>IFERROR(VLOOKUP(A85,'Trans 21-23'!$A$2:$J$229,9,0),0)</f>
        <v>170731421</v>
      </c>
      <c r="BT85" s="67"/>
      <c r="BU85" s="32">
        <f t="shared" si="0"/>
        <v>1175062334</v>
      </c>
      <c r="BV85" s="32">
        <f t="shared" si="1"/>
        <v>1136</v>
      </c>
      <c r="BW85" s="32">
        <f t="shared" si="2"/>
        <v>155182</v>
      </c>
      <c r="BX85" s="32">
        <f t="shared" si="3"/>
        <v>21361535</v>
      </c>
      <c r="BY85" s="32">
        <f t="shared" si="4"/>
        <v>15215257</v>
      </c>
      <c r="BZ85" s="32">
        <f t="shared" si="5"/>
        <v>25909903</v>
      </c>
      <c r="CA85" s="32">
        <f t="shared" si="6"/>
        <v>48188093</v>
      </c>
      <c r="CB85" s="32">
        <f t="shared" si="7"/>
        <v>235653</v>
      </c>
      <c r="CC85" s="32">
        <f t="shared" si="8"/>
        <v>4394490</v>
      </c>
      <c r="CD85" s="41">
        <f t="shared" si="64"/>
        <v>1</v>
      </c>
      <c r="CE85" s="44">
        <f t="shared" si="10"/>
        <v>12</v>
      </c>
      <c r="CF85" s="27"/>
      <c r="CG85" s="28">
        <f t="shared" si="11"/>
        <v>1034.3858573943662</v>
      </c>
      <c r="CH85" s="28">
        <f t="shared" si="12"/>
        <v>7.3204366485803769</v>
      </c>
      <c r="CI85" s="28">
        <f t="shared" si="13"/>
        <v>137.65472155275739</v>
      </c>
      <c r="CJ85" s="28">
        <f t="shared" si="14"/>
        <v>166.96461574151641</v>
      </c>
      <c r="CK85" s="23">
        <f t="shared" si="15"/>
        <v>5.362465269007325E-2</v>
      </c>
      <c r="CL85" s="29" t="str">
        <f t="shared" si="16"/>
        <v/>
      </c>
      <c r="CM85" s="29" t="str">
        <f t="shared" si="17"/>
        <v/>
      </c>
      <c r="CN85" s="29" t="str">
        <f t="shared" si="18"/>
        <v/>
      </c>
      <c r="CO85" s="29" t="str">
        <f t="shared" si="19"/>
        <v/>
      </c>
      <c r="CP85" s="29" t="str">
        <f t="shared" si="20"/>
        <v/>
      </c>
      <c r="CQ85" s="29">
        <f t="shared" si="21"/>
        <v>0</v>
      </c>
      <c r="CR85" s="13"/>
      <c r="CS85" s="7">
        <f>VLOOKUP(A85,'Empresas 21-23'!$A$2:$M$228,13,0)</f>
        <v>1</v>
      </c>
      <c r="CT85" s="30"/>
      <c r="CU85" s="6">
        <f t="shared" si="22"/>
        <v>1189004362.5999999</v>
      </c>
      <c r="CV85" s="6">
        <f t="shared" si="23"/>
        <v>25909903</v>
      </c>
      <c r="CW85" s="6">
        <f t="shared" si="24"/>
        <v>67170170</v>
      </c>
      <c r="CX85" s="23">
        <f t="shared" si="65"/>
        <v>0.35636160412306833</v>
      </c>
      <c r="CY85" s="23">
        <f t="shared" si="66"/>
        <v>7.7655683075566048E-3</v>
      </c>
      <c r="CZ85" s="6">
        <f t="shared" si="27"/>
        <v>1212941232.130419</v>
      </c>
      <c r="DA85" s="6">
        <f t="shared" si="28"/>
        <v>26431517.543365188</v>
      </c>
      <c r="DB85" s="6">
        <f t="shared" si="29"/>
        <v>21361535</v>
      </c>
      <c r="DC85" s="6">
        <f t="shared" si="30"/>
        <v>23095201</v>
      </c>
      <c r="DD85" s="6">
        <f t="shared" si="31"/>
        <v>15215257</v>
      </c>
      <c r="DE85" s="6">
        <f t="shared" si="32"/>
        <v>48188093</v>
      </c>
      <c r="DF85" s="6">
        <f t="shared" si="33"/>
        <v>13315030.585431019</v>
      </c>
      <c r="DG85" s="30"/>
      <c r="DH85" s="32">
        <f>VLOOKUP(A85,'T_med_comp-USA'!$A$7:$Q$233,17,0)</f>
        <v>13.179521980601256</v>
      </c>
      <c r="DI85" s="6" t="str">
        <f t="shared" si="34"/>
        <v>10_2010</v>
      </c>
      <c r="DJ85" s="32">
        <f>IF(DI85="","",VLOOKUP(DI85,'CPI USA'!$T:$U,2,FALSE))</f>
        <v>218.05600000000001</v>
      </c>
      <c r="DK85" s="32">
        <f>IF(DI85="","",VLOOKUP(DI85,'PPI USA'!$S:$T,2,FALSE))</f>
        <v>160.80000000000001</v>
      </c>
      <c r="DL85" s="32">
        <f>IF(DI85="","",VLOOKUP(DI85,'CPI USA'!$T:$V,3,FALSE))</f>
        <v>0.67050107279443949</v>
      </c>
      <c r="DM85" s="32">
        <f>IF(DI85="","",VLOOKUP(DI85,'CPI USA'!$T:$X,5,FALSE))</f>
        <v>0.4987389730136107</v>
      </c>
      <c r="DN85" s="32">
        <f t="shared" si="35"/>
        <v>1.4703278680244813</v>
      </c>
      <c r="DO85" s="32">
        <f t="shared" si="36"/>
        <v>1.4857204383544427</v>
      </c>
      <c r="DP85" s="32">
        <f t="shared" si="37"/>
        <v>0.54885329558767992</v>
      </c>
      <c r="DQ85" s="32">
        <f>IF(DP85="","",DP85*$DO$1/'CPI USA'!$U$532+(1-DP85)*AVERAGE($DO$1,$DQ$1)/AVERAGE('CPI USA'!$U$532,'PPI USA'!$T$538))</f>
        <v>1.0346306953267193</v>
      </c>
      <c r="DR85" s="6">
        <f t="shared" si="38"/>
        <v>990501</v>
      </c>
      <c r="DS85" s="32">
        <f t="shared" si="39"/>
        <v>0.2</v>
      </c>
      <c r="DT85" s="28">
        <f>IF(DS85="","",DS85*$DO$1/'CPI USA'!$U$532+(1-DS85)*AVERAGE($DO$1,$DQ$1)/AVERAGE('CPI USA'!$U$532,'PPI USA'!$T$538))</f>
        <v>1.0426818386380585</v>
      </c>
      <c r="DU85" s="6">
        <f t="shared" si="40"/>
        <v>13028834.511751406</v>
      </c>
      <c r="DV85" s="6">
        <f t="shared" si="41"/>
        <v>73644.396480678013</v>
      </c>
      <c r="DW85" s="6">
        <f t="shared" si="42"/>
        <v>3532393.4846121119</v>
      </c>
      <c r="DX85" s="16">
        <f t="shared" si="43"/>
        <v>0.26529368159898714</v>
      </c>
      <c r="DY85" s="28">
        <f>IF(DX85="","",DX85*$DO$1/'CPI USA'!$U$532+(1-DX85)*AVERAGE($DO$1,$DQ$1)/AVERAGE('CPI USA'!$U$532,'PPI USA'!$T$538))</f>
        <v>1.0411749336022531</v>
      </c>
      <c r="DZ85" s="30"/>
      <c r="EA85" s="29" t="str">
        <f t="shared" si="44"/>
        <v>C001009</v>
      </c>
      <c r="EB85" s="29">
        <f t="shared" si="45"/>
        <v>1783421295.8773065</v>
      </c>
      <c r="EC85" s="29">
        <f t="shared" si="46"/>
        <v>39269845.830901667</v>
      </c>
      <c r="ED85" s="29">
        <f t="shared" si="47"/>
        <v>23895003.869340342</v>
      </c>
      <c r="EE85" s="29">
        <f t="shared" si="48"/>
        <v>15864672.14411059</v>
      </c>
      <c r="EF85" s="29">
        <f t="shared" si="49"/>
        <v>13863276.085698111</v>
      </c>
      <c r="EG85" s="29">
        <f t="shared" si="50"/>
        <v>1136</v>
      </c>
      <c r="EH85" s="29">
        <f t="shared" si="51"/>
        <v>155182</v>
      </c>
      <c r="EI85" s="29">
        <f t="shared" si="52"/>
        <v>235653</v>
      </c>
      <c r="EJ85" s="29">
        <f t="shared" si="53"/>
        <v>4394490</v>
      </c>
      <c r="EK85" s="29">
        <f t="shared" si="54"/>
        <v>4622371.9340101527</v>
      </c>
      <c r="EL85" s="29">
        <f>IF(CD85=1,VLOOKUP(EA85,'EIA 2023'!$A$2:$J$213,4,0)*EH85,"")</f>
        <v>12383523.6</v>
      </c>
      <c r="EM85" s="29">
        <f>IF(CD85=1,VLOOKUP(EA85,'EIA 2023'!$A$2:$J$213,7,0)*EH85,"")</f>
        <v>243635.74000000002</v>
      </c>
      <c r="EN85" s="29">
        <f>IF(CD85=1,VLOOKUP(EA85,'EIA 2023'!$A$2:$J$213,10,0),"")</f>
        <v>156277</v>
      </c>
      <c r="EO85" s="28">
        <f>IF(CD85=1,VLOOKUP(EA85,'EIA 2023'!$A$2:$Z$213,26,0),"")</f>
        <v>0</v>
      </c>
      <c r="EP85" s="23">
        <f t="shared" si="55"/>
        <v>4.9299783155366435E-2</v>
      </c>
      <c r="EQ85" s="32">
        <f t="shared" si="56"/>
        <v>7771.0659898477024</v>
      </c>
      <c r="ER85" s="32">
        <f t="shared" si="57"/>
        <v>227881.9340101523</v>
      </c>
      <c r="ES85" s="32"/>
      <c r="ET85" s="32"/>
    </row>
    <row r="86" spans="1:150" ht="15.75" customHeight="1">
      <c r="A86" s="7" t="s">
        <v>462</v>
      </c>
      <c r="B86" s="7" t="s">
        <v>463</v>
      </c>
      <c r="C86" s="32" t="s">
        <v>1171</v>
      </c>
      <c r="D86" s="42">
        <v>0</v>
      </c>
      <c r="E86" s="42">
        <v>0</v>
      </c>
      <c r="F86" s="42">
        <v>0</v>
      </c>
      <c r="G86" s="42">
        <v>2498562398</v>
      </c>
      <c r="H86" s="42">
        <v>2498656036</v>
      </c>
      <c r="I86" s="42">
        <v>13985403</v>
      </c>
      <c r="J86" s="42">
        <v>1373783</v>
      </c>
      <c r="K86" s="42">
        <v>4099548</v>
      </c>
      <c r="L86" s="42">
        <v>6351599</v>
      </c>
      <c r="M86" s="42">
        <v>4209279</v>
      </c>
      <c r="N86" s="42">
        <v>413662</v>
      </c>
      <c r="O86" s="42">
        <v>7290633</v>
      </c>
      <c r="P86" s="42">
        <v>1401124</v>
      </c>
      <c r="Q86" s="42">
        <v>1937803</v>
      </c>
      <c r="R86" s="42">
        <v>249466</v>
      </c>
      <c r="S86" s="42">
        <v>4328948</v>
      </c>
      <c r="T86" s="42">
        <v>163567875</v>
      </c>
      <c r="U86" s="42">
        <v>7954037</v>
      </c>
      <c r="V86" s="42">
        <v>3152989</v>
      </c>
      <c r="W86" s="42">
        <v>2302</v>
      </c>
      <c r="X86" s="42">
        <f>IFERROR(VLOOKUP(A86,'Trans 21-23'!$A$2:$J$229,10,0),0)</f>
        <v>37373827</v>
      </c>
      <c r="Y86" s="42">
        <v>502086</v>
      </c>
      <c r="Z86" s="42">
        <v>1063359</v>
      </c>
      <c r="AA86" s="42">
        <v>206656949</v>
      </c>
      <c r="AB86" s="42">
        <v>184665947</v>
      </c>
      <c r="AC86" s="42">
        <v>162</v>
      </c>
      <c r="AD86" s="42">
        <v>220273004</v>
      </c>
      <c r="AE86" s="42">
        <v>0</v>
      </c>
      <c r="AF86" s="42">
        <v>3529577622</v>
      </c>
      <c r="AG86" s="42">
        <v>1281684</v>
      </c>
      <c r="AH86" s="42">
        <v>118439</v>
      </c>
      <c r="AI86" s="42">
        <v>27895010</v>
      </c>
      <c r="AJ86" s="42">
        <v>0</v>
      </c>
      <c r="AK86" s="42">
        <v>0</v>
      </c>
      <c r="AL86" s="42">
        <v>9571441</v>
      </c>
      <c r="AM86" s="42">
        <v>8121074</v>
      </c>
      <c r="AN86" s="42">
        <v>1666559</v>
      </c>
      <c r="AO86" s="42">
        <v>50087</v>
      </c>
      <c r="AP86" s="42">
        <v>0</v>
      </c>
      <c r="AQ86" s="42">
        <v>19576769</v>
      </c>
      <c r="AR86" s="42">
        <v>8199802</v>
      </c>
      <c r="AS86" s="42">
        <v>27776571</v>
      </c>
      <c r="AT86" s="42">
        <v>167608</v>
      </c>
      <c r="AU86" s="42">
        <v>4523</v>
      </c>
      <c r="AV86" s="42">
        <v>0</v>
      </c>
      <c r="AW86" s="42">
        <v>2123173744</v>
      </c>
      <c r="AX86" s="42">
        <v>478323061</v>
      </c>
      <c r="AY86" s="42">
        <v>1222678388</v>
      </c>
      <c r="AZ86" s="42">
        <v>220482695</v>
      </c>
      <c r="BA86" s="42">
        <v>60223410</v>
      </c>
      <c r="BB86" s="42">
        <v>7147114834</v>
      </c>
      <c r="BC86" s="42">
        <v>14345987627</v>
      </c>
      <c r="BD86" s="42">
        <v>809662851</v>
      </c>
      <c r="BE86" s="42">
        <v>1057704845</v>
      </c>
      <c r="BF86" s="42">
        <v>192206944</v>
      </c>
      <c r="BG86" s="42">
        <v>0</v>
      </c>
      <c r="BH86" s="42">
        <v>78656550</v>
      </c>
      <c r="BI86" s="42">
        <v>17634128</v>
      </c>
      <c r="BJ86" s="42">
        <v>7990887</v>
      </c>
      <c r="BK86" s="42">
        <v>0</v>
      </c>
      <c r="BL86" s="42">
        <v>0</v>
      </c>
      <c r="BM86" s="42">
        <v>70427239</v>
      </c>
      <c r="BN86" s="42">
        <v>202342801</v>
      </c>
      <c r="BO86" s="42">
        <v>5750613</v>
      </c>
      <c r="BP86" s="42">
        <v>59860912</v>
      </c>
      <c r="BQ86" s="42">
        <v>428488254</v>
      </c>
      <c r="BR86" s="42">
        <v>0</v>
      </c>
      <c r="BS86" s="42">
        <f>IFERROR(VLOOKUP(A86,'Trans 21-23'!$A$2:$J$229,9,0),0)</f>
        <v>3680574438</v>
      </c>
      <c r="BT86" s="67"/>
      <c r="BU86" s="32">
        <f t="shared" si="0"/>
        <v>7147114834</v>
      </c>
      <c r="BV86" s="32">
        <f t="shared" si="1"/>
        <v>4523</v>
      </c>
      <c r="BW86" s="32">
        <f t="shared" si="2"/>
        <v>1281684</v>
      </c>
      <c r="BX86" s="32">
        <f t="shared" si="3"/>
        <v>220318451</v>
      </c>
      <c r="BY86" s="32">
        <f t="shared" si="4"/>
        <v>392888503</v>
      </c>
      <c r="BZ86" s="32">
        <f t="shared" si="5"/>
        <v>220482695</v>
      </c>
      <c r="CA86" s="32">
        <f t="shared" si="6"/>
        <v>220273004</v>
      </c>
      <c r="CB86" s="32">
        <f t="shared" si="7"/>
        <v>118439</v>
      </c>
      <c r="CC86" s="32">
        <f t="shared" si="8"/>
        <v>19576769</v>
      </c>
      <c r="CD86" s="41">
        <f t="shared" si="64"/>
        <v>1</v>
      </c>
      <c r="CE86" s="44">
        <f t="shared" si="10"/>
        <v>12</v>
      </c>
      <c r="CF86" s="27"/>
      <c r="CG86" s="28">
        <f t="shared" si="11"/>
        <v>1580.1713097501658</v>
      </c>
      <c r="CH86" s="28">
        <f t="shared" si="12"/>
        <v>3.5289509738749958</v>
      </c>
      <c r="CI86" s="28">
        <f t="shared" si="13"/>
        <v>171.89763701505208</v>
      </c>
      <c r="CJ86" s="28">
        <f t="shared" si="14"/>
        <v>172.02578404661367</v>
      </c>
      <c r="CK86" s="23">
        <f t="shared" si="15"/>
        <v>6.049976888423212E-3</v>
      </c>
      <c r="CL86" s="29" t="str">
        <f t="shared" si="16"/>
        <v/>
      </c>
      <c r="CM86" s="29" t="str">
        <f t="shared" si="17"/>
        <v/>
      </c>
      <c r="CN86" s="29" t="str">
        <f t="shared" si="18"/>
        <v/>
      </c>
      <c r="CO86" s="29" t="str">
        <f t="shared" si="19"/>
        <v/>
      </c>
      <c r="CP86" s="29" t="str">
        <f t="shared" si="20"/>
        <v/>
      </c>
      <c r="CQ86" s="29">
        <f t="shared" si="21"/>
        <v>0</v>
      </c>
      <c r="CR86" s="13"/>
      <c r="CS86" s="7">
        <f>VLOOKUP(A86,'Empresas 21-23'!$A$2:$M$228,13,0)</f>
        <v>1</v>
      </c>
      <c r="CT86" s="30"/>
      <c r="CU86" s="6">
        <f t="shared" si="22"/>
        <v>9526382297.6000004</v>
      </c>
      <c r="CV86" s="6">
        <f t="shared" si="23"/>
        <v>220482695</v>
      </c>
      <c r="CW86" s="6">
        <f t="shared" si="24"/>
        <v>809662851</v>
      </c>
      <c r="CX86" s="23">
        <f t="shared" si="65"/>
        <v>0.70376431234055081</v>
      </c>
      <c r="CY86" s="23">
        <f t="shared" si="66"/>
        <v>1.6288224362857883E-2</v>
      </c>
      <c r="CZ86" s="6">
        <f t="shared" si="27"/>
        <v>10096194117.161705</v>
      </c>
      <c r="DA86" s="6">
        <f t="shared" si="28"/>
        <v>233670665.17535916</v>
      </c>
      <c r="DB86" s="6">
        <f t="shared" si="29"/>
        <v>220318451</v>
      </c>
      <c r="DC86" s="6">
        <f t="shared" si="30"/>
        <v>257692278</v>
      </c>
      <c r="DD86" s="6">
        <f t="shared" si="31"/>
        <v>392888503</v>
      </c>
      <c r="DE86" s="6">
        <f t="shared" si="32"/>
        <v>220273004</v>
      </c>
      <c r="DF86" s="6">
        <f t="shared" si="33"/>
        <v>176778675.93622229</v>
      </c>
      <c r="DG86" s="30"/>
      <c r="DH86" s="32">
        <f>VLOOKUP(A86,'T_med_comp-USA'!$A$7:$Q$233,17,0)</f>
        <v>5.9853501660456745</v>
      </c>
      <c r="DI86" s="6" t="str">
        <f t="shared" si="34"/>
        <v>1_2018</v>
      </c>
      <c r="DJ86" s="32">
        <f>IF(DI86="","",VLOOKUP(DI86,'CPI USA'!$T:$U,2,FALSE))</f>
        <v>247.86699999999999</v>
      </c>
      <c r="DK86" s="32">
        <f>IF(DI86="","",VLOOKUP(DI86,'PPI USA'!$S:$T,2,FALSE))</f>
        <v>203.5</v>
      </c>
      <c r="DL86" s="32">
        <f>IF(DI86="","",VLOOKUP(DI86,'CPI USA'!$T:$V,3,FALSE))</f>
        <v>0.66243304941135561</v>
      </c>
      <c r="DM86" s="32">
        <f>IF(DI86="","",VLOOKUP(DI86,'CPI USA'!$T:$X,5,FALSE))</f>
        <v>0.48966629901144693</v>
      </c>
      <c r="DN86" s="32">
        <f t="shared" si="35"/>
        <v>1.2732677101377043</v>
      </c>
      <c r="DO86" s="32">
        <f t="shared" si="36"/>
        <v>1.2762122370491569</v>
      </c>
      <c r="DP86" s="32">
        <f t="shared" si="37"/>
        <v>0.36715935808932565</v>
      </c>
      <c r="DQ86" s="32">
        <f>IF(DP86="","",DP86*$DO$1/'CPI USA'!$U$532+(1-DP86)*AVERAGE($DO$1,$DQ$1)/AVERAGE('CPI USA'!$U$532,'PPI USA'!$T$538))</f>
        <v>1.0388239878886727</v>
      </c>
      <c r="DR86" s="6">
        <f t="shared" si="38"/>
        <v>25625015</v>
      </c>
      <c r="DS86" s="32">
        <f t="shared" si="39"/>
        <v>0.2</v>
      </c>
      <c r="DT86" s="28">
        <f>IF(DS86="","",DS86*$DO$1/'CPI USA'!$U$532+(1-DS86)*AVERAGE($DO$1,$DQ$1)/AVERAGE('CPI USA'!$U$532,'PPI USA'!$T$538))</f>
        <v>1.0426818386380585</v>
      </c>
      <c r="DU86" s="6">
        <f t="shared" si="40"/>
        <v>72428791.781447887</v>
      </c>
      <c r="DV86" s="6">
        <f t="shared" si="41"/>
        <v>11436587.240948524</v>
      </c>
      <c r="DW86" s="6">
        <f t="shared" si="42"/>
        <v>43221764.898735724</v>
      </c>
      <c r="DX86" s="16">
        <f t="shared" si="43"/>
        <v>0.24449648505303406</v>
      </c>
      <c r="DY86" s="28">
        <f>IF(DX86="","",DX86*$DO$1/'CPI USA'!$U$532+(1-DX86)*AVERAGE($DO$1,$DQ$1)/AVERAGE('CPI USA'!$U$532,'PPI USA'!$T$538))</f>
        <v>1.041654909603579</v>
      </c>
      <c r="DZ86" s="30"/>
      <c r="EA86" s="29" t="str">
        <f t="shared" si="44"/>
        <v>C001016</v>
      </c>
      <c r="EB86" s="29">
        <f t="shared" si="45"/>
        <v>12855157964.664246</v>
      </c>
      <c r="EC86" s="29">
        <f t="shared" si="46"/>
        <v>298213362.33620965</v>
      </c>
      <c r="ED86" s="29">
        <f t="shared" si="47"/>
        <v>267696919.88007647</v>
      </c>
      <c r="EE86" s="29">
        <f t="shared" si="48"/>
        <v>409657706.68779439</v>
      </c>
      <c r="EF86" s="29">
        <f t="shared" si="49"/>
        <v>184142375.70218602</v>
      </c>
      <c r="EG86" s="29">
        <f t="shared" si="50"/>
        <v>4523</v>
      </c>
      <c r="EH86" s="29">
        <f t="shared" si="51"/>
        <v>1281684</v>
      </c>
      <c r="EI86" s="29">
        <f t="shared" si="52"/>
        <v>118439</v>
      </c>
      <c r="EJ86" s="29">
        <f t="shared" si="53"/>
        <v>19576769</v>
      </c>
      <c r="EK86" s="29">
        <f t="shared" si="54"/>
        <v>19570337.918781728</v>
      </c>
      <c r="EL86" s="29">
        <f>IF(CD86=1,VLOOKUP(EA86,'EIA 2023'!$A$2:$J$213,4,0)*EH86,"")</f>
        <v>96895310.399999991</v>
      </c>
      <c r="EM86" s="29">
        <f>IF(CD86=1,VLOOKUP(EA86,'EIA 2023'!$A$2:$J$213,7,0)*EH86,"")</f>
        <v>1133008.656</v>
      </c>
      <c r="EN86" s="29">
        <f>IF(CD86=1,VLOOKUP(EA86,'EIA 2023'!$A$2:$J$213,10,0),"")</f>
        <v>1307812</v>
      </c>
      <c r="EO86" s="28">
        <f>IF(CD86=1,VLOOKUP(EA86,'EIA 2023'!$A$2:$Z$213,26,0),"")</f>
        <v>0</v>
      </c>
      <c r="EP86" s="23">
        <f t="shared" si="55"/>
        <v>-3.2861370329749783E-4</v>
      </c>
      <c r="EQ86" s="32">
        <f t="shared" si="56"/>
        <v>124870.08121827431</v>
      </c>
      <c r="ER86" s="32">
        <f t="shared" si="57"/>
        <v>-6431.0812182743102</v>
      </c>
      <c r="ES86" s="32"/>
      <c r="ET86" s="32"/>
    </row>
    <row r="87" spans="1:150" ht="15.75" customHeight="1">
      <c r="A87" s="7" t="s">
        <v>465</v>
      </c>
      <c r="B87" s="7" t="s">
        <v>466</v>
      </c>
      <c r="C87" s="32" t="s">
        <v>1172</v>
      </c>
      <c r="D87" s="42">
        <v>0</v>
      </c>
      <c r="E87" s="42">
        <v>0</v>
      </c>
      <c r="F87" s="42">
        <v>0</v>
      </c>
      <c r="G87" s="42">
        <v>630042425</v>
      </c>
      <c r="H87" s="42">
        <v>630149633</v>
      </c>
      <c r="I87" s="42">
        <v>8538000</v>
      </c>
      <c r="J87" s="42">
        <v>1954379</v>
      </c>
      <c r="K87" s="42">
        <v>2101827</v>
      </c>
      <c r="L87" s="42">
        <v>211463</v>
      </c>
      <c r="M87" s="42">
        <v>559148</v>
      </c>
      <c r="N87" s="42">
        <v>3920</v>
      </c>
      <c r="O87" s="42">
        <v>4117070</v>
      </c>
      <c r="P87" s="42">
        <v>1109405</v>
      </c>
      <c r="Q87" s="42">
        <v>76966</v>
      </c>
      <c r="R87" s="42">
        <v>552146</v>
      </c>
      <c r="S87" s="42">
        <v>1560823</v>
      </c>
      <c r="T87" s="42">
        <v>79957072</v>
      </c>
      <c r="U87" s="42">
        <v>1945847</v>
      </c>
      <c r="V87" s="42">
        <v>1203206</v>
      </c>
      <c r="W87" s="42">
        <v>2</v>
      </c>
      <c r="X87" s="42">
        <f>IFERROR(VLOOKUP(A87,'Trans 21-23'!$A$2:$J$229,10,0),0)</f>
        <v>11271955</v>
      </c>
      <c r="Y87" s="42">
        <v>993976</v>
      </c>
      <c r="Z87" s="42">
        <v>392751</v>
      </c>
      <c r="AA87" s="42">
        <v>36336931</v>
      </c>
      <c r="AB87" s="42">
        <v>40451694</v>
      </c>
      <c r="AC87" s="42">
        <v>67</v>
      </c>
      <c r="AD87" s="42">
        <v>89876567</v>
      </c>
      <c r="AE87" s="42">
        <v>0</v>
      </c>
      <c r="AF87" s="42">
        <v>903871138</v>
      </c>
      <c r="AG87" s="42">
        <v>537247</v>
      </c>
      <c r="AH87" s="42">
        <v>308658</v>
      </c>
      <c r="AI87" s="42">
        <v>8658238</v>
      </c>
      <c r="AJ87" s="42">
        <v>0</v>
      </c>
      <c r="AK87" s="42">
        <v>0</v>
      </c>
      <c r="AL87" s="42">
        <v>3271923</v>
      </c>
      <c r="AM87" s="42">
        <v>2966427</v>
      </c>
      <c r="AN87" s="42">
        <v>1341354</v>
      </c>
      <c r="AO87" s="42">
        <v>9882</v>
      </c>
      <c r="AP87" s="42">
        <v>0</v>
      </c>
      <c r="AQ87" s="42">
        <v>7589586</v>
      </c>
      <c r="AR87" s="42">
        <v>759994</v>
      </c>
      <c r="AS87" s="42">
        <v>8349580</v>
      </c>
      <c r="AT87" s="42">
        <v>0</v>
      </c>
      <c r="AU87" s="42">
        <v>1613</v>
      </c>
      <c r="AV87" s="42">
        <v>0</v>
      </c>
      <c r="AW87" s="42">
        <v>723497027</v>
      </c>
      <c r="AX87" s="42">
        <v>58204860</v>
      </c>
      <c r="AY87" s="42">
        <v>166198812</v>
      </c>
      <c r="AZ87" s="42">
        <v>82415103</v>
      </c>
      <c r="BA87" s="42">
        <v>5493940</v>
      </c>
      <c r="BB87" s="42">
        <v>2434722779</v>
      </c>
      <c r="BC87" s="42">
        <v>5231429951</v>
      </c>
      <c r="BD87" s="42">
        <v>497767749</v>
      </c>
      <c r="BE87" s="42">
        <v>568392374</v>
      </c>
      <c r="BF87" s="42">
        <v>76794735</v>
      </c>
      <c r="BG87" s="42">
        <v>0</v>
      </c>
      <c r="BH87" s="42">
        <v>31223147</v>
      </c>
      <c r="BI87" s="42">
        <v>8533464</v>
      </c>
      <c r="BJ87" s="42">
        <v>2495776</v>
      </c>
      <c r="BK87" s="42">
        <v>0</v>
      </c>
      <c r="BL87" s="42">
        <v>0</v>
      </c>
      <c r="BM87" s="42">
        <v>33204427</v>
      </c>
      <c r="BN87" s="42">
        <v>81925006</v>
      </c>
      <c r="BO87" s="42">
        <v>1875783</v>
      </c>
      <c r="BP87" s="42">
        <v>34789640</v>
      </c>
      <c r="BQ87" s="42">
        <v>192281351</v>
      </c>
      <c r="BR87" s="42">
        <v>0</v>
      </c>
      <c r="BS87" s="42">
        <f>IFERROR(VLOOKUP(A87,'Trans 21-23'!$A$2:$J$229,9,0),0)</f>
        <v>1110062155</v>
      </c>
      <c r="BT87" s="67"/>
      <c r="BU87" s="32">
        <f t="shared" si="0"/>
        <v>2434722779</v>
      </c>
      <c r="BV87" s="32">
        <f t="shared" si="1"/>
        <v>1613</v>
      </c>
      <c r="BW87" s="32">
        <f t="shared" si="2"/>
        <v>537247</v>
      </c>
      <c r="BX87" s="32">
        <f t="shared" si="3"/>
        <v>103891274</v>
      </c>
      <c r="BY87" s="32">
        <f t="shared" si="4"/>
        <v>78175419</v>
      </c>
      <c r="BZ87" s="32">
        <f t="shared" si="5"/>
        <v>82415103</v>
      </c>
      <c r="CA87" s="32">
        <f t="shared" si="6"/>
        <v>89876567</v>
      </c>
      <c r="CB87" s="32">
        <f t="shared" si="7"/>
        <v>308658</v>
      </c>
      <c r="CC87" s="32">
        <f t="shared" si="8"/>
        <v>7589586</v>
      </c>
      <c r="CD87" s="41">
        <f t="shared" si="64"/>
        <v>1</v>
      </c>
      <c r="CE87" s="44">
        <f t="shared" si="10"/>
        <v>13</v>
      </c>
      <c r="CF87" s="27"/>
      <c r="CG87" s="28">
        <f t="shared" si="11"/>
        <v>1509.4375567265963</v>
      </c>
      <c r="CH87" s="28">
        <f t="shared" si="12"/>
        <v>3.0023434286278006</v>
      </c>
      <c r="CI87" s="28">
        <f t="shared" si="13"/>
        <v>193.37711332031634</v>
      </c>
      <c r="CJ87" s="28">
        <f t="shared" si="14"/>
        <v>153.40263044744782</v>
      </c>
      <c r="CK87" s="23">
        <f t="shared" si="15"/>
        <v>4.0668621450498092E-2</v>
      </c>
      <c r="CL87" s="29" t="str">
        <f t="shared" si="16"/>
        <v/>
      </c>
      <c r="CM87" s="29" t="str">
        <f t="shared" si="17"/>
        <v/>
      </c>
      <c r="CN87" s="29" t="str">
        <f t="shared" si="18"/>
        <v/>
      </c>
      <c r="CO87" s="29" t="str">
        <f t="shared" si="19"/>
        <v/>
      </c>
      <c r="CP87" s="29" t="str">
        <f t="shared" si="20"/>
        <v/>
      </c>
      <c r="CQ87" s="29">
        <f t="shared" si="21"/>
        <v>0</v>
      </c>
      <c r="CR87" s="13"/>
      <c r="CS87" s="7">
        <f>VLOOKUP(A87,'Empresas 21-23'!$A$2:$M$228,13,0)</f>
        <v>1</v>
      </c>
      <c r="CT87" s="30"/>
      <c r="CU87" s="6">
        <f t="shared" si="22"/>
        <v>3322233687.8000002</v>
      </c>
      <c r="CV87" s="6">
        <f t="shared" si="23"/>
        <v>82415103</v>
      </c>
      <c r="CW87" s="6">
        <f t="shared" si="24"/>
        <v>497767749</v>
      </c>
      <c r="CX87" s="23">
        <f t="shared" si="65"/>
        <v>0.70183159381257432</v>
      </c>
      <c r="CY87" s="23">
        <f t="shared" si="66"/>
        <v>1.7410431814331648E-2</v>
      </c>
      <c r="CZ87" s="6">
        <f t="shared" si="27"/>
        <v>3671582820.4291677</v>
      </c>
      <c r="DA87" s="6">
        <f t="shared" si="28"/>
        <v>91081454.453337848</v>
      </c>
      <c r="DB87" s="6">
        <f t="shared" si="29"/>
        <v>103891274</v>
      </c>
      <c r="DC87" s="6">
        <f t="shared" si="30"/>
        <v>115163229</v>
      </c>
      <c r="DD87" s="6">
        <f t="shared" si="31"/>
        <v>78175419</v>
      </c>
      <c r="DE87" s="6">
        <f t="shared" si="32"/>
        <v>89876567</v>
      </c>
      <c r="DF87" s="6">
        <f t="shared" si="33"/>
        <v>94517772.094771609</v>
      </c>
      <c r="DG87" s="30"/>
      <c r="DH87" s="32">
        <f>VLOOKUP(A87,'T_med_comp-USA'!$A$7:$Q$233,17,0)</f>
        <v>7.4830434765538998</v>
      </c>
      <c r="DI87" s="6" t="str">
        <f t="shared" si="34"/>
        <v>7_2016</v>
      </c>
      <c r="DJ87" s="32">
        <f>IF(DI87="","",VLOOKUP(DI87,'CPI USA'!$T:$U,2,FALSE))</f>
        <v>240.62799999999999</v>
      </c>
      <c r="DK87" s="32">
        <f>IF(DI87="","",VLOOKUP(DI87,'PPI USA'!$S:$T,2,FALSE))</f>
        <v>188.3</v>
      </c>
      <c r="DL87" s="32">
        <f>IF(DI87="","",VLOOKUP(DI87,'CPI USA'!$T:$V,3,FALSE))</f>
        <v>0.67131212484522451</v>
      </c>
      <c r="DM87" s="32">
        <f>IF(DI87="","",VLOOKUP(DI87,'CPI USA'!$T:$X,5,FALSE))</f>
        <v>0.49965731919331663</v>
      </c>
      <c r="DN87" s="32">
        <f t="shared" si="35"/>
        <v>1.3208026060159446</v>
      </c>
      <c r="DO87" s="32">
        <f t="shared" si="36"/>
        <v>1.3287180000631127</v>
      </c>
      <c r="DP87" s="32">
        <f t="shared" si="37"/>
        <v>0.30741795378215436</v>
      </c>
      <c r="DQ87" s="32">
        <f>IF(DP87="","",DP87*$DO$1/'CPI USA'!$U$532+(1-DP87)*AVERAGE($DO$1,$DQ$1)/AVERAGE('CPI USA'!$U$532,'PPI USA'!$T$538))</f>
        <v>1.0402027525836925</v>
      </c>
      <c r="DR87" s="6">
        <f t="shared" si="38"/>
        <v>11029240</v>
      </c>
      <c r="DS87" s="32">
        <f t="shared" si="39"/>
        <v>0.2</v>
      </c>
      <c r="DT87" s="28">
        <f>IF(DS87="","",DS87*$DO$1/'CPI USA'!$U$532+(1-DS87)*AVERAGE($DO$1,$DQ$1)/AVERAGE('CPI USA'!$U$532,'PPI USA'!$T$538))</f>
        <v>1.0426818386380585</v>
      </c>
      <c r="DU87" s="6">
        <f t="shared" si="40"/>
        <v>33964686.934449576</v>
      </c>
      <c r="DV87" s="6">
        <f t="shared" si="41"/>
        <v>7334799.1103879744</v>
      </c>
      <c r="DW87" s="6">
        <f t="shared" si="42"/>
        <v>21299990.716724213</v>
      </c>
      <c r="DX87" s="16">
        <f t="shared" si="43"/>
        <v>0.22535434600983845</v>
      </c>
      <c r="DY87" s="28">
        <f>IF(DX87="","",DX87*$DO$1/'CPI USA'!$U$532+(1-DX87)*AVERAGE($DO$1,$DQ$1)/AVERAGE('CPI USA'!$U$532,'PPI USA'!$T$538))</f>
        <v>1.0420966887315724</v>
      </c>
      <c r="DZ87" s="30"/>
      <c r="EA87" s="29" t="str">
        <f t="shared" si="44"/>
        <v>C001017</v>
      </c>
      <c r="EB87" s="29">
        <f t="shared" si="45"/>
        <v>4849436157.4262171</v>
      </c>
      <c r="EC87" s="29">
        <f t="shared" si="46"/>
        <v>121021568.00407855</v>
      </c>
      <c r="ED87" s="29">
        <f t="shared" si="47"/>
        <v>119793107.80222613</v>
      </c>
      <c r="EE87" s="29">
        <f t="shared" si="48"/>
        <v>81512089.619220614</v>
      </c>
      <c r="EF87" s="29">
        <f t="shared" si="49"/>
        <v>98496657.326246902</v>
      </c>
      <c r="EG87" s="29">
        <f t="shared" si="50"/>
        <v>1613</v>
      </c>
      <c r="EH87" s="29">
        <f t="shared" si="51"/>
        <v>537247</v>
      </c>
      <c r="EI87" s="29">
        <f t="shared" si="52"/>
        <v>308658</v>
      </c>
      <c r="EJ87" s="29">
        <f t="shared" si="53"/>
        <v>7589586</v>
      </c>
      <c r="EK87" s="29">
        <f t="shared" si="54"/>
        <v>7886670.4873096449</v>
      </c>
      <c r="EL87" s="29">
        <f>IF(CD87=1,VLOOKUP(EA87,'EIA 2023'!$A$2:$J$213,4,0)*EH87,"")</f>
        <v>44967573.899999999</v>
      </c>
      <c r="EM87" s="29">
        <f>IF(CD87=1,VLOOKUP(EA87,'EIA 2023'!$A$2:$J$213,7,0)*EH87,"")</f>
        <v>808019.48800000001</v>
      </c>
      <c r="EN87" s="29">
        <f>IF(CD87=1,VLOOKUP(EA87,'EIA 2023'!$A$2:$J$213,10,0),"")</f>
        <v>577958</v>
      </c>
      <c r="EO87" s="28">
        <f>IF(CD87=1,VLOOKUP(EA87,'EIA 2023'!$A$2:$Z$213,26,0),"")</f>
        <v>0</v>
      </c>
      <c r="EP87" s="23">
        <f t="shared" si="55"/>
        <v>3.7669189778840144E-2</v>
      </c>
      <c r="EQ87" s="32">
        <f t="shared" si="56"/>
        <v>11573.512690355303</v>
      </c>
      <c r="ER87" s="32">
        <f t="shared" si="57"/>
        <v>297084.4873096447</v>
      </c>
      <c r="ES87" s="32"/>
      <c r="ET87" s="32"/>
    </row>
    <row r="88" spans="1:150" ht="15.75" customHeight="1">
      <c r="A88" s="7" t="s">
        <v>468</v>
      </c>
      <c r="B88" s="7" t="s">
        <v>469</v>
      </c>
      <c r="C88" s="32" t="s">
        <v>1173</v>
      </c>
      <c r="D88" s="42">
        <v>0</v>
      </c>
      <c r="E88" s="42">
        <v>0</v>
      </c>
      <c r="F88" s="42">
        <v>211590</v>
      </c>
      <c r="G88" s="42">
        <v>292294436</v>
      </c>
      <c r="H88" s="42">
        <v>295971101</v>
      </c>
      <c r="I88" s="42">
        <v>3956490</v>
      </c>
      <c r="J88" s="42">
        <v>351240</v>
      </c>
      <c r="K88" s="42">
        <v>0</v>
      </c>
      <c r="L88" s="42">
        <v>22098198</v>
      </c>
      <c r="M88" s="42">
        <v>1408091</v>
      </c>
      <c r="N88" s="42">
        <v>1377855</v>
      </c>
      <c r="O88" s="42">
        <v>10708332</v>
      </c>
      <c r="P88" s="42">
        <v>602878</v>
      </c>
      <c r="Q88" s="42">
        <v>3775</v>
      </c>
      <c r="R88" s="42">
        <v>0</v>
      </c>
      <c r="S88" s="42">
        <v>768341</v>
      </c>
      <c r="T88" s="42">
        <v>41288393</v>
      </c>
      <c r="U88" s="42">
        <v>1139661</v>
      </c>
      <c r="V88" s="42">
        <v>0</v>
      </c>
      <c r="W88" s="42">
        <v>231</v>
      </c>
      <c r="X88" s="42">
        <f>IFERROR(VLOOKUP(A88,'Trans 21-23'!$A$2:$J$229,10,0),0)</f>
        <v>2750896</v>
      </c>
      <c r="Y88" s="42">
        <v>2362778</v>
      </c>
      <c r="Z88" s="42">
        <v>0</v>
      </c>
      <c r="AA88" s="42">
        <v>31053462</v>
      </c>
      <c r="AB88" s="42">
        <v>62371118</v>
      </c>
      <c r="AC88" s="42">
        <v>0</v>
      </c>
      <c r="AD88" s="42">
        <v>77857901</v>
      </c>
      <c r="AE88" s="42">
        <v>0</v>
      </c>
      <c r="AF88" s="42">
        <v>569881630</v>
      </c>
      <c r="AG88" s="42">
        <v>282134</v>
      </c>
      <c r="AH88" s="42">
        <v>237475</v>
      </c>
      <c r="AI88" s="42">
        <v>3132713</v>
      </c>
      <c r="AJ88" s="42">
        <v>0</v>
      </c>
      <c r="AK88" s="42">
        <v>0</v>
      </c>
      <c r="AL88" s="42">
        <v>1866092</v>
      </c>
      <c r="AM88" s="42">
        <v>777296</v>
      </c>
      <c r="AN88" s="42">
        <v>52609</v>
      </c>
      <c r="AO88" s="42">
        <v>10971</v>
      </c>
      <c r="AP88" s="42">
        <v>162026</v>
      </c>
      <c r="AQ88" s="42">
        <v>2869805</v>
      </c>
      <c r="AR88" s="42">
        <v>25433</v>
      </c>
      <c r="AS88" s="42">
        <v>2895238</v>
      </c>
      <c r="AT88" s="42">
        <v>0</v>
      </c>
      <c r="AU88" s="42">
        <v>1046</v>
      </c>
      <c r="AV88" s="42">
        <v>0</v>
      </c>
      <c r="AW88" s="42">
        <v>288125993</v>
      </c>
      <c r="AX88" s="42">
        <v>50149827</v>
      </c>
      <c r="AY88" s="42">
        <v>82242372</v>
      </c>
      <c r="AZ88" s="42">
        <v>53420780</v>
      </c>
      <c r="BA88" s="42">
        <v>17266415</v>
      </c>
      <c r="BB88" s="42">
        <v>1308243294</v>
      </c>
      <c r="BC88" s="42">
        <v>1884303494</v>
      </c>
      <c r="BD88" s="42">
        <v>4408159</v>
      </c>
      <c r="BE88" s="42">
        <v>301392617</v>
      </c>
      <c r="BF88" s="42">
        <v>29642116</v>
      </c>
      <c r="BG88" s="42">
        <v>0</v>
      </c>
      <c r="BH88" s="42">
        <v>28876247</v>
      </c>
      <c r="BI88" s="42">
        <v>8765268</v>
      </c>
      <c r="BJ88" s="42">
        <v>982567</v>
      </c>
      <c r="BK88" s="42">
        <v>0</v>
      </c>
      <c r="BL88" s="42">
        <v>0</v>
      </c>
      <c r="BM88" s="42">
        <v>33158861</v>
      </c>
      <c r="BN88" s="42">
        <v>80613577</v>
      </c>
      <c r="BO88" s="42">
        <v>3535478</v>
      </c>
      <c r="BP88" s="42">
        <v>7154734</v>
      </c>
      <c r="BQ88" s="42">
        <v>156251703</v>
      </c>
      <c r="BR88" s="42">
        <v>811</v>
      </c>
      <c r="BS88" s="42">
        <f>IFERROR(VLOOKUP(A88,'Trans 21-23'!$A$2:$J$229,9,0),0)</f>
        <v>270908228</v>
      </c>
      <c r="BT88" s="67"/>
      <c r="BU88" s="32">
        <f t="shared" si="0"/>
        <v>1308243294</v>
      </c>
      <c r="BV88" s="32">
        <f t="shared" si="1"/>
        <v>1046</v>
      </c>
      <c r="BW88" s="32">
        <f t="shared" si="2"/>
        <v>282134</v>
      </c>
      <c r="BX88" s="32">
        <f t="shared" si="3"/>
        <v>83703485</v>
      </c>
      <c r="BY88" s="32">
        <f t="shared" si="4"/>
        <v>95787358</v>
      </c>
      <c r="BZ88" s="32">
        <f t="shared" si="5"/>
        <v>53420780</v>
      </c>
      <c r="CA88" s="32">
        <f t="shared" si="6"/>
        <v>77857901</v>
      </c>
      <c r="CB88" s="32">
        <f t="shared" si="7"/>
        <v>237475</v>
      </c>
      <c r="CC88" s="32">
        <f t="shared" si="8"/>
        <v>2869805</v>
      </c>
      <c r="CD88" s="41">
        <f t="shared" si="64"/>
        <v>1</v>
      </c>
      <c r="CE88" s="44">
        <f t="shared" si="10"/>
        <v>15</v>
      </c>
      <c r="CF88" s="27"/>
      <c r="CG88" s="28">
        <f t="shared" si="11"/>
        <v>1250.7106061185468</v>
      </c>
      <c r="CH88" s="28">
        <f t="shared" si="12"/>
        <v>3.7074581581801556</v>
      </c>
      <c r="CI88" s="28">
        <f t="shared" si="13"/>
        <v>296.67989324221821</v>
      </c>
      <c r="CJ88" s="28">
        <f t="shared" si="14"/>
        <v>189.34541742576224</v>
      </c>
      <c r="CK88" s="23">
        <f t="shared" si="15"/>
        <v>8.2749524793496426E-2</v>
      </c>
      <c r="CL88" s="29" t="str">
        <f t="shared" si="16"/>
        <v/>
      </c>
      <c r="CM88" s="29" t="str">
        <f t="shared" si="17"/>
        <v/>
      </c>
      <c r="CN88" s="29" t="str">
        <f t="shared" si="18"/>
        <v/>
      </c>
      <c r="CO88" s="29" t="str">
        <f t="shared" si="19"/>
        <v/>
      </c>
      <c r="CP88" s="29" t="str">
        <f t="shared" si="20"/>
        <v/>
      </c>
      <c r="CQ88" s="29">
        <f t="shared" si="21"/>
        <v>0</v>
      </c>
      <c r="CR88" s="13"/>
      <c r="CS88" s="7">
        <f>VLOOKUP(A88,'Empresas 21-23'!$A$2:$M$228,13,0)</f>
        <v>1</v>
      </c>
      <c r="CT88" s="30"/>
      <c r="CU88" s="6">
        <f t="shared" si="22"/>
        <v>1429029007.5999999</v>
      </c>
      <c r="CV88" s="6">
        <f t="shared" si="23"/>
        <v>53420780</v>
      </c>
      <c r="CW88" s="6">
        <f t="shared" si="24"/>
        <v>4408159</v>
      </c>
      <c r="CX88" s="23">
        <f t="shared" si="65"/>
        <v>0.76016413307392983</v>
      </c>
      <c r="CY88" s="23">
        <f t="shared" si="66"/>
        <v>2.8416890560558787E-2</v>
      </c>
      <c r="CZ88" s="6">
        <f t="shared" si="27"/>
        <v>1432379931.9646869</v>
      </c>
      <c r="DA88" s="6">
        <f t="shared" si="28"/>
        <v>53546046.171876542</v>
      </c>
      <c r="DB88" s="6">
        <f t="shared" si="29"/>
        <v>83703485</v>
      </c>
      <c r="DC88" s="6">
        <f t="shared" si="30"/>
        <v>86454381</v>
      </c>
      <c r="DD88" s="6">
        <f t="shared" si="31"/>
        <v>95787358</v>
      </c>
      <c r="DE88" s="6">
        <f t="shared" si="32"/>
        <v>77857901</v>
      </c>
      <c r="DF88" s="6">
        <f t="shared" si="33"/>
        <v>72451409.663840935</v>
      </c>
      <c r="DG88" s="30"/>
      <c r="DH88" s="32">
        <f>VLOOKUP(A88,'T_med_comp-USA'!$A$7:$Q$233,17,0)</f>
        <v>10.161743848381088</v>
      </c>
      <c r="DI88" s="6" t="str">
        <f t="shared" si="34"/>
        <v>11_2013</v>
      </c>
      <c r="DJ88" s="32">
        <f>IF(DI88="","",VLOOKUP(DI88,'CPI USA'!$T:$U,2,FALSE))</f>
        <v>233.06899999999999</v>
      </c>
      <c r="DK88" s="32">
        <f>IF(DI88="","",VLOOKUP(DI88,'PPI USA'!$S:$T,2,FALSE))</f>
        <v>166</v>
      </c>
      <c r="DL88" s="32">
        <f>IF(DI88="","",VLOOKUP(DI88,'CPI USA'!$T:$V,3,FALSE))</f>
        <v>0.67305131835944076</v>
      </c>
      <c r="DM88" s="32">
        <f>IF(DI88="","",VLOOKUP(DI88,'CPI USA'!$T:$X,5,FALSE))</f>
        <v>0.50163050295255052</v>
      </c>
      <c r="DN88" s="32">
        <f t="shared" si="35"/>
        <v>1.3822908196671626</v>
      </c>
      <c r="DO88" s="32">
        <f t="shared" si="36"/>
        <v>1.400274192630873</v>
      </c>
      <c r="DP88" s="32">
        <f t="shared" si="37"/>
        <v>0.36011255154973171</v>
      </c>
      <c r="DQ88" s="32">
        <f>IF(DP88="","",DP88*$DO$1/'CPI USA'!$U$532+(1-DP88)*AVERAGE($DO$1,$DQ$1)/AVERAGE('CPI USA'!$U$532,'PPI USA'!$T$538))</f>
        <v>1.0389866202904736</v>
      </c>
      <c r="DR88" s="6">
        <f t="shared" si="38"/>
        <v>9747835</v>
      </c>
      <c r="DS88" s="32">
        <f t="shared" si="39"/>
        <v>0.2</v>
      </c>
      <c r="DT88" s="28">
        <f>IF(DS88="","",DS88*$DO$1/'CPI USA'!$U$532+(1-DS88)*AVERAGE($DO$1,$DQ$1)/AVERAGE('CPI USA'!$U$532,'PPI USA'!$T$538))</f>
        <v>1.0426818386380585</v>
      </c>
      <c r="DU88" s="6">
        <f t="shared" si="40"/>
        <v>34613112.6029348</v>
      </c>
      <c r="DV88" s="6">
        <f t="shared" si="41"/>
        <v>1591198.2100586765</v>
      </c>
      <c r="DW88" s="6">
        <f t="shared" si="42"/>
        <v>17346436.191443864</v>
      </c>
      <c r="DX88" s="16">
        <f t="shared" si="43"/>
        <v>0.23942165199997659</v>
      </c>
      <c r="DY88" s="28">
        <f>IF(DX88="","",DX88*$DO$1/'CPI USA'!$U$532+(1-DX88)*AVERAGE($DO$1,$DQ$1)/AVERAGE('CPI USA'!$U$532,'PPI USA'!$T$538))</f>
        <v>1.0417720310661194</v>
      </c>
      <c r="DZ88" s="30"/>
      <c r="EA88" s="29" t="str">
        <f t="shared" si="44"/>
        <v>C001025</v>
      </c>
      <c r="EB88" s="29">
        <f t="shared" si="45"/>
        <v>1979965630.2302616</v>
      </c>
      <c r="EC88" s="29">
        <f t="shared" si="46"/>
        <v>74979146.571899876</v>
      </c>
      <c r="ED88" s="29">
        <f t="shared" si="47"/>
        <v>89824945.12449494</v>
      </c>
      <c r="EE88" s="29">
        <f t="shared" si="48"/>
        <v>99875738.557721943</v>
      </c>
      <c r="EF88" s="29">
        <f t="shared" si="49"/>
        <v>75477852.199103042</v>
      </c>
      <c r="EG88" s="29">
        <f t="shared" si="50"/>
        <v>1046</v>
      </c>
      <c r="EH88" s="29">
        <f t="shared" si="51"/>
        <v>282134</v>
      </c>
      <c r="EI88" s="29">
        <f t="shared" si="52"/>
        <v>237475</v>
      </c>
      <c r="EJ88" s="29">
        <f t="shared" si="53"/>
        <v>2869805</v>
      </c>
      <c r="EK88" s="29">
        <f t="shared" si="54"/>
        <v>3106892.6954314723</v>
      </c>
      <c r="EL88" s="29">
        <f>IF(CD88=1,VLOOKUP(EA88,'EIA 2023'!$A$2:$J$213,4,0)*EH88,"")</f>
        <v>42489380.399999999</v>
      </c>
      <c r="EM88" s="29">
        <f>IF(CD88=1,VLOOKUP(EA88,'EIA 2023'!$A$2:$J$213,7,0)*EH88,"")</f>
        <v>423201</v>
      </c>
      <c r="EN88" s="29">
        <f>IF(CD88=1,VLOOKUP(EA88,'EIA 2023'!$A$2:$J$213,10,0),"")</f>
        <v>165121</v>
      </c>
      <c r="EO88" s="28">
        <f>IF(CD88=1,VLOOKUP(EA88,'EIA 2023'!$A$2:$Z$213,26,0),"")</f>
        <v>0</v>
      </c>
      <c r="EP88" s="23">
        <f t="shared" si="55"/>
        <v>7.6310229761104242E-2</v>
      </c>
      <c r="EQ88" s="32">
        <f t="shared" si="56"/>
        <v>387.30456852791758</v>
      </c>
      <c r="ER88" s="32">
        <f t="shared" si="57"/>
        <v>237087.69543147209</v>
      </c>
      <c r="ES88" s="32"/>
      <c r="ET88" s="32"/>
    </row>
    <row r="89" spans="1:150" ht="15.75" customHeight="1">
      <c r="A89" s="7" t="s">
        <v>471</v>
      </c>
      <c r="B89" s="7" t="s">
        <v>472</v>
      </c>
      <c r="C89" s="32" t="s">
        <v>1174</v>
      </c>
      <c r="D89" s="42">
        <v>136179625</v>
      </c>
      <c r="E89" s="42">
        <v>150879436</v>
      </c>
      <c r="F89" s="42">
        <v>3028730392</v>
      </c>
      <c r="G89" s="42">
        <v>202583138</v>
      </c>
      <c r="H89" s="42">
        <v>1504099706</v>
      </c>
      <c r="I89" s="42">
        <v>17032302</v>
      </c>
      <c r="J89" s="42">
        <v>4981044</v>
      </c>
      <c r="K89" s="42">
        <v>4347618</v>
      </c>
      <c r="L89" s="42">
        <v>12642119</v>
      </c>
      <c r="M89" s="42">
        <v>6598904</v>
      </c>
      <c r="N89" s="42">
        <v>730127</v>
      </c>
      <c r="O89" s="42">
        <v>35008885</v>
      </c>
      <c r="P89" s="42">
        <v>2375501</v>
      </c>
      <c r="Q89" s="42">
        <v>18733473</v>
      </c>
      <c r="R89" s="42">
        <v>3067249</v>
      </c>
      <c r="S89" s="42">
        <v>9480992</v>
      </c>
      <c r="T89" s="42">
        <v>144340483</v>
      </c>
      <c r="U89" s="42">
        <v>16132369</v>
      </c>
      <c r="V89" s="42">
        <v>201355</v>
      </c>
      <c r="W89" s="42">
        <v>10951186</v>
      </c>
      <c r="X89" s="42">
        <f>IFERROR(VLOOKUP(A89,'Trans 21-23'!$A$2:$J$229,10,0),0)</f>
        <v>0</v>
      </c>
      <c r="Y89" s="42">
        <v>756028</v>
      </c>
      <c r="Z89" s="42">
        <v>5433549</v>
      </c>
      <c r="AA89" s="42">
        <v>116336833</v>
      </c>
      <c r="AB89" s="42">
        <v>46642418</v>
      </c>
      <c r="AC89" s="42">
        <v>6441799</v>
      </c>
      <c r="AD89" s="42">
        <v>547157586</v>
      </c>
      <c r="AE89" s="42">
        <v>0</v>
      </c>
      <c r="AF89" s="42">
        <v>6481653476</v>
      </c>
      <c r="AG89" s="42">
        <v>5845161</v>
      </c>
      <c r="AH89" s="42">
        <v>10323742</v>
      </c>
      <c r="AI89" s="42">
        <v>151160730</v>
      </c>
      <c r="AJ89" s="42">
        <v>150875</v>
      </c>
      <c r="AK89" s="42">
        <v>0</v>
      </c>
      <c r="AL89" s="42">
        <v>70206313</v>
      </c>
      <c r="AM89" s="42">
        <v>52507124</v>
      </c>
      <c r="AN89" s="42">
        <v>4617412</v>
      </c>
      <c r="AO89" s="42">
        <v>419524</v>
      </c>
      <c r="AP89" s="42">
        <v>85951</v>
      </c>
      <c r="AQ89" s="42">
        <v>127903793</v>
      </c>
      <c r="AR89" s="42">
        <v>12782320</v>
      </c>
      <c r="AS89" s="42">
        <v>140686113</v>
      </c>
      <c r="AT89" s="42">
        <v>67469</v>
      </c>
      <c r="AU89" s="42">
        <v>28461</v>
      </c>
      <c r="AV89" s="42">
        <v>0</v>
      </c>
      <c r="AW89" s="42">
        <v>4777588050</v>
      </c>
      <c r="AX89" s="42">
        <v>3244060089</v>
      </c>
      <c r="AY89" s="42">
        <v>4333677606</v>
      </c>
      <c r="AZ89" s="42">
        <v>1023808372</v>
      </c>
      <c r="BA89" s="42">
        <v>939755174</v>
      </c>
      <c r="BB89" s="42">
        <v>28408866945</v>
      </c>
      <c r="BC89" s="42">
        <v>79231454945</v>
      </c>
      <c r="BD89" s="42">
        <v>2880764422</v>
      </c>
      <c r="BE89" s="42">
        <v>6590729588</v>
      </c>
      <c r="BF89" s="42">
        <v>713564739</v>
      </c>
      <c r="BG89" s="42">
        <v>0</v>
      </c>
      <c r="BH89" s="42">
        <v>118466959</v>
      </c>
      <c r="BI89" s="42">
        <v>54932492</v>
      </c>
      <c r="BJ89" s="42">
        <v>21015269</v>
      </c>
      <c r="BK89" s="42">
        <v>1796818</v>
      </c>
      <c r="BL89" s="42">
        <v>0</v>
      </c>
      <c r="BM89" s="42">
        <v>237914647</v>
      </c>
      <c r="BN89" s="42">
        <v>681804029</v>
      </c>
      <c r="BO89" s="42">
        <v>0</v>
      </c>
      <c r="BP89" s="42">
        <v>89836475</v>
      </c>
      <c r="BQ89" s="42">
        <v>1402679531</v>
      </c>
      <c r="BR89" s="42">
        <v>0</v>
      </c>
      <c r="BS89" s="42">
        <f>IFERROR(VLOOKUP(A89,'Trans 21-23'!$A$2:$J$229,9,0),0)</f>
        <v>0</v>
      </c>
      <c r="BT89" s="67"/>
      <c r="BU89" s="32">
        <f t="shared" si="0"/>
        <v>28408866945</v>
      </c>
      <c r="BV89" s="32">
        <f t="shared" si="1"/>
        <v>28461</v>
      </c>
      <c r="BW89" s="32">
        <f t="shared" si="2"/>
        <v>5845161</v>
      </c>
      <c r="BX89" s="32">
        <f t="shared" si="3"/>
        <v>286623607</v>
      </c>
      <c r="BY89" s="32">
        <f t="shared" si="4"/>
        <v>175610627</v>
      </c>
      <c r="BZ89" s="32">
        <f t="shared" si="5"/>
        <v>1023808372</v>
      </c>
      <c r="CA89" s="32">
        <f t="shared" si="6"/>
        <v>547157586</v>
      </c>
      <c r="CB89" s="32">
        <f t="shared" si="7"/>
        <v>10323742</v>
      </c>
      <c r="CC89" s="32">
        <f t="shared" si="8"/>
        <v>127903793</v>
      </c>
      <c r="CD89" s="41">
        <f t="shared" si="64"/>
        <v>1</v>
      </c>
      <c r="CE89" s="44">
        <f t="shared" si="10"/>
        <v>9</v>
      </c>
      <c r="CF89" s="27"/>
      <c r="CG89" s="28">
        <f t="shared" si="11"/>
        <v>998.16826341309161</v>
      </c>
      <c r="CH89" s="28">
        <f t="shared" si="12"/>
        <v>4.8691558709845628</v>
      </c>
      <c r="CI89" s="28">
        <f t="shared" si="13"/>
        <v>49.036049990753035</v>
      </c>
      <c r="CJ89" s="28">
        <f t="shared" si="14"/>
        <v>175.15486262910466</v>
      </c>
      <c r="CK89" s="23">
        <f t="shared" si="15"/>
        <v>8.0714901081940543E-2</v>
      </c>
      <c r="CL89" s="29" t="str">
        <f t="shared" si="16"/>
        <v/>
      </c>
      <c r="CM89" s="29" t="str">
        <f t="shared" si="17"/>
        <v/>
      </c>
      <c r="CN89" s="29" t="str">
        <f t="shared" si="18"/>
        <v/>
      </c>
      <c r="CO89" s="29" t="str">
        <f t="shared" si="19"/>
        <v/>
      </c>
      <c r="CP89" s="29" t="str">
        <f t="shared" si="20"/>
        <v/>
      </c>
      <c r="CQ89" s="29">
        <f t="shared" si="21"/>
        <v>0</v>
      </c>
      <c r="CR89" s="13"/>
      <c r="CS89" s="7">
        <f>VLOOKUP(A89,'Empresas 21-23'!$A$2:$M$228,13,0)</f>
        <v>1</v>
      </c>
      <c r="CT89" s="30"/>
      <c r="CU89" s="6">
        <f t="shared" si="22"/>
        <v>21898660782</v>
      </c>
      <c r="CV89" s="6">
        <f t="shared" si="23"/>
        <v>1023808372</v>
      </c>
      <c r="CW89" s="6">
        <f t="shared" si="24"/>
        <v>2880764422</v>
      </c>
      <c r="CX89" s="23">
        <f t="shared" si="65"/>
        <v>0.28681680063395382</v>
      </c>
      <c r="CY89" s="23">
        <f t="shared" si="66"/>
        <v>1.3409287656561356E-2</v>
      </c>
      <c r="CZ89" s="6">
        <f t="shared" si="27"/>
        <v>22724912416.898163</v>
      </c>
      <c r="DA89" s="6">
        <f t="shared" si="28"/>
        <v>1062437370.8053857</v>
      </c>
      <c r="DB89" s="6">
        <f t="shared" si="29"/>
        <v>286623607</v>
      </c>
      <c r="DC89" s="6">
        <f t="shared" si="30"/>
        <v>286623607</v>
      </c>
      <c r="DD89" s="6">
        <f t="shared" si="31"/>
        <v>175610627</v>
      </c>
      <c r="DE89" s="6">
        <f t="shared" si="32"/>
        <v>547157586</v>
      </c>
      <c r="DF89" s="6">
        <f t="shared" si="33"/>
        <v>226909600.13770017</v>
      </c>
      <c r="DG89" s="30"/>
      <c r="DH89" s="32">
        <f>VLOOKUP(A89,'T_med_comp-USA'!$A$7:$Q$233,17,0)</f>
        <v>10.047219406768276</v>
      </c>
      <c r="DI89" s="6" t="str">
        <f t="shared" si="34"/>
        <v>12_2013</v>
      </c>
      <c r="DJ89" s="32">
        <f>IF(DI89="","",VLOOKUP(DI89,'CPI USA'!$T:$U,2,FALSE))</f>
        <v>233.04900000000001</v>
      </c>
      <c r="DK89" s="32">
        <f>IF(DI89="","",VLOOKUP(DI89,'PPI USA'!$S:$T,2,FALSE))</f>
        <v>167.2</v>
      </c>
      <c r="DL89" s="32">
        <f>IF(DI89="","",VLOOKUP(DI89,'CPI USA'!$T:$V,3,FALSE))</f>
        <v>0.67305131835944076</v>
      </c>
      <c r="DM89" s="32">
        <f>IF(DI89="","",VLOOKUP(DI89,'CPI USA'!$T:$X,5,FALSE))</f>
        <v>0.50163050295255052</v>
      </c>
      <c r="DN89" s="32">
        <f t="shared" si="35"/>
        <v>1.3809682329132076</v>
      </c>
      <c r="DO89" s="32">
        <f t="shared" si="36"/>
        <v>1.3981975138665637</v>
      </c>
      <c r="DP89" s="32">
        <f t="shared" si="37"/>
        <v>0.41331891758657546</v>
      </c>
      <c r="DQ89" s="32">
        <f>IF(DP89="","",DP89*$DO$1/'CPI USA'!$U$532+(1-DP89)*AVERAGE($DO$1,$DQ$1)/AVERAGE('CPI USA'!$U$532,'PPI USA'!$T$538))</f>
        <v>1.0377586769588316</v>
      </c>
      <c r="DR89" s="6">
        <f t="shared" si="38"/>
        <v>77744579</v>
      </c>
      <c r="DS89" s="32">
        <f t="shared" si="39"/>
        <v>0.44270999043810716</v>
      </c>
      <c r="DT89" s="28">
        <f>IF(DS89="","",DS89*$DO$1/'CPI USA'!$U$532+(1-DS89)*AVERAGE($DO$1,$DQ$1)/AVERAGE('CPI USA'!$U$532,'PPI USA'!$T$538))</f>
        <v>1.0370803639183799</v>
      </c>
      <c r="DU89" s="6">
        <f t="shared" si="40"/>
        <v>237914647</v>
      </c>
      <c r="DV89" s="6">
        <f t="shared" si="41"/>
        <v>16280250.057055812</v>
      </c>
      <c r="DW89" s="6">
        <f t="shared" si="42"/>
        <v>73152943.634653404</v>
      </c>
      <c r="DX89" s="16">
        <f t="shared" si="43"/>
        <v>0.32238805052875907</v>
      </c>
      <c r="DY89" s="28">
        <f>IF(DX89="","",DX89*$DO$1/'CPI USA'!$U$532+(1-DX89)*AVERAGE($DO$1,$DQ$1)/AVERAGE('CPI USA'!$U$532,'PPI USA'!$T$538))</f>
        <v>1.0398572595187972</v>
      </c>
      <c r="DZ89" s="30"/>
      <c r="EA89" s="29" t="str">
        <f t="shared" si="44"/>
        <v>C001030</v>
      </c>
      <c r="EB89" s="29">
        <f t="shared" si="45"/>
        <v>31382382143.471264</v>
      </c>
      <c r="EC89" s="29">
        <f t="shared" si="46"/>
        <v>1485497290.4990187</v>
      </c>
      <c r="ED89" s="29">
        <f t="shared" si="47"/>
        <v>297446135.1854881</v>
      </c>
      <c r="EE89" s="29">
        <f t="shared" si="48"/>
        <v>182122332.95709488</v>
      </c>
      <c r="EF89" s="29">
        <f t="shared" si="49"/>
        <v>235953594.95769498</v>
      </c>
      <c r="EG89" s="29">
        <f t="shared" si="50"/>
        <v>28461</v>
      </c>
      <c r="EH89" s="29">
        <f t="shared" si="51"/>
        <v>5845161</v>
      </c>
      <c r="EI89" s="29">
        <f t="shared" si="52"/>
        <v>10323742</v>
      </c>
      <c r="EJ89" s="29">
        <f t="shared" si="53"/>
        <v>127903793</v>
      </c>
      <c r="EK89" s="29">
        <f t="shared" si="54"/>
        <v>138032880.38071066</v>
      </c>
      <c r="EL89" s="29">
        <f>IF(CD89=1,VLOOKUP(EA89,'EIA 2023'!$A$2:$J$213,4,0)*EH89,"")</f>
        <v>290329146.87</v>
      </c>
      <c r="EM89" s="29">
        <f>IF(CD89=1,VLOOKUP(EA89,'EIA 2023'!$A$2:$J$213,7,0)*EH89,"")</f>
        <v>3740903.04</v>
      </c>
      <c r="EN89" s="29">
        <f>IF(CD89=1,VLOOKUP(EA89,'EIA 2023'!$A$2:$J$213,10,0),"")</f>
        <v>5979540</v>
      </c>
      <c r="EO89" s="28">
        <f>IF(CD89=1,VLOOKUP(EA89,'EIA 2023'!$A$2:$Z$213,26,0),"")</f>
        <v>0</v>
      </c>
      <c r="EP89" s="23">
        <f t="shared" si="55"/>
        <v>7.3381699728162331E-2</v>
      </c>
      <c r="EQ89" s="32">
        <f t="shared" si="56"/>
        <v>194654.61928934045</v>
      </c>
      <c r="ER89" s="32">
        <f t="shared" si="57"/>
        <v>10129087.38071066</v>
      </c>
      <c r="ES89" s="32"/>
      <c r="ET89" s="32"/>
    </row>
    <row r="90" spans="1:150" ht="15.75" customHeight="1">
      <c r="A90" s="7" t="s">
        <v>474</v>
      </c>
      <c r="B90" s="7" t="s">
        <v>475</v>
      </c>
      <c r="C90" s="32" t="s">
        <v>1175</v>
      </c>
      <c r="D90" s="42">
        <v>0</v>
      </c>
      <c r="E90" s="42">
        <v>0</v>
      </c>
      <c r="F90" s="42">
        <v>0</v>
      </c>
      <c r="G90" s="42">
        <v>1107854695</v>
      </c>
      <c r="H90" s="42">
        <v>1311588867</v>
      </c>
      <c r="I90" s="42">
        <v>10107417</v>
      </c>
      <c r="J90" s="42">
        <v>6818303</v>
      </c>
      <c r="K90" s="42">
        <v>1014798</v>
      </c>
      <c r="L90" s="42">
        <v>222446</v>
      </c>
      <c r="M90" s="42">
        <v>855810</v>
      </c>
      <c r="N90" s="42">
        <v>1707842</v>
      </c>
      <c r="O90" s="42">
        <v>107414505</v>
      </c>
      <c r="P90" s="42">
        <v>460061</v>
      </c>
      <c r="Q90" s="42">
        <v>0</v>
      </c>
      <c r="R90" s="42">
        <v>0</v>
      </c>
      <c r="S90" s="42">
        <v>8301752</v>
      </c>
      <c r="T90" s="42">
        <v>65538194</v>
      </c>
      <c r="U90" s="42">
        <v>11607371</v>
      </c>
      <c r="V90" s="42">
        <v>204521</v>
      </c>
      <c r="W90" s="42">
        <v>4244069</v>
      </c>
      <c r="X90" s="42">
        <f>IFERROR(VLOOKUP(A90,'Trans 21-23'!$A$2:$J$229,10,0),0)</f>
        <v>5473232</v>
      </c>
      <c r="Y90" s="42">
        <v>3154529</v>
      </c>
      <c r="Z90" s="42">
        <v>2465781</v>
      </c>
      <c r="AA90" s="42">
        <v>72343976</v>
      </c>
      <c r="AB90" s="42">
        <v>5157216</v>
      </c>
      <c r="AC90" s="42">
        <v>0</v>
      </c>
      <c r="AD90" s="42">
        <v>209771479</v>
      </c>
      <c r="AE90" s="42">
        <v>0</v>
      </c>
      <c r="AF90" s="42">
        <v>1871662502</v>
      </c>
      <c r="AG90" s="42">
        <v>1336794</v>
      </c>
      <c r="AH90" s="42">
        <v>1792040</v>
      </c>
      <c r="AI90" s="42">
        <v>29522632</v>
      </c>
      <c r="AJ90" s="42">
        <v>18221</v>
      </c>
      <c r="AK90" s="42">
        <v>0</v>
      </c>
      <c r="AL90" s="42">
        <v>12026017</v>
      </c>
      <c r="AM90" s="42">
        <v>2579186</v>
      </c>
      <c r="AN90" s="42">
        <v>12835382</v>
      </c>
      <c r="AO90" s="42">
        <v>195272</v>
      </c>
      <c r="AP90" s="42">
        <v>0</v>
      </c>
      <c r="AQ90" s="42">
        <v>27712371</v>
      </c>
      <c r="AR90" s="42">
        <v>0</v>
      </c>
      <c r="AS90" s="42">
        <v>27712371</v>
      </c>
      <c r="AT90" s="42">
        <v>69020</v>
      </c>
      <c r="AU90" s="42">
        <v>6406</v>
      </c>
      <c r="AV90" s="42">
        <v>0</v>
      </c>
      <c r="AW90" s="42">
        <v>1135105202</v>
      </c>
      <c r="AX90" s="42">
        <v>363415004</v>
      </c>
      <c r="AY90" s="42">
        <v>2083336994</v>
      </c>
      <c r="AZ90" s="42">
        <v>316185517</v>
      </c>
      <c r="BA90" s="42">
        <v>147381972</v>
      </c>
      <c r="BB90" s="42">
        <v>7522209551</v>
      </c>
      <c r="BC90" s="42">
        <v>10541296035</v>
      </c>
      <c r="BD90" s="42">
        <v>266296010</v>
      </c>
      <c r="BE90" s="42">
        <v>2719335568</v>
      </c>
      <c r="BF90" s="42">
        <v>182259483</v>
      </c>
      <c r="BG90" s="42">
        <v>0</v>
      </c>
      <c r="BH90" s="42">
        <v>60222098</v>
      </c>
      <c r="BI90" s="42">
        <v>28386309</v>
      </c>
      <c r="BJ90" s="42">
        <v>1406875</v>
      </c>
      <c r="BK90" s="42">
        <v>0</v>
      </c>
      <c r="BL90" s="42">
        <v>0</v>
      </c>
      <c r="BM90" s="42">
        <v>66993344</v>
      </c>
      <c r="BN90" s="42">
        <v>163141610</v>
      </c>
      <c r="BO90" s="42">
        <v>584795</v>
      </c>
      <c r="BP90" s="42">
        <v>11167096</v>
      </c>
      <c r="BQ90" s="42">
        <v>458356940</v>
      </c>
      <c r="BR90" s="42">
        <v>7494</v>
      </c>
      <c r="BS90" s="42">
        <f>IFERROR(VLOOKUP(A90,'Trans 21-23'!$A$2:$J$229,9,0),0)</f>
        <v>539003871</v>
      </c>
      <c r="BT90" s="67"/>
      <c r="BU90" s="32">
        <f t="shared" si="0"/>
        <v>7522209551</v>
      </c>
      <c r="BV90" s="32">
        <f t="shared" si="1"/>
        <v>6406</v>
      </c>
      <c r="BW90" s="32">
        <f t="shared" si="2"/>
        <v>1336794</v>
      </c>
      <c r="BX90" s="32">
        <f t="shared" si="3"/>
        <v>218497089</v>
      </c>
      <c r="BY90" s="32">
        <f t="shared" si="4"/>
        <v>83121502</v>
      </c>
      <c r="BZ90" s="32">
        <f t="shared" si="5"/>
        <v>316185517</v>
      </c>
      <c r="CA90" s="32">
        <f t="shared" si="6"/>
        <v>209771479</v>
      </c>
      <c r="CB90" s="32">
        <f t="shared" si="7"/>
        <v>1792040</v>
      </c>
      <c r="CC90" s="32">
        <f t="shared" si="8"/>
        <v>27712371</v>
      </c>
      <c r="CD90" s="41">
        <f t="shared" si="64"/>
        <v>1</v>
      </c>
      <c r="CE90" s="44">
        <f t="shared" si="10"/>
        <v>14</v>
      </c>
      <c r="CF90" s="27"/>
      <c r="CG90" s="28">
        <f t="shared" si="11"/>
        <v>1174.2443882297846</v>
      </c>
      <c r="CH90" s="28">
        <f t="shared" si="12"/>
        <v>4.7920622025532733</v>
      </c>
      <c r="CI90" s="28">
        <f t="shared" si="13"/>
        <v>163.44858594517927</v>
      </c>
      <c r="CJ90" s="28">
        <f t="shared" si="14"/>
        <v>236.52523649866771</v>
      </c>
      <c r="CK90" s="23">
        <f t="shared" si="15"/>
        <v>6.4665704713609676E-2</v>
      </c>
      <c r="CL90" s="29" t="str">
        <f t="shared" si="16"/>
        <v/>
      </c>
      <c r="CM90" s="29" t="str">
        <f t="shared" si="17"/>
        <v/>
      </c>
      <c r="CN90" s="29" t="str">
        <f t="shared" si="18"/>
        <v/>
      </c>
      <c r="CO90" s="29" t="str">
        <f t="shared" si="19"/>
        <v/>
      </c>
      <c r="CP90" s="29" t="str">
        <f t="shared" si="20"/>
        <v/>
      </c>
      <c r="CQ90" s="29">
        <f t="shared" si="21"/>
        <v>0</v>
      </c>
      <c r="CR90" s="13"/>
      <c r="CS90" s="7">
        <f>VLOOKUP(A90,'Empresas 21-23'!$A$2:$M$228,13,0)</f>
        <v>1</v>
      </c>
      <c r="CT90" s="30"/>
      <c r="CU90" s="6">
        <f t="shared" si="22"/>
        <v>6129594734.1999998</v>
      </c>
      <c r="CV90" s="6">
        <f t="shared" si="23"/>
        <v>316185517</v>
      </c>
      <c r="CW90" s="6">
        <f t="shared" si="24"/>
        <v>266296010</v>
      </c>
      <c r="CX90" s="23">
        <f t="shared" si="65"/>
        <v>0.59655423058745927</v>
      </c>
      <c r="CY90" s="23">
        <f t="shared" si="66"/>
        <v>3.0772313015152524E-2</v>
      </c>
      <c r="CZ90" s="6">
        <f t="shared" si="27"/>
        <v>6288454745.55406</v>
      </c>
      <c r="DA90" s="6">
        <f t="shared" si="28"/>
        <v>324380061.17440617</v>
      </c>
      <c r="DB90" s="6">
        <f t="shared" si="29"/>
        <v>218497089</v>
      </c>
      <c r="DC90" s="6">
        <f t="shared" si="30"/>
        <v>223970321</v>
      </c>
      <c r="DD90" s="6">
        <f t="shared" si="31"/>
        <v>83121502</v>
      </c>
      <c r="DE90" s="6">
        <f t="shared" si="32"/>
        <v>209771479</v>
      </c>
      <c r="DF90" s="6">
        <f t="shared" si="33"/>
        <v>183895830.4884547</v>
      </c>
      <c r="DG90" s="30"/>
      <c r="DH90" s="32">
        <f>VLOOKUP(A90,'T_med_comp-USA'!$A$7:$Q$233,17,0)</f>
        <v>15.211370661856096</v>
      </c>
      <c r="DI90" s="6" t="str">
        <f t="shared" si="34"/>
        <v>10_2008</v>
      </c>
      <c r="DJ90" s="32">
        <f>IF(DI90="","",VLOOKUP(DI90,'CPI USA'!$T:$U,2,FALSE))</f>
        <v>215.303</v>
      </c>
      <c r="DK90" s="32">
        <f>IF(DI90="","",VLOOKUP(DI90,'PPI USA'!$S:$T,2,FALSE))</f>
        <v>159.30000000000001</v>
      </c>
      <c r="DL90" s="32">
        <f>IF(DI90="","",VLOOKUP(DI90,'CPI USA'!$T:$V,3,FALSE))</f>
        <v>0.67018812038291731</v>
      </c>
      <c r="DM90" s="32">
        <f>IF(DI90="","",VLOOKUP(DI90,'CPI USA'!$T:$X,5,FALSE))</f>
        <v>0.49838492968660258</v>
      </c>
      <c r="DN90" s="32">
        <f t="shared" si="35"/>
        <v>1.4884333659448254</v>
      </c>
      <c r="DO90" s="32">
        <f t="shared" si="36"/>
        <v>1.5036496327119213</v>
      </c>
      <c r="DP90" s="32">
        <f t="shared" si="37"/>
        <v>0.27660766336773301</v>
      </c>
      <c r="DQ90" s="32">
        <f>IF(DP90="","",DP90*$DO$1/'CPI USA'!$U$532+(1-DP90)*AVERAGE($DO$1,$DQ$1)/AVERAGE('CPI USA'!$U$532,'PPI USA'!$T$538))</f>
        <v>1.0409138195758294</v>
      </c>
      <c r="DR90" s="6">
        <f t="shared" si="38"/>
        <v>29793184</v>
      </c>
      <c r="DS90" s="32">
        <f t="shared" si="39"/>
        <v>0.35971414720462563</v>
      </c>
      <c r="DT90" s="28">
        <f>IF(DS90="","",DS90*$DO$1/'CPI USA'!$U$532+(1-DS90)*AVERAGE($DO$1,$DQ$1)/AVERAGE('CPI USA'!$U$532,'PPI USA'!$T$538))</f>
        <v>1.0389958150165055</v>
      </c>
      <c r="DU90" s="6">
        <f t="shared" si="40"/>
        <v>67233487.349109277</v>
      </c>
      <c r="DV90" s="6">
        <f t="shared" si="41"/>
        <v>1672938.493229788</v>
      </c>
      <c r="DW90" s="6">
        <f t="shared" si="42"/>
        <v>38019922.408576444</v>
      </c>
      <c r="DX90" s="16">
        <f t="shared" si="43"/>
        <v>0.20674706059180281</v>
      </c>
      <c r="DY90" s="28">
        <f>IF(DX90="","",DX90*$DO$1/'CPI USA'!$U$532+(1-DX90)*AVERAGE($DO$1,$DQ$1)/AVERAGE('CPI USA'!$U$532,'PPI USA'!$T$538))</f>
        <v>1.042526124036987</v>
      </c>
      <c r="DZ90" s="30"/>
      <c r="EA90" s="29" t="str">
        <f t="shared" si="44"/>
        <v>C001111</v>
      </c>
      <c r="EB90" s="29">
        <f t="shared" si="45"/>
        <v>9359945863.5167408</v>
      </c>
      <c r="EC90" s="29">
        <f t="shared" si="46"/>
        <v>487753959.84396642</v>
      </c>
      <c r="ED90" s="29">
        <f t="shared" si="47"/>
        <v>233133802.3037346</v>
      </c>
      <c r="EE90" s="29">
        <f t="shared" si="48"/>
        <v>86362892.715886086</v>
      </c>
      <c r="EF90" s="29">
        <f t="shared" si="49"/>
        <v>191716207.38569146</v>
      </c>
      <c r="EG90" s="29">
        <f t="shared" si="50"/>
        <v>6406</v>
      </c>
      <c r="EH90" s="29">
        <f t="shared" si="51"/>
        <v>1336794</v>
      </c>
      <c r="EI90" s="29">
        <f t="shared" si="52"/>
        <v>1792040</v>
      </c>
      <c r="EJ90" s="29">
        <f t="shared" si="53"/>
        <v>27712371</v>
      </c>
      <c r="EK90" s="29">
        <f t="shared" si="54"/>
        <v>29504411</v>
      </c>
      <c r="EL90" s="29">
        <f>IF(CD90=1,VLOOKUP(EA90,'EIA 2023'!$A$2:$J$213,4,0)*EH90,"")</f>
        <v>80795829.359999999</v>
      </c>
      <c r="EM90" s="29">
        <f>IF(CD90=1,VLOOKUP(EA90,'EIA 2023'!$A$2:$J$213,7,0)*EH90,"")</f>
        <v>1285995.828</v>
      </c>
      <c r="EN90" s="29">
        <f>IF(CD90=1,VLOOKUP(EA90,'EIA 2023'!$A$2:$J$213,10,0),"")</f>
        <v>1361774</v>
      </c>
      <c r="EO90" s="28">
        <f>IF(CD90=1,VLOOKUP(EA90,'EIA 2023'!$A$2:$Z$213,26,0),"")</f>
        <v>0</v>
      </c>
      <c r="EP90" s="23">
        <f t="shared" si="55"/>
        <v>6.0738036763384295E-2</v>
      </c>
      <c r="EQ90" s="32">
        <f t="shared" si="56"/>
        <v>0</v>
      </c>
      <c r="ER90" s="32">
        <f t="shared" si="57"/>
        <v>1792040</v>
      </c>
      <c r="ES90" s="32"/>
      <c r="ET90" s="32"/>
    </row>
    <row r="91" spans="1:150" ht="15.75" customHeight="1">
      <c r="A91" s="7" t="s">
        <v>477</v>
      </c>
      <c r="B91" s="7" t="s">
        <v>478</v>
      </c>
      <c r="C91" s="32" t="s">
        <v>1176</v>
      </c>
      <c r="D91" s="42">
        <v>59404284</v>
      </c>
      <c r="E91" s="42">
        <v>0</v>
      </c>
      <c r="F91" s="42">
        <v>81569224</v>
      </c>
      <c r="G91" s="42">
        <v>60951643</v>
      </c>
      <c r="H91" s="42">
        <v>65816917</v>
      </c>
      <c r="I91" s="42">
        <v>1287931</v>
      </c>
      <c r="J91" s="42">
        <v>170854</v>
      </c>
      <c r="K91" s="42">
        <v>0</v>
      </c>
      <c r="L91" s="42">
        <v>985421</v>
      </c>
      <c r="M91" s="42">
        <v>1066439</v>
      </c>
      <c r="N91" s="42">
        <v>220520</v>
      </c>
      <c r="O91" s="42">
        <v>1532082</v>
      </c>
      <c r="P91" s="42">
        <v>1545</v>
      </c>
      <c r="Q91" s="42">
        <v>153486</v>
      </c>
      <c r="R91" s="42">
        <v>87020</v>
      </c>
      <c r="S91" s="42">
        <v>1816992</v>
      </c>
      <c r="T91" s="42">
        <v>14419653</v>
      </c>
      <c r="U91" s="42">
        <v>937609</v>
      </c>
      <c r="V91" s="42">
        <v>69162</v>
      </c>
      <c r="W91" s="42">
        <v>204573</v>
      </c>
      <c r="X91" s="42">
        <f>IFERROR(VLOOKUP(A91,'Trans 21-23'!$A$2:$J$229,10,0),0)</f>
        <v>1629272</v>
      </c>
      <c r="Y91" s="42">
        <v>2238089</v>
      </c>
      <c r="Z91" s="42">
        <v>209442</v>
      </c>
      <c r="AA91" s="42">
        <v>9166703</v>
      </c>
      <c r="AB91" s="42">
        <v>5286624</v>
      </c>
      <c r="AC91" s="42">
        <v>54430</v>
      </c>
      <c r="AD91" s="42">
        <v>62539637</v>
      </c>
      <c r="AE91" s="42">
        <v>0</v>
      </c>
      <c r="AF91" s="42">
        <v>375422518</v>
      </c>
      <c r="AG91" s="42">
        <v>183991</v>
      </c>
      <c r="AH91" s="42">
        <v>160409</v>
      </c>
      <c r="AI91" s="42">
        <v>5651850</v>
      </c>
      <c r="AJ91" s="42">
        <v>14494</v>
      </c>
      <c r="AK91" s="42">
        <v>0</v>
      </c>
      <c r="AL91" s="42">
        <v>1899298</v>
      </c>
      <c r="AM91" s="42">
        <v>1517358</v>
      </c>
      <c r="AN91" s="42">
        <v>1152102</v>
      </c>
      <c r="AO91" s="42">
        <v>22279</v>
      </c>
      <c r="AP91" s="42">
        <v>106840</v>
      </c>
      <c r="AQ91" s="42">
        <v>4705027</v>
      </c>
      <c r="AR91" s="42">
        <v>1092738</v>
      </c>
      <c r="AS91" s="42">
        <v>5797765</v>
      </c>
      <c r="AT91" s="42">
        <v>0</v>
      </c>
      <c r="AU91" s="42">
        <v>1120</v>
      </c>
      <c r="AV91" s="42">
        <v>0</v>
      </c>
      <c r="AW91" s="42">
        <v>285250482</v>
      </c>
      <c r="AX91" s="42">
        <v>85042879</v>
      </c>
      <c r="AY91" s="42">
        <v>101712530</v>
      </c>
      <c r="AZ91" s="42">
        <v>55895747</v>
      </c>
      <c r="BA91" s="42">
        <v>25711831</v>
      </c>
      <c r="BB91" s="42">
        <v>1514752778</v>
      </c>
      <c r="BC91" s="42">
        <v>3636876903</v>
      </c>
      <c r="BD91" s="42">
        <v>119100019</v>
      </c>
      <c r="BE91" s="42">
        <v>505249565</v>
      </c>
      <c r="BF91" s="42">
        <v>38148142</v>
      </c>
      <c r="BG91" s="42">
        <v>0</v>
      </c>
      <c r="BH91" s="42">
        <v>8401176</v>
      </c>
      <c r="BI91" s="42">
        <v>4550471</v>
      </c>
      <c r="BJ91" s="42">
        <v>1335726</v>
      </c>
      <c r="BK91" s="42">
        <v>26427</v>
      </c>
      <c r="BL91" s="42">
        <v>0</v>
      </c>
      <c r="BM91" s="42">
        <v>11416979</v>
      </c>
      <c r="BN91" s="42">
        <v>44187643</v>
      </c>
      <c r="BO91" s="42">
        <v>423440</v>
      </c>
      <c r="BP91" s="42">
        <v>16330296</v>
      </c>
      <c r="BQ91" s="42">
        <v>74391348</v>
      </c>
      <c r="BR91" s="42">
        <v>7150</v>
      </c>
      <c r="BS91" s="42">
        <f>IFERROR(VLOOKUP(A91,'Trans 21-23'!$A$2:$J$229,9,0),0)</f>
        <v>168360220</v>
      </c>
      <c r="BT91" s="67"/>
      <c r="BU91" s="32">
        <f t="shared" si="0"/>
        <v>1514752778</v>
      </c>
      <c r="BV91" s="32">
        <f t="shared" si="1"/>
        <v>1120</v>
      </c>
      <c r="BW91" s="32">
        <f t="shared" si="2"/>
        <v>183991</v>
      </c>
      <c r="BX91" s="32">
        <f t="shared" si="3"/>
        <v>22953287</v>
      </c>
      <c r="BY91" s="32">
        <f t="shared" si="4"/>
        <v>16955288</v>
      </c>
      <c r="BZ91" s="32">
        <f t="shared" si="5"/>
        <v>55895747</v>
      </c>
      <c r="CA91" s="32">
        <f t="shared" si="6"/>
        <v>62539637</v>
      </c>
      <c r="CB91" s="32">
        <f t="shared" si="7"/>
        <v>160409</v>
      </c>
      <c r="CC91" s="32">
        <f t="shared" si="8"/>
        <v>4705027</v>
      </c>
      <c r="CD91" s="41">
        <f t="shared" si="64"/>
        <v>1</v>
      </c>
      <c r="CE91" s="44">
        <f t="shared" si="10"/>
        <v>8</v>
      </c>
      <c r="CF91" s="27"/>
      <c r="CG91" s="28">
        <f t="shared" si="11"/>
        <v>1352.4578374999999</v>
      </c>
      <c r="CH91" s="28">
        <f t="shared" si="12"/>
        <v>6.0872542678717982</v>
      </c>
      <c r="CI91" s="28">
        <f t="shared" si="13"/>
        <v>124.7522270111038</v>
      </c>
      <c r="CJ91" s="28">
        <f t="shared" si="14"/>
        <v>303.79609328717163</v>
      </c>
      <c r="CK91" s="23">
        <f t="shared" si="15"/>
        <v>3.4093109348788009E-2</v>
      </c>
      <c r="CL91" s="29" t="str">
        <f t="shared" si="16"/>
        <v/>
      </c>
      <c r="CM91" s="29" t="str">
        <f t="shared" si="17"/>
        <v/>
      </c>
      <c r="CN91" s="29" t="str">
        <f t="shared" si="18"/>
        <v/>
      </c>
      <c r="CO91" s="29" t="str">
        <f t="shared" si="19"/>
        <v/>
      </c>
      <c r="CP91" s="29" t="str">
        <f t="shared" si="20"/>
        <v/>
      </c>
      <c r="CQ91" s="29">
        <f t="shared" si="21"/>
        <v>0</v>
      </c>
      <c r="CR91" s="13"/>
      <c r="CS91" s="7">
        <f>VLOOKUP(A91,'Empresas 21-23'!$A$2:$M$228,13,0)</f>
        <v>1</v>
      </c>
      <c r="CT91" s="30"/>
      <c r="CU91" s="6">
        <f t="shared" si="22"/>
        <v>1489452174.5999999</v>
      </c>
      <c r="CV91" s="6">
        <f t="shared" si="23"/>
        <v>55895747</v>
      </c>
      <c r="CW91" s="6">
        <f t="shared" si="24"/>
        <v>119100019</v>
      </c>
      <c r="CX91" s="23">
        <f t="shared" si="65"/>
        <v>0.42340723238432648</v>
      </c>
      <c r="CY91" s="23">
        <f t="shared" si="66"/>
        <v>1.5889508869716025E-2</v>
      </c>
      <c r="CZ91" s="6">
        <f t="shared" si="27"/>
        <v>1539879984.0217106</v>
      </c>
      <c r="DA91" s="6">
        <f t="shared" si="28"/>
        <v>57788187.808283851</v>
      </c>
      <c r="DB91" s="6">
        <f t="shared" si="29"/>
        <v>22953287</v>
      </c>
      <c r="DC91" s="6">
        <f t="shared" si="30"/>
        <v>24582559</v>
      </c>
      <c r="DD91" s="6">
        <f t="shared" si="31"/>
        <v>16955288</v>
      </c>
      <c r="DE91" s="6">
        <f t="shared" si="32"/>
        <v>62539637</v>
      </c>
      <c r="DF91" s="6">
        <f t="shared" si="33"/>
        <v>24485830.294488978</v>
      </c>
      <c r="DG91" s="30"/>
      <c r="DH91" s="32">
        <f>VLOOKUP(A91,'T_med_comp-USA'!$A$7:$Q$233,17,0)</f>
        <v>13.244216337544451</v>
      </c>
      <c r="DI91" s="6" t="str">
        <f t="shared" si="34"/>
        <v>10_2010</v>
      </c>
      <c r="DJ91" s="32">
        <f>IF(DI91="","",VLOOKUP(DI91,'CPI USA'!$T:$U,2,FALSE))</f>
        <v>218.05600000000001</v>
      </c>
      <c r="DK91" s="32">
        <f>IF(DI91="","",VLOOKUP(DI91,'PPI USA'!$S:$T,2,FALSE))</f>
        <v>160.80000000000001</v>
      </c>
      <c r="DL91" s="32">
        <f>IF(DI91="","",VLOOKUP(DI91,'CPI USA'!$T:$V,3,FALSE))</f>
        <v>0.67050107279443949</v>
      </c>
      <c r="DM91" s="32">
        <f>IF(DI91="","",VLOOKUP(DI91,'CPI USA'!$T:$X,5,FALSE))</f>
        <v>0.4987389730136107</v>
      </c>
      <c r="DN91" s="32">
        <f t="shared" si="35"/>
        <v>1.4703278680244813</v>
      </c>
      <c r="DO91" s="32">
        <f t="shared" si="36"/>
        <v>1.4857204383544427</v>
      </c>
      <c r="DP91" s="32">
        <f t="shared" si="37"/>
        <v>0.36951929950555423</v>
      </c>
      <c r="DQ91" s="32">
        <f>IF(DP91="","",DP91*$DO$1/'CPI USA'!$U$532+(1-DP91)*AVERAGE($DO$1,$DQ$1)/AVERAGE('CPI USA'!$U$532,'PPI USA'!$T$538))</f>
        <v>1.038769523084158</v>
      </c>
      <c r="DR91" s="6">
        <f t="shared" si="38"/>
        <v>5912624</v>
      </c>
      <c r="DS91" s="32">
        <f t="shared" si="39"/>
        <v>0.35206027247965305</v>
      </c>
      <c r="DT91" s="28">
        <f>IF(DS91="","",DS91*$DO$1/'CPI USA'!$U$532+(1-DS91)*AVERAGE($DO$1,$DQ$1)/AVERAGE('CPI USA'!$U$532,'PPI USA'!$T$538))</f>
        <v>1.0391724578720474</v>
      </c>
      <c r="DU91" s="6">
        <f t="shared" si="40"/>
        <v>11526385.278758973</v>
      </c>
      <c r="DV91" s="6">
        <f t="shared" si="41"/>
        <v>3211148.2667552079</v>
      </c>
      <c r="DW91" s="6">
        <f t="shared" si="42"/>
        <v>4773961.5272935219</v>
      </c>
      <c r="DX91" s="16">
        <f t="shared" si="43"/>
        <v>0.2</v>
      </c>
      <c r="DY91" s="28">
        <f>IF(DX91="","",DX91*$DO$1/'CPI USA'!$U$532+(1-DX91)*AVERAGE($DO$1,$DQ$1)/AVERAGE('CPI USA'!$U$532,'PPI USA'!$T$538))</f>
        <v>1.0426818386380585</v>
      </c>
      <c r="DZ91" s="30"/>
      <c r="EA91" s="29" t="str">
        <f t="shared" si="44"/>
        <v>C001130</v>
      </c>
      <c r="EB91" s="29">
        <f t="shared" si="45"/>
        <v>2264128453.9202142</v>
      </c>
      <c r="EC91" s="29">
        <f t="shared" si="46"/>
        <v>85857091.722232342</v>
      </c>
      <c r="ED91" s="29">
        <f t="shared" si="47"/>
        <v>25535613.088618178</v>
      </c>
      <c r="EE91" s="29">
        <f t="shared" si="48"/>
        <v>17619468.304888431</v>
      </c>
      <c r="EF91" s="29">
        <f t="shared" si="49"/>
        <v>25530930.552037243</v>
      </c>
      <c r="EG91" s="29">
        <f t="shared" si="50"/>
        <v>1120</v>
      </c>
      <c r="EH91" s="29">
        <f t="shared" si="51"/>
        <v>183991</v>
      </c>
      <c r="EI91" s="29">
        <f t="shared" si="52"/>
        <v>160409</v>
      </c>
      <c r="EJ91" s="29">
        <f t="shared" si="53"/>
        <v>4705027</v>
      </c>
      <c r="EK91" s="29">
        <f t="shared" si="54"/>
        <v>4848795.3197969543</v>
      </c>
      <c r="EL91" s="29">
        <f>IF(CD91=1,VLOOKUP(EA91,'EIA 2023'!$A$2:$J$213,4,0)*EH91,"")</f>
        <v>15701791.940000001</v>
      </c>
      <c r="EM91" s="29">
        <f>IF(CD91=1,VLOOKUP(EA91,'EIA 2023'!$A$2:$J$213,7,0)*EH91,"")</f>
        <v>480032.51899999997</v>
      </c>
      <c r="EN91" s="29">
        <f>IF(CD91=1,VLOOKUP(EA91,'EIA 2023'!$A$2:$J$213,10,0),"")</f>
        <v>5655</v>
      </c>
      <c r="EO91" s="28">
        <f>IF(CD91=1,VLOOKUP(EA91,'EIA 2023'!$A$2:$Z$213,26,0),"")</f>
        <v>0</v>
      </c>
      <c r="EP91" s="23">
        <f t="shared" si="55"/>
        <v>2.9650317308707239E-2</v>
      </c>
      <c r="EQ91" s="32">
        <f t="shared" si="56"/>
        <v>16640.680203045718</v>
      </c>
      <c r="ER91" s="32">
        <f t="shared" si="57"/>
        <v>143768.31979695428</v>
      </c>
      <c r="ES91" s="32"/>
      <c r="ET91" s="32"/>
    </row>
    <row r="92" spans="1:150" ht="15.75" customHeight="1">
      <c r="A92" s="7" t="s">
        <v>480</v>
      </c>
      <c r="B92" s="7" t="s">
        <v>481</v>
      </c>
      <c r="C92" s="32" t="s">
        <v>1177</v>
      </c>
      <c r="D92" s="42">
        <v>48621978</v>
      </c>
      <c r="E92" s="42">
        <v>0</v>
      </c>
      <c r="F92" s="42">
        <v>342068772</v>
      </c>
      <c r="G92" s="42">
        <v>777351053</v>
      </c>
      <c r="H92" s="42">
        <v>804754783</v>
      </c>
      <c r="I92" s="42">
        <v>24206115</v>
      </c>
      <c r="J92" s="42">
        <v>2038686</v>
      </c>
      <c r="K92" s="42">
        <v>1149996</v>
      </c>
      <c r="L92" s="42">
        <v>3175367</v>
      </c>
      <c r="M92" s="42">
        <v>4673855</v>
      </c>
      <c r="N92" s="42">
        <v>1874740</v>
      </c>
      <c r="O92" s="42">
        <v>10771426</v>
      </c>
      <c r="P92" s="42">
        <v>1475545</v>
      </c>
      <c r="Q92" s="42">
        <v>158167</v>
      </c>
      <c r="R92" s="42">
        <v>311339</v>
      </c>
      <c r="S92" s="42">
        <v>5665633</v>
      </c>
      <c r="T92" s="42">
        <v>117148533</v>
      </c>
      <c r="U92" s="42">
        <v>13106998</v>
      </c>
      <c r="V92" s="42">
        <v>758711</v>
      </c>
      <c r="W92" s="42">
        <v>9577341</v>
      </c>
      <c r="X92" s="42">
        <f>IFERROR(VLOOKUP(A92,'Trans 21-23'!$A$2:$J$229,10,0),0)</f>
        <v>286997</v>
      </c>
      <c r="Y92" s="42">
        <v>3406006</v>
      </c>
      <c r="Z92" s="42">
        <v>15032</v>
      </c>
      <c r="AA92" s="42">
        <v>69269441</v>
      </c>
      <c r="AB92" s="42">
        <v>30201394</v>
      </c>
      <c r="AC92" s="42">
        <v>0</v>
      </c>
      <c r="AD92" s="42">
        <v>222693087</v>
      </c>
      <c r="AE92" s="42">
        <v>0</v>
      </c>
      <c r="AF92" s="42">
        <v>1961956099</v>
      </c>
      <c r="AG92" s="42">
        <v>928904</v>
      </c>
      <c r="AH92" s="42">
        <v>1060068</v>
      </c>
      <c r="AI92" s="42">
        <v>28024600</v>
      </c>
      <c r="AJ92" s="42">
        <v>29505</v>
      </c>
      <c r="AK92" s="42">
        <v>0</v>
      </c>
      <c r="AL92" s="42">
        <v>7952313</v>
      </c>
      <c r="AM92" s="42">
        <v>6557723</v>
      </c>
      <c r="AN92" s="42">
        <v>4578148</v>
      </c>
      <c r="AO92" s="42">
        <v>43544</v>
      </c>
      <c r="AP92" s="42">
        <v>0</v>
      </c>
      <c r="AQ92" s="42">
        <v>19131728</v>
      </c>
      <c r="AR92" s="42">
        <v>7803299</v>
      </c>
      <c r="AS92" s="42">
        <v>26935027</v>
      </c>
      <c r="AT92" s="42">
        <v>0</v>
      </c>
      <c r="AU92" s="42">
        <v>4498</v>
      </c>
      <c r="AV92" s="42">
        <v>0</v>
      </c>
      <c r="AW92" s="42">
        <v>900015873</v>
      </c>
      <c r="AX92" s="42">
        <v>32555365</v>
      </c>
      <c r="AY92" s="42">
        <v>1062744207</v>
      </c>
      <c r="AZ92" s="42">
        <v>233667462</v>
      </c>
      <c r="BA92" s="42">
        <v>197947491</v>
      </c>
      <c r="BB92" s="42">
        <v>5250487313</v>
      </c>
      <c r="BC92" s="42">
        <v>13246715949</v>
      </c>
      <c r="BD92" s="42">
        <v>976738020</v>
      </c>
      <c r="BE92" s="42">
        <v>2513948231</v>
      </c>
      <c r="BF92" s="42">
        <v>137175623</v>
      </c>
      <c r="BG92" s="42">
        <v>0</v>
      </c>
      <c r="BH92" s="42">
        <v>81692282</v>
      </c>
      <c r="BI92" s="42">
        <v>23089534</v>
      </c>
      <c r="BJ92" s="42">
        <v>9069965</v>
      </c>
      <c r="BK92" s="42">
        <v>0</v>
      </c>
      <c r="BL92" s="42">
        <v>0</v>
      </c>
      <c r="BM92" s="42">
        <v>92934758</v>
      </c>
      <c r="BN92" s="42">
        <v>266136808</v>
      </c>
      <c r="BO92" s="42">
        <v>21388097</v>
      </c>
      <c r="BP92" s="42">
        <v>71007438</v>
      </c>
      <c r="BQ92" s="42">
        <v>424450339</v>
      </c>
      <c r="BR92" s="42">
        <v>0</v>
      </c>
      <c r="BS92" s="42">
        <f>IFERROR(VLOOKUP(A92,'Trans 21-23'!$A$2:$J$229,9,0),0)</f>
        <v>236229167</v>
      </c>
      <c r="BT92" s="67"/>
      <c r="BU92" s="32">
        <f t="shared" si="0"/>
        <v>5250487313</v>
      </c>
      <c r="BV92" s="32">
        <f t="shared" si="1"/>
        <v>4498</v>
      </c>
      <c r="BW92" s="32">
        <f t="shared" si="2"/>
        <v>928904</v>
      </c>
      <c r="BX92" s="32">
        <f t="shared" si="3"/>
        <v>196092452</v>
      </c>
      <c r="BY92" s="32">
        <f t="shared" si="4"/>
        <v>102891873</v>
      </c>
      <c r="BZ92" s="32">
        <f t="shared" si="5"/>
        <v>233667462</v>
      </c>
      <c r="CA92" s="32">
        <f t="shared" si="6"/>
        <v>222693087</v>
      </c>
      <c r="CB92" s="32">
        <f t="shared" si="7"/>
        <v>1060068</v>
      </c>
      <c r="CC92" s="32">
        <f t="shared" si="8"/>
        <v>19131728</v>
      </c>
      <c r="CD92" s="41">
        <f t="shared" si="64"/>
        <v>1</v>
      </c>
      <c r="CE92" s="44">
        <f t="shared" si="10"/>
        <v>11</v>
      </c>
      <c r="CF92" s="27"/>
      <c r="CG92" s="28">
        <f t="shared" si="11"/>
        <v>1167.2937556691863</v>
      </c>
      <c r="CH92" s="28">
        <f t="shared" si="12"/>
        <v>4.842265723906884</v>
      </c>
      <c r="CI92" s="28">
        <f t="shared" si="13"/>
        <v>211.10088017706889</v>
      </c>
      <c r="CJ92" s="28">
        <f t="shared" si="14"/>
        <v>251.55178791349806</v>
      </c>
      <c r="CK92" s="23">
        <f t="shared" si="15"/>
        <v>5.5408899812918098E-2</v>
      </c>
      <c r="CL92" s="29" t="str">
        <f t="shared" si="16"/>
        <v/>
      </c>
      <c r="CM92" s="29" t="str">
        <f t="shared" si="17"/>
        <v/>
      </c>
      <c r="CN92" s="29" t="str">
        <f t="shared" si="18"/>
        <v/>
      </c>
      <c r="CO92" s="29" t="str">
        <f t="shared" si="19"/>
        <v/>
      </c>
      <c r="CP92" s="29" t="str">
        <f t="shared" si="20"/>
        <v/>
      </c>
      <c r="CQ92" s="29">
        <f t="shared" si="21"/>
        <v>0</v>
      </c>
      <c r="CR92" s="13"/>
      <c r="CS92" s="7">
        <f>VLOOKUP(A92,'Empresas 21-23'!$A$2:$M$228,13,0)</f>
        <v>1</v>
      </c>
      <c r="CT92" s="30"/>
      <c r="CU92" s="6">
        <f t="shared" si="22"/>
        <v>4397921783.8000002</v>
      </c>
      <c r="CV92" s="6">
        <f t="shared" si="23"/>
        <v>233667462</v>
      </c>
      <c r="CW92" s="6">
        <f t="shared" si="24"/>
        <v>976738020</v>
      </c>
      <c r="CX92" s="23">
        <f t="shared" si="65"/>
        <v>0.35842947797041635</v>
      </c>
      <c r="CY92" s="23">
        <f t="shared" si="66"/>
        <v>1.9043837189611296E-2</v>
      </c>
      <c r="CZ92" s="6">
        <f t="shared" si="27"/>
        <v>4748013482.4224586</v>
      </c>
      <c r="DA92" s="6">
        <f t="shared" si="28"/>
        <v>252268301.82978329</v>
      </c>
      <c r="DB92" s="6">
        <f t="shared" si="29"/>
        <v>196092452</v>
      </c>
      <c r="DC92" s="6">
        <f t="shared" si="30"/>
        <v>196379449</v>
      </c>
      <c r="DD92" s="6">
        <f t="shared" si="31"/>
        <v>102891873</v>
      </c>
      <c r="DE92" s="6">
        <f t="shared" si="32"/>
        <v>222693087</v>
      </c>
      <c r="DF92" s="6">
        <f t="shared" si="33"/>
        <v>122551512.44734268</v>
      </c>
      <c r="DG92" s="30"/>
      <c r="DH92" s="32">
        <f>VLOOKUP(A92,'T_med_comp-USA'!$A$7:$Q$233,17,0)</f>
        <v>18.021127484266913</v>
      </c>
      <c r="DI92" s="6" t="str">
        <f t="shared" si="34"/>
        <v>12_2005</v>
      </c>
      <c r="DJ92" s="32">
        <f>IF(DI92="","",VLOOKUP(DI92,'CPI USA'!$T:$U,2,FALSE))</f>
        <v>195.3</v>
      </c>
      <c r="DK92" s="32">
        <f>IF(DI92="","",VLOOKUP(DI92,'PPI USA'!$S:$T,2,FALSE))</f>
        <v>131.30000000000001</v>
      </c>
      <c r="DL92" s="32">
        <f>IF(DI92="","",VLOOKUP(DI92,'CPI USA'!$T:$V,3,FALSE))</f>
        <v>0.67888602568792966</v>
      </c>
      <c r="DM92" s="32">
        <f>IF(DI92="","",VLOOKUP(DI92,'CPI USA'!$T:$X,5,FALSE))</f>
        <v>0.50828944385363772</v>
      </c>
      <c r="DN92" s="32">
        <f t="shared" si="35"/>
        <v>1.6621774217199745</v>
      </c>
      <c r="DO92" s="32">
        <f t="shared" si="36"/>
        <v>1.6905992787819408</v>
      </c>
      <c r="DP92" s="32">
        <f t="shared" si="37"/>
        <v>0.45008099575848276</v>
      </c>
      <c r="DQ92" s="32">
        <f>IF(DP92="","",DP92*$DO$1/'CPI USA'!$U$532+(1-DP92)*AVERAGE($DO$1,$DQ$1)/AVERAGE('CPI USA'!$U$532,'PPI USA'!$T$538))</f>
        <v>1.0369102493718538</v>
      </c>
      <c r="DR92" s="6">
        <f t="shared" si="38"/>
        <v>32159499</v>
      </c>
      <c r="DS92" s="32">
        <f t="shared" si="39"/>
        <v>0.33767485832976901</v>
      </c>
      <c r="DT92" s="28">
        <f>IF(DS92="","",DS92*$DO$1/'CPI USA'!$U$532+(1-DS92)*AVERAGE($DO$1,$DQ$1)/AVERAGE('CPI USA'!$U$532,'PPI USA'!$T$538))</f>
        <v>1.039504457117514</v>
      </c>
      <c r="DU92" s="6">
        <f t="shared" si="40"/>
        <v>100403464.16549788</v>
      </c>
      <c r="DV92" s="6">
        <f t="shared" si="41"/>
        <v>18670792.504416447</v>
      </c>
      <c r="DW92" s="6">
        <f t="shared" si="42"/>
        <v>50939275.536516078</v>
      </c>
      <c r="DX92" s="16">
        <f t="shared" si="43"/>
        <v>0.41565603328154282</v>
      </c>
      <c r="DY92" s="28">
        <f>IF(DX92="","",DX92*$DO$1/'CPI USA'!$U$532+(1-DX92)*AVERAGE($DO$1,$DQ$1)/AVERAGE('CPI USA'!$U$532,'PPI USA'!$T$538))</f>
        <v>1.0377047389463965</v>
      </c>
      <c r="DZ92" s="30"/>
      <c r="EA92" s="29" t="str">
        <f t="shared" si="44"/>
        <v>C001132</v>
      </c>
      <c r="EB92" s="29">
        <f t="shared" si="45"/>
        <v>7892040808.5046396</v>
      </c>
      <c r="EC92" s="29">
        <f t="shared" si="46"/>
        <v>426484609.13297659</v>
      </c>
      <c r="ED92" s="29">
        <f t="shared" si="47"/>
        <v>203627863.43409726</v>
      </c>
      <c r="EE92" s="29">
        <f t="shared" si="48"/>
        <v>106956560.5846692</v>
      </c>
      <c r="EF92" s="29">
        <f t="shared" si="49"/>
        <v>127172285.23165579</v>
      </c>
      <c r="EG92" s="29">
        <f t="shared" si="50"/>
        <v>4498</v>
      </c>
      <c r="EH92" s="29">
        <f t="shared" si="51"/>
        <v>928904</v>
      </c>
      <c r="EI92" s="29">
        <f t="shared" si="52"/>
        <v>1060068</v>
      </c>
      <c r="EJ92" s="29">
        <f t="shared" si="53"/>
        <v>19131728</v>
      </c>
      <c r="EK92" s="29">
        <f t="shared" si="54"/>
        <v>20072964.035532996</v>
      </c>
      <c r="EL92" s="29">
        <f>IF(CD92=1,VLOOKUP(EA92,'EIA 2023'!$A$2:$J$213,4,0)*EH92,"")</f>
        <v>101250536</v>
      </c>
      <c r="EM92" s="29">
        <f>IF(CD92=1,VLOOKUP(EA92,'EIA 2023'!$A$2:$J$213,7,0)*EH92,"")</f>
        <v>603787.6</v>
      </c>
      <c r="EN92" s="29">
        <f>IF(CD92=1,VLOOKUP(EA92,'EIA 2023'!$A$2:$J$213,10,0),"")</f>
        <v>928861</v>
      </c>
      <c r="EO92" s="28">
        <f>IF(CD92=1,VLOOKUP(EA92,'EIA 2023'!$A$2:$Z$213,26,0),"")</f>
        <v>0</v>
      </c>
      <c r="EP92" s="23">
        <f t="shared" si="55"/>
        <v>4.689073491422726E-2</v>
      </c>
      <c r="EQ92" s="32">
        <f t="shared" si="56"/>
        <v>118831.96446700487</v>
      </c>
      <c r="ER92" s="32">
        <f t="shared" si="57"/>
        <v>941236.03553299513</v>
      </c>
      <c r="ES92" s="32"/>
      <c r="ET92" s="32"/>
    </row>
    <row r="93" spans="1:150" ht="15.75" customHeight="1">
      <c r="A93" s="7" t="s">
        <v>483</v>
      </c>
      <c r="B93" s="7" t="s">
        <v>484</v>
      </c>
      <c r="C93" s="32" t="s">
        <v>1178</v>
      </c>
      <c r="D93" s="42">
        <v>195341131</v>
      </c>
      <c r="E93" s="42">
        <v>18472614</v>
      </c>
      <c r="F93" s="42">
        <v>52459020</v>
      </c>
      <c r="G93" s="42">
        <v>192190414</v>
      </c>
      <c r="H93" s="42">
        <v>197701987</v>
      </c>
      <c r="I93" s="42">
        <v>6895823</v>
      </c>
      <c r="J93" s="42">
        <v>4742894</v>
      </c>
      <c r="K93" s="42">
        <v>2218912</v>
      </c>
      <c r="L93" s="42">
        <v>242036</v>
      </c>
      <c r="M93" s="42">
        <v>4931854</v>
      </c>
      <c r="N93" s="42">
        <v>501354</v>
      </c>
      <c r="O93" s="42">
        <v>16668002</v>
      </c>
      <c r="P93" s="42">
        <v>158102</v>
      </c>
      <c r="Q93" s="42">
        <v>179551</v>
      </c>
      <c r="R93" s="42">
        <v>0</v>
      </c>
      <c r="S93" s="42">
        <v>2596826</v>
      </c>
      <c r="T93" s="42">
        <v>33689923</v>
      </c>
      <c r="U93" s="42">
        <v>3061564</v>
      </c>
      <c r="V93" s="42">
        <v>0</v>
      </c>
      <c r="W93" s="42">
        <v>108679</v>
      </c>
      <c r="X93" s="42">
        <f>IFERROR(VLOOKUP(A93,'Trans 21-23'!$A$2:$J$229,10,0),0)</f>
        <v>4684898</v>
      </c>
      <c r="Y93" s="42">
        <v>3936939</v>
      </c>
      <c r="Z93" s="42">
        <v>384835</v>
      </c>
      <c r="AA93" s="42">
        <v>31431838</v>
      </c>
      <c r="AB93" s="42">
        <v>38541199</v>
      </c>
      <c r="AC93" s="42">
        <v>3997287</v>
      </c>
      <c r="AD93" s="42">
        <v>75919469</v>
      </c>
      <c r="AE93" s="42">
        <v>0</v>
      </c>
      <c r="AF93" s="42">
        <v>1188755809</v>
      </c>
      <c r="AG93" s="42">
        <v>820673</v>
      </c>
      <c r="AH93" s="42">
        <v>747135</v>
      </c>
      <c r="AI93" s="42">
        <v>45583941</v>
      </c>
      <c r="AJ93" s="42">
        <v>32347</v>
      </c>
      <c r="AK93" s="42">
        <v>0</v>
      </c>
      <c r="AL93" s="42">
        <v>6758670</v>
      </c>
      <c r="AM93" s="42">
        <v>3992431</v>
      </c>
      <c r="AN93" s="42">
        <v>17306864</v>
      </c>
      <c r="AO93" s="42">
        <v>47343</v>
      </c>
      <c r="AP93" s="42">
        <v>1550819</v>
      </c>
      <c r="AQ93" s="42">
        <v>29675158</v>
      </c>
      <c r="AR93" s="42">
        <v>15129301</v>
      </c>
      <c r="AS93" s="42">
        <v>44804459</v>
      </c>
      <c r="AT93" s="42">
        <v>0</v>
      </c>
      <c r="AU93" s="42">
        <v>5851</v>
      </c>
      <c r="AV93" s="42">
        <v>0</v>
      </c>
      <c r="AW93" s="42">
        <v>676587722</v>
      </c>
      <c r="AX93" s="42">
        <v>155979376</v>
      </c>
      <c r="AY93" s="42">
        <v>914120292</v>
      </c>
      <c r="AZ93" s="42">
        <v>97657726</v>
      </c>
      <c r="BA93" s="42">
        <v>138576579</v>
      </c>
      <c r="BB93" s="42">
        <v>4100069660</v>
      </c>
      <c r="BC93" s="42">
        <v>26082639993</v>
      </c>
      <c r="BD93" s="42">
        <v>1180226442</v>
      </c>
      <c r="BE93" s="42">
        <v>1392373011</v>
      </c>
      <c r="BF93" s="42">
        <v>95386551</v>
      </c>
      <c r="BG93" s="42">
        <v>0</v>
      </c>
      <c r="BH93" s="42">
        <v>43095689</v>
      </c>
      <c r="BI93" s="42">
        <v>16832927</v>
      </c>
      <c r="BJ93" s="42">
        <v>253</v>
      </c>
      <c r="BK93" s="42">
        <v>2661794</v>
      </c>
      <c r="BL93" s="42">
        <v>0</v>
      </c>
      <c r="BM93" s="42">
        <v>34970709</v>
      </c>
      <c r="BN93" s="42">
        <v>168458880</v>
      </c>
      <c r="BO93" s="42">
        <v>4447098</v>
      </c>
      <c r="BP93" s="42">
        <v>57601011</v>
      </c>
      <c r="BQ93" s="42">
        <v>406184412</v>
      </c>
      <c r="BR93" s="42">
        <v>19031</v>
      </c>
      <c r="BS93" s="42">
        <f>IFERROR(VLOOKUP(A93,'Trans 21-23'!$A$2:$J$229,9,0),0)</f>
        <v>296165672</v>
      </c>
      <c r="BT93" s="67"/>
      <c r="BU93" s="32">
        <f t="shared" si="0"/>
        <v>4100069660</v>
      </c>
      <c r="BV93" s="32">
        <f t="shared" si="1"/>
        <v>5851</v>
      </c>
      <c r="BW93" s="32">
        <f t="shared" si="2"/>
        <v>820673</v>
      </c>
      <c r="BX93" s="32">
        <f t="shared" si="3"/>
        <v>75995520</v>
      </c>
      <c r="BY93" s="32">
        <f t="shared" si="4"/>
        <v>78292098</v>
      </c>
      <c r="BZ93" s="32">
        <f t="shared" si="5"/>
        <v>97657726</v>
      </c>
      <c r="CA93" s="32">
        <f t="shared" si="6"/>
        <v>75919469</v>
      </c>
      <c r="CB93" s="32">
        <f t="shared" si="7"/>
        <v>747135</v>
      </c>
      <c r="CC93" s="32">
        <f t="shared" si="8"/>
        <v>29675158</v>
      </c>
      <c r="CD93" s="41">
        <f t="shared" si="64"/>
        <v>1</v>
      </c>
      <c r="CE93" s="44">
        <f t="shared" si="10"/>
        <v>8</v>
      </c>
      <c r="CF93" s="27"/>
      <c r="CG93" s="28">
        <f t="shared" si="11"/>
        <v>700.74682276533929</v>
      </c>
      <c r="CH93" s="28">
        <f t="shared" si="12"/>
        <v>7.1295144351038724</v>
      </c>
      <c r="CI93" s="28">
        <f t="shared" si="13"/>
        <v>92.601462458250722</v>
      </c>
      <c r="CJ93" s="28">
        <f t="shared" si="14"/>
        <v>118.99712309287621</v>
      </c>
      <c r="CK93" s="23">
        <f t="shared" si="15"/>
        <v>2.5177119528731744E-2</v>
      </c>
      <c r="CL93" s="29" t="str">
        <f t="shared" si="16"/>
        <v/>
      </c>
      <c r="CM93" s="29" t="str">
        <f t="shared" si="17"/>
        <v/>
      </c>
      <c r="CN93" s="29" t="str">
        <f t="shared" si="18"/>
        <v/>
      </c>
      <c r="CO93" s="29" t="str">
        <f t="shared" si="19"/>
        <v/>
      </c>
      <c r="CP93" s="29" t="str">
        <f t="shared" si="20"/>
        <v/>
      </c>
      <c r="CQ93" s="29">
        <f t="shared" si="21"/>
        <v>0</v>
      </c>
      <c r="CR93" s="13"/>
      <c r="CS93" s="7">
        <f>VLOOKUP(A93,'Empresas 21-23'!$A$2:$M$228,13,0)</f>
        <v>1</v>
      </c>
      <c r="CT93" s="30"/>
      <c r="CU93" s="6">
        <f t="shared" si="22"/>
        <v>3517941226.1999998</v>
      </c>
      <c r="CV93" s="6">
        <f t="shared" si="23"/>
        <v>97657726</v>
      </c>
      <c r="CW93" s="6">
        <f t="shared" si="24"/>
        <v>1180226442</v>
      </c>
      <c r="CX93" s="23">
        <f t="shared" si="65"/>
        <v>0.14126908699011348</v>
      </c>
      <c r="CY93" s="23">
        <f t="shared" si="66"/>
        <v>3.9216169067306482E-3</v>
      </c>
      <c r="CZ93" s="6">
        <f t="shared" si="27"/>
        <v>3684670738.1029301</v>
      </c>
      <c r="DA93" s="6">
        <f t="shared" si="28"/>
        <v>102286121.96871775</v>
      </c>
      <c r="DB93" s="6">
        <f t="shared" si="29"/>
        <v>75995520</v>
      </c>
      <c r="DC93" s="6">
        <f t="shared" si="30"/>
        <v>80680418</v>
      </c>
      <c r="DD93" s="6">
        <f t="shared" si="31"/>
        <v>78292098</v>
      </c>
      <c r="DE93" s="6">
        <f t="shared" si="32"/>
        <v>75919469</v>
      </c>
      <c r="DF93" s="6">
        <f t="shared" si="33"/>
        <v>18600436.862836767</v>
      </c>
      <c r="DG93" s="30"/>
      <c r="DH93" s="32">
        <f>VLOOKUP(A93,'T_med_comp-USA'!$A$7:$Q$233,17,0)</f>
        <v>14.679081129209314</v>
      </c>
      <c r="DI93" s="6" t="str">
        <f t="shared" si="34"/>
        <v>4_2009</v>
      </c>
      <c r="DJ93" s="32">
        <f>IF(DI93="","",VLOOKUP(DI93,'CPI USA'!$T:$U,2,FALSE))</f>
        <v>214.53700000000001</v>
      </c>
      <c r="DK93" s="32">
        <f>IF(DI93="","",VLOOKUP(DI93,'PPI USA'!$S:$T,2,FALSE))</f>
        <v>159.1</v>
      </c>
      <c r="DL93" s="32">
        <f>IF(DI93="","",VLOOKUP(DI93,'CPI USA'!$T:$V,3,FALSE))</f>
        <v>0.66997101349938215</v>
      </c>
      <c r="DM93" s="32">
        <f>IF(DI93="","",VLOOKUP(DI93,'CPI USA'!$T:$X,5,FALSE))</f>
        <v>0.49813941766071862</v>
      </c>
      <c r="DN93" s="32">
        <f t="shared" si="35"/>
        <v>1.4932638886873792</v>
      </c>
      <c r="DO93" s="32">
        <f t="shared" si="36"/>
        <v>1.5082750176818205</v>
      </c>
      <c r="DP93" s="32">
        <f t="shared" si="37"/>
        <v>0.58205220283082659</v>
      </c>
      <c r="DQ93" s="32">
        <f>IF(DP93="","",DP93*$DO$1/'CPI USA'!$U$532+(1-DP93)*AVERAGE($DO$1,$DQ$1)/AVERAGE('CPI USA'!$U$532,'PPI USA'!$T$538))</f>
        <v>1.033864501733667</v>
      </c>
      <c r="DR93" s="6">
        <f t="shared" si="38"/>
        <v>19494974</v>
      </c>
      <c r="DS93" s="32">
        <f t="shared" si="39"/>
        <v>0.25557644740746022</v>
      </c>
      <c r="DT93" s="28">
        <f>IF(DS93="","",DS93*$DO$1/'CPI USA'!$U$532+(1-DS93)*AVERAGE($DO$1,$DQ$1)/AVERAGE('CPI USA'!$U$532,'PPI USA'!$T$538))</f>
        <v>1.0413991964831126</v>
      </c>
      <c r="DU93" s="6">
        <f t="shared" si="40"/>
        <v>35893890.788057014</v>
      </c>
      <c r="DV93" s="6">
        <f t="shared" si="41"/>
        <v>5778669.2883485835</v>
      </c>
      <c r="DW93" s="6">
        <f t="shared" si="42"/>
        <v>15483381.844219536</v>
      </c>
      <c r="DX93" s="16">
        <f t="shared" si="43"/>
        <v>0.83242033283395434</v>
      </c>
      <c r="DY93" s="28">
        <f>IF(DX93="","",DX93*$DO$1/'CPI USA'!$U$532+(1-DX93)*AVERAGE($DO$1,$DQ$1)/AVERAGE('CPI USA'!$U$532,'PPI USA'!$T$538))</f>
        <v>1.0280862857307151</v>
      </c>
      <c r="DZ93" s="30"/>
      <c r="EA93" s="29" t="str">
        <f t="shared" si="44"/>
        <v>C001143</v>
      </c>
      <c r="EB93" s="29">
        <f t="shared" si="45"/>
        <v>5502185754.9121771</v>
      </c>
      <c r="EC93" s="29">
        <f t="shared" si="46"/>
        <v>154275602.42097262</v>
      </c>
      <c r="ED93" s="29">
        <f t="shared" si="47"/>
        <v>83412620.155233979</v>
      </c>
      <c r="EE93" s="29">
        <f t="shared" si="48"/>
        <v>81533327.948177114</v>
      </c>
      <c r="EF93" s="29">
        <f t="shared" si="49"/>
        <v>19122854.047282528</v>
      </c>
      <c r="EG93" s="29">
        <f t="shared" si="50"/>
        <v>5851</v>
      </c>
      <c r="EH93" s="29">
        <f t="shared" si="51"/>
        <v>820673</v>
      </c>
      <c r="EI93" s="29">
        <f t="shared" si="52"/>
        <v>747135</v>
      </c>
      <c r="EJ93" s="29">
        <f t="shared" si="53"/>
        <v>29675158</v>
      </c>
      <c r="EK93" s="29">
        <f t="shared" si="54"/>
        <v>30191897.553299494</v>
      </c>
      <c r="EL93" s="29">
        <f>IF(CD93=1,VLOOKUP(EA93,'EIA 2023'!$A$2:$J$213,4,0)*EH93,"")</f>
        <v>48419707</v>
      </c>
      <c r="EM93" s="29">
        <f>IF(CD93=1,VLOOKUP(EA93,'EIA 2023'!$A$2:$J$213,7,0)*EH93,"")</f>
        <v>681158.59</v>
      </c>
      <c r="EN93" s="29">
        <f>IF(CD93=1,VLOOKUP(EA93,'EIA 2023'!$A$2:$J$213,10,0),"")</f>
        <v>731635</v>
      </c>
      <c r="EO93" s="28">
        <f>IF(CD93=1,VLOOKUP(EA93,'EIA 2023'!$A$2:$Z$213,26,0),"")</f>
        <v>0</v>
      </c>
      <c r="EP93" s="23">
        <f t="shared" si="55"/>
        <v>1.7115173115146612E-2</v>
      </c>
      <c r="EQ93" s="32">
        <f t="shared" si="56"/>
        <v>230395.44670050777</v>
      </c>
      <c r="ER93" s="32">
        <f t="shared" si="57"/>
        <v>516739.55329949223</v>
      </c>
      <c r="ES93" s="32"/>
      <c r="ET93" s="32"/>
    </row>
    <row r="94" spans="1:150" ht="15.75" customHeight="1">
      <c r="A94" s="7" t="s">
        <v>486</v>
      </c>
      <c r="B94" s="7" t="s">
        <v>487</v>
      </c>
      <c r="C94" s="32" t="s">
        <v>1179</v>
      </c>
      <c r="D94" s="42">
        <v>0</v>
      </c>
      <c r="E94" s="42">
        <v>0</v>
      </c>
      <c r="F94" s="42">
        <v>25298</v>
      </c>
      <c r="G94" s="42">
        <v>35176356</v>
      </c>
      <c r="H94" s="42">
        <v>35176356</v>
      </c>
      <c r="I94" s="42">
        <v>62645</v>
      </c>
      <c r="J94" s="42">
        <v>1868</v>
      </c>
      <c r="K94" s="42">
        <v>0</v>
      </c>
      <c r="L94" s="42">
        <v>23032</v>
      </c>
      <c r="M94" s="42">
        <v>0</v>
      </c>
      <c r="N94" s="42">
        <v>37255</v>
      </c>
      <c r="O94" s="42">
        <v>12843</v>
      </c>
      <c r="P94" s="42">
        <v>0</v>
      </c>
      <c r="Q94" s="42">
        <v>134468</v>
      </c>
      <c r="R94" s="42">
        <v>0</v>
      </c>
      <c r="S94" s="42">
        <v>102455</v>
      </c>
      <c r="T94" s="42">
        <v>467800</v>
      </c>
      <c r="U94" s="42">
        <v>58905</v>
      </c>
      <c r="V94" s="42">
        <v>3831</v>
      </c>
      <c r="W94" s="42">
        <v>0</v>
      </c>
      <c r="X94" s="42">
        <f>IFERROR(VLOOKUP(A94,'Trans 21-23'!$A$2:$J$229,10,0),0)</f>
        <v>313696</v>
      </c>
      <c r="Y94" s="42">
        <v>26923</v>
      </c>
      <c r="Z94" s="42">
        <v>23297</v>
      </c>
      <c r="AA94" s="42">
        <v>458936</v>
      </c>
      <c r="AB94" s="42">
        <v>5339</v>
      </c>
      <c r="AC94" s="42">
        <v>1300</v>
      </c>
      <c r="AD94" s="42">
        <v>4556777</v>
      </c>
      <c r="AE94" s="42">
        <v>0</v>
      </c>
      <c r="AF94" s="42">
        <v>44237154</v>
      </c>
      <c r="AG94" s="42">
        <v>6307</v>
      </c>
      <c r="AH94" s="42">
        <v>14343</v>
      </c>
      <c r="AI94" s="42">
        <v>960612</v>
      </c>
      <c r="AJ94" s="42">
        <v>475</v>
      </c>
      <c r="AK94" s="42">
        <v>0</v>
      </c>
      <c r="AL94" s="42">
        <v>61613</v>
      </c>
      <c r="AM94" s="42">
        <v>19375</v>
      </c>
      <c r="AN94" s="42">
        <v>631059</v>
      </c>
      <c r="AO94" s="42">
        <v>251</v>
      </c>
      <c r="AP94" s="42">
        <v>0</v>
      </c>
      <c r="AQ94" s="42">
        <v>712298</v>
      </c>
      <c r="AR94" s="42">
        <v>233496</v>
      </c>
      <c r="AS94" s="42">
        <v>945794</v>
      </c>
      <c r="AT94" s="42">
        <v>0</v>
      </c>
      <c r="AU94" s="42">
        <v>98444</v>
      </c>
      <c r="AV94" s="42">
        <v>0</v>
      </c>
      <c r="AW94" s="42">
        <v>5676504</v>
      </c>
      <c r="AX94" s="42">
        <v>0</v>
      </c>
      <c r="AY94" s="42">
        <v>2351707</v>
      </c>
      <c r="AZ94" s="42">
        <v>2791243</v>
      </c>
      <c r="BA94" s="42">
        <v>3142950</v>
      </c>
      <c r="BB94" s="42">
        <v>36759860</v>
      </c>
      <c r="BC94" s="42">
        <v>90986980</v>
      </c>
      <c r="BD94" s="42">
        <v>5181821</v>
      </c>
      <c r="BE94" s="42">
        <v>20577909</v>
      </c>
      <c r="BF94" s="42">
        <v>1041413</v>
      </c>
      <c r="BG94" s="42">
        <v>0</v>
      </c>
      <c r="BH94" s="42">
        <v>454103</v>
      </c>
      <c r="BI94" s="42">
        <v>258406</v>
      </c>
      <c r="BJ94" s="42">
        <v>0</v>
      </c>
      <c r="BK94" s="42">
        <v>0</v>
      </c>
      <c r="BL94" s="42">
        <v>0</v>
      </c>
      <c r="BM94" s="42">
        <v>1390691</v>
      </c>
      <c r="BN94" s="42">
        <v>3919005</v>
      </c>
      <c r="BO94" s="42">
        <v>8829</v>
      </c>
      <c r="BP94" s="42">
        <v>288426</v>
      </c>
      <c r="BQ94" s="42">
        <v>5114031</v>
      </c>
      <c r="BR94" s="42">
        <v>0</v>
      </c>
      <c r="BS94" s="42">
        <f>IFERROR(VLOOKUP(A94,'Trans 21-23'!$A$2:$J$229,9,0),0)</f>
        <v>16893941</v>
      </c>
      <c r="BT94" s="67"/>
      <c r="BU94" s="32">
        <f t="shared" si="0"/>
        <v>36759860</v>
      </c>
      <c r="BV94" s="32">
        <f t="shared" si="1"/>
        <v>98444</v>
      </c>
      <c r="BW94" s="32">
        <f t="shared" si="2"/>
        <v>6307</v>
      </c>
      <c r="BX94" s="32">
        <f t="shared" si="3"/>
        <v>905102</v>
      </c>
      <c r="BY94" s="32">
        <f t="shared" si="4"/>
        <v>515795</v>
      </c>
      <c r="BZ94" s="32">
        <f t="shared" si="5"/>
        <v>2791243</v>
      </c>
      <c r="CA94" s="32">
        <f t="shared" si="6"/>
        <v>4556777</v>
      </c>
      <c r="CB94" s="32">
        <f t="shared" si="7"/>
        <v>14343</v>
      </c>
      <c r="CC94" s="32">
        <f t="shared" si="8"/>
        <v>712298</v>
      </c>
      <c r="CD94" s="41">
        <v>0</v>
      </c>
      <c r="CE94" s="44">
        <f t="shared" si="10"/>
        <v>18</v>
      </c>
      <c r="CF94" s="27"/>
      <c r="CG94" s="28" t="str">
        <f t="shared" si="11"/>
        <v/>
      </c>
      <c r="CH94" s="28" t="str">
        <f t="shared" si="12"/>
        <v/>
      </c>
      <c r="CI94" s="28" t="str">
        <f t="shared" si="13"/>
        <v/>
      </c>
      <c r="CJ94" s="28" t="str">
        <f t="shared" si="14"/>
        <v/>
      </c>
      <c r="CK94" s="23" t="str">
        <f t="shared" si="15"/>
        <v/>
      </c>
      <c r="CL94" s="29" t="str">
        <f t="shared" si="16"/>
        <v/>
      </c>
      <c r="CM94" s="29" t="str">
        <f t="shared" si="17"/>
        <v/>
      </c>
      <c r="CN94" s="29" t="str">
        <f t="shared" si="18"/>
        <v/>
      </c>
      <c r="CO94" s="29" t="str">
        <f t="shared" si="19"/>
        <v/>
      </c>
      <c r="CP94" s="29" t="str">
        <f t="shared" si="20"/>
        <v/>
      </c>
      <c r="CQ94" s="29" t="str">
        <f t="shared" si="21"/>
        <v/>
      </c>
      <c r="CR94" s="13"/>
      <c r="CS94" s="7" t="str">
        <f>VLOOKUP(A94,'Empresas 21-23'!$A$2:$M$228,13,0)</f>
        <v/>
      </c>
      <c r="CT94" s="30"/>
      <c r="CU94" s="6">
        <f t="shared" si="22"/>
        <v>46308583.799999997</v>
      </c>
      <c r="CV94" s="6">
        <f t="shared" si="23"/>
        <v>2791243</v>
      </c>
      <c r="CW94" s="6">
        <f t="shared" si="24"/>
        <v>5181821</v>
      </c>
      <c r="CX94" s="23">
        <f t="shared" si="65"/>
        <v>0.53969463304648146</v>
      </c>
      <c r="CY94" s="23">
        <f t="shared" si="66"/>
        <v>3.2530013725631579E-2</v>
      </c>
      <c r="CZ94" s="6">
        <f t="shared" si="27"/>
        <v>49105184.783107549</v>
      </c>
      <c r="DA94" s="6">
        <f t="shared" si="28"/>
        <v>2959807.7082537659</v>
      </c>
      <c r="DB94" s="6">
        <f t="shared" si="29"/>
        <v>905102</v>
      </c>
      <c r="DC94" s="6">
        <f t="shared" si="30"/>
        <v>1218798</v>
      </c>
      <c r="DD94" s="6">
        <f t="shared" si="31"/>
        <v>515795</v>
      </c>
      <c r="DE94" s="6">
        <f t="shared" si="32"/>
        <v>4556777</v>
      </c>
      <c r="DF94" s="6">
        <f t="shared" si="33"/>
        <v>1764823.0280731807</v>
      </c>
      <c r="DG94" s="30"/>
      <c r="DH94" s="32">
        <f>VLOOKUP(A94,'T_med_comp-USA'!$A$7:$Q$233,17,0)</f>
        <v>19.824489155707166</v>
      </c>
      <c r="DI94" s="6" t="str">
        <f t="shared" si="34"/>
        <v>3_2004</v>
      </c>
      <c r="DJ94" s="32">
        <f>IF(DI94="","",VLOOKUP(DI94,'CPI USA'!$T:$U,2,FALSE))</f>
        <v>188.9</v>
      </c>
      <c r="DK94" s="32">
        <f>IF(DI94="","",VLOOKUP(DI94,'PPI USA'!$S:$T,2,FALSE))</f>
        <v>123.7</v>
      </c>
      <c r="DL94" s="32">
        <f>IF(DI94="","",VLOOKUP(DI94,'CPI USA'!$T:$V,3,FALSE))</f>
        <v>0.68116912558338294</v>
      </c>
      <c r="DM94" s="32">
        <f>IF(DI94="","",VLOOKUP(DI94,'CPI USA'!$T:$X,5,FALSE))</f>
        <v>0.51091164550905577</v>
      </c>
      <c r="DN94" s="32">
        <f t="shared" si="35"/>
        <v>1.7242718973721483</v>
      </c>
      <c r="DO94" s="32">
        <f t="shared" si="36"/>
        <v>1.7568944717328012</v>
      </c>
      <c r="DP94" s="32">
        <f t="shared" si="37"/>
        <v>0.50284502078947013</v>
      </c>
      <c r="DQ94" s="32">
        <f>IF(DP94="","",DP94*$DO$1/'CPI USA'!$U$532+(1-DP94)*AVERAGE($DO$1,$DQ$1)/AVERAGE('CPI USA'!$U$532,'PPI USA'!$T$538))</f>
        <v>1.0356925147751603</v>
      </c>
      <c r="DR94" s="6">
        <f t="shared" si="38"/>
        <v>258406</v>
      </c>
      <c r="DS94" s="32">
        <f t="shared" si="39"/>
        <v>0.5021145116671355</v>
      </c>
      <c r="DT94" s="28">
        <f>IF(DS94="","",DS94*$DO$1/'CPI USA'!$U$532+(1-DS94)*AVERAGE($DO$1,$DQ$1)/AVERAGE('CPI USA'!$U$532,'PPI USA'!$T$538))</f>
        <v>1.0357093741074603</v>
      </c>
      <c r="DU94" s="6">
        <f t="shared" si="40"/>
        <v>1393824.0429124229</v>
      </c>
      <c r="DV94" s="6">
        <f t="shared" si="41"/>
        <v>83121.482667147444</v>
      </c>
      <c r="DW94" s="6">
        <f t="shared" si="42"/>
        <v>268521.46896601917</v>
      </c>
      <c r="DX94" s="16">
        <f t="shared" si="43"/>
        <v>0.2</v>
      </c>
      <c r="DY94" s="28">
        <f>IF(DX94="","",DX94*$DO$1/'CPI USA'!$U$532+(1-DX94)*AVERAGE($DO$1,$DQ$1)/AVERAGE('CPI USA'!$U$532,'PPI USA'!$T$538))</f>
        <v>1.0426818386380585</v>
      </c>
      <c r="DZ94" s="30"/>
      <c r="EA94" s="29" t="str">
        <f t="shared" si="44"/>
        <v>C001153</v>
      </c>
      <c r="EB94" s="29" t="str">
        <f t="shared" si="45"/>
        <v/>
      </c>
      <c r="EC94" s="29" t="str">
        <f t="shared" si="46"/>
        <v/>
      </c>
      <c r="ED94" s="29" t="str">
        <f t="shared" si="47"/>
        <v/>
      </c>
      <c r="EE94" s="29" t="str">
        <f t="shared" si="48"/>
        <v/>
      </c>
      <c r="EF94" s="29" t="str">
        <f t="shared" si="49"/>
        <v/>
      </c>
      <c r="EG94" s="29" t="str">
        <f t="shared" si="50"/>
        <v/>
      </c>
      <c r="EH94" s="29" t="str">
        <f t="shared" si="51"/>
        <v/>
      </c>
      <c r="EI94" s="29" t="str">
        <f t="shared" si="52"/>
        <v/>
      </c>
      <c r="EJ94" s="29" t="str">
        <f t="shared" si="53"/>
        <v/>
      </c>
      <c r="EK94" s="29" t="str">
        <f t="shared" si="54"/>
        <v/>
      </c>
      <c r="EL94" s="29" t="str">
        <f>IF(CD94=1,VLOOKUP(EA94,'EIA 2023'!$A$2:$J$213,4,0)*EH94,"")</f>
        <v/>
      </c>
      <c r="EM94" s="29" t="str">
        <f>IF(CD94=1,VLOOKUP(EA94,'EIA 2023'!$A$2:$J$213,7,0)*EH94,"")</f>
        <v/>
      </c>
      <c r="EN94" s="29" t="str">
        <f>IF(CD94=1,VLOOKUP(EA94,'EIA 2023'!$A$2:$J$213,10,0),"")</f>
        <v/>
      </c>
      <c r="EO94" s="28" t="str">
        <f>IF(CD94=1,VLOOKUP(EA94,'EIA 2023'!$A$2:$Z$213,26,0),"")</f>
        <v/>
      </c>
      <c r="EP94" s="23" t="str">
        <f t="shared" si="55"/>
        <v/>
      </c>
      <c r="EQ94" s="32" t="str">
        <f t="shared" si="56"/>
        <v/>
      </c>
      <c r="ER94" s="32" t="str">
        <f t="shared" si="57"/>
        <v/>
      </c>
      <c r="ES94" s="32"/>
      <c r="ET94" s="32"/>
    </row>
    <row r="95" spans="1:150" ht="15.75" customHeight="1">
      <c r="A95" s="7" t="s">
        <v>490</v>
      </c>
      <c r="B95" s="7" t="s">
        <v>491</v>
      </c>
      <c r="C95" s="32" t="s">
        <v>1180</v>
      </c>
      <c r="D95" s="42">
        <v>204049396</v>
      </c>
      <c r="E95" s="42">
        <v>31530344</v>
      </c>
      <c r="F95" s="42">
        <v>37398290</v>
      </c>
      <c r="G95" s="42">
        <v>218712893</v>
      </c>
      <c r="H95" s="42">
        <v>222266522</v>
      </c>
      <c r="I95" s="42">
        <v>1574140</v>
      </c>
      <c r="J95" s="42">
        <v>67658</v>
      </c>
      <c r="K95" s="42">
        <v>930640</v>
      </c>
      <c r="L95" s="42">
        <v>369962</v>
      </c>
      <c r="M95" s="42">
        <v>2591339</v>
      </c>
      <c r="N95" s="42">
        <v>1908</v>
      </c>
      <c r="O95" s="42">
        <v>7042029</v>
      </c>
      <c r="P95" s="42">
        <v>430282</v>
      </c>
      <c r="Q95" s="42">
        <v>85468</v>
      </c>
      <c r="R95" s="42">
        <v>0</v>
      </c>
      <c r="S95" s="42">
        <v>484924</v>
      </c>
      <c r="T95" s="42">
        <v>32795103</v>
      </c>
      <c r="U95" s="42">
        <v>1413234</v>
      </c>
      <c r="V95" s="42">
        <v>52643</v>
      </c>
      <c r="W95" s="42">
        <v>2405925</v>
      </c>
      <c r="X95" s="42">
        <f>IFERROR(VLOOKUP(A95,'Trans 21-23'!$A$2:$J$229,10,0),0)</f>
        <v>652350</v>
      </c>
      <c r="Y95" s="42">
        <v>138859</v>
      </c>
      <c r="Z95" s="42">
        <v>496107</v>
      </c>
      <c r="AA95" s="42">
        <v>21003856</v>
      </c>
      <c r="AB95" s="42">
        <v>13530177</v>
      </c>
      <c r="AC95" s="42">
        <v>297059</v>
      </c>
      <c r="AD95" s="42">
        <v>37777300</v>
      </c>
      <c r="AE95" s="42">
        <v>0</v>
      </c>
      <c r="AF95" s="42">
        <v>765043410</v>
      </c>
      <c r="AG95" s="42">
        <v>579983</v>
      </c>
      <c r="AH95" s="42">
        <v>514332</v>
      </c>
      <c r="AI95" s="42">
        <v>20112600</v>
      </c>
      <c r="AJ95" s="42">
        <v>60419</v>
      </c>
      <c r="AK95" s="42">
        <v>0</v>
      </c>
      <c r="AL95" s="42">
        <v>5502529</v>
      </c>
      <c r="AM95" s="42">
        <v>7347478</v>
      </c>
      <c r="AN95" s="42">
        <v>1677872</v>
      </c>
      <c r="AO95" s="42">
        <v>60175</v>
      </c>
      <c r="AP95" s="42">
        <v>0</v>
      </c>
      <c r="AQ95" s="42">
        <v>14588054</v>
      </c>
      <c r="AR95" s="42">
        <v>4949795</v>
      </c>
      <c r="AS95" s="42">
        <v>19537849</v>
      </c>
      <c r="AT95" s="42">
        <v>0</v>
      </c>
      <c r="AU95" s="42">
        <v>3599</v>
      </c>
      <c r="AV95" s="42">
        <v>0</v>
      </c>
      <c r="AW95" s="42">
        <v>399609297</v>
      </c>
      <c r="AX95" s="42">
        <v>437349849</v>
      </c>
      <c r="AY95" s="42">
        <v>808880530</v>
      </c>
      <c r="AZ95" s="42">
        <v>191112006</v>
      </c>
      <c r="BA95" s="42">
        <v>32781378</v>
      </c>
      <c r="BB95" s="42">
        <v>3520132378</v>
      </c>
      <c r="BC95" s="42">
        <v>13030104061</v>
      </c>
      <c r="BD95" s="42">
        <v>622914625</v>
      </c>
      <c r="BE95" s="42">
        <v>1008906179</v>
      </c>
      <c r="BF95" s="42">
        <v>86306530</v>
      </c>
      <c r="BG95" s="42">
        <v>0</v>
      </c>
      <c r="BH95" s="42">
        <v>7326949</v>
      </c>
      <c r="BI95" s="42">
        <v>8453483</v>
      </c>
      <c r="BJ95" s="42">
        <v>2164444</v>
      </c>
      <c r="BK95" s="42">
        <v>266370</v>
      </c>
      <c r="BL95" s="42">
        <v>0</v>
      </c>
      <c r="BM95" s="42">
        <v>27717877</v>
      </c>
      <c r="BN95" s="42">
        <v>118897203</v>
      </c>
      <c r="BO95" s="42">
        <v>7938049</v>
      </c>
      <c r="BP95" s="42">
        <v>1204291</v>
      </c>
      <c r="BQ95" s="42">
        <v>166394870</v>
      </c>
      <c r="BR95" s="42">
        <v>0</v>
      </c>
      <c r="BS95" s="42">
        <f>IFERROR(VLOOKUP(A95,'Trans 21-23'!$A$2:$J$229,9,0),0)</f>
        <v>64243464</v>
      </c>
      <c r="BT95" s="67"/>
      <c r="BU95" s="32">
        <f t="shared" si="0"/>
        <v>3520132378</v>
      </c>
      <c r="BV95" s="32">
        <f t="shared" si="1"/>
        <v>3599</v>
      </c>
      <c r="BW95" s="32">
        <f t="shared" si="2"/>
        <v>579983</v>
      </c>
      <c r="BX95" s="32">
        <f t="shared" si="3"/>
        <v>50245255</v>
      </c>
      <c r="BY95" s="32">
        <f t="shared" si="4"/>
        <v>35466058</v>
      </c>
      <c r="BZ95" s="32">
        <f t="shared" si="5"/>
        <v>191112006</v>
      </c>
      <c r="CA95" s="32">
        <f t="shared" si="6"/>
        <v>37777300</v>
      </c>
      <c r="CB95" s="32">
        <f t="shared" si="7"/>
        <v>514332</v>
      </c>
      <c r="CC95" s="32">
        <f t="shared" si="8"/>
        <v>14588054</v>
      </c>
      <c r="CD95" s="41">
        <f t="shared" ref="CD95:CD145" si="67">IF(OR(BU95&lt;=0,BV95&lt;=0,BW95&lt;=0,BX95&lt;=0,BY95&lt;=0,BZ95&lt;=0,CA95&lt;=0,CB95&lt;=0,CC95&lt;=0,DH95="-"),0,1)</f>
        <v>1</v>
      </c>
      <c r="CE95" s="44">
        <f t="shared" si="10"/>
        <v>9</v>
      </c>
      <c r="CF95" s="27"/>
      <c r="CG95" s="28">
        <f t="shared" si="11"/>
        <v>978.08624006668526</v>
      </c>
      <c r="CH95" s="28">
        <f t="shared" si="12"/>
        <v>6.2053542948672638</v>
      </c>
      <c r="CI95" s="28">
        <f t="shared" si="13"/>
        <v>86.632289222270302</v>
      </c>
      <c r="CJ95" s="28">
        <f t="shared" si="14"/>
        <v>329.51311676376719</v>
      </c>
      <c r="CK95" s="23">
        <f t="shared" si="15"/>
        <v>3.5257067186617218E-2</v>
      </c>
      <c r="CL95" s="29" t="str">
        <f t="shared" si="16"/>
        <v/>
      </c>
      <c r="CM95" s="29" t="str">
        <f t="shared" si="17"/>
        <v/>
      </c>
      <c r="CN95" s="29" t="str">
        <f t="shared" si="18"/>
        <v/>
      </c>
      <c r="CO95" s="29" t="str">
        <f t="shared" si="19"/>
        <v/>
      </c>
      <c r="CP95" s="29" t="str">
        <f t="shared" si="20"/>
        <v/>
      </c>
      <c r="CQ95" s="29">
        <f t="shared" si="21"/>
        <v>0</v>
      </c>
      <c r="CR95" s="13"/>
      <c r="CS95" s="7">
        <f>VLOOKUP(A95,'Empresas 21-23'!$A$2:$M$228,13,0)</f>
        <v>1</v>
      </c>
      <c r="CT95" s="30"/>
      <c r="CU95" s="6">
        <f t="shared" si="22"/>
        <v>2612744230.5999999</v>
      </c>
      <c r="CV95" s="6">
        <f t="shared" si="23"/>
        <v>191112006</v>
      </c>
      <c r="CW95" s="6">
        <f t="shared" si="24"/>
        <v>622914625</v>
      </c>
      <c r="CX95" s="23">
        <f t="shared" si="65"/>
        <v>0.21058308524080471</v>
      </c>
      <c r="CY95" s="23">
        <f t="shared" si="66"/>
        <v>1.5403327803271884E-2</v>
      </c>
      <c r="CZ95" s="6">
        <f t="shared" si="27"/>
        <v>2743919514.174119</v>
      </c>
      <c r="DA95" s="6">
        <f t="shared" si="28"/>
        <v>200706964.16232717</v>
      </c>
      <c r="DB95" s="6">
        <f t="shared" si="29"/>
        <v>50245255</v>
      </c>
      <c r="DC95" s="6">
        <f t="shared" si="30"/>
        <v>50897605</v>
      </c>
      <c r="DD95" s="6">
        <f t="shared" si="31"/>
        <v>35466058</v>
      </c>
      <c r="DE95" s="6">
        <f t="shared" si="32"/>
        <v>37777300</v>
      </c>
      <c r="DF95" s="6">
        <f t="shared" si="33"/>
        <v>14061564.08211818</v>
      </c>
      <c r="DG95" s="30"/>
      <c r="DH95" s="32">
        <f>VLOOKUP(A95,'T_med_comp-USA'!$A$7:$Q$233,17,0)</f>
        <v>12.480200145219991</v>
      </c>
      <c r="DI95" s="6" t="str">
        <f t="shared" si="34"/>
        <v>7_2011</v>
      </c>
      <c r="DJ95" s="32">
        <f>IF(DI95="","",VLOOKUP(DI95,'CPI USA'!$T:$U,2,FALSE))</f>
        <v>224.93899999999999</v>
      </c>
      <c r="DK95" s="32">
        <f>IF(DI95="","",VLOOKUP(DI95,'PPI USA'!$S:$T,2,FALSE))</f>
        <v>169.6</v>
      </c>
      <c r="DL95" s="32">
        <f>IF(DI95="","",VLOOKUP(DI95,'CPI USA'!$T:$V,3,FALSE))</f>
        <v>0.6684022975047168</v>
      </c>
      <c r="DM95" s="32">
        <f>IF(DI95="","",VLOOKUP(DI95,'CPI USA'!$T:$X,5,FALSE))</f>
        <v>0.49636791791307899</v>
      </c>
      <c r="DN95" s="32">
        <f t="shared" si="35"/>
        <v>1.4208751760332547</v>
      </c>
      <c r="DO95" s="32">
        <f t="shared" si="36"/>
        <v>1.4334111417560953</v>
      </c>
      <c r="DP95" s="32">
        <f t="shared" si="37"/>
        <v>0.2</v>
      </c>
      <c r="DQ95" s="32">
        <f>IF(DP95="","",DP95*$DO$1/'CPI USA'!$U$532+(1-DP95)*AVERAGE($DO$1,$DQ$1)/AVERAGE('CPI USA'!$U$532,'PPI USA'!$T$538))</f>
        <v>1.0426818386380585</v>
      </c>
      <c r="DR95" s="6">
        <f t="shared" si="38"/>
        <v>10884297</v>
      </c>
      <c r="DS95" s="32">
        <f t="shared" si="39"/>
        <v>0.32738275709832543</v>
      </c>
      <c r="DT95" s="28">
        <f>IF(DS95="","",DS95*$DO$1/'CPI USA'!$U$532+(1-DS95)*AVERAGE($DO$1,$DQ$1)/AVERAGE('CPI USA'!$U$532,'PPI USA'!$T$538))</f>
        <v>1.0397419872857459</v>
      </c>
      <c r="DU95" s="6">
        <f t="shared" si="40"/>
        <v>29568432.439912014</v>
      </c>
      <c r="DV95" s="6">
        <f t="shared" si="41"/>
        <v>202071.99473649767</v>
      </c>
      <c r="DW95" s="6">
        <f t="shared" si="42"/>
        <v>4559888.425663596</v>
      </c>
      <c r="DX95" s="16">
        <f t="shared" si="43"/>
        <v>0.32428031469573987</v>
      </c>
      <c r="DY95" s="28">
        <f>IF(DX95="","",DX95*$DO$1/'CPI USA'!$U$532+(1-DX95)*AVERAGE($DO$1,$DQ$1)/AVERAGE('CPI USA'!$U$532,'PPI USA'!$T$538))</f>
        <v>1.0398135881813497</v>
      </c>
      <c r="DZ95" s="30"/>
      <c r="EA95" s="29" t="str">
        <f t="shared" si="44"/>
        <v>C001181</v>
      </c>
      <c r="EB95" s="29">
        <f t="shared" si="45"/>
        <v>3898767122.7232342</v>
      </c>
      <c r="EC95" s="29">
        <f t="shared" si="46"/>
        <v>287695598.65832108</v>
      </c>
      <c r="ED95" s="29">
        <f t="shared" si="47"/>
        <v>53070008.363673642</v>
      </c>
      <c r="EE95" s="29">
        <f t="shared" si="48"/>
        <v>36875549.626111522</v>
      </c>
      <c r="EF95" s="29">
        <f t="shared" si="49"/>
        <v>14621405.403669292</v>
      </c>
      <c r="EG95" s="29">
        <f t="shared" si="50"/>
        <v>3599</v>
      </c>
      <c r="EH95" s="29">
        <f t="shared" si="51"/>
        <v>579983</v>
      </c>
      <c r="EI95" s="29">
        <f t="shared" si="52"/>
        <v>514332</v>
      </c>
      <c r="EJ95" s="29">
        <f t="shared" si="53"/>
        <v>14588054</v>
      </c>
      <c r="EK95" s="29">
        <f t="shared" si="54"/>
        <v>15027008.411167514</v>
      </c>
      <c r="EL95" s="29">
        <f>IF(CD95=1,VLOOKUP(EA95,'EIA 2023'!$A$2:$J$213,4,0)*EH95,"")</f>
        <v>45285072.640000001</v>
      </c>
      <c r="EM95" s="29">
        <f>IF(CD95=1,VLOOKUP(EA95,'EIA 2023'!$A$2:$J$213,7,0)*EH95,"")</f>
        <v>799216.57399999991</v>
      </c>
      <c r="EN95" s="29">
        <f>IF(CD95=1,VLOOKUP(EA95,'EIA 2023'!$A$2:$J$213,10,0),"")</f>
        <v>286098</v>
      </c>
      <c r="EO95" s="28">
        <f>IF(CD95=1,VLOOKUP(EA95,'EIA 2023'!$A$2:$Z$213,26,0),"")</f>
        <v>0</v>
      </c>
      <c r="EP95" s="23">
        <f t="shared" si="55"/>
        <v>2.9211031175127182E-2</v>
      </c>
      <c r="EQ95" s="32">
        <f t="shared" si="56"/>
        <v>75377.588832487352</v>
      </c>
      <c r="ER95" s="32">
        <f t="shared" si="57"/>
        <v>438954.41116751265</v>
      </c>
      <c r="ES95" s="32"/>
      <c r="ET95" s="32"/>
    </row>
    <row r="96" spans="1:150" ht="15.75" customHeight="1">
      <c r="A96" s="7" t="s">
        <v>493</v>
      </c>
      <c r="B96" s="7" t="s">
        <v>494</v>
      </c>
      <c r="C96" s="32" t="s">
        <v>1181</v>
      </c>
      <c r="D96" s="42">
        <v>145830407</v>
      </c>
      <c r="E96" s="42">
        <v>0</v>
      </c>
      <c r="F96" s="42">
        <v>26871164</v>
      </c>
      <c r="G96" s="42">
        <v>201884633</v>
      </c>
      <c r="H96" s="42">
        <v>206666080</v>
      </c>
      <c r="I96" s="42">
        <v>1163310</v>
      </c>
      <c r="J96" s="42">
        <v>89353</v>
      </c>
      <c r="K96" s="42">
        <v>670289</v>
      </c>
      <c r="L96" s="42">
        <v>1285078</v>
      </c>
      <c r="M96" s="42">
        <v>1366867</v>
      </c>
      <c r="N96" s="42">
        <v>6868</v>
      </c>
      <c r="O96" s="42">
        <v>3858817</v>
      </c>
      <c r="P96" s="42">
        <v>211149</v>
      </c>
      <c r="Q96" s="42">
        <v>54309</v>
      </c>
      <c r="R96" s="42">
        <v>0</v>
      </c>
      <c r="S96" s="42">
        <v>431443</v>
      </c>
      <c r="T96" s="42">
        <v>16187477</v>
      </c>
      <c r="U96" s="42">
        <v>364460</v>
      </c>
      <c r="V96" s="42">
        <v>24550</v>
      </c>
      <c r="W96" s="42">
        <v>3043705</v>
      </c>
      <c r="X96" s="42">
        <f>IFERROR(VLOOKUP(A96,'Trans 21-23'!$A$2:$J$229,10,0),0)</f>
        <v>2679355</v>
      </c>
      <c r="Y96" s="42">
        <v>841707</v>
      </c>
      <c r="Z96" s="42">
        <v>270453</v>
      </c>
      <c r="AA96" s="42">
        <v>24986990</v>
      </c>
      <c r="AB96" s="42">
        <v>22020300</v>
      </c>
      <c r="AC96" s="42">
        <v>119815</v>
      </c>
      <c r="AD96" s="42">
        <v>47920667</v>
      </c>
      <c r="AE96" s="42">
        <v>0</v>
      </c>
      <c r="AF96" s="42">
        <v>568987055</v>
      </c>
      <c r="AG96" s="42">
        <v>343882</v>
      </c>
      <c r="AH96" s="42">
        <v>200638</v>
      </c>
      <c r="AI96" s="42">
        <v>8993598</v>
      </c>
      <c r="AJ96" s="42">
        <v>18570</v>
      </c>
      <c r="AK96" s="42">
        <v>0</v>
      </c>
      <c r="AL96" s="42">
        <v>3609581</v>
      </c>
      <c r="AM96" s="42">
        <v>3435876</v>
      </c>
      <c r="AN96" s="42">
        <v>1395139</v>
      </c>
      <c r="AO96" s="42">
        <v>19890</v>
      </c>
      <c r="AP96" s="42">
        <v>0</v>
      </c>
      <c r="AQ96" s="42">
        <v>8460486</v>
      </c>
      <c r="AR96" s="42">
        <v>313904</v>
      </c>
      <c r="AS96" s="42">
        <v>8774390</v>
      </c>
      <c r="AT96" s="42">
        <v>0</v>
      </c>
      <c r="AU96" s="42">
        <v>2009</v>
      </c>
      <c r="AV96" s="42">
        <v>0</v>
      </c>
      <c r="AW96" s="42">
        <v>262137841</v>
      </c>
      <c r="AX96" s="42">
        <v>208016281</v>
      </c>
      <c r="AY96" s="42">
        <v>344239498</v>
      </c>
      <c r="AZ96" s="42">
        <v>87179984</v>
      </c>
      <c r="BA96" s="42">
        <v>60843644</v>
      </c>
      <c r="BB96" s="42">
        <v>2148014047</v>
      </c>
      <c r="BC96" s="42">
        <v>4795223867</v>
      </c>
      <c r="BD96" s="42">
        <v>192067533</v>
      </c>
      <c r="BE96" s="42">
        <v>672464494</v>
      </c>
      <c r="BF96" s="42">
        <v>63624971</v>
      </c>
      <c r="BG96" s="42">
        <v>0</v>
      </c>
      <c r="BH96" s="42">
        <v>3583556</v>
      </c>
      <c r="BI96" s="42">
        <v>4944817</v>
      </c>
      <c r="BJ96" s="42">
        <v>1300354</v>
      </c>
      <c r="BK96" s="42">
        <v>107367</v>
      </c>
      <c r="BL96" s="42">
        <v>0</v>
      </c>
      <c r="BM96" s="42">
        <v>10767140</v>
      </c>
      <c r="BN96" s="42">
        <v>35020576</v>
      </c>
      <c r="BO96" s="42">
        <v>2693109</v>
      </c>
      <c r="BP96" s="42">
        <v>404549</v>
      </c>
      <c r="BQ96" s="42">
        <v>63020468</v>
      </c>
      <c r="BR96" s="42">
        <v>0</v>
      </c>
      <c r="BS96" s="42">
        <f>IFERROR(VLOOKUP(A96,'Trans 21-23'!$A$2:$J$229,9,0),0)</f>
        <v>263862890</v>
      </c>
      <c r="BT96" s="67"/>
      <c r="BU96" s="32">
        <f t="shared" si="0"/>
        <v>2148014047</v>
      </c>
      <c r="BV96" s="32">
        <f t="shared" si="1"/>
        <v>2009</v>
      </c>
      <c r="BW96" s="32">
        <f t="shared" si="2"/>
        <v>343882</v>
      </c>
      <c r="BX96" s="32">
        <f t="shared" si="3"/>
        <v>28757675</v>
      </c>
      <c r="BY96" s="32">
        <f t="shared" si="4"/>
        <v>48239265</v>
      </c>
      <c r="BZ96" s="32">
        <f t="shared" si="5"/>
        <v>87179984</v>
      </c>
      <c r="CA96" s="32">
        <f t="shared" si="6"/>
        <v>47920667</v>
      </c>
      <c r="CB96" s="32">
        <f t="shared" si="7"/>
        <v>200638</v>
      </c>
      <c r="CC96" s="32">
        <f t="shared" si="8"/>
        <v>8460486</v>
      </c>
      <c r="CD96" s="41">
        <f t="shared" si="67"/>
        <v>1</v>
      </c>
      <c r="CE96" s="44">
        <f t="shared" si="10"/>
        <v>10</v>
      </c>
      <c r="CF96" s="27"/>
      <c r="CG96" s="28">
        <f t="shared" si="11"/>
        <v>1069.1956431060228</v>
      </c>
      <c r="CH96" s="28">
        <f t="shared" si="12"/>
        <v>5.8421202621829584</v>
      </c>
      <c r="CI96" s="28">
        <f t="shared" si="13"/>
        <v>83.626578303022555</v>
      </c>
      <c r="CJ96" s="28">
        <f t="shared" si="14"/>
        <v>253.51714832413444</v>
      </c>
      <c r="CK96" s="23">
        <f t="shared" si="15"/>
        <v>2.3714713315523481E-2</v>
      </c>
      <c r="CL96" s="29" t="str">
        <f t="shared" si="16"/>
        <v/>
      </c>
      <c r="CM96" s="29" t="str">
        <f t="shared" si="17"/>
        <v/>
      </c>
      <c r="CN96" s="29" t="str">
        <f t="shared" si="18"/>
        <v/>
      </c>
      <c r="CO96" s="29" t="str">
        <f t="shared" si="19"/>
        <v/>
      </c>
      <c r="CP96" s="29" t="str">
        <f t="shared" si="20"/>
        <v/>
      </c>
      <c r="CQ96" s="29">
        <f t="shared" si="21"/>
        <v>0</v>
      </c>
      <c r="CR96" s="13"/>
      <c r="CS96" s="7">
        <f>VLOOKUP(A96,'Empresas 21-23'!$A$2:$M$228,13,0)</f>
        <v>1</v>
      </c>
      <c r="CT96" s="30"/>
      <c r="CU96" s="6">
        <f t="shared" si="22"/>
        <v>1932499841.5999999</v>
      </c>
      <c r="CV96" s="6">
        <f t="shared" si="23"/>
        <v>87179984</v>
      </c>
      <c r="CW96" s="6">
        <f t="shared" si="24"/>
        <v>192067533</v>
      </c>
      <c r="CX96" s="23">
        <f t="shared" si="65"/>
        <v>0.41982059729887938</v>
      </c>
      <c r="CY96" s="23">
        <f t="shared" si="66"/>
        <v>1.8939175138603929E-2</v>
      </c>
      <c r="CZ96" s="6">
        <f t="shared" si="27"/>
        <v>2013133748.0257821</v>
      </c>
      <c r="DA96" s="6">
        <f t="shared" si="28"/>
        <v>90817584.645926595</v>
      </c>
      <c r="DB96" s="6">
        <f t="shared" si="29"/>
        <v>28757675</v>
      </c>
      <c r="DC96" s="6">
        <f t="shared" si="30"/>
        <v>31437030</v>
      </c>
      <c r="DD96" s="6">
        <f t="shared" si="31"/>
        <v>48239265</v>
      </c>
      <c r="DE96" s="6">
        <f t="shared" si="32"/>
        <v>47920667</v>
      </c>
      <c r="DF96" s="6">
        <f t="shared" si="33"/>
        <v>26945485.057419848</v>
      </c>
      <c r="DG96" s="30"/>
      <c r="DH96" s="32">
        <f>VLOOKUP(A96,'T_med_comp-USA'!$A$7:$Q$233,17,0)</f>
        <v>11.599306014310216</v>
      </c>
      <c r="DI96" s="6" t="str">
        <f t="shared" si="34"/>
        <v>5_2012</v>
      </c>
      <c r="DJ96" s="32">
        <f>IF(DI96="","",VLOOKUP(DI96,'CPI USA'!$T:$U,2,FALSE))</f>
        <v>229.59399999999999</v>
      </c>
      <c r="DK96" s="32">
        <f>IF(DI96="","",VLOOKUP(DI96,'PPI USA'!$S:$T,2,FALSE))</f>
        <v>175.1</v>
      </c>
      <c r="DL96" s="32">
        <f>IF(DI96="","",VLOOKUP(DI96,'CPI USA'!$T:$V,3,FALSE))</f>
        <v>0.66730871354337351</v>
      </c>
      <c r="DM96" s="32">
        <f>IF(DI96="","",VLOOKUP(DI96,'CPI USA'!$T:$X,5,FALSE))</f>
        <v>0.49513551903851311</v>
      </c>
      <c r="DN96" s="32">
        <f t="shared" si="35"/>
        <v>1.3897894616766442</v>
      </c>
      <c r="DO96" s="32">
        <f t="shared" si="36"/>
        <v>1.4008620811189902</v>
      </c>
      <c r="DP96" s="32">
        <f t="shared" si="37"/>
        <v>0.2</v>
      </c>
      <c r="DQ96" s="32">
        <f>IF(DP96="","",DP96*$DO$1/'CPI USA'!$U$532+(1-DP96)*AVERAGE($DO$1,$DQ$1)/AVERAGE('CPI USA'!$U$532,'PPI USA'!$T$538))</f>
        <v>1.0426818386380585</v>
      </c>
      <c r="DR96" s="6">
        <f t="shared" si="38"/>
        <v>6352538</v>
      </c>
      <c r="DS96" s="32">
        <f t="shared" si="39"/>
        <v>0.2</v>
      </c>
      <c r="DT96" s="28">
        <f>IF(DS96="","",DS96*$DO$1/'CPI USA'!$U$532+(1-DS96)*AVERAGE($DO$1,$DQ$1)/AVERAGE('CPI USA'!$U$532,'PPI USA'!$T$538))</f>
        <v>1.0426818386380585</v>
      </c>
      <c r="DU96" s="6">
        <f t="shared" si="40"/>
        <v>11595141.276685454</v>
      </c>
      <c r="DV96" s="6">
        <f t="shared" si="41"/>
        <v>69564.350239114123</v>
      </c>
      <c r="DW96" s="6">
        <f t="shared" si="42"/>
        <v>3309528.9920831523</v>
      </c>
      <c r="DX96" s="16">
        <f t="shared" si="43"/>
        <v>0.2</v>
      </c>
      <c r="DY96" s="28">
        <f>IF(DX96="","",DX96*$DO$1/'CPI USA'!$U$532+(1-DX96)*AVERAGE($DO$1,$DQ$1)/AVERAGE('CPI USA'!$U$532,'PPI USA'!$T$538))</f>
        <v>1.0426818386380585</v>
      </c>
      <c r="DZ96" s="30"/>
      <c r="EA96" s="29" t="str">
        <f t="shared" si="44"/>
        <v>C001182</v>
      </c>
      <c r="EB96" s="29">
        <f t="shared" si="45"/>
        <v>2797832067.9518366</v>
      </c>
      <c r="EC96" s="29">
        <f t="shared" si="46"/>
        <v>127222910.62929279</v>
      </c>
      <c r="ED96" s="29">
        <f t="shared" si="47"/>
        <v>32778820.241719805</v>
      </c>
      <c r="EE96" s="29">
        <f t="shared" si="48"/>
        <v>50298205.524748541</v>
      </c>
      <c r="EF96" s="29">
        <f t="shared" si="49"/>
        <v>28095567.902664859</v>
      </c>
      <c r="EG96" s="29">
        <f t="shared" si="50"/>
        <v>2009</v>
      </c>
      <c r="EH96" s="29">
        <f t="shared" si="51"/>
        <v>343882</v>
      </c>
      <c r="EI96" s="29">
        <f t="shared" si="52"/>
        <v>200638</v>
      </c>
      <c r="EJ96" s="29">
        <f t="shared" si="53"/>
        <v>8460486</v>
      </c>
      <c r="EK96" s="29">
        <f t="shared" si="54"/>
        <v>8656343.736040609</v>
      </c>
      <c r="EL96" s="29">
        <f>IF(CD96=1,VLOOKUP(EA96,'EIA 2023'!$A$2:$J$213,4,0)*EH96,"")</f>
        <v>40956346.199999996</v>
      </c>
      <c r="EM96" s="29">
        <f>IF(CD96=1,VLOOKUP(EA96,'EIA 2023'!$A$2:$J$213,7,0)*EH96,"")</f>
        <v>539206.97600000002</v>
      </c>
      <c r="EN96" s="29">
        <f>IF(CD96=1,VLOOKUP(EA96,'EIA 2023'!$A$2:$J$213,10,0),"")</f>
        <v>347803</v>
      </c>
      <c r="EO96" s="28">
        <f>IF(CD96=1,VLOOKUP(EA96,'EIA 2023'!$A$2:$Z$213,26,0),"")</f>
        <v>0</v>
      </c>
      <c r="EP96" s="23">
        <f t="shared" si="55"/>
        <v>2.2625919442773191E-2</v>
      </c>
      <c r="EQ96" s="32">
        <f t="shared" si="56"/>
        <v>4780.263959390868</v>
      </c>
      <c r="ER96" s="32">
        <f t="shared" si="57"/>
        <v>195857.73604060913</v>
      </c>
      <c r="ES96" s="32"/>
      <c r="ET96" s="32"/>
    </row>
    <row r="97" spans="1:150" ht="15.75" customHeight="1">
      <c r="A97" s="7" t="s">
        <v>496</v>
      </c>
      <c r="B97" s="7" t="s">
        <v>497</v>
      </c>
      <c r="C97" s="32" t="s">
        <v>1182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  <c r="M97" s="42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2">
        <v>0</v>
      </c>
      <c r="V97" s="42">
        <v>0</v>
      </c>
      <c r="W97" s="42">
        <v>0</v>
      </c>
      <c r="X97" s="42">
        <f>IFERROR(VLOOKUP(A97,'Trans 21-23'!$A$2:$J$229,10,0),0)</f>
        <v>0</v>
      </c>
      <c r="Y97" s="42">
        <v>0</v>
      </c>
      <c r="Z97" s="42">
        <v>0</v>
      </c>
      <c r="AA97" s="42">
        <v>10298597</v>
      </c>
      <c r="AB97" s="42">
        <v>8669485</v>
      </c>
      <c r="AC97" s="42">
        <v>0</v>
      </c>
      <c r="AD97" s="42">
        <v>95132955</v>
      </c>
      <c r="AE97" s="42">
        <v>0</v>
      </c>
      <c r="AF97" s="42">
        <v>244704630</v>
      </c>
      <c r="AG97" s="42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2">
        <v>0</v>
      </c>
      <c r="AN97" s="42">
        <v>0</v>
      </c>
      <c r="AO97" s="42">
        <v>0</v>
      </c>
      <c r="AP97" s="42">
        <v>0</v>
      </c>
      <c r="AQ97" s="42">
        <v>0</v>
      </c>
      <c r="AR97" s="42">
        <v>0</v>
      </c>
      <c r="AS97" s="42">
        <v>0</v>
      </c>
      <c r="AT97" s="42">
        <v>0</v>
      </c>
      <c r="AU97" s="42">
        <v>43206</v>
      </c>
      <c r="AV97" s="42">
        <v>0</v>
      </c>
      <c r="AW97" s="42">
        <v>0</v>
      </c>
      <c r="AX97" s="42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728884141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8899745</v>
      </c>
      <c r="BJ97" s="42">
        <v>7952143</v>
      </c>
      <c r="BK97" s="42">
        <v>0</v>
      </c>
      <c r="BL97" s="42">
        <v>0</v>
      </c>
      <c r="BM97" s="42">
        <v>52948261</v>
      </c>
      <c r="BN97" s="42">
        <v>173196725</v>
      </c>
      <c r="BO97" s="42">
        <v>0</v>
      </c>
      <c r="BP97" s="42">
        <v>0</v>
      </c>
      <c r="BQ97" s="42">
        <v>173196725</v>
      </c>
      <c r="BR97" s="42">
        <v>0</v>
      </c>
      <c r="BS97" s="42">
        <f>IFERROR(VLOOKUP(A97,'Trans 21-23'!$A$2:$J$229,9,0),0)</f>
        <v>0</v>
      </c>
      <c r="BT97" s="67"/>
      <c r="BU97" s="32">
        <f t="shared" si="0"/>
        <v>0</v>
      </c>
      <c r="BV97" s="32">
        <f t="shared" si="1"/>
        <v>43206</v>
      </c>
      <c r="BW97" s="32">
        <f t="shared" si="2"/>
        <v>0</v>
      </c>
      <c r="BX97" s="32">
        <f t="shared" si="3"/>
        <v>0</v>
      </c>
      <c r="BY97" s="32">
        <f t="shared" si="4"/>
        <v>18968082</v>
      </c>
      <c r="BZ97" s="32">
        <f t="shared" si="5"/>
        <v>0</v>
      </c>
      <c r="CA97" s="32">
        <f t="shared" si="6"/>
        <v>95132955</v>
      </c>
      <c r="CB97" s="32">
        <f t="shared" si="7"/>
        <v>0</v>
      </c>
      <c r="CC97" s="32">
        <f t="shared" si="8"/>
        <v>0</v>
      </c>
      <c r="CD97" s="41">
        <f t="shared" si="67"/>
        <v>0</v>
      </c>
      <c r="CE97" s="44">
        <f t="shared" si="10"/>
        <v>57</v>
      </c>
      <c r="CF97" s="27"/>
      <c r="CG97" s="28" t="str">
        <f t="shared" si="11"/>
        <v/>
      </c>
      <c r="CH97" s="28" t="str">
        <f t="shared" si="12"/>
        <v/>
      </c>
      <c r="CI97" s="28" t="str">
        <f t="shared" si="13"/>
        <v/>
      </c>
      <c r="CJ97" s="28" t="str">
        <f t="shared" si="14"/>
        <v/>
      </c>
      <c r="CK97" s="23" t="str">
        <f t="shared" si="15"/>
        <v/>
      </c>
      <c r="CL97" s="29" t="str">
        <f t="shared" si="16"/>
        <v/>
      </c>
      <c r="CM97" s="29" t="str">
        <f t="shared" si="17"/>
        <v/>
      </c>
      <c r="CN97" s="29" t="str">
        <f t="shared" si="18"/>
        <v/>
      </c>
      <c r="CO97" s="29" t="str">
        <f t="shared" si="19"/>
        <v/>
      </c>
      <c r="CP97" s="29" t="str">
        <f t="shared" si="20"/>
        <v/>
      </c>
      <c r="CQ97" s="29" t="str">
        <f t="shared" si="21"/>
        <v/>
      </c>
      <c r="CR97" s="13"/>
      <c r="CS97" s="7" t="str">
        <f>VLOOKUP(A97,'Empresas 21-23'!$A$2:$M$228,13,0)</f>
        <v/>
      </c>
      <c r="CT97" s="30"/>
      <c r="CU97" s="6">
        <f t="shared" si="22"/>
        <v>0</v>
      </c>
      <c r="CV97" s="6">
        <f t="shared" si="23"/>
        <v>0</v>
      </c>
      <c r="CW97" s="6">
        <f t="shared" si="24"/>
        <v>0</v>
      </c>
      <c r="CX97" s="23">
        <f t="shared" si="65"/>
        <v>0</v>
      </c>
      <c r="CY97" s="23">
        <f t="shared" si="66"/>
        <v>0</v>
      </c>
      <c r="CZ97" s="6">
        <f t="shared" si="27"/>
        <v>0</v>
      </c>
      <c r="DA97" s="6">
        <f t="shared" si="28"/>
        <v>0</v>
      </c>
      <c r="DB97" s="6">
        <f t="shared" si="29"/>
        <v>0</v>
      </c>
      <c r="DC97" s="6">
        <f t="shared" si="30"/>
        <v>0</v>
      </c>
      <c r="DD97" s="6">
        <f t="shared" si="31"/>
        <v>18968082</v>
      </c>
      <c r="DE97" s="6">
        <f t="shared" si="32"/>
        <v>95132955</v>
      </c>
      <c r="DF97" s="6">
        <f t="shared" si="33"/>
        <v>12064381.115891829</v>
      </c>
      <c r="DG97" s="30"/>
      <c r="DH97" s="32" t="str">
        <f>VLOOKUP(A97,'T_med_comp-USA'!$A$7:$Q$233,17,0)</f>
        <v>-</v>
      </c>
      <c r="DI97" s="6" t="str">
        <f t="shared" si="34"/>
        <v/>
      </c>
      <c r="DJ97" s="32" t="str">
        <f>IF(DI97="","",VLOOKUP(DI97,'CPI USA'!$T:$U,2,FALSE))</f>
        <v/>
      </c>
      <c r="DK97" s="32" t="str">
        <f>IF(DI97="","",VLOOKUP(DI97,'PPI USA'!$S:$T,2,FALSE))</f>
        <v/>
      </c>
      <c r="DL97" s="32" t="str">
        <f>IF(DI97="","",VLOOKUP(DI97,'CPI USA'!$T:$V,3,FALSE))</f>
        <v/>
      </c>
      <c r="DM97" s="32" t="str">
        <f>IF(DI97="","",VLOOKUP(DI97,'CPI USA'!$T:$X,5,FALSE))</f>
        <v/>
      </c>
      <c r="DN97" s="32" t="str">
        <f t="shared" si="35"/>
        <v/>
      </c>
      <c r="DO97" s="32" t="str">
        <f t="shared" si="36"/>
        <v/>
      </c>
      <c r="DP97" s="32" t="str">
        <f t="shared" si="37"/>
        <v/>
      </c>
      <c r="DQ97" s="32" t="str">
        <f>IF(DP97="","",DP97*$DO$1/'CPI USA'!$U$532+(1-DP97)*AVERAGE($DO$1,$DQ$1)/AVERAGE('CPI USA'!$U$532,'PPI USA'!$T$538))</f>
        <v/>
      </c>
      <c r="DR97" s="6">
        <f t="shared" si="38"/>
        <v>16851888</v>
      </c>
      <c r="DS97" s="32">
        <f t="shared" si="39"/>
        <v>0.8</v>
      </c>
      <c r="DT97" s="28">
        <f>IF(DS97="","",DS97*$DO$1/'CPI USA'!$U$532+(1-DS97)*AVERAGE($DO$1,$DQ$1)/AVERAGE('CPI USA'!$U$532,'PPI USA'!$T$538))</f>
        <v>1.0288345106984851</v>
      </c>
      <c r="DU97" s="6" t="str">
        <f t="shared" si="40"/>
        <v/>
      </c>
      <c r="DV97" s="6">
        <f t="shared" si="41"/>
        <v>0</v>
      </c>
      <c r="DW97" s="6">
        <f t="shared" si="42"/>
        <v>0</v>
      </c>
      <c r="DX97" s="16" t="str">
        <f t="shared" si="43"/>
        <v/>
      </c>
      <c r="DY97" s="28" t="str">
        <f>IF(DX97="","",DX97*$DO$1/'CPI USA'!$U$532+(1-DX97)*AVERAGE($DO$1,$DQ$1)/AVERAGE('CPI USA'!$U$532,'PPI USA'!$T$538))</f>
        <v/>
      </c>
      <c r="DZ97" s="30"/>
      <c r="EA97" s="29" t="str">
        <f t="shared" si="44"/>
        <v>C001183</v>
      </c>
      <c r="EB97" s="29" t="str">
        <f t="shared" si="45"/>
        <v/>
      </c>
      <c r="EC97" s="29" t="str">
        <f t="shared" si="46"/>
        <v/>
      </c>
      <c r="ED97" s="29" t="str">
        <f t="shared" si="47"/>
        <v/>
      </c>
      <c r="EE97" s="29" t="str">
        <f t="shared" si="48"/>
        <v/>
      </c>
      <c r="EF97" s="29" t="str">
        <f t="shared" si="49"/>
        <v/>
      </c>
      <c r="EG97" s="29" t="str">
        <f t="shared" si="50"/>
        <v/>
      </c>
      <c r="EH97" s="29" t="str">
        <f t="shared" si="51"/>
        <v/>
      </c>
      <c r="EI97" s="29" t="str">
        <f t="shared" si="52"/>
        <v/>
      </c>
      <c r="EJ97" s="29" t="str">
        <f t="shared" si="53"/>
        <v/>
      </c>
      <c r="EK97" s="29" t="str">
        <f t="shared" si="54"/>
        <v/>
      </c>
      <c r="EL97" s="29" t="str">
        <f>IF(CD97=1,VLOOKUP(EA97,'EIA 2023'!$A$2:$J$213,4,0)*EH97,"")</f>
        <v/>
      </c>
      <c r="EM97" s="29" t="str">
        <f>IF(CD97=1,VLOOKUP(EA97,'EIA 2023'!$A$2:$J$213,7,0)*EH97,"")</f>
        <v/>
      </c>
      <c r="EN97" s="29" t="str">
        <f>IF(CD97=1,VLOOKUP(EA97,'EIA 2023'!$A$2:$J$213,10,0),"")</f>
        <v/>
      </c>
      <c r="EO97" s="28" t="str">
        <f>IF(CD97=1,VLOOKUP(EA97,'EIA 2023'!$A$2:$Z$213,26,0),"")</f>
        <v/>
      </c>
      <c r="EP97" s="23" t="str">
        <f t="shared" si="55"/>
        <v/>
      </c>
      <c r="EQ97" s="32" t="str">
        <f t="shared" si="56"/>
        <v/>
      </c>
      <c r="ER97" s="32" t="str">
        <f t="shared" si="57"/>
        <v/>
      </c>
      <c r="ES97" s="32"/>
      <c r="ET97" s="32"/>
    </row>
    <row r="98" spans="1:150" ht="15.75" customHeight="1">
      <c r="A98" s="7" t="s">
        <v>499</v>
      </c>
      <c r="B98" s="7" t="s">
        <v>500</v>
      </c>
      <c r="C98" s="32" t="s">
        <v>1183</v>
      </c>
      <c r="D98" s="42">
        <v>182522366</v>
      </c>
      <c r="E98" s="42">
        <v>0</v>
      </c>
      <c r="F98" s="42">
        <v>249114656</v>
      </c>
      <c r="G98" s="42">
        <v>231966999</v>
      </c>
      <c r="H98" s="42">
        <v>244495183</v>
      </c>
      <c r="I98" s="42">
        <v>746389</v>
      </c>
      <c r="J98" s="42">
        <v>316054</v>
      </c>
      <c r="K98" s="42">
        <v>1392456</v>
      </c>
      <c r="L98" s="42">
        <v>1231640</v>
      </c>
      <c r="M98" s="42">
        <v>354587</v>
      </c>
      <c r="N98" s="42">
        <v>99848</v>
      </c>
      <c r="O98" s="42">
        <v>13963827</v>
      </c>
      <c r="P98" s="42">
        <v>5771913</v>
      </c>
      <c r="Q98" s="42">
        <v>827196</v>
      </c>
      <c r="R98" s="42">
        <v>0</v>
      </c>
      <c r="S98" s="42">
        <v>3632913</v>
      </c>
      <c r="T98" s="42">
        <v>3864834</v>
      </c>
      <c r="U98" s="42">
        <v>1496509</v>
      </c>
      <c r="V98" s="42">
        <v>255944</v>
      </c>
      <c r="W98" s="42">
        <v>580316</v>
      </c>
      <c r="X98" s="42">
        <f>IFERROR(VLOOKUP(A98,'Trans 21-23'!$A$2:$J$229,10,0),0)</f>
        <v>0</v>
      </c>
      <c r="Y98" s="42">
        <v>1914966</v>
      </c>
      <c r="Z98" s="42">
        <v>362556</v>
      </c>
      <c r="AA98" s="42">
        <v>30057247</v>
      </c>
      <c r="AB98" s="42">
        <v>31793185</v>
      </c>
      <c r="AC98" s="42">
        <v>0</v>
      </c>
      <c r="AD98" s="42">
        <v>135792825</v>
      </c>
      <c r="AE98" s="42">
        <v>0</v>
      </c>
      <c r="AF98" s="42">
        <v>1200728498</v>
      </c>
      <c r="AG98" s="42">
        <v>446794</v>
      </c>
      <c r="AH98" s="42">
        <v>757682</v>
      </c>
      <c r="AI98" s="42">
        <v>15553847</v>
      </c>
      <c r="AJ98" s="42">
        <v>21507</v>
      </c>
      <c r="AK98" s="42">
        <v>0</v>
      </c>
      <c r="AL98" s="42">
        <v>3967416</v>
      </c>
      <c r="AM98" s="42">
        <v>1948081</v>
      </c>
      <c r="AN98" s="42">
        <v>3023450</v>
      </c>
      <c r="AO98" s="42">
        <v>14739</v>
      </c>
      <c r="AP98" s="42">
        <v>0</v>
      </c>
      <c r="AQ98" s="42">
        <v>8953686</v>
      </c>
      <c r="AR98" s="42">
        <v>5820972</v>
      </c>
      <c r="AS98" s="42">
        <v>14774658</v>
      </c>
      <c r="AT98" s="42">
        <v>0</v>
      </c>
      <c r="AU98" s="42">
        <v>2784</v>
      </c>
      <c r="AV98" s="42">
        <v>0</v>
      </c>
      <c r="AW98" s="42">
        <v>261708605</v>
      </c>
      <c r="AX98" s="42">
        <v>105766976</v>
      </c>
      <c r="AY98" s="42">
        <v>430163751</v>
      </c>
      <c r="AZ98" s="42">
        <v>87308866</v>
      </c>
      <c r="BA98" s="42">
        <v>20891972</v>
      </c>
      <c r="BB98" s="42">
        <v>2279003366</v>
      </c>
      <c r="BC98" s="42">
        <v>8237218230</v>
      </c>
      <c r="BD98" s="42">
        <v>685529544</v>
      </c>
      <c r="BE98" s="42">
        <v>577607761</v>
      </c>
      <c r="BF98" s="42">
        <v>48157515</v>
      </c>
      <c r="BG98" s="42">
        <v>0</v>
      </c>
      <c r="BH98" s="42">
        <v>15185633</v>
      </c>
      <c r="BI98" s="42">
        <v>8905540</v>
      </c>
      <c r="BJ98" s="42">
        <v>8363</v>
      </c>
      <c r="BK98" s="42">
        <v>0</v>
      </c>
      <c r="BL98" s="42">
        <v>0</v>
      </c>
      <c r="BM98" s="42">
        <v>34621732</v>
      </c>
      <c r="BN98" s="42">
        <v>114225959</v>
      </c>
      <c r="BO98" s="42">
        <v>24618384</v>
      </c>
      <c r="BP98" s="42">
        <v>44360417</v>
      </c>
      <c r="BQ98" s="42">
        <v>217558283</v>
      </c>
      <c r="BR98" s="42">
        <v>0</v>
      </c>
      <c r="BS98" s="42">
        <f>IFERROR(VLOOKUP(A98,'Trans 21-23'!$A$2:$J$229,9,0),0)</f>
        <v>0</v>
      </c>
      <c r="BT98" s="67"/>
      <c r="BU98" s="32">
        <f t="shared" si="0"/>
        <v>2279003366</v>
      </c>
      <c r="BV98" s="32">
        <f t="shared" si="1"/>
        <v>2784</v>
      </c>
      <c r="BW98" s="32">
        <f t="shared" si="2"/>
        <v>446794</v>
      </c>
      <c r="BX98" s="32">
        <f t="shared" si="3"/>
        <v>34534426</v>
      </c>
      <c r="BY98" s="32">
        <f t="shared" si="4"/>
        <v>64127954</v>
      </c>
      <c r="BZ98" s="32">
        <f t="shared" si="5"/>
        <v>87308866</v>
      </c>
      <c r="CA98" s="32">
        <f t="shared" si="6"/>
        <v>135792825</v>
      </c>
      <c r="CB98" s="32">
        <f t="shared" si="7"/>
        <v>757682</v>
      </c>
      <c r="CC98" s="32">
        <f t="shared" si="8"/>
        <v>8953686</v>
      </c>
      <c r="CD98" s="41">
        <f t="shared" si="67"/>
        <v>1</v>
      </c>
      <c r="CE98" s="44">
        <f t="shared" si="10"/>
        <v>14</v>
      </c>
      <c r="CF98" s="27"/>
      <c r="CG98" s="28">
        <f t="shared" si="11"/>
        <v>818.60753089080458</v>
      </c>
      <c r="CH98" s="28">
        <f t="shared" si="12"/>
        <v>6.2310595039324612</v>
      </c>
      <c r="CI98" s="28">
        <f t="shared" si="13"/>
        <v>77.293844590571936</v>
      </c>
      <c r="CJ98" s="28">
        <f t="shared" si="14"/>
        <v>195.41190347229372</v>
      </c>
      <c r="CK98" s="23">
        <f t="shared" si="15"/>
        <v>8.4622355530448584E-2</v>
      </c>
      <c r="CL98" s="29" t="str">
        <f t="shared" si="16"/>
        <v/>
      </c>
      <c r="CM98" s="29" t="str">
        <f t="shared" si="17"/>
        <v/>
      </c>
      <c r="CN98" s="29" t="str">
        <f t="shared" si="18"/>
        <v/>
      </c>
      <c r="CO98" s="29" t="str">
        <f t="shared" si="19"/>
        <v/>
      </c>
      <c r="CP98" s="29" t="str">
        <f t="shared" si="20"/>
        <v/>
      </c>
      <c r="CQ98" s="29">
        <f t="shared" si="21"/>
        <v>0</v>
      </c>
      <c r="CR98" s="13"/>
      <c r="CS98" s="7" t="str">
        <f>VLOOKUP(A98,'Empresas 21-23'!$A$2:$M$228,13,0)</f>
        <v/>
      </c>
      <c r="CT98" s="30"/>
      <c r="CU98" s="6">
        <f t="shared" si="22"/>
        <v>1849244091.8</v>
      </c>
      <c r="CV98" s="6">
        <f t="shared" si="23"/>
        <v>87308866</v>
      </c>
      <c r="CW98" s="6">
        <f t="shared" si="24"/>
        <v>685529544</v>
      </c>
      <c r="CX98" s="23">
        <f t="shared" si="65"/>
        <v>0.24487822110944471</v>
      </c>
      <c r="CY98" s="23">
        <f t="shared" si="66"/>
        <v>1.1561502285159217E-2</v>
      </c>
      <c r="CZ98" s="6">
        <f t="shared" si="27"/>
        <v>2017115347.0526888</v>
      </c>
      <c r="DA98" s="6">
        <f t="shared" si="28"/>
        <v>95234617.389500156</v>
      </c>
      <c r="DB98" s="6">
        <f t="shared" si="29"/>
        <v>34534426</v>
      </c>
      <c r="DC98" s="6">
        <f t="shared" si="30"/>
        <v>34534426</v>
      </c>
      <c r="DD98" s="6">
        <f t="shared" si="31"/>
        <v>64127954</v>
      </c>
      <c r="DE98" s="6">
        <f t="shared" si="32"/>
        <v>135792825</v>
      </c>
      <c r="DF98" s="6">
        <f t="shared" si="33"/>
        <v>34458651.74593427</v>
      </c>
      <c r="DG98" s="30"/>
      <c r="DH98" s="32">
        <f>VLOOKUP(A98,'T_med_comp-USA'!$A$7:$Q$233,17,0)</f>
        <v>13.35452632710799</v>
      </c>
      <c r="DI98" s="6" t="str">
        <f t="shared" si="34"/>
        <v>8_2010</v>
      </c>
      <c r="DJ98" s="32">
        <f>IF(DI98="","",VLOOKUP(DI98,'CPI USA'!$T:$U,2,FALSE))</f>
        <v>218.05600000000001</v>
      </c>
      <c r="DK98" s="32">
        <f>IF(DI98="","",VLOOKUP(DI98,'PPI USA'!$S:$T,2,FALSE))</f>
        <v>160.80000000000001</v>
      </c>
      <c r="DL98" s="32">
        <f>IF(DI98="","",VLOOKUP(DI98,'CPI USA'!$T:$V,3,FALSE))</f>
        <v>0.67050107279443949</v>
      </c>
      <c r="DM98" s="32">
        <f>IF(DI98="","",VLOOKUP(DI98,'CPI USA'!$T:$X,5,FALSE))</f>
        <v>0.4987389730136107</v>
      </c>
      <c r="DN98" s="32">
        <f t="shared" si="35"/>
        <v>1.4703278680244813</v>
      </c>
      <c r="DO98" s="32">
        <f t="shared" si="36"/>
        <v>1.4857204383544427</v>
      </c>
      <c r="DP98" s="32">
        <f t="shared" si="37"/>
        <v>0.53449547730868929</v>
      </c>
      <c r="DQ98" s="32">
        <f>IF(DP98="","",DP98*$DO$1/'CPI USA'!$U$532+(1-DP98)*AVERAGE($DO$1,$DQ$1)/AVERAGE('CPI USA'!$U$532,'PPI USA'!$T$538))</f>
        <v>1.034962057690396</v>
      </c>
      <c r="DR98" s="6">
        <f t="shared" si="38"/>
        <v>8913903</v>
      </c>
      <c r="DS98" s="32">
        <f t="shared" si="39"/>
        <v>0.2</v>
      </c>
      <c r="DT98" s="28">
        <f>IF(DS98="","",DS98*$DO$1/'CPI USA'!$U$532+(1-DS98)*AVERAGE($DO$1,$DQ$1)/AVERAGE('CPI USA'!$U$532,'PPI USA'!$T$538))</f>
        <v>1.0426818386380585</v>
      </c>
      <c r="DU98" s="6">
        <f t="shared" si="40"/>
        <v>42083530.531462431</v>
      </c>
      <c r="DV98" s="6">
        <f t="shared" si="41"/>
        <v>8867513.8109510206</v>
      </c>
      <c r="DW98" s="6">
        <f t="shared" si="42"/>
        <v>10749715.197117228</v>
      </c>
      <c r="DX98" s="16">
        <f t="shared" si="43"/>
        <v>0.31195983163750951</v>
      </c>
      <c r="DY98" s="28">
        <f>IF(DX98="","",DX98*$DO$1/'CPI USA'!$U$532+(1-DX98)*AVERAGE($DO$1,$DQ$1)/AVERAGE('CPI USA'!$U$532,'PPI USA'!$T$538))</f>
        <v>1.0400979311301519</v>
      </c>
      <c r="DZ98" s="30"/>
      <c r="EA98" s="29" t="str">
        <f t="shared" si="44"/>
        <v>C001184</v>
      </c>
      <c r="EB98" s="29">
        <f t="shared" si="45"/>
        <v>2965820907.7914419</v>
      </c>
      <c r="EC98" s="29">
        <f t="shared" si="46"/>
        <v>141492017.4944458</v>
      </c>
      <c r="ED98" s="29">
        <f t="shared" si="47"/>
        <v>35741820.59411671</v>
      </c>
      <c r="EE98" s="29">
        <f t="shared" si="48"/>
        <v>66865052.984816842</v>
      </c>
      <c r="EF98" s="29">
        <f t="shared" si="49"/>
        <v>35840372.39048063</v>
      </c>
      <c r="EG98" s="29">
        <f t="shared" si="50"/>
        <v>2784</v>
      </c>
      <c r="EH98" s="29">
        <f t="shared" si="51"/>
        <v>446794</v>
      </c>
      <c r="EI98" s="29">
        <f t="shared" si="52"/>
        <v>757682</v>
      </c>
      <c r="EJ98" s="29">
        <f t="shared" si="53"/>
        <v>8953686</v>
      </c>
      <c r="EK98" s="29">
        <f t="shared" si="54"/>
        <v>9622723.7563451789</v>
      </c>
      <c r="EL98" s="29">
        <f>IF(CD98=1,VLOOKUP(EA98,'EIA 2023'!$A$2:$J$213,4,0)*EH98,"")</f>
        <v>27643144.779999997</v>
      </c>
      <c r="EM98" s="29">
        <f>IF(CD98=1,VLOOKUP(EA98,'EIA 2023'!$A$2:$J$213,7,0)*EH98,"")</f>
        <v>436070.94400000002</v>
      </c>
      <c r="EN98" s="29">
        <f>IF(CD98=1,VLOOKUP(EA98,'EIA 2023'!$A$2:$J$213,10,0),"")</f>
        <v>494637</v>
      </c>
      <c r="EO98" s="28">
        <f>IF(CD98=1,VLOOKUP(EA98,'EIA 2023'!$A$2:$Z$213,26,0),"")</f>
        <v>0</v>
      </c>
      <c r="EP98" s="23">
        <f t="shared" si="55"/>
        <v>6.9526858848464573E-2</v>
      </c>
      <c r="EQ98" s="32">
        <f t="shared" si="56"/>
        <v>88644.243654821999</v>
      </c>
      <c r="ER98" s="32">
        <f t="shared" si="57"/>
        <v>669037.756345178</v>
      </c>
      <c r="ES98" s="32"/>
      <c r="ET98" s="32"/>
    </row>
    <row r="99" spans="1:150" ht="15.75" customHeight="1">
      <c r="A99" s="7" t="s">
        <v>502</v>
      </c>
      <c r="B99" s="7" t="s">
        <v>503</v>
      </c>
      <c r="C99" s="32" t="s">
        <v>1184</v>
      </c>
      <c r="D99" s="42">
        <v>0</v>
      </c>
      <c r="E99" s="42">
        <v>0</v>
      </c>
      <c r="F99" s="42">
        <v>38507372</v>
      </c>
      <c r="G99" s="42">
        <v>108436466</v>
      </c>
      <c r="H99" s="42">
        <v>110885399</v>
      </c>
      <c r="I99" s="42">
        <v>0</v>
      </c>
      <c r="J99" s="42">
        <v>77506</v>
      </c>
      <c r="K99" s="42">
        <v>1149119</v>
      </c>
      <c r="L99" s="42">
        <v>503077</v>
      </c>
      <c r="M99" s="42">
        <v>518946</v>
      </c>
      <c r="N99" s="42">
        <v>80517</v>
      </c>
      <c r="O99" s="42">
        <v>2285600</v>
      </c>
      <c r="P99" s="42">
        <v>66868</v>
      </c>
      <c r="Q99" s="42">
        <v>0</v>
      </c>
      <c r="R99" s="42">
        <v>0</v>
      </c>
      <c r="S99" s="42">
        <v>1245801</v>
      </c>
      <c r="T99" s="42">
        <v>1269234</v>
      </c>
      <c r="U99" s="42">
        <v>213617</v>
      </c>
      <c r="V99" s="42">
        <v>222029</v>
      </c>
      <c r="W99" s="42">
        <v>18016</v>
      </c>
      <c r="X99" s="42">
        <f>IFERROR(VLOOKUP(A99,'Trans 21-23'!$A$2:$J$229,10,0),0)</f>
        <v>42860</v>
      </c>
      <c r="Y99" s="42">
        <v>689612</v>
      </c>
      <c r="Z99" s="42">
        <v>0</v>
      </c>
      <c r="AA99" s="42">
        <v>5179003</v>
      </c>
      <c r="AB99" s="42">
        <v>3760656</v>
      </c>
      <c r="AC99" s="42">
        <v>0</v>
      </c>
      <c r="AD99" s="42">
        <v>12354727</v>
      </c>
      <c r="AE99" s="42">
        <v>0</v>
      </c>
      <c r="AF99" s="42">
        <v>209218483</v>
      </c>
      <c r="AG99" s="42">
        <v>103504</v>
      </c>
      <c r="AH99" s="42">
        <v>16645</v>
      </c>
      <c r="AI99" s="42">
        <v>2184818</v>
      </c>
      <c r="AJ99" s="42">
        <v>834</v>
      </c>
      <c r="AK99" s="42">
        <v>0</v>
      </c>
      <c r="AL99" s="42">
        <v>1009273</v>
      </c>
      <c r="AM99" s="42">
        <v>704977</v>
      </c>
      <c r="AN99" s="42">
        <v>116375</v>
      </c>
      <c r="AO99" s="42">
        <v>1799</v>
      </c>
      <c r="AP99" s="42">
        <v>0</v>
      </c>
      <c r="AQ99" s="42">
        <v>1832424</v>
      </c>
      <c r="AR99" s="42">
        <v>334915</v>
      </c>
      <c r="AS99" s="42">
        <v>2167339</v>
      </c>
      <c r="AT99" s="42">
        <v>0</v>
      </c>
      <c r="AU99" s="42">
        <v>530</v>
      </c>
      <c r="AV99" s="42">
        <v>0</v>
      </c>
      <c r="AW99" s="42">
        <v>97231948</v>
      </c>
      <c r="AX99" s="42">
        <v>31418985</v>
      </c>
      <c r="AY99" s="42">
        <v>59373013</v>
      </c>
      <c r="AZ99" s="42">
        <v>20109785</v>
      </c>
      <c r="BA99" s="42">
        <v>6089693</v>
      </c>
      <c r="BB99" s="42">
        <v>585279539</v>
      </c>
      <c r="BC99" s="42">
        <v>1058811442</v>
      </c>
      <c r="BD99" s="42">
        <v>72173916</v>
      </c>
      <c r="BE99" s="42">
        <v>299840046</v>
      </c>
      <c r="BF99" s="42">
        <v>8106602</v>
      </c>
      <c r="BG99" s="42">
        <v>0</v>
      </c>
      <c r="BH99" s="42">
        <v>3169631</v>
      </c>
      <c r="BI99" s="42">
        <v>544782</v>
      </c>
      <c r="BJ99" s="42">
        <v>341101</v>
      </c>
      <c r="BK99" s="42">
        <v>0</v>
      </c>
      <c r="BL99" s="42">
        <v>0</v>
      </c>
      <c r="BM99" s="42">
        <v>1268410</v>
      </c>
      <c r="BN99" s="42">
        <v>5673497</v>
      </c>
      <c r="BO99" s="42">
        <v>840211</v>
      </c>
      <c r="BP99" s="42">
        <v>3466747</v>
      </c>
      <c r="BQ99" s="42">
        <v>15858631</v>
      </c>
      <c r="BR99" s="42">
        <v>0</v>
      </c>
      <c r="BS99" s="42">
        <f>IFERROR(VLOOKUP(A99,'Trans 21-23'!$A$2:$J$229,9,0),0)</f>
        <v>70250235</v>
      </c>
      <c r="BT99" s="67"/>
      <c r="BU99" s="32">
        <f t="shared" si="0"/>
        <v>585279539</v>
      </c>
      <c r="BV99" s="32">
        <f t="shared" si="1"/>
        <v>530</v>
      </c>
      <c r="BW99" s="32">
        <f t="shared" si="2"/>
        <v>103504</v>
      </c>
      <c r="BX99" s="32">
        <f t="shared" si="3"/>
        <v>7650330</v>
      </c>
      <c r="BY99" s="32">
        <f t="shared" si="4"/>
        <v>9629271</v>
      </c>
      <c r="BZ99" s="32">
        <f t="shared" si="5"/>
        <v>20109785</v>
      </c>
      <c r="CA99" s="32">
        <f t="shared" si="6"/>
        <v>12354727</v>
      </c>
      <c r="CB99" s="32">
        <f t="shared" si="7"/>
        <v>16645</v>
      </c>
      <c r="CC99" s="32">
        <f t="shared" si="8"/>
        <v>1832424</v>
      </c>
      <c r="CD99" s="41">
        <f t="shared" si="67"/>
        <v>1</v>
      </c>
      <c r="CE99" s="44">
        <f t="shared" si="10"/>
        <v>16</v>
      </c>
      <c r="CF99" s="27"/>
      <c r="CG99" s="28">
        <f t="shared" si="11"/>
        <v>1104.3010169811321</v>
      </c>
      <c r="CH99" s="28">
        <f t="shared" si="12"/>
        <v>5.1205750502396041</v>
      </c>
      <c r="CI99" s="28">
        <f t="shared" si="13"/>
        <v>73.913375328489721</v>
      </c>
      <c r="CJ99" s="28">
        <f t="shared" si="14"/>
        <v>194.28993082392952</v>
      </c>
      <c r="CK99" s="23">
        <f t="shared" si="15"/>
        <v>9.0835963728918643E-3</v>
      </c>
      <c r="CL99" s="29" t="str">
        <f t="shared" si="16"/>
        <v/>
      </c>
      <c r="CM99" s="29" t="str">
        <f t="shared" si="17"/>
        <v/>
      </c>
      <c r="CN99" s="29" t="str">
        <f t="shared" si="18"/>
        <v/>
      </c>
      <c r="CO99" s="29" t="str">
        <f t="shared" si="19"/>
        <v/>
      </c>
      <c r="CP99" s="29" t="str">
        <f t="shared" si="20"/>
        <v/>
      </c>
      <c r="CQ99" s="29">
        <f t="shared" si="21"/>
        <v>0</v>
      </c>
      <c r="CR99" s="13"/>
      <c r="CS99" s="7">
        <f>VLOOKUP(A99,'Empresas 21-23'!$A$2:$M$228,13,0)</f>
        <v>1</v>
      </c>
      <c r="CT99" s="30"/>
      <c r="CU99" s="6">
        <f t="shared" si="22"/>
        <v>574855097.20000005</v>
      </c>
      <c r="CV99" s="6">
        <f t="shared" si="23"/>
        <v>20109785</v>
      </c>
      <c r="CW99" s="6">
        <f t="shared" si="24"/>
        <v>72173916</v>
      </c>
      <c r="CX99" s="23">
        <f t="shared" si="65"/>
        <v>0.58264061730001548</v>
      </c>
      <c r="CY99" s="23">
        <f t="shared" si="66"/>
        <v>2.03821408268633E-2</v>
      </c>
      <c r="CZ99" s="6">
        <f t="shared" si="27"/>
        <v>616906552.17119956</v>
      </c>
      <c r="DA99" s="6">
        <f t="shared" si="28"/>
        <v>21580843.919938203</v>
      </c>
      <c r="DB99" s="6">
        <f t="shared" si="29"/>
        <v>7650330</v>
      </c>
      <c r="DC99" s="6">
        <f t="shared" si="30"/>
        <v>7693190</v>
      </c>
      <c r="DD99" s="6">
        <f t="shared" si="31"/>
        <v>9629271</v>
      </c>
      <c r="DE99" s="6">
        <f t="shared" si="32"/>
        <v>12354727</v>
      </c>
      <c r="DF99" s="6">
        <f t="shared" si="33"/>
        <v>4508317.5885890508</v>
      </c>
      <c r="DG99" s="30"/>
      <c r="DH99" s="32">
        <f>VLOOKUP(A99,'T_med_comp-USA'!$A$7:$Q$233,17,0)</f>
        <v>19.127699810683165</v>
      </c>
      <c r="DI99" s="6" t="str">
        <f t="shared" si="34"/>
        <v>11_2004</v>
      </c>
      <c r="DJ99" s="32">
        <f>IF(DI99="","",VLOOKUP(DI99,'CPI USA'!$T:$U,2,FALSE))</f>
        <v>188.9</v>
      </c>
      <c r="DK99" s="32">
        <f>IF(DI99="","",VLOOKUP(DI99,'PPI USA'!$S:$T,2,FALSE))</f>
        <v>123.7</v>
      </c>
      <c r="DL99" s="32">
        <f>IF(DI99="","",VLOOKUP(DI99,'CPI USA'!$T:$V,3,FALSE))</f>
        <v>0.68116912558338294</v>
      </c>
      <c r="DM99" s="32">
        <f>IF(DI99="","",VLOOKUP(DI99,'CPI USA'!$T:$X,5,FALSE))</f>
        <v>0.51091164550905577</v>
      </c>
      <c r="DN99" s="32">
        <f t="shared" si="35"/>
        <v>1.7242718973721483</v>
      </c>
      <c r="DO99" s="32">
        <f t="shared" si="36"/>
        <v>1.7568944717328012</v>
      </c>
      <c r="DP99" s="32">
        <f t="shared" si="37"/>
        <v>0.47567025329527413</v>
      </c>
      <c r="DQ99" s="32">
        <f>IF(DP99="","",DP99*$DO$1/'CPI USA'!$U$532+(1-DP99)*AVERAGE($DO$1,$DQ$1)/AVERAGE('CPI USA'!$U$532,'PPI USA'!$T$538))</f>
        <v>1.0363196779704502</v>
      </c>
      <c r="DR99" s="6">
        <f t="shared" si="38"/>
        <v>885883</v>
      </c>
      <c r="DS99" s="32">
        <f t="shared" si="39"/>
        <v>0.2</v>
      </c>
      <c r="DT99" s="28">
        <f>IF(DS99="","",DS99*$DO$1/'CPI USA'!$U$532+(1-DS99)*AVERAGE($DO$1,$DQ$1)/AVERAGE('CPI USA'!$U$532,'PPI USA'!$T$538))</f>
        <v>1.0426818386380585</v>
      </c>
      <c r="DU99" s="6">
        <f t="shared" si="40"/>
        <v>1456253.9407846695</v>
      </c>
      <c r="DV99" s="6">
        <f t="shared" si="41"/>
        <v>354849.71956403082</v>
      </c>
      <c r="DW99" s="6">
        <f t="shared" si="42"/>
        <v>1294608.2900890578</v>
      </c>
      <c r="DX99" s="16">
        <f t="shared" si="43"/>
        <v>0.28715995815508327</v>
      </c>
      <c r="DY99" s="28">
        <f>IF(DX99="","",DX99*$DO$1/'CPI USA'!$U$532+(1-DX99)*AVERAGE($DO$1,$DQ$1)/AVERAGE('CPI USA'!$U$532,'PPI USA'!$T$538))</f>
        <v>1.0406702844317703</v>
      </c>
      <c r="DZ99" s="30"/>
      <c r="EA99" s="29" t="str">
        <f t="shared" si="44"/>
        <v>C001187</v>
      </c>
      <c r="EB99" s="29">
        <f t="shared" si="45"/>
        <v>1063714631.2135445</v>
      </c>
      <c r="EC99" s="29">
        <f t="shared" si="46"/>
        <v>37915265.378267862</v>
      </c>
      <c r="ED99" s="29">
        <f t="shared" si="47"/>
        <v>7972604.1833654875</v>
      </c>
      <c r="EE99" s="29">
        <f t="shared" si="48"/>
        <v>10040265.991024137</v>
      </c>
      <c r="EF99" s="29">
        <f t="shared" si="49"/>
        <v>4691672.1472257208</v>
      </c>
      <c r="EG99" s="29">
        <f t="shared" si="50"/>
        <v>530</v>
      </c>
      <c r="EH99" s="29">
        <f t="shared" si="51"/>
        <v>103504</v>
      </c>
      <c r="EI99" s="29">
        <f t="shared" si="52"/>
        <v>16645</v>
      </c>
      <c r="EJ99" s="29">
        <f t="shared" si="53"/>
        <v>1832424</v>
      </c>
      <c r="EK99" s="29">
        <f t="shared" si="54"/>
        <v>1843968.7715736041</v>
      </c>
      <c r="EL99" s="29">
        <f>IF(CD99=1,VLOOKUP(EA99,'EIA 2023'!$A$2:$J$213,4,0)*EH99,"")</f>
        <v>4563491.3600000003</v>
      </c>
      <c r="EM99" s="29">
        <f>IF(CD99=1,VLOOKUP(EA99,'EIA 2023'!$A$2:$J$213,7,0)*EH99,"")</f>
        <v>80319.104000000007</v>
      </c>
      <c r="EN99" s="29">
        <f>IF(CD99=1,VLOOKUP(EA99,'EIA 2023'!$A$2:$J$213,10,0),"")</f>
        <v>111788</v>
      </c>
      <c r="EO99" s="28">
        <f>IF(CD99=1,VLOOKUP(EA99,'EIA 2023'!$A$2:$Z$213,26,0),"")</f>
        <v>0</v>
      </c>
      <c r="EP99" s="23">
        <f t="shared" si="55"/>
        <v>6.2608281395958891E-3</v>
      </c>
      <c r="EQ99" s="32">
        <f t="shared" si="56"/>
        <v>5100.2284263959154</v>
      </c>
      <c r="ER99" s="32">
        <f t="shared" si="57"/>
        <v>11544.771573604085</v>
      </c>
      <c r="ES99" s="32"/>
      <c r="ET99" s="32"/>
    </row>
    <row r="100" spans="1:150" ht="15.75" customHeight="1">
      <c r="A100" s="7" t="s">
        <v>505</v>
      </c>
      <c r="B100" s="7" t="s">
        <v>506</v>
      </c>
      <c r="C100" s="32" t="s">
        <v>1185</v>
      </c>
      <c r="D100" s="42">
        <v>2449533</v>
      </c>
      <c r="E100" s="42">
        <v>0</v>
      </c>
      <c r="F100" s="42">
        <v>29755193</v>
      </c>
      <c r="G100" s="42">
        <v>352353388</v>
      </c>
      <c r="H100" s="42">
        <v>352353388</v>
      </c>
      <c r="I100" s="42">
        <v>496241</v>
      </c>
      <c r="J100" s="42">
        <v>1946740</v>
      </c>
      <c r="K100" s="42">
        <v>0</v>
      </c>
      <c r="L100" s="42">
        <v>0</v>
      </c>
      <c r="M100" s="42">
        <v>0</v>
      </c>
      <c r="N100" s="42">
        <v>0</v>
      </c>
      <c r="O100" s="42">
        <v>0</v>
      </c>
      <c r="P100" s="42">
        <v>3213</v>
      </c>
      <c r="Q100" s="42">
        <v>72117</v>
      </c>
      <c r="R100" s="42">
        <v>0</v>
      </c>
      <c r="S100" s="42">
        <v>2202920</v>
      </c>
      <c r="T100" s="42">
        <v>0</v>
      </c>
      <c r="U100" s="42">
        <v>0</v>
      </c>
      <c r="V100" s="42">
        <v>0</v>
      </c>
      <c r="W100" s="42">
        <v>0</v>
      </c>
      <c r="X100" s="42">
        <f>IFERROR(VLOOKUP(A100,'Trans 21-23'!$A$2:$J$229,10,0),0)</f>
        <v>4262732</v>
      </c>
      <c r="Y100" s="42">
        <v>0</v>
      </c>
      <c r="Z100" s="42">
        <v>0</v>
      </c>
      <c r="AA100" s="42">
        <v>0</v>
      </c>
      <c r="AB100" s="42">
        <v>0</v>
      </c>
      <c r="AC100" s="42">
        <v>0</v>
      </c>
      <c r="AD100" s="42">
        <v>27696545</v>
      </c>
      <c r="AE100" s="42">
        <v>0</v>
      </c>
      <c r="AF100" s="42">
        <v>438134385</v>
      </c>
      <c r="AG100" s="42">
        <v>15</v>
      </c>
      <c r="AH100" s="42">
        <v>18521</v>
      </c>
      <c r="AI100" s="42">
        <v>7792584</v>
      </c>
      <c r="AJ100" s="42">
        <v>1964</v>
      </c>
      <c r="AK100" s="42">
        <v>0</v>
      </c>
      <c r="AL100" s="42">
        <v>0</v>
      </c>
      <c r="AM100" s="42">
        <v>0</v>
      </c>
      <c r="AN100" s="42">
        <v>0</v>
      </c>
      <c r="AO100" s="42">
        <v>0</v>
      </c>
      <c r="AP100" s="42">
        <v>0</v>
      </c>
      <c r="AQ100" s="42">
        <v>0</v>
      </c>
      <c r="AR100" s="42">
        <v>7809141</v>
      </c>
      <c r="AS100" s="42">
        <v>7809141</v>
      </c>
      <c r="AT100" s="42">
        <v>0</v>
      </c>
      <c r="AU100" s="42">
        <v>634</v>
      </c>
      <c r="AV100" s="42">
        <v>0</v>
      </c>
      <c r="AW100" s="42">
        <v>0</v>
      </c>
      <c r="AX100" s="42">
        <v>0</v>
      </c>
      <c r="AY100" s="42">
        <v>0</v>
      </c>
      <c r="AZ100" s="42">
        <v>0</v>
      </c>
      <c r="BA100" s="42">
        <v>0</v>
      </c>
      <c r="BB100" s="42">
        <v>144169012</v>
      </c>
      <c r="BC100" s="42">
        <v>1257720560</v>
      </c>
      <c r="BD100" s="42">
        <v>59129961</v>
      </c>
      <c r="BE100" s="42">
        <v>40521181</v>
      </c>
      <c r="BF100" s="42">
        <v>3918261</v>
      </c>
      <c r="BG100" s="42">
        <v>0</v>
      </c>
      <c r="BH100" s="42">
        <v>2131702</v>
      </c>
      <c r="BI100" s="42">
        <v>0</v>
      </c>
      <c r="BJ100" s="42">
        <v>0</v>
      </c>
      <c r="BK100" s="42">
        <v>0</v>
      </c>
      <c r="BL100" s="42">
        <v>0</v>
      </c>
      <c r="BM100" s="42">
        <v>11009787</v>
      </c>
      <c r="BN100" s="42">
        <v>21333741</v>
      </c>
      <c r="BO100" s="42">
        <v>0</v>
      </c>
      <c r="BP100" s="42">
        <v>642</v>
      </c>
      <c r="BQ100" s="42">
        <v>21622653</v>
      </c>
      <c r="BR100" s="42">
        <v>0</v>
      </c>
      <c r="BS100" s="42">
        <f>IFERROR(VLOOKUP(A100,'Trans 21-23'!$A$2:$J$229,9,0),0)</f>
        <v>419793795</v>
      </c>
      <c r="BT100" s="67"/>
      <c r="BU100" s="32">
        <f t="shared" si="0"/>
        <v>144169012</v>
      </c>
      <c r="BV100" s="32">
        <f t="shared" si="1"/>
        <v>634</v>
      </c>
      <c r="BW100" s="32">
        <f t="shared" si="2"/>
        <v>15</v>
      </c>
      <c r="BX100" s="32">
        <f t="shared" si="3"/>
        <v>4721231</v>
      </c>
      <c r="BY100" s="32">
        <f t="shared" si="4"/>
        <v>0</v>
      </c>
      <c r="BZ100" s="32">
        <f t="shared" si="5"/>
        <v>0</v>
      </c>
      <c r="CA100" s="32">
        <f t="shared" si="6"/>
        <v>27696545</v>
      </c>
      <c r="CB100" s="32">
        <f t="shared" si="7"/>
        <v>18521</v>
      </c>
      <c r="CC100" s="32">
        <f t="shared" si="8"/>
        <v>0</v>
      </c>
      <c r="CD100" s="41">
        <f t="shared" si="67"/>
        <v>0</v>
      </c>
      <c r="CE100" s="44">
        <f t="shared" si="10"/>
        <v>38</v>
      </c>
      <c r="CF100" s="27"/>
      <c r="CG100" s="28" t="str">
        <f t="shared" si="11"/>
        <v/>
      </c>
      <c r="CH100" s="28" t="str">
        <f t="shared" si="12"/>
        <v/>
      </c>
      <c r="CI100" s="28" t="str">
        <f t="shared" si="13"/>
        <v/>
      </c>
      <c r="CJ100" s="28" t="str">
        <f t="shared" si="14"/>
        <v/>
      </c>
      <c r="CK100" s="23" t="str">
        <f t="shared" si="15"/>
        <v/>
      </c>
      <c r="CL100" s="29" t="str">
        <f t="shared" si="16"/>
        <v/>
      </c>
      <c r="CM100" s="29" t="str">
        <f t="shared" si="17"/>
        <v/>
      </c>
      <c r="CN100" s="29" t="str">
        <f t="shared" si="18"/>
        <v/>
      </c>
      <c r="CO100" s="29" t="str">
        <f t="shared" si="19"/>
        <v/>
      </c>
      <c r="CP100" s="29" t="str">
        <f t="shared" si="20"/>
        <v/>
      </c>
      <c r="CQ100" s="29" t="str">
        <f t="shared" si="21"/>
        <v/>
      </c>
      <c r="CR100" s="13"/>
      <c r="CS100" s="7" t="str">
        <f>VLOOKUP(A100,'Empresas 21-23'!$A$2:$M$228,13,0)</f>
        <v/>
      </c>
      <c r="CT100" s="30"/>
      <c r="CU100" s="6">
        <f t="shared" si="22"/>
        <v>563962807</v>
      </c>
      <c r="CV100" s="6">
        <f t="shared" si="23"/>
        <v>0</v>
      </c>
      <c r="CW100" s="6">
        <f t="shared" si="24"/>
        <v>59129961</v>
      </c>
      <c r="CX100" s="23">
        <f t="shared" si="65"/>
        <v>0.47052163388443197</v>
      </c>
      <c r="CY100" s="23">
        <f t="shared" si="66"/>
        <v>0</v>
      </c>
      <c r="CZ100" s="6">
        <f t="shared" si="27"/>
        <v>591784732.86124277</v>
      </c>
      <c r="DA100" s="6">
        <f t="shared" si="28"/>
        <v>0</v>
      </c>
      <c r="DB100" s="6">
        <f t="shared" si="29"/>
        <v>4721231</v>
      </c>
      <c r="DC100" s="6">
        <f t="shared" si="30"/>
        <v>8983963</v>
      </c>
      <c r="DD100" s="6">
        <f t="shared" si="31"/>
        <v>0</v>
      </c>
      <c r="DE100" s="6">
        <f t="shared" si="32"/>
        <v>27696545</v>
      </c>
      <c r="DF100" s="6">
        <f t="shared" si="33"/>
        <v>9614658.8069686294</v>
      </c>
      <c r="DG100" s="30"/>
      <c r="DH100" s="32">
        <f>VLOOKUP(A100,'T_med_comp-USA'!$A$7:$Q$233,17,0)</f>
        <v>10.497786057066397</v>
      </c>
      <c r="DI100" s="6" t="str">
        <f t="shared" si="34"/>
        <v>7_2013</v>
      </c>
      <c r="DJ100" s="32">
        <f>IF(DI100="","",VLOOKUP(DI100,'CPI USA'!$T:$U,2,FALSE))</f>
        <v>233.596</v>
      </c>
      <c r="DK100" s="32">
        <f>IF(DI100="","",VLOOKUP(DI100,'PPI USA'!$S:$T,2,FALSE))</f>
        <v>176</v>
      </c>
      <c r="DL100" s="32">
        <f>IF(DI100="","",VLOOKUP(DI100,'CPI USA'!$T:$V,3,FALSE))</f>
        <v>0.67305131835944076</v>
      </c>
      <c r="DM100" s="32">
        <f>IF(DI100="","",VLOOKUP(DI100,'CPI USA'!$T:$X,5,FALSE))</f>
        <v>0.50163050295255052</v>
      </c>
      <c r="DN100" s="32">
        <f t="shared" si="35"/>
        <v>1.3680354489709332</v>
      </c>
      <c r="DO100" s="32">
        <f t="shared" si="36"/>
        <v>1.3801391301464276</v>
      </c>
      <c r="DP100" s="32">
        <f t="shared" si="37"/>
        <v>0.45151402250811284</v>
      </c>
      <c r="DQ100" s="32">
        <f>IF(DP100="","",DP100*$DO$1/'CPI USA'!$U$532+(1-DP100)*AVERAGE($DO$1,$DQ$1)/AVERAGE('CPI USA'!$U$532,'PPI USA'!$T$538))</f>
        <v>1.0368771767196066</v>
      </c>
      <c r="DR100" s="6">
        <f t="shared" si="38"/>
        <v>0</v>
      </c>
      <c r="DS100" s="32" t="str">
        <f t="shared" si="39"/>
        <v/>
      </c>
      <c r="DT100" s="28" t="str">
        <f>IF(DS100="","",DS100*$DO$1/'CPI USA'!$U$532+(1-DS100)*AVERAGE($DO$1,$DQ$1)/AVERAGE('CPI USA'!$U$532,'PPI USA'!$T$538))</f>
        <v/>
      </c>
      <c r="DU100" s="6">
        <f t="shared" si="40"/>
        <v>11009787</v>
      </c>
      <c r="DV100" s="6">
        <f t="shared" si="41"/>
        <v>326.90221339726446</v>
      </c>
      <c r="DW100" s="6">
        <f t="shared" si="42"/>
        <v>1100148.4374248334</v>
      </c>
      <c r="DX100" s="16" t="str">
        <f t="shared" si="43"/>
        <v/>
      </c>
      <c r="DY100" s="28" t="str">
        <f>IF(DX100="","",DX100*$DO$1/'CPI USA'!$U$532+(1-DX100)*AVERAGE($DO$1,$DQ$1)/AVERAGE('CPI USA'!$U$532,'PPI USA'!$T$538))</f>
        <v/>
      </c>
      <c r="DZ100" s="30"/>
      <c r="EA100" s="29" t="str">
        <f t="shared" si="44"/>
        <v>C001188</v>
      </c>
      <c r="EB100" s="29" t="str">
        <f t="shared" si="45"/>
        <v/>
      </c>
      <c r="EC100" s="29" t="str">
        <f t="shared" si="46"/>
        <v/>
      </c>
      <c r="ED100" s="29" t="str">
        <f t="shared" si="47"/>
        <v/>
      </c>
      <c r="EE100" s="29" t="str">
        <f t="shared" si="48"/>
        <v/>
      </c>
      <c r="EF100" s="29" t="str">
        <f t="shared" si="49"/>
        <v/>
      </c>
      <c r="EG100" s="29" t="str">
        <f t="shared" si="50"/>
        <v/>
      </c>
      <c r="EH100" s="29" t="str">
        <f t="shared" si="51"/>
        <v/>
      </c>
      <c r="EI100" s="29" t="str">
        <f t="shared" si="52"/>
        <v/>
      </c>
      <c r="EJ100" s="29" t="str">
        <f t="shared" si="53"/>
        <v/>
      </c>
      <c r="EK100" s="29" t="str">
        <f t="shared" si="54"/>
        <v/>
      </c>
      <c r="EL100" s="29" t="str">
        <f>IF(CD100=1,VLOOKUP(EA100,'EIA 2023'!$A$2:$J$213,4,0)*EH100,"")</f>
        <v/>
      </c>
      <c r="EM100" s="29" t="str">
        <f>IF(CD100=1,VLOOKUP(EA100,'EIA 2023'!$A$2:$J$213,7,0)*EH100,"")</f>
        <v/>
      </c>
      <c r="EN100" s="29" t="str">
        <f>IF(CD100=1,VLOOKUP(EA100,'EIA 2023'!$A$2:$J$213,10,0),"")</f>
        <v/>
      </c>
      <c r="EO100" s="28" t="str">
        <f>IF(CD100=1,VLOOKUP(EA100,'EIA 2023'!$A$2:$Z$213,26,0),"")</f>
        <v/>
      </c>
      <c r="EP100" s="23" t="str">
        <f t="shared" si="55"/>
        <v/>
      </c>
      <c r="EQ100" s="32" t="str">
        <f t="shared" si="56"/>
        <v/>
      </c>
      <c r="ER100" s="32" t="str">
        <f t="shared" si="57"/>
        <v/>
      </c>
      <c r="ES100" s="32"/>
      <c r="ET100" s="32"/>
    </row>
    <row r="101" spans="1:150" ht="15.75" customHeight="1">
      <c r="A101" s="7" t="s">
        <v>508</v>
      </c>
      <c r="B101" s="7" t="s">
        <v>509</v>
      </c>
      <c r="C101" s="32" t="s">
        <v>1186</v>
      </c>
      <c r="D101" s="42">
        <v>0</v>
      </c>
      <c r="E101" s="42">
        <v>0</v>
      </c>
      <c r="F101" s="42">
        <v>0</v>
      </c>
      <c r="G101" s="42">
        <v>1930699466</v>
      </c>
      <c r="H101" s="42">
        <v>1931031545</v>
      </c>
      <c r="I101" s="42">
        <v>0</v>
      </c>
      <c r="J101" s="42">
        <v>2980257</v>
      </c>
      <c r="K101" s="42">
        <v>213250</v>
      </c>
      <c r="L101" s="42">
        <v>5479286</v>
      </c>
      <c r="M101" s="42">
        <v>8049925</v>
      </c>
      <c r="N101" s="42">
        <v>9512432</v>
      </c>
      <c r="O101" s="42">
        <v>38915394</v>
      </c>
      <c r="P101" s="42">
        <v>1665863</v>
      </c>
      <c r="Q101" s="42">
        <v>0</v>
      </c>
      <c r="R101" s="42">
        <v>13807928</v>
      </c>
      <c r="S101" s="42">
        <v>12759391</v>
      </c>
      <c r="T101" s="42">
        <v>74320630</v>
      </c>
      <c r="U101" s="42">
        <v>17978111</v>
      </c>
      <c r="V101" s="42">
        <v>5033411</v>
      </c>
      <c r="W101" s="42">
        <v>1367011</v>
      </c>
      <c r="X101" s="42">
        <f>IFERROR(VLOOKUP(A101,'Trans 21-23'!$A$2:$J$229,10,0),0)</f>
        <v>13304438</v>
      </c>
      <c r="Y101" s="42">
        <v>6401636</v>
      </c>
      <c r="Z101" s="42">
        <v>1229849</v>
      </c>
      <c r="AA101" s="42">
        <v>304719413</v>
      </c>
      <c r="AB101" s="42">
        <v>230527626</v>
      </c>
      <c r="AC101" s="42">
        <v>848234</v>
      </c>
      <c r="AD101" s="42">
        <v>125552358</v>
      </c>
      <c r="AE101" s="42">
        <v>0</v>
      </c>
      <c r="AF101" s="42">
        <v>2914030258</v>
      </c>
      <c r="AG101" s="42">
        <v>2369557</v>
      </c>
      <c r="AH101" s="42">
        <v>2059882</v>
      </c>
      <c r="AI101" s="42">
        <v>41482271</v>
      </c>
      <c r="AJ101" s="42">
        <v>24762</v>
      </c>
      <c r="AK101" s="42">
        <v>163614</v>
      </c>
      <c r="AL101" s="42">
        <v>13076476</v>
      </c>
      <c r="AM101" s="42">
        <v>22126520</v>
      </c>
      <c r="AN101" s="42">
        <v>3552794</v>
      </c>
      <c r="AO101" s="42">
        <v>329647</v>
      </c>
      <c r="AP101" s="42">
        <v>0</v>
      </c>
      <c r="AQ101" s="42">
        <v>39092838</v>
      </c>
      <c r="AR101" s="42">
        <v>141175</v>
      </c>
      <c r="AS101" s="42">
        <v>39234013</v>
      </c>
      <c r="AT101" s="42">
        <v>0</v>
      </c>
      <c r="AU101" s="42">
        <v>9561</v>
      </c>
      <c r="AV101" s="42">
        <v>0</v>
      </c>
      <c r="AW101" s="42">
        <v>3133885962</v>
      </c>
      <c r="AX101" s="42">
        <v>536658502</v>
      </c>
      <c r="AY101" s="42">
        <v>1517100710</v>
      </c>
      <c r="AZ101" s="42">
        <v>443680059</v>
      </c>
      <c r="BA101" s="42">
        <v>513785231</v>
      </c>
      <c r="BB101" s="42">
        <v>11574299160</v>
      </c>
      <c r="BC101" s="42">
        <v>30139107497</v>
      </c>
      <c r="BD101" s="42">
        <v>474902613</v>
      </c>
      <c r="BE101" s="42">
        <v>2855798108</v>
      </c>
      <c r="BF101" s="42">
        <v>263882536</v>
      </c>
      <c r="BG101" s="42">
        <v>0</v>
      </c>
      <c r="BH101" s="42">
        <v>83417046</v>
      </c>
      <c r="BI101" s="42">
        <v>60106798</v>
      </c>
      <c r="BJ101" s="42">
        <v>5618709</v>
      </c>
      <c r="BK101" s="42">
        <v>0</v>
      </c>
      <c r="BL101" s="42">
        <v>0</v>
      </c>
      <c r="BM101" s="42">
        <v>16007889</v>
      </c>
      <c r="BN101" s="42">
        <v>210580436</v>
      </c>
      <c r="BO101" s="42">
        <v>0</v>
      </c>
      <c r="BP101" s="42">
        <v>43475593</v>
      </c>
      <c r="BQ101" s="42">
        <v>1041657707</v>
      </c>
      <c r="BR101" s="42">
        <v>7401</v>
      </c>
      <c r="BS101" s="42">
        <f>IFERROR(VLOOKUP(A101,'Trans 21-23'!$A$2:$J$229,9,0),0)</f>
        <v>1312996317</v>
      </c>
      <c r="BT101" s="67"/>
      <c r="BU101" s="32">
        <f t="shared" si="0"/>
        <v>11574299160</v>
      </c>
      <c r="BV101" s="32">
        <f t="shared" si="1"/>
        <v>9561</v>
      </c>
      <c r="BW101" s="32">
        <f t="shared" si="2"/>
        <v>2369557</v>
      </c>
      <c r="BX101" s="32">
        <f t="shared" si="3"/>
        <v>192082889</v>
      </c>
      <c r="BY101" s="32">
        <f t="shared" si="4"/>
        <v>543726758</v>
      </c>
      <c r="BZ101" s="32">
        <f t="shared" si="5"/>
        <v>443680059</v>
      </c>
      <c r="CA101" s="32">
        <f t="shared" si="6"/>
        <v>125552358</v>
      </c>
      <c r="CB101" s="32">
        <f t="shared" si="7"/>
        <v>2059882</v>
      </c>
      <c r="CC101" s="32">
        <f t="shared" si="8"/>
        <v>39092838</v>
      </c>
      <c r="CD101" s="41">
        <f t="shared" si="67"/>
        <v>1</v>
      </c>
      <c r="CE101" s="44">
        <f t="shared" si="10"/>
        <v>13</v>
      </c>
      <c r="CF101" s="27"/>
      <c r="CG101" s="28">
        <f t="shared" si="11"/>
        <v>1210.5741198619392</v>
      </c>
      <c r="CH101" s="28">
        <f t="shared" si="12"/>
        <v>4.034931423890626</v>
      </c>
      <c r="CI101" s="28">
        <f t="shared" si="13"/>
        <v>81.062784731492002</v>
      </c>
      <c r="CJ101" s="28">
        <f t="shared" si="14"/>
        <v>187.24177515037621</v>
      </c>
      <c r="CK101" s="23">
        <f t="shared" si="15"/>
        <v>5.2692055767350532E-2</v>
      </c>
      <c r="CL101" s="29" t="str">
        <f t="shared" si="16"/>
        <v/>
      </c>
      <c r="CM101" s="29" t="str">
        <f t="shared" si="17"/>
        <v/>
      </c>
      <c r="CN101" s="29" t="str">
        <f t="shared" si="18"/>
        <v/>
      </c>
      <c r="CO101" s="29" t="str">
        <f t="shared" si="19"/>
        <v/>
      </c>
      <c r="CP101" s="29" t="str">
        <f t="shared" si="20"/>
        <v/>
      </c>
      <c r="CQ101" s="29">
        <f t="shared" si="21"/>
        <v>0</v>
      </c>
      <c r="CR101" s="13"/>
      <c r="CS101" s="7">
        <f>VLOOKUP(A101,'Empresas 21-23'!$A$2:$M$228,13,0)</f>
        <v>1</v>
      </c>
      <c r="CT101" s="30"/>
      <c r="CU101" s="6">
        <f t="shared" si="22"/>
        <v>10697574659.799999</v>
      </c>
      <c r="CV101" s="6">
        <f t="shared" si="23"/>
        <v>443680059</v>
      </c>
      <c r="CW101" s="6">
        <f t="shared" si="24"/>
        <v>474902613</v>
      </c>
      <c r="CX101" s="23">
        <f t="shared" si="65"/>
        <v>0.36062232922244802</v>
      </c>
      <c r="CY101" s="23">
        <f t="shared" si="66"/>
        <v>1.4956748739262787E-2</v>
      </c>
      <c r="CZ101" s="6">
        <f t="shared" si="27"/>
        <v>10868835146.253885</v>
      </c>
      <c r="DA101" s="6">
        <f t="shared" si="28"/>
        <v>450783058.05826038</v>
      </c>
      <c r="DB101" s="6">
        <f t="shared" si="29"/>
        <v>192082889</v>
      </c>
      <c r="DC101" s="6">
        <f t="shared" si="30"/>
        <v>205387327</v>
      </c>
      <c r="DD101" s="6">
        <f t="shared" si="31"/>
        <v>543726758</v>
      </c>
      <c r="DE101" s="6">
        <f t="shared" si="32"/>
        <v>125552358</v>
      </c>
      <c r="DF101" s="6">
        <f t="shared" si="33"/>
        <v>109689707.39022201</v>
      </c>
      <c r="DG101" s="30"/>
      <c r="DH101" s="32">
        <f>VLOOKUP(A101,'T_med_comp-USA'!$A$7:$Q$233,17,0)</f>
        <v>10.820612499446952</v>
      </c>
      <c r="DI101" s="6" t="str">
        <f t="shared" si="34"/>
        <v>3_2013</v>
      </c>
      <c r="DJ101" s="32">
        <f>IF(DI101="","",VLOOKUP(DI101,'CPI USA'!$T:$U,2,FALSE))</f>
        <v>232.773</v>
      </c>
      <c r="DK101" s="32">
        <f>IF(DI101="","",VLOOKUP(DI101,'PPI USA'!$S:$T,2,FALSE))</f>
        <v>166</v>
      </c>
      <c r="DL101" s="32">
        <f>IF(DI101="","",VLOOKUP(DI101,'CPI USA'!$T:$V,3,FALSE))</f>
        <v>0.67305131835944076</v>
      </c>
      <c r="DM101" s="32">
        <f>IF(DI101="","",VLOOKUP(DI101,'CPI USA'!$T:$X,5,FALSE))</f>
        <v>0.50163050295255052</v>
      </c>
      <c r="DN101" s="32">
        <f t="shared" si="35"/>
        <v>1.3837971226169852</v>
      </c>
      <c r="DO101" s="32">
        <f t="shared" si="36"/>
        <v>1.4016715257319334</v>
      </c>
      <c r="DP101" s="32">
        <f t="shared" si="37"/>
        <v>0.43427629829120279</v>
      </c>
      <c r="DQ101" s="32">
        <f>IF(DP101="","",DP101*$DO$1/'CPI USA'!$U$532+(1-DP101)*AVERAGE($DO$1,$DQ$1)/AVERAGE('CPI USA'!$U$532,'PPI USA'!$T$538))</f>
        <v>1.0372750040865459</v>
      </c>
      <c r="DR101" s="6">
        <f t="shared" si="38"/>
        <v>65725507</v>
      </c>
      <c r="DS101" s="32">
        <f t="shared" si="39"/>
        <v>0.2</v>
      </c>
      <c r="DT101" s="28">
        <f>IF(DS101="","",DS101*$DO$1/'CPI USA'!$U$532+(1-DS101)*AVERAGE($DO$1,$DQ$1)/AVERAGE('CPI USA'!$U$532,'PPI USA'!$T$538))</f>
        <v>1.0426818386380585</v>
      </c>
      <c r="DU101" s="6">
        <f t="shared" si="40"/>
        <v>16007889</v>
      </c>
      <c r="DV101" s="6">
        <f t="shared" si="41"/>
        <v>697219.93330886005</v>
      </c>
      <c r="DW101" s="6">
        <f t="shared" si="42"/>
        <v>11831310.836761635</v>
      </c>
      <c r="DX101" s="16">
        <f t="shared" si="43"/>
        <v>0.2</v>
      </c>
      <c r="DY101" s="28">
        <f>IF(DX101="","",DX101*$DO$1/'CPI USA'!$U$532+(1-DX101)*AVERAGE($DO$1,$DQ$1)/AVERAGE('CPI USA'!$U$532,'PPI USA'!$T$538))</f>
        <v>1.0426818386380585</v>
      </c>
      <c r="DZ101" s="30"/>
      <c r="EA101" s="29" t="str">
        <f t="shared" si="44"/>
        <v>C001194</v>
      </c>
      <c r="EB101" s="29">
        <f t="shared" si="45"/>
        <v>15040262801.584486</v>
      </c>
      <c r="EC101" s="29">
        <f t="shared" si="46"/>
        <v>631849776.76262856</v>
      </c>
      <c r="ED101" s="29">
        <f t="shared" si="47"/>
        <v>213043140.45324975</v>
      </c>
      <c r="EE101" s="29">
        <f t="shared" si="48"/>
        <v>566934015.74815071</v>
      </c>
      <c r="EF101" s="29">
        <f t="shared" si="49"/>
        <v>114371465.78130732</v>
      </c>
      <c r="EG101" s="29">
        <f t="shared" si="50"/>
        <v>9561</v>
      </c>
      <c r="EH101" s="29">
        <f t="shared" si="51"/>
        <v>2369557</v>
      </c>
      <c r="EI101" s="29">
        <f t="shared" si="52"/>
        <v>2059882</v>
      </c>
      <c r="EJ101" s="29">
        <f t="shared" si="53"/>
        <v>39092838</v>
      </c>
      <c r="EK101" s="29">
        <f t="shared" si="54"/>
        <v>41150570.126903556</v>
      </c>
      <c r="EL101" s="29">
        <f>IF(CD101=1,VLOOKUP(EA101,'EIA 2023'!$A$2:$J$213,4,0)*EH101,"")</f>
        <v>84474707.049999997</v>
      </c>
      <c r="EM101" s="29">
        <f>IF(CD101=1,VLOOKUP(EA101,'EIA 2023'!$A$2:$J$213,7,0)*EH101,"")</f>
        <v>1350647.49</v>
      </c>
      <c r="EN101" s="29">
        <f>IF(CD101=1,VLOOKUP(EA101,'EIA 2023'!$A$2:$J$213,10,0),"")</f>
        <v>1580555</v>
      </c>
      <c r="EO101" s="28">
        <f>IF(CD101=1,VLOOKUP(EA101,'EIA 2023'!$A$2:$Z$213,26,0),"")</f>
        <v>0</v>
      </c>
      <c r="EP101" s="23">
        <f t="shared" si="55"/>
        <v>5.0004948183166052E-2</v>
      </c>
      <c r="EQ101" s="32">
        <f t="shared" si="56"/>
        <v>2149.8730964467104</v>
      </c>
      <c r="ER101" s="32">
        <f t="shared" si="57"/>
        <v>2057732.1269035533</v>
      </c>
      <c r="ES101" s="32"/>
      <c r="ET101" s="32"/>
    </row>
    <row r="102" spans="1:150" ht="15.75" customHeight="1">
      <c r="A102" s="7" t="s">
        <v>511</v>
      </c>
      <c r="B102" s="7" t="s">
        <v>512</v>
      </c>
      <c r="C102" s="32" t="s">
        <v>1187</v>
      </c>
      <c r="D102" s="42">
        <v>8195192</v>
      </c>
      <c r="E102" s="42">
        <v>18314883</v>
      </c>
      <c r="F102" s="42">
        <v>112028264</v>
      </c>
      <c r="G102" s="42">
        <v>517369849</v>
      </c>
      <c r="H102" s="42">
        <v>529882829</v>
      </c>
      <c r="I102" s="42">
        <v>1520725</v>
      </c>
      <c r="J102" s="42">
        <v>1068542</v>
      </c>
      <c r="K102" s="42">
        <v>0</v>
      </c>
      <c r="L102" s="42">
        <v>3049230</v>
      </c>
      <c r="M102" s="42">
        <v>718800</v>
      </c>
      <c r="N102" s="42">
        <v>0</v>
      </c>
      <c r="O102" s="42">
        <v>10483821</v>
      </c>
      <c r="P102" s="42">
        <v>864705</v>
      </c>
      <c r="Q102" s="42">
        <v>1210881</v>
      </c>
      <c r="R102" s="42">
        <v>46707</v>
      </c>
      <c r="S102" s="42">
        <v>1195968</v>
      </c>
      <c r="T102" s="42">
        <v>7456736</v>
      </c>
      <c r="U102" s="42">
        <v>2055758</v>
      </c>
      <c r="V102" s="42">
        <v>412</v>
      </c>
      <c r="W102" s="42">
        <v>0</v>
      </c>
      <c r="X102" s="42">
        <f>IFERROR(VLOOKUP(A102,'Trans 21-23'!$A$2:$J$229,10,0),0)</f>
        <v>2454473</v>
      </c>
      <c r="Y102" s="42">
        <v>3293928</v>
      </c>
      <c r="Z102" s="42">
        <v>443502</v>
      </c>
      <c r="AA102" s="42">
        <v>23200115</v>
      </c>
      <c r="AB102" s="42">
        <v>1455023</v>
      </c>
      <c r="AC102" s="42">
        <v>6203797</v>
      </c>
      <c r="AD102" s="42">
        <v>177866261</v>
      </c>
      <c r="AE102" s="42">
        <v>0</v>
      </c>
      <c r="AF102" s="42">
        <v>1049839041</v>
      </c>
      <c r="AG102" s="42">
        <v>548047</v>
      </c>
      <c r="AH102" s="42">
        <v>2041062</v>
      </c>
      <c r="AI102" s="42">
        <v>16313594</v>
      </c>
      <c r="AJ102" s="42">
        <v>18389</v>
      </c>
      <c r="AK102" s="42">
        <v>0</v>
      </c>
      <c r="AL102" s="42">
        <v>3390664</v>
      </c>
      <c r="AM102" s="42">
        <v>3645072</v>
      </c>
      <c r="AN102" s="42">
        <v>2415799</v>
      </c>
      <c r="AO102" s="42">
        <v>35673</v>
      </c>
      <c r="AP102" s="42">
        <v>179811</v>
      </c>
      <c r="AQ102" s="42">
        <v>9667019</v>
      </c>
      <c r="AR102" s="42">
        <v>4587124</v>
      </c>
      <c r="AS102" s="42">
        <v>14254143</v>
      </c>
      <c r="AT102" s="42">
        <v>0</v>
      </c>
      <c r="AU102" s="42">
        <v>2162</v>
      </c>
      <c r="AV102" s="42">
        <v>0</v>
      </c>
      <c r="AW102" s="42">
        <v>247971962</v>
      </c>
      <c r="AX102" s="42">
        <v>151746652</v>
      </c>
      <c r="AY102" s="42">
        <v>378013266</v>
      </c>
      <c r="AZ102" s="42">
        <v>59630710</v>
      </c>
      <c r="BA102" s="42">
        <v>25637066</v>
      </c>
      <c r="BB102" s="42">
        <v>1981936272</v>
      </c>
      <c r="BC102" s="42">
        <v>6128771619</v>
      </c>
      <c r="BD102" s="42">
        <v>179474163</v>
      </c>
      <c r="BE102" s="42">
        <v>756154255</v>
      </c>
      <c r="BF102" s="42">
        <v>50764143</v>
      </c>
      <c r="BG102" s="42">
        <v>0</v>
      </c>
      <c r="BH102" s="42">
        <v>14868956</v>
      </c>
      <c r="BI102" s="42">
        <v>9150892</v>
      </c>
      <c r="BJ102" s="42">
        <v>955910</v>
      </c>
      <c r="BK102" s="42">
        <v>3354590</v>
      </c>
      <c r="BL102" s="42">
        <v>0</v>
      </c>
      <c r="BM102" s="42">
        <v>50945504</v>
      </c>
      <c r="BN102" s="42">
        <v>121103343</v>
      </c>
      <c r="BO102" s="42">
        <v>6676635</v>
      </c>
      <c r="BP102" s="42">
        <v>25694853</v>
      </c>
      <c r="BQ102" s="42">
        <v>162873912</v>
      </c>
      <c r="BR102" s="42">
        <v>0</v>
      </c>
      <c r="BS102" s="42">
        <f>IFERROR(VLOOKUP(A102,'Trans 21-23'!$A$2:$J$229,9,0),0)</f>
        <v>241716467</v>
      </c>
      <c r="BT102" s="67"/>
      <c r="BU102" s="32">
        <f t="shared" si="0"/>
        <v>1981936272</v>
      </c>
      <c r="BV102" s="32">
        <f t="shared" si="1"/>
        <v>2162</v>
      </c>
      <c r="BW102" s="32">
        <f t="shared" si="2"/>
        <v>548047</v>
      </c>
      <c r="BX102" s="32">
        <f t="shared" si="3"/>
        <v>29672285</v>
      </c>
      <c r="BY102" s="32">
        <f t="shared" si="4"/>
        <v>34596365</v>
      </c>
      <c r="BZ102" s="32">
        <f t="shared" si="5"/>
        <v>59630710</v>
      </c>
      <c r="CA102" s="32">
        <f t="shared" si="6"/>
        <v>177866261</v>
      </c>
      <c r="CB102" s="32">
        <f t="shared" si="7"/>
        <v>2041062</v>
      </c>
      <c r="CC102" s="32">
        <f t="shared" si="8"/>
        <v>9667019</v>
      </c>
      <c r="CD102" s="41">
        <f t="shared" si="67"/>
        <v>1</v>
      </c>
      <c r="CE102" s="44">
        <f t="shared" si="10"/>
        <v>10</v>
      </c>
      <c r="CF102" s="27"/>
      <c r="CG102" s="28">
        <f t="shared" si="11"/>
        <v>916.71427937095291</v>
      </c>
      <c r="CH102" s="28">
        <f t="shared" si="12"/>
        <v>3.9449171330196133</v>
      </c>
      <c r="CI102" s="28">
        <f t="shared" si="13"/>
        <v>54.141861920601698</v>
      </c>
      <c r="CJ102" s="28">
        <f t="shared" si="14"/>
        <v>108.80583234649583</v>
      </c>
      <c r="CK102" s="23">
        <f t="shared" si="15"/>
        <v>0.21113664926074935</v>
      </c>
      <c r="CL102" s="29" t="str">
        <f t="shared" si="16"/>
        <v/>
      </c>
      <c r="CM102" s="29" t="str">
        <f t="shared" si="17"/>
        <v/>
      </c>
      <c r="CN102" s="29" t="str">
        <f t="shared" si="18"/>
        <v/>
      </c>
      <c r="CO102" s="29" t="str">
        <f t="shared" si="19"/>
        <v/>
      </c>
      <c r="CP102" s="29" t="str">
        <f t="shared" si="20"/>
        <v/>
      </c>
      <c r="CQ102" s="29">
        <f t="shared" si="21"/>
        <v>0</v>
      </c>
      <c r="CR102" s="13"/>
      <c r="CS102" s="7">
        <f>VLOOKUP(A102,'Empresas 21-23'!$A$2:$M$228,13,0)</f>
        <v>1</v>
      </c>
      <c r="CT102" s="30"/>
      <c r="CU102" s="6">
        <f t="shared" si="22"/>
        <v>1820529012.2</v>
      </c>
      <c r="CV102" s="6">
        <f t="shared" si="23"/>
        <v>59630710</v>
      </c>
      <c r="CW102" s="6">
        <f t="shared" si="24"/>
        <v>179474163</v>
      </c>
      <c r="CX102" s="23">
        <f t="shared" si="65"/>
        <v>0.30600739426198226</v>
      </c>
      <c r="CY102" s="23">
        <f t="shared" si="66"/>
        <v>1.0023151547055542E-2</v>
      </c>
      <c r="CZ102" s="6">
        <f t="shared" si="27"/>
        <v>1875449433.1569803</v>
      </c>
      <c r="DA102" s="6">
        <f t="shared" si="28"/>
        <v>61429606.73452995</v>
      </c>
      <c r="DB102" s="6">
        <f t="shared" si="29"/>
        <v>29672285</v>
      </c>
      <c r="DC102" s="6">
        <f t="shared" si="30"/>
        <v>32126758</v>
      </c>
      <c r="DD102" s="6">
        <f t="shared" si="31"/>
        <v>34596365</v>
      </c>
      <c r="DE102" s="6">
        <f t="shared" si="32"/>
        <v>177866261</v>
      </c>
      <c r="DF102" s="6">
        <f t="shared" si="33"/>
        <v>58303603.167992122</v>
      </c>
      <c r="DG102" s="30"/>
      <c r="DH102" s="32">
        <f>VLOOKUP(A102,'T_med_comp-USA'!$A$7:$Q$233,17,0)</f>
        <v>15.554481459579947</v>
      </c>
      <c r="DI102" s="6" t="str">
        <f t="shared" si="34"/>
        <v>6_2008</v>
      </c>
      <c r="DJ102" s="32">
        <f>IF(DI102="","",VLOOKUP(DI102,'CPI USA'!$T:$U,2,FALSE))</f>
        <v>215.303</v>
      </c>
      <c r="DK102" s="32">
        <f>IF(DI102="","",VLOOKUP(DI102,'PPI USA'!$S:$T,2,FALSE))</f>
        <v>159.30000000000001</v>
      </c>
      <c r="DL102" s="32">
        <f>IF(DI102="","",VLOOKUP(DI102,'CPI USA'!$T:$V,3,FALSE))</f>
        <v>0.67018812038291731</v>
      </c>
      <c r="DM102" s="32">
        <f>IF(DI102="","",VLOOKUP(DI102,'CPI USA'!$T:$X,5,FALSE))</f>
        <v>0.49838492968660258</v>
      </c>
      <c r="DN102" s="32">
        <f t="shared" si="35"/>
        <v>1.4884333659448254</v>
      </c>
      <c r="DO102" s="32">
        <f t="shared" si="36"/>
        <v>1.5036496327119213</v>
      </c>
      <c r="DP102" s="32">
        <f t="shared" si="37"/>
        <v>0.52873268929384698</v>
      </c>
      <c r="DQ102" s="32">
        <f>IF(DP102="","",DP102*$DO$1/'CPI USA'!$U$532+(1-DP102)*AVERAGE($DO$1,$DQ$1)/AVERAGE('CPI USA'!$U$532,'PPI USA'!$T$538))</f>
        <v>1.0350950563828756</v>
      </c>
      <c r="DR102" s="6">
        <f t="shared" si="38"/>
        <v>13461392</v>
      </c>
      <c r="DS102" s="32">
        <f t="shared" si="39"/>
        <v>0.41055011496601385</v>
      </c>
      <c r="DT102" s="28">
        <f>IF(DS102="","",DS102*$DO$1/'CPI USA'!$U$532+(1-DS102)*AVERAGE($DO$1,$DQ$1)/AVERAGE('CPI USA'!$U$532,'PPI USA'!$T$538))</f>
        <v>1.0378225778219763</v>
      </c>
      <c r="DU102" s="6">
        <f t="shared" si="40"/>
        <v>53754217.010499142</v>
      </c>
      <c r="DV102" s="6">
        <f t="shared" si="41"/>
        <v>9542544.2179984041</v>
      </c>
      <c r="DW102" s="6">
        <f t="shared" si="42"/>
        <v>14807347.414647697</v>
      </c>
      <c r="DX102" s="16">
        <f t="shared" si="43"/>
        <v>0.25396967957508204</v>
      </c>
      <c r="DY102" s="28">
        <f>IF(DX102="","",DX102*$DO$1/'CPI USA'!$U$532+(1-DX102)*AVERAGE($DO$1,$DQ$1)/AVERAGE('CPI USA'!$U$532,'PPI USA'!$T$538))</f>
        <v>1.0414362788849421</v>
      </c>
      <c r="DZ102" s="30"/>
      <c r="EA102" s="29" t="str">
        <f t="shared" si="44"/>
        <v>C001218</v>
      </c>
      <c r="EB102" s="29">
        <f t="shared" si="45"/>
        <v>2791481512.4531589</v>
      </c>
      <c r="EC102" s="29">
        <f t="shared" si="46"/>
        <v>92368605.604013726</v>
      </c>
      <c r="ED102" s="29">
        <f t="shared" si="47"/>
        <v>33254248.383408997</v>
      </c>
      <c r="EE102" s="29">
        <f t="shared" si="48"/>
        <v>35904888.707569994</v>
      </c>
      <c r="EF102" s="29">
        <f t="shared" si="49"/>
        <v>60719487.528858036</v>
      </c>
      <c r="EG102" s="29">
        <f t="shared" si="50"/>
        <v>2162</v>
      </c>
      <c r="EH102" s="29">
        <f t="shared" si="51"/>
        <v>548047</v>
      </c>
      <c r="EI102" s="29">
        <f t="shared" si="52"/>
        <v>2041062</v>
      </c>
      <c r="EJ102" s="29">
        <f t="shared" si="53"/>
        <v>9667019</v>
      </c>
      <c r="EK102" s="29">
        <f t="shared" si="54"/>
        <v>11638226.319796953</v>
      </c>
      <c r="EL102" s="29">
        <f>IF(CD102=1,VLOOKUP(EA102,'EIA 2023'!$A$2:$J$213,4,0)*EH102,"")</f>
        <v>50513491.990000002</v>
      </c>
      <c r="EM102" s="29">
        <f>IF(CD102=1,VLOOKUP(EA102,'EIA 2023'!$A$2:$J$213,7,0)*EH102,"")</f>
        <v>463099.71499999997</v>
      </c>
      <c r="EN102" s="29">
        <f>IF(CD102=1,VLOOKUP(EA102,'EIA 2023'!$A$2:$J$213,10,0),"")</f>
        <v>35858</v>
      </c>
      <c r="EO102" s="28">
        <f>IF(CD102=1,VLOOKUP(EA102,'EIA 2023'!$A$2:$Z$213,26,0),"")</f>
        <v>0</v>
      </c>
      <c r="EP102" s="23">
        <f t="shared" si="55"/>
        <v>0.16937351668818079</v>
      </c>
      <c r="EQ102" s="32">
        <f t="shared" si="56"/>
        <v>69854.680203045718</v>
      </c>
      <c r="ER102" s="32">
        <f t="shared" si="57"/>
        <v>1971207.3197969543</v>
      </c>
      <c r="ES102" s="32"/>
      <c r="ET102" s="32"/>
    </row>
    <row r="103" spans="1:150" ht="15.75" customHeight="1">
      <c r="A103" s="7" t="s">
        <v>514</v>
      </c>
      <c r="B103" s="7" t="s">
        <v>515</v>
      </c>
      <c r="C103" s="32" t="s">
        <v>1188</v>
      </c>
      <c r="D103" s="42">
        <v>0</v>
      </c>
      <c r="E103" s="42">
        <v>0</v>
      </c>
      <c r="F103" s="42">
        <v>0</v>
      </c>
      <c r="G103" s="42">
        <v>24982990</v>
      </c>
      <c r="H103" s="42">
        <v>25349687</v>
      </c>
      <c r="I103" s="42">
        <v>641393</v>
      </c>
      <c r="J103" s="42">
        <v>56203</v>
      </c>
      <c r="K103" s="42">
        <v>49099</v>
      </c>
      <c r="L103" s="42">
        <v>144852</v>
      </c>
      <c r="M103" s="42">
        <v>136058</v>
      </c>
      <c r="N103" s="42">
        <v>17456</v>
      </c>
      <c r="O103" s="42">
        <v>124595</v>
      </c>
      <c r="P103" s="42">
        <v>0</v>
      </c>
      <c r="Q103" s="42">
        <v>146021</v>
      </c>
      <c r="R103" s="42">
        <v>0</v>
      </c>
      <c r="S103" s="42">
        <v>44158</v>
      </c>
      <c r="T103" s="42">
        <v>3208503</v>
      </c>
      <c r="U103" s="42">
        <v>141775</v>
      </c>
      <c r="V103" s="42">
        <v>0</v>
      </c>
      <c r="W103" s="42">
        <v>570</v>
      </c>
      <c r="X103" s="42">
        <f>IFERROR(VLOOKUP(A103,'Trans 21-23'!$A$2:$J$229,10,0),0)</f>
        <v>49501</v>
      </c>
      <c r="Y103" s="42">
        <v>366515</v>
      </c>
      <c r="Z103" s="42">
        <v>8599</v>
      </c>
      <c r="AA103" s="42">
        <v>4898262</v>
      </c>
      <c r="AB103" s="42">
        <v>7785435</v>
      </c>
      <c r="AC103" s="42">
        <v>35757</v>
      </c>
      <c r="AD103" s="42">
        <v>6318243</v>
      </c>
      <c r="AE103" s="42">
        <v>0</v>
      </c>
      <c r="AF103" s="42">
        <v>60396298</v>
      </c>
      <c r="AG103" s="42">
        <v>30736</v>
      </c>
      <c r="AH103" s="42">
        <v>35353</v>
      </c>
      <c r="AI103" s="42">
        <v>162336</v>
      </c>
      <c r="AJ103" s="42">
        <v>1808</v>
      </c>
      <c r="AK103" s="42">
        <v>0</v>
      </c>
      <c r="AL103" s="42">
        <v>59708</v>
      </c>
      <c r="AM103" s="42">
        <v>13954</v>
      </c>
      <c r="AN103" s="42">
        <v>4332</v>
      </c>
      <c r="AO103" s="42">
        <v>224</v>
      </c>
      <c r="AP103" s="42">
        <v>0</v>
      </c>
      <c r="AQ103" s="42">
        <v>78218</v>
      </c>
      <c r="AR103" s="42">
        <v>46957</v>
      </c>
      <c r="AS103" s="42">
        <v>125175</v>
      </c>
      <c r="AT103" s="42">
        <v>0</v>
      </c>
      <c r="AU103" s="42">
        <v>90</v>
      </c>
      <c r="AV103" s="42">
        <v>0</v>
      </c>
      <c r="AW103" s="42">
        <v>47522363</v>
      </c>
      <c r="AX103" s="42">
        <v>5070695</v>
      </c>
      <c r="AY103" s="42">
        <v>16932712</v>
      </c>
      <c r="AZ103" s="42">
        <v>10245261</v>
      </c>
      <c r="BA103" s="42">
        <v>422262</v>
      </c>
      <c r="BB103" s="42">
        <v>179981938</v>
      </c>
      <c r="BC103" s="42">
        <v>205620851</v>
      </c>
      <c r="BD103" s="42">
        <v>4864561</v>
      </c>
      <c r="BE103" s="42">
        <v>84223066</v>
      </c>
      <c r="BF103" s="42">
        <v>7529283</v>
      </c>
      <c r="BG103" s="42">
        <v>0</v>
      </c>
      <c r="BH103" s="42">
        <v>1089554</v>
      </c>
      <c r="BI103" s="42">
        <v>15816</v>
      </c>
      <c r="BJ103" s="42">
        <v>0</v>
      </c>
      <c r="BK103" s="42">
        <v>0</v>
      </c>
      <c r="BL103" s="42">
        <v>0</v>
      </c>
      <c r="BM103" s="42">
        <v>30211</v>
      </c>
      <c r="BN103" s="42">
        <v>1187961</v>
      </c>
      <c r="BO103" s="42">
        <v>115088</v>
      </c>
      <c r="BP103" s="42">
        <v>373111</v>
      </c>
      <c r="BQ103" s="42">
        <v>7299175</v>
      </c>
      <c r="BR103" s="42">
        <v>0</v>
      </c>
      <c r="BS103" s="42">
        <f>IFERROR(VLOOKUP(A103,'Trans 21-23'!$A$2:$J$229,9,0),0)</f>
        <v>1855249</v>
      </c>
      <c r="BT103" s="67"/>
      <c r="BU103" s="32">
        <f t="shared" si="0"/>
        <v>179981938</v>
      </c>
      <c r="BV103" s="32">
        <f t="shared" si="1"/>
        <v>90</v>
      </c>
      <c r="BW103" s="32">
        <f t="shared" si="2"/>
        <v>30736</v>
      </c>
      <c r="BX103" s="32">
        <f t="shared" si="3"/>
        <v>4710683</v>
      </c>
      <c r="BY103" s="32">
        <f t="shared" si="4"/>
        <v>13094568</v>
      </c>
      <c r="BZ103" s="32">
        <f t="shared" si="5"/>
        <v>10245261</v>
      </c>
      <c r="CA103" s="32">
        <f t="shared" si="6"/>
        <v>6318243</v>
      </c>
      <c r="CB103" s="32">
        <f t="shared" si="7"/>
        <v>35353</v>
      </c>
      <c r="CC103" s="32">
        <f t="shared" si="8"/>
        <v>78218</v>
      </c>
      <c r="CD103" s="41">
        <f t="shared" si="67"/>
        <v>1</v>
      </c>
      <c r="CE103" s="44">
        <f t="shared" si="10"/>
        <v>16</v>
      </c>
      <c r="CF103" s="27"/>
      <c r="CG103" s="28">
        <f t="shared" si="11"/>
        <v>1999.7993111111111</v>
      </c>
      <c r="CH103" s="28">
        <f t="shared" si="12"/>
        <v>2.9281624154086412</v>
      </c>
      <c r="CI103" s="28">
        <f t="shared" si="13"/>
        <v>153.26272123893804</v>
      </c>
      <c r="CJ103" s="28">
        <f t="shared" si="14"/>
        <v>333.33097995835504</v>
      </c>
      <c r="CK103" s="23">
        <f t="shared" si="15"/>
        <v>0.45198036257638907</v>
      </c>
      <c r="CL103" s="29" t="str">
        <f t="shared" si="16"/>
        <v/>
      </c>
      <c r="CM103" s="29" t="str">
        <f t="shared" si="17"/>
        <v/>
      </c>
      <c r="CN103" s="29" t="str">
        <f t="shared" si="18"/>
        <v/>
      </c>
      <c r="CO103" s="29" t="str">
        <f t="shared" si="19"/>
        <v/>
      </c>
      <c r="CP103" s="29">
        <f t="shared" si="20"/>
        <v>1</v>
      </c>
      <c r="CQ103" s="29">
        <f t="shared" si="21"/>
        <v>1</v>
      </c>
      <c r="CR103" s="13"/>
      <c r="CS103" s="7" t="str">
        <f>VLOOKUP(A103,'Empresas 21-23'!$A$2:$M$228,13,0)</f>
        <v/>
      </c>
      <c r="CT103" s="30"/>
      <c r="CU103" s="6">
        <f t="shared" si="22"/>
        <v>157967619.80000001</v>
      </c>
      <c r="CV103" s="6">
        <f t="shared" si="23"/>
        <v>10245261</v>
      </c>
      <c r="CW103" s="6">
        <f t="shared" si="24"/>
        <v>4864561</v>
      </c>
      <c r="CX103" s="23">
        <f t="shared" si="65"/>
        <v>0.7868626173556007</v>
      </c>
      <c r="CY103" s="23">
        <f t="shared" si="66"/>
        <v>5.1033325033053759E-2</v>
      </c>
      <c r="CZ103" s="6">
        <f t="shared" si="27"/>
        <v>161795361.00074598</v>
      </c>
      <c r="DA103" s="6">
        <f t="shared" si="28"/>
        <v>10493515.722656118</v>
      </c>
      <c r="DB103" s="6">
        <f t="shared" si="29"/>
        <v>4710683</v>
      </c>
      <c r="DC103" s="6">
        <f t="shared" si="30"/>
        <v>4760184</v>
      </c>
      <c r="DD103" s="6">
        <f t="shared" si="31"/>
        <v>13094568</v>
      </c>
      <c r="DE103" s="6">
        <f t="shared" si="32"/>
        <v>6318243</v>
      </c>
      <c r="DF103" s="6">
        <f t="shared" si="33"/>
        <v>3926803.7029021629</v>
      </c>
      <c r="DG103" s="30"/>
      <c r="DH103" s="32">
        <f>VLOOKUP(A103,'T_med_comp-USA'!$A$7:$Q$233,17,0)</f>
        <v>11.133506740569848</v>
      </c>
      <c r="DI103" s="6" t="str">
        <f t="shared" si="34"/>
        <v>11_2012</v>
      </c>
      <c r="DJ103" s="32">
        <f>IF(DI103="","",VLOOKUP(DI103,'CPI USA'!$T:$U,2,FALSE))</f>
        <v>229.59399999999999</v>
      </c>
      <c r="DK103" s="32">
        <f>IF(DI103="","",VLOOKUP(DI103,'PPI USA'!$S:$T,2,FALSE))</f>
        <v>175.1</v>
      </c>
      <c r="DL103" s="32">
        <f>IF(DI103="","",VLOOKUP(DI103,'CPI USA'!$T:$V,3,FALSE))</f>
        <v>0.66730871354337351</v>
      </c>
      <c r="DM103" s="32">
        <f>IF(DI103="","",VLOOKUP(DI103,'CPI USA'!$T:$X,5,FALSE))</f>
        <v>0.49513551903851311</v>
      </c>
      <c r="DN103" s="32">
        <f t="shared" si="35"/>
        <v>1.3897894616766442</v>
      </c>
      <c r="DO103" s="32">
        <f t="shared" si="36"/>
        <v>1.4008620811189902</v>
      </c>
      <c r="DP103" s="32">
        <f t="shared" si="37"/>
        <v>0.25370173868384072</v>
      </c>
      <c r="DQ103" s="32">
        <f>IF(DP103="","",DP103*$DO$1/'CPI USA'!$U$532+(1-DP103)*AVERAGE($DO$1,$DQ$1)/AVERAGE('CPI USA'!$U$532,'PPI USA'!$T$538))</f>
        <v>1.0414424626605912</v>
      </c>
      <c r="DR103" s="6">
        <f t="shared" si="38"/>
        <v>15816</v>
      </c>
      <c r="DS103" s="32">
        <f t="shared" si="39"/>
        <v>0.2</v>
      </c>
      <c r="DT103" s="28">
        <f>IF(DS103="","",DS103*$DO$1/'CPI USA'!$U$532+(1-DS103)*AVERAGE($DO$1,$DQ$1)/AVERAGE('CPI USA'!$U$532,'PPI USA'!$T$538))</f>
        <v>1.0426818386380585</v>
      </c>
      <c r="DU103" s="6">
        <f t="shared" si="40"/>
        <v>33137.799421866541</v>
      </c>
      <c r="DV103" s="6">
        <f t="shared" si="41"/>
        <v>1627.483722500976</v>
      </c>
      <c r="DW103" s="6">
        <f t="shared" si="42"/>
        <v>32348.28502727743</v>
      </c>
      <c r="DX103" s="16">
        <f t="shared" si="43"/>
        <v>0.2</v>
      </c>
      <c r="DY103" s="28">
        <f>IF(DX103="","",DX103*$DO$1/'CPI USA'!$U$532+(1-DX103)*AVERAGE($DO$1,$DQ$1)/AVERAGE('CPI USA'!$U$532,'PPI USA'!$T$538))</f>
        <v>1.0426818386380585</v>
      </c>
      <c r="DZ103" s="30"/>
      <c r="EA103" s="29" t="str">
        <f t="shared" si="44"/>
        <v>C001221</v>
      </c>
      <c r="EB103" s="29">
        <f t="shared" si="45"/>
        <v>224861487.66700506</v>
      </c>
      <c r="EC103" s="29">
        <f t="shared" si="46"/>
        <v>14699968.273494894</v>
      </c>
      <c r="ED103" s="29">
        <f t="shared" si="47"/>
        <v>4957457.7476775432</v>
      </c>
      <c r="EE103" s="29">
        <f t="shared" si="48"/>
        <v>13653468.238411084</v>
      </c>
      <c r="EF103" s="29">
        <f t="shared" si="49"/>
        <v>4094406.9049127637</v>
      </c>
      <c r="EG103" s="29">
        <f t="shared" si="50"/>
        <v>90</v>
      </c>
      <c r="EH103" s="29">
        <f t="shared" si="51"/>
        <v>30736</v>
      </c>
      <c r="EI103" s="29">
        <f t="shared" si="52"/>
        <v>35353</v>
      </c>
      <c r="EJ103" s="29">
        <f t="shared" si="53"/>
        <v>78218</v>
      </c>
      <c r="EK103" s="29">
        <f t="shared" si="54"/>
        <v>112855.91878172589</v>
      </c>
      <c r="EL103" s="29">
        <f>IF(CD103=1,VLOOKUP(EA103,'EIA 2023'!$A$2:$J$213,4,0)*EH103,"")</f>
        <v>2777458.6399999997</v>
      </c>
      <c r="EM103" s="29">
        <f>IF(CD103=1,VLOOKUP(EA103,'EIA 2023'!$A$2:$J$213,7,0)*EH103,"")</f>
        <v>75210.991999999998</v>
      </c>
      <c r="EN103" s="29">
        <f>IF(CD103=1,VLOOKUP(EA103,'EIA 2023'!$A$2:$J$213,10,0),"")</f>
        <v>30942</v>
      </c>
      <c r="EO103" s="28">
        <f>IF(CD103=1,VLOOKUP(EA103,'EIA 2023'!$A$2:$Z$213,26,0),"")</f>
        <v>0</v>
      </c>
      <c r="EP103" s="23">
        <f t="shared" si="55"/>
        <v>0.3069215966308238</v>
      </c>
      <c r="EQ103" s="32">
        <f t="shared" si="56"/>
        <v>715.08121827411378</v>
      </c>
      <c r="ER103" s="32">
        <f t="shared" si="57"/>
        <v>34637.918781725886</v>
      </c>
      <c r="ES103" s="32"/>
      <c r="ET103" s="32"/>
    </row>
    <row r="104" spans="1:150" ht="15.75" customHeight="1">
      <c r="A104" s="7" t="s">
        <v>517</v>
      </c>
      <c r="B104" s="7" t="s">
        <v>518</v>
      </c>
      <c r="C104" s="32" t="s">
        <v>1189</v>
      </c>
      <c r="D104" s="42">
        <v>0</v>
      </c>
      <c r="E104" s="42">
        <v>0</v>
      </c>
      <c r="F104" s="42">
        <v>0</v>
      </c>
      <c r="G104" s="42">
        <v>111902916</v>
      </c>
      <c r="H104" s="42">
        <v>112203442</v>
      </c>
      <c r="I104" s="42">
        <v>1333233</v>
      </c>
      <c r="J104" s="42">
        <v>209653</v>
      </c>
      <c r="K104" s="42">
        <v>105881</v>
      </c>
      <c r="L104" s="42">
        <v>435489</v>
      </c>
      <c r="M104" s="42">
        <v>298998</v>
      </c>
      <c r="N104" s="42">
        <v>27324</v>
      </c>
      <c r="O104" s="42">
        <v>119720</v>
      </c>
      <c r="P104" s="42">
        <v>2656</v>
      </c>
      <c r="Q104" s="42">
        <v>189688</v>
      </c>
      <c r="R104" s="42">
        <v>0</v>
      </c>
      <c r="S104" s="42">
        <v>172125</v>
      </c>
      <c r="T104" s="42">
        <v>6798356</v>
      </c>
      <c r="U104" s="42">
        <v>0</v>
      </c>
      <c r="V104" s="42">
        <v>16802</v>
      </c>
      <c r="W104" s="42">
        <v>6501</v>
      </c>
      <c r="X104" s="42">
        <f>IFERROR(VLOOKUP(A104,'Trans 21-23'!$A$2:$J$229,10,0),0)</f>
        <v>0</v>
      </c>
      <c r="Y104" s="42">
        <v>595189</v>
      </c>
      <c r="Z104" s="42">
        <v>10145</v>
      </c>
      <c r="AA104" s="42">
        <v>4835856</v>
      </c>
      <c r="AB104" s="42">
        <v>6960232</v>
      </c>
      <c r="AC104" s="42">
        <v>59757</v>
      </c>
      <c r="AD104" s="42">
        <v>9894487</v>
      </c>
      <c r="AE104" s="42">
        <v>0</v>
      </c>
      <c r="AF104" s="42">
        <v>178975439</v>
      </c>
      <c r="AG104" s="42">
        <v>80854</v>
      </c>
      <c r="AH104" s="42">
        <v>24002</v>
      </c>
      <c r="AI104" s="42">
        <v>685430</v>
      </c>
      <c r="AJ104" s="42">
        <v>1241</v>
      </c>
      <c r="AK104" s="42">
        <v>0</v>
      </c>
      <c r="AL104" s="42">
        <v>392920</v>
      </c>
      <c r="AM104" s="42">
        <v>134183</v>
      </c>
      <c r="AN104" s="42">
        <v>33816</v>
      </c>
      <c r="AO104" s="42">
        <v>3183</v>
      </c>
      <c r="AP104" s="42">
        <v>0</v>
      </c>
      <c r="AQ104" s="42">
        <v>564102</v>
      </c>
      <c r="AR104" s="42">
        <v>96085</v>
      </c>
      <c r="AS104" s="42">
        <v>660187</v>
      </c>
      <c r="AT104" s="42">
        <v>0</v>
      </c>
      <c r="AU104" s="42">
        <v>252</v>
      </c>
      <c r="AV104" s="42">
        <v>0</v>
      </c>
      <c r="AW104" s="42">
        <v>103648492</v>
      </c>
      <c r="AX104" s="42">
        <v>3173240</v>
      </c>
      <c r="AY104" s="42">
        <v>26316259</v>
      </c>
      <c r="AZ104" s="42">
        <v>22406911</v>
      </c>
      <c r="BA104" s="42">
        <v>3615442</v>
      </c>
      <c r="BB104" s="42">
        <v>400926421</v>
      </c>
      <c r="BC104" s="42">
        <v>460730237</v>
      </c>
      <c r="BD104" s="42">
        <v>35007062</v>
      </c>
      <c r="BE104" s="42">
        <v>138411629</v>
      </c>
      <c r="BF104" s="42">
        <v>11904303</v>
      </c>
      <c r="BG104" s="42">
        <v>0</v>
      </c>
      <c r="BH104" s="42">
        <v>1916694</v>
      </c>
      <c r="BI104" s="42">
        <v>13988</v>
      </c>
      <c r="BJ104" s="42">
        <v>0</v>
      </c>
      <c r="BK104" s="42">
        <v>0</v>
      </c>
      <c r="BL104" s="42">
        <v>0</v>
      </c>
      <c r="BM104" s="42">
        <v>9474</v>
      </c>
      <c r="BN104" s="42">
        <v>1985093</v>
      </c>
      <c r="BO104" s="42">
        <v>169739</v>
      </c>
      <c r="BP104" s="42">
        <v>343658</v>
      </c>
      <c r="BQ104" s="42">
        <v>6042869</v>
      </c>
      <c r="BR104" s="42">
        <v>0</v>
      </c>
      <c r="BS104" s="42">
        <f>IFERROR(VLOOKUP(A104,'Trans 21-23'!$A$2:$J$229,9,0),0)</f>
        <v>0</v>
      </c>
      <c r="BT104" s="67"/>
      <c r="BU104" s="32">
        <f t="shared" si="0"/>
        <v>400926421</v>
      </c>
      <c r="BV104" s="32">
        <f t="shared" si="1"/>
        <v>252</v>
      </c>
      <c r="BW104" s="32">
        <f t="shared" si="2"/>
        <v>80854</v>
      </c>
      <c r="BX104" s="32">
        <f t="shared" si="3"/>
        <v>9716426</v>
      </c>
      <c r="BY104" s="32">
        <f t="shared" si="4"/>
        <v>12461179</v>
      </c>
      <c r="BZ104" s="32">
        <f t="shared" si="5"/>
        <v>22406911</v>
      </c>
      <c r="CA104" s="32">
        <f t="shared" si="6"/>
        <v>9894487</v>
      </c>
      <c r="CB104" s="32">
        <f t="shared" si="7"/>
        <v>24002</v>
      </c>
      <c r="CC104" s="32">
        <f t="shared" si="8"/>
        <v>564102</v>
      </c>
      <c r="CD104" s="41">
        <f t="shared" si="67"/>
        <v>1</v>
      </c>
      <c r="CE104" s="44">
        <f t="shared" si="10"/>
        <v>17</v>
      </c>
      <c r="CF104" s="27"/>
      <c r="CG104" s="28">
        <f t="shared" si="11"/>
        <v>1590.977861111111</v>
      </c>
      <c r="CH104" s="28">
        <f t="shared" si="12"/>
        <v>3.1167289187918965</v>
      </c>
      <c r="CI104" s="28">
        <f t="shared" si="13"/>
        <v>120.17248373611694</v>
      </c>
      <c r="CJ104" s="28">
        <f t="shared" si="14"/>
        <v>277.12804561308036</v>
      </c>
      <c r="CK104" s="23">
        <f t="shared" si="15"/>
        <v>4.254904254904255E-2</v>
      </c>
      <c r="CL104" s="29" t="str">
        <f t="shared" si="16"/>
        <v/>
      </c>
      <c r="CM104" s="29" t="str">
        <f t="shared" si="17"/>
        <v/>
      </c>
      <c r="CN104" s="29" t="str">
        <f t="shared" si="18"/>
        <v/>
      </c>
      <c r="CO104" s="29" t="str">
        <f t="shared" si="19"/>
        <v/>
      </c>
      <c r="CP104" s="29" t="str">
        <f t="shared" si="20"/>
        <v/>
      </c>
      <c r="CQ104" s="29">
        <f t="shared" si="21"/>
        <v>0</v>
      </c>
      <c r="CR104" s="13"/>
      <c r="CS104" s="7">
        <f>VLOOKUP(A104,'Empresas 21-23'!$A$2:$M$228,13,0)</f>
        <v>1</v>
      </c>
      <c r="CT104" s="30"/>
      <c r="CU104" s="6">
        <f t="shared" si="22"/>
        <v>357210368.60000002</v>
      </c>
      <c r="CV104" s="6">
        <f t="shared" si="23"/>
        <v>22406911</v>
      </c>
      <c r="CW104" s="6">
        <f t="shared" si="24"/>
        <v>35007062</v>
      </c>
      <c r="CX104" s="23">
        <f t="shared" si="65"/>
        <v>0.83906723800037442</v>
      </c>
      <c r="CY104" s="23">
        <f t="shared" si="66"/>
        <v>5.263258454276068E-2</v>
      </c>
      <c r="CZ104" s="6">
        <f t="shared" si="27"/>
        <v>386583647.42284787</v>
      </c>
      <c r="DA104" s="6">
        <f t="shared" si="28"/>
        <v>24249423.150308665</v>
      </c>
      <c r="DB104" s="6">
        <f t="shared" si="29"/>
        <v>9716426</v>
      </c>
      <c r="DC104" s="6">
        <f t="shared" si="30"/>
        <v>9716426</v>
      </c>
      <c r="DD104" s="6">
        <f t="shared" si="31"/>
        <v>12461179</v>
      </c>
      <c r="DE104" s="6">
        <f t="shared" si="32"/>
        <v>9894487</v>
      </c>
      <c r="DF104" s="6">
        <f t="shared" si="33"/>
        <v>3858045.5502295196</v>
      </c>
      <c r="DG104" s="30"/>
      <c r="DH104" s="32">
        <f>VLOOKUP(A104,'T_med_comp-USA'!$A$7:$Q$233,17,0)</f>
        <v>11.094561770489941</v>
      </c>
      <c r="DI104" s="6" t="str">
        <f t="shared" si="34"/>
        <v>11_2012</v>
      </c>
      <c r="DJ104" s="32">
        <f>IF(DI104="","",VLOOKUP(DI104,'CPI USA'!$T:$U,2,FALSE))</f>
        <v>229.59399999999999</v>
      </c>
      <c r="DK104" s="32">
        <f>IF(DI104="","",VLOOKUP(DI104,'PPI USA'!$S:$T,2,FALSE))</f>
        <v>175.1</v>
      </c>
      <c r="DL104" s="32">
        <f>IF(DI104="","",VLOOKUP(DI104,'CPI USA'!$T:$V,3,FALSE))</f>
        <v>0.66730871354337351</v>
      </c>
      <c r="DM104" s="32">
        <f>IF(DI104="","",VLOOKUP(DI104,'CPI USA'!$T:$X,5,FALSE))</f>
        <v>0.49513551903851311</v>
      </c>
      <c r="DN104" s="32">
        <f t="shared" si="35"/>
        <v>1.3897894616766442</v>
      </c>
      <c r="DO104" s="32">
        <f t="shared" si="36"/>
        <v>1.4008620811189902</v>
      </c>
      <c r="DP104" s="32">
        <f t="shared" si="37"/>
        <v>0.21413062978800498</v>
      </c>
      <c r="DQ104" s="32">
        <f>IF(DP104="","",DP104*$DO$1/'CPI USA'!$U$532+(1-DP104)*AVERAGE($DO$1,$DQ$1)/AVERAGE('CPI USA'!$U$532,'PPI USA'!$T$538))</f>
        <v>1.0423557195302797</v>
      </c>
      <c r="DR104" s="6">
        <f t="shared" si="38"/>
        <v>13988</v>
      </c>
      <c r="DS104" s="32">
        <f t="shared" si="39"/>
        <v>0.2</v>
      </c>
      <c r="DT104" s="28">
        <f>IF(DS104="","",DS104*$DO$1/'CPI USA'!$U$532+(1-DS104)*AVERAGE($DO$1,$DQ$1)/AVERAGE('CPI USA'!$U$532,'PPI USA'!$T$538))</f>
        <v>1.0426818386380585</v>
      </c>
      <c r="DU104" s="6">
        <f t="shared" si="40"/>
        <v>10284.09166119673</v>
      </c>
      <c r="DV104" s="6">
        <f t="shared" si="41"/>
        <v>571.27484699197828</v>
      </c>
      <c r="DW104" s="6">
        <f t="shared" si="42"/>
        <v>10557.823094818626</v>
      </c>
      <c r="DX104" s="16">
        <f t="shared" si="43"/>
        <v>0.2</v>
      </c>
      <c r="DY104" s="28">
        <f>IF(DX104="","",DX104*$DO$1/'CPI USA'!$U$532+(1-DX104)*AVERAGE($DO$1,$DQ$1)/AVERAGE('CPI USA'!$U$532,'PPI USA'!$T$538))</f>
        <v>1.0426818386380585</v>
      </c>
      <c r="DZ104" s="30"/>
      <c r="EA104" s="29" t="str">
        <f t="shared" si="44"/>
        <v>C001222</v>
      </c>
      <c r="EB104" s="29">
        <f t="shared" si="45"/>
        <v>537269879.2447933</v>
      </c>
      <c r="EC104" s="29">
        <f t="shared" si="46"/>
        <v>33970097.380276419</v>
      </c>
      <c r="ED104" s="29">
        <f t="shared" si="47"/>
        <v>10127972.214492718</v>
      </c>
      <c r="EE104" s="29">
        <f t="shared" si="48"/>
        <v>12993045.031317964</v>
      </c>
      <c r="EF104" s="29">
        <f t="shared" si="49"/>
        <v>4022714.0278626955</v>
      </c>
      <c r="EG104" s="29">
        <f t="shared" si="50"/>
        <v>252</v>
      </c>
      <c r="EH104" s="29">
        <f t="shared" si="51"/>
        <v>80854</v>
      </c>
      <c r="EI104" s="29">
        <f t="shared" si="52"/>
        <v>24002</v>
      </c>
      <c r="EJ104" s="29">
        <f t="shared" si="53"/>
        <v>564102</v>
      </c>
      <c r="EK104" s="29">
        <f t="shared" si="54"/>
        <v>586640.77664974623</v>
      </c>
      <c r="EL104" s="29">
        <f>IF(CD104=1,VLOOKUP(EA104,'EIA 2023'!$A$2:$J$213,4,0)*EH104,"")</f>
        <v>7352862.7599999998</v>
      </c>
      <c r="EM104" s="29">
        <f>IF(CD104=1,VLOOKUP(EA104,'EIA 2023'!$A$2:$J$213,7,0)*EH104,"")</f>
        <v>125081.13799999999</v>
      </c>
      <c r="EN104" s="29">
        <f>IF(CD104=1,VLOOKUP(EA104,'EIA 2023'!$A$2:$J$213,10,0),"")</f>
        <v>80084</v>
      </c>
      <c r="EO104" s="28">
        <f>IF(CD104=1,VLOOKUP(EA104,'EIA 2023'!$A$2:$Z$213,26,0),"")</f>
        <v>0</v>
      </c>
      <c r="EP104" s="23">
        <f t="shared" si="55"/>
        <v>3.8420064794103051E-2</v>
      </c>
      <c r="EQ104" s="32">
        <f t="shared" si="56"/>
        <v>1463.2233502538147</v>
      </c>
      <c r="ER104" s="32">
        <f t="shared" si="57"/>
        <v>22538.776649746185</v>
      </c>
      <c r="ES104" s="32"/>
      <c r="ET104" s="32"/>
    </row>
    <row r="105" spans="1:150" ht="15.75" customHeight="1">
      <c r="A105" s="7" t="s">
        <v>520</v>
      </c>
      <c r="B105" s="7" t="s">
        <v>521</v>
      </c>
      <c r="C105" s="32" t="s">
        <v>1190</v>
      </c>
      <c r="D105" s="42">
        <v>0</v>
      </c>
      <c r="E105" s="42">
        <v>0</v>
      </c>
      <c r="F105" s="42">
        <v>0</v>
      </c>
      <c r="G105" s="42">
        <v>975568101</v>
      </c>
      <c r="H105" s="42">
        <v>977502795</v>
      </c>
      <c r="I105" s="42">
        <v>4126085</v>
      </c>
      <c r="J105" s="42">
        <v>371768</v>
      </c>
      <c r="K105" s="42">
        <v>2506736</v>
      </c>
      <c r="L105" s="42">
        <v>24293982</v>
      </c>
      <c r="M105" s="42">
        <v>5339526</v>
      </c>
      <c r="N105" s="42">
        <v>4632027</v>
      </c>
      <c r="O105" s="42">
        <v>20757479</v>
      </c>
      <c r="P105" s="42">
        <v>7613299</v>
      </c>
      <c r="Q105" s="42">
        <v>31169</v>
      </c>
      <c r="R105" s="42">
        <v>124458</v>
      </c>
      <c r="S105" s="42">
        <v>3183720</v>
      </c>
      <c r="T105" s="42">
        <v>68900989</v>
      </c>
      <c r="U105" s="42">
        <v>2260705</v>
      </c>
      <c r="V105" s="42">
        <v>2186608</v>
      </c>
      <c r="W105" s="42">
        <v>2797127</v>
      </c>
      <c r="X105" s="42">
        <f>IFERROR(VLOOKUP(A105,'Trans 21-23'!$A$2:$J$229,10,0),0)</f>
        <v>33042046</v>
      </c>
      <c r="Y105" s="42">
        <v>458234</v>
      </c>
      <c r="Z105" s="42">
        <v>89137</v>
      </c>
      <c r="AA105" s="42">
        <v>113755767</v>
      </c>
      <c r="AB105" s="42">
        <v>88266852</v>
      </c>
      <c r="AC105" s="42">
        <v>1440534</v>
      </c>
      <c r="AD105" s="42">
        <v>158321255</v>
      </c>
      <c r="AE105" s="42">
        <v>0</v>
      </c>
      <c r="AF105" s="42">
        <v>1774225337</v>
      </c>
      <c r="AG105" s="42">
        <v>1472479</v>
      </c>
      <c r="AH105" s="42">
        <v>2272991</v>
      </c>
      <c r="AI105" s="42">
        <v>38917924</v>
      </c>
      <c r="AJ105" s="42">
        <v>49587</v>
      </c>
      <c r="AK105" s="42">
        <v>0</v>
      </c>
      <c r="AL105" s="42">
        <v>13724226</v>
      </c>
      <c r="AM105" s="42">
        <v>13524827</v>
      </c>
      <c r="AN105" s="42">
        <v>8379801</v>
      </c>
      <c r="AO105" s="42">
        <v>66942</v>
      </c>
      <c r="AP105" s="42">
        <v>676</v>
      </c>
      <c r="AQ105" s="42">
        <v>35696472</v>
      </c>
      <c r="AR105" s="42">
        <v>898874</v>
      </c>
      <c r="AS105" s="42">
        <v>36595346</v>
      </c>
      <c r="AT105" s="42">
        <v>0</v>
      </c>
      <c r="AU105" s="42">
        <v>6898</v>
      </c>
      <c r="AV105" s="42">
        <v>0</v>
      </c>
      <c r="AW105" s="42">
        <v>1453322058</v>
      </c>
      <c r="AX105" s="42">
        <v>270923616</v>
      </c>
      <c r="AY105" s="42">
        <v>780494019</v>
      </c>
      <c r="AZ105" s="42">
        <v>323216484</v>
      </c>
      <c r="BA105" s="42">
        <v>171308714</v>
      </c>
      <c r="BB105" s="42">
        <v>6902358325</v>
      </c>
      <c r="BC105" s="42">
        <v>16059035478</v>
      </c>
      <c r="BD105" s="42">
        <v>840478009</v>
      </c>
      <c r="BE105" s="42">
        <v>2246447895</v>
      </c>
      <c r="BF105" s="42">
        <v>156790926</v>
      </c>
      <c r="BG105" s="42">
        <v>0</v>
      </c>
      <c r="BH105" s="42">
        <v>33429883</v>
      </c>
      <c r="BI105" s="42">
        <v>24946095</v>
      </c>
      <c r="BJ105" s="42">
        <v>4558276</v>
      </c>
      <c r="BK105" s="42">
        <v>0</v>
      </c>
      <c r="BL105" s="42">
        <v>0</v>
      </c>
      <c r="BM105" s="42">
        <v>53761204</v>
      </c>
      <c r="BN105" s="42">
        <v>123236072</v>
      </c>
      <c r="BO105" s="42">
        <v>18709362</v>
      </c>
      <c r="BP105" s="42">
        <v>12012310</v>
      </c>
      <c r="BQ105" s="42">
        <v>201304639</v>
      </c>
      <c r="BR105" s="42">
        <v>0</v>
      </c>
      <c r="BS105" s="42">
        <f>IFERROR(VLOOKUP(A105,'Trans 21-23'!$A$2:$J$229,9,0),0)</f>
        <v>3253980618</v>
      </c>
      <c r="BT105" s="67"/>
      <c r="BU105" s="32">
        <f t="shared" si="0"/>
        <v>6902358325</v>
      </c>
      <c r="BV105" s="32">
        <f t="shared" si="1"/>
        <v>6898</v>
      </c>
      <c r="BW105" s="32">
        <f t="shared" si="2"/>
        <v>1472479</v>
      </c>
      <c r="BX105" s="32">
        <f t="shared" si="3"/>
        <v>149125678</v>
      </c>
      <c r="BY105" s="32">
        <f t="shared" si="4"/>
        <v>204010524</v>
      </c>
      <c r="BZ105" s="32">
        <f t="shared" si="5"/>
        <v>323216484</v>
      </c>
      <c r="CA105" s="32">
        <f t="shared" si="6"/>
        <v>158321255</v>
      </c>
      <c r="CB105" s="32">
        <f t="shared" si="7"/>
        <v>2272991</v>
      </c>
      <c r="CC105" s="32">
        <f t="shared" si="8"/>
        <v>35696472</v>
      </c>
      <c r="CD105" s="41">
        <f t="shared" si="67"/>
        <v>1</v>
      </c>
      <c r="CE105" s="44">
        <f t="shared" si="10"/>
        <v>11</v>
      </c>
      <c r="CF105" s="27"/>
      <c r="CG105" s="28">
        <f t="shared" si="11"/>
        <v>1000.6318244418671</v>
      </c>
      <c r="CH105" s="28">
        <f t="shared" si="12"/>
        <v>4.6846168943665747</v>
      </c>
      <c r="CI105" s="28">
        <f t="shared" si="13"/>
        <v>101.27524942630761</v>
      </c>
      <c r="CJ105" s="28">
        <f t="shared" si="14"/>
        <v>219.50498716789849</v>
      </c>
      <c r="CK105" s="23">
        <f t="shared" si="15"/>
        <v>6.3675508324744251E-2</v>
      </c>
      <c r="CL105" s="29" t="str">
        <f t="shared" si="16"/>
        <v/>
      </c>
      <c r="CM105" s="29" t="str">
        <f t="shared" si="17"/>
        <v/>
      </c>
      <c r="CN105" s="29" t="str">
        <f t="shared" si="18"/>
        <v/>
      </c>
      <c r="CO105" s="29" t="str">
        <f t="shared" si="19"/>
        <v/>
      </c>
      <c r="CP105" s="29" t="str">
        <f t="shared" si="20"/>
        <v/>
      </c>
      <c r="CQ105" s="29">
        <f t="shared" si="21"/>
        <v>0</v>
      </c>
      <c r="CR105" s="13"/>
      <c r="CS105" s="7">
        <f>VLOOKUP(A105,'Empresas 21-23'!$A$2:$M$228,13,0)</f>
        <v>1</v>
      </c>
      <c r="CT105" s="30"/>
      <c r="CU105" s="6">
        <f t="shared" si="22"/>
        <v>9030963164</v>
      </c>
      <c r="CV105" s="6">
        <f t="shared" si="23"/>
        <v>323216484</v>
      </c>
      <c r="CW105" s="6">
        <f t="shared" si="24"/>
        <v>840478009</v>
      </c>
      <c r="CX105" s="23">
        <f t="shared" si="65"/>
        <v>0.59341781784482217</v>
      </c>
      <c r="CY105" s="23">
        <f t="shared" si="66"/>
        <v>2.1238312807136134E-2</v>
      </c>
      <c r="CZ105" s="6">
        <f t="shared" si="27"/>
        <v>9529717790.0473404</v>
      </c>
      <c r="DA105" s="6">
        <f t="shared" si="28"/>
        <v>341066818.862661</v>
      </c>
      <c r="DB105" s="6">
        <f t="shared" si="29"/>
        <v>149125678</v>
      </c>
      <c r="DC105" s="6">
        <f t="shared" si="30"/>
        <v>182167724</v>
      </c>
      <c r="DD105" s="6">
        <f t="shared" si="31"/>
        <v>204010524</v>
      </c>
      <c r="DE105" s="6">
        <f t="shared" si="32"/>
        <v>158321255</v>
      </c>
      <c r="DF105" s="6">
        <f t="shared" si="33"/>
        <v>95770835.870920226</v>
      </c>
      <c r="DG105" s="30"/>
      <c r="DH105" s="32">
        <f>VLOOKUP(A105,'T_med_comp-USA'!$A$7:$Q$233,17,0)</f>
        <v>13.432377851984612</v>
      </c>
      <c r="DI105" s="6" t="str">
        <f t="shared" si="34"/>
        <v>7_2010</v>
      </c>
      <c r="DJ105" s="32">
        <f>IF(DI105="","",VLOOKUP(DI105,'CPI USA'!$T:$U,2,FALSE))</f>
        <v>218.05600000000001</v>
      </c>
      <c r="DK105" s="32">
        <f>IF(DI105="","",VLOOKUP(DI105,'PPI USA'!$S:$T,2,FALSE))</f>
        <v>160.80000000000001</v>
      </c>
      <c r="DL105" s="32">
        <f>IF(DI105="","",VLOOKUP(DI105,'CPI USA'!$T:$V,3,FALSE))</f>
        <v>0.67050107279443949</v>
      </c>
      <c r="DM105" s="32">
        <f>IF(DI105="","",VLOOKUP(DI105,'CPI USA'!$T:$X,5,FALSE))</f>
        <v>0.4987389730136107</v>
      </c>
      <c r="DN105" s="32">
        <f t="shared" si="35"/>
        <v>1.4703278680244813</v>
      </c>
      <c r="DO105" s="32">
        <f t="shared" si="36"/>
        <v>1.4857204383544427</v>
      </c>
      <c r="DP105" s="32">
        <f t="shared" si="37"/>
        <v>0.25820580696003431</v>
      </c>
      <c r="DQ105" s="32">
        <f>IF(DP105="","",DP105*$DO$1/'CPI USA'!$U$532+(1-DP105)*AVERAGE($DO$1,$DQ$1)/AVERAGE('CPI USA'!$U$532,'PPI USA'!$T$538))</f>
        <v>1.0413385138097866</v>
      </c>
      <c r="DR105" s="6">
        <f t="shared" si="38"/>
        <v>29504371</v>
      </c>
      <c r="DS105" s="32">
        <f t="shared" si="39"/>
        <v>0.2</v>
      </c>
      <c r="DT105" s="28">
        <f>IF(DS105="","",DS105*$DO$1/'CPI USA'!$U$532+(1-DS105)*AVERAGE($DO$1,$DQ$1)/AVERAGE('CPI USA'!$U$532,'PPI USA'!$T$538))</f>
        <v>1.0426818386380585</v>
      </c>
      <c r="DU105" s="6">
        <f t="shared" si="40"/>
        <v>61923082.34347599</v>
      </c>
      <c r="DV105" s="6">
        <f t="shared" si="41"/>
        <v>3411634.5434222012</v>
      </c>
      <c r="DW105" s="6">
        <f t="shared" si="42"/>
        <v>33365163.306877714</v>
      </c>
      <c r="DX105" s="16">
        <f t="shared" si="43"/>
        <v>0.3483854244714667</v>
      </c>
      <c r="DY105" s="28">
        <f>IF(DX105="","",DX105*$DO$1/'CPI USA'!$U$532+(1-DX105)*AVERAGE($DO$1,$DQ$1)/AVERAGE('CPI USA'!$U$532,'PPI USA'!$T$538))</f>
        <v>1.0392572692478765</v>
      </c>
      <c r="DZ105" s="30"/>
      <c r="EA105" s="29" t="str">
        <f t="shared" si="44"/>
        <v>C001230</v>
      </c>
      <c r="EB105" s="29">
        <f t="shared" si="45"/>
        <v>14011809641.115278</v>
      </c>
      <c r="EC105" s="29">
        <f t="shared" si="46"/>
        <v>506729943.62878799</v>
      </c>
      <c r="ED105" s="29">
        <f t="shared" si="47"/>
        <v>189698266.97427139</v>
      </c>
      <c r="EE105" s="29">
        <f t="shared" si="48"/>
        <v>212718068.26583377</v>
      </c>
      <c r="EF105" s="29">
        <f t="shared" si="49"/>
        <v>99530537.360799134</v>
      </c>
      <c r="EG105" s="29">
        <f t="shared" si="50"/>
        <v>6898</v>
      </c>
      <c r="EH105" s="29">
        <f t="shared" si="51"/>
        <v>1472479</v>
      </c>
      <c r="EI105" s="29">
        <f t="shared" si="52"/>
        <v>2272991</v>
      </c>
      <c r="EJ105" s="29">
        <f t="shared" si="53"/>
        <v>35696472</v>
      </c>
      <c r="EK105" s="29">
        <f t="shared" si="54"/>
        <v>37955774.563451774</v>
      </c>
      <c r="EL105" s="29">
        <f>IF(CD105=1,VLOOKUP(EA105,'EIA 2023'!$A$2:$J$213,4,0)*EH105,"")</f>
        <v>134731828.5</v>
      </c>
      <c r="EM105" s="29">
        <f>IF(CD105=1,VLOOKUP(EA105,'EIA 2023'!$A$2:$J$213,7,0)*EH105,"")</f>
        <v>1177983.2</v>
      </c>
      <c r="EN105" s="29">
        <f>IF(CD105=1,VLOOKUP(EA105,'EIA 2023'!$A$2:$J$213,10,0),"")</f>
        <v>1494299</v>
      </c>
      <c r="EO105" s="28">
        <f>IF(CD105=1,VLOOKUP(EA105,'EIA 2023'!$A$2:$Z$213,26,0),"")</f>
        <v>0</v>
      </c>
      <c r="EP105" s="23">
        <f t="shared" si="55"/>
        <v>5.9524606978441051E-2</v>
      </c>
      <c r="EQ105" s="32">
        <f t="shared" si="56"/>
        <v>13688.43654822337</v>
      </c>
      <c r="ER105" s="32">
        <f t="shared" si="57"/>
        <v>2259302.5634517767</v>
      </c>
      <c r="ES105" s="32"/>
      <c r="ET105" s="32"/>
    </row>
    <row r="106" spans="1:150" ht="15.75" customHeight="1">
      <c r="A106" s="7" t="s">
        <v>523</v>
      </c>
      <c r="B106" s="7" t="s">
        <v>524</v>
      </c>
      <c r="C106" s="32" t="s">
        <v>1191</v>
      </c>
      <c r="D106" s="42">
        <v>88388396</v>
      </c>
      <c r="E106" s="42">
        <v>0</v>
      </c>
      <c r="F106" s="42">
        <v>2111211</v>
      </c>
      <c r="G106" s="42">
        <v>70179246</v>
      </c>
      <c r="H106" s="42">
        <v>70431926</v>
      </c>
      <c r="I106" s="42">
        <v>0</v>
      </c>
      <c r="J106" s="42">
        <v>0</v>
      </c>
      <c r="K106" s="42">
        <v>0</v>
      </c>
      <c r="L106" s="42">
        <v>0</v>
      </c>
      <c r="M106" s="42">
        <v>0</v>
      </c>
      <c r="N106" s="42">
        <v>0</v>
      </c>
      <c r="O106" s="42">
        <v>0</v>
      </c>
      <c r="P106" s="42">
        <v>0</v>
      </c>
      <c r="Q106" s="42">
        <v>0</v>
      </c>
      <c r="R106" s="42">
        <v>0</v>
      </c>
      <c r="S106" s="42">
        <v>0</v>
      </c>
      <c r="T106" s="42">
        <v>0</v>
      </c>
      <c r="U106" s="42">
        <v>0</v>
      </c>
      <c r="V106" s="42">
        <v>0</v>
      </c>
      <c r="W106" s="42">
        <v>0</v>
      </c>
      <c r="X106" s="42">
        <f>IFERROR(VLOOKUP(A106,'Trans 21-23'!$A$2:$J$229,10,0),0)</f>
        <v>0</v>
      </c>
      <c r="Y106" s="42">
        <v>0</v>
      </c>
      <c r="Z106" s="42">
        <v>43594</v>
      </c>
      <c r="AA106" s="42">
        <v>0</v>
      </c>
      <c r="AB106" s="42">
        <v>0</v>
      </c>
      <c r="AC106" s="42">
        <v>1379995</v>
      </c>
      <c r="AD106" s="42">
        <v>16936125</v>
      </c>
      <c r="AE106" s="42">
        <v>0</v>
      </c>
      <c r="AF106" s="42">
        <v>226516437</v>
      </c>
      <c r="AG106" s="42">
        <v>11</v>
      </c>
      <c r="AH106" s="42">
        <v>80125</v>
      </c>
      <c r="AI106" s="42">
        <v>5223766</v>
      </c>
      <c r="AJ106" s="42">
        <v>0</v>
      </c>
      <c r="AK106" s="42">
        <v>0</v>
      </c>
      <c r="AL106" s="42">
        <v>0</v>
      </c>
      <c r="AM106" s="42">
        <v>0</v>
      </c>
      <c r="AN106" s="42">
        <v>0</v>
      </c>
      <c r="AO106" s="42">
        <v>0</v>
      </c>
      <c r="AP106" s="42">
        <v>0</v>
      </c>
      <c r="AQ106" s="42">
        <v>45224</v>
      </c>
      <c r="AR106" s="42">
        <v>5098417</v>
      </c>
      <c r="AS106" s="42">
        <v>5143641</v>
      </c>
      <c r="AT106" s="42">
        <v>0</v>
      </c>
      <c r="AU106" s="42">
        <v>783</v>
      </c>
      <c r="AV106" s="42">
        <v>0</v>
      </c>
      <c r="AW106" s="42">
        <v>0</v>
      </c>
      <c r="AX106" s="42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525178729</v>
      </c>
      <c r="BD106" s="42">
        <v>22403600</v>
      </c>
      <c r="BE106" s="42">
        <v>0</v>
      </c>
      <c r="BF106" s="42">
        <v>0</v>
      </c>
      <c r="BG106" s="42">
        <v>0</v>
      </c>
      <c r="BH106" s="42">
        <v>0</v>
      </c>
      <c r="BI106" s="42">
        <v>114386</v>
      </c>
      <c r="BJ106" s="42">
        <v>114386</v>
      </c>
      <c r="BK106" s="42">
        <v>804995</v>
      </c>
      <c r="BL106" s="42">
        <v>0</v>
      </c>
      <c r="BM106" s="42">
        <v>5390728</v>
      </c>
      <c r="BN106" s="42">
        <v>20590867</v>
      </c>
      <c r="BO106" s="42">
        <v>0</v>
      </c>
      <c r="BP106" s="42">
        <v>0</v>
      </c>
      <c r="BQ106" s="42">
        <v>23040651</v>
      </c>
      <c r="BR106" s="42">
        <v>45224</v>
      </c>
      <c r="BS106" s="42">
        <f>IFERROR(VLOOKUP(A106,'Trans 21-23'!$A$2:$J$229,9,0),0)</f>
        <v>0</v>
      </c>
      <c r="BT106" s="67"/>
      <c r="BU106" s="32">
        <f t="shared" si="0"/>
        <v>0</v>
      </c>
      <c r="BV106" s="32">
        <f t="shared" si="1"/>
        <v>783</v>
      </c>
      <c r="BW106" s="32">
        <f t="shared" si="2"/>
        <v>11</v>
      </c>
      <c r="BX106" s="32">
        <f t="shared" si="3"/>
        <v>0</v>
      </c>
      <c r="BY106" s="32">
        <f t="shared" si="4"/>
        <v>1423589</v>
      </c>
      <c r="BZ106" s="32">
        <f t="shared" si="5"/>
        <v>0</v>
      </c>
      <c r="CA106" s="32">
        <f t="shared" si="6"/>
        <v>16936125</v>
      </c>
      <c r="CB106" s="32">
        <f t="shared" si="7"/>
        <v>80125</v>
      </c>
      <c r="CC106" s="32">
        <f t="shared" si="8"/>
        <v>45224</v>
      </c>
      <c r="CD106" s="41">
        <f t="shared" si="67"/>
        <v>0</v>
      </c>
      <c r="CE106" s="44">
        <f t="shared" si="10"/>
        <v>44</v>
      </c>
      <c r="CF106" s="27"/>
      <c r="CG106" s="28" t="str">
        <f t="shared" si="11"/>
        <v/>
      </c>
      <c r="CH106" s="28" t="str">
        <f t="shared" si="12"/>
        <v/>
      </c>
      <c r="CI106" s="28" t="str">
        <f t="shared" si="13"/>
        <v/>
      </c>
      <c r="CJ106" s="28" t="str">
        <f t="shared" si="14"/>
        <v/>
      </c>
      <c r="CK106" s="23" t="str">
        <f t="shared" si="15"/>
        <v/>
      </c>
      <c r="CL106" s="29" t="str">
        <f t="shared" si="16"/>
        <v/>
      </c>
      <c r="CM106" s="29" t="str">
        <f t="shared" si="17"/>
        <v/>
      </c>
      <c r="CN106" s="29" t="str">
        <f t="shared" si="18"/>
        <v/>
      </c>
      <c r="CO106" s="29" t="str">
        <f t="shared" si="19"/>
        <v/>
      </c>
      <c r="CP106" s="29" t="str">
        <f t="shared" si="20"/>
        <v/>
      </c>
      <c r="CQ106" s="29" t="str">
        <f t="shared" si="21"/>
        <v/>
      </c>
      <c r="CR106" s="13"/>
      <c r="CS106" s="7" t="str">
        <f>VLOOKUP(A106,'Empresas 21-23'!$A$2:$M$228,13,0)</f>
        <v/>
      </c>
      <c r="CT106" s="30"/>
      <c r="CU106" s="6">
        <f t="shared" si="22"/>
        <v>0</v>
      </c>
      <c r="CV106" s="6">
        <f t="shared" si="23"/>
        <v>0</v>
      </c>
      <c r="CW106" s="6">
        <f t="shared" si="24"/>
        <v>22403600</v>
      </c>
      <c r="CX106" s="23">
        <f t="shared" si="65"/>
        <v>0</v>
      </c>
      <c r="CY106" s="23">
        <f t="shared" si="66"/>
        <v>0</v>
      </c>
      <c r="CZ106" s="6">
        <f t="shared" si="27"/>
        <v>0</v>
      </c>
      <c r="DA106" s="6">
        <f t="shared" si="28"/>
        <v>0</v>
      </c>
      <c r="DB106" s="6">
        <f t="shared" si="29"/>
        <v>0</v>
      </c>
      <c r="DC106" s="6">
        <f t="shared" si="30"/>
        <v>0</v>
      </c>
      <c r="DD106" s="6">
        <f t="shared" si="31"/>
        <v>1423589</v>
      </c>
      <c r="DE106" s="6">
        <f t="shared" si="32"/>
        <v>16936125</v>
      </c>
      <c r="DF106" s="6">
        <f t="shared" si="33"/>
        <v>495594.78671859368</v>
      </c>
      <c r="DG106" s="30"/>
      <c r="DH106" s="32" t="str">
        <f>VLOOKUP(A106,'T_med_comp-USA'!$A$7:$Q$233,17,0)</f>
        <v>-</v>
      </c>
      <c r="DI106" s="6" t="str">
        <f t="shared" si="34"/>
        <v/>
      </c>
      <c r="DJ106" s="32" t="str">
        <f>IF(DI106="","",VLOOKUP(DI106,'CPI USA'!$T:$U,2,FALSE))</f>
        <v/>
      </c>
      <c r="DK106" s="32" t="str">
        <f>IF(DI106="","",VLOOKUP(DI106,'PPI USA'!$S:$T,2,FALSE))</f>
        <v/>
      </c>
      <c r="DL106" s="32" t="str">
        <f>IF(DI106="","",VLOOKUP(DI106,'CPI USA'!$T:$V,3,FALSE))</f>
        <v/>
      </c>
      <c r="DM106" s="32" t="str">
        <f>IF(DI106="","",VLOOKUP(DI106,'CPI USA'!$T:$X,5,FALSE))</f>
        <v/>
      </c>
      <c r="DN106" s="32" t="str">
        <f t="shared" si="35"/>
        <v/>
      </c>
      <c r="DO106" s="32" t="str">
        <f t="shared" si="36"/>
        <v/>
      </c>
      <c r="DP106" s="32" t="str">
        <f t="shared" si="37"/>
        <v/>
      </c>
      <c r="DQ106" s="32" t="str">
        <f>IF(DP106="","",DP106*$DO$1/'CPI USA'!$U$532+(1-DP106)*AVERAGE($DO$1,$DQ$1)/AVERAGE('CPI USA'!$U$532,'PPI USA'!$T$538))</f>
        <v/>
      </c>
      <c r="DR106" s="6">
        <f t="shared" si="38"/>
        <v>1033767</v>
      </c>
      <c r="DS106" s="32">
        <f t="shared" si="39"/>
        <v>0.7261695615799223</v>
      </c>
      <c r="DT106" s="28">
        <f>IF(DS106="","",DS106*$DO$1/'CPI USA'!$U$532+(1-DS106)*AVERAGE($DO$1,$DQ$1)/AVERAGE('CPI USA'!$U$532,'PPI USA'!$T$538))</f>
        <v>1.030538434519694</v>
      </c>
      <c r="DU106" s="6" t="str">
        <f t="shared" si="40"/>
        <v/>
      </c>
      <c r="DV106" s="6">
        <f t="shared" si="41"/>
        <v>0</v>
      </c>
      <c r="DW106" s="6">
        <f t="shared" si="42"/>
        <v>0</v>
      </c>
      <c r="DX106" s="16" t="str">
        <f t="shared" si="43"/>
        <v/>
      </c>
      <c r="DY106" s="28" t="str">
        <f>IF(DX106="","",DX106*$DO$1/'CPI USA'!$U$532+(1-DX106)*AVERAGE($DO$1,$DQ$1)/AVERAGE('CPI USA'!$U$532,'PPI USA'!$T$538))</f>
        <v/>
      </c>
      <c r="DZ106" s="30"/>
      <c r="EA106" s="29" t="str">
        <f t="shared" si="44"/>
        <v>C001245</v>
      </c>
      <c r="EB106" s="29" t="str">
        <f t="shared" si="45"/>
        <v/>
      </c>
      <c r="EC106" s="29" t="str">
        <f t="shared" si="46"/>
        <v/>
      </c>
      <c r="ED106" s="29" t="str">
        <f t="shared" si="47"/>
        <v/>
      </c>
      <c r="EE106" s="29" t="str">
        <f t="shared" si="48"/>
        <v/>
      </c>
      <c r="EF106" s="29" t="str">
        <f t="shared" si="49"/>
        <v/>
      </c>
      <c r="EG106" s="29" t="str">
        <f t="shared" si="50"/>
        <v/>
      </c>
      <c r="EH106" s="29" t="str">
        <f t="shared" si="51"/>
        <v/>
      </c>
      <c r="EI106" s="29" t="str">
        <f t="shared" si="52"/>
        <v/>
      </c>
      <c r="EJ106" s="29" t="str">
        <f t="shared" si="53"/>
        <v/>
      </c>
      <c r="EK106" s="29" t="str">
        <f t="shared" si="54"/>
        <v/>
      </c>
      <c r="EL106" s="29" t="str">
        <f>IF(CD106=1,VLOOKUP(EA106,'EIA 2023'!$A$2:$J$213,4,0)*EH106,"")</f>
        <v/>
      </c>
      <c r="EM106" s="29" t="str">
        <f>IF(CD106=1,VLOOKUP(EA106,'EIA 2023'!$A$2:$J$213,7,0)*EH106,"")</f>
        <v/>
      </c>
      <c r="EN106" s="29" t="str">
        <f>IF(CD106=1,VLOOKUP(EA106,'EIA 2023'!$A$2:$J$213,10,0),"")</f>
        <v/>
      </c>
      <c r="EO106" s="28" t="str">
        <f>IF(CD106=1,VLOOKUP(EA106,'EIA 2023'!$A$2:$Z$213,26,0),"")</f>
        <v/>
      </c>
      <c r="EP106" s="23" t="str">
        <f t="shared" si="55"/>
        <v/>
      </c>
      <c r="EQ106" s="32" t="str">
        <f t="shared" si="56"/>
        <v/>
      </c>
      <c r="ER106" s="32" t="str">
        <f t="shared" si="57"/>
        <v/>
      </c>
      <c r="ES106" s="32"/>
      <c r="ET106" s="32"/>
    </row>
    <row r="107" spans="1:150" ht="15.75" customHeight="1">
      <c r="A107" s="7" t="s">
        <v>526</v>
      </c>
      <c r="B107" s="7" t="s">
        <v>527</v>
      </c>
      <c r="C107" s="32" t="s">
        <v>1192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2">
        <v>0</v>
      </c>
      <c r="O107" s="42">
        <v>0</v>
      </c>
      <c r="P107" s="42">
        <v>0</v>
      </c>
      <c r="Q107" s="42">
        <v>0</v>
      </c>
      <c r="R107" s="42">
        <v>0</v>
      </c>
      <c r="S107" s="42">
        <v>0</v>
      </c>
      <c r="T107" s="42">
        <v>0</v>
      </c>
      <c r="U107" s="42">
        <v>0</v>
      </c>
      <c r="V107" s="42">
        <v>0</v>
      </c>
      <c r="W107" s="42">
        <v>0</v>
      </c>
      <c r="X107" s="42">
        <f>IFERROR(VLOOKUP(A107,'Trans 21-23'!$A$2:$J$229,10,0),0)</f>
        <v>4376486</v>
      </c>
      <c r="Y107" s="42">
        <v>0</v>
      </c>
      <c r="Z107" s="42">
        <v>0</v>
      </c>
      <c r="AA107" s="42">
        <v>0</v>
      </c>
      <c r="AB107" s="42">
        <v>0</v>
      </c>
      <c r="AC107" s="42">
        <v>0</v>
      </c>
      <c r="AD107" s="42">
        <v>11390548</v>
      </c>
      <c r="AE107" s="42">
        <v>0</v>
      </c>
      <c r="AF107" s="42">
        <v>26730518</v>
      </c>
      <c r="AG107" s="42">
        <v>0</v>
      </c>
      <c r="AH107" s="42">
        <v>22263</v>
      </c>
      <c r="AI107" s="42">
        <v>22263</v>
      </c>
      <c r="AJ107" s="42">
        <v>0</v>
      </c>
      <c r="AK107" s="42">
        <v>0</v>
      </c>
      <c r="AL107" s="42">
        <v>0</v>
      </c>
      <c r="AM107" s="42">
        <v>0</v>
      </c>
      <c r="AN107" s="42">
        <v>0</v>
      </c>
      <c r="AO107" s="42">
        <v>0</v>
      </c>
      <c r="AP107" s="42">
        <v>0</v>
      </c>
      <c r="AQ107" s="42">
        <v>0</v>
      </c>
      <c r="AR107" s="42">
        <v>0</v>
      </c>
      <c r="AS107" s="42">
        <v>0</v>
      </c>
      <c r="AT107" s="42">
        <v>0</v>
      </c>
      <c r="AU107" s="42">
        <v>0</v>
      </c>
      <c r="AV107" s="42">
        <v>0</v>
      </c>
      <c r="AW107" s="42">
        <v>0</v>
      </c>
      <c r="AX107" s="42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1837075202</v>
      </c>
      <c r="BD107" s="42">
        <v>353747615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2">
        <v>0</v>
      </c>
      <c r="BL107" s="42">
        <v>0</v>
      </c>
      <c r="BM107" s="42">
        <v>6127678</v>
      </c>
      <c r="BN107" s="42">
        <v>14206497</v>
      </c>
      <c r="BO107" s="42">
        <v>0</v>
      </c>
      <c r="BP107" s="42">
        <v>20496878</v>
      </c>
      <c r="BQ107" s="42">
        <v>0</v>
      </c>
      <c r="BR107" s="42">
        <v>0</v>
      </c>
      <c r="BS107" s="42">
        <f>IFERROR(VLOOKUP(A107,'Trans 21-23'!$A$2:$J$229,9,0),0)</f>
        <v>430996330</v>
      </c>
      <c r="BT107" s="67"/>
      <c r="BU107" s="32">
        <f t="shared" si="0"/>
        <v>0</v>
      </c>
      <c r="BV107" s="32">
        <f t="shared" si="1"/>
        <v>0</v>
      </c>
      <c r="BW107" s="32">
        <f t="shared" si="2"/>
        <v>0</v>
      </c>
      <c r="BX107" s="32">
        <f t="shared" si="3"/>
        <v>0</v>
      </c>
      <c r="BY107" s="32">
        <f t="shared" si="4"/>
        <v>0</v>
      </c>
      <c r="BZ107" s="32">
        <f t="shared" si="5"/>
        <v>0</v>
      </c>
      <c r="CA107" s="32">
        <f t="shared" si="6"/>
        <v>11390548</v>
      </c>
      <c r="CB107" s="32">
        <f t="shared" si="7"/>
        <v>22263</v>
      </c>
      <c r="CC107" s="32">
        <f t="shared" si="8"/>
        <v>0</v>
      </c>
      <c r="CD107" s="41">
        <f t="shared" si="67"/>
        <v>0</v>
      </c>
      <c r="CE107" s="44">
        <f t="shared" si="10"/>
        <v>57</v>
      </c>
      <c r="CF107" s="27"/>
      <c r="CG107" s="28" t="str">
        <f t="shared" si="11"/>
        <v/>
      </c>
      <c r="CH107" s="28" t="str">
        <f t="shared" si="12"/>
        <v/>
      </c>
      <c r="CI107" s="28" t="str">
        <f t="shared" si="13"/>
        <v/>
      </c>
      <c r="CJ107" s="28" t="str">
        <f t="shared" si="14"/>
        <v/>
      </c>
      <c r="CK107" s="23" t="str">
        <f t="shared" si="15"/>
        <v/>
      </c>
      <c r="CL107" s="29" t="str">
        <f t="shared" si="16"/>
        <v/>
      </c>
      <c r="CM107" s="29" t="str">
        <f t="shared" si="17"/>
        <v/>
      </c>
      <c r="CN107" s="29" t="str">
        <f t="shared" si="18"/>
        <v/>
      </c>
      <c r="CO107" s="29" t="str">
        <f t="shared" si="19"/>
        <v/>
      </c>
      <c r="CP107" s="29" t="str">
        <f t="shared" si="20"/>
        <v/>
      </c>
      <c r="CQ107" s="29" t="str">
        <f t="shared" si="21"/>
        <v/>
      </c>
      <c r="CR107" s="13"/>
      <c r="CS107" s="7" t="str">
        <f>VLOOKUP(A107,'Empresas 21-23'!$A$2:$M$228,13,0)</f>
        <v/>
      </c>
      <c r="CT107" s="30"/>
      <c r="CU107" s="6">
        <f t="shared" si="22"/>
        <v>430996330</v>
      </c>
      <c r="CV107" s="6">
        <f t="shared" si="23"/>
        <v>0</v>
      </c>
      <c r="CW107" s="6">
        <f t="shared" si="24"/>
        <v>353747615</v>
      </c>
      <c r="CX107" s="23">
        <f t="shared" si="65"/>
        <v>0.2905604492070975</v>
      </c>
      <c r="CY107" s="23">
        <f t="shared" si="66"/>
        <v>0</v>
      </c>
      <c r="CZ107" s="6">
        <f t="shared" si="27"/>
        <v>533781395.92033941</v>
      </c>
      <c r="DA107" s="6">
        <f t="shared" si="28"/>
        <v>0</v>
      </c>
      <c r="DB107" s="6">
        <f t="shared" si="29"/>
        <v>0</v>
      </c>
      <c r="DC107" s="6">
        <f t="shared" si="30"/>
        <v>4376486</v>
      </c>
      <c r="DD107" s="6">
        <f t="shared" si="31"/>
        <v>0</v>
      </c>
      <c r="DE107" s="6">
        <f t="shared" si="32"/>
        <v>11390548</v>
      </c>
      <c r="DF107" s="6">
        <f t="shared" si="33"/>
        <v>3249717.8191566216</v>
      </c>
      <c r="DG107" s="30"/>
      <c r="DH107" s="32" t="str">
        <f>VLOOKUP(A107,'T_med_comp-USA'!$A$7:$Q$233,17,0)</f>
        <v>-</v>
      </c>
      <c r="DI107" s="6" t="str">
        <f t="shared" si="34"/>
        <v/>
      </c>
      <c r="DJ107" s="32" t="str">
        <f>IF(DI107="","",VLOOKUP(DI107,'CPI USA'!$T:$U,2,FALSE))</f>
        <v/>
      </c>
      <c r="DK107" s="32" t="str">
        <f>IF(DI107="","",VLOOKUP(DI107,'PPI USA'!$S:$T,2,FALSE))</f>
        <v/>
      </c>
      <c r="DL107" s="32" t="str">
        <f>IF(DI107="","",VLOOKUP(DI107,'CPI USA'!$T:$V,3,FALSE))</f>
        <v/>
      </c>
      <c r="DM107" s="32" t="str">
        <f>IF(DI107="","",VLOOKUP(DI107,'CPI USA'!$T:$X,5,FALSE))</f>
        <v/>
      </c>
      <c r="DN107" s="32" t="str">
        <f t="shared" si="35"/>
        <v/>
      </c>
      <c r="DO107" s="32" t="str">
        <f t="shared" si="36"/>
        <v/>
      </c>
      <c r="DP107" s="32" t="str">
        <f t="shared" si="37"/>
        <v/>
      </c>
      <c r="DQ107" s="32" t="str">
        <f>IF(DP107="","",DP107*$DO$1/'CPI USA'!$U$532+(1-DP107)*AVERAGE($DO$1,$DQ$1)/AVERAGE('CPI USA'!$U$532,'PPI USA'!$T$538))</f>
        <v/>
      </c>
      <c r="DR107" s="6">
        <f t="shared" si="38"/>
        <v>0</v>
      </c>
      <c r="DS107" s="32" t="str">
        <f t="shared" si="39"/>
        <v/>
      </c>
      <c r="DT107" s="28" t="str">
        <f>IF(DS107="","",DS107*$DO$1/'CPI USA'!$U$532+(1-DS107)*AVERAGE($DO$1,$DQ$1)/AVERAGE('CPI USA'!$U$532,'PPI USA'!$T$538))</f>
        <v/>
      </c>
      <c r="DU107" s="6" t="str">
        <f t="shared" si="40"/>
        <v/>
      </c>
      <c r="DV107" s="6" t="str">
        <f t="shared" si="41"/>
        <v/>
      </c>
      <c r="DW107" s="6">
        <f t="shared" si="42"/>
        <v>0</v>
      </c>
      <c r="DX107" s="16" t="str">
        <f t="shared" si="43"/>
        <v/>
      </c>
      <c r="DY107" s="28" t="str">
        <f>IF(DX107="","",DX107*$DO$1/'CPI USA'!$U$532+(1-DX107)*AVERAGE($DO$1,$DQ$1)/AVERAGE('CPI USA'!$U$532,'PPI USA'!$T$538))</f>
        <v/>
      </c>
      <c r="DZ107" s="30"/>
      <c r="EA107" s="29" t="str">
        <f t="shared" si="44"/>
        <v>C001252</v>
      </c>
      <c r="EB107" s="29" t="str">
        <f t="shared" si="45"/>
        <v/>
      </c>
      <c r="EC107" s="29" t="str">
        <f t="shared" si="46"/>
        <v/>
      </c>
      <c r="ED107" s="29" t="str">
        <f t="shared" si="47"/>
        <v/>
      </c>
      <c r="EE107" s="29" t="str">
        <f t="shared" si="48"/>
        <v/>
      </c>
      <c r="EF107" s="29" t="str">
        <f t="shared" si="49"/>
        <v/>
      </c>
      <c r="EG107" s="29" t="str">
        <f t="shared" si="50"/>
        <v/>
      </c>
      <c r="EH107" s="29" t="str">
        <f t="shared" si="51"/>
        <v/>
      </c>
      <c r="EI107" s="29" t="str">
        <f t="shared" si="52"/>
        <v/>
      </c>
      <c r="EJ107" s="29" t="str">
        <f t="shared" si="53"/>
        <v/>
      </c>
      <c r="EK107" s="29" t="str">
        <f t="shared" si="54"/>
        <v/>
      </c>
      <c r="EL107" s="29" t="str">
        <f>IF(CD107=1,VLOOKUP(EA107,'EIA 2023'!$A$2:$J$213,4,0)*EH107,"")</f>
        <v/>
      </c>
      <c r="EM107" s="29" t="str">
        <f>IF(CD107=1,VLOOKUP(EA107,'EIA 2023'!$A$2:$J$213,7,0)*EH107,"")</f>
        <v/>
      </c>
      <c r="EN107" s="29" t="str">
        <f>IF(CD107=1,VLOOKUP(EA107,'EIA 2023'!$A$2:$J$213,10,0),"")</f>
        <v/>
      </c>
      <c r="EO107" s="28" t="str">
        <f>IF(CD107=1,VLOOKUP(EA107,'EIA 2023'!$A$2:$Z$213,26,0),"")</f>
        <v/>
      </c>
      <c r="EP107" s="23" t="str">
        <f t="shared" si="55"/>
        <v/>
      </c>
      <c r="EQ107" s="32" t="str">
        <f t="shared" si="56"/>
        <v/>
      </c>
      <c r="ER107" s="32" t="str">
        <f t="shared" si="57"/>
        <v/>
      </c>
      <c r="ES107" s="32"/>
      <c r="ET107" s="32"/>
    </row>
    <row r="108" spans="1:150" ht="15.75" customHeight="1">
      <c r="A108" s="7" t="s">
        <v>529</v>
      </c>
      <c r="B108" s="7" t="s">
        <v>530</v>
      </c>
      <c r="C108" s="32" t="s">
        <v>1193</v>
      </c>
      <c r="D108" s="42">
        <v>0</v>
      </c>
      <c r="E108" s="42">
        <v>0</v>
      </c>
      <c r="F108" s="42">
        <v>0</v>
      </c>
      <c r="G108" s="42">
        <v>1067058869</v>
      </c>
      <c r="H108" s="42">
        <v>1067787684</v>
      </c>
      <c r="I108" s="42">
        <v>20453953</v>
      </c>
      <c r="J108" s="42">
        <v>7492813</v>
      </c>
      <c r="K108" s="42">
        <v>5200119</v>
      </c>
      <c r="L108" s="42">
        <v>10567304</v>
      </c>
      <c r="M108" s="42">
        <v>9304434</v>
      </c>
      <c r="N108" s="42">
        <v>1782698</v>
      </c>
      <c r="O108" s="42">
        <v>5087087</v>
      </c>
      <c r="P108" s="42">
        <v>2211940</v>
      </c>
      <c r="Q108" s="42">
        <v>133948</v>
      </c>
      <c r="R108" s="42">
        <v>16687</v>
      </c>
      <c r="S108" s="42">
        <v>3700241</v>
      </c>
      <c r="T108" s="42">
        <v>86088538</v>
      </c>
      <c r="U108" s="42">
        <v>6330765</v>
      </c>
      <c r="V108" s="42">
        <v>1270558</v>
      </c>
      <c r="W108" s="42">
        <v>33371533</v>
      </c>
      <c r="X108" s="42">
        <f>IFERROR(VLOOKUP(A108,'Trans 21-23'!$A$2:$J$229,10,0),0)</f>
        <v>16784656</v>
      </c>
      <c r="Y108" s="42">
        <v>557273</v>
      </c>
      <c r="Z108" s="42">
        <v>1361030</v>
      </c>
      <c r="AA108" s="42">
        <v>150684374</v>
      </c>
      <c r="AB108" s="42">
        <v>341202255</v>
      </c>
      <c r="AC108" s="42">
        <v>508</v>
      </c>
      <c r="AD108" s="42">
        <v>175835675</v>
      </c>
      <c r="AE108" s="42">
        <v>0</v>
      </c>
      <c r="AF108" s="42">
        <v>2139560127</v>
      </c>
      <c r="AG108" s="42">
        <v>1477991</v>
      </c>
      <c r="AH108" s="42">
        <v>1366957</v>
      </c>
      <c r="AI108" s="42">
        <v>25537040</v>
      </c>
      <c r="AJ108" s="42">
        <v>30622</v>
      </c>
      <c r="AK108" s="42">
        <v>0</v>
      </c>
      <c r="AL108" s="42">
        <v>7925265</v>
      </c>
      <c r="AM108" s="42">
        <v>12874182</v>
      </c>
      <c r="AN108" s="42">
        <v>1513942</v>
      </c>
      <c r="AO108" s="42">
        <v>79698</v>
      </c>
      <c r="AP108" s="42">
        <v>0</v>
      </c>
      <c r="AQ108" s="42">
        <v>22393087</v>
      </c>
      <c r="AR108" s="42">
        <v>1746374</v>
      </c>
      <c r="AS108" s="42">
        <v>24139461</v>
      </c>
      <c r="AT108" s="42">
        <v>0</v>
      </c>
      <c r="AU108" s="42">
        <v>4341</v>
      </c>
      <c r="AV108" s="42">
        <v>0</v>
      </c>
      <c r="AW108" s="42">
        <v>1130407254</v>
      </c>
      <c r="AX108" s="42">
        <v>1045857689</v>
      </c>
      <c r="AY108" s="42">
        <v>2101071634</v>
      </c>
      <c r="AZ108" s="42">
        <v>352909463</v>
      </c>
      <c r="BA108" s="42">
        <v>34275312</v>
      </c>
      <c r="BB108" s="42">
        <v>8085275916</v>
      </c>
      <c r="BC108" s="42">
        <v>14549912445</v>
      </c>
      <c r="BD108" s="42">
        <v>744867485</v>
      </c>
      <c r="BE108" s="42">
        <v>0</v>
      </c>
      <c r="BF108" s="42">
        <v>0</v>
      </c>
      <c r="BG108" s="42">
        <v>0</v>
      </c>
      <c r="BH108" s="42">
        <v>79552349</v>
      </c>
      <c r="BI108" s="42">
        <v>26363122</v>
      </c>
      <c r="BJ108" s="42">
        <v>11736811</v>
      </c>
      <c r="BK108" s="42">
        <v>0</v>
      </c>
      <c r="BL108" s="42">
        <v>0</v>
      </c>
      <c r="BM108" s="42">
        <v>60468885</v>
      </c>
      <c r="BN108" s="42">
        <v>199334794</v>
      </c>
      <c r="BO108" s="42">
        <v>0</v>
      </c>
      <c r="BP108" s="42">
        <v>22399666</v>
      </c>
      <c r="BQ108" s="42">
        <v>495606528</v>
      </c>
      <c r="BR108" s="42">
        <v>0</v>
      </c>
      <c r="BS108" s="42">
        <f>IFERROR(VLOOKUP(A108,'Trans 21-23'!$A$2:$J$229,9,0),0)</f>
        <v>1652952925</v>
      </c>
      <c r="BT108" s="67"/>
      <c r="BU108" s="32">
        <f t="shared" si="0"/>
        <v>8085275916</v>
      </c>
      <c r="BV108" s="32">
        <f t="shared" si="1"/>
        <v>4341</v>
      </c>
      <c r="BW108" s="32">
        <f t="shared" si="2"/>
        <v>1477991</v>
      </c>
      <c r="BX108" s="32">
        <f t="shared" si="3"/>
        <v>193012618</v>
      </c>
      <c r="BY108" s="32">
        <f t="shared" si="4"/>
        <v>493805440</v>
      </c>
      <c r="BZ108" s="32">
        <f t="shared" si="5"/>
        <v>352909463</v>
      </c>
      <c r="CA108" s="32">
        <f t="shared" si="6"/>
        <v>175835675</v>
      </c>
      <c r="CB108" s="32">
        <f t="shared" si="7"/>
        <v>1366957</v>
      </c>
      <c r="CC108" s="32">
        <f t="shared" si="8"/>
        <v>22393087</v>
      </c>
      <c r="CD108" s="41">
        <f t="shared" si="67"/>
        <v>0</v>
      </c>
      <c r="CE108" s="44">
        <f t="shared" si="10"/>
        <v>15</v>
      </c>
      <c r="CF108" s="27"/>
      <c r="CG108" s="28" t="str">
        <f t="shared" si="11"/>
        <v/>
      </c>
      <c r="CH108" s="28" t="str">
        <f t="shared" si="12"/>
        <v/>
      </c>
      <c r="CI108" s="28" t="str">
        <f t="shared" si="13"/>
        <v/>
      </c>
      <c r="CJ108" s="28" t="str">
        <f t="shared" si="14"/>
        <v/>
      </c>
      <c r="CK108" s="23" t="str">
        <f t="shared" si="15"/>
        <v/>
      </c>
      <c r="CL108" s="29" t="str">
        <f t="shared" si="16"/>
        <v/>
      </c>
      <c r="CM108" s="29" t="str">
        <f t="shared" si="17"/>
        <v/>
      </c>
      <c r="CN108" s="29" t="str">
        <f t="shared" si="18"/>
        <v/>
      </c>
      <c r="CO108" s="29" t="str">
        <f t="shared" si="19"/>
        <v/>
      </c>
      <c r="CP108" s="29" t="str">
        <f t="shared" si="20"/>
        <v/>
      </c>
      <c r="CQ108" s="29" t="str">
        <f t="shared" si="21"/>
        <v/>
      </c>
      <c r="CR108" s="13"/>
      <c r="CS108" s="7" t="str">
        <f>VLOOKUP(A108,'Empresas 21-23'!$A$2:$M$228,13,0)</f>
        <v/>
      </c>
      <c r="CT108" s="30"/>
      <c r="CU108" s="6">
        <f t="shared" si="22"/>
        <v>7462886472.1999998</v>
      </c>
      <c r="CV108" s="6">
        <f t="shared" si="23"/>
        <v>352909463</v>
      </c>
      <c r="CW108" s="6">
        <f t="shared" si="24"/>
        <v>744867485</v>
      </c>
      <c r="CX108" s="23">
        <f t="shared" si="65"/>
        <v>0.54059124717258433</v>
      </c>
      <c r="CY108" s="23">
        <f t="shared" si="66"/>
        <v>2.5563803958810142E-2</v>
      </c>
      <c r="CZ108" s="6">
        <f t="shared" si="27"/>
        <v>7865555314.8944559</v>
      </c>
      <c r="DA108" s="6">
        <f t="shared" si="28"/>
        <v>371951109.36183196</v>
      </c>
      <c r="DB108" s="6">
        <f t="shared" si="29"/>
        <v>193012618</v>
      </c>
      <c r="DC108" s="6">
        <f t="shared" si="30"/>
        <v>209797274</v>
      </c>
      <c r="DD108" s="6">
        <f t="shared" si="31"/>
        <v>493805440</v>
      </c>
      <c r="DE108" s="6">
        <f t="shared" si="32"/>
        <v>175835675</v>
      </c>
      <c r="DF108" s="6">
        <f t="shared" si="33"/>
        <v>138088381.42026329</v>
      </c>
      <c r="DG108" s="30"/>
      <c r="DH108" s="32" t="str">
        <f>VLOOKUP(A108,'T_med_comp-USA'!$A$7:$Q$233,17,0)</f>
        <v>-</v>
      </c>
      <c r="DI108" s="6" t="str">
        <f t="shared" si="34"/>
        <v/>
      </c>
      <c r="DJ108" s="32" t="str">
        <f>IF(DI108="","",VLOOKUP(DI108,'CPI USA'!$T:$U,2,FALSE))</f>
        <v/>
      </c>
      <c r="DK108" s="32" t="str">
        <f>IF(DI108="","",VLOOKUP(DI108,'PPI USA'!$S:$T,2,FALSE))</f>
        <v/>
      </c>
      <c r="DL108" s="32" t="str">
        <f>IF(DI108="","",VLOOKUP(DI108,'CPI USA'!$T:$V,3,FALSE))</f>
        <v/>
      </c>
      <c r="DM108" s="32" t="str">
        <f>IF(DI108="","",VLOOKUP(DI108,'CPI USA'!$T:$X,5,FALSE))</f>
        <v/>
      </c>
      <c r="DN108" s="32" t="str">
        <f t="shared" si="35"/>
        <v/>
      </c>
      <c r="DO108" s="32" t="str">
        <f t="shared" si="36"/>
        <v/>
      </c>
      <c r="DP108" s="32">
        <f t="shared" si="37"/>
        <v>0.41216139040194771</v>
      </c>
      <c r="DQ108" s="32">
        <f>IF(DP108="","",DP108*$DO$1/'CPI USA'!$U$532+(1-DP108)*AVERAGE($DO$1,$DQ$1)/AVERAGE('CPI USA'!$U$532,'PPI USA'!$T$538))</f>
        <v>1.0377853913897057</v>
      </c>
      <c r="DR108" s="6">
        <f t="shared" si="38"/>
        <v>38099933</v>
      </c>
      <c r="DS108" s="32">
        <f t="shared" si="39"/>
        <v>0.2</v>
      </c>
      <c r="DT108" s="28">
        <f>IF(DS108="","",DS108*$DO$1/'CPI USA'!$U$532+(1-DS108)*AVERAGE($DO$1,$DQ$1)/AVERAGE('CPI USA'!$U$532,'PPI USA'!$T$538))</f>
        <v>1.0426818386380585</v>
      </c>
      <c r="DU108" s="6">
        <f t="shared" si="40"/>
        <v>60468885</v>
      </c>
      <c r="DV108" s="6">
        <f t="shared" si="41"/>
        <v>2862348.237444642</v>
      </c>
      <c r="DW108" s="6">
        <f t="shared" si="42"/>
        <v>37379646.386569172</v>
      </c>
      <c r="DX108" s="16">
        <f t="shared" si="43"/>
        <v>0.2706936383938528</v>
      </c>
      <c r="DY108" s="28">
        <f>IF(DX108="","",DX108*$DO$1/'CPI USA'!$U$532+(1-DX108)*AVERAGE($DO$1,$DQ$1)/AVERAGE('CPI USA'!$U$532,'PPI USA'!$T$538))</f>
        <v>1.041050308647923</v>
      </c>
      <c r="DZ108" s="30"/>
      <c r="EA108" s="29" t="str">
        <f t="shared" si="44"/>
        <v>C001257</v>
      </c>
      <c r="EB108" s="29" t="str">
        <f t="shared" si="45"/>
        <v/>
      </c>
      <c r="EC108" s="29" t="str">
        <f t="shared" si="46"/>
        <v/>
      </c>
      <c r="ED108" s="29" t="str">
        <f t="shared" si="47"/>
        <v/>
      </c>
      <c r="EE108" s="29" t="str">
        <f t="shared" si="48"/>
        <v/>
      </c>
      <c r="EF108" s="29" t="str">
        <f t="shared" si="49"/>
        <v/>
      </c>
      <c r="EG108" s="29" t="str">
        <f t="shared" si="50"/>
        <v/>
      </c>
      <c r="EH108" s="29" t="str">
        <f t="shared" si="51"/>
        <v/>
      </c>
      <c r="EI108" s="29" t="str">
        <f t="shared" si="52"/>
        <v/>
      </c>
      <c r="EJ108" s="29" t="str">
        <f t="shared" si="53"/>
        <v/>
      </c>
      <c r="EK108" s="29" t="str">
        <f t="shared" si="54"/>
        <v/>
      </c>
      <c r="EL108" s="29" t="str">
        <f>IF(CD108=1,VLOOKUP(EA108,'EIA 2023'!$A$2:$J$213,4,0)*EH108,"")</f>
        <v/>
      </c>
      <c r="EM108" s="29" t="str">
        <f>IF(CD108=1,VLOOKUP(EA108,'EIA 2023'!$A$2:$J$213,7,0)*EH108,"")</f>
        <v/>
      </c>
      <c r="EN108" s="29" t="str">
        <f>IF(CD108=1,VLOOKUP(EA108,'EIA 2023'!$A$2:$J$213,10,0),"")</f>
        <v/>
      </c>
      <c r="EO108" s="28" t="str">
        <f>IF(CD108=1,VLOOKUP(EA108,'EIA 2023'!$A$2:$Z$213,26,0),"")</f>
        <v/>
      </c>
      <c r="EP108" s="23" t="str">
        <f t="shared" si="55"/>
        <v/>
      </c>
      <c r="EQ108" s="32" t="str">
        <f t="shared" si="56"/>
        <v/>
      </c>
      <c r="ER108" s="32" t="str">
        <f t="shared" si="57"/>
        <v/>
      </c>
      <c r="ES108" s="32"/>
      <c r="ET108" s="32"/>
    </row>
    <row r="109" spans="1:150" ht="15.75" customHeight="1">
      <c r="A109" s="7" t="s">
        <v>532</v>
      </c>
      <c r="B109" s="7" t="s">
        <v>533</v>
      </c>
      <c r="C109" s="32" t="s">
        <v>1194</v>
      </c>
      <c r="D109" s="42">
        <v>43998317</v>
      </c>
      <c r="E109" s="42">
        <v>0</v>
      </c>
      <c r="F109" s="42">
        <v>16592984</v>
      </c>
      <c r="G109" s="42">
        <v>78291775</v>
      </c>
      <c r="H109" s="42">
        <v>78773530</v>
      </c>
      <c r="I109" s="42">
        <v>346927</v>
      </c>
      <c r="J109" s="42">
        <v>349208</v>
      </c>
      <c r="K109" s="42">
        <v>85201</v>
      </c>
      <c r="L109" s="42">
        <v>240219</v>
      </c>
      <c r="M109" s="42">
        <v>1683904</v>
      </c>
      <c r="N109" s="42">
        <v>3163</v>
      </c>
      <c r="O109" s="42">
        <v>4523753</v>
      </c>
      <c r="P109" s="42">
        <v>205605</v>
      </c>
      <c r="Q109" s="42">
        <v>1084783</v>
      </c>
      <c r="R109" s="42">
        <v>0</v>
      </c>
      <c r="S109" s="42">
        <v>704515</v>
      </c>
      <c r="T109" s="42">
        <v>7625101</v>
      </c>
      <c r="U109" s="42">
        <v>786820</v>
      </c>
      <c r="V109" s="42">
        <v>171171</v>
      </c>
      <c r="W109" s="42">
        <v>134777</v>
      </c>
      <c r="X109" s="42">
        <f>IFERROR(VLOOKUP(A109,'Trans 21-23'!$A$2:$J$229,10,0),0)</f>
        <v>1895496</v>
      </c>
      <c r="Y109" s="42">
        <v>991468</v>
      </c>
      <c r="Z109" s="42">
        <v>1063452</v>
      </c>
      <c r="AA109" s="42">
        <v>14668291</v>
      </c>
      <c r="AB109" s="42">
        <v>10971527</v>
      </c>
      <c r="AC109" s="42">
        <v>442277</v>
      </c>
      <c r="AD109" s="42">
        <v>56949234</v>
      </c>
      <c r="AE109" s="42">
        <v>0</v>
      </c>
      <c r="AF109" s="42">
        <v>316095020</v>
      </c>
      <c r="AG109" s="42">
        <v>135435</v>
      </c>
      <c r="AH109" s="42">
        <v>117769</v>
      </c>
      <c r="AI109" s="42">
        <v>6046738</v>
      </c>
      <c r="AJ109" s="42">
        <v>21179</v>
      </c>
      <c r="AK109" s="42">
        <v>0</v>
      </c>
      <c r="AL109" s="42">
        <v>1254809</v>
      </c>
      <c r="AM109" s="42">
        <v>982756</v>
      </c>
      <c r="AN109" s="42">
        <v>3477561</v>
      </c>
      <c r="AO109" s="42">
        <v>14427</v>
      </c>
      <c r="AP109" s="42">
        <v>42662</v>
      </c>
      <c r="AQ109" s="42">
        <v>5772215</v>
      </c>
      <c r="AR109" s="42">
        <v>371113</v>
      </c>
      <c r="AS109" s="42">
        <v>6143328</v>
      </c>
      <c r="AT109" s="42">
        <v>0</v>
      </c>
      <c r="AU109" s="42">
        <v>961</v>
      </c>
      <c r="AV109" s="42">
        <v>0</v>
      </c>
      <c r="AW109" s="42">
        <v>63365052</v>
      </c>
      <c r="AX109" s="42">
        <v>0</v>
      </c>
      <c r="AY109" s="42">
        <v>134078349</v>
      </c>
      <c r="AZ109" s="42">
        <v>38189597</v>
      </c>
      <c r="BA109" s="42">
        <v>14586956</v>
      </c>
      <c r="BB109" s="42">
        <v>654605387</v>
      </c>
      <c r="BC109" s="42">
        <v>3024371861</v>
      </c>
      <c r="BD109" s="42">
        <v>113966609</v>
      </c>
      <c r="BE109" s="42">
        <v>264237617</v>
      </c>
      <c r="BF109" s="42">
        <v>14840562</v>
      </c>
      <c r="BG109" s="42">
        <v>0</v>
      </c>
      <c r="BH109" s="42">
        <v>11087529</v>
      </c>
      <c r="BI109" s="42">
        <v>6547667</v>
      </c>
      <c r="BJ109" s="42">
        <v>1618847</v>
      </c>
      <c r="BK109" s="42">
        <v>194553</v>
      </c>
      <c r="BL109" s="42">
        <v>0</v>
      </c>
      <c r="BM109" s="42">
        <v>33017910</v>
      </c>
      <c r="BN109" s="42">
        <v>70582646</v>
      </c>
      <c r="BO109" s="42">
        <v>0</v>
      </c>
      <c r="BP109" s="42">
        <v>1873621</v>
      </c>
      <c r="BQ109" s="42">
        <v>95085272</v>
      </c>
      <c r="BR109" s="42">
        <v>0</v>
      </c>
      <c r="BS109" s="42">
        <f>IFERROR(VLOOKUP(A109,'Trans 21-23'!$A$2:$J$229,9,0),0)</f>
        <v>186668400</v>
      </c>
      <c r="BT109" s="67"/>
      <c r="BU109" s="32">
        <f t="shared" si="0"/>
        <v>654605387</v>
      </c>
      <c r="BV109" s="32">
        <f t="shared" si="1"/>
        <v>961</v>
      </c>
      <c r="BW109" s="32">
        <f t="shared" si="2"/>
        <v>135435</v>
      </c>
      <c r="BX109" s="32">
        <f t="shared" si="3"/>
        <v>17945147</v>
      </c>
      <c r="BY109" s="32">
        <f t="shared" si="4"/>
        <v>28137015</v>
      </c>
      <c r="BZ109" s="32">
        <f t="shared" si="5"/>
        <v>38189597</v>
      </c>
      <c r="CA109" s="32">
        <f t="shared" si="6"/>
        <v>56949234</v>
      </c>
      <c r="CB109" s="32">
        <f t="shared" si="7"/>
        <v>117769</v>
      </c>
      <c r="CC109" s="32">
        <f t="shared" si="8"/>
        <v>5772215</v>
      </c>
      <c r="CD109" s="41">
        <f t="shared" si="67"/>
        <v>1</v>
      </c>
      <c r="CE109" s="44">
        <f t="shared" si="10"/>
        <v>11</v>
      </c>
      <c r="CF109" s="27"/>
      <c r="CG109" s="28">
        <f t="shared" si="11"/>
        <v>681.17105827263265</v>
      </c>
      <c r="CH109" s="28">
        <f t="shared" si="12"/>
        <v>7.0956547421272198</v>
      </c>
      <c r="CI109" s="28">
        <f t="shared" si="13"/>
        <v>132.50007014434968</v>
      </c>
      <c r="CJ109" s="28">
        <f t="shared" si="14"/>
        <v>281.97731014877985</v>
      </c>
      <c r="CK109" s="23">
        <f t="shared" si="15"/>
        <v>2.0402739676190162E-2</v>
      </c>
      <c r="CL109" s="29" t="str">
        <f t="shared" si="16"/>
        <v/>
      </c>
      <c r="CM109" s="29" t="str">
        <f t="shared" si="17"/>
        <v/>
      </c>
      <c r="CN109" s="29" t="str">
        <f t="shared" si="18"/>
        <v/>
      </c>
      <c r="CO109" s="29" t="str">
        <f t="shared" si="19"/>
        <v/>
      </c>
      <c r="CP109" s="29" t="str">
        <f t="shared" si="20"/>
        <v/>
      </c>
      <c r="CQ109" s="29">
        <f t="shared" si="21"/>
        <v>0</v>
      </c>
      <c r="CR109" s="13"/>
      <c r="CS109" s="7">
        <f>VLOOKUP(A109,'Empresas 21-23'!$A$2:$M$228,13,0)</f>
        <v>1</v>
      </c>
      <c r="CT109" s="30"/>
      <c r="CU109" s="6">
        <f t="shared" si="22"/>
        <v>708050224.60000002</v>
      </c>
      <c r="CV109" s="6">
        <f t="shared" si="23"/>
        <v>38189597</v>
      </c>
      <c r="CW109" s="6">
        <f t="shared" si="24"/>
        <v>113966609</v>
      </c>
      <c r="CX109" s="23">
        <f t="shared" si="65"/>
        <v>0.24328234843358509</v>
      </c>
      <c r="CY109" s="23">
        <f t="shared" si="66"/>
        <v>1.3121745493606606E-2</v>
      </c>
      <c r="CZ109" s="6">
        <f t="shared" si="27"/>
        <v>735776288.88053215</v>
      </c>
      <c r="DA109" s="6">
        <f t="shared" si="28"/>
        <v>39685037.838067375</v>
      </c>
      <c r="DB109" s="6">
        <f t="shared" si="29"/>
        <v>17945147</v>
      </c>
      <c r="DC109" s="6">
        <f t="shared" si="30"/>
        <v>19840643</v>
      </c>
      <c r="DD109" s="6">
        <f t="shared" si="31"/>
        <v>28137015</v>
      </c>
      <c r="DE109" s="6">
        <f t="shared" si="32"/>
        <v>56949234</v>
      </c>
      <c r="DF109" s="6">
        <f t="shared" si="33"/>
        <v>22810728.735749118</v>
      </c>
      <c r="DG109" s="30"/>
      <c r="DH109" s="32">
        <f>VLOOKUP(A109,'T_med_comp-USA'!$A$7:$Q$233,17,0)</f>
        <v>18.372521720836655</v>
      </c>
      <c r="DI109" s="6" t="str">
        <f t="shared" si="34"/>
        <v>8_2005</v>
      </c>
      <c r="DJ109" s="32">
        <f>IF(DI109="","",VLOOKUP(DI109,'CPI USA'!$T:$U,2,FALSE))</f>
        <v>195.3</v>
      </c>
      <c r="DK109" s="32">
        <f>IF(DI109="","",VLOOKUP(DI109,'PPI USA'!$S:$T,2,FALSE))</f>
        <v>131.30000000000001</v>
      </c>
      <c r="DL109" s="32">
        <f>IF(DI109="","",VLOOKUP(DI109,'CPI USA'!$T:$V,3,FALSE))</f>
        <v>0.67888602568792966</v>
      </c>
      <c r="DM109" s="32">
        <f>IF(DI109="","",VLOOKUP(DI109,'CPI USA'!$T:$X,5,FALSE))</f>
        <v>0.50828944385363772</v>
      </c>
      <c r="DN109" s="32">
        <f t="shared" si="35"/>
        <v>1.6621774217199745</v>
      </c>
      <c r="DO109" s="32">
        <f t="shared" si="36"/>
        <v>1.6905992787819408</v>
      </c>
      <c r="DP109" s="32">
        <f t="shared" si="37"/>
        <v>0.61785668292380103</v>
      </c>
      <c r="DQ109" s="32">
        <f>IF(DP109="","",DP109*$DO$1/'CPI USA'!$U$532+(1-DP109)*AVERAGE($DO$1,$DQ$1)/AVERAGE('CPI USA'!$U$532,'PPI USA'!$T$538))</f>
        <v>1.0330381744377448</v>
      </c>
      <c r="DR109" s="6">
        <f t="shared" si="38"/>
        <v>8361067</v>
      </c>
      <c r="DS109" s="32">
        <f t="shared" si="39"/>
        <v>0.29715543741935668</v>
      </c>
      <c r="DT109" s="28">
        <f>IF(DS109="","",DS109*$DO$1/'CPI USA'!$U$532+(1-DS109)*AVERAGE($DO$1,$DQ$1)/AVERAGE('CPI USA'!$U$532,'PPI USA'!$T$538))</f>
        <v>1.0404395999662943</v>
      </c>
      <c r="DU109" s="6">
        <f t="shared" si="40"/>
        <v>33017910</v>
      </c>
      <c r="DV109" s="6">
        <f t="shared" si="41"/>
        <v>663683.65851721691</v>
      </c>
      <c r="DW109" s="6">
        <f t="shared" si="42"/>
        <v>9280747.3908057138</v>
      </c>
      <c r="DX109" s="16">
        <f t="shared" si="43"/>
        <v>0.40685887322226877</v>
      </c>
      <c r="DY109" s="28">
        <f>IF(DX109="","",DX109*$DO$1/'CPI USA'!$U$532+(1-DX109)*AVERAGE($DO$1,$DQ$1)/AVERAGE('CPI USA'!$U$532,'PPI USA'!$T$538))</f>
        <v>1.0379077675468595</v>
      </c>
      <c r="DZ109" s="30"/>
      <c r="EA109" s="29" t="str">
        <f t="shared" si="44"/>
        <v>C001288</v>
      </c>
      <c r="EB109" s="29">
        <f t="shared" si="45"/>
        <v>1222990734.8141341</v>
      </c>
      <c r="EC109" s="29">
        <f t="shared" si="46"/>
        <v>67091496.347470738</v>
      </c>
      <c r="ED109" s="29">
        <f t="shared" si="47"/>
        <v>20496141.624391019</v>
      </c>
      <c r="EE109" s="29">
        <f t="shared" si="48"/>
        <v>29274864.630845621</v>
      </c>
      <c r="EF109" s="29">
        <f t="shared" si="49"/>
        <v>23675432.538238365</v>
      </c>
      <c r="EG109" s="29">
        <f t="shared" si="50"/>
        <v>961</v>
      </c>
      <c r="EH109" s="29">
        <f t="shared" si="51"/>
        <v>135435</v>
      </c>
      <c r="EI109" s="29">
        <f t="shared" si="52"/>
        <v>117769</v>
      </c>
      <c r="EJ109" s="29">
        <f t="shared" si="53"/>
        <v>5772215</v>
      </c>
      <c r="EK109" s="29">
        <f t="shared" si="54"/>
        <v>5884332.5329949241</v>
      </c>
      <c r="EL109" s="29">
        <f>IF(CD109=1,VLOOKUP(EA109,'EIA 2023'!$A$2:$J$213,4,0)*EH109,"")</f>
        <v>13039681.800000001</v>
      </c>
      <c r="EM109" s="29">
        <f>IF(CD109=1,VLOOKUP(EA109,'EIA 2023'!$A$2:$J$213,7,0)*EH109,"")</f>
        <v>186900.3</v>
      </c>
      <c r="EN109" s="29">
        <f>IF(CD109=1,VLOOKUP(EA109,'EIA 2023'!$A$2:$J$213,10,0),"")</f>
        <v>1279</v>
      </c>
      <c r="EO109" s="28">
        <f>IF(CD109=1,VLOOKUP(EA109,'EIA 2023'!$A$2:$Z$213,26,0),"")</f>
        <v>0</v>
      </c>
      <c r="EP109" s="23">
        <f t="shared" si="55"/>
        <v>1.9053568500123477E-2</v>
      </c>
      <c r="EQ109" s="32">
        <f t="shared" si="56"/>
        <v>5651.4670050761197</v>
      </c>
      <c r="ER109" s="32">
        <f t="shared" si="57"/>
        <v>112117.53299492388</v>
      </c>
      <c r="ES109" s="32"/>
      <c r="ET109" s="32"/>
    </row>
    <row r="110" spans="1:150" ht="15.75" customHeight="1">
      <c r="A110" s="7" t="s">
        <v>535</v>
      </c>
      <c r="B110" s="7" t="s">
        <v>536</v>
      </c>
      <c r="C110" s="32" t="s">
        <v>1195</v>
      </c>
      <c r="D110" s="42">
        <v>53136519</v>
      </c>
      <c r="E110" s="42">
        <v>0</v>
      </c>
      <c r="F110" s="42">
        <v>47973043</v>
      </c>
      <c r="G110" s="42">
        <v>162945169</v>
      </c>
      <c r="H110" s="42">
        <v>166190701</v>
      </c>
      <c r="I110" s="42">
        <v>0</v>
      </c>
      <c r="J110" s="42">
        <v>845848</v>
      </c>
      <c r="K110" s="42">
        <v>0</v>
      </c>
      <c r="L110" s="42">
        <v>0</v>
      </c>
      <c r="M110" s="42">
        <v>0</v>
      </c>
      <c r="N110" s="42">
        <v>0</v>
      </c>
      <c r="O110" s="42">
        <v>0</v>
      </c>
      <c r="P110" s="42">
        <v>0</v>
      </c>
      <c r="Q110" s="42">
        <v>0</v>
      </c>
      <c r="R110" s="42">
        <v>0</v>
      </c>
      <c r="S110" s="42">
        <v>2027609</v>
      </c>
      <c r="T110" s="42">
        <v>0</v>
      </c>
      <c r="U110" s="42">
        <v>0</v>
      </c>
      <c r="V110" s="42">
        <v>0</v>
      </c>
      <c r="W110" s="42">
        <v>0</v>
      </c>
      <c r="X110" s="42">
        <f>IFERROR(VLOOKUP(A110,'Trans 21-23'!$A$2:$J$229,10,0),0)</f>
        <v>123122</v>
      </c>
      <c r="Y110" s="42">
        <v>0</v>
      </c>
      <c r="Z110" s="42">
        <v>0</v>
      </c>
      <c r="AA110" s="42">
        <v>1145738</v>
      </c>
      <c r="AB110" s="42">
        <v>0</v>
      </c>
      <c r="AC110" s="42">
        <v>0</v>
      </c>
      <c r="AD110" s="42">
        <v>36210680</v>
      </c>
      <c r="AE110" s="42">
        <v>0</v>
      </c>
      <c r="AF110" s="42">
        <v>459151154</v>
      </c>
      <c r="AG110" s="42">
        <v>0</v>
      </c>
      <c r="AH110" s="42">
        <v>10580</v>
      </c>
      <c r="AI110" s="42">
        <v>11061028</v>
      </c>
      <c r="AJ110" s="42">
        <v>0</v>
      </c>
      <c r="AK110" s="42">
        <v>0</v>
      </c>
      <c r="AL110" s="42">
        <v>0</v>
      </c>
      <c r="AM110" s="42">
        <v>0</v>
      </c>
      <c r="AN110" s="42">
        <v>0</v>
      </c>
      <c r="AO110" s="42">
        <v>0</v>
      </c>
      <c r="AP110" s="42">
        <v>0</v>
      </c>
      <c r="AQ110" s="42">
        <v>0</v>
      </c>
      <c r="AR110" s="42">
        <v>11050448</v>
      </c>
      <c r="AS110" s="42">
        <v>11050448</v>
      </c>
      <c r="AT110" s="42">
        <v>0</v>
      </c>
      <c r="AU110" s="42">
        <v>1840</v>
      </c>
      <c r="AV110" s="42">
        <v>0</v>
      </c>
      <c r="AW110" s="42">
        <v>60496</v>
      </c>
      <c r="AX110" s="42">
        <v>0</v>
      </c>
      <c r="AY110" s="42">
        <v>370</v>
      </c>
      <c r="AZ110" s="42">
        <v>0</v>
      </c>
      <c r="BA110" s="42">
        <v>0</v>
      </c>
      <c r="BB110" s="42">
        <v>113012998</v>
      </c>
      <c r="BC110" s="42">
        <v>1139006914</v>
      </c>
      <c r="BD110" s="42">
        <v>28019237</v>
      </c>
      <c r="BE110" s="42">
        <v>36563691</v>
      </c>
      <c r="BF110" s="42">
        <v>2692453</v>
      </c>
      <c r="BG110" s="42">
        <v>0</v>
      </c>
      <c r="BH110" s="42">
        <v>0</v>
      </c>
      <c r="BI110" s="42">
        <v>1136611</v>
      </c>
      <c r="BJ110" s="42">
        <v>0</v>
      </c>
      <c r="BK110" s="42">
        <v>0</v>
      </c>
      <c r="BL110" s="42">
        <v>0</v>
      </c>
      <c r="BM110" s="42">
        <v>7778974</v>
      </c>
      <c r="BN110" s="42">
        <v>14735732</v>
      </c>
      <c r="BO110" s="42">
        <v>0</v>
      </c>
      <c r="BP110" s="42">
        <v>0</v>
      </c>
      <c r="BQ110" s="42">
        <v>14735732</v>
      </c>
      <c r="BR110" s="42">
        <v>0</v>
      </c>
      <c r="BS110" s="42">
        <f>IFERROR(VLOOKUP(A110,'Trans 21-23'!$A$2:$J$229,9,0),0)</f>
        <v>12125031</v>
      </c>
      <c r="BT110" s="67"/>
      <c r="BU110" s="32">
        <f t="shared" si="0"/>
        <v>113012998</v>
      </c>
      <c r="BV110" s="32">
        <f t="shared" si="1"/>
        <v>1840</v>
      </c>
      <c r="BW110" s="32">
        <f t="shared" si="2"/>
        <v>0</v>
      </c>
      <c r="BX110" s="32">
        <f t="shared" si="3"/>
        <v>2873457</v>
      </c>
      <c r="BY110" s="32">
        <f t="shared" si="4"/>
        <v>1145738</v>
      </c>
      <c r="BZ110" s="32">
        <f t="shared" si="5"/>
        <v>0</v>
      </c>
      <c r="CA110" s="32">
        <f t="shared" si="6"/>
        <v>36210680</v>
      </c>
      <c r="CB110" s="32">
        <f t="shared" si="7"/>
        <v>10580</v>
      </c>
      <c r="CC110" s="32">
        <f t="shared" si="8"/>
        <v>0</v>
      </c>
      <c r="CD110" s="41">
        <f t="shared" si="67"/>
        <v>0</v>
      </c>
      <c r="CE110" s="44">
        <f t="shared" si="10"/>
        <v>41</v>
      </c>
      <c r="CF110" s="27"/>
      <c r="CG110" s="28" t="str">
        <f t="shared" si="11"/>
        <v/>
      </c>
      <c r="CH110" s="28" t="str">
        <f t="shared" si="12"/>
        <v/>
      </c>
      <c r="CI110" s="28" t="str">
        <f t="shared" si="13"/>
        <v/>
      </c>
      <c r="CJ110" s="28" t="str">
        <f t="shared" si="14"/>
        <v/>
      </c>
      <c r="CK110" s="23" t="str">
        <f t="shared" si="15"/>
        <v/>
      </c>
      <c r="CL110" s="29" t="str">
        <f t="shared" si="16"/>
        <v/>
      </c>
      <c r="CM110" s="29" t="str">
        <f t="shared" si="17"/>
        <v/>
      </c>
      <c r="CN110" s="29" t="str">
        <f t="shared" si="18"/>
        <v/>
      </c>
      <c r="CO110" s="29" t="str">
        <f t="shared" si="19"/>
        <v/>
      </c>
      <c r="CP110" s="29" t="str">
        <f t="shared" si="20"/>
        <v/>
      </c>
      <c r="CQ110" s="29" t="str">
        <f t="shared" si="21"/>
        <v/>
      </c>
      <c r="CR110" s="13"/>
      <c r="CS110" s="7" t="str">
        <f>VLOOKUP(A110,'Empresas 21-23'!$A$2:$M$228,13,0)</f>
        <v/>
      </c>
      <c r="CT110" s="30"/>
      <c r="CU110" s="6">
        <f t="shared" si="22"/>
        <v>125137807</v>
      </c>
      <c r="CV110" s="6">
        <f t="shared" si="23"/>
        <v>0</v>
      </c>
      <c r="CW110" s="6">
        <f t="shared" si="24"/>
        <v>28019237</v>
      </c>
      <c r="CX110" s="23">
        <f t="shared" si="65"/>
        <v>0.11263653917198219</v>
      </c>
      <c r="CY110" s="23">
        <f t="shared" si="66"/>
        <v>0</v>
      </c>
      <c r="CZ110" s="6">
        <f t="shared" si="27"/>
        <v>128293796.88591956</v>
      </c>
      <c r="DA110" s="6">
        <f t="shared" si="28"/>
        <v>0</v>
      </c>
      <c r="DB110" s="6">
        <f t="shared" si="29"/>
        <v>2873457</v>
      </c>
      <c r="DC110" s="6">
        <f t="shared" si="30"/>
        <v>2996579</v>
      </c>
      <c r="DD110" s="6">
        <f t="shared" si="31"/>
        <v>1145738</v>
      </c>
      <c r="DE110" s="6">
        <f t="shared" si="32"/>
        <v>36210680</v>
      </c>
      <c r="DF110" s="6">
        <f t="shared" si="33"/>
        <v>963736.26315348549</v>
      </c>
      <c r="DG110" s="30"/>
      <c r="DH110" s="32">
        <f>VLOOKUP(A110,'T_med_comp-USA'!$A$7:$Q$233,17,0)</f>
        <v>13.222955606379236</v>
      </c>
      <c r="DI110" s="6" t="str">
        <f t="shared" si="34"/>
        <v>10_2010</v>
      </c>
      <c r="DJ110" s="32">
        <f>IF(DI110="","",VLOOKUP(DI110,'CPI USA'!$T:$U,2,FALSE))</f>
        <v>218.05600000000001</v>
      </c>
      <c r="DK110" s="32">
        <f>IF(DI110="","",VLOOKUP(DI110,'PPI USA'!$S:$T,2,FALSE))</f>
        <v>160.80000000000001</v>
      </c>
      <c r="DL110" s="32">
        <f>IF(DI110="","",VLOOKUP(DI110,'CPI USA'!$T:$V,3,FALSE))</f>
        <v>0.67050107279443949</v>
      </c>
      <c r="DM110" s="32">
        <f>IF(DI110="","",VLOOKUP(DI110,'CPI USA'!$T:$X,5,FALSE))</f>
        <v>0.4987389730136107</v>
      </c>
      <c r="DN110" s="32">
        <f t="shared" si="35"/>
        <v>1.4703278680244813</v>
      </c>
      <c r="DO110" s="32">
        <f t="shared" si="36"/>
        <v>1.4857204383544427</v>
      </c>
      <c r="DP110" s="32">
        <f t="shared" si="37"/>
        <v>0.2</v>
      </c>
      <c r="DQ110" s="32">
        <f>IF(DP110="","",DP110*$DO$1/'CPI USA'!$U$532+(1-DP110)*AVERAGE($DO$1,$DQ$1)/AVERAGE('CPI USA'!$U$532,'PPI USA'!$T$538))</f>
        <v>1.0426818386380585</v>
      </c>
      <c r="DR110" s="6">
        <f t="shared" si="38"/>
        <v>1136611</v>
      </c>
      <c r="DS110" s="32">
        <f t="shared" si="39"/>
        <v>0.8</v>
      </c>
      <c r="DT110" s="28">
        <f>IF(DS110="","",DS110*$DO$1/'CPI USA'!$U$532+(1-DS110)*AVERAGE($DO$1,$DQ$1)/AVERAGE('CPI USA'!$U$532,'PPI USA'!$T$538))</f>
        <v>1.0288345106984851</v>
      </c>
      <c r="DU110" s="6">
        <f t="shared" si="40"/>
        <v>7778974</v>
      </c>
      <c r="DV110" s="6">
        <f t="shared" si="41"/>
        <v>0</v>
      </c>
      <c r="DW110" s="6">
        <f t="shared" si="42"/>
        <v>600015.48732794554</v>
      </c>
      <c r="DX110" s="16" t="str">
        <f t="shared" si="43"/>
        <v/>
      </c>
      <c r="DY110" s="28" t="str">
        <f>IF(DX110="","",DX110*$DO$1/'CPI USA'!$U$532+(1-DX110)*AVERAGE($DO$1,$DQ$1)/AVERAGE('CPI USA'!$U$532,'PPI USA'!$T$538))</f>
        <v/>
      </c>
      <c r="DZ110" s="30"/>
      <c r="EA110" s="29" t="str">
        <f t="shared" si="44"/>
        <v>C001298</v>
      </c>
      <c r="EB110" s="29" t="str">
        <f t="shared" si="45"/>
        <v/>
      </c>
      <c r="EC110" s="29" t="str">
        <f t="shared" si="46"/>
        <v/>
      </c>
      <c r="ED110" s="29" t="str">
        <f t="shared" si="47"/>
        <v/>
      </c>
      <c r="EE110" s="29" t="str">
        <f t="shared" si="48"/>
        <v/>
      </c>
      <c r="EF110" s="29" t="str">
        <f t="shared" si="49"/>
        <v/>
      </c>
      <c r="EG110" s="29" t="str">
        <f t="shared" si="50"/>
        <v/>
      </c>
      <c r="EH110" s="29" t="str">
        <f t="shared" si="51"/>
        <v/>
      </c>
      <c r="EI110" s="29" t="str">
        <f t="shared" si="52"/>
        <v/>
      </c>
      <c r="EJ110" s="29" t="str">
        <f t="shared" si="53"/>
        <v/>
      </c>
      <c r="EK110" s="29" t="str">
        <f t="shared" si="54"/>
        <v/>
      </c>
      <c r="EL110" s="29" t="str">
        <f>IF(CD110=1,VLOOKUP(EA110,'EIA 2023'!$A$2:$J$213,4,0)*EH110,"")</f>
        <v/>
      </c>
      <c r="EM110" s="29" t="str">
        <f>IF(CD110=1,VLOOKUP(EA110,'EIA 2023'!$A$2:$J$213,7,0)*EH110,"")</f>
        <v/>
      </c>
      <c r="EN110" s="29" t="str">
        <f>IF(CD110=1,VLOOKUP(EA110,'EIA 2023'!$A$2:$J$213,10,0),"")</f>
        <v/>
      </c>
      <c r="EO110" s="28" t="str">
        <f>IF(CD110=1,VLOOKUP(EA110,'EIA 2023'!$A$2:$Z$213,26,0),"")</f>
        <v/>
      </c>
      <c r="EP110" s="23" t="str">
        <f t="shared" si="55"/>
        <v/>
      </c>
      <c r="EQ110" s="32" t="str">
        <f t="shared" si="56"/>
        <v/>
      </c>
      <c r="ER110" s="32" t="str">
        <f t="shared" si="57"/>
        <v/>
      </c>
      <c r="ES110" s="32"/>
      <c r="ET110" s="32"/>
    </row>
    <row r="111" spans="1:150" ht="15.75" customHeight="1">
      <c r="A111" s="7" t="s">
        <v>538</v>
      </c>
      <c r="B111" s="7" t="s">
        <v>539</v>
      </c>
      <c r="C111" s="32" t="s">
        <v>1196</v>
      </c>
      <c r="D111" s="42">
        <v>35634</v>
      </c>
      <c r="E111" s="42">
        <v>0</v>
      </c>
      <c r="F111" s="42">
        <v>0</v>
      </c>
      <c r="G111" s="42">
        <v>741539</v>
      </c>
      <c r="H111" s="42">
        <v>741539</v>
      </c>
      <c r="I111" s="42">
        <v>35369</v>
      </c>
      <c r="J111" s="42">
        <v>0</v>
      </c>
      <c r="K111" s="42">
        <v>0</v>
      </c>
      <c r="L111" s="42">
        <v>1731</v>
      </c>
      <c r="M111" s="42">
        <v>0</v>
      </c>
      <c r="N111" s="42">
        <v>465</v>
      </c>
      <c r="O111" s="42">
        <v>45997</v>
      </c>
      <c r="P111" s="42">
        <v>0</v>
      </c>
      <c r="Q111" s="42">
        <v>0</v>
      </c>
      <c r="R111" s="42">
        <v>0</v>
      </c>
      <c r="S111" s="42">
        <v>0</v>
      </c>
      <c r="T111" s="42">
        <v>0</v>
      </c>
      <c r="U111" s="42">
        <v>0</v>
      </c>
      <c r="V111" s="42">
        <v>0</v>
      </c>
      <c r="W111" s="42">
        <v>3443</v>
      </c>
      <c r="X111" s="42">
        <f>IFERROR(VLOOKUP(A111,'Trans 21-23'!$A$2:$J$229,10,0),0)</f>
        <v>10634040</v>
      </c>
      <c r="Y111" s="42">
        <v>0</v>
      </c>
      <c r="Z111" s="42">
        <v>0</v>
      </c>
      <c r="AA111" s="42">
        <v>869271</v>
      </c>
      <c r="AB111" s="42">
        <v>82</v>
      </c>
      <c r="AC111" s="42">
        <v>0</v>
      </c>
      <c r="AD111" s="42">
        <v>43156833</v>
      </c>
      <c r="AE111" s="42">
        <v>0</v>
      </c>
      <c r="AF111" s="42">
        <v>116516926</v>
      </c>
      <c r="AG111" s="42">
        <v>0</v>
      </c>
      <c r="AH111" s="42">
        <v>0</v>
      </c>
      <c r="AI111" s="42">
        <v>0</v>
      </c>
      <c r="AJ111" s="42">
        <v>0</v>
      </c>
      <c r="AK111" s="42">
        <v>0</v>
      </c>
      <c r="AL111" s="42">
        <v>0</v>
      </c>
      <c r="AM111" s="42">
        <v>0</v>
      </c>
      <c r="AN111" s="42">
        <v>0</v>
      </c>
      <c r="AO111" s="42">
        <v>0</v>
      </c>
      <c r="AP111" s="42">
        <v>0</v>
      </c>
      <c r="AQ111" s="42">
        <v>0</v>
      </c>
      <c r="AR111" s="42">
        <v>0</v>
      </c>
      <c r="AS111" s="42">
        <v>0</v>
      </c>
      <c r="AT111" s="42">
        <v>0</v>
      </c>
      <c r="AU111" s="42">
        <v>0</v>
      </c>
      <c r="AV111" s="42">
        <v>0</v>
      </c>
      <c r="AW111" s="42">
        <v>121482</v>
      </c>
      <c r="AX111" s="42">
        <v>1118</v>
      </c>
      <c r="AY111" s="42">
        <v>15730</v>
      </c>
      <c r="AZ111" s="42">
        <v>7622120</v>
      </c>
      <c r="BA111" s="42">
        <v>0</v>
      </c>
      <c r="BB111" s="42">
        <v>7923014</v>
      </c>
      <c r="BC111" s="42">
        <v>3908540499</v>
      </c>
      <c r="BD111" s="42">
        <v>14866672</v>
      </c>
      <c r="BE111" s="42">
        <v>8373827</v>
      </c>
      <c r="BF111" s="42">
        <v>15132</v>
      </c>
      <c r="BG111" s="42">
        <v>0</v>
      </c>
      <c r="BH111" s="42">
        <v>126277</v>
      </c>
      <c r="BI111" s="42">
        <v>82102</v>
      </c>
      <c r="BJ111" s="42">
        <v>0</v>
      </c>
      <c r="BK111" s="42">
        <v>0</v>
      </c>
      <c r="BL111" s="42">
        <v>0</v>
      </c>
      <c r="BM111" s="42">
        <v>13878436</v>
      </c>
      <c r="BN111" s="42">
        <v>42441078</v>
      </c>
      <c r="BO111" s="42">
        <v>50696</v>
      </c>
      <c r="BP111" s="42">
        <v>455072</v>
      </c>
      <c r="BQ111" s="42">
        <v>96556473</v>
      </c>
      <c r="BR111" s="42">
        <v>0</v>
      </c>
      <c r="BS111" s="42">
        <f>IFERROR(VLOOKUP(A111,'Trans 21-23'!$A$2:$J$229,9,0),0)</f>
        <v>1047240228</v>
      </c>
      <c r="BT111" s="67"/>
      <c r="BU111" s="32">
        <f t="shared" si="0"/>
        <v>7923014</v>
      </c>
      <c r="BV111" s="32">
        <f t="shared" si="1"/>
        <v>0</v>
      </c>
      <c r="BW111" s="32">
        <f t="shared" si="2"/>
        <v>0</v>
      </c>
      <c r="BX111" s="32">
        <f t="shared" si="3"/>
        <v>87005</v>
      </c>
      <c r="BY111" s="32">
        <f t="shared" si="4"/>
        <v>869353</v>
      </c>
      <c r="BZ111" s="32">
        <f t="shared" si="5"/>
        <v>7622120</v>
      </c>
      <c r="CA111" s="32">
        <f t="shared" si="6"/>
        <v>43156833</v>
      </c>
      <c r="CB111" s="32">
        <f t="shared" si="7"/>
        <v>0</v>
      </c>
      <c r="CC111" s="32">
        <f t="shared" si="8"/>
        <v>0</v>
      </c>
      <c r="CD111" s="41">
        <f t="shared" si="67"/>
        <v>0</v>
      </c>
      <c r="CE111" s="44">
        <f t="shared" si="10"/>
        <v>38</v>
      </c>
      <c r="CF111" s="27"/>
      <c r="CG111" s="28" t="str">
        <f t="shared" si="11"/>
        <v/>
      </c>
      <c r="CH111" s="28" t="str">
        <f t="shared" si="12"/>
        <v/>
      </c>
      <c r="CI111" s="28" t="str">
        <f t="shared" si="13"/>
        <v/>
      </c>
      <c r="CJ111" s="28" t="str">
        <f t="shared" si="14"/>
        <v/>
      </c>
      <c r="CK111" s="23" t="str">
        <f t="shared" si="15"/>
        <v/>
      </c>
      <c r="CL111" s="29" t="str">
        <f t="shared" si="16"/>
        <v/>
      </c>
      <c r="CM111" s="29" t="str">
        <f t="shared" si="17"/>
        <v/>
      </c>
      <c r="CN111" s="29" t="str">
        <f t="shared" si="18"/>
        <v/>
      </c>
      <c r="CO111" s="29" t="str">
        <f t="shared" si="19"/>
        <v/>
      </c>
      <c r="CP111" s="29" t="str">
        <f t="shared" si="20"/>
        <v/>
      </c>
      <c r="CQ111" s="29" t="str">
        <f t="shared" si="21"/>
        <v/>
      </c>
      <c r="CR111" s="13"/>
      <c r="CS111" s="7" t="str">
        <f>VLOOKUP(A111,'Empresas 21-23'!$A$2:$M$228,13,0)</f>
        <v/>
      </c>
      <c r="CT111" s="30"/>
      <c r="CU111" s="6">
        <f t="shared" si="22"/>
        <v>1047531013.2</v>
      </c>
      <c r="CV111" s="6">
        <f t="shared" si="23"/>
        <v>7622120</v>
      </c>
      <c r="CW111" s="6">
        <f t="shared" si="24"/>
        <v>14866672</v>
      </c>
      <c r="CX111" s="23">
        <f t="shared" si="65"/>
        <v>0.26903409472464784</v>
      </c>
      <c r="CY111" s="23">
        <f t="shared" si="66"/>
        <v>1.9575651014077612E-3</v>
      </c>
      <c r="CZ111" s="6">
        <f t="shared" si="27"/>
        <v>1051530654.8430883</v>
      </c>
      <c r="DA111" s="6">
        <f t="shared" si="28"/>
        <v>7651222.4782812763</v>
      </c>
      <c r="DB111" s="6">
        <f t="shared" si="29"/>
        <v>87005</v>
      </c>
      <c r="DC111" s="6">
        <f t="shared" si="30"/>
        <v>10721045</v>
      </c>
      <c r="DD111" s="6">
        <f t="shared" si="31"/>
        <v>869353</v>
      </c>
      <c r="DE111" s="6">
        <f t="shared" si="32"/>
        <v>43156833</v>
      </c>
      <c r="DF111" s="6">
        <f t="shared" si="33"/>
        <v>6891495.5596927488</v>
      </c>
      <c r="DG111" s="30"/>
      <c r="DH111" s="32">
        <f>VLOOKUP(A111,'T_med_comp-USA'!$A$7:$Q$233,17,0)</f>
        <v>378.79043582482024</v>
      </c>
      <c r="DI111" s="6" t="str">
        <f t="shared" si="34"/>
        <v/>
      </c>
      <c r="DJ111" s="32" t="str">
        <f>IF(DI111="","",VLOOKUP(DI111,'CPI USA'!$T:$U,2,FALSE))</f>
        <v/>
      </c>
      <c r="DK111" s="32" t="str">
        <f>IF(DI111="","",VLOOKUP(DI111,'PPI USA'!$S:$T,2,FALSE))</f>
        <v/>
      </c>
      <c r="DL111" s="32" t="str">
        <f>IF(DI111="","",VLOOKUP(DI111,'CPI USA'!$T:$V,3,FALSE))</f>
        <v/>
      </c>
      <c r="DM111" s="32" t="str">
        <f>IF(DI111="","",VLOOKUP(DI111,'CPI USA'!$T:$X,5,FALSE))</f>
        <v/>
      </c>
      <c r="DN111" s="32" t="str">
        <f t="shared" si="35"/>
        <v/>
      </c>
      <c r="DO111" s="32" t="str">
        <f t="shared" si="36"/>
        <v/>
      </c>
      <c r="DP111" s="32">
        <f t="shared" si="37"/>
        <v>0.8</v>
      </c>
      <c r="DQ111" s="32">
        <f>IF(DP111="","",DP111*$DO$1/'CPI USA'!$U$532+(1-DP111)*AVERAGE($DO$1,$DQ$1)/AVERAGE('CPI USA'!$U$532,'PPI USA'!$T$538))</f>
        <v>1.0288345106984851</v>
      </c>
      <c r="DR111" s="6">
        <f t="shared" si="38"/>
        <v>82102</v>
      </c>
      <c r="DS111" s="32">
        <f t="shared" si="39"/>
        <v>0.2</v>
      </c>
      <c r="DT111" s="28">
        <f>IF(DS111="","",DS111*$DO$1/'CPI USA'!$U$532+(1-DS111)*AVERAGE($DO$1,$DQ$1)/AVERAGE('CPI USA'!$U$532,'PPI USA'!$T$538))</f>
        <v>1.0426818386380585</v>
      </c>
      <c r="DU111" s="6">
        <f t="shared" si="40"/>
        <v>13895013.835074218</v>
      </c>
      <c r="DV111" s="6">
        <f t="shared" si="41"/>
        <v>65718.996410801556</v>
      </c>
      <c r="DW111" s="6">
        <f t="shared" si="42"/>
        <v>68544.996587787362</v>
      </c>
      <c r="DX111" s="16">
        <f t="shared" si="43"/>
        <v>0.2</v>
      </c>
      <c r="DY111" s="28">
        <f>IF(DX111="","",DX111*$DO$1/'CPI USA'!$U$532+(1-DX111)*AVERAGE($DO$1,$DQ$1)/AVERAGE('CPI USA'!$U$532,'PPI USA'!$T$538))</f>
        <v>1.0426818386380585</v>
      </c>
      <c r="DZ111" s="30"/>
      <c r="EA111" s="29" t="str">
        <f t="shared" si="44"/>
        <v>C001305</v>
      </c>
      <c r="EB111" s="29" t="str">
        <f t="shared" si="45"/>
        <v/>
      </c>
      <c r="EC111" s="29" t="str">
        <f t="shared" si="46"/>
        <v/>
      </c>
      <c r="ED111" s="29" t="str">
        <f t="shared" si="47"/>
        <v/>
      </c>
      <c r="EE111" s="29" t="str">
        <f t="shared" si="48"/>
        <v/>
      </c>
      <c r="EF111" s="29" t="str">
        <f t="shared" si="49"/>
        <v/>
      </c>
      <c r="EG111" s="29" t="str">
        <f t="shared" si="50"/>
        <v/>
      </c>
      <c r="EH111" s="29" t="str">
        <f t="shared" si="51"/>
        <v/>
      </c>
      <c r="EI111" s="29" t="str">
        <f t="shared" si="52"/>
        <v/>
      </c>
      <c r="EJ111" s="29" t="str">
        <f t="shared" si="53"/>
        <v/>
      </c>
      <c r="EK111" s="29" t="str">
        <f t="shared" si="54"/>
        <v/>
      </c>
      <c r="EL111" s="29" t="str">
        <f>IF(CD111=1,VLOOKUP(EA111,'EIA 2023'!$A$2:$J$213,4,0)*EH111,"")</f>
        <v/>
      </c>
      <c r="EM111" s="29" t="str">
        <f>IF(CD111=1,VLOOKUP(EA111,'EIA 2023'!$A$2:$J$213,7,0)*EH111,"")</f>
        <v/>
      </c>
      <c r="EN111" s="29" t="str">
        <f>IF(CD111=1,VLOOKUP(EA111,'EIA 2023'!$A$2:$J$213,10,0),"")</f>
        <v/>
      </c>
      <c r="EO111" s="28" t="str">
        <f>IF(CD111=1,VLOOKUP(EA111,'EIA 2023'!$A$2:$Z$213,26,0),"")</f>
        <v/>
      </c>
      <c r="EP111" s="23" t="str">
        <f t="shared" si="55"/>
        <v/>
      </c>
      <c r="EQ111" s="32" t="str">
        <f t="shared" si="56"/>
        <v/>
      </c>
      <c r="ER111" s="32" t="str">
        <f t="shared" si="57"/>
        <v/>
      </c>
      <c r="ES111" s="32"/>
      <c r="ET111" s="32"/>
    </row>
    <row r="112" spans="1:150" ht="15.75" customHeight="1">
      <c r="A112" s="7" t="s">
        <v>541</v>
      </c>
      <c r="B112" s="7" t="s">
        <v>542</v>
      </c>
      <c r="C112" s="32" t="s">
        <v>1197</v>
      </c>
      <c r="D112" s="42">
        <v>0</v>
      </c>
      <c r="E112" s="42">
        <v>0</v>
      </c>
      <c r="F112" s="42">
        <v>0</v>
      </c>
      <c r="G112" s="42">
        <v>1058554944</v>
      </c>
      <c r="H112" s="42">
        <v>1058554944</v>
      </c>
      <c r="I112" s="42">
        <v>21015998</v>
      </c>
      <c r="J112" s="42">
        <v>6496937</v>
      </c>
      <c r="K112" s="42">
        <v>9606306</v>
      </c>
      <c r="L112" s="42">
        <v>14823656</v>
      </c>
      <c r="M112" s="42">
        <v>9744150</v>
      </c>
      <c r="N112" s="42">
        <v>2919810</v>
      </c>
      <c r="O112" s="42">
        <v>67331443</v>
      </c>
      <c r="P112" s="42">
        <v>606835</v>
      </c>
      <c r="Q112" s="42">
        <v>5068822</v>
      </c>
      <c r="R112" s="42">
        <v>1533978</v>
      </c>
      <c r="S112" s="42">
        <v>7886441</v>
      </c>
      <c r="T112" s="42">
        <v>53343036</v>
      </c>
      <c r="U112" s="42">
        <v>11637993</v>
      </c>
      <c r="V112" s="42">
        <v>1788364</v>
      </c>
      <c r="W112" s="42">
        <v>4977475</v>
      </c>
      <c r="X112" s="42">
        <f>IFERROR(VLOOKUP(A112,'Trans 21-23'!$A$2:$J$229,10,0),0)</f>
        <v>1690013</v>
      </c>
      <c r="Y112" s="42">
        <v>7770282</v>
      </c>
      <c r="Z112" s="42">
        <v>984369</v>
      </c>
      <c r="AA112" s="42">
        <v>112471898</v>
      </c>
      <c r="AB112" s="42">
        <v>304081818</v>
      </c>
      <c r="AC112" s="42">
        <v>1944786</v>
      </c>
      <c r="AD112" s="42">
        <v>359022113</v>
      </c>
      <c r="AE112" s="42">
        <v>0</v>
      </c>
      <c r="AF112" s="42">
        <v>2179021699</v>
      </c>
      <c r="AG112" s="42">
        <v>1542848</v>
      </c>
      <c r="AH112" s="42">
        <v>1139789</v>
      </c>
      <c r="AI112" s="42">
        <v>16525923</v>
      </c>
      <c r="AJ112" s="42">
        <v>53363</v>
      </c>
      <c r="AK112" s="42">
        <v>0</v>
      </c>
      <c r="AL112" s="42">
        <v>10750065</v>
      </c>
      <c r="AM112" s="42">
        <v>3715374</v>
      </c>
      <c r="AN112" s="42">
        <v>824195</v>
      </c>
      <c r="AO112" s="42">
        <v>36828</v>
      </c>
      <c r="AP112" s="42">
        <v>0</v>
      </c>
      <c r="AQ112" s="42">
        <v>15326462</v>
      </c>
      <c r="AR112" s="42">
        <v>6309</v>
      </c>
      <c r="AS112" s="42">
        <v>15332771</v>
      </c>
      <c r="AT112" s="42">
        <v>0</v>
      </c>
      <c r="AU112" s="42">
        <v>6843</v>
      </c>
      <c r="AV112" s="42">
        <v>0</v>
      </c>
      <c r="AW112" s="42">
        <v>1697920366</v>
      </c>
      <c r="AX112" s="42">
        <v>324534160</v>
      </c>
      <c r="AY112" s="42">
        <v>895688741</v>
      </c>
      <c r="AZ112" s="42">
        <v>197537976</v>
      </c>
      <c r="BA112" s="42">
        <v>195730835</v>
      </c>
      <c r="BB112" s="42">
        <v>7892879404</v>
      </c>
      <c r="BC112" s="42">
        <v>12562887611</v>
      </c>
      <c r="BD112" s="42">
        <v>373423732</v>
      </c>
      <c r="BE112" s="42">
        <v>2504485393</v>
      </c>
      <c r="BF112" s="42">
        <v>192970762</v>
      </c>
      <c r="BG112" s="42">
        <v>0</v>
      </c>
      <c r="BH112" s="42">
        <v>174635452</v>
      </c>
      <c r="BI112" s="42">
        <v>21380917</v>
      </c>
      <c r="BJ112" s="42">
        <v>22356958</v>
      </c>
      <c r="BK112" s="42">
        <v>776079</v>
      </c>
      <c r="BL112" s="42">
        <v>0</v>
      </c>
      <c r="BM112" s="42">
        <v>86181735</v>
      </c>
      <c r="BN112" s="42">
        <v>337675094</v>
      </c>
      <c r="BO112" s="42">
        <v>99967</v>
      </c>
      <c r="BP112" s="42">
        <v>2425822</v>
      </c>
      <c r="BQ112" s="42">
        <v>768031469</v>
      </c>
      <c r="BR112" s="42">
        <v>0</v>
      </c>
      <c r="BS112" s="42">
        <f>IFERROR(VLOOKUP(A112,'Trans 21-23'!$A$2:$J$229,9,0),0)</f>
        <v>166432474</v>
      </c>
      <c r="BT112" s="67"/>
      <c r="BU112" s="32">
        <f t="shared" si="0"/>
        <v>7892879404</v>
      </c>
      <c r="BV112" s="32">
        <f t="shared" si="1"/>
        <v>6843</v>
      </c>
      <c r="BW112" s="32">
        <f t="shared" si="2"/>
        <v>1542848</v>
      </c>
      <c r="BX112" s="32">
        <f t="shared" si="3"/>
        <v>218781244</v>
      </c>
      <c r="BY112" s="32">
        <f t="shared" si="4"/>
        <v>427253153</v>
      </c>
      <c r="BZ112" s="32">
        <f t="shared" si="5"/>
        <v>197537976</v>
      </c>
      <c r="CA112" s="32">
        <f t="shared" si="6"/>
        <v>359022113</v>
      </c>
      <c r="CB112" s="32">
        <f t="shared" si="7"/>
        <v>1139789</v>
      </c>
      <c r="CC112" s="32">
        <f t="shared" si="8"/>
        <v>15326462</v>
      </c>
      <c r="CD112" s="41">
        <f t="shared" si="67"/>
        <v>1</v>
      </c>
      <c r="CE112" s="44">
        <f t="shared" si="10"/>
        <v>11</v>
      </c>
      <c r="CF112" s="27"/>
      <c r="CG112" s="28">
        <f t="shared" si="11"/>
        <v>1153.4238497734912</v>
      </c>
      <c r="CH112" s="28">
        <f t="shared" si="12"/>
        <v>4.4353040610611023</v>
      </c>
      <c r="CI112" s="28">
        <f t="shared" si="13"/>
        <v>141.80349846517609</v>
      </c>
      <c r="CJ112" s="28">
        <f t="shared" si="14"/>
        <v>128.03463205707885</v>
      </c>
      <c r="CK112" s="23">
        <f t="shared" si="15"/>
        <v>7.436739150888183E-2</v>
      </c>
      <c r="CL112" s="29" t="str">
        <f t="shared" si="16"/>
        <v/>
      </c>
      <c r="CM112" s="29" t="str">
        <f t="shared" si="17"/>
        <v/>
      </c>
      <c r="CN112" s="29" t="str">
        <f t="shared" si="18"/>
        <v/>
      </c>
      <c r="CO112" s="29" t="str">
        <f t="shared" si="19"/>
        <v/>
      </c>
      <c r="CP112" s="29" t="str">
        <f t="shared" si="20"/>
        <v/>
      </c>
      <c r="CQ112" s="29">
        <f t="shared" si="21"/>
        <v>0</v>
      </c>
      <c r="CR112" s="13"/>
      <c r="CS112" s="7" t="str">
        <f>VLOOKUP(A112,'Empresas 21-23'!$A$2:$M$228,13,0)</f>
        <v/>
      </c>
      <c r="CT112" s="30"/>
      <c r="CU112" s="6">
        <f t="shared" si="22"/>
        <v>6933909326.3999996</v>
      </c>
      <c r="CV112" s="6">
        <f t="shared" si="23"/>
        <v>197537976</v>
      </c>
      <c r="CW112" s="6">
        <f t="shared" si="24"/>
        <v>373423732</v>
      </c>
      <c r="CX112" s="23">
        <f t="shared" si="65"/>
        <v>0.56884448694628265</v>
      </c>
      <c r="CY112" s="23">
        <f t="shared" si="66"/>
        <v>1.6205632828554362E-2</v>
      </c>
      <c r="CZ112" s="6">
        <f t="shared" si="27"/>
        <v>7146329357.6431055</v>
      </c>
      <c r="DA112" s="6">
        <f t="shared" si="28"/>
        <v>203589543.89026049</v>
      </c>
      <c r="DB112" s="6">
        <f t="shared" si="29"/>
        <v>218781244</v>
      </c>
      <c r="DC112" s="6">
        <f t="shared" si="30"/>
        <v>220471257</v>
      </c>
      <c r="DD112" s="6">
        <f t="shared" si="31"/>
        <v>427253153</v>
      </c>
      <c r="DE112" s="6">
        <f t="shared" si="32"/>
        <v>359022113</v>
      </c>
      <c r="DF112" s="6">
        <f t="shared" si="33"/>
        <v>305402879.59617466</v>
      </c>
      <c r="DG112" s="30"/>
      <c r="DH112" s="32">
        <f>VLOOKUP(A112,'T_med_comp-USA'!$A$7:$Q$233,17,0)</f>
        <v>13.082663222921701</v>
      </c>
      <c r="DI112" s="6" t="str">
        <f t="shared" si="34"/>
        <v>12_2010</v>
      </c>
      <c r="DJ112" s="32">
        <f>IF(DI112="","",VLOOKUP(DI112,'CPI USA'!$T:$U,2,FALSE))</f>
        <v>218.05600000000001</v>
      </c>
      <c r="DK112" s="32">
        <f>IF(DI112="","",VLOOKUP(DI112,'PPI USA'!$S:$T,2,FALSE))</f>
        <v>160.80000000000001</v>
      </c>
      <c r="DL112" s="32">
        <f>IF(DI112="","",VLOOKUP(DI112,'CPI USA'!$T:$V,3,FALSE))</f>
        <v>0.67050107279443949</v>
      </c>
      <c r="DM112" s="32">
        <f>IF(DI112="","",VLOOKUP(DI112,'CPI USA'!$T:$X,5,FALSE))</f>
        <v>0.4987389730136107</v>
      </c>
      <c r="DN112" s="32">
        <f t="shared" si="35"/>
        <v>1.4703278680244813</v>
      </c>
      <c r="DO112" s="32">
        <f t="shared" si="36"/>
        <v>1.4857204383544427</v>
      </c>
      <c r="DP112" s="32">
        <f t="shared" si="37"/>
        <v>0.79845579422881119</v>
      </c>
      <c r="DQ112" s="32">
        <f>IF(DP112="","",DP112*$DO$1/'CPI USA'!$U$532+(1-DP112)*AVERAGE($DO$1,$DQ$1)/AVERAGE('CPI USA'!$U$532,'PPI USA'!$T$538))</f>
        <v>1.0288701492380181</v>
      </c>
      <c r="DR112" s="6">
        <f t="shared" si="38"/>
        <v>44513954</v>
      </c>
      <c r="DS112" s="32">
        <f t="shared" si="39"/>
        <v>0.2</v>
      </c>
      <c r="DT112" s="28">
        <f>IF(DS112="","",DS112*$DO$1/'CPI USA'!$U$532+(1-DS112)*AVERAGE($DO$1,$DQ$1)/AVERAGE('CPI USA'!$U$532,'PPI USA'!$T$538))</f>
        <v>1.0426818386380585</v>
      </c>
      <c r="DU112" s="6">
        <f t="shared" si="40"/>
        <v>86207248.665816128</v>
      </c>
      <c r="DV112" s="6">
        <f t="shared" si="41"/>
        <v>273066.8844729276</v>
      </c>
      <c r="DW112" s="6">
        <f t="shared" si="42"/>
        <v>56125281.728768572</v>
      </c>
      <c r="DX112" s="16">
        <f t="shared" si="43"/>
        <v>0.2</v>
      </c>
      <c r="DY112" s="28">
        <f>IF(DX112="","",DX112*$DO$1/'CPI USA'!$U$532+(1-DX112)*AVERAGE($DO$1,$DQ$1)/AVERAGE('CPI USA'!$U$532,'PPI USA'!$T$538))</f>
        <v>1.0426818386380585</v>
      </c>
      <c r="DZ112" s="30"/>
      <c r="EA112" s="29" t="str">
        <f t="shared" si="44"/>
        <v>C001306</v>
      </c>
      <c r="EB112" s="29">
        <f t="shared" si="45"/>
        <v>10507447208.624149</v>
      </c>
      <c r="EC112" s="29">
        <f t="shared" si="46"/>
        <v>302477146.39301884</v>
      </c>
      <c r="ED112" s="29">
        <f t="shared" si="47"/>
        <v>226836295.09228346</v>
      </c>
      <c r="EE112" s="29">
        <f t="shared" si="48"/>
        <v>445489103.13394773</v>
      </c>
      <c r="EF112" s="29">
        <f t="shared" si="49"/>
        <v>318438036.02269697</v>
      </c>
      <c r="EG112" s="29">
        <f t="shared" si="50"/>
        <v>6843</v>
      </c>
      <c r="EH112" s="29">
        <f t="shared" si="51"/>
        <v>1542848</v>
      </c>
      <c r="EI112" s="29">
        <f t="shared" si="52"/>
        <v>1139789</v>
      </c>
      <c r="EJ112" s="29">
        <f t="shared" si="53"/>
        <v>15326462</v>
      </c>
      <c r="EK112" s="29">
        <f t="shared" si="54"/>
        <v>16466154.923857868</v>
      </c>
      <c r="EL112" s="29">
        <f>IF(CD112=1,VLOOKUP(EA112,'EIA 2023'!$A$2:$J$213,4,0)*EH112,"")</f>
        <v>204319360.64000002</v>
      </c>
      <c r="EM112" s="29">
        <f>IF(CD112=1,VLOOKUP(EA112,'EIA 2023'!$A$2:$J$213,7,0)*EH112,"")</f>
        <v>1761932.416</v>
      </c>
      <c r="EN112" s="29">
        <f>IF(CD112=1,VLOOKUP(EA112,'EIA 2023'!$A$2:$J$213,10,0),"")</f>
        <v>1745065</v>
      </c>
      <c r="EO112" s="28">
        <f>IF(CD112=1,VLOOKUP(EA112,'EIA 2023'!$A$2:$Z$213,26,0),"")</f>
        <v>0</v>
      </c>
      <c r="EP112" s="23">
        <f t="shared" si="55"/>
        <v>6.9214271888488249E-2</v>
      </c>
      <c r="EQ112" s="32">
        <f t="shared" si="56"/>
        <v>96.076142131979395</v>
      </c>
      <c r="ER112" s="32">
        <f t="shared" si="57"/>
        <v>1139692.923857868</v>
      </c>
      <c r="ES112" s="32"/>
      <c r="ET112" s="32"/>
    </row>
    <row r="113" spans="1:150" ht="15.75" customHeight="1">
      <c r="A113" s="7" t="s">
        <v>544</v>
      </c>
      <c r="B113" s="7" t="s">
        <v>545</v>
      </c>
      <c r="C113" s="32" t="s">
        <v>1198</v>
      </c>
      <c r="D113" s="42">
        <v>0</v>
      </c>
      <c r="E113" s="42">
        <v>0</v>
      </c>
      <c r="F113" s="42">
        <v>0</v>
      </c>
      <c r="G113" s="42">
        <v>65226239</v>
      </c>
      <c r="H113" s="42">
        <v>65226239</v>
      </c>
      <c r="I113" s="42">
        <v>451280</v>
      </c>
      <c r="J113" s="42">
        <v>237686</v>
      </c>
      <c r="K113" s="42">
        <v>217368</v>
      </c>
      <c r="L113" s="42">
        <v>730017</v>
      </c>
      <c r="M113" s="42">
        <v>235579</v>
      </c>
      <c r="N113" s="42">
        <v>3521</v>
      </c>
      <c r="O113" s="42">
        <v>1747535</v>
      </c>
      <c r="P113" s="42">
        <v>0</v>
      </c>
      <c r="Q113" s="42">
        <v>59320</v>
      </c>
      <c r="R113" s="42">
        <v>33394</v>
      </c>
      <c r="S113" s="42">
        <v>123967</v>
      </c>
      <c r="T113" s="42">
        <v>4221803</v>
      </c>
      <c r="U113" s="42">
        <v>26868</v>
      </c>
      <c r="V113" s="42">
        <v>48109</v>
      </c>
      <c r="W113" s="42">
        <v>21212</v>
      </c>
      <c r="X113" s="42">
        <f>IFERROR(VLOOKUP(A113,'Trans 21-23'!$A$2:$J$229,10,0),0)</f>
        <v>0</v>
      </c>
      <c r="Y113" s="42">
        <v>271988</v>
      </c>
      <c r="Z113" s="42">
        <v>31487</v>
      </c>
      <c r="AA113" s="42">
        <v>1217156</v>
      </c>
      <c r="AB113" s="42">
        <v>16496</v>
      </c>
      <c r="AC113" s="42">
        <v>65432</v>
      </c>
      <c r="AD113" s="42">
        <v>5632671</v>
      </c>
      <c r="AE113" s="42">
        <v>0</v>
      </c>
      <c r="AF113" s="42">
        <v>108609733</v>
      </c>
      <c r="AG113" s="42">
        <v>46452</v>
      </c>
      <c r="AH113" s="42">
        <v>11213</v>
      </c>
      <c r="AI113" s="42">
        <v>912203</v>
      </c>
      <c r="AJ113" s="42">
        <v>438</v>
      </c>
      <c r="AK113" s="42">
        <v>0</v>
      </c>
      <c r="AL113" s="42">
        <v>293038</v>
      </c>
      <c r="AM113" s="42">
        <v>223274</v>
      </c>
      <c r="AN113" s="42">
        <v>380650</v>
      </c>
      <c r="AO113" s="42">
        <v>2710</v>
      </c>
      <c r="AP113" s="42">
        <v>0</v>
      </c>
      <c r="AQ113" s="42">
        <v>899672</v>
      </c>
      <c r="AR113" s="42">
        <v>880</v>
      </c>
      <c r="AS113" s="42">
        <v>900552</v>
      </c>
      <c r="AT113" s="42">
        <v>0</v>
      </c>
      <c r="AU113" s="42">
        <v>176</v>
      </c>
      <c r="AV113" s="42">
        <v>0</v>
      </c>
      <c r="AW113" s="42">
        <v>108689555</v>
      </c>
      <c r="AX113" s="42">
        <v>7159847</v>
      </c>
      <c r="AY113" s="42">
        <v>20658349</v>
      </c>
      <c r="AZ113" s="42">
        <v>6205316</v>
      </c>
      <c r="BA113" s="42">
        <v>5932876</v>
      </c>
      <c r="BB113" s="42">
        <v>320099624</v>
      </c>
      <c r="BC113" s="42">
        <v>373904320</v>
      </c>
      <c r="BD113" s="42">
        <v>29899588</v>
      </c>
      <c r="BE113" s="42">
        <v>111617789</v>
      </c>
      <c r="BF113" s="42">
        <v>10610384</v>
      </c>
      <c r="BG113" s="42">
        <v>0</v>
      </c>
      <c r="BH113" s="42">
        <v>2576276</v>
      </c>
      <c r="BI113" s="42">
        <v>698317</v>
      </c>
      <c r="BJ113" s="42">
        <v>4337</v>
      </c>
      <c r="BK113" s="42">
        <v>53352</v>
      </c>
      <c r="BL113" s="42">
        <v>0</v>
      </c>
      <c r="BM113" s="42">
        <v>3163152</v>
      </c>
      <c r="BN113" s="42">
        <v>6523852</v>
      </c>
      <c r="BO113" s="42">
        <v>0</v>
      </c>
      <c r="BP113" s="42">
        <v>565589</v>
      </c>
      <c r="BQ113" s="42">
        <v>13331916</v>
      </c>
      <c r="BR113" s="42">
        <v>0</v>
      </c>
      <c r="BS113" s="42">
        <f>IFERROR(VLOOKUP(A113,'Trans 21-23'!$A$2:$J$229,9,0),0)</f>
        <v>0</v>
      </c>
      <c r="BT113" s="67"/>
      <c r="BU113" s="32">
        <f t="shared" si="0"/>
        <v>320099624</v>
      </c>
      <c r="BV113" s="32">
        <f t="shared" si="1"/>
        <v>176</v>
      </c>
      <c r="BW113" s="32">
        <f t="shared" si="2"/>
        <v>46452</v>
      </c>
      <c r="BX113" s="32">
        <f t="shared" si="3"/>
        <v>8157659</v>
      </c>
      <c r="BY113" s="32">
        <f t="shared" si="4"/>
        <v>1602559</v>
      </c>
      <c r="BZ113" s="32">
        <f t="shared" si="5"/>
        <v>6205316</v>
      </c>
      <c r="CA113" s="32">
        <f t="shared" si="6"/>
        <v>5632671</v>
      </c>
      <c r="CB113" s="32">
        <f t="shared" si="7"/>
        <v>11213</v>
      </c>
      <c r="CC113" s="32">
        <f t="shared" si="8"/>
        <v>899672</v>
      </c>
      <c r="CD113" s="41">
        <f t="shared" si="67"/>
        <v>1</v>
      </c>
      <c r="CE113" s="44">
        <f t="shared" si="10"/>
        <v>15</v>
      </c>
      <c r="CF113" s="27"/>
      <c r="CG113" s="28">
        <f t="shared" si="11"/>
        <v>1818.7478636363635</v>
      </c>
      <c r="CH113" s="28">
        <f t="shared" si="12"/>
        <v>3.7888573150779301</v>
      </c>
      <c r="CI113" s="28">
        <f t="shared" si="13"/>
        <v>175.61480668216655</v>
      </c>
      <c r="CJ113" s="28">
        <f t="shared" si="14"/>
        <v>133.5855506759666</v>
      </c>
      <c r="CK113" s="23">
        <f t="shared" si="15"/>
        <v>1.2463431117118239E-2</v>
      </c>
      <c r="CL113" s="29" t="str">
        <f t="shared" si="16"/>
        <v/>
      </c>
      <c r="CM113" s="29" t="str">
        <f t="shared" si="17"/>
        <v/>
      </c>
      <c r="CN113" s="29" t="str">
        <f t="shared" si="18"/>
        <v/>
      </c>
      <c r="CO113" s="29" t="str">
        <f t="shared" si="19"/>
        <v/>
      </c>
      <c r="CP113" s="29" t="str">
        <f t="shared" si="20"/>
        <v/>
      </c>
      <c r="CQ113" s="29">
        <f t="shared" si="21"/>
        <v>0</v>
      </c>
      <c r="CR113" s="13"/>
      <c r="CS113" s="7">
        <f>VLOOKUP(A113,'Empresas 21-23'!$A$2:$M$228,13,0)</f>
        <v>1</v>
      </c>
      <c r="CT113" s="30"/>
      <c r="CU113" s="6">
        <f t="shared" si="22"/>
        <v>291270514.39999998</v>
      </c>
      <c r="CV113" s="6">
        <f t="shared" si="23"/>
        <v>6205316</v>
      </c>
      <c r="CW113" s="6">
        <f t="shared" si="24"/>
        <v>29899588</v>
      </c>
      <c r="CX113" s="23">
        <f t="shared" si="65"/>
        <v>0.84670496451194155</v>
      </c>
      <c r="CY113" s="23">
        <f t="shared" si="66"/>
        <v>1.8038461168609739E-2</v>
      </c>
      <c r="CZ113" s="6">
        <f t="shared" si="27"/>
        <v>316586643.99646163</v>
      </c>
      <c r="DA113" s="6">
        <f t="shared" si="28"/>
        <v>6744658.5570954299</v>
      </c>
      <c r="DB113" s="6">
        <f t="shared" si="29"/>
        <v>8157659</v>
      </c>
      <c r="DC113" s="6">
        <f t="shared" si="30"/>
        <v>8157659</v>
      </c>
      <c r="DD113" s="6">
        <f t="shared" si="31"/>
        <v>1602559</v>
      </c>
      <c r="DE113" s="6">
        <f t="shared" si="32"/>
        <v>5632671</v>
      </c>
      <c r="DF113" s="6">
        <f t="shared" si="33"/>
        <v>1456288.6981901824</v>
      </c>
      <c r="DG113" s="30"/>
      <c r="DH113" s="32">
        <f>VLOOKUP(A113,'T_med_comp-USA'!$A$7:$Q$233,17,0)</f>
        <v>11.067120663087328</v>
      </c>
      <c r="DI113" s="6" t="str">
        <f t="shared" si="34"/>
        <v>12_2012</v>
      </c>
      <c r="DJ113" s="32">
        <f>IF(DI113="","",VLOOKUP(DI113,'CPI USA'!$T:$U,2,FALSE))</f>
        <v>229.59399999999999</v>
      </c>
      <c r="DK113" s="32">
        <f>IF(DI113="","",VLOOKUP(DI113,'PPI USA'!$S:$T,2,FALSE))</f>
        <v>175.1</v>
      </c>
      <c r="DL113" s="32">
        <f>IF(DI113="","",VLOOKUP(DI113,'CPI USA'!$T:$V,3,FALSE))</f>
        <v>0.66730871354337351</v>
      </c>
      <c r="DM113" s="32">
        <f>IF(DI113="","",VLOOKUP(DI113,'CPI USA'!$T:$X,5,FALSE))</f>
        <v>0.49513551903851311</v>
      </c>
      <c r="DN113" s="32">
        <f t="shared" si="35"/>
        <v>1.3897894616766442</v>
      </c>
      <c r="DO113" s="32">
        <f t="shared" si="36"/>
        <v>1.4008620811189902</v>
      </c>
      <c r="DP113" s="32">
        <f t="shared" si="37"/>
        <v>0.31581070010403722</v>
      </c>
      <c r="DQ113" s="32">
        <f>IF(DP113="","",DP113*$DO$1/'CPI USA'!$U$532+(1-DP113)*AVERAGE($DO$1,$DQ$1)/AVERAGE('CPI USA'!$U$532,'PPI USA'!$T$538))</f>
        <v>1.0400090573993048</v>
      </c>
      <c r="DR113" s="6">
        <f t="shared" si="38"/>
        <v>756006</v>
      </c>
      <c r="DS113" s="32">
        <f t="shared" si="39"/>
        <v>0.47174924604959945</v>
      </c>
      <c r="DT113" s="28">
        <f>IF(DS113="","",DS113*$DO$1/'CPI USA'!$U$532+(1-DS113)*AVERAGE($DO$1,$DQ$1)/AVERAGE('CPI USA'!$U$532,'PPI USA'!$T$538))</f>
        <v>1.0364101704257573</v>
      </c>
      <c r="DU113" s="6">
        <f t="shared" si="40"/>
        <v>3163152</v>
      </c>
      <c r="DV113" s="6">
        <f t="shared" si="41"/>
        <v>140137.72140788811</v>
      </c>
      <c r="DW113" s="6">
        <f t="shared" si="42"/>
        <v>1687268.9447020746</v>
      </c>
      <c r="DX113" s="16">
        <f t="shared" si="43"/>
        <v>0.9</v>
      </c>
      <c r="DY113" s="28">
        <f>IF(DX113="","",DX113*$DO$1/'CPI USA'!$U$532+(1-DX113)*AVERAGE($DO$1,$DQ$1)/AVERAGE('CPI USA'!$U$532,'PPI USA'!$T$538))</f>
        <v>1.0265266227085561</v>
      </c>
      <c r="DZ113" s="30"/>
      <c r="EA113" s="29" t="str">
        <f t="shared" si="44"/>
        <v>C001307</v>
      </c>
      <c r="EB113" s="29">
        <f t="shared" si="45"/>
        <v>439988781.53385782</v>
      </c>
      <c r="EC113" s="29">
        <f t="shared" si="46"/>
        <v>9448336.4227297101</v>
      </c>
      <c r="ED113" s="29">
        <f t="shared" si="47"/>
        <v>8484039.2471749559</v>
      </c>
      <c r="EE113" s="29">
        <f t="shared" si="48"/>
        <v>1660908.4463073313</v>
      </c>
      <c r="EF113" s="29">
        <f t="shared" si="49"/>
        <v>1494919.1190418077</v>
      </c>
      <c r="EG113" s="29">
        <f t="shared" si="50"/>
        <v>176</v>
      </c>
      <c r="EH113" s="29">
        <f t="shared" si="51"/>
        <v>46452</v>
      </c>
      <c r="EI113" s="29">
        <f t="shared" si="52"/>
        <v>11213</v>
      </c>
      <c r="EJ113" s="29">
        <f t="shared" si="53"/>
        <v>899672</v>
      </c>
      <c r="EK113" s="29">
        <f t="shared" si="54"/>
        <v>910871.59898477152</v>
      </c>
      <c r="EL113" s="29">
        <f>IF(CD113=1,VLOOKUP(EA113,'EIA 2023'!$A$2:$J$213,4,0)*EH113,"")</f>
        <v>7143388.5599999996</v>
      </c>
      <c r="EM113" s="29">
        <f>IF(CD113=1,VLOOKUP(EA113,'EIA 2023'!$A$2:$J$213,7,0)*EH113,"")</f>
        <v>53512.703999999998</v>
      </c>
      <c r="EN113" s="29">
        <f>IF(CD113=1,VLOOKUP(EA113,'EIA 2023'!$A$2:$J$213,10,0),"")</f>
        <v>46266</v>
      </c>
      <c r="EO113" s="28">
        <f>IF(CD113=1,VLOOKUP(EA113,'EIA 2023'!$A$2:$Z$213,26,0),"")</f>
        <v>0</v>
      </c>
      <c r="EP113" s="23">
        <f t="shared" si="55"/>
        <v>1.2295475012344539E-2</v>
      </c>
      <c r="EQ113" s="32">
        <f t="shared" si="56"/>
        <v>13.401015228426445</v>
      </c>
      <c r="ER113" s="32">
        <f t="shared" si="57"/>
        <v>11199.598984771574</v>
      </c>
      <c r="ES113" s="32"/>
      <c r="ET113" s="32"/>
    </row>
    <row r="114" spans="1:150" ht="15.75" customHeight="1">
      <c r="A114" s="7" t="s">
        <v>547</v>
      </c>
      <c r="B114" s="7" t="s">
        <v>548</v>
      </c>
      <c r="C114" s="32" t="s">
        <v>1199</v>
      </c>
      <c r="D114" s="42">
        <v>0</v>
      </c>
      <c r="E114" s="42">
        <v>0</v>
      </c>
      <c r="F114" s="42">
        <v>0</v>
      </c>
      <c r="G114" s="42">
        <v>667211943</v>
      </c>
      <c r="H114" s="42">
        <v>667219803</v>
      </c>
      <c r="I114" s="42">
        <v>24203745</v>
      </c>
      <c r="J114" s="42">
        <v>4254931</v>
      </c>
      <c r="K114" s="42">
        <v>1977218</v>
      </c>
      <c r="L114" s="42">
        <v>4072965</v>
      </c>
      <c r="M114" s="42">
        <v>5698255</v>
      </c>
      <c r="N114" s="42">
        <v>2634647</v>
      </c>
      <c r="O114" s="42">
        <v>43073969</v>
      </c>
      <c r="P114" s="42">
        <v>352304</v>
      </c>
      <c r="Q114" s="42">
        <v>2632103</v>
      </c>
      <c r="R114" s="42">
        <v>577242</v>
      </c>
      <c r="S114" s="42">
        <v>4562386</v>
      </c>
      <c r="T114" s="42">
        <v>94751981</v>
      </c>
      <c r="U114" s="42">
        <v>6542202</v>
      </c>
      <c r="V114" s="42">
        <v>1282915</v>
      </c>
      <c r="W114" s="42">
        <v>2144698</v>
      </c>
      <c r="X114" s="42">
        <f>IFERROR(VLOOKUP(A114,'Trans 21-23'!$A$2:$J$229,10,0),0)</f>
        <v>1118192</v>
      </c>
      <c r="Y114" s="42">
        <v>5352586</v>
      </c>
      <c r="Z114" s="42">
        <v>53141</v>
      </c>
      <c r="AA114" s="42">
        <v>84232755</v>
      </c>
      <c r="AB114" s="42">
        <v>395516774</v>
      </c>
      <c r="AC114" s="42">
        <v>1513553</v>
      </c>
      <c r="AD114" s="42">
        <v>319669289</v>
      </c>
      <c r="AE114" s="42">
        <v>0</v>
      </c>
      <c r="AF114" s="42">
        <v>2264688990</v>
      </c>
      <c r="AG114" s="42">
        <v>635010</v>
      </c>
      <c r="AH114" s="69">
        <f>'FERC 2022'!AH115/'FERC 2022'!AQ115*AQ114</f>
        <v>141533.56408216504</v>
      </c>
      <c r="AI114" s="42">
        <v>5737932</v>
      </c>
      <c r="AJ114" s="42">
        <v>26080</v>
      </c>
      <c r="AK114" s="42">
        <v>0</v>
      </c>
      <c r="AL114" s="42">
        <v>3324805</v>
      </c>
      <c r="AM114" s="42">
        <v>1146976</v>
      </c>
      <c r="AN114" s="42">
        <v>116555</v>
      </c>
      <c r="AO114" s="42">
        <v>6371</v>
      </c>
      <c r="AP114" s="42">
        <v>0</v>
      </c>
      <c r="AQ114" s="42">
        <v>4594707</v>
      </c>
      <c r="AR114" s="42">
        <v>2408</v>
      </c>
      <c r="AS114" s="42">
        <v>4597115</v>
      </c>
      <c r="AT114" s="42">
        <v>0</v>
      </c>
      <c r="AU114" s="42">
        <v>4314</v>
      </c>
      <c r="AV114" s="42">
        <v>0</v>
      </c>
      <c r="AW114" s="42">
        <v>1082317726</v>
      </c>
      <c r="AX114" s="42">
        <v>372217544</v>
      </c>
      <c r="AY114" s="42">
        <v>1070669462</v>
      </c>
      <c r="AZ114" s="42">
        <v>171961429</v>
      </c>
      <c r="BA114" s="42">
        <v>93722718</v>
      </c>
      <c r="BB114" s="42">
        <v>5709237093</v>
      </c>
      <c r="BC114" s="42">
        <v>6195186554</v>
      </c>
      <c r="BD114" s="42">
        <v>242012721</v>
      </c>
      <c r="BE114" s="42">
        <v>2066774379</v>
      </c>
      <c r="BF114" s="42">
        <v>159354982</v>
      </c>
      <c r="BG114" s="42">
        <v>0</v>
      </c>
      <c r="BH114" s="42">
        <v>120802524</v>
      </c>
      <c r="BI114" s="42">
        <v>16875319</v>
      </c>
      <c r="BJ114" s="42">
        <v>21977122</v>
      </c>
      <c r="BK114" s="42">
        <v>406900</v>
      </c>
      <c r="BL114" s="42">
        <v>0</v>
      </c>
      <c r="BM114" s="42">
        <v>68119141</v>
      </c>
      <c r="BN114" s="42">
        <v>230474584</v>
      </c>
      <c r="BO114" s="42">
        <v>26779</v>
      </c>
      <c r="BP114" s="42">
        <v>2342790</v>
      </c>
      <c r="BQ114" s="42">
        <v>357399458</v>
      </c>
      <c r="BR114" s="42">
        <v>0</v>
      </c>
      <c r="BS114" s="42">
        <f>IFERROR(VLOOKUP(A114,'Trans 21-23'!$A$2:$J$229,9,0),0)</f>
        <v>64917967</v>
      </c>
      <c r="BT114" s="67"/>
      <c r="BU114" s="32">
        <f t="shared" si="0"/>
        <v>5709237093</v>
      </c>
      <c r="BV114" s="32">
        <f t="shared" si="1"/>
        <v>4314</v>
      </c>
      <c r="BW114" s="32">
        <f t="shared" si="2"/>
        <v>635010</v>
      </c>
      <c r="BX114" s="32">
        <f t="shared" si="3"/>
        <v>198761561</v>
      </c>
      <c r="BY114" s="32">
        <f t="shared" si="4"/>
        <v>486668809</v>
      </c>
      <c r="BZ114" s="32">
        <f t="shared" si="5"/>
        <v>171961429</v>
      </c>
      <c r="CA114" s="32">
        <f t="shared" si="6"/>
        <v>319669289</v>
      </c>
      <c r="CB114" s="32">
        <f t="shared" si="7"/>
        <v>141533.56408216504</v>
      </c>
      <c r="CC114" s="32">
        <f t="shared" si="8"/>
        <v>4594707</v>
      </c>
      <c r="CD114" s="41">
        <f t="shared" si="67"/>
        <v>1</v>
      </c>
      <c r="CE114" s="44">
        <f t="shared" si="10"/>
        <v>11</v>
      </c>
      <c r="CF114" s="27"/>
      <c r="CG114" s="28">
        <f t="shared" si="11"/>
        <v>1323.4207447844228</v>
      </c>
      <c r="CH114" s="28">
        <f t="shared" si="12"/>
        <v>6.7935938016724142</v>
      </c>
      <c r="CI114" s="28">
        <f t="shared" si="13"/>
        <v>313.00540306451865</v>
      </c>
      <c r="CJ114" s="28">
        <f t="shared" si="14"/>
        <v>270.80113541519029</v>
      </c>
      <c r="CK114" s="23">
        <f t="shared" si="15"/>
        <v>3.0803610346027514E-2</v>
      </c>
      <c r="CL114" s="29" t="str">
        <f t="shared" si="16"/>
        <v/>
      </c>
      <c r="CM114" s="29" t="str">
        <f t="shared" si="17"/>
        <v/>
      </c>
      <c r="CN114" s="29" t="str">
        <f t="shared" si="18"/>
        <v/>
      </c>
      <c r="CO114" s="29" t="str">
        <f t="shared" si="19"/>
        <v/>
      </c>
      <c r="CP114" s="29" t="str">
        <f t="shared" si="20"/>
        <v/>
      </c>
      <c r="CQ114" s="29">
        <f t="shared" si="21"/>
        <v>0</v>
      </c>
      <c r="CR114" s="13"/>
      <c r="CS114" s="7">
        <f>VLOOKUP(A114,'Empresas 21-23'!$A$2:$M$228,13,0)</f>
        <v>1</v>
      </c>
      <c r="CT114" s="30"/>
      <c r="CU114" s="6">
        <f t="shared" si="22"/>
        <v>4642738709.3999996</v>
      </c>
      <c r="CV114" s="6">
        <f t="shared" si="23"/>
        <v>171961429</v>
      </c>
      <c r="CW114" s="6">
        <f t="shared" si="24"/>
        <v>242012721</v>
      </c>
      <c r="CX114" s="23">
        <f t="shared" si="65"/>
        <v>0.77987622059078543</v>
      </c>
      <c r="CY114" s="23">
        <f t="shared" si="66"/>
        <v>2.8885672386513024E-2</v>
      </c>
      <c r="CZ114" s="6">
        <f t="shared" si="27"/>
        <v>4831478675.5883722</v>
      </c>
      <c r="DA114" s="6">
        <f t="shared" si="28"/>
        <v>178952129.17217457</v>
      </c>
      <c r="DB114" s="6">
        <f t="shared" si="29"/>
        <v>198761561</v>
      </c>
      <c r="DC114" s="6">
        <f t="shared" si="30"/>
        <v>199879753</v>
      </c>
      <c r="DD114" s="6">
        <f t="shared" si="31"/>
        <v>486668809</v>
      </c>
      <c r="DE114" s="6">
        <f t="shared" si="32"/>
        <v>319669289</v>
      </c>
      <c r="DF114" s="6">
        <f t="shared" si="33"/>
        <v>171754975.8941305</v>
      </c>
      <c r="DG114" s="30"/>
      <c r="DH114" s="32">
        <f>VLOOKUP(A114,'T_med_comp-USA'!$A$7:$Q$233,17,0)</f>
        <v>13.01791077155322</v>
      </c>
      <c r="DI114" s="6" t="str">
        <f t="shared" si="34"/>
        <v>12_2010</v>
      </c>
      <c r="DJ114" s="32">
        <f>IF(DI114="","",VLOOKUP(DI114,'CPI USA'!$T:$U,2,FALSE))</f>
        <v>218.05600000000001</v>
      </c>
      <c r="DK114" s="32">
        <f>IF(DI114="","",VLOOKUP(DI114,'PPI USA'!$S:$T,2,FALSE))</f>
        <v>160.80000000000001</v>
      </c>
      <c r="DL114" s="32">
        <f>IF(DI114="","",VLOOKUP(DI114,'CPI USA'!$T:$V,3,FALSE))</f>
        <v>0.67050107279443949</v>
      </c>
      <c r="DM114" s="32">
        <f>IF(DI114="","",VLOOKUP(DI114,'CPI USA'!$T:$X,5,FALSE))</f>
        <v>0.4987389730136107</v>
      </c>
      <c r="DN114" s="32">
        <f t="shared" si="35"/>
        <v>1.4703278680244813</v>
      </c>
      <c r="DO114" s="32">
        <f t="shared" si="36"/>
        <v>1.4857204383544427</v>
      </c>
      <c r="DP114" s="32">
        <f t="shared" si="37"/>
        <v>0.60784670597411605</v>
      </c>
      <c r="DQ114" s="32">
        <f>IF(DP114="","",DP114*$DO$1/'CPI USA'!$U$532+(1-DP114)*AVERAGE($DO$1,$DQ$1)/AVERAGE('CPI USA'!$U$532,'PPI USA'!$T$538))</f>
        <v>1.0332691934935612</v>
      </c>
      <c r="DR114" s="6">
        <f t="shared" si="38"/>
        <v>39259341</v>
      </c>
      <c r="DS114" s="32">
        <f t="shared" si="39"/>
        <v>0.2</v>
      </c>
      <c r="DT114" s="28">
        <f>IF(DS114="","",DS114*$DO$1/'CPI USA'!$U$532+(1-DS114)*AVERAGE($DO$1,$DQ$1)/AVERAGE('CPI USA'!$U$532,'PPI USA'!$T$538))</f>
        <v>1.0426818386380585</v>
      </c>
      <c r="DU114" s="6">
        <f t="shared" si="40"/>
        <v>68127055.809716448</v>
      </c>
      <c r="DV114" s="6">
        <f t="shared" si="41"/>
        <v>449474.28601281758</v>
      </c>
      <c r="DW114" s="6">
        <f t="shared" si="42"/>
        <v>47625586.786398336</v>
      </c>
      <c r="DX114" s="16">
        <f t="shared" si="43"/>
        <v>0.27728795942281564</v>
      </c>
      <c r="DY114" s="28">
        <f>IF(DX114="","",DX114*$DO$1/'CPI USA'!$U$532+(1-DX114)*AVERAGE($DO$1,$DQ$1)/AVERAGE('CPI USA'!$U$532,'PPI USA'!$T$538))</f>
        <v>1.0408981191048781</v>
      </c>
      <c r="DZ114" s="30"/>
      <c r="EA114" s="29" t="str">
        <f t="shared" si="44"/>
        <v>C001308</v>
      </c>
      <c r="EB114" s="29">
        <f t="shared" si="45"/>
        <v>7103857740.4835958</v>
      </c>
      <c r="EC114" s="29">
        <f t="shared" si="46"/>
        <v>265872835.79814404</v>
      </c>
      <c r="ED114" s="29">
        <f t="shared" si="47"/>
        <v>206529591.17800221</v>
      </c>
      <c r="EE114" s="29">
        <f t="shared" si="48"/>
        <v>507440728.57591414</v>
      </c>
      <c r="EF114" s="29">
        <f t="shared" si="49"/>
        <v>178779431.35510412</v>
      </c>
      <c r="EG114" s="29">
        <f t="shared" si="50"/>
        <v>4314</v>
      </c>
      <c r="EH114" s="29">
        <f t="shared" si="51"/>
        <v>635010</v>
      </c>
      <c r="EI114" s="29">
        <f t="shared" si="52"/>
        <v>141533.56408216504</v>
      </c>
      <c r="EJ114" s="29">
        <f t="shared" si="53"/>
        <v>4594707</v>
      </c>
      <c r="EK114" s="29">
        <f t="shared" si="54"/>
        <v>4736203.8940314036</v>
      </c>
      <c r="EL114" s="29">
        <f>IF(CD114=1,VLOOKUP(EA114,'EIA 2023'!$A$2:$J$213,4,0)*EH114,"")</f>
        <v>60275149.200000003</v>
      </c>
      <c r="EM114" s="29">
        <f>IF(CD114=1,VLOOKUP(EA114,'EIA 2023'!$A$2:$J$213,7,0)*EH114,"")</f>
        <v>737881.62</v>
      </c>
      <c r="EN114" s="29">
        <f>IF(CD114=1,VLOOKUP(EA114,'EIA 2023'!$A$2:$J$213,10,0),"")</f>
        <v>1381204</v>
      </c>
      <c r="EO114" s="28">
        <f>IF(CD114=1,VLOOKUP(EA114,'EIA 2023'!$A$2:$Z$213,26,0),"")</f>
        <v>0</v>
      </c>
      <c r="EP114" s="23">
        <f t="shared" si="55"/>
        <v>2.9875591760253176E-2</v>
      </c>
      <c r="EQ114" s="32">
        <f t="shared" si="56"/>
        <v>36.670050761421408</v>
      </c>
      <c r="ER114" s="32">
        <f t="shared" si="57"/>
        <v>141496.89403140362</v>
      </c>
      <c r="ES114" s="32"/>
      <c r="ET114" s="32"/>
    </row>
    <row r="115" spans="1:150" ht="15.75" customHeight="1">
      <c r="A115" s="7" t="s">
        <v>550</v>
      </c>
      <c r="B115" s="7" t="s">
        <v>551</v>
      </c>
      <c r="C115" s="32" t="s">
        <v>1200</v>
      </c>
      <c r="D115" s="42">
        <v>0</v>
      </c>
      <c r="E115" s="42">
        <v>0</v>
      </c>
      <c r="F115" s="42">
        <v>0</v>
      </c>
      <c r="G115" s="42">
        <v>444348400</v>
      </c>
      <c r="H115" s="42">
        <v>444457695</v>
      </c>
      <c r="I115" s="42">
        <v>10524617</v>
      </c>
      <c r="J115" s="42">
        <v>1602828</v>
      </c>
      <c r="K115" s="42">
        <v>647427</v>
      </c>
      <c r="L115" s="42">
        <v>16894313</v>
      </c>
      <c r="M115" s="42">
        <v>1623841</v>
      </c>
      <c r="N115" s="42">
        <v>322102</v>
      </c>
      <c r="O115" s="42">
        <v>16594759</v>
      </c>
      <c r="P115" s="42">
        <v>206607</v>
      </c>
      <c r="Q115" s="42">
        <v>1004002</v>
      </c>
      <c r="R115" s="42">
        <v>178039</v>
      </c>
      <c r="S115" s="42">
        <v>1024130</v>
      </c>
      <c r="T115" s="42">
        <v>73049476</v>
      </c>
      <c r="U115" s="42">
        <v>1778336</v>
      </c>
      <c r="V115" s="42">
        <v>427968</v>
      </c>
      <c r="W115" s="42">
        <v>1798965</v>
      </c>
      <c r="X115" s="42">
        <f>IFERROR(VLOOKUP(A115,'Trans 21-23'!$A$2:$J$229,10,0),0)</f>
        <v>3433820</v>
      </c>
      <c r="Y115" s="42">
        <v>5564781</v>
      </c>
      <c r="Z115" s="42">
        <v>62975</v>
      </c>
      <c r="AA115" s="42">
        <v>33824612</v>
      </c>
      <c r="AB115" s="42">
        <v>86346867</v>
      </c>
      <c r="AC115" s="42">
        <v>271964</v>
      </c>
      <c r="AD115" s="42">
        <v>146260079</v>
      </c>
      <c r="AE115" s="42">
        <v>0</v>
      </c>
      <c r="AF115" s="42">
        <v>1080057711</v>
      </c>
      <c r="AG115" s="42">
        <v>404034</v>
      </c>
      <c r="AH115" s="42">
        <v>228551</v>
      </c>
      <c r="AI115" s="42">
        <v>3702265</v>
      </c>
      <c r="AJ115" s="42">
        <v>12428</v>
      </c>
      <c r="AK115" s="42">
        <v>0</v>
      </c>
      <c r="AL115" s="42">
        <v>2450969</v>
      </c>
      <c r="AM115" s="42">
        <v>914296</v>
      </c>
      <c r="AN115" s="42">
        <v>94310</v>
      </c>
      <c r="AO115" s="42">
        <v>1711</v>
      </c>
      <c r="AP115" s="42">
        <v>0</v>
      </c>
      <c r="AQ115" s="42">
        <v>3461286</v>
      </c>
      <c r="AR115" s="42">
        <v>0</v>
      </c>
      <c r="AS115" s="42">
        <v>3461286</v>
      </c>
      <c r="AT115" s="42">
        <v>0</v>
      </c>
      <c r="AU115" s="42">
        <v>1670</v>
      </c>
      <c r="AV115" s="42">
        <v>0</v>
      </c>
      <c r="AW115" s="42">
        <v>402933792</v>
      </c>
      <c r="AX115" s="42">
        <v>95481654</v>
      </c>
      <c r="AY115" s="42">
        <v>253661343</v>
      </c>
      <c r="AZ115" s="42">
        <v>69755448</v>
      </c>
      <c r="BA115" s="42">
        <v>24561405</v>
      </c>
      <c r="BB115" s="42">
        <v>2121685000</v>
      </c>
      <c r="BC115" s="42">
        <v>3382800483</v>
      </c>
      <c r="BD115" s="42">
        <v>73770141</v>
      </c>
      <c r="BE115" s="42">
        <v>791886745</v>
      </c>
      <c r="BF115" s="42">
        <v>65503710</v>
      </c>
      <c r="BG115" s="42">
        <v>0</v>
      </c>
      <c r="BH115" s="42">
        <v>25149447</v>
      </c>
      <c r="BI115" s="42">
        <v>1172591</v>
      </c>
      <c r="BJ115" s="42">
        <v>2067910</v>
      </c>
      <c r="BK115" s="42">
        <v>0</v>
      </c>
      <c r="BL115" s="42">
        <v>0</v>
      </c>
      <c r="BM115" s="42">
        <v>23186429</v>
      </c>
      <c r="BN115" s="42">
        <v>55502472</v>
      </c>
      <c r="BO115" s="42">
        <v>165258</v>
      </c>
      <c r="BP115" s="42">
        <v>83240</v>
      </c>
      <c r="BQ115" s="42">
        <v>135366405</v>
      </c>
      <c r="BR115" s="42">
        <v>0</v>
      </c>
      <c r="BS115" s="42">
        <f>IFERROR(VLOOKUP(A115,'Trans 21-23'!$A$2:$J$229,9,0),0)</f>
        <v>246880889</v>
      </c>
      <c r="BT115" s="67"/>
      <c r="BU115" s="32">
        <f t="shared" si="0"/>
        <v>2121685000</v>
      </c>
      <c r="BV115" s="32">
        <f t="shared" si="1"/>
        <v>1670</v>
      </c>
      <c r="BW115" s="32">
        <f t="shared" si="2"/>
        <v>404034</v>
      </c>
      <c r="BX115" s="32">
        <f t="shared" si="3"/>
        <v>127677410</v>
      </c>
      <c r="BY115" s="32">
        <f t="shared" si="4"/>
        <v>126071199</v>
      </c>
      <c r="BZ115" s="32">
        <f t="shared" si="5"/>
        <v>69755448</v>
      </c>
      <c r="CA115" s="32">
        <f t="shared" si="6"/>
        <v>146260079</v>
      </c>
      <c r="CB115" s="32">
        <f t="shared" si="7"/>
        <v>228551</v>
      </c>
      <c r="CC115" s="32">
        <f t="shared" si="8"/>
        <v>3461286</v>
      </c>
      <c r="CD115" s="41">
        <f t="shared" si="67"/>
        <v>1</v>
      </c>
      <c r="CE115" s="44">
        <f t="shared" si="10"/>
        <v>13</v>
      </c>
      <c r="CF115" s="27"/>
      <c r="CG115" s="28">
        <f t="shared" si="11"/>
        <v>1270.4700598802394</v>
      </c>
      <c r="CH115" s="28">
        <f t="shared" si="12"/>
        <v>4.1333155130508823</v>
      </c>
      <c r="CI115" s="28">
        <f t="shared" si="13"/>
        <v>316.00659845458551</v>
      </c>
      <c r="CJ115" s="28">
        <f t="shared" si="14"/>
        <v>172.64747026240366</v>
      </c>
      <c r="CK115" s="23">
        <f t="shared" si="15"/>
        <v>6.6030660280600909E-2</v>
      </c>
      <c r="CL115" s="29" t="str">
        <f t="shared" si="16"/>
        <v/>
      </c>
      <c r="CM115" s="29" t="str">
        <f t="shared" si="17"/>
        <v/>
      </c>
      <c r="CN115" s="29" t="str">
        <f t="shared" si="18"/>
        <v/>
      </c>
      <c r="CO115" s="29" t="str">
        <f t="shared" si="19"/>
        <v/>
      </c>
      <c r="CP115" s="29" t="str">
        <f t="shared" si="20"/>
        <v/>
      </c>
      <c r="CQ115" s="29">
        <f t="shared" si="21"/>
        <v>0</v>
      </c>
      <c r="CR115" s="13"/>
      <c r="CS115" s="7">
        <f>VLOOKUP(A115,'Empresas 21-23'!$A$2:$M$228,13,0)</f>
        <v>1</v>
      </c>
      <c r="CT115" s="30"/>
      <c r="CU115" s="6">
        <f t="shared" si="22"/>
        <v>2064763237.8</v>
      </c>
      <c r="CV115" s="6">
        <f t="shared" si="23"/>
        <v>69755448</v>
      </c>
      <c r="CW115" s="6">
        <f t="shared" si="24"/>
        <v>73770141</v>
      </c>
      <c r="CX115" s="23">
        <f t="shared" si="65"/>
        <v>0.62397833334826514</v>
      </c>
      <c r="CY115" s="23">
        <f t="shared" si="66"/>
        <v>2.1080328915279556E-2</v>
      </c>
      <c r="CZ115" s="6">
        <f t="shared" si="27"/>
        <v>2110794207.4320464</v>
      </c>
      <c r="DA115" s="6">
        <f t="shared" si="28"/>
        <v>71310546.836406544</v>
      </c>
      <c r="DB115" s="6">
        <f t="shared" si="29"/>
        <v>127677410</v>
      </c>
      <c r="DC115" s="6">
        <f t="shared" si="30"/>
        <v>131111230</v>
      </c>
      <c r="DD115" s="6">
        <f t="shared" si="31"/>
        <v>126071199</v>
      </c>
      <c r="DE115" s="6">
        <f t="shared" si="32"/>
        <v>146260079</v>
      </c>
      <c r="DF115" s="6">
        <f t="shared" si="33"/>
        <v>76869921.170876935</v>
      </c>
      <c r="DG115" s="30"/>
      <c r="DH115" s="32">
        <f>VLOOKUP(A115,'T_med_comp-USA'!$A$7:$Q$233,17,0)</f>
        <v>12.269320938323304</v>
      </c>
      <c r="DI115" s="6" t="str">
        <f t="shared" si="34"/>
        <v>9_2011</v>
      </c>
      <c r="DJ115" s="32">
        <f>IF(DI115="","",VLOOKUP(DI115,'CPI USA'!$T:$U,2,FALSE))</f>
        <v>224.93899999999999</v>
      </c>
      <c r="DK115" s="32">
        <f>IF(DI115="","",VLOOKUP(DI115,'PPI USA'!$S:$T,2,FALSE))</f>
        <v>169.6</v>
      </c>
      <c r="DL115" s="32">
        <f>IF(DI115="","",VLOOKUP(DI115,'CPI USA'!$T:$V,3,FALSE))</f>
        <v>0.6684022975047168</v>
      </c>
      <c r="DM115" s="32">
        <f>IF(DI115="","",VLOOKUP(DI115,'CPI USA'!$T:$X,5,FALSE))</f>
        <v>0.49636791791307899</v>
      </c>
      <c r="DN115" s="32">
        <f t="shared" si="35"/>
        <v>1.4208751760332547</v>
      </c>
      <c r="DO115" s="32">
        <f t="shared" si="36"/>
        <v>1.4334111417560953</v>
      </c>
      <c r="DP115" s="32">
        <f t="shared" si="37"/>
        <v>0.2</v>
      </c>
      <c r="DQ115" s="32">
        <f>IF(DP115="","",DP115*$DO$1/'CPI USA'!$U$532+(1-DP115)*AVERAGE($DO$1,$DQ$1)/AVERAGE('CPI USA'!$U$532,'PPI USA'!$T$538))</f>
        <v>1.0426818386380585</v>
      </c>
      <c r="DR115" s="6">
        <f t="shared" si="38"/>
        <v>3240501</v>
      </c>
      <c r="DS115" s="32">
        <f t="shared" si="39"/>
        <v>0.2</v>
      </c>
      <c r="DT115" s="28">
        <f>IF(DS115="","",DS115*$DO$1/'CPI USA'!$U$532+(1-DS115)*AVERAGE($DO$1,$DQ$1)/AVERAGE('CPI USA'!$U$532,'PPI USA'!$T$538))</f>
        <v>1.0426818386380585</v>
      </c>
      <c r="DU115" s="6">
        <f t="shared" si="40"/>
        <v>23255466.33735827</v>
      </c>
      <c r="DV115" s="6">
        <f t="shared" si="41"/>
        <v>14266.655795346007</v>
      </c>
      <c r="DW115" s="6">
        <f t="shared" si="42"/>
        <v>11902650.203571392</v>
      </c>
      <c r="DX115" s="16">
        <f t="shared" si="43"/>
        <v>0.2</v>
      </c>
      <c r="DY115" s="28">
        <f>IF(DX115="","",DX115*$DO$1/'CPI USA'!$U$532+(1-DX115)*AVERAGE($DO$1,$DQ$1)/AVERAGE('CPI USA'!$U$532,'PPI USA'!$T$538))</f>
        <v>1.0426818386380585</v>
      </c>
      <c r="DZ115" s="30"/>
      <c r="EA115" s="29" t="str">
        <f t="shared" si="44"/>
        <v>C001309</v>
      </c>
      <c r="EB115" s="29">
        <f t="shared" si="45"/>
        <v>2999175091.0549836</v>
      </c>
      <c r="EC115" s="29">
        <f t="shared" si="46"/>
        <v>102217332.36002502</v>
      </c>
      <c r="ED115" s="29">
        <f t="shared" si="47"/>
        <v>136707298.36249739</v>
      </c>
      <c r="EE115" s="29">
        <f t="shared" si="48"/>
        <v>131452149.57262456</v>
      </c>
      <c r="EF115" s="29">
        <f t="shared" si="49"/>
        <v>80150870.742412582</v>
      </c>
      <c r="EG115" s="29">
        <f t="shared" si="50"/>
        <v>1670</v>
      </c>
      <c r="EH115" s="29">
        <f t="shared" si="51"/>
        <v>404034</v>
      </c>
      <c r="EI115" s="29">
        <f t="shared" si="52"/>
        <v>228551</v>
      </c>
      <c r="EJ115" s="29">
        <f t="shared" si="53"/>
        <v>3461286</v>
      </c>
      <c r="EK115" s="29">
        <f t="shared" si="54"/>
        <v>3689837</v>
      </c>
      <c r="EL115" s="29">
        <f>IF(CD115=1,VLOOKUP(EA115,'EIA 2023'!$A$2:$J$213,4,0)*EH115,"")</f>
        <v>21102695.82</v>
      </c>
      <c r="EM115" s="29">
        <f>IF(CD115=1,VLOOKUP(EA115,'EIA 2023'!$A$2:$J$213,7,0)*EH115,"")</f>
        <v>315954.58799999999</v>
      </c>
      <c r="EN115" s="29">
        <f>IF(CD115=1,VLOOKUP(EA115,'EIA 2023'!$A$2:$J$213,10,0),"")</f>
        <v>516542</v>
      </c>
      <c r="EO115" s="28">
        <f>IF(CD115=1,VLOOKUP(EA115,'EIA 2023'!$A$2:$Z$213,26,0),"")</f>
        <v>0</v>
      </c>
      <c r="EP115" s="23">
        <f t="shared" si="55"/>
        <v>6.19406765122687E-2</v>
      </c>
      <c r="EQ115" s="32">
        <f t="shared" si="56"/>
        <v>0</v>
      </c>
      <c r="ER115" s="32">
        <f t="shared" si="57"/>
        <v>228551</v>
      </c>
      <c r="ES115" s="32"/>
      <c r="ET115" s="32"/>
    </row>
    <row r="116" spans="1:150" ht="15.75" customHeight="1">
      <c r="A116" s="7" t="s">
        <v>553</v>
      </c>
      <c r="B116" s="7" t="s">
        <v>554</v>
      </c>
      <c r="C116" s="32" t="s">
        <v>1201</v>
      </c>
      <c r="D116" s="42">
        <v>335085016</v>
      </c>
      <c r="E116" s="42">
        <v>0</v>
      </c>
      <c r="F116" s="42">
        <v>156313033</v>
      </c>
      <c r="G116" s="42">
        <v>145127509</v>
      </c>
      <c r="H116" s="42">
        <v>154685360</v>
      </c>
      <c r="I116" s="42">
        <v>6485377</v>
      </c>
      <c r="J116" s="42">
        <v>368507</v>
      </c>
      <c r="K116" s="42">
        <v>53207</v>
      </c>
      <c r="L116" s="42">
        <v>1427611</v>
      </c>
      <c r="M116" s="42">
        <v>4309380</v>
      </c>
      <c r="N116" s="42">
        <v>2927217</v>
      </c>
      <c r="O116" s="42">
        <v>6640520</v>
      </c>
      <c r="P116" s="42">
        <v>138638</v>
      </c>
      <c r="Q116" s="42">
        <v>104465</v>
      </c>
      <c r="R116" s="42">
        <v>1064741</v>
      </c>
      <c r="S116" s="42">
        <v>6443346</v>
      </c>
      <c r="T116" s="42">
        <v>52298607</v>
      </c>
      <c r="U116" s="42">
        <v>5532579</v>
      </c>
      <c r="V116" s="42">
        <v>6095796</v>
      </c>
      <c r="W116" s="42">
        <v>307703</v>
      </c>
      <c r="X116" s="42">
        <f>IFERROR(VLOOKUP(A116,'Trans 21-23'!$A$2:$J$229,10,0),0)</f>
        <v>0</v>
      </c>
      <c r="Y116" s="42">
        <v>1650993</v>
      </c>
      <c r="Z116" s="42">
        <v>1788158</v>
      </c>
      <c r="AA116" s="42">
        <v>27758489</v>
      </c>
      <c r="AB116" s="42">
        <v>5336827</v>
      </c>
      <c r="AC116" s="42">
        <v>0</v>
      </c>
      <c r="AD116" s="42">
        <v>157888685</v>
      </c>
      <c r="AE116" s="42">
        <v>0</v>
      </c>
      <c r="AF116" s="42">
        <v>1134240951</v>
      </c>
      <c r="AG116" s="42">
        <v>523395</v>
      </c>
      <c r="AH116" s="42">
        <v>357620</v>
      </c>
      <c r="AI116" s="42">
        <v>14505610</v>
      </c>
      <c r="AJ116" s="42">
        <v>20817</v>
      </c>
      <c r="AK116" s="42">
        <v>0</v>
      </c>
      <c r="AL116" s="42">
        <v>4800107</v>
      </c>
      <c r="AM116" s="42">
        <v>1688121</v>
      </c>
      <c r="AN116" s="42">
        <v>5855366</v>
      </c>
      <c r="AO116" s="42">
        <v>19196</v>
      </c>
      <c r="AP116" s="42">
        <v>106013</v>
      </c>
      <c r="AQ116" s="42">
        <v>12470195</v>
      </c>
      <c r="AR116" s="42">
        <v>1656978</v>
      </c>
      <c r="AS116" s="42">
        <v>14127173</v>
      </c>
      <c r="AT116" s="42">
        <v>1392</v>
      </c>
      <c r="AU116" s="42">
        <v>2688</v>
      </c>
      <c r="AV116" s="42">
        <v>0</v>
      </c>
      <c r="AW116" s="42">
        <v>439710627</v>
      </c>
      <c r="AX116" s="42">
        <v>184077624</v>
      </c>
      <c r="AY116" s="42">
        <v>389272790</v>
      </c>
      <c r="AZ116" s="42">
        <v>139150544</v>
      </c>
      <c r="BA116" s="42">
        <v>70367380</v>
      </c>
      <c r="BB116" s="42">
        <v>2313028112</v>
      </c>
      <c r="BC116" s="42">
        <v>7116603996</v>
      </c>
      <c r="BD116" s="42">
        <v>265948463</v>
      </c>
      <c r="BE116" s="42">
        <v>1210091518</v>
      </c>
      <c r="BF116" s="42">
        <v>61615539</v>
      </c>
      <c r="BG116" s="42">
        <v>0</v>
      </c>
      <c r="BH116" s="42">
        <v>35569315</v>
      </c>
      <c r="BI116" s="42">
        <v>10068465</v>
      </c>
      <c r="BJ116" s="42">
        <v>1084417</v>
      </c>
      <c r="BK116" s="42">
        <v>0</v>
      </c>
      <c r="BL116" s="42">
        <v>0</v>
      </c>
      <c r="BM116" s="42">
        <v>27380184</v>
      </c>
      <c r="BN116" s="42">
        <v>133628174</v>
      </c>
      <c r="BO116" s="42">
        <v>8427455</v>
      </c>
      <c r="BP116" s="42">
        <v>347006</v>
      </c>
      <c r="BQ116" s="42">
        <v>154705454</v>
      </c>
      <c r="BR116" s="42">
        <v>0</v>
      </c>
      <c r="BS116" s="42">
        <f>IFERROR(VLOOKUP(A116,'Trans 21-23'!$A$2:$J$229,9,0),0)</f>
        <v>0</v>
      </c>
      <c r="BT116" s="67"/>
      <c r="BU116" s="32">
        <f t="shared" si="0"/>
        <v>2313028112</v>
      </c>
      <c r="BV116" s="32">
        <f t="shared" si="1"/>
        <v>2688</v>
      </c>
      <c r="BW116" s="32">
        <f t="shared" si="2"/>
        <v>523395</v>
      </c>
      <c r="BX116" s="32">
        <f t="shared" si="3"/>
        <v>94197694</v>
      </c>
      <c r="BY116" s="32">
        <f t="shared" si="4"/>
        <v>36534467</v>
      </c>
      <c r="BZ116" s="32">
        <f t="shared" si="5"/>
        <v>139150544</v>
      </c>
      <c r="CA116" s="32">
        <f t="shared" si="6"/>
        <v>157888685</v>
      </c>
      <c r="CB116" s="32">
        <f t="shared" si="7"/>
        <v>357620</v>
      </c>
      <c r="CC116" s="32">
        <f t="shared" si="8"/>
        <v>12470195</v>
      </c>
      <c r="CD116" s="41">
        <f t="shared" si="67"/>
        <v>1</v>
      </c>
      <c r="CE116" s="44">
        <f t="shared" si="10"/>
        <v>11</v>
      </c>
      <c r="CF116" s="27"/>
      <c r="CG116" s="28">
        <f t="shared" si="11"/>
        <v>860.50152976190475</v>
      </c>
      <c r="CH116" s="28">
        <f t="shared" si="12"/>
        <v>5.1357005703149632</v>
      </c>
      <c r="CI116" s="28">
        <f t="shared" si="13"/>
        <v>179.97438645764672</v>
      </c>
      <c r="CJ116" s="28">
        <f t="shared" si="14"/>
        <v>265.86143161474604</v>
      </c>
      <c r="CK116" s="23">
        <f t="shared" si="15"/>
        <v>2.8677979774975451E-2</v>
      </c>
      <c r="CL116" s="29" t="str">
        <f t="shared" si="16"/>
        <v/>
      </c>
      <c r="CM116" s="29" t="str">
        <f t="shared" si="17"/>
        <v/>
      </c>
      <c r="CN116" s="29" t="str">
        <f t="shared" si="18"/>
        <v/>
      </c>
      <c r="CO116" s="29" t="str">
        <f t="shared" si="19"/>
        <v/>
      </c>
      <c r="CP116" s="29" t="str">
        <f t="shared" si="20"/>
        <v/>
      </c>
      <c r="CQ116" s="29">
        <f t="shared" si="21"/>
        <v>0</v>
      </c>
      <c r="CR116" s="13"/>
      <c r="CS116" s="7">
        <f>VLOOKUP(A116,'Empresas 21-23'!$A$2:$M$228,13,0)</f>
        <v>1</v>
      </c>
      <c r="CT116" s="30"/>
      <c r="CU116" s="6">
        <f t="shared" si="22"/>
        <v>1759499939.5999999</v>
      </c>
      <c r="CV116" s="6">
        <f t="shared" si="23"/>
        <v>139150544</v>
      </c>
      <c r="CW116" s="6">
        <f t="shared" si="24"/>
        <v>265948463</v>
      </c>
      <c r="CX116" s="23">
        <f t="shared" si="65"/>
        <v>0.25683672622632797</v>
      </c>
      <c r="CY116" s="23">
        <f t="shared" si="66"/>
        <v>2.0312004205977643E-2</v>
      </c>
      <c r="CZ116" s="6">
        <f t="shared" si="27"/>
        <v>1827805272.1818435</v>
      </c>
      <c r="DA116" s="6">
        <f t="shared" si="28"/>
        <v>144552490.29902929</v>
      </c>
      <c r="DB116" s="6">
        <f t="shared" si="29"/>
        <v>94197694</v>
      </c>
      <c r="DC116" s="6">
        <f t="shared" si="30"/>
        <v>94197694</v>
      </c>
      <c r="DD116" s="6">
        <f t="shared" si="31"/>
        <v>36534467</v>
      </c>
      <c r="DE116" s="6">
        <f t="shared" si="32"/>
        <v>157888685</v>
      </c>
      <c r="DF116" s="6">
        <f t="shared" si="33"/>
        <v>62497957.497392148</v>
      </c>
      <c r="DG116" s="30"/>
      <c r="DH116" s="32">
        <f>VLOOKUP(A116,'T_med_comp-USA'!$A$7:$Q$233,17,0)</f>
        <v>22.599804241829233</v>
      </c>
      <c r="DI116" s="6" t="str">
        <f t="shared" si="34"/>
        <v>5_2001</v>
      </c>
      <c r="DJ116" s="32">
        <f>IF(DI116="","",VLOOKUP(DI116,'CPI USA'!$T:$U,2,FALSE))</f>
        <v>177.1</v>
      </c>
      <c r="DK116" s="32">
        <f>IF(DI116="","",VLOOKUP(DI116,'PPI USA'!$S:$T,2,FALSE))</f>
        <v>118.7</v>
      </c>
      <c r="DL116" s="32">
        <f>IF(DI116="","",VLOOKUP(DI116,'CPI USA'!$T:$V,3,FALSE))</f>
        <v>0.67915417987956239</v>
      </c>
      <c r="DM116" s="32">
        <f>IF(DI116="","",VLOOKUP(DI116,'CPI USA'!$T:$X,5,FALSE))</f>
        <v>0.50859694042773451</v>
      </c>
      <c r="DN116" s="32">
        <f t="shared" si="35"/>
        <v>1.833718090784568</v>
      </c>
      <c r="DO116" s="32">
        <f t="shared" si="36"/>
        <v>1.8654646098078655</v>
      </c>
      <c r="DP116" s="32">
        <f t="shared" si="37"/>
        <v>0.40141689184721857</v>
      </c>
      <c r="DQ116" s="32">
        <f>IF(DP116="","",DP116*$DO$1/'CPI USA'!$U$532+(1-DP116)*AVERAGE($DO$1,$DQ$1)/AVERAGE('CPI USA'!$U$532,'PPI USA'!$T$538))</f>
        <v>1.0380333623814284</v>
      </c>
      <c r="DR116" s="6">
        <f t="shared" si="38"/>
        <v>11152882</v>
      </c>
      <c r="DS116" s="32">
        <f t="shared" si="39"/>
        <v>0.32452244923182894</v>
      </c>
      <c r="DT116" s="28">
        <f>IF(DS116="","",DS116*$DO$1/'CPI USA'!$U$532+(1-DS116)*AVERAGE($DO$1,$DQ$1)/AVERAGE('CPI USA'!$U$532,'PPI USA'!$T$538))</f>
        <v>1.0398079999874716</v>
      </c>
      <c r="DU116" s="6">
        <f t="shared" si="40"/>
        <v>29106955.096578181</v>
      </c>
      <c r="DV116" s="6">
        <f t="shared" si="41"/>
        <v>61552.10973035956</v>
      </c>
      <c r="DW116" s="6">
        <f t="shared" si="42"/>
        <v>10198573.39283157</v>
      </c>
      <c r="DX116" s="16">
        <f t="shared" si="43"/>
        <v>0.2</v>
      </c>
      <c r="DY116" s="28">
        <f>IF(DX116="","",DX116*$DO$1/'CPI USA'!$U$532+(1-DX116)*AVERAGE($DO$1,$DQ$1)/AVERAGE('CPI USA'!$U$532,'PPI USA'!$T$538))</f>
        <v>1.0426818386380585</v>
      </c>
      <c r="DZ116" s="30"/>
      <c r="EA116" s="29" t="str">
        <f t="shared" si="44"/>
        <v>C001315</v>
      </c>
      <c r="EB116" s="29">
        <f t="shared" si="45"/>
        <v>3351679594.0312576</v>
      </c>
      <c r="EC116" s="29">
        <f t="shared" si="46"/>
        <v>269657554.91243392</v>
      </c>
      <c r="ED116" s="29">
        <f t="shared" si="47"/>
        <v>97780349.031396911</v>
      </c>
      <c r="EE116" s="29">
        <f t="shared" si="48"/>
        <v>37988831.061878286</v>
      </c>
      <c r="EF116" s="29">
        <f t="shared" si="49"/>
        <v>65165485.234504081</v>
      </c>
      <c r="EG116" s="29">
        <f t="shared" si="50"/>
        <v>2688</v>
      </c>
      <c r="EH116" s="29">
        <f t="shared" si="51"/>
        <v>523395</v>
      </c>
      <c r="EI116" s="29">
        <f t="shared" si="52"/>
        <v>357620</v>
      </c>
      <c r="EJ116" s="29">
        <f t="shared" si="53"/>
        <v>12470195</v>
      </c>
      <c r="EK116" s="29">
        <f t="shared" si="54"/>
        <v>12802581.832487309</v>
      </c>
      <c r="EL116" s="29">
        <f>IF(CD116=1,VLOOKUP(EA116,'EIA 2023'!$A$2:$J$213,4,0)*EH116,"")</f>
        <v>45371018.970000006</v>
      </c>
      <c r="EM116" s="29">
        <f>IF(CD116=1,VLOOKUP(EA116,'EIA 2023'!$A$2:$J$213,7,0)*EH116,"")</f>
        <v>724378.67999999993</v>
      </c>
      <c r="EN116" s="29">
        <f>IF(CD116=1,VLOOKUP(EA116,'EIA 2023'!$A$2:$J$213,10,0),"")</f>
        <v>529490</v>
      </c>
      <c r="EO116" s="28">
        <f>IF(CD116=1,VLOOKUP(EA116,'EIA 2023'!$A$2:$Z$213,26,0),"")</f>
        <v>0</v>
      </c>
      <c r="EP116" s="23">
        <f t="shared" si="55"/>
        <v>2.596248450791842E-2</v>
      </c>
      <c r="EQ116" s="32">
        <f t="shared" si="56"/>
        <v>25233.167512690416</v>
      </c>
      <c r="ER116" s="32">
        <f t="shared" si="57"/>
        <v>332386.83248730958</v>
      </c>
      <c r="ES116" s="32"/>
      <c r="ET116" s="32"/>
    </row>
    <row r="117" spans="1:150" ht="15.75" customHeight="1">
      <c r="A117" s="7" t="s">
        <v>556</v>
      </c>
      <c r="B117" s="7" t="s">
        <v>557</v>
      </c>
      <c r="C117" s="32" t="s">
        <v>1202</v>
      </c>
      <c r="D117" s="42">
        <v>291708292</v>
      </c>
      <c r="E117" s="42">
        <v>0</v>
      </c>
      <c r="F117" s="42">
        <v>285424015</v>
      </c>
      <c r="G117" s="42">
        <v>621346137</v>
      </c>
      <c r="H117" s="42">
        <v>627204016</v>
      </c>
      <c r="I117" s="42">
        <v>8663</v>
      </c>
      <c r="J117" s="42">
        <v>981291</v>
      </c>
      <c r="K117" s="42">
        <v>3976566</v>
      </c>
      <c r="L117" s="42">
        <v>1264085</v>
      </c>
      <c r="M117" s="42">
        <v>1473137</v>
      </c>
      <c r="N117" s="42">
        <v>28526</v>
      </c>
      <c r="O117" s="42">
        <v>12358871</v>
      </c>
      <c r="P117" s="42">
        <v>0</v>
      </c>
      <c r="Q117" s="42">
        <v>33644</v>
      </c>
      <c r="R117" s="42">
        <v>22867</v>
      </c>
      <c r="S117" s="42">
        <v>4863713</v>
      </c>
      <c r="T117" s="42">
        <v>53391075</v>
      </c>
      <c r="U117" s="42">
        <v>5541807</v>
      </c>
      <c r="V117" s="42">
        <v>730848</v>
      </c>
      <c r="W117" s="42">
        <v>22587</v>
      </c>
      <c r="X117" s="42">
        <f>IFERROR(VLOOKUP(A117,'Trans 21-23'!$A$2:$J$229,10,0),0)</f>
        <v>0</v>
      </c>
      <c r="Y117" s="42">
        <v>2978300</v>
      </c>
      <c r="Z117" s="42">
        <v>0</v>
      </c>
      <c r="AA117" s="42">
        <v>41674704</v>
      </c>
      <c r="AB117" s="42">
        <v>50992610</v>
      </c>
      <c r="AC117" s="42">
        <v>41076</v>
      </c>
      <c r="AD117" s="42">
        <v>97530906</v>
      </c>
      <c r="AE117" s="42">
        <v>0</v>
      </c>
      <c r="AF117" s="42">
        <v>2461862812</v>
      </c>
      <c r="AG117" s="42">
        <v>1159303</v>
      </c>
      <c r="AH117" s="42">
        <v>754351</v>
      </c>
      <c r="AI117" s="42">
        <v>30707394</v>
      </c>
      <c r="AJ117" s="42">
        <v>50861</v>
      </c>
      <c r="AK117" s="42">
        <v>0</v>
      </c>
      <c r="AL117" s="42">
        <v>7790977</v>
      </c>
      <c r="AM117" s="42">
        <v>8545136</v>
      </c>
      <c r="AN117" s="42">
        <v>6475083</v>
      </c>
      <c r="AO117" s="42">
        <v>103661</v>
      </c>
      <c r="AP117" s="42">
        <v>76</v>
      </c>
      <c r="AQ117" s="42">
        <v>22918893</v>
      </c>
      <c r="AR117" s="42">
        <v>6983289</v>
      </c>
      <c r="AS117" s="42">
        <v>29902182</v>
      </c>
      <c r="AT117" s="42">
        <v>0</v>
      </c>
      <c r="AU117" s="42">
        <v>5587</v>
      </c>
      <c r="AV117" s="42">
        <v>0</v>
      </c>
      <c r="AW117" s="42">
        <v>1010069847</v>
      </c>
      <c r="AX117" s="42">
        <v>289424467</v>
      </c>
      <c r="AY117" s="42">
        <v>1578728607</v>
      </c>
      <c r="AZ117" s="42">
        <v>239691073</v>
      </c>
      <c r="BA117" s="42">
        <v>52941742</v>
      </c>
      <c r="BB117" s="42">
        <v>6087434454</v>
      </c>
      <c r="BC117" s="42">
        <v>10393871548</v>
      </c>
      <c r="BD117" s="42">
        <v>246250703</v>
      </c>
      <c r="BE117" s="42">
        <v>2015980110</v>
      </c>
      <c r="BF117" s="42">
        <v>163224340</v>
      </c>
      <c r="BG117" s="42">
        <v>0</v>
      </c>
      <c r="BH117" s="42">
        <v>25164819</v>
      </c>
      <c r="BI117" s="42">
        <v>4951846</v>
      </c>
      <c r="BJ117" s="42">
        <v>8955542</v>
      </c>
      <c r="BK117" s="42">
        <v>0</v>
      </c>
      <c r="BL117" s="42">
        <v>0</v>
      </c>
      <c r="BM117" s="42">
        <v>43662627</v>
      </c>
      <c r="BN117" s="42">
        <v>161113391</v>
      </c>
      <c r="BO117" s="42">
        <v>9283750</v>
      </c>
      <c r="BP117" s="42">
        <v>43776943</v>
      </c>
      <c r="BQ117" s="42">
        <v>304061631</v>
      </c>
      <c r="BR117" s="42">
        <v>3960</v>
      </c>
      <c r="BS117" s="42">
        <f>IFERROR(VLOOKUP(A117,'Trans 21-23'!$A$2:$J$229,9,0),0)</f>
        <v>0</v>
      </c>
      <c r="BT117" s="67"/>
      <c r="BU117" s="32">
        <f t="shared" si="0"/>
        <v>6087434454</v>
      </c>
      <c r="BV117" s="32">
        <f t="shared" si="1"/>
        <v>5587</v>
      </c>
      <c r="BW117" s="32">
        <f t="shared" si="2"/>
        <v>1159303</v>
      </c>
      <c r="BX117" s="32">
        <f t="shared" si="3"/>
        <v>84697680</v>
      </c>
      <c r="BY117" s="32">
        <f t="shared" si="4"/>
        <v>95686690</v>
      </c>
      <c r="BZ117" s="32">
        <f t="shared" si="5"/>
        <v>239691073</v>
      </c>
      <c r="CA117" s="32">
        <f t="shared" si="6"/>
        <v>97530906</v>
      </c>
      <c r="CB117" s="32">
        <f t="shared" si="7"/>
        <v>754351</v>
      </c>
      <c r="CC117" s="32">
        <f t="shared" si="8"/>
        <v>22918893</v>
      </c>
      <c r="CD117" s="41">
        <f t="shared" si="67"/>
        <v>1</v>
      </c>
      <c r="CE117" s="44">
        <f t="shared" si="10"/>
        <v>12</v>
      </c>
      <c r="CF117" s="27"/>
      <c r="CG117" s="28">
        <f t="shared" si="11"/>
        <v>1089.5712285663146</v>
      </c>
      <c r="CH117" s="28">
        <f t="shared" si="12"/>
        <v>4.8192750299102132</v>
      </c>
      <c r="CI117" s="28">
        <f t="shared" si="13"/>
        <v>73.059139845234597</v>
      </c>
      <c r="CJ117" s="28">
        <f t="shared" si="14"/>
        <v>206.75446626119316</v>
      </c>
      <c r="CK117" s="23">
        <f t="shared" si="15"/>
        <v>3.2913936986398079E-2</v>
      </c>
      <c r="CL117" s="29" t="str">
        <f t="shared" si="16"/>
        <v/>
      </c>
      <c r="CM117" s="29" t="str">
        <f t="shared" si="17"/>
        <v/>
      </c>
      <c r="CN117" s="29" t="str">
        <f t="shared" si="18"/>
        <v/>
      </c>
      <c r="CO117" s="29" t="str">
        <f t="shared" si="19"/>
        <v/>
      </c>
      <c r="CP117" s="29" t="str">
        <f t="shared" si="20"/>
        <v/>
      </c>
      <c r="CQ117" s="29">
        <f t="shared" si="21"/>
        <v>0</v>
      </c>
      <c r="CR117" s="13"/>
      <c r="CS117" s="7">
        <f>VLOOKUP(A117,'Empresas 21-23'!$A$2:$M$228,13,0)</f>
        <v>1</v>
      </c>
      <c r="CT117" s="30"/>
      <c r="CU117" s="6">
        <f t="shared" si="22"/>
        <v>4673909794.6000004</v>
      </c>
      <c r="CV117" s="6">
        <f t="shared" si="23"/>
        <v>239691073</v>
      </c>
      <c r="CW117" s="6">
        <f t="shared" si="24"/>
        <v>246250703</v>
      </c>
      <c r="CX117" s="23">
        <f t="shared" si="65"/>
        <v>0.46059168607023376</v>
      </c>
      <c r="CY117" s="23">
        <f t="shared" si="66"/>
        <v>2.3620420654374578E-2</v>
      </c>
      <c r="CZ117" s="6">
        <f t="shared" si="27"/>
        <v>4787330821.0907507</v>
      </c>
      <c r="DA117" s="6">
        <f t="shared" si="28"/>
        <v>245507618.19129544</v>
      </c>
      <c r="DB117" s="6">
        <f t="shared" si="29"/>
        <v>84697680</v>
      </c>
      <c r="DC117" s="6">
        <f t="shared" si="30"/>
        <v>84697680</v>
      </c>
      <c r="DD117" s="6">
        <f t="shared" si="31"/>
        <v>95686690</v>
      </c>
      <c r="DE117" s="6">
        <f t="shared" si="32"/>
        <v>97530906</v>
      </c>
      <c r="DF117" s="6">
        <f t="shared" si="33"/>
        <v>15166481.055763831</v>
      </c>
      <c r="DG117" s="30"/>
      <c r="DH117" s="32">
        <f>VLOOKUP(A117,'T_med_comp-USA'!$A$7:$Q$233,17,0)</f>
        <v>12.806899139137409</v>
      </c>
      <c r="DI117" s="6" t="str">
        <f t="shared" si="34"/>
        <v>3_2011</v>
      </c>
      <c r="DJ117" s="32">
        <f>IF(DI117="","",VLOOKUP(DI117,'CPI USA'!$T:$U,2,FALSE))</f>
        <v>224.93899999999999</v>
      </c>
      <c r="DK117" s="32">
        <f>IF(DI117="","",VLOOKUP(DI117,'PPI USA'!$S:$T,2,FALSE))</f>
        <v>169.6</v>
      </c>
      <c r="DL117" s="32">
        <f>IF(DI117="","",VLOOKUP(DI117,'CPI USA'!$T:$V,3,FALSE))</f>
        <v>0.6684022975047168</v>
      </c>
      <c r="DM117" s="32">
        <f>IF(DI117="","",VLOOKUP(DI117,'CPI USA'!$T:$X,5,FALSE))</f>
        <v>0.49636791791307899</v>
      </c>
      <c r="DN117" s="32">
        <f t="shared" si="35"/>
        <v>1.4208751760332547</v>
      </c>
      <c r="DO117" s="32">
        <f t="shared" si="36"/>
        <v>1.4334111417560953</v>
      </c>
      <c r="DP117" s="32">
        <f t="shared" si="37"/>
        <v>0.31423384663457288</v>
      </c>
      <c r="DQ117" s="32">
        <f>IF(DP117="","",DP117*$DO$1/'CPI USA'!$U$532+(1-DP117)*AVERAGE($DO$1,$DQ$1)/AVERAGE('CPI USA'!$U$532,'PPI USA'!$T$538))</f>
        <v>1.0400454494111453</v>
      </c>
      <c r="DR117" s="6">
        <f t="shared" si="38"/>
        <v>13907388</v>
      </c>
      <c r="DS117" s="32">
        <f t="shared" si="39"/>
        <v>0.2</v>
      </c>
      <c r="DT117" s="28">
        <f>IF(DS117="","",DS117*$DO$1/'CPI USA'!$U$532+(1-DS117)*AVERAGE($DO$1,$DQ$1)/AVERAGE('CPI USA'!$U$532,'PPI USA'!$T$538))</f>
        <v>1.0426818386380585</v>
      </c>
      <c r="DU117" s="6">
        <f t="shared" si="40"/>
        <v>46178574.997216754</v>
      </c>
      <c r="DV117" s="6">
        <f t="shared" si="41"/>
        <v>7343560.4226141078</v>
      </c>
      <c r="DW117" s="6">
        <f t="shared" si="42"/>
        <v>12979851.899496444</v>
      </c>
      <c r="DX117" s="16">
        <f t="shared" si="43"/>
        <v>0.85582488461050188</v>
      </c>
      <c r="DY117" s="28">
        <f>IF(DX117="","",DX117*$DO$1/'CPI USA'!$U$532+(1-DX117)*AVERAGE($DO$1,$DQ$1)/AVERAGE('CPI USA'!$U$532,'PPI USA'!$T$538))</f>
        <v>1.0275461348911676</v>
      </c>
      <c r="DZ117" s="30"/>
      <c r="EA117" s="29" t="str">
        <f t="shared" si="44"/>
        <v>C001316</v>
      </c>
      <c r="EB117" s="29">
        <f t="shared" si="45"/>
        <v>6802199523.1467466</v>
      </c>
      <c r="EC117" s="29">
        <f t="shared" si="46"/>
        <v>351913355.3014043</v>
      </c>
      <c r="ED117" s="29">
        <f t="shared" si="47"/>
        <v>88089436.65968138</v>
      </c>
      <c r="EE117" s="29">
        <f t="shared" si="48"/>
        <v>99770773.862389922</v>
      </c>
      <c r="EF117" s="29">
        <f t="shared" si="49"/>
        <v>15584258.98875024</v>
      </c>
      <c r="EG117" s="29">
        <f t="shared" si="50"/>
        <v>5587</v>
      </c>
      <c r="EH117" s="29">
        <f t="shared" si="51"/>
        <v>1159303</v>
      </c>
      <c r="EI117" s="29">
        <f t="shared" si="52"/>
        <v>754351</v>
      </c>
      <c r="EJ117" s="29">
        <f t="shared" si="53"/>
        <v>22918893</v>
      </c>
      <c r="EK117" s="29">
        <f t="shared" si="54"/>
        <v>23566899.49746193</v>
      </c>
      <c r="EL117" s="29">
        <f>IF(CD117=1,VLOOKUP(EA117,'EIA 2023'!$A$2:$J$213,4,0)*EH117,"")</f>
        <v>98540755</v>
      </c>
      <c r="EM117" s="29">
        <f>IF(CD117=1,VLOOKUP(EA117,'EIA 2023'!$A$2:$J$213,7,0)*EH117,"")</f>
        <v>1205675.1200000001</v>
      </c>
      <c r="EN117" s="29">
        <f>IF(CD117=1,VLOOKUP(EA117,'EIA 2023'!$A$2:$J$213,10,0),"")</f>
        <v>1192600</v>
      </c>
      <c r="EO117" s="28">
        <f>IF(CD117=1,VLOOKUP(EA117,'EIA 2023'!$A$2:$Z$213,26,0),"")</f>
        <v>0</v>
      </c>
      <c r="EP117" s="23">
        <f t="shared" si="55"/>
        <v>2.7496467981785934E-2</v>
      </c>
      <c r="EQ117" s="32">
        <f t="shared" si="56"/>
        <v>106344.50253807101</v>
      </c>
      <c r="ER117" s="32">
        <f t="shared" si="57"/>
        <v>648006.49746192899</v>
      </c>
      <c r="ES117" s="32"/>
      <c r="ET117" s="32"/>
    </row>
    <row r="118" spans="1:150" ht="15.75" customHeight="1">
      <c r="A118" s="7" t="s">
        <v>559</v>
      </c>
      <c r="B118" s="7" t="s">
        <v>560</v>
      </c>
      <c r="C118" s="32" t="s">
        <v>1203</v>
      </c>
      <c r="D118" s="42">
        <v>0</v>
      </c>
      <c r="E118" s="42">
        <v>0</v>
      </c>
      <c r="F118" s="42">
        <v>0</v>
      </c>
      <c r="G118" s="42">
        <v>226037</v>
      </c>
      <c r="H118" s="42">
        <v>226037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1817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f>IFERROR(VLOOKUP(A118,'Trans 21-23'!$A$2:$J$229,10,0),0)</f>
        <v>0</v>
      </c>
      <c r="Y118" s="42">
        <v>0</v>
      </c>
      <c r="Z118" s="42">
        <v>1630</v>
      </c>
      <c r="AA118" s="42">
        <v>95591</v>
      </c>
      <c r="AB118" s="42">
        <v>57</v>
      </c>
      <c r="AC118" s="42">
        <v>0</v>
      </c>
      <c r="AD118" s="42">
        <v>51428919</v>
      </c>
      <c r="AE118" s="42">
        <v>0</v>
      </c>
      <c r="AF118" s="42">
        <v>192090739</v>
      </c>
      <c r="AG118" s="42">
        <v>0</v>
      </c>
      <c r="AH118" s="42">
        <v>0</v>
      </c>
      <c r="AI118" s="42">
        <v>4154354</v>
      </c>
      <c r="AJ118" s="42">
        <v>1271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2">
        <v>0</v>
      </c>
      <c r="AR118" s="42">
        <v>4153083</v>
      </c>
      <c r="AS118" s="42">
        <v>4153083</v>
      </c>
      <c r="AT118" s="42">
        <v>0</v>
      </c>
      <c r="AU118" s="42">
        <v>2597</v>
      </c>
      <c r="AV118" s="42">
        <v>0</v>
      </c>
      <c r="AW118" s="42">
        <v>0</v>
      </c>
      <c r="AX118" s="42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2071201235</v>
      </c>
      <c r="BD118" s="42">
        <v>9720435</v>
      </c>
      <c r="BE118" s="42">
        <v>0</v>
      </c>
      <c r="BF118" s="42">
        <v>0</v>
      </c>
      <c r="BG118" s="42">
        <v>0</v>
      </c>
      <c r="BH118" s="42">
        <v>1795</v>
      </c>
      <c r="BI118" s="42">
        <v>2875</v>
      </c>
      <c r="BJ118" s="42">
        <v>23</v>
      </c>
      <c r="BK118" s="42">
        <v>0</v>
      </c>
      <c r="BL118" s="42">
        <v>0</v>
      </c>
      <c r="BM118" s="42">
        <v>11911767</v>
      </c>
      <c r="BN118" s="42">
        <v>75833540</v>
      </c>
      <c r="BO118" s="42">
        <v>0</v>
      </c>
      <c r="BP118" s="42">
        <v>62082</v>
      </c>
      <c r="BQ118" s="42">
        <v>88682546</v>
      </c>
      <c r="BR118" s="42">
        <v>0</v>
      </c>
      <c r="BS118" s="42">
        <f>IFERROR(VLOOKUP(A118,'Trans 21-23'!$A$2:$J$229,9,0),0)</f>
        <v>0</v>
      </c>
      <c r="BT118" s="67"/>
      <c r="BU118" s="32">
        <f t="shared" si="0"/>
        <v>0</v>
      </c>
      <c r="BV118" s="32">
        <f t="shared" si="1"/>
        <v>2597</v>
      </c>
      <c r="BW118" s="32">
        <f t="shared" si="2"/>
        <v>0</v>
      </c>
      <c r="BX118" s="32">
        <f t="shared" si="3"/>
        <v>1817</v>
      </c>
      <c r="BY118" s="32">
        <f t="shared" si="4"/>
        <v>97278</v>
      </c>
      <c r="BZ118" s="32">
        <f t="shared" si="5"/>
        <v>0</v>
      </c>
      <c r="CA118" s="32">
        <f t="shared" si="6"/>
        <v>51428919</v>
      </c>
      <c r="CB118" s="32">
        <f t="shared" si="7"/>
        <v>0</v>
      </c>
      <c r="CC118" s="32">
        <f t="shared" si="8"/>
        <v>0</v>
      </c>
      <c r="CD118" s="41">
        <f t="shared" si="67"/>
        <v>0</v>
      </c>
      <c r="CE118" s="44">
        <f t="shared" si="10"/>
        <v>46</v>
      </c>
      <c r="CF118" s="27"/>
      <c r="CG118" s="28" t="str">
        <f t="shared" si="11"/>
        <v/>
      </c>
      <c r="CH118" s="28" t="str">
        <f t="shared" si="12"/>
        <v/>
      </c>
      <c r="CI118" s="28" t="str">
        <f t="shared" si="13"/>
        <v/>
      </c>
      <c r="CJ118" s="28" t="str">
        <f t="shared" si="14"/>
        <v/>
      </c>
      <c r="CK118" s="23" t="str">
        <f t="shared" si="15"/>
        <v/>
      </c>
      <c r="CL118" s="29" t="str">
        <f t="shared" si="16"/>
        <v/>
      </c>
      <c r="CM118" s="29" t="str">
        <f t="shared" si="17"/>
        <v/>
      </c>
      <c r="CN118" s="29" t="str">
        <f t="shared" si="18"/>
        <v/>
      </c>
      <c r="CO118" s="29" t="str">
        <f t="shared" si="19"/>
        <v/>
      </c>
      <c r="CP118" s="29" t="str">
        <f t="shared" si="20"/>
        <v/>
      </c>
      <c r="CQ118" s="29" t="str">
        <f t="shared" si="21"/>
        <v/>
      </c>
      <c r="CR118" s="13"/>
      <c r="CS118" s="7" t="str">
        <f>VLOOKUP(A118,'Empresas 21-23'!$A$2:$M$228,13,0)</f>
        <v/>
      </c>
      <c r="CT118" s="30"/>
      <c r="CU118" s="6">
        <f t="shared" si="22"/>
        <v>0</v>
      </c>
      <c r="CV118" s="6">
        <f t="shared" si="23"/>
        <v>0</v>
      </c>
      <c r="CW118" s="6">
        <f t="shared" si="24"/>
        <v>9720435</v>
      </c>
      <c r="CX118" s="23">
        <f t="shared" si="65"/>
        <v>0</v>
      </c>
      <c r="CY118" s="23">
        <f t="shared" si="66"/>
        <v>0</v>
      </c>
      <c r="CZ118" s="6">
        <f t="shared" si="27"/>
        <v>0</v>
      </c>
      <c r="DA118" s="6">
        <f t="shared" si="28"/>
        <v>0</v>
      </c>
      <c r="DB118" s="6">
        <f t="shared" si="29"/>
        <v>1817</v>
      </c>
      <c r="DC118" s="6">
        <f t="shared" si="30"/>
        <v>1817</v>
      </c>
      <c r="DD118" s="6">
        <f t="shared" si="31"/>
        <v>97278</v>
      </c>
      <c r="DE118" s="6">
        <f t="shared" si="32"/>
        <v>51428919</v>
      </c>
      <c r="DF118" s="6">
        <f t="shared" si="33"/>
        <v>36289.531196653777</v>
      </c>
      <c r="DG118" s="30"/>
      <c r="DH118" s="32" t="str">
        <f>VLOOKUP(A118,'T_med_comp-USA'!$A$7:$Q$233,17,0)</f>
        <v>-</v>
      </c>
      <c r="DI118" s="6" t="str">
        <f t="shared" si="34"/>
        <v/>
      </c>
      <c r="DJ118" s="32" t="str">
        <f>IF(DI118="","",VLOOKUP(DI118,'CPI USA'!$T:$U,2,FALSE))</f>
        <v/>
      </c>
      <c r="DK118" s="32" t="str">
        <f>IF(DI118="","",VLOOKUP(DI118,'PPI USA'!$S:$T,2,FALSE))</f>
        <v/>
      </c>
      <c r="DL118" s="32" t="str">
        <f>IF(DI118="","",VLOOKUP(DI118,'CPI USA'!$T:$V,3,FALSE))</f>
        <v/>
      </c>
      <c r="DM118" s="32" t="str">
        <f>IF(DI118="","",VLOOKUP(DI118,'CPI USA'!$T:$X,5,FALSE))</f>
        <v/>
      </c>
      <c r="DN118" s="32" t="str">
        <f t="shared" si="35"/>
        <v/>
      </c>
      <c r="DO118" s="32" t="str">
        <f t="shared" si="36"/>
        <v/>
      </c>
      <c r="DP118" s="32">
        <f t="shared" si="37"/>
        <v>0.8</v>
      </c>
      <c r="DQ118" s="32">
        <f>IF(DP118="","",DP118*$DO$1/'CPI USA'!$U$532+(1-DP118)*AVERAGE($DO$1,$DQ$1)/AVERAGE('CPI USA'!$U$532,'PPI USA'!$T$538))</f>
        <v>1.0288345106984851</v>
      </c>
      <c r="DR118" s="6">
        <f t="shared" si="38"/>
        <v>2898</v>
      </c>
      <c r="DS118" s="32">
        <f t="shared" si="39"/>
        <v>0.2</v>
      </c>
      <c r="DT118" s="28">
        <f>IF(DS118="","",DS118*$DO$1/'CPI USA'!$U$532+(1-DS118)*AVERAGE($DO$1,$DQ$1)/AVERAGE('CPI USA'!$U$532,'PPI USA'!$T$538))</f>
        <v>1.0426818386380585</v>
      </c>
      <c r="DU118" s="6">
        <f t="shared" si="40"/>
        <v>11911767</v>
      </c>
      <c r="DV118" s="6">
        <f t="shared" si="41"/>
        <v>8344.645079876811</v>
      </c>
      <c r="DW118" s="6">
        <f t="shared" si="42"/>
        <v>737.68261313344806</v>
      </c>
      <c r="DX118" s="16" t="str">
        <f t="shared" si="43"/>
        <v/>
      </c>
      <c r="DY118" s="28" t="str">
        <f>IF(DX118="","",DX118*$DO$1/'CPI USA'!$U$532+(1-DX118)*AVERAGE($DO$1,$DQ$1)/AVERAGE('CPI USA'!$U$532,'PPI USA'!$T$538))</f>
        <v/>
      </c>
      <c r="DZ118" s="30"/>
      <c r="EA118" s="29" t="str">
        <f t="shared" si="44"/>
        <v>C001322</v>
      </c>
      <c r="EB118" s="29" t="str">
        <f t="shared" si="45"/>
        <v/>
      </c>
      <c r="EC118" s="29" t="str">
        <f t="shared" si="46"/>
        <v/>
      </c>
      <c r="ED118" s="29" t="str">
        <f t="shared" si="47"/>
        <v/>
      </c>
      <c r="EE118" s="29" t="str">
        <f t="shared" si="48"/>
        <v/>
      </c>
      <c r="EF118" s="29" t="str">
        <f t="shared" si="49"/>
        <v/>
      </c>
      <c r="EG118" s="29" t="str">
        <f t="shared" si="50"/>
        <v/>
      </c>
      <c r="EH118" s="29" t="str">
        <f t="shared" si="51"/>
        <v/>
      </c>
      <c r="EI118" s="29" t="str">
        <f t="shared" si="52"/>
        <v/>
      </c>
      <c r="EJ118" s="29" t="str">
        <f t="shared" si="53"/>
        <v/>
      </c>
      <c r="EK118" s="29" t="str">
        <f t="shared" si="54"/>
        <v/>
      </c>
      <c r="EL118" s="29" t="str">
        <f>IF(CD118=1,VLOOKUP(EA118,'EIA 2023'!$A$2:$J$213,4,0)*EH118,"")</f>
        <v/>
      </c>
      <c r="EM118" s="29" t="str">
        <f>IF(CD118=1,VLOOKUP(EA118,'EIA 2023'!$A$2:$J$213,7,0)*EH118,"")</f>
        <v/>
      </c>
      <c r="EN118" s="29" t="str">
        <f>IF(CD118=1,VLOOKUP(EA118,'EIA 2023'!$A$2:$J$213,10,0),"")</f>
        <v/>
      </c>
      <c r="EO118" s="28" t="str">
        <f>IF(CD118=1,VLOOKUP(EA118,'EIA 2023'!$A$2:$Z$213,26,0),"")</f>
        <v/>
      </c>
      <c r="EP118" s="23" t="str">
        <f t="shared" si="55"/>
        <v/>
      </c>
      <c r="EQ118" s="32" t="str">
        <f t="shared" si="56"/>
        <v/>
      </c>
      <c r="ER118" s="32" t="str">
        <f t="shared" si="57"/>
        <v/>
      </c>
      <c r="ES118" s="32"/>
      <c r="ET118" s="32"/>
    </row>
    <row r="119" spans="1:150" ht="15.75" customHeight="1">
      <c r="A119" s="7" t="s">
        <v>562</v>
      </c>
      <c r="B119" s="7" t="s">
        <v>563</v>
      </c>
      <c r="C119" s="32" t="s">
        <v>1204</v>
      </c>
      <c r="D119" s="42">
        <v>121700516</v>
      </c>
      <c r="E119" s="42">
        <v>0</v>
      </c>
      <c r="F119" s="42">
        <v>0</v>
      </c>
      <c r="G119" s="42">
        <v>7041272</v>
      </c>
      <c r="H119" s="42">
        <v>7041272</v>
      </c>
      <c r="I119" s="42">
        <v>0</v>
      </c>
      <c r="J119" s="42">
        <v>723880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0</v>
      </c>
      <c r="T119" s="42">
        <v>0</v>
      </c>
      <c r="U119" s="42">
        <v>0</v>
      </c>
      <c r="V119" s="42">
        <v>0</v>
      </c>
      <c r="W119" s="42">
        <v>0</v>
      </c>
      <c r="X119" s="42">
        <f>IFERROR(VLOOKUP(A119,'Trans 21-23'!$A$2:$J$229,10,0),0)</f>
        <v>0</v>
      </c>
      <c r="Y119" s="42">
        <v>0</v>
      </c>
      <c r="Z119" s="42">
        <v>0</v>
      </c>
      <c r="AA119" s="42">
        <v>0</v>
      </c>
      <c r="AB119" s="42">
        <v>0</v>
      </c>
      <c r="AC119" s="42">
        <v>0</v>
      </c>
      <c r="AD119" s="42">
        <v>20188404</v>
      </c>
      <c r="AE119" s="42">
        <v>0</v>
      </c>
      <c r="AF119" s="42">
        <v>187200008</v>
      </c>
      <c r="AG119" s="42">
        <v>6</v>
      </c>
      <c r="AH119" s="42">
        <v>155236</v>
      </c>
      <c r="AI119" s="42">
        <v>6541899</v>
      </c>
      <c r="AJ119" s="42">
        <v>0</v>
      </c>
      <c r="AK119" s="42">
        <v>0</v>
      </c>
      <c r="AL119" s="42">
        <v>0</v>
      </c>
      <c r="AM119" s="42">
        <v>0</v>
      </c>
      <c r="AN119" s="42">
        <v>3277199</v>
      </c>
      <c r="AO119" s="42">
        <v>0</v>
      </c>
      <c r="AP119" s="42">
        <v>1902932</v>
      </c>
      <c r="AQ119" s="42">
        <v>5180131</v>
      </c>
      <c r="AR119" s="42">
        <v>1206532</v>
      </c>
      <c r="AS119" s="42">
        <v>6386663</v>
      </c>
      <c r="AT119" s="42">
        <v>0</v>
      </c>
      <c r="AU119" s="42">
        <v>316</v>
      </c>
      <c r="AV119" s="42">
        <v>0</v>
      </c>
      <c r="AW119" s="42">
        <v>516382</v>
      </c>
      <c r="AX119" s="42">
        <v>0</v>
      </c>
      <c r="AY119" s="42">
        <v>0</v>
      </c>
      <c r="AZ119" s="42">
        <v>0</v>
      </c>
      <c r="BA119" s="42">
        <v>0</v>
      </c>
      <c r="BB119" s="42">
        <v>5442637</v>
      </c>
      <c r="BC119" s="42">
        <v>915847701</v>
      </c>
      <c r="BD119" s="42">
        <v>14057243</v>
      </c>
      <c r="BE119" s="42">
        <v>4669585</v>
      </c>
      <c r="BF119" s="42">
        <v>99812</v>
      </c>
      <c r="BG119" s="42">
        <v>0</v>
      </c>
      <c r="BH119" s="42">
        <v>0</v>
      </c>
      <c r="BI119" s="42">
        <v>0</v>
      </c>
      <c r="BJ119" s="42">
        <v>0</v>
      </c>
      <c r="BK119" s="42">
        <v>0</v>
      </c>
      <c r="BL119" s="42">
        <v>0</v>
      </c>
      <c r="BM119" s="42">
        <v>970831</v>
      </c>
      <c r="BN119" s="42">
        <v>13257075</v>
      </c>
      <c r="BO119" s="42">
        <v>0</v>
      </c>
      <c r="BP119" s="42">
        <v>0</v>
      </c>
      <c r="BQ119" s="42">
        <v>13257075</v>
      </c>
      <c r="BR119" s="42">
        <v>0</v>
      </c>
      <c r="BS119" s="42">
        <f>IFERROR(VLOOKUP(A119,'Trans 21-23'!$A$2:$J$229,9,0),0)</f>
        <v>0</v>
      </c>
      <c r="BT119" s="67"/>
      <c r="BU119" s="32">
        <f t="shared" si="0"/>
        <v>5442637</v>
      </c>
      <c r="BV119" s="32">
        <f t="shared" si="1"/>
        <v>316</v>
      </c>
      <c r="BW119" s="32">
        <f t="shared" si="2"/>
        <v>6</v>
      </c>
      <c r="BX119" s="32">
        <f t="shared" si="3"/>
        <v>723880</v>
      </c>
      <c r="BY119" s="32">
        <f t="shared" si="4"/>
        <v>0</v>
      </c>
      <c r="BZ119" s="32">
        <f t="shared" si="5"/>
        <v>0</v>
      </c>
      <c r="CA119" s="32">
        <f t="shared" si="6"/>
        <v>20188404</v>
      </c>
      <c r="CB119" s="32">
        <f t="shared" si="7"/>
        <v>155236</v>
      </c>
      <c r="CC119" s="32">
        <f t="shared" si="8"/>
        <v>5180131</v>
      </c>
      <c r="CD119" s="41">
        <f t="shared" si="67"/>
        <v>0</v>
      </c>
      <c r="CE119" s="44">
        <f t="shared" si="10"/>
        <v>44</v>
      </c>
      <c r="CF119" s="27"/>
      <c r="CG119" s="28" t="str">
        <f t="shared" si="11"/>
        <v/>
      </c>
      <c r="CH119" s="28" t="str">
        <f t="shared" si="12"/>
        <v/>
      </c>
      <c r="CI119" s="28" t="str">
        <f t="shared" si="13"/>
        <v/>
      </c>
      <c r="CJ119" s="28" t="str">
        <f t="shared" si="14"/>
        <v/>
      </c>
      <c r="CK119" s="23" t="str">
        <f t="shared" si="15"/>
        <v/>
      </c>
      <c r="CL119" s="29" t="str">
        <f t="shared" si="16"/>
        <v/>
      </c>
      <c r="CM119" s="29" t="str">
        <f t="shared" si="17"/>
        <v/>
      </c>
      <c r="CN119" s="29" t="str">
        <f t="shared" si="18"/>
        <v/>
      </c>
      <c r="CO119" s="29" t="str">
        <f t="shared" si="19"/>
        <v/>
      </c>
      <c r="CP119" s="29" t="str">
        <f t="shared" si="20"/>
        <v/>
      </c>
      <c r="CQ119" s="29" t="str">
        <f t="shared" si="21"/>
        <v/>
      </c>
      <c r="CR119" s="13"/>
      <c r="CS119" s="7" t="str">
        <f>VLOOKUP(A119,'Empresas 21-23'!$A$2:$M$228,13,0)</f>
        <v/>
      </c>
      <c r="CT119" s="30"/>
      <c r="CU119" s="6">
        <f t="shared" si="22"/>
        <v>5442637</v>
      </c>
      <c r="CV119" s="6">
        <f t="shared" si="23"/>
        <v>0</v>
      </c>
      <c r="CW119" s="6">
        <f t="shared" si="24"/>
        <v>14057243</v>
      </c>
      <c r="CX119" s="23">
        <f t="shared" si="65"/>
        <v>6.0353676973592466E-3</v>
      </c>
      <c r="CY119" s="23">
        <f t="shared" si="66"/>
        <v>0</v>
      </c>
      <c r="CZ119" s="6">
        <f t="shared" si="27"/>
        <v>5527477.630316129</v>
      </c>
      <c r="DA119" s="6">
        <f t="shared" si="28"/>
        <v>0</v>
      </c>
      <c r="DB119" s="6">
        <f t="shared" si="29"/>
        <v>723880</v>
      </c>
      <c r="DC119" s="6">
        <f t="shared" si="30"/>
        <v>723880</v>
      </c>
      <c r="DD119" s="6">
        <f t="shared" si="31"/>
        <v>0</v>
      </c>
      <c r="DE119" s="6">
        <f t="shared" si="32"/>
        <v>20188404</v>
      </c>
      <c r="DF119" s="6">
        <f t="shared" si="33"/>
        <v>381867.05385570705</v>
      </c>
      <c r="DG119" s="30"/>
      <c r="DH119" s="32">
        <f>VLOOKUP(A119,'T_med_comp-USA'!$A$7:$Q$233,17,0)</f>
        <v>45.134435691684835</v>
      </c>
      <c r="DI119" s="6" t="str">
        <f t="shared" si="34"/>
        <v>11_1978</v>
      </c>
      <c r="DJ119" s="32" t="e">
        <f>IF(DI119="","",VLOOKUP(DI119,'CPI USA'!$T:$U,2,FALSE))</f>
        <v>#N/A</v>
      </c>
      <c r="DK119" s="32" t="e">
        <f>IF(DI119="","",VLOOKUP(DI119,'PPI USA'!$S:$T,2,FALSE))</f>
        <v>#N/A</v>
      </c>
      <c r="DL119" s="32" t="e">
        <f>IF(DI119="","",VLOOKUP(DI119,'CPI USA'!$T:$V,3,FALSE))</f>
        <v>#N/A</v>
      </c>
      <c r="DM119" s="32" t="e">
        <f>IF(DI119="","",VLOOKUP(DI119,'CPI USA'!$T:$X,5,FALSE))</f>
        <v>#N/A</v>
      </c>
      <c r="DN119" s="32" t="e">
        <f t="shared" si="35"/>
        <v>#N/A</v>
      </c>
      <c r="DO119" s="32" t="e">
        <f t="shared" si="36"/>
        <v>#N/A</v>
      </c>
      <c r="DP119" s="32">
        <f t="shared" si="37"/>
        <v>0.2</v>
      </c>
      <c r="DQ119" s="32">
        <f>IF(DP119="","",DP119*$DO$1/'CPI USA'!$U$532+(1-DP119)*AVERAGE($DO$1,$DQ$1)/AVERAGE('CPI USA'!$U$532,'PPI USA'!$T$538))</f>
        <v>1.0426818386380585</v>
      </c>
      <c r="DR119" s="6">
        <f t="shared" si="38"/>
        <v>0</v>
      </c>
      <c r="DS119" s="32" t="str">
        <f t="shared" si="39"/>
        <v/>
      </c>
      <c r="DT119" s="28" t="str">
        <f>IF(DS119="","",DS119*$DO$1/'CPI USA'!$U$532+(1-DS119)*AVERAGE($DO$1,$DQ$1)/AVERAGE('CPI USA'!$U$532,'PPI USA'!$T$538))</f>
        <v/>
      </c>
      <c r="DU119" s="6">
        <f t="shared" si="40"/>
        <v>970831</v>
      </c>
      <c r="DV119" s="6">
        <f t="shared" si="41"/>
        <v>0</v>
      </c>
      <c r="DW119" s="6">
        <f t="shared" si="42"/>
        <v>0</v>
      </c>
      <c r="DX119" s="16" t="str">
        <f t="shared" si="43"/>
        <v/>
      </c>
      <c r="DY119" s="28" t="str">
        <f>IF(DX119="","",DX119*$DO$1/'CPI USA'!$U$532+(1-DX119)*AVERAGE($DO$1,$DQ$1)/AVERAGE('CPI USA'!$U$532,'PPI USA'!$T$538))</f>
        <v/>
      </c>
      <c r="DZ119" s="30"/>
      <c r="EA119" s="29" t="str">
        <f t="shared" si="44"/>
        <v>C001330</v>
      </c>
      <c r="EB119" s="29" t="str">
        <f t="shared" si="45"/>
        <v/>
      </c>
      <c r="EC119" s="29" t="str">
        <f t="shared" si="46"/>
        <v/>
      </c>
      <c r="ED119" s="29" t="str">
        <f t="shared" si="47"/>
        <v/>
      </c>
      <c r="EE119" s="29" t="str">
        <f t="shared" si="48"/>
        <v/>
      </c>
      <c r="EF119" s="29" t="str">
        <f t="shared" si="49"/>
        <v/>
      </c>
      <c r="EG119" s="29" t="str">
        <f t="shared" si="50"/>
        <v/>
      </c>
      <c r="EH119" s="29" t="str">
        <f t="shared" si="51"/>
        <v/>
      </c>
      <c r="EI119" s="29" t="str">
        <f t="shared" si="52"/>
        <v/>
      </c>
      <c r="EJ119" s="29" t="str">
        <f t="shared" si="53"/>
        <v/>
      </c>
      <c r="EK119" s="29" t="str">
        <f t="shared" si="54"/>
        <v/>
      </c>
      <c r="EL119" s="29" t="str">
        <f>IF(CD119=1,VLOOKUP(EA119,'EIA 2023'!$A$2:$J$213,4,0)*EH119,"")</f>
        <v/>
      </c>
      <c r="EM119" s="29" t="str">
        <f>IF(CD119=1,VLOOKUP(EA119,'EIA 2023'!$A$2:$J$213,7,0)*EH119,"")</f>
        <v/>
      </c>
      <c r="EN119" s="29" t="str">
        <f>IF(CD119=1,VLOOKUP(EA119,'EIA 2023'!$A$2:$J$213,10,0),"")</f>
        <v/>
      </c>
      <c r="EO119" s="28" t="str">
        <f>IF(CD119=1,VLOOKUP(EA119,'EIA 2023'!$A$2:$Z$213,26,0),"")</f>
        <v/>
      </c>
      <c r="EP119" s="23" t="str">
        <f t="shared" si="55"/>
        <v/>
      </c>
      <c r="EQ119" s="32" t="str">
        <f t="shared" si="56"/>
        <v/>
      </c>
      <c r="ER119" s="32" t="str">
        <f t="shared" si="57"/>
        <v/>
      </c>
      <c r="ES119" s="32"/>
      <c r="ET119" s="32"/>
    </row>
    <row r="120" spans="1:150" ht="15.75" customHeight="1">
      <c r="A120" s="7" t="s">
        <v>565</v>
      </c>
      <c r="B120" s="7" t="s">
        <v>566</v>
      </c>
      <c r="C120" s="32" t="s">
        <v>1205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f>IFERROR(VLOOKUP(A120,'Trans 21-23'!$A$2:$J$229,10,0),0)</f>
        <v>0</v>
      </c>
      <c r="Y120" s="42">
        <v>0</v>
      </c>
      <c r="Z120" s="42">
        <v>0</v>
      </c>
      <c r="AA120" s="42">
        <v>0</v>
      </c>
      <c r="AB120" s="42">
        <v>540565</v>
      </c>
      <c r="AC120" s="42">
        <v>0</v>
      </c>
      <c r="AD120" s="42">
        <v>148154310</v>
      </c>
      <c r="AE120" s="42">
        <v>0</v>
      </c>
      <c r="AF120" s="42">
        <v>406017395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2">
        <v>0</v>
      </c>
      <c r="AR120" s="42">
        <v>0</v>
      </c>
      <c r="AS120" s="42">
        <v>0</v>
      </c>
      <c r="AT120" s="42">
        <v>0</v>
      </c>
      <c r="AU120" s="42">
        <v>0</v>
      </c>
      <c r="AV120" s="42">
        <v>0</v>
      </c>
      <c r="AW120" s="42">
        <v>0</v>
      </c>
      <c r="AX120" s="42">
        <v>0</v>
      </c>
      <c r="AY120" s="42">
        <v>0</v>
      </c>
      <c r="AZ120" s="42">
        <v>0</v>
      </c>
      <c r="BA120" s="42">
        <v>0</v>
      </c>
      <c r="BB120" s="42">
        <v>0</v>
      </c>
      <c r="BC120" s="42">
        <v>1283240589</v>
      </c>
      <c r="BD120" s="42">
        <v>532987511</v>
      </c>
      <c r="BE120" s="42">
        <v>0</v>
      </c>
      <c r="BF120" s="42">
        <v>0</v>
      </c>
      <c r="BG120" s="42">
        <v>0</v>
      </c>
      <c r="BH120" s="42">
        <v>0</v>
      </c>
      <c r="BI120" s="42">
        <v>0</v>
      </c>
      <c r="BJ120" s="42">
        <v>0</v>
      </c>
      <c r="BK120" s="42">
        <v>0</v>
      </c>
      <c r="BL120" s="42">
        <v>0</v>
      </c>
      <c r="BM120" s="42">
        <v>37857282</v>
      </c>
      <c r="BN120" s="42">
        <v>172058891</v>
      </c>
      <c r="BO120" s="42">
        <v>0</v>
      </c>
      <c r="BP120" s="42">
        <v>0</v>
      </c>
      <c r="BQ120" s="42">
        <v>172058891</v>
      </c>
      <c r="BR120" s="42">
        <v>0</v>
      </c>
      <c r="BS120" s="42">
        <f>IFERROR(VLOOKUP(A120,'Trans 21-23'!$A$2:$J$229,9,0),0)</f>
        <v>0</v>
      </c>
      <c r="BT120" s="67"/>
      <c r="BU120" s="32">
        <f t="shared" si="0"/>
        <v>0</v>
      </c>
      <c r="BV120" s="32">
        <f t="shared" si="1"/>
        <v>0</v>
      </c>
      <c r="BW120" s="32">
        <f t="shared" si="2"/>
        <v>0</v>
      </c>
      <c r="BX120" s="32">
        <f t="shared" si="3"/>
        <v>0</v>
      </c>
      <c r="BY120" s="32">
        <f t="shared" si="4"/>
        <v>540565</v>
      </c>
      <c r="BZ120" s="32">
        <f t="shared" si="5"/>
        <v>0</v>
      </c>
      <c r="CA120" s="32">
        <f t="shared" si="6"/>
        <v>148154310</v>
      </c>
      <c r="CB120" s="32">
        <f t="shared" si="7"/>
        <v>0</v>
      </c>
      <c r="CC120" s="32">
        <f t="shared" si="8"/>
        <v>0</v>
      </c>
      <c r="CD120" s="41">
        <f t="shared" si="67"/>
        <v>0</v>
      </c>
      <c r="CE120" s="44">
        <f t="shared" si="10"/>
        <v>60</v>
      </c>
      <c r="CF120" s="27"/>
      <c r="CG120" s="28" t="str">
        <f t="shared" si="11"/>
        <v/>
      </c>
      <c r="CH120" s="28" t="str">
        <f t="shared" si="12"/>
        <v/>
      </c>
      <c r="CI120" s="28" t="str">
        <f t="shared" si="13"/>
        <v/>
      </c>
      <c r="CJ120" s="28" t="str">
        <f t="shared" si="14"/>
        <v/>
      </c>
      <c r="CK120" s="23" t="str">
        <f t="shared" si="15"/>
        <v/>
      </c>
      <c r="CL120" s="29" t="str">
        <f t="shared" si="16"/>
        <v/>
      </c>
      <c r="CM120" s="29" t="str">
        <f t="shared" si="17"/>
        <v/>
      </c>
      <c r="CN120" s="29" t="str">
        <f t="shared" si="18"/>
        <v/>
      </c>
      <c r="CO120" s="29" t="str">
        <f t="shared" si="19"/>
        <v/>
      </c>
      <c r="CP120" s="29" t="str">
        <f t="shared" si="20"/>
        <v/>
      </c>
      <c r="CQ120" s="29" t="str">
        <f t="shared" si="21"/>
        <v/>
      </c>
      <c r="CR120" s="13"/>
      <c r="CS120" s="7" t="str">
        <f>VLOOKUP(A120,'Empresas 21-23'!$A$2:$M$228,13,0)</f>
        <v/>
      </c>
      <c r="CT120" s="30"/>
      <c r="CU120" s="6">
        <f t="shared" si="22"/>
        <v>0</v>
      </c>
      <c r="CV120" s="6">
        <f t="shared" si="23"/>
        <v>0</v>
      </c>
      <c r="CW120" s="6">
        <f t="shared" si="24"/>
        <v>532987511</v>
      </c>
      <c r="CX120" s="23">
        <f t="shared" si="65"/>
        <v>0</v>
      </c>
      <c r="CY120" s="23">
        <f t="shared" si="66"/>
        <v>0</v>
      </c>
      <c r="CZ120" s="6">
        <f t="shared" si="27"/>
        <v>0</v>
      </c>
      <c r="DA120" s="6">
        <f t="shared" si="28"/>
        <v>0</v>
      </c>
      <c r="DB120" s="6">
        <f t="shared" si="29"/>
        <v>0</v>
      </c>
      <c r="DC120" s="6">
        <f t="shared" si="30"/>
        <v>0</v>
      </c>
      <c r="DD120" s="6">
        <f t="shared" si="31"/>
        <v>540565</v>
      </c>
      <c r="DE120" s="6">
        <f t="shared" si="32"/>
        <v>148154310</v>
      </c>
      <c r="DF120" s="6">
        <f t="shared" si="33"/>
        <v>310579.68062838464</v>
      </c>
      <c r="DG120" s="30"/>
      <c r="DH120" s="32" t="str">
        <f>VLOOKUP(A120,'T_med_comp-USA'!$A$7:$Q$233,17,0)</f>
        <v>-</v>
      </c>
      <c r="DI120" s="6" t="str">
        <f t="shared" si="34"/>
        <v/>
      </c>
      <c r="DJ120" s="32" t="str">
        <f>IF(DI120="","",VLOOKUP(DI120,'CPI USA'!$T:$U,2,FALSE))</f>
        <v/>
      </c>
      <c r="DK120" s="32" t="str">
        <f>IF(DI120="","",VLOOKUP(DI120,'PPI USA'!$S:$T,2,FALSE))</f>
        <v/>
      </c>
      <c r="DL120" s="32" t="str">
        <f>IF(DI120="","",VLOOKUP(DI120,'CPI USA'!$T:$V,3,FALSE))</f>
        <v/>
      </c>
      <c r="DM120" s="32" t="str">
        <f>IF(DI120="","",VLOOKUP(DI120,'CPI USA'!$T:$X,5,FALSE))</f>
        <v/>
      </c>
      <c r="DN120" s="32" t="str">
        <f t="shared" si="35"/>
        <v/>
      </c>
      <c r="DO120" s="32" t="str">
        <f t="shared" si="36"/>
        <v/>
      </c>
      <c r="DP120" s="32" t="str">
        <f t="shared" si="37"/>
        <v/>
      </c>
      <c r="DQ120" s="32" t="str">
        <f>IF(DP120="","",DP120*$DO$1/'CPI USA'!$U$532+(1-DP120)*AVERAGE($DO$1,$DQ$1)/AVERAGE('CPI USA'!$U$532,'PPI USA'!$T$538))</f>
        <v/>
      </c>
      <c r="DR120" s="6">
        <f t="shared" si="38"/>
        <v>0</v>
      </c>
      <c r="DS120" s="32">
        <f t="shared" si="39"/>
        <v>0.2</v>
      </c>
      <c r="DT120" s="28">
        <f>IF(DS120="","",DS120*$DO$1/'CPI USA'!$U$532+(1-DS120)*AVERAGE($DO$1,$DQ$1)/AVERAGE('CPI USA'!$U$532,'PPI USA'!$T$538))</f>
        <v>1.0426818386380585</v>
      </c>
      <c r="DU120" s="6" t="str">
        <f t="shared" si="40"/>
        <v/>
      </c>
      <c r="DV120" s="6">
        <f t="shared" si="41"/>
        <v>0</v>
      </c>
      <c r="DW120" s="6">
        <f t="shared" si="42"/>
        <v>0</v>
      </c>
      <c r="DX120" s="16" t="str">
        <f t="shared" si="43"/>
        <v/>
      </c>
      <c r="DY120" s="28" t="str">
        <f>IF(DX120="","",DX120*$DO$1/'CPI USA'!$U$532+(1-DX120)*AVERAGE($DO$1,$DQ$1)/AVERAGE('CPI USA'!$U$532,'PPI USA'!$T$538))</f>
        <v/>
      </c>
      <c r="DZ120" s="30"/>
      <c r="EA120" s="29" t="str">
        <f t="shared" si="44"/>
        <v>C001344</v>
      </c>
      <c r="EB120" s="29" t="str">
        <f t="shared" si="45"/>
        <v/>
      </c>
      <c r="EC120" s="29" t="str">
        <f t="shared" si="46"/>
        <v/>
      </c>
      <c r="ED120" s="29" t="str">
        <f t="shared" si="47"/>
        <v/>
      </c>
      <c r="EE120" s="29" t="str">
        <f t="shared" si="48"/>
        <v/>
      </c>
      <c r="EF120" s="29" t="str">
        <f t="shared" si="49"/>
        <v/>
      </c>
      <c r="EG120" s="29" t="str">
        <f t="shared" si="50"/>
        <v/>
      </c>
      <c r="EH120" s="29" t="str">
        <f t="shared" si="51"/>
        <v/>
      </c>
      <c r="EI120" s="29" t="str">
        <f t="shared" si="52"/>
        <v/>
      </c>
      <c r="EJ120" s="29" t="str">
        <f t="shared" si="53"/>
        <v/>
      </c>
      <c r="EK120" s="29" t="str">
        <f t="shared" si="54"/>
        <v/>
      </c>
      <c r="EL120" s="29" t="str">
        <f>IF(CD120=1,VLOOKUP(EA120,'EIA 2023'!$A$2:$J$213,4,0)*EH120,"")</f>
        <v/>
      </c>
      <c r="EM120" s="29" t="str">
        <f>IF(CD120=1,VLOOKUP(EA120,'EIA 2023'!$A$2:$J$213,7,0)*EH120,"")</f>
        <v/>
      </c>
      <c r="EN120" s="29" t="str">
        <f>IF(CD120=1,VLOOKUP(EA120,'EIA 2023'!$A$2:$J$213,10,0),"")</f>
        <v/>
      </c>
      <c r="EO120" s="28" t="str">
        <f>IF(CD120=1,VLOOKUP(EA120,'EIA 2023'!$A$2:$Z$213,26,0),"")</f>
        <v/>
      </c>
      <c r="EP120" s="23" t="str">
        <f t="shared" si="55"/>
        <v/>
      </c>
      <c r="EQ120" s="32" t="str">
        <f t="shared" si="56"/>
        <v/>
      </c>
      <c r="ER120" s="32" t="str">
        <f t="shared" si="57"/>
        <v/>
      </c>
      <c r="ES120" s="32"/>
      <c r="ET120" s="32"/>
    </row>
    <row r="121" spans="1:150" ht="15.75" customHeight="1">
      <c r="A121" s="7" t="s">
        <v>568</v>
      </c>
      <c r="B121" s="7" t="s">
        <v>569</v>
      </c>
      <c r="C121" s="32" t="s">
        <v>1206</v>
      </c>
      <c r="D121" s="42">
        <v>0</v>
      </c>
      <c r="E121" s="42">
        <v>0</v>
      </c>
      <c r="F121" s="42">
        <v>0</v>
      </c>
      <c r="G121" s="42">
        <v>341401163</v>
      </c>
      <c r="H121" s="42">
        <v>349065890</v>
      </c>
      <c r="I121" s="42">
        <v>10151073</v>
      </c>
      <c r="J121" s="42">
        <v>495709</v>
      </c>
      <c r="K121" s="42">
        <v>1101690</v>
      </c>
      <c r="L121" s="42">
        <v>392053</v>
      </c>
      <c r="M121" s="42">
        <v>726347</v>
      </c>
      <c r="N121" s="42">
        <v>9053</v>
      </c>
      <c r="O121" s="42">
        <v>9060734</v>
      </c>
      <c r="P121" s="42">
        <v>0</v>
      </c>
      <c r="Q121" s="42">
        <v>286840</v>
      </c>
      <c r="R121" s="42">
        <v>145965</v>
      </c>
      <c r="S121" s="42">
        <v>3406813</v>
      </c>
      <c r="T121" s="42">
        <v>20819143</v>
      </c>
      <c r="U121" s="42">
        <v>1581351</v>
      </c>
      <c r="V121" s="42">
        <v>13233</v>
      </c>
      <c r="W121" s="42">
        <v>38663</v>
      </c>
      <c r="X121" s="42">
        <f>IFERROR(VLOOKUP(A121,'Trans 21-23'!$A$2:$J$229,10,0),0)</f>
        <v>1457279</v>
      </c>
      <c r="Y121" s="42">
        <v>2266013</v>
      </c>
      <c r="Z121" s="42">
        <v>363589</v>
      </c>
      <c r="AA121" s="42">
        <v>31314249</v>
      </c>
      <c r="AB121" s="42">
        <v>42385980</v>
      </c>
      <c r="AC121" s="42">
        <v>0</v>
      </c>
      <c r="AD121" s="42">
        <v>128097559</v>
      </c>
      <c r="AE121" s="42">
        <v>0</v>
      </c>
      <c r="AF121" s="42">
        <v>613045445</v>
      </c>
      <c r="AG121" s="42">
        <v>611282</v>
      </c>
      <c r="AH121" s="42">
        <f>'FERC 2022'!AH122*AQ121/'FERC 2022'!AQ122</f>
        <v>775971.14919036895</v>
      </c>
      <c r="AI121" s="42">
        <v>25088110</v>
      </c>
      <c r="AJ121" s="42">
        <v>0</v>
      </c>
      <c r="AK121" s="42">
        <v>0</v>
      </c>
      <c r="AL121" s="42">
        <v>3788623</v>
      </c>
      <c r="AM121" s="42">
        <v>5434608</v>
      </c>
      <c r="AN121" s="42">
        <v>2820128</v>
      </c>
      <c r="AO121" s="42">
        <v>53067</v>
      </c>
      <c r="AP121" s="42">
        <v>0</v>
      </c>
      <c r="AQ121" s="42">
        <v>12096426</v>
      </c>
      <c r="AR121" s="42">
        <v>22689</v>
      </c>
      <c r="AS121" s="42">
        <v>12119115</v>
      </c>
      <c r="AT121" s="42">
        <v>0</v>
      </c>
      <c r="AU121" s="42">
        <v>2534</v>
      </c>
      <c r="AV121" s="42">
        <v>0</v>
      </c>
      <c r="AW121" s="42">
        <v>730171600</v>
      </c>
      <c r="AX121" s="42">
        <v>150722225</v>
      </c>
      <c r="AY121" s="42">
        <v>595366055</v>
      </c>
      <c r="AZ121" s="42">
        <v>153990036</v>
      </c>
      <c r="BA121" s="42">
        <v>60964811</v>
      </c>
      <c r="BB121" s="42">
        <v>3709851941</v>
      </c>
      <c r="BC121" s="42">
        <v>5732906724</v>
      </c>
      <c r="BD121" s="42">
        <v>426922336</v>
      </c>
      <c r="BE121" s="42">
        <v>1077061430</v>
      </c>
      <c r="BF121" s="42">
        <v>105144306</v>
      </c>
      <c r="BG121" s="42">
        <v>0</v>
      </c>
      <c r="BH121" s="42">
        <v>29887217</v>
      </c>
      <c r="BI121" s="42">
        <v>9791530</v>
      </c>
      <c r="BJ121" s="42">
        <v>590311</v>
      </c>
      <c r="BK121" s="42">
        <v>0</v>
      </c>
      <c r="BL121" s="42">
        <v>0</v>
      </c>
      <c r="BM121" s="42">
        <v>47304678</v>
      </c>
      <c r="BN121" s="42">
        <v>97573856</v>
      </c>
      <c r="BO121" s="42">
        <v>5149234</v>
      </c>
      <c r="BP121" s="42">
        <v>0</v>
      </c>
      <c r="BQ121" s="42">
        <v>219197011</v>
      </c>
      <c r="BR121" s="42">
        <v>0</v>
      </c>
      <c r="BS121" s="42">
        <f>IFERROR(VLOOKUP(A121,'Trans 21-23'!$A$2:$J$229,9,0),0)</f>
        <v>143512805</v>
      </c>
      <c r="BT121" s="67"/>
      <c r="BU121" s="32">
        <f t="shared" si="0"/>
        <v>3709851941</v>
      </c>
      <c r="BV121" s="32">
        <f t="shared" si="1"/>
        <v>2534</v>
      </c>
      <c r="BW121" s="32">
        <f t="shared" si="2"/>
        <v>611282</v>
      </c>
      <c r="BX121" s="32">
        <f t="shared" si="3"/>
        <v>48228667</v>
      </c>
      <c r="BY121" s="32">
        <f t="shared" si="4"/>
        <v>76329831</v>
      </c>
      <c r="BZ121" s="32">
        <f t="shared" si="5"/>
        <v>153990036</v>
      </c>
      <c r="CA121" s="32">
        <f t="shared" si="6"/>
        <v>128097559</v>
      </c>
      <c r="CB121" s="32">
        <f t="shared" si="7"/>
        <v>775971.14919036895</v>
      </c>
      <c r="CC121" s="32">
        <f t="shared" si="8"/>
        <v>12096426</v>
      </c>
      <c r="CD121" s="41">
        <f t="shared" si="67"/>
        <v>1</v>
      </c>
      <c r="CE121" s="44">
        <f t="shared" si="10"/>
        <v>16</v>
      </c>
      <c r="CF121" s="27"/>
      <c r="CG121" s="28">
        <f t="shared" si="11"/>
        <v>1464.0299688239936</v>
      </c>
      <c r="CH121" s="28">
        <f t="shared" si="12"/>
        <v>4.1453862538075716</v>
      </c>
      <c r="CI121" s="28">
        <f t="shared" si="13"/>
        <v>78.897574278319993</v>
      </c>
      <c r="CJ121" s="28">
        <f t="shared" si="14"/>
        <v>251.91325116721904</v>
      </c>
      <c r="CK121" s="23">
        <f t="shared" si="15"/>
        <v>6.4148794791979796E-2</v>
      </c>
      <c r="CL121" s="29" t="str">
        <f t="shared" si="16"/>
        <v/>
      </c>
      <c r="CM121" s="29" t="str">
        <f t="shared" si="17"/>
        <v/>
      </c>
      <c r="CN121" s="29" t="str">
        <f t="shared" si="18"/>
        <v/>
      </c>
      <c r="CO121" s="29" t="str">
        <f t="shared" si="19"/>
        <v/>
      </c>
      <c r="CP121" s="29" t="str">
        <f t="shared" si="20"/>
        <v/>
      </c>
      <c r="CQ121" s="29">
        <f t="shared" si="21"/>
        <v>0</v>
      </c>
      <c r="CR121" s="13"/>
      <c r="CS121" s="7">
        <f>VLOOKUP(A121,'Empresas 21-23'!$A$2:$M$228,13,0)</f>
        <v>1</v>
      </c>
      <c r="CT121" s="30"/>
      <c r="CU121" s="6">
        <f t="shared" si="22"/>
        <v>3190756931</v>
      </c>
      <c r="CV121" s="6">
        <f t="shared" si="23"/>
        <v>153990036</v>
      </c>
      <c r="CW121" s="6">
        <f t="shared" si="24"/>
        <v>426922336</v>
      </c>
      <c r="CX121" s="23">
        <f t="shared" si="65"/>
        <v>0.60135060672553187</v>
      </c>
      <c r="CY121" s="23">
        <f t="shared" si="66"/>
        <v>2.902195421989244E-2</v>
      </c>
      <c r="CZ121" s="6">
        <f t="shared" si="27"/>
        <v>3447486936.7782812</v>
      </c>
      <c r="DA121" s="6">
        <f t="shared" si="28"/>
        <v>166380156.49084154</v>
      </c>
      <c r="DB121" s="6">
        <f t="shared" si="29"/>
        <v>48228667</v>
      </c>
      <c r="DC121" s="6">
        <f t="shared" si="30"/>
        <v>49685946</v>
      </c>
      <c r="DD121" s="6">
        <f t="shared" si="31"/>
        <v>76329831</v>
      </c>
      <c r="DE121" s="6">
        <f t="shared" si="32"/>
        <v>128097559</v>
      </c>
      <c r="DF121" s="6">
        <f t="shared" si="33"/>
        <v>118796558.07520184</v>
      </c>
      <c r="DG121" s="30"/>
      <c r="DH121" s="32">
        <f>VLOOKUP(A121,'T_med_comp-USA'!$A$7:$Q$233,17,0)</f>
        <v>10.209660614229897</v>
      </c>
      <c r="DI121" s="6" t="str">
        <f t="shared" si="34"/>
        <v>10_2013</v>
      </c>
      <c r="DJ121" s="32">
        <f>IF(DI121="","",VLOOKUP(DI121,'CPI USA'!$T:$U,2,FALSE))</f>
        <v>233.54599999999999</v>
      </c>
      <c r="DK121" s="32">
        <f>IF(DI121="","",VLOOKUP(DI121,'PPI USA'!$S:$T,2,FALSE))</f>
        <v>167.8</v>
      </c>
      <c r="DL121" s="32">
        <f>IF(DI121="","",VLOOKUP(DI121,'CPI USA'!$T:$V,3,FALSE))</f>
        <v>0.67305131835944076</v>
      </c>
      <c r="DM121" s="32">
        <f>IF(DI121="","",VLOOKUP(DI121,'CPI USA'!$T:$X,5,FALSE))</f>
        <v>0.50163050295255052</v>
      </c>
      <c r="DN121" s="32">
        <f t="shared" si="35"/>
        <v>1.3777427925278192</v>
      </c>
      <c r="DO121" s="32">
        <f t="shared" si="36"/>
        <v>1.3947851130840843</v>
      </c>
      <c r="DP121" s="32">
        <f t="shared" si="37"/>
        <v>0.65240131094391896</v>
      </c>
      <c r="DQ121" s="32">
        <f>IF(DP121="","",DP121*$DO$1/'CPI USA'!$U$532+(1-DP121)*AVERAGE($DO$1,$DQ$1)/AVERAGE('CPI USA'!$U$532,'PPI USA'!$T$538))</f>
        <v>1.0322409231165028</v>
      </c>
      <c r="DR121" s="6">
        <f t="shared" si="38"/>
        <v>10381841</v>
      </c>
      <c r="DS121" s="32">
        <f t="shared" si="39"/>
        <v>0.2</v>
      </c>
      <c r="DT121" s="28">
        <f>IF(DS121="","",DS121*$DO$1/'CPI USA'!$U$532+(1-DS121)*AVERAGE($DO$1,$DQ$1)/AVERAGE('CPI USA'!$U$532,'PPI USA'!$T$538))</f>
        <v>1.0426818386380585</v>
      </c>
      <c r="DU121" s="6">
        <f t="shared" si="40"/>
        <v>49801072.6932327</v>
      </c>
      <c r="DV121" s="6">
        <f t="shared" si="41"/>
        <v>0</v>
      </c>
      <c r="DW121" s="6">
        <f t="shared" si="42"/>
        <v>20553069.920143403</v>
      </c>
      <c r="DX121" s="16">
        <f t="shared" si="43"/>
        <v>0.2</v>
      </c>
      <c r="DY121" s="28">
        <f>IF(DX121="","",DX121*$DO$1/'CPI USA'!$U$532+(1-DX121)*AVERAGE($DO$1,$DQ$1)/AVERAGE('CPI USA'!$U$532,'PPI USA'!$T$538))</f>
        <v>1.0426818386380585</v>
      </c>
      <c r="DZ121" s="30"/>
      <c r="EA121" s="29" t="str">
        <f t="shared" si="44"/>
        <v>C001346</v>
      </c>
      <c r="EB121" s="29">
        <f t="shared" si="45"/>
        <v>4749750279.4800863</v>
      </c>
      <c r="EC121" s="29">
        <f t="shared" si="46"/>
        <v>232064565.38602605</v>
      </c>
      <c r="ED121" s="29">
        <f t="shared" si="47"/>
        <v>51287866.764956713</v>
      </c>
      <c r="EE121" s="29">
        <f t="shared" si="48"/>
        <v>79587728.53001228</v>
      </c>
      <c r="EF121" s="29">
        <f t="shared" si="49"/>
        <v>123867013.59772435</v>
      </c>
      <c r="EG121" s="29">
        <f t="shared" si="50"/>
        <v>2534</v>
      </c>
      <c r="EH121" s="29">
        <f t="shared" si="51"/>
        <v>611282</v>
      </c>
      <c r="EI121" s="29">
        <f t="shared" si="52"/>
        <v>775971.14919036895</v>
      </c>
      <c r="EJ121" s="29">
        <f t="shared" si="53"/>
        <v>12096426</v>
      </c>
      <c r="EK121" s="29">
        <f t="shared" si="54"/>
        <v>12872051.63142387</v>
      </c>
      <c r="EL121" s="29">
        <f>IF(CD121=1,VLOOKUP(EA121,'EIA 2023'!$A$2:$J$213,4,0)*EH121,"")</f>
        <v>38510766</v>
      </c>
      <c r="EM121" s="29">
        <f>IF(CD121=1,VLOOKUP(EA121,'EIA 2023'!$A$2:$J$213,7,0)*EH121,"")</f>
        <v>482912.78</v>
      </c>
      <c r="EN121" s="29">
        <f>IF(CD121=1,VLOOKUP(EA121,'EIA 2023'!$A$2:$J$213,10,0),"")</f>
        <v>612900</v>
      </c>
      <c r="EO121" s="28">
        <f>IF(CD121=1,VLOOKUP(EA121,'EIA 2023'!$A$2:$Z$213,26,0),"")</f>
        <v>0</v>
      </c>
      <c r="EP121" s="23">
        <f t="shared" si="55"/>
        <v>6.025656621283098E-2</v>
      </c>
      <c r="EQ121" s="32">
        <f t="shared" si="56"/>
        <v>345.51776649746171</v>
      </c>
      <c r="ER121" s="32">
        <f t="shared" si="57"/>
        <v>775625.6314238715</v>
      </c>
      <c r="ES121" s="32"/>
      <c r="ET121" s="32"/>
    </row>
    <row r="122" spans="1:150" ht="15.75" customHeight="1">
      <c r="A122" s="7" t="s">
        <v>571</v>
      </c>
      <c r="B122" s="7" t="s">
        <v>572</v>
      </c>
      <c r="C122" s="32" t="s">
        <v>1207</v>
      </c>
      <c r="D122" s="42">
        <v>23244582</v>
      </c>
      <c r="E122" s="42">
        <v>0</v>
      </c>
      <c r="F122" s="42">
        <v>14920362</v>
      </c>
      <c r="G122" s="42">
        <v>27501412</v>
      </c>
      <c r="H122" s="42">
        <v>28848391</v>
      </c>
      <c r="I122" s="42">
        <v>1287033</v>
      </c>
      <c r="J122" s="42">
        <v>669177</v>
      </c>
      <c r="K122" s="42">
        <v>613394</v>
      </c>
      <c r="L122" s="42">
        <v>262270</v>
      </c>
      <c r="M122" s="42">
        <v>434225</v>
      </c>
      <c r="N122" s="42">
        <v>373200</v>
      </c>
      <c r="O122" s="42">
        <v>1517788</v>
      </c>
      <c r="P122" s="42">
        <v>7126</v>
      </c>
      <c r="Q122" s="42">
        <v>18315</v>
      </c>
      <c r="R122" s="42">
        <v>0</v>
      </c>
      <c r="S122" s="42">
        <v>168580</v>
      </c>
      <c r="T122" s="42">
        <v>7116837</v>
      </c>
      <c r="U122" s="42">
        <v>354051</v>
      </c>
      <c r="V122" s="42">
        <v>69504</v>
      </c>
      <c r="W122" s="42">
        <v>41445</v>
      </c>
      <c r="X122" s="42">
        <f>IFERROR(VLOOKUP(A122,'Trans 21-23'!$A$2:$J$229,10,0),0)</f>
        <v>51298</v>
      </c>
      <c r="Y122" s="42">
        <v>510591</v>
      </c>
      <c r="Z122" s="42">
        <v>150922</v>
      </c>
      <c r="AA122" s="42">
        <v>2101780</v>
      </c>
      <c r="AB122" s="42">
        <v>647629</v>
      </c>
      <c r="AC122" s="42">
        <v>7584</v>
      </c>
      <c r="AD122" s="42">
        <v>37007208</v>
      </c>
      <c r="AE122" s="42">
        <v>0</v>
      </c>
      <c r="AF122" s="42">
        <v>175859587</v>
      </c>
      <c r="AG122" s="42">
        <v>76481</v>
      </c>
      <c r="AH122" s="42">
        <v>16775</v>
      </c>
      <c r="AI122" s="42">
        <v>2538826</v>
      </c>
      <c r="AJ122" s="42">
        <v>0</v>
      </c>
      <c r="AK122" s="42">
        <v>0</v>
      </c>
      <c r="AL122" s="42">
        <v>565837</v>
      </c>
      <c r="AM122" s="42">
        <v>772949</v>
      </c>
      <c r="AN122" s="42">
        <v>469450</v>
      </c>
      <c r="AO122" s="42">
        <v>10015</v>
      </c>
      <c r="AP122" s="42">
        <v>21701</v>
      </c>
      <c r="AQ122" s="42">
        <v>1839952</v>
      </c>
      <c r="AR122" s="42">
        <v>715649</v>
      </c>
      <c r="AS122" s="42">
        <v>2555601</v>
      </c>
      <c r="AT122" s="42">
        <v>0</v>
      </c>
      <c r="AU122" s="42">
        <v>378</v>
      </c>
      <c r="AV122" s="42">
        <v>0</v>
      </c>
      <c r="AW122" s="42">
        <v>68410228</v>
      </c>
      <c r="AX122" s="42">
        <v>24748209</v>
      </c>
      <c r="AY122" s="42">
        <v>80570163</v>
      </c>
      <c r="AZ122" s="42">
        <v>11809625</v>
      </c>
      <c r="BA122" s="42">
        <v>2913032</v>
      </c>
      <c r="BB122" s="42">
        <v>539541946</v>
      </c>
      <c r="BC122" s="42">
        <v>1726832228</v>
      </c>
      <c r="BD122" s="42">
        <v>167807679</v>
      </c>
      <c r="BE122" s="42">
        <v>172715899</v>
      </c>
      <c r="BF122" s="42">
        <v>14194293</v>
      </c>
      <c r="BG122" s="42">
        <v>0</v>
      </c>
      <c r="BH122" s="42">
        <v>4174745</v>
      </c>
      <c r="BI122" s="42">
        <v>845045</v>
      </c>
      <c r="BJ122" s="42">
        <v>343458</v>
      </c>
      <c r="BK122" s="42">
        <v>1712</v>
      </c>
      <c r="BL122" s="42">
        <v>0</v>
      </c>
      <c r="BM122" s="42">
        <v>15921302</v>
      </c>
      <c r="BN122" s="42">
        <v>30483609</v>
      </c>
      <c r="BO122" s="42">
        <v>0</v>
      </c>
      <c r="BP122" s="42">
        <v>3291545</v>
      </c>
      <c r="BQ122" s="42">
        <v>37511475</v>
      </c>
      <c r="BR122" s="42">
        <v>0</v>
      </c>
      <c r="BS122" s="42">
        <f>IFERROR(VLOOKUP(A122,'Trans 21-23'!$A$2:$J$229,9,0),0)</f>
        <v>5051791</v>
      </c>
      <c r="BT122" s="67"/>
      <c r="BU122" s="32">
        <f t="shared" si="0"/>
        <v>539541946</v>
      </c>
      <c r="BV122" s="32">
        <f t="shared" si="1"/>
        <v>378</v>
      </c>
      <c r="BW122" s="32">
        <f t="shared" si="2"/>
        <v>76481</v>
      </c>
      <c r="BX122" s="32">
        <f t="shared" si="3"/>
        <v>12932945</v>
      </c>
      <c r="BY122" s="32">
        <f t="shared" si="4"/>
        <v>3418506</v>
      </c>
      <c r="BZ122" s="32">
        <f t="shared" si="5"/>
        <v>11809625</v>
      </c>
      <c r="CA122" s="32">
        <f t="shared" si="6"/>
        <v>37007208</v>
      </c>
      <c r="CB122" s="32">
        <f t="shared" si="7"/>
        <v>16775</v>
      </c>
      <c r="CC122" s="32">
        <f t="shared" si="8"/>
        <v>1839952</v>
      </c>
      <c r="CD122" s="41">
        <f t="shared" si="67"/>
        <v>1</v>
      </c>
      <c r="CE122" s="44">
        <f t="shared" si="10"/>
        <v>11</v>
      </c>
      <c r="CF122" s="27"/>
      <c r="CG122" s="28">
        <f t="shared" si="11"/>
        <v>1427.3596455026454</v>
      </c>
      <c r="CH122" s="28">
        <f t="shared" si="12"/>
        <v>4.9424039957636534</v>
      </c>
      <c r="CI122" s="28">
        <f t="shared" si="13"/>
        <v>169.10010329362848</v>
      </c>
      <c r="CJ122" s="28">
        <f t="shared" si="14"/>
        <v>154.41253383193211</v>
      </c>
      <c r="CK122" s="23">
        <f t="shared" si="15"/>
        <v>9.1170856631042543E-3</v>
      </c>
      <c r="CL122" s="29" t="str">
        <f t="shared" si="16"/>
        <v/>
      </c>
      <c r="CM122" s="29" t="str">
        <f t="shared" si="17"/>
        <v/>
      </c>
      <c r="CN122" s="29" t="str">
        <f t="shared" si="18"/>
        <v/>
      </c>
      <c r="CO122" s="29" t="str">
        <f t="shared" si="19"/>
        <v/>
      </c>
      <c r="CP122" s="29" t="str">
        <f t="shared" si="20"/>
        <v/>
      </c>
      <c r="CQ122" s="29">
        <f t="shared" si="21"/>
        <v>0</v>
      </c>
      <c r="CR122" s="13"/>
      <c r="CS122" s="7">
        <f>VLOOKUP(A122,'Empresas 21-23'!$A$2:$M$228,13,0)</f>
        <v>1</v>
      </c>
      <c r="CT122" s="30"/>
      <c r="CU122" s="6">
        <f t="shared" si="22"/>
        <v>466680056.80000001</v>
      </c>
      <c r="CV122" s="6">
        <f t="shared" si="23"/>
        <v>11809625</v>
      </c>
      <c r="CW122" s="6">
        <f t="shared" si="24"/>
        <v>167807679</v>
      </c>
      <c r="CX122" s="23">
        <f t="shared" si="65"/>
        <v>0.29934105726516047</v>
      </c>
      <c r="CY122" s="23">
        <f t="shared" si="66"/>
        <v>7.5750090064810134E-3</v>
      </c>
      <c r="CZ122" s="6">
        <f t="shared" si="27"/>
        <v>516911784.84907269</v>
      </c>
      <c r="DA122" s="6">
        <f t="shared" si="28"/>
        <v>13080769.679781675</v>
      </c>
      <c r="DB122" s="6">
        <f t="shared" si="29"/>
        <v>12932945</v>
      </c>
      <c r="DC122" s="6">
        <f t="shared" si="30"/>
        <v>12984243</v>
      </c>
      <c r="DD122" s="6">
        <f t="shared" si="31"/>
        <v>3418506</v>
      </c>
      <c r="DE122" s="6">
        <f t="shared" si="32"/>
        <v>37007208</v>
      </c>
      <c r="DF122" s="6">
        <f t="shared" si="33"/>
        <v>8449721.9090887681</v>
      </c>
      <c r="DG122" s="30"/>
      <c r="DH122" s="32">
        <f>VLOOKUP(A122,'T_med_comp-USA'!$A$7:$Q$233,17,0)</f>
        <v>12.214488679299103</v>
      </c>
      <c r="DI122" s="6" t="str">
        <f t="shared" si="34"/>
        <v>10_2011</v>
      </c>
      <c r="DJ122" s="32">
        <f>IF(DI122="","",VLOOKUP(DI122,'CPI USA'!$T:$U,2,FALSE))</f>
        <v>224.93899999999999</v>
      </c>
      <c r="DK122" s="32">
        <f>IF(DI122="","",VLOOKUP(DI122,'PPI USA'!$S:$T,2,FALSE))</f>
        <v>169.6</v>
      </c>
      <c r="DL122" s="32">
        <f>IF(DI122="","",VLOOKUP(DI122,'CPI USA'!$T:$V,3,FALSE))</f>
        <v>0.6684022975047168</v>
      </c>
      <c r="DM122" s="32">
        <f>IF(DI122="","",VLOOKUP(DI122,'CPI USA'!$T:$X,5,FALSE))</f>
        <v>0.49636791791307899</v>
      </c>
      <c r="DN122" s="32">
        <f t="shared" si="35"/>
        <v>1.4208751760332547</v>
      </c>
      <c r="DO122" s="32">
        <f t="shared" si="36"/>
        <v>1.4334111417560953</v>
      </c>
      <c r="DP122" s="32">
        <f t="shared" si="37"/>
        <v>0.32279925415286309</v>
      </c>
      <c r="DQ122" s="32">
        <f>IF(DP122="","",DP122*$DO$1/'CPI USA'!$U$532+(1-DP122)*AVERAGE($DO$1,$DQ$1)/AVERAGE('CPI USA'!$U$532,'PPI USA'!$T$538))</f>
        <v>1.0398477693997423</v>
      </c>
      <c r="DR122" s="6">
        <f t="shared" si="38"/>
        <v>1190215</v>
      </c>
      <c r="DS122" s="32">
        <f t="shared" si="39"/>
        <v>0.34816817639050507</v>
      </c>
      <c r="DT122" s="28">
        <f>IF(DS122="","",DS122*$DO$1/'CPI USA'!$U$532+(1-DS122)*AVERAGE($DO$1,$DQ$1)/AVERAGE('CPI USA'!$U$532,'PPI USA'!$T$538))</f>
        <v>1.0392622830902454</v>
      </c>
      <c r="DU122" s="6">
        <f t="shared" si="40"/>
        <v>15921302</v>
      </c>
      <c r="DV122" s="6">
        <f t="shared" si="41"/>
        <v>1531437.4398658909</v>
      </c>
      <c r="DW122" s="6">
        <f t="shared" si="42"/>
        <v>3071593.2941307216</v>
      </c>
      <c r="DX122" s="16">
        <f t="shared" si="43"/>
        <v>0.36351412829655683</v>
      </c>
      <c r="DY122" s="28">
        <f>IF(DX122="","",DX122*$DO$1/'CPI USA'!$U$532+(1-DX122)*AVERAGE($DO$1,$DQ$1)/AVERAGE('CPI USA'!$U$532,'PPI USA'!$T$538))</f>
        <v>1.0389081157092652</v>
      </c>
      <c r="DZ122" s="30"/>
      <c r="EA122" s="29" t="str">
        <f t="shared" si="44"/>
        <v>C001421</v>
      </c>
      <c r="EB122" s="29">
        <f t="shared" si="45"/>
        <v>734467123.29109001</v>
      </c>
      <c r="EC122" s="29">
        <f t="shared" si="46"/>
        <v>18750121.001744363</v>
      </c>
      <c r="ED122" s="29">
        <f t="shared" si="47"/>
        <v>13501636.120894218</v>
      </c>
      <c r="EE122" s="29">
        <f t="shared" si="48"/>
        <v>3552724.3503177022</v>
      </c>
      <c r="EF122" s="29">
        <f t="shared" si="49"/>
        <v>8778484.6668387074</v>
      </c>
      <c r="EG122" s="29">
        <f t="shared" si="50"/>
        <v>378</v>
      </c>
      <c r="EH122" s="29">
        <f t="shared" si="51"/>
        <v>76481</v>
      </c>
      <c r="EI122" s="29">
        <f t="shared" si="52"/>
        <v>16775</v>
      </c>
      <c r="EJ122" s="29">
        <f t="shared" si="53"/>
        <v>1839952</v>
      </c>
      <c r="EK122" s="29">
        <f t="shared" si="54"/>
        <v>1845828.7918781727</v>
      </c>
      <c r="EL122" s="29">
        <f>IF(CD122=1,VLOOKUP(EA122,'EIA 2023'!$A$2:$J$213,4,0)*EH122,"")</f>
        <v>10931658.773</v>
      </c>
      <c r="EM122" s="29">
        <f>IF(CD122=1,VLOOKUP(EA122,'EIA 2023'!$A$2:$J$213,7,0)*EH122,"")</f>
        <v>107073.4</v>
      </c>
      <c r="EN122" s="29">
        <f>IF(CD122=1,VLOOKUP(EA122,'EIA 2023'!$A$2:$J$213,10,0),"")</f>
        <v>40</v>
      </c>
      <c r="EO122" s="28">
        <f>IF(CD122=1,VLOOKUP(EA122,'EIA 2023'!$A$2:$Z$213,26,0),"")</f>
        <v>0</v>
      </c>
      <c r="EP122" s="23">
        <f t="shared" si="55"/>
        <v>3.1838228464259551E-3</v>
      </c>
      <c r="EQ122" s="32">
        <f t="shared" si="56"/>
        <v>10898.208121827454</v>
      </c>
      <c r="ER122" s="32">
        <f t="shared" si="57"/>
        <v>5876.7918781725457</v>
      </c>
      <c r="ES122" s="32"/>
      <c r="ET122" s="32"/>
    </row>
    <row r="123" spans="1:150" ht="15.75" customHeight="1">
      <c r="A123" s="7" t="s">
        <v>574</v>
      </c>
      <c r="B123" s="7" t="s">
        <v>575</v>
      </c>
      <c r="C123" s="32" t="s">
        <v>1208</v>
      </c>
      <c r="D123" s="42">
        <v>274239603</v>
      </c>
      <c r="E123" s="42">
        <v>54029945</v>
      </c>
      <c r="F123" s="42">
        <v>565205381</v>
      </c>
      <c r="G123" s="42">
        <v>906173275</v>
      </c>
      <c r="H123" s="42">
        <v>867053264</v>
      </c>
      <c r="I123" s="42">
        <v>2913756</v>
      </c>
      <c r="J123" s="42">
        <v>1400451</v>
      </c>
      <c r="K123" s="42">
        <v>2951119</v>
      </c>
      <c r="L123" s="42">
        <v>753818</v>
      </c>
      <c r="M123" s="42">
        <v>807835</v>
      </c>
      <c r="N123" s="42">
        <v>20281</v>
      </c>
      <c r="O123" s="42">
        <v>52727416</v>
      </c>
      <c r="P123" s="42">
        <v>673927</v>
      </c>
      <c r="Q123" s="42">
        <v>746739</v>
      </c>
      <c r="R123" s="42">
        <v>22505</v>
      </c>
      <c r="S123" s="42">
        <v>5885770</v>
      </c>
      <c r="T123" s="42">
        <v>20864788</v>
      </c>
      <c r="U123" s="42">
        <v>7874483</v>
      </c>
      <c r="V123" s="42">
        <v>3043860</v>
      </c>
      <c r="W123" s="42">
        <v>2745566</v>
      </c>
      <c r="X123" s="42">
        <f>IFERROR(VLOOKUP(A123,'Trans 21-23'!$A$2:$J$229,10,0),0)</f>
        <v>9136358</v>
      </c>
      <c r="Y123" s="42">
        <v>7511137</v>
      </c>
      <c r="Z123" s="42">
        <v>0</v>
      </c>
      <c r="AA123" s="42">
        <v>81511852</v>
      </c>
      <c r="AB123" s="42">
        <v>71384307</v>
      </c>
      <c r="AC123" s="42">
        <v>13591974</v>
      </c>
      <c r="AD123" s="42">
        <v>216806759</v>
      </c>
      <c r="AE123" s="42">
        <v>0</v>
      </c>
      <c r="AF123" s="42">
        <v>2807269726</v>
      </c>
      <c r="AG123" s="42">
        <v>1370986</v>
      </c>
      <c r="AH123" s="42">
        <v>1978239</v>
      </c>
      <c r="AI123" s="42">
        <v>37714588</v>
      </c>
      <c r="AJ123" s="42">
        <v>68933</v>
      </c>
      <c r="AK123" s="42">
        <v>0</v>
      </c>
      <c r="AL123" s="42">
        <v>14947956</v>
      </c>
      <c r="AM123" s="42">
        <v>14230615</v>
      </c>
      <c r="AN123" s="42">
        <v>2088056</v>
      </c>
      <c r="AO123" s="42">
        <v>101327</v>
      </c>
      <c r="AP123" s="42">
        <v>2358</v>
      </c>
      <c r="AQ123" s="42">
        <v>31370312</v>
      </c>
      <c r="AR123" s="42">
        <v>4177982</v>
      </c>
      <c r="AS123" s="42">
        <v>35548294</v>
      </c>
      <c r="AT123" s="42">
        <v>0</v>
      </c>
      <c r="AU123" s="42">
        <v>8288</v>
      </c>
      <c r="AV123" s="42">
        <v>0</v>
      </c>
      <c r="AW123" s="42">
        <v>444585777</v>
      </c>
      <c r="AX123" s="42">
        <v>852235436</v>
      </c>
      <c r="AY123" s="42">
        <v>2648204058</v>
      </c>
      <c r="AZ123" s="42">
        <v>350972361</v>
      </c>
      <c r="BA123" s="42">
        <v>89921681</v>
      </c>
      <c r="BB123" s="42">
        <v>8446646615</v>
      </c>
      <c r="BC123" s="42">
        <v>25102854381</v>
      </c>
      <c r="BD123" s="42">
        <v>1542852737</v>
      </c>
      <c r="BE123" s="42">
        <v>2219240503</v>
      </c>
      <c r="BF123" s="42">
        <v>200242531</v>
      </c>
      <c r="BG123" s="42">
        <v>0</v>
      </c>
      <c r="BH123" s="42">
        <v>63730573</v>
      </c>
      <c r="BI123" s="42">
        <v>28219245</v>
      </c>
      <c r="BJ123" s="42">
        <v>2992992</v>
      </c>
      <c r="BK123" s="42">
        <v>8045732</v>
      </c>
      <c r="BL123" s="42">
        <v>0</v>
      </c>
      <c r="BM123" s="42">
        <v>126945905</v>
      </c>
      <c r="BN123" s="42">
        <v>423101735</v>
      </c>
      <c r="BO123" s="42">
        <v>0</v>
      </c>
      <c r="BP123" s="42">
        <v>253335459</v>
      </c>
      <c r="BQ123" s="42">
        <v>905973210</v>
      </c>
      <c r="BR123" s="42">
        <v>0</v>
      </c>
      <c r="BS123" s="42">
        <f>IFERROR(VLOOKUP(A123,'Trans 21-23'!$A$2:$J$229,9,0),0)</f>
        <v>899748486</v>
      </c>
      <c r="BT123" s="67"/>
      <c r="BU123" s="32">
        <f t="shared" si="0"/>
        <v>8446646615</v>
      </c>
      <c r="BV123" s="32">
        <f t="shared" si="1"/>
        <v>8288</v>
      </c>
      <c r="BW123" s="32">
        <f t="shared" si="2"/>
        <v>1370986</v>
      </c>
      <c r="BX123" s="32">
        <f t="shared" si="3"/>
        <v>103432314</v>
      </c>
      <c r="BY123" s="32">
        <f t="shared" si="4"/>
        <v>173999270</v>
      </c>
      <c r="BZ123" s="32">
        <f t="shared" si="5"/>
        <v>350972361</v>
      </c>
      <c r="CA123" s="32">
        <f t="shared" si="6"/>
        <v>216806759</v>
      </c>
      <c r="CB123" s="32">
        <f t="shared" si="7"/>
        <v>1978239</v>
      </c>
      <c r="CC123" s="32">
        <f t="shared" si="8"/>
        <v>31370312</v>
      </c>
      <c r="CD123" s="41">
        <f t="shared" si="67"/>
        <v>1</v>
      </c>
      <c r="CE123" s="44">
        <f t="shared" si="10"/>
        <v>9</v>
      </c>
      <c r="CF123" s="27"/>
      <c r="CG123" s="28">
        <f t="shared" si="11"/>
        <v>1019.1417247828185</v>
      </c>
      <c r="CH123" s="28">
        <f t="shared" si="12"/>
        <v>6.045284196921048</v>
      </c>
      <c r="CI123" s="28">
        <f t="shared" si="13"/>
        <v>75.443741949224858</v>
      </c>
      <c r="CJ123" s="28">
        <f t="shared" si="14"/>
        <v>255.9999598828872</v>
      </c>
      <c r="CK123" s="23">
        <f t="shared" si="15"/>
        <v>6.3060864679956002E-2</v>
      </c>
      <c r="CL123" s="29" t="str">
        <f t="shared" si="16"/>
        <v/>
      </c>
      <c r="CM123" s="29" t="str">
        <f t="shared" si="17"/>
        <v/>
      </c>
      <c r="CN123" s="29" t="str">
        <f t="shared" si="18"/>
        <v/>
      </c>
      <c r="CO123" s="29" t="str">
        <f t="shared" si="19"/>
        <v/>
      </c>
      <c r="CP123" s="29" t="str">
        <f t="shared" si="20"/>
        <v/>
      </c>
      <c r="CQ123" s="29">
        <f t="shared" si="21"/>
        <v>0</v>
      </c>
      <c r="CR123" s="13"/>
      <c r="CS123" s="7">
        <f>VLOOKUP(A123,'Empresas 21-23'!$A$2:$M$228,13,0)</f>
        <v>1</v>
      </c>
      <c r="CT123" s="30"/>
      <c r="CU123" s="6">
        <f t="shared" si="22"/>
        <v>6805237362.6000004</v>
      </c>
      <c r="CV123" s="6">
        <f t="shared" si="23"/>
        <v>350972361</v>
      </c>
      <c r="CW123" s="6">
        <f t="shared" si="24"/>
        <v>1542852737</v>
      </c>
      <c r="CX123" s="23">
        <f t="shared" si="65"/>
        <v>0.28884706654225056</v>
      </c>
      <c r="CY123" s="23">
        <f t="shared" si="66"/>
        <v>1.4896958255916835E-2</v>
      </c>
      <c r="CZ123" s="6">
        <f t="shared" si="27"/>
        <v>7250885849.7891331</v>
      </c>
      <c r="DA123" s="6">
        <f t="shared" si="28"/>
        <v>373956173.81811601</v>
      </c>
      <c r="DB123" s="6">
        <f t="shared" si="29"/>
        <v>103432314</v>
      </c>
      <c r="DC123" s="6">
        <f t="shared" si="30"/>
        <v>112568672</v>
      </c>
      <c r="DD123" s="6">
        <f t="shared" si="31"/>
        <v>173999270</v>
      </c>
      <c r="DE123" s="6">
        <f t="shared" si="32"/>
        <v>216806759</v>
      </c>
      <c r="DF123" s="6">
        <f t="shared" si="33"/>
        <v>74861144.134105146</v>
      </c>
      <c r="DG123" s="30"/>
      <c r="DH123" s="32">
        <f>VLOOKUP(A123,'T_med_comp-USA'!$A$7:$Q$233,17,0)</f>
        <v>11.405524121120017</v>
      </c>
      <c r="DI123" s="6" t="str">
        <f t="shared" si="34"/>
        <v>8_2012</v>
      </c>
      <c r="DJ123" s="32">
        <f>IF(DI123="","",VLOOKUP(DI123,'CPI USA'!$T:$U,2,FALSE))</f>
        <v>229.59399999999999</v>
      </c>
      <c r="DK123" s="32">
        <f>IF(DI123="","",VLOOKUP(DI123,'PPI USA'!$S:$T,2,FALSE))</f>
        <v>175.1</v>
      </c>
      <c r="DL123" s="32">
        <f>IF(DI123="","",VLOOKUP(DI123,'CPI USA'!$T:$V,3,FALSE))</f>
        <v>0.66730871354337351</v>
      </c>
      <c r="DM123" s="32">
        <f>IF(DI123="","",VLOOKUP(DI123,'CPI USA'!$T:$X,5,FALSE))</f>
        <v>0.49513551903851311</v>
      </c>
      <c r="DN123" s="32">
        <f t="shared" si="35"/>
        <v>1.3897894616766442</v>
      </c>
      <c r="DO123" s="32">
        <f t="shared" si="36"/>
        <v>1.4008620811189902</v>
      </c>
      <c r="DP123" s="32">
        <f t="shared" si="37"/>
        <v>0.61615727750227067</v>
      </c>
      <c r="DQ123" s="32">
        <f>IF(DP123="","",DP123*$DO$1/'CPI USA'!$U$532+(1-DP123)*AVERAGE($DO$1,$DQ$1)/AVERAGE('CPI USA'!$U$532,'PPI USA'!$T$538))</f>
        <v>1.0330773948113685</v>
      </c>
      <c r="DR123" s="6">
        <f t="shared" si="38"/>
        <v>39257969</v>
      </c>
      <c r="DS123" s="32">
        <f t="shared" si="39"/>
        <v>0.22562145806703671</v>
      </c>
      <c r="DT123" s="28">
        <f>IF(DS123="","",DS123*$DO$1/'CPI USA'!$U$532+(1-DS123)*AVERAGE($DO$1,$DQ$1)/AVERAGE('CPI USA'!$U$532,'PPI USA'!$T$538))</f>
        <v>1.0420905240844847</v>
      </c>
      <c r="DU123" s="6">
        <f t="shared" si="40"/>
        <v>126945905</v>
      </c>
      <c r="DV123" s="6">
        <f t="shared" si="41"/>
        <v>49276798.747955658</v>
      </c>
      <c r="DW123" s="6">
        <f t="shared" si="42"/>
        <v>42894930.048679397</v>
      </c>
      <c r="DX123" s="16">
        <f t="shared" si="43"/>
        <v>0.57299324696184251</v>
      </c>
      <c r="DY123" s="28">
        <f>IF(DX123="","",DX123*$DO$1/'CPI USA'!$U$532+(1-DX123)*AVERAGE($DO$1,$DQ$1)/AVERAGE('CPI USA'!$U$532,'PPI USA'!$T$538))</f>
        <v>1.0340735722881802</v>
      </c>
      <c r="DZ123" s="30"/>
      <c r="EA123" s="29" t="str">
        <f t="shared" si="44"/>
        <v>C001436</v>
      </c>
      <c r="EB123" s="29">
        <f t="shared" si="45"/>
        <v>10077204741.857237</v>
      </c>
      <c r="EC123" s="29">
        <f t="shared" si="46"/>
        <v>523861023.90214086</v>
      </c>
      <c r="ED123" s="29">
        <f t="shared" si="47"/>
        <v>116292150.40713544</v>
      </c>
      <c r="EE123" s="29">
        <f t="shared" si="48"/>
        <v>181322990.46461776</v>
      </c>
      <c r="EF123" s="29">
        <f t="shared" si="49"/>
        <v>77411930.740334451</v>
      </c>
      <c r="EG123" s="29">
        <f t="shared" si="50"/>
        <v>8288</v>
      </c>
      <c r="EH123" s="29">
        <f t="shared" si="51"/>
        <v>1370986</v>
      </c>
      <c r="EI123" s="29">
        <f t="shared" si="52"/>
        <v>1978239</v>
      </c>
      <c r="EJ123" s="29">
        <f t="shared" si="53"/>
        <v>31370312</v>
      </c>
      <c r="EK123" s="29">
        <f t="shared" si="54"/>
        <v>33284926.90862944</v>
      </c>
      <c r="EL123" s="29">
        <f>IF(CD123=1,VLOOKUP(EA123,'EIA 2023'!$A$2:$J$213,4,0)*EH123,"")</f>
        <v>112516821.02</v>
      </c>
      <c r="EM123" s="29">
        <f>IF(CD123=1,VLOOKUP(EA123,'EIA 2023'!$A$2:$J$213,7,0)*EH123,"")</f>
        <v>1206467.68</v>
      </c>
      <c r="EN123" s="29">
        <f>IF(CD123=1,VLOOKUP(EA123,'EIA 2023'!$A$2:$J$213,10,0),"")</f>
        <v>1468788</v>
      </c>
      <c r="EO123" s="28">
        <f>IF(CD123=1,VLOOKUP(EA123,'EIA 2023'!$A$2:$Z$213,26,0),"")</f>
        <v>0</v>
      </c>
      <c r="EP123" s="23">
        <f t="shared" si="55"/>
        <v>5.7521980261073045E-2</v>
      </c>
      <c r="EQ123" s="32">
        <f t="shared" si="56"/>
        <v>63624.091370558366</v>
      </c>
      <c r="ER123" s="32">
        <f t="shared" si="57"/>
        <v>1914614.9086294416</v>
      </c>
      <c r="ES123" s="32"/>
      <c r="ET123" s="32"/>
    </row>
    <row r="124" spans="1:150" ht="15.75" customHeight="1">
      <c r="A124" s="7" t="s">
        <v>577</v>
      </c>
      <c r="B124" s="7" t="s">
        <v>578</v>
      </c>
      <c r="C124" s="32" t="s">
        <v>1209</v>
      </c>
      <c r="D124" s="42">
        <v>18600513</v>
      </c>
      <c r="E124" s="42">
        <v>10220698</v>
      </c>
      <c r="F124" s="42">
        <v>164259531</v>
      </c>
      <c r="G124" s="42">
        <v>423866841</v>
      </c>
      <c r="H124" s="42">
        <v>427370442</v>
      </c>
      <c r="I124" s="42">
        <v>0</v>
      </c>
      <c r="J124" s="42">
        <v>2795305</v>
      </c>
      <c r="K124" s="42">
        <v>0</v>
      </c>
      <c r="L124" s="42">
        <v>0</v>
      </c>
      <c r="M124" s="42">
        <v>0</v>
      </c>
      <c r="N124" s="42">
        <v>0</v>
      </c>
      <c r="O124" s="42">
        <v>0</v>
      </c>
      <c r="P124" s="42">
        <v>0</v>
      </c>
      <c r="Q124" s="42">
        <v>0</v>
      </c>
      <c r="R124" s="42">
        <v>0</v>
      </c>
      <c r="S124" s="42">
        <v>0</v>
      </c>
      <c r="T124" s="42">
        <v>0</v>
      </c>
      <c r="U124" s="42">
        <v>0</v>
      </c>
      <c r="V124" s="42">
        <v>0</v>
      </c>
      <c r="W124" s="42">
        <v>0</v>
      </c>
      <c r="X124" s="42">
        <f>IFERROR(VLOOKUP(A124,'Trans 21-23'!$A$2:$J$229,10,0),0)</f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41814518</v>
      </c>
      <c r="AE124" s="42">
        <v>0</v>
      </c>
      <c r="AF124" s="42">
        <v>935937888</v>
      </c>
      <c r="AG124" s="42">
        <v>0</v>
      </c>
      <c r="AH124" s="42">
        <v>105119</v>
      </c>
      <c r="AI124" s="42">
        <v>13093340</v>
      </c>
      <c r="AJ124" s="42">
        <v>0</v>
      </c>
      <c r="AK124" s="42">
        <v>0</v>
      </c>
      <c r="AL124" s="42">
        <v>0</v>
      </c>
      <c r="AM124" s="42">
        <v>0</v>
      </c>
      <c r="AN124" s="42">
        <v>0</v>
      </c>
      <c r="AO124" s="42">
        <v>0</v>
      </c>
      <c r="AP124" s="42">
        <v>0</v>
      </c>
      <c r="AQ124" s="42">
        <v>0</v>
      </c>
      <c r="AR124" s="42">
        <v>12988221</v>
      </c>
      <c r="AS124" s="42">
        <v>12988221</v>
      </c>
      <c r="AT124" s="42">
        <v>0</v>
      </c>
      <c r="AU124" s="42">
        <v>2682</v>
      </c>
      <c r="AV124" s="42">
        <v>0</v>
      </c>
      <c r="AW124" s="42">
        <v>0</v>
      </c>
      <c r="AX124" s="42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2534982457</v>
      </c>
      <c r="BD124" s="42">
        <v>17065075</v>
      </c>
      <c r="BE124" s="42">
        <v>0</v>
      </c>
      <c r="BF124" s="42">
        <v>0</v>
      </c>
      <c r="BG124" s="42">
        <v>0</v>
      </c>
      <c r="BH124" s="42">
        <v>0</v>
      </c>
      <c r="BI124" s="42">
        <v>0</v>
      </c>
      <c r="BJ124" s="42">
        <v>0</v>
      </c>
      <c r="BK124" s="42">
        <v>0</v>
      </c>
      <c r="BL124" s="42">
        <v>0</v>
      </c>
      <c r="BM124" s="42">
        <v>14066614</v>
      </c>
      <c r="BN124" s="42">
        <v>20884055</v>
      </c>
      <c r="BO124" s="42">
        <v>0</v>
      </c>
      <c r="BP124" s="42">
        <v>0</v>
      </c>
      <c r="BQ124" s="42">
        <v>0</v>
      </c>
      <c r="BR124" s="42">
        <v>0</v>
      </c>
      <c r="BS124" s="42">
        <f>IFERROR(VLOOKUP(A124,'Trans 21-23'!$A$2:$J$229,9,0),0)</f>
        <v>0</v>
      </c>
      <c r="BT124" s="67"/>
      <c r="BU124" s="32">
        <f t="shared" si="0"/>
        <v>0</v>
      </c>
      <c r="BV124" s="32">
        <f t="shared" si="1"/>
        <v>2682</v>
      </c>
      <c r="BW124" s="32">
        <f t="shared" si="2"/>
        <v>0</v>
      </c>
      <c r="BX124" s="32">
        <f t="shared" si="3"/>
        <v>2795305</v>
      </c>
      <c r="BY124" s="32">
        <f t="shared" si="4"/>
        <v>0</v>
      </c>
      <c r="BZ124" s="32">
        <f t="shared" si="5"/>
        <v>0</v>
      </c>
      <c r="CA124" s="32">
        <f t="shared" si="6"/>
        <v>41814518</v>
      </c>
      <c r="CB124" s="32">
        <f t="shared" si="7"/>
        <v>105119</v>
      </c>
      <c r="CC124" s="32">
        <f t="shared" si="8"/>
        <v>0</v>
      </c>
      <c r="CD124" s="41">
        <f t="shared" si="67"/>
        <v>0</v>
      </c>
      <c r="CE124" s="44">
        <f t="shared" si="10"/>
        <v>51</v>
      </c>
      <c r="CF124" s="27"/>
      <c r="CG124" s="28" t="str">
        <f t="shared" si="11"/>
        <v/>
      </c>
      <c r="CH124" s="28" t="str">
        <f t="shared" si="12"/>
        <v/>
      </c>
      <c r="CI124" s="28" t="str">
        <f t="shared" si="13"/>
        <v/>
      </c>
      <c r="CJ124" s="28" t="str">
        <f t="shared" si="14"/>
        <v/>
      </c>
      <c r="CK124" s="23" t="str">
        <f t="shared" si="15"/>
        <v/>
      </c>
      <c r="CL124" s="29" t="str">
        <f t="shared" si="16"/>
        <v/>
      </c>
      <c r="CM124" s="29" t="str">
        <f t="shared" si="17"/>
        <v/>
      </c>
      <c r="CN124" s="29" t="str">
        <f t="shared" si="18"/>
        <v/>
      </c>
      <c r="CO124" s="29" t="str">
        <f t="shared" si="19"/>
        <v/>
      </c>
      <c r="CP124" s="29" t="str">
        <f t="shared" si="20"/>
        <v/>
      </c>
      <c r="CQ124" s="29" t="str">
        <f t="shared" si="21"/>
        <v/>
      </c>
      <c r="CR124" s="13"/>
      <c r="CS124" s="7" t="str">
        <f>VLOOKUP(A124,'Empresas 21-23'!$A$2:$M$228,13,0)</f>
        <v/>
      </c>
      <c r="CT124" s="30"/>
      <c r="CU124" s="6">
        <f t="shared" si="22"/>
        <v>0</v>
      </c>
      <c r="CV124" s="6">
        <f t="shared" si="23"/>
        <v>0</v>
      </c>
      <c r="CW124" s="6">
        <f t="shared" si="24"/>
        <v>17065075</v>
      </c>
      <c r="CX124" s="23">
        <f t="shared" si="65"/>
        <v>0</v>
      </c>
      <c r="CY124" s="23">
        <f t="shared" si="66"/>
        <v>0</v>
      </c>
      <c r="CZ124" s="6">
        <f t="shared" si="27"/>
        <v>0</v>
      </c>
      <c r="DA124" s="6">
        <f t="shared" si="28"/>
        <v>0</v>
      </c>
      <c r="DB124" s="6">
        <f t="shared" si="29"/>
        <v>2795305</v>
      </c>
      <c r="DC124" s="6">
        <f t="shared" si="30"/>
        <v>2795305</v>
      </c>
      <c r="DD124" s="6">
        <f t="shared" si="31"/>
        <v>0</v>
      </c>
      <c r="DE124" s="6">
        <f t="shared" si="32"/>
        <v>41814518</v>
      </c>
      <c r="DF124" s="6">
        <f t="shared" si="33"/>
        <v>427096.1289357699</v>
      </c>
      <c r="DG124" s="30"/>
      <c r="DH124" s="32" t="str">
        <f>VLOOKUP(A124,'T_med_comp-USA'!$A$7:$Q$233,17,0)</f>
        <v>-</v>
      </c>
      <c r="DI124" s="6" t="str">
        <f t="shared" si="34"/>
        <v/>
      </c>
      <c r="DJ124" s="32" t="str">
        <f>IF(DI124="","",VLOOKUP(DI124,'CPI USA'!$T:$U,2,FALSE))</f>
        <v/>
      </c>
      <c r="DK124" s="32" t="str">
        <f>IF(DI124="","",VLOOKUP(DI124,'PPI USA'!$S:$T,2,FALSE))</f>
        <v/>
      </c>
      <c r="DL124" s="32" t="str">
        <f>IF(DI124="","",VLOOKUP(DI124,'CPI USA'!$T:$V,3,FALSE))</f>
        <v/>
      </c>
      <c r="DM124" s="32" t="str">
        <f>IF(DI124="","",VLOOKUP(DI124,'CPI USA'!$T:$X,5,FALSE))</f>
        <v/>
      </c>
      <c r="DN124" s="32" t="str">
        <f t="shared" si="35"/>
        <v/>
      </c>
      <c r="DO124" s="32" t="str">
        <f t="shared" si="36"/>
        <v/>
      </c>
      <c r="DP124" s="32">
        <f t="shared" si="37"/>
        <v>0.2</v>
      </c>
      <c r="DQ124" s="32">
        <f>IF(DP124="","",DP124*$DO$1/'CPI USA'!$U$532+(1-DP124)*AVERAGE($DO$1,$DQ$1)/AVERAGE('CPI USA'!$U$532,'PPI USA'!$T$538))</f>
        <v>1.0426818386380585</v>
      </c>
      <c r="DR124" s="6">
        <f t="shared" si="38"/>
        <v>0</v>
      </c>
      <c r="DS124" s="32" t="str">
        <f t="shared" si="39"/>
        <v/>
      </c>
      <c r="DT124" s="28" t="str">
        <f>IF(DS124="","",DS124*$DO$1/'CPI USA'!$U$532+(1-DS124)*AVERAGE($DO$1,$DQ$1)/AVERAGE('CPI USA'!$U$532,'PPI USA'!$T$538))</f>
        <v/>
      </c>
      <c r="DU124" s="6">
        <f t="shared" si="40"/>
        <v>14066614</v>
      </c>
      <c r="DV124" s="6" t="str">
        <f t="shared" si="41"/>
        <v/>
      </c>
      <c r="DW124" s="6">
        <f t="shared" si="42"/>
        <v>0</v>
      </c>
      <c r="DX124" s="16" t="str">
        <f t="shared" si="43"/>
        <v/>
      </c>
      <c r="DY124" s="28" t="str">
        <f>IF(DX124="","",DX124*$DO$1/'CPI USA'!$U$532+(1-DX124)*AVERAGE($DO$1,$DQ$1)/AVERAGE('CPI USA'!$U$532,'PPI USA'!$T$538))</f>
        <v/>
      </c>
      <c r="DZ124" s="30"/>
      <c r="EA124" s="29" t="str">
        <f t="shared" si="44"/>
        <v>C001444</v>
      </c>
      <c r="EB124" s="29" t="str">
        <f t="shared" si="45"/>
        <v/>
      </c>
      <c r="EC124" s="29" t="str">
        <f t="shared" si="46"/>
        <v/>
      </c>
      <c r="ED124" s="29" t="str">
        <f t="shared" si="47"/>
        <v/>
      </c>
      <c r="EE124" s="29" t="str">
        <f t="shared" si="48"/>
        <v/>
      </c>
      <c r="EF124" s="29" t="str">
        <f t="shared" si="49"/>
        <v/>
      </c>
      <c r="EG124" s="29" t="str">
        <f t="shared" si="50"/>
        <v/>
      </c>
      <c r="EH124" s="29" t="str">
        <f t="shared" si="51"/>
        <v/>
      </c>
      <c r="EI124" s="29" t="str">
        <f t="shared" si="52"/>
        <v/>
      </c>
      <c r="EJ124" s="29" t="str">
        <f t="shared" si="53"/>
        <v/>
      </c>
      <c r="EK124" s="29" t="str">
        <f t="shared" si="54"/>
        <v/>
      </c>
      <c r="EL124" s="29" t="str">
        <f>IF(CD124=1,VLOOKUP(EA124,'EIA 2023'!$A$2:$J$213,4,0)*EH124,"")</f>
        <v/>
      </c>
      <c r="EM124" s="29" t="str">
        <f>IF(CD124=1,VLOOKUP(EA124,'EIA 2023'!$A$2:$J$213,7,0)*EH124,"")</f>
        <v/>
      </c>
      <c r="EN124" s="29" t="str">
        <f>IF(CD124=1,VLOOKUP(EA124,'EIA 2023'!$A$2:$J$213,10,0),"")</f>
        <v/>
      </c>
      <c r="EO124" s="28" t="str">
        <f>IF(CD124=1,VLOOKUP(EA124,'EIA 2023'!$A$2:$Z$213,26,0),"")</f>
        <v/>
      </c>
      <c r="EP124" s="23" t="str">
        <f t="shared" si="55"/>
        <v/>
      </c>
      <c r="EQ124" s="32" t="str">
        <f t="shared" si="56"/>
        <v/>
      </c>
      <c r="ER124" s="32" t="str">
        <f t="shared" si="57"/>
        <v/>
      </c>
      <c r="ES124" s="32"/>
      <c r="ET124" s="32"/>
    </row>
    <row r="125" spans="1:150" ht="15.75" customHeight="1">
      <c r="A125" s="7" t="s">
        <v>580</v>
      </c>
      <c r="B125" s="7" t="s">
        <v>581</v>
      </c>
      <c r="C125" s="32" t="s">
        <v>1210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>
        <v>0</v>
      </c>
      <c r="M125" s="42">
        <v>0</v>
      </c>
      <c r="N125" s="42">
        <v>0</v>
      </c>
      <c r="O125" s="42">
        <v>0</v>
      </c>
      <c r="P125" s="42">
        <v>0</v>
      </c>
      <c r="Q125" s="42">
        <v>0</v>
      </c>
      <c r="R125" s="42">
        <v>0</v>
      </c>
      <c r="S125" s="42">
        <v>0</v>
      </c>
      <c r="T125" s="42">
        <v>0</v>
      </c>
      <c r="U125" s="42">
        <v>0</v>
      </c>
      <c r="V125" s="42">
        <v>0</v>
      </c>
      <c r="W125" s="42">
        <v>0</v>
      </c>
      <c r="X125" s="42">
        <f>IFERROR(VLOOKUP(A125,'Trans 21-23'!$A$2:$J$229,10,0),0)</f>
        <v>0</v>
      </c>
      <c r="Y125" s="42">
        <v>0</v>
      </c>
      <c r="Z125" s="42">
        <v>0</v>
      </c>
      <c r="AA125" s="42">
        <v>0</v>
      </c>
      <c r="AB125" s="42">
        <v>0</v>
      </c>
      <c r="AC125" s="42">
        <v>0</v>
      </c>
      <c r="AD125" s="42">
        <v>136148</v>
      </c>
      <c r="AE125" s="42">
        <v>0</v>
      </c>
      <c r="AF125" s="42">
        <v>136148</v>
      </c>
      <c r="AG125" s="42">
        <v>0</v>
      </c>
      <c r="AH125" s="42">
        <v>0</v>
      </c>
      <c r="AI125" s="42">
        <v>0</v>
      </c>
      <c r="AJ125" s="42">
        <v>0</v>
      </c>
      <c r="AK125" s="42">
        <v>0</v>
      </c>
      <c r="AL125" s="42">
        <v>0</v>
      </c>
      <c r="AM125" s="42">
        <v>0</v>
      </c>
      <c r="AN125" s="42">
        <v>0</v>
      </c>
      <c r="AO125" s="42">
        <v>0</v>
      </c>
      <c r="AP125" s="42">
        <v>0</v>
      </c>
      <c r="AQ125" s="42">
        <v>0</v>
      </c>
      <c r="AR125" s="42">
        <v>0</v>
      </c>
      <c r="AS125" s="42">
        <v>0</v>
      </c>
      <c r="AT125" s="42">
        <v>0</v>
      </c>
      <c r="AU125" s="42">
        <v>0</v>
      </c>
      <c r="AV125" s="42">
        <v>0</v>
      </c>
      <c r="AW125" s="42">
        <v>0</v>
      </c>
      <c r="AX125" s="42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2">
        <v>0</v>
      </c>
      <c r="BL125" s="42">
        <v>0</v>
      </c>
      <c r="BM125" s="42">
        <v>0</v>
      </c>
      <c r="BN125" s="42">
        <v>0</v>
      </c>
      <c r="BO125" s="42">
        <v>0</v>
      </c>
      <c r="BP125" s="42">
        <v>0</v>
      </c>
      <c r="BQ125" s="42">
        <v>0</v>
      </c>
      <c r="BR125" s="42">
        <v>0</v>
      </c>
      <c r="BS125" s="42">
        <f>IFERROR(VLOOKUP(A125,'Trans 21-23'!$A$2:$J$229,9,0),0)</f>
        <v>0</v>
      </c>
      <c r="BT125" s="67"/>
      <c r="BU125" s="32">
        <f t="shared" si="0"/>
        <v>0</v>
      </c>
      <c r="BV125" s="32">
        <f t="shared" si="1"/>
        <v>0</v>
      </c>
      <c r="BW125" s="32">
        <f t="shared" si="2"/>
        <v>0</v>
      </c>
      <c r="BX125" s="32">
        <f t="shared" si="3"/>
        <v>0</v>
      </c>
      <c r="BY125" s="32">
        <f t="shared" si="4"/>
        <v>0</v>
      </c>
      <c r="BZ125" s="32">
        <f t="shared" si="5"/>
        <v>0</v>
      </c>
      <c r="CA125" s="32">
        <f t="shared" si="6"/>
        <v>136148</v>
      </c>
      <c r="CB125" s="32">
        <f t="shared" si="7"/>
        <v>0</v>
      </c>
      <c r="CC125" s="32">
        <f t="shared" si="8"/>
        <v>0</v>
      </c>
      <c r="CD125" s="41">
        <f t="shared" si="67"/>
        <v>0</v>
      </c>
      <c r="CE125" s="44">
        <f t="shared" si="10"/>
        <v>66</v>
      </c>
      <c r="CF125" s="27"/>
      <c r="CG125" s="28" t="str">
        <f t="shared" si="11"/>
        <v/>
      </c>
      <c r="CH125" s="28" t="str">
        <f t="shared" si="12"/>
        <v/>
      </c>
      <c r="CI125" s="28" t="str">
        <f t="shared" si="13"/>
        <v/>
      </c>
      <c r="CJ125" s="28" t="str">
        <f t="shared" si="14"/>
        <v/>
      </c>
      <c r="CK125" s="23" t="str">
        <f t="shared" si="15"/>
        <v/>
      </c>
      <c r="CL125" s="29" t="str">
        <f t="shared" si="16"/>
        <v/>
      </c>
      <c r="CM125" s="29" t="str">
        <f t="shared" si="17"/>
        <v/>
      </c>
      <c r="CN125" s="29" t="str">
        <f t="shared" si="18"/>
        <v/>
      </c>
      <c r="CO125" s="29" t="str">
        <f t="shared" si="19"/>
        <v/>
      </c>
      <c r="CP125" s="29" t="str">
        <f t="shared" si="20"/>
        <v/>
      </c>
      <c r="CQ125" s="29" t="str">
        <f t="shared" si="21"/>
        <v/>
      </c>
      <c r="CR125" s="13"/>
      <c r="CS125" s="7" t="str">
        <f>VLOOKUP(A125,'Empresas 21-23'!$A$2:$M$228,13,0)</f>
        <v/>
      </c>
      <c r="CT125" s="30"/>
      <c r="CU125" s="6">
        <f t="shared" si="22"/>
        <v>0</v>
      </c>
      <c r="CV125" s="6">
        <f t="shared" si="23"/>
        <v>0</v>
      </c>
      <c r="CW125" s="6">
        <f t="shared" si="24"/>
        <v>0</v>
      </c>
      <c r="CX125" s="23" t="str">
        <f>IFERROR(CU125/(BC125-BD125),"")</f>
        <v/>
      </c>
      <c r="CY125" s="23" t="str">
        <f>IFERROR(CV125/(BC125-BD125),"")</f>
        <v/>
      </c>
      <c r="CZ125" s="6" t="e">
        <f t="shared" si="27"/>
        <v>#VALUE!</v>
      </c>
      <c r="DA125" s="6" t="e">
        <f t="shared" si="28"/>
        <v>#VALUE!</v>
      </c>
      <c r="DB125" s="6">
        <f t="shared" si="29"/>
        <v>0</v>
      </c>
      <c r="DC125" s="6">
        <f t="shared" si="30"/>
        <v>0</v>
      </c>
      <c r="DD125" s="6">
        <f t="shared" si="31"/>
        <v>0</v>
      </c>
      <c r="DE125" s="6">
        <f t="shared" si="32"/>
        <v>136148</v>
      </c>
      <c r="DF125" s="6" t="str">
        <f>IFERROR(DE125*(DC125+DD125)/(AF125-AD125-F125-H125-E125-D125),"")</f>
        <v/>
      </c>
      <c r="DG125" s="30"/>
      <c r="DH125" s="32" t="str">
        <f>VLOOKUP(A125,'T_med_comp-USA'!$A$7:$Q$233,17,0)</f>
        <v>-</v>
      </c>
      <c r="DI125" s="6" t="str">
        <f t="shared" si="34"/>
        <v/>
      </c>
      <c r="DJ125" s="32" t="str">
        <f>IF(DI125="","",VLOOKUP(DI125,'CPI USA'!$T:$U,2,FALSE))</f>
        <v/>
      </c>
      <c r="DK125" s="32" t="str">
        <f>IF(DI125="","",VLOOKUP(DI125,'PPI USA'!$S:$T,2,FALSE))</f>
        <v/>
      </c>
      <c r="DL125" s="32" t="str">
        <f>IF(DI125="","",VLOOKUP(DI125,'CPI USA'!$T:$V,3,FALSE))</f>
        <v/>
      </c>
      <c r="DM125" s="32" t="str">
        <f>IF(DI125="","",VLOOKUP(DI125,'CPI USA'!$T:$X,5,FALSE))</f>
        <v/>
      </c>
      <c r="DN125" s="32" t="str">
        <f t="shared" si="35"/>
        <v/>
      </c>
      <c r="DO125" s="32" t="str">
        <f t="shared" si="36"/>
        <v/>
      </c>
      <c r="DP125" s="32" t="str">
        <f t="shared" si="37"/>
        <v/>
      </c>
      <c r="DQ125" s="32" t="str">
        <f>IF(DP125="","",DP125*$DO$1/'CPI USA'!$U$532+(1-DP125)*AVERAGE($DO$1,$DQ$1)/AVERAGE('CPI USA'!$U$532,'PPI USA'!$T$538))</f>
        <v/>
      </c>
      <c r="DR125" s="6">
        <f t="shared" si="38"/>
        <v>0</v>
      </c>
      <c r="DS125" s="32" t="str">
        <f t="shared" si="39"/>
        <v/>
      </c>
      <c r="DT125" s="28" t="str">
        <f>IF(DS125="","",DS125*$DO$1/'CPI USA'!$U$532+(1-DS125)*AVERAGE($DO$1,$DQ$1)/AVERAGE('CPI USA'!$U$532,'PPI USA'!$T$538))</f>
        <v/>
      </c>
      <c r="DU125" s="6" t="str">
        <f t="shared" si="40"/>
        <v/>
      </c>
      <c r="DV125" s="6" t="str">
        <f t="shared" si="41"/>
        <v/>
      </c>
      <c r="DW125" s="6">
        <f t="shared" si="42"/>
        <v>0</v>
      </c>
      <c r="DX125" s="16" t="e">
        <f t="shared" si="43"/>
        <v>#VALUE!</v>
      </c>
      <c r="DY125" s="28" t="e">
        <f>IF(DX125="","",DX125*$DO$1/'CPI USA'!$U$532+(1-DX125)*AVERAGE($DO$1,$DQ$1)/AVERAGE('CPI USA'!$U$532,'PPI USA'!$T$538))</f>
        <v>#VALUE!</v>
      </c>
      <c r="DZ125" s="30"/>
      <c r="EA125" s="29" t="str">
        <f t="shared" si="44"/>
        <v>C001446</v>
      </c>
      <c r="EB125" s="29" t="str">
        <f t="shared" si="45"/>
        <v/>
      </c>
      <c r="EC125" s="29" t="str">
        <f t="shared" si="46"/>
        <v/>
      </c>
      <c r="ED125" s="29" t="str">
        <f t="shared" si="47"/>
        <v/>
      </c>
      <c r="EE125" s="29" t="str">
        <f t="shared" si="48"/>
        <v/>
      </c>
      <c r="EF125" s="29" t="str">
        <f t="shared" si="49"/>
        <v/>
      </c>
      <c r="EG125" s="29" t="str">
        <f t="shared" si="50"/>
        <v/>
      </c>
      <c r="EH125" s="29" t="str">
        <f t="shared" si="51"/>
        <v/>
      </c>
      <c r="EI125" s="29" t="str">
        <f t="shared" si="52"/>
        <v/>
      </c>
      <c r="EJ125" s="29" t="str">
        <f t="shared" si="53"/>
        <v/>
      </c>
      <c r="EK125" s="29" t="str">
        <f t="shared" si="54"/>
        <v/>
      </c>
      <c r="EL125" s="29" t="str">
        <f>IF(CD125=1,VLOOKUP(EA125,'EIA 2023'!$A$2:$J$213,4,0)*EH125,"")</f>
        <v/>
      </c>
      <c r="EM125" s="29" t="str">
        <f>IF(CD125=1,VLOOKUP(EA125,'EIA 2023'!$A$2:$J$213,7,0)*EH125,"")</f>
        <v/>
      </c>
      <c r="EN125" s="29" t="str">
        <f>IF(CD125=1,VLOOKUP(EA125,'EIA 2023'!$A$2:$J$213,10,0),"")</f>
        <v/>
      </c>
      <c r="EO125" s="28" t="str">
        <f>IF(CD125=1,VLOOKUP(EA125,'EIA 2023'!$A$2:$Z$213,26,0),"")</f>
        <v/>
      </c>
      <c r="EP125" s="23" t="str">
        <f t="shared" si="55"/>
        <v/>
      </c>
      <c r="EQ125" s="32" t="str">
        <f t="shared" si="56"/>
        <v/>
      </c>
      <c r="ER125" s="32" t="str">
        <f t="shared" si="57"/>
        <v/>
      </c>
      <c r="ES125" s="32"/>
      <c r="ET125" s="32"/>
    </row>
    <row r="126" spans="1:150" ht="15.75" customHeight="1">
      <c r="A126" s="7" t="s">
        <v>583</v>
      </c>
      <c r="B126" s="7" t="s">
        <v>584</v>
      </c>
      <c r="C126" s="32" t="s">
        <v>1211</v>
      </c>
      <c r="D126" s="42">
        <v>11207466</v>
      </c>
      <c r="E126" s="42">
        <v>0</v>
      </c>
      <c r="F126" s="42">
        <v>1768324</v>
      </c>
      <c r="G126" s="42">
        <v>71427831</v>
      </c>
      <c r="H126" s="42">
        <v>72182124</v>
      </c>
      <c r="I126" s="42">
        <v>469405</v>
      </c>
      <c r="J126" s="42">
        <v>384747</v>
      </c>
      <c r="K126" s="42">
        <v>358314</v>
      </c>
      <c r="L126" s="42">
        <v>236441</v>
      </c>
      <c r="M126" s="42">
        <v>177293</v>
      </c>
      <c r="N126" s="42">
        <v>147060</v>
      </c>
      <c r="O126" s="42">
        <v>846113</v>
      </c>
      <c r="P126" s="42">
        <v>51595</v>
      </c>
      <c r="Q126" s="42">
        <v>7516</v>
      </c>
      <c r="R126" s="42">
        <v>0</v>
      </c>
      <c r="S126" s="42">
        <v>56578</v>
      </c>
      <c r="T126" s="42">
        <v>1147151</v>
      </c>
      <c r="U126" s="42">
        <v>189909</v>
      </c>
      <c r="V126" s="42">
        <v>0</v>
      </c>
      <c r="W126" s="42">
        <v>13759</v>
      </c>
      <c r="X126" s="42">
        <f>IFERROR(VLOOKUP(A126,'Trans 21-23'!$A$2:$J$229,10,0),0)</f>
        <v>461006</v>
      </c>
      <c r="Y126" s="42">
        <v>201176</v>
      </c>
      <c r="Z126" s="42">
        <v>230782</v>
      </c>
      <c r="AA126" s="42">
        <v>1024320</v>
      </c>
      <c r="AB126" s="42">
        <v>121473</v>
      </c>
      <c r="AC126" s="42">
        <v>3004</v>
      </c>
      <c r="AD126" s="42">
        <v>18068066</v>
      </c>
      <c r="AE126" s="42">
        <v>0</v>
      </c>
      <c r="AF126" s="42">
        <v>144599000</v>
      </c>
      <c r="AG126" s="42">
        <v>44794</v>
      </c>
      <c r="AH126" s="42">
        <v>176785</v>
      </c>
      <c r="AI126" s="42">
        <v>2395835</v>
      </c>
      <c r="AJ126" s="42">
        <v>0</v>
      </c>
      <c r="AK126" s="42">
        <v>0</v>
      </c>
      <c r="AL126" s="42">
        <v>270124</v>
      </c>
      <c r="AM126" s="42">
        <v>558851</v>
      </c>
      <c r="AN126" s="42">
        <v>1283995</v>
      </c>
      <c r="AO126" s="42">
        <v>1881</v>
      </c>
      <c r="AP126" s="42">
        <v>5057</v>
      </c>
      <c r="AQ126" s="42">
        <v>2119908</v>
      </c>
      <c r="AR126" s="42">
        <v>99142</v>
      </c>
      <c r="AS126" s="42">
        <v>2219050</v>
      </c>
      <c r="AT126" s="42">
        <v>0</v>
      </c>
      <c r="AU126" s="42">
        <v>312</v>
      </c>
      <c r="AV126" s="42">
        <v>0</v>
      </c>
      <c r="AW126" s="42">
        <v>26464682</v>
      </c>
      <c r="AX126" s="42">
        <v>16966614</v>
      </c>
      <c r="AY126" s="42">
        <v>60225929</v>
      </c>
      <c r="AZ126" s="42">
        <v>8303697</v>
      </c>
      <c r="BA126" s="42">
        <v>8833486</v>
      </c>
      <c r="BB126" s="42">
        <v>272800251</v>
      </c>
      <c r="BC126" s="42">
        <v>790064176</v>
      </c>
      <c r="BD126" s="42">
        <v>26975762</v>
      </c>
      <c r="BE126" s="42">
        <v>76028846</v>
      </c>
      <c r="BF126" s="42">
        <v>7653125</v>
      </c>
      <c r="BG126" s="42">
        <v>0</v>
      </c>
      <c r="BH126" s="42">
        <v>2333961</v>
      </c>
      <c r="BI126" s="42">
        <v>454398</v>
      </c>
      <c r="BJ126" s="42">
        <v>96148</v>
      </c>
      <c r="BK126" s="42">
        <v>0</v>
      </c>
      <c r="BL126" s="42">
        <v>0</v>
      </c>
      <c r="BM126" s="42">
        <v>7321472</v>
      </c>
      <c r="BN126" s="42">
        <v>14421743</v>
      </c>
      <c r="BO126" s="42">
        <v>0</v>
      </c>
      <c r="BP126" s="42">
        <v>1285993</v>
      </c>
      <c r="BQ126" s="42">
        <v>18327140</v>
      </c>
      <c r="BR126" s="42">
        <v>0</v>
      </c>
      <c r="BS126" s="42">
        <f>IFERROR(VLOOKUP(A126,'Trans 21-23'!$A$2:$J$229,9,0),0)</f>
        <v>45399879</v>
      </c>
      <c r="BT126" s="67"/>
      <c r="BU126" s="32">
        <f t="shared" si="0"/>
        <v>272800251</v>
      </c>
      <c r="BV126" s="32">
        <f t="shared" si="1"/>
        <v>312</v>
      </c>
      <c r="BW126" s="32">
        <f t="shared" si="2"/>
        <v>44794</v>
      </c>
      <c r="BX126" s="32">
        <f t="shared" si="3"/>
        <v>4085881</v>
      </c>
      <c r="BY126" s="32">
        <f t="shared" si="4"/>
        <v>1580755</v>
      </c>
      <c r="BZ126" s="32">
        <f t="shared" si="5"/>
        <v>8303697</v>
      </c>
      <c r="CA126" s="32">
        <f t="shared" si="6"/>
        <v>18068066</v>
      </c>
      <c r="CB126" s="32">
        <f t="shared" si="7"/>
        <v>176785</v>
      </c>
      <c r="CC126" s="32">
        <f t="shared" si="8"/>
        <v>2119908</v>
      </c>
      <c r="CD126" s="41">
        <f t="shared" si="67"/>
        <v>1</v>
      </c>
      <c r="CE126" s="44">
        <f t="shared" si="10"/>
        <v>13</v>
      </c>
      <c r="CF126" s="27"/>
      <c r="CG126" s="28">
        <f t="shared" si="11"/>
        <v>874.35977884615386</v>
      </c>
      <c r="CH126" s="28">
        <f t="shared" si="12"/>
        <v>6.9652185560566151</v>
      </c>
      <c r="CI126" s="28">
        <f t="shared" si="13"/>
        <v>91.214917176407553</v>
      </c>
      <c r="CJ126" s="28">
        <f t="shared" si="14"/>
        <v>185.37520650087066</v>
      </c>
      <c r="CK126" s="23">
        <f t="shared" si="15"/>
        <v>8.3392769874919101E-2</v>
      </c>
      <c r="CL126" s="29" t="str">
        <f t="shared" si="16"/>
        <v/>
      </c>
      <c r="CM126" s="29" t="str">
        <f t="shared" si="17"/>
        <v/>
      </c>
      <c r="CN126" s="29" t="str">
        <f t="shared" si="18"/>
        <v/>
      </c>
      <c r="CO126" s="29" t="str">
        <f t="shared" si="19"/>
        <v/>
      </c>
      <c r="CP126" s="29" t="str">
        <f t="shared" si="20"/>
        <v/>
      </c>
      <c r="CQ126" s="29">
        <f t="shared" si="21"/>
        <v>0</v>
      </c>
      <c r="CR126" s="13"/>
      <c r="CS126" s="7">
        <f>VLOOKUP(A126,'Empresas 21-23'!$A$2:$M$228,13,0)</f>
        <v>1</v>
      </c>
      <c r="CT126" s="30"/>
      <c r="CU126" s="6">
        <f t="shared" si="22"/>
        <v>254747421.19999999</v>
      </c>
      <c r="CV126" s="6">
        <f t="shared" si="23"/>
        <v>8303697</v>
      </c>
      <c r="CW126" s="6">
        <f t="shared" si="24"/>
        <v>26975762</v>
      </c>
      <c r="CX126" s="23">
        <f t="shared" ref="CX126:CX142" si="68">CU126/(BC126-BD126)</f>
        <v>0.3338373595068107</v>
      </c>
      <c r="CY126" s="23">
        <f t="shared" ref="CY126:CY142" si="69">CV126/(BC126-BD126)</f>
        <v>1.0881697124024215E-2</v>
      </c>
      <c r="CZ126" s="6">
        <f t="shared" si="27"/>
        <v>263752938.35676414</v>
      </c>
      <c r="DA126" s="6">
        <f t="shared" si="28"/>
        <v>8597239.0717737619</v>
      </c>
      <c r="DB126" s="6">
        <f t="shared" si="29"/>
        <v>4085881</v>
      </c>
      <c r="DC126" s="6">
        <f t="shared" si="30"/>
        <v>4546887</v>
      </c>
      <c r="DD126" s="6">
        <f t="shared" si="31"/>
        <v>1580755</v>
      </c>
      <c r="DE126" s="6">
        <f t="shared" si="32"/>
        <v>18068066</v>
      </c>
      <c r="DF126" s="6">
        <f t="shared" ref="DF126:DF142" si="70">DE126*(DC126+DD126)/(AF126-AD126-F126-H126-E126-D126)</f>
        <v>2676010.6001537233</v>
      </c>
      <c r="DG126" s="30"/>
      <c r="DH126" s="32">
        <f>VLOOKUP(A126,'T_med_comp-USA'!$A$7:$Q$233,17,0)</f>
        <v>9.9078877496339306</v>
      </c>
      <c r="DI126" s="6" t="str">
        <f t="shared" si="34"/>
        <v>2_2014</v>
      </c>
      <c r="DJ126" s="32">
        <f>IF(DI126="","",VLOOKUP(DI126,'CPI USA'!$T:$U,2,FALSE))</f>
        <v>234.78100000000001</v>
      </c>
      <c r="DK126" s="32">
        <f>IF(DI126="","",VLOOKUP(DI126,'PPI USA'!$S:$T,2,FALSE))</f>
        <v>178.9</v>
      </c>
      <c r="DL126" s="32">
        <f>IF(DI126="","",VLOOKUP(DI126,'CPI USA'!$T:$V,3,FALSE))</f>
        <v>0.66756601812039096</v>
      </c>
      <c r="DM126" s="32">
        <f>IF(DI126="","",VLOOKUP(DI126,'CPI USA'!$T:$X,5,FALSE))</f>
        <v>0.49542529667095003</v>
      </c>
      <c r="DN126" s="32">
        <f t="shared" si="35"/>
        <v>1.3592442498168091</v>
      </c>
      <c r="DO126" s="32">
        <f t="shared" si="36"/>
        <v>1.370161072621193</v>
      </c>
      <c r="DP126" s="32">
        <f t="shared" si="37"/>
        <v>0.57122588739123825</v>
      </c>
      <c r="DQ126" s="32">
        <f>IF(DP126="","",DP126*$DO$1/'CPI USA'!$U$532+(1-DP126)*AVERAGE($DO$1,$DQ$1)/AVERAGE('CPI USA'!$U$532,'PPI USA'!$T$538))</f>
        <v>1.034114360967449</v>
      </c>
      <c r="DR126" s="6">
        <f t="shared" si="38"/>
        <v>550546</v>
      </c>
      <c r="DS126" s="32">
        <f t="shared" si="39"/>
        <v>0.34828041031026313</v>
      </c>
      <c r="DT126" s="28">
        <f>IF(DS126="","",DS126*$DO$1/'CPI USA'!$U$532+(1-DS126)*AVERAGE($DO$1,$DQ$1)/AVERAGE('CPI USA'!$U$532,'PPI USA'!$T$538))</f>
        <v>1.0392596928570907</v>
      </c>
      <c r="DU126" s="6">
        <f t="shared" si="40"/>
        <v>7321472</v>
      </c>
      <c r="DV126" s="6">
        <f t="shared" si="41"/>
        <v>552507.51265134919</v>
      </c>
      <c r="DW126" s="6">
        <f t="shared" si="42"/>
        <v>1574882.3857212963</v>
      </c>
      <c r="DX126" s="16">
        <f t="shared" si="43"/>
        <v>0.58851873966075741</v>
      </c>
      <c r="DY126" s="28">
        <f>IF(DX126="","",DX126*$DO$1/'CPI USA'!$U$532+(1-DX126)*AVERAGE($DO$1,$DQ$1)/AVERAGE('CPI USA'!$U$532,'PPI USA'!$T$538))</f>
        <v>1.0337152613068048</v>
      </c>
      <c r="DZ126" s="30"/>
      <c r="EA126" s="29" t="str">
        <f t="shared" si="44"/>
        <v>C001454</v>
      </c>
      <c r="EB126" s="29">
        <f t="shared" si="45"/>
        <v>358504664.83371896</v>
      </c>
      <c r="EC126" s="29">
        <f t="shared" si="46"/>
        <v>11779602.308162367</v>
      </c>
      <c r="ED126" s="29">
        <f t="shared" si="47"/>
        <v>4702001.1443962017</v>
      </c>
      <c r="EE126" s="29">
        <f t="shared" si="48"/>
        <v>1642814.9557823106</v>
      </c>
      <c r="EF126" s="29">
        <f t="shared" si="49"/>
        <v>2766232.9967976855</v>
      </c>
      <c r="EG126" s="29">
        <f t="shared" si="50"/>
        <v>312</v>
      </c>
      <c r="EH126" s="29">
        <f t="shared" si="51"/>
        <v>44794</v>
      </c>
      <c r="EI126" s="29">
        <f t="shared" si="52"/>
        <v>176785</v>
      </c>
      <c r="EJ126" s="29">
        <f t="shared" si="53"/>
        <v>2119908</v>
      </c>
      <c r="EK126" s="29">
        <f t="shared" si="54"/>
        <v>2295183.2233502539</v>
      </c>
      <c r="EL126" s="29">
        <f>IF(CD126=1,VLOOKUP(EA126,'EIA 2023'!$A$2:$J$213,4,0)*EH126,"")</f>
        <v>1587230.5959999999</v>
      </c>
      <c r="EM126" s="29">
        <f>IF(CD126=1,VLOOKUP(EA126,'EIA 2023'!$A$2:$J$213,7,0)*EH126,"")</f>
        <v>46988.905999999995</v>
      </c>
      <c r="EN126" s="29">
        <f>IF(CD126=1,VLOOKUP(EA126,'EIA 2023'!$A$2:$J$213,10,0),"")</f>
        <v>44789</v>
      </c>
      <c r="EO126" s="28">
        <f>IF(CD126=1,VLOOKUP(EA126,'EIA 2023'!$A$2:$Z$213,26,0),"")</f>
        <v>0</v>
      </c>
      <c r="EP126" s="23">
        <f t="shared" si="55"/>
        <v>7.6366549549105919E-2</v>
      </c>
      <c r="EQ126" s="32">
        <f t="shared" si="56"/>
        <v>1509.7766497461998</v>
      </c>
      <c r="ER126" s="32">
        <f t="shared" si="57"/>
        <v>175275.2233502538</v>
      </c>
      <c r="ES126" s="32"/>
      <c r="ET126" s="32"/>
    </row>
    <row r="127" spans="1:150" ht="15.75" customHeight="1">
      <c r="A127" s="7" t="s">
        <v>586</v>
      </c>
      <c r="B127" s="7" t="s">
        <v>587</v>
      </c>
      <c r="C127" s="32" t="s">
        <v>1212</v>
      </c>
      <c r="D127" s="42">
        <v>0</v>
      </c>
      <c r="E127" s="42">
        <v>0</v>
      </c>
      <c r="F127" s="42">
        <v>0</v>
      </c>
      <c r="G127" s="42">
        <v>919545346</v>
      </c>
      <c r="H127" s="42">
        <v>956669604</v>
      </c>
      <c r="I127" s="42">
        <v>2558109</v>
      </c>
      <c r="J127" s="42">
        <v>224048</v>
      </c>
      <c r="K127" s="42">
        <v>3210078</v>
      </c>
      <c r="L127" s="42">
        <v>3236375</v>
      </c>
      <c r="M127" s="42">
        <v>39140882</v>
      </c>
      <c r="N127" s="42">
        <v>7267926</v>
      </c>
      <c r="O127" s="42">
        <v>62744359</v>
      </c>
      <c r="P127" s="42">
        <v>4813818</v>
      </c>
      <c r="Q127" s="42">
        <v>135316</v>
      </c>
      <c r="R127" s="42">
        <v>2253345</v>
      </c>
      <c r="S127" s="42">
        <v>19241020</v>
      </c>
      <c r="T127" s="42">
        <v>38440211</v>
      </c>
      <c r="U127" s="42">
        <v>23910688</v>
      </c>
      <c r="V127" s="42">
        <v>1674263</v>
      </c>
      <c r="W127" s="42">
        <v>2218402</v>
      </c>
      <c r="X127" s="42">
        <f>IFERROR(VLOOKUP(A127,'Trans 21-23'!$A$2:$J$229,10,0),0)</f>
        <v>158448</v>
      </c>
      <c r="Y127" s="42">
        <v>5044989</v>
      </c>
      <c r="Z127" s="42">
        <v>724471</v>
      </c>
      <c r="AA127" s="42">
        <v>119335273</v>
      </c>
      <c r="AB127" s="42">
        <v>19596641</v>
      </c>
      <c r="AC127" s="42">
        <v>0</v>
      </c>
      <c r="AD127" s="42">
        <v>182517049</v>
      </c>
      <c r="AE127" s="42">
        <v>0</v>
      </c>
      <c r="AF127" s="42">
        <v>1533207591</v>
      </c>
      <c r="AG127" s="42">
        <v>938263</v>
      </c>
      <c r="AH127" s="42">
        <v>643143</v>
      </c>
      <c r="AI127" s="42">
        <v>23758392</v>
      </c>
      <c r="AJ127" s="42">
        <v>5518</v>
      </c>
      <c r="AK127" s="42">
        <v>0</v>
      </c>
      <c r="AL127" s="42">
        <v>7793829</v>
      </c>
      <c r="AM127" s="42">
        <v>14160297</v>
      </c>
      <c r="AN127" s="42">
        <v>461536</v>
      </c>
      <c r="AO127" s="42">
        <v>131508</v>
      </c>
      <c r="AP127" s="42">
        <v>0</v>
      </c>
      <c r="AQ127" s="42">
        <v>23043367</v>
      </c>
      <c r="AR127" s="42">
        <v>66364</v>
      </c>
      <c r="AS127" s="42">
        <v>23109731</v>
      </c>
      <c r="AT127" s="42">
        <v>496197</v>
      </c>
      <c r="AU127" s="42">
        <v>5092</v>
      </c>
      <c r="AV127" s="42">
        <v>0</v>
      </c>
      <c r="AW127" s="42">
        <v>933515998</v>
      </c>
      <c r="AX127" s="42">
        <v>1465952360</v>
      </c>
      <c r="AY127" s="42">
        <v>2140033435</v>
      </c>
      <c r="AZ127" s="42">
        <v>181012028</v>
      </c>
      <c r="BA127" s="42">
        <v>73799617</v>
      </c>
      <c r="BB127" s="42">
        <v>9269888329</v>
      </c>
      <c r="BC127" s="42">
        <v>12441971964</v>
      </c>
      <c r="BD127" s="42">
        <v>496413741</v>
      </c>
      <c r="BE127" s="42">
        <v>3068816485</v>
      </c>
      <c r="BF127" s="42">
        <v>223053126</v>
      </c>
      <c r="BG127" s="42">
        <v>0</v>
      </c>
      <c r="BH127" s="42">
        <v>42615758</v>
      </c>
      <c r="BI127" s="42">
        <v>14676888</v>
      </c>
      <c r="BJ127" s="42">
        <v>2726702</v>
      </c>
      <c r="BK127" s="42">
        <v>0</v>
      </c>
      <c r="BL127" s="42">
        <v>0</v>
      </c>
      <c r="BM127" s="42">
        <v>5792271</v>
      </c>
      <c r="BN127" s="42">
        <v>73525686</v>
      </c>
      <c r="BO127" s="42">
        <v>1877299</v>
      </c>
      <c r="BP127" s="42">
        <v>1157461</v>
      </c>
      <c r="BQ127" s="42">
        <v>160946520</v>
      </c>
      <c r="BR127" s="42">
        <v>0</v>
      </c>
      <c r="BS127" s="42">
        <f>IFERROR(VLOOKUP(A127,'Trans 21-23'!$A$2:$J$229,9,0),0)</f>
        <v>15603978</v>
      </c>
      <c r="BT127" s="67"/>
      <c r="BU127" s="32">
        <f t="shared" si="0"/>
        <v>9269888329</v>
      </c>
      <c r="BV127" s="32">
        <f t="shared" si="1"/>
        <v>5092</v>
      </c>
      <c r="BW127" s="32">
        <f t="shared" si="2"/>
        <v>938263</v>
      </c>
      <c r="BX127" s="32">
        <f t="shared" si="3"/>
        <v>211068840</v>
      </c>
      <c r="BY127" s="32">
        <f t="shared" si="4"/>
        <v>144701374</v>
      </c>
      <c r="BZ127" s="32">
        <f t="shared" si="5"/>
        <v>181012028</v>
      </c>
      <c r="CA127" s="32">
        <f t="shared" si="6"/>
        <v>182517049</v>
      </c>
      <c r="CB127" s="32">
        <f t="shared" si="7"/>
        <v>643143</v>
      </c>
      <c r="CC127" s="32">
        <f t="shared" si="8"/>
        <v>23043367</v>
      </c>
      <c r="CD127" s="41">
        <f t="shared" si="67"/>
        <v>1</v>
      </c>
      <c r="CE127" s="44">
        <f t="shared" si="10"/>
        <v>12</v>
      </c>
      <c r="CF127" s="27"/>
      <c r="CG127" s="28">
        <f t="shared" si="11"/>
        <v>1820.480818735271</v>
      </c>
      <c r="CH127" s="28">
        <f t="shared" si="12"/>
        <v>5.4270497717590906</v>
      </c>
      <c r="CI127" s="28">
        <f t="shared" si="13"/>
        <v>224.95701098732445</v>
      </c>
      <c r="CJ127" s="28">
        <f t="shared" si="14"/>
        <v>192.92248335488023</v>
      </c>
      <c r="CK127" s="23">
        <f t="shared" si="15"/>
        <v>2.7910114003739123E-2</v>
      </c>
      <c r="CL127" s="29" t="str">
        <f t="shared" si="16"/>
        <v/>
      </c>
      <c r="CM127" s="29" t="str">
        <f t="shared" si="17"/>
        <v/>
      </c>
      <c r="CN127" s="29" t="str">
        <f t="shared" si="18"/>
        <v/>
      </c>
      <c r="CO127" s="29" t="str">
        <f t="shared" si="19"/>
        <v/>
      </c>
      <c r="CP127" s="29" t="str">
        <f t="shared" si="20"/>
        <v/>
      </c>
      <c r="CQ127" s="29">
        <f t="shared" si="21"/>
        <v>0</v>
      </c>
      <c r="CR127" s="13"/>
      <c r="CS127" s="7">
        <f>VLOOKUP(A127,'Empresas 21-23'!$A$2:$M$228,13,0)</f>
        <v>1</v>
      </c>
      <c r="CT127" s="30"/>
      <c r="CU127" s="6">
        <f t="shared" si="22"/>
        <v>6867089185</v>
      </c>
      <c r="CV127" s="6">
        <f t="shared" si="23"/>
        <v>181012028</v>
      </c>
      <c r="CW127" s="6">
        <f t="shared" si="24"/>
        <v>496413741</v>
      </c>
      <c r="CX127" s="23">
        <f t="shared" si="68"/>
        <v>0.57486549031907896</v>
      </c>
      <c r="CY127" s="23">
        <f t="shared" si="69"/>
        <v>1.5153082394381462E-2</v>
      </c>
      <c r="CZ127" s="6">
        <f t="shared" si="27"/>
        <v>7152460313.6210938</v>
      </c>
      <c r="DA127" s="6">
        <f t="shared" si="28"/>
        <v>188534226.31907615</v>
      </c>
      <c r="DB127" s="6">
        <f t="shared" si="29"/>
        <v>211068840</v>
      </c>
      <c r="DC127" s="6">
        <f t="shared" si="30"/>
        <v>211227288</v>
      </c>
      <c r="DD127" s="6">
        <f t="shared" si="31"/>
        <v>144701374</v>
      </c>
      <c r="DE127" s="6">
        <f t="shared" si="32"/>
        <v>182517049</v>
      </c>
      <c r="DF127" s="6">
        <f t="shared" si="70"/>
        <v>164872073.480416</v>
      </c>
      <c r="DG127" s="30"/>
      <c r="DH127" s="32">
        <f>VLOOKUP(A127,'T_med_comp-USA'!$A$7:$Q$233,17,0)</f>
        <v>13.857953243496077</v>
      </c>
      <c r="DI127" s="6" t="str">
        <f t="shared" si="34"/>
        <v>2_2010</v>
      </c>
      <c r="DJ127" s="32">
        <f>IF(DI127="","",VLOOKUP(DI127,'CPI USA'!$T:$U,2,FALSE))</f>
        <v>218.05600000000001</v>
      </c>
      <c r="DK127" s="32">
        <f>IF(DI127="","",VLOOKUP(DI127,'PPI USA'!$S:$T,2,FALSE))</f>
        <v>160.80000000000001</v>
      </c>
      <c r="DL127" s="32">
        <f>IF(DI127="","",VLOOKUP(DI127,'CPI USA'!$T:$V,3,FALSE))</f>
        <v>0.67050107279443949</v>
      </c>
      <c r="DM127" s="32">
        <f>IF(DI127="","",VLOOKUP(DI127,'CPI USA'!$T:$X,5,FALSE))</f>
        <v>0.4987389730136107</v>
      </c>
      <c r="DN127" s="32">
        <f t="shared" si="35"/>
        <v>1.4703278680244813</v>
      </c>
      <c r="DO127" s="32">
        <f t="shared" si="36"/>
        <v>1.4857204383544427</v>
      </c>
      <c r="DP127" s="32">
        <f t="shared" si="37"/>
        <v>0.2070596844340514</v>
      </c>
      <c r="DQ127" s="32">
        <f>IF(DP127="","",DP127*$DO$1/'CPI USA'!$U$532+(1-DP127)*AVERAGE($DO$1,$DQ$1)/AVERAGE('CPI USA'!$U$532,'PPI USA'!$T$538))</f>
        <v>1.042518909028878</v>
      </c>
      <c r="DR127" s="6">
        <f t="shared" si="38"/>
        <v>17403590</v>
      </c>
      <c r="DS127" s="32">
        <f t="shared" si="39"/>
        <v>0.2</v>
      </c>
      <c r="DT127" s="28">
        <f>IF(DS127="","",DS127*$DO$1/'CPI USA'!$U$532+(1-DS127)*AVERAGE($DO$1,$DQ$1)/AVERAGE('CPI USA'!$U$532,'PPI USA'!$T$538))</f>
        <v>1.0426818386380585</v>
      </c>
      <c r="DU127" s="6">
        <f t="shared" si="40"/>
        <v>5940162.5076838452</v>
      </c>
      <c r="DV127" s="6">
        <f t="shared" si="41"/>
        <v>41957.364452161892</v>
      </c>
      <c r="DW127" s="6">
        <f t="shared" si="42"/>
        <v>4883231.3429003097</v>
      </c>
      <c r="DX127" s="16">
        <f t="shared" si="43"/>
        <v>0.2</v>
      </c>
      <c r="DY127" s="28">
        <f>IF(DX127="","",DX127*$DO$1/'CPI USA'!$U$532+(1-DX127)*AVERAGE($DO$1,$DQ$1)/AVERAGE('CPI USA'!$U$532,'PPI USA'!$T$538))</f>
        <v>1.0426818386380585</v>
      </c>
      <c r="DZ127" s="30"/>
      <c r="EA127" s="29" t="str">
        <f t="shared" si="44"/>
        <v>C001464</v>
      </c>
      <c r="EB127" s="29">
        <f t="shared" si="45"/>
        <v>10516461724.056215</v>
      </c>
      <c r="EC127" s="29">
        <f t="shared" si="46"/>
        <v>280109153.37159353</v>
      </c>
      <c r="ED127" s="29">
        <f t="shared" si="47"/>
        <v>220208441.84288862</v>
      </c>
      <c r="EE127" s="29">
        <f t="shared" si="48"/>
        <v>150877494.69577336</v>
      </c>
      <c r="EF127" s="29">
        <f t="shared" si="49"/>
        <v>171909116.71662924</v>
      </c>
      <c r="EG127" s="29">
        <f t="shared" si="50"/>
        <v>5092</v>
      </c>
      <c r="EH127" s="29">
        <f t="shared" si="51"/>
        <v>938263</v>
      </c>
      <c r="EI127" s="29">
        <f t="shared" si="52"/>
        <v>643143</v>
      </c>
      <c r="EJ127" s="29">
        <f t="shared" si="53"/>
        <v>23043367</v>
      </c>
      <c r="EK127" s="29">
        <f t="shared" si="54"/>
        <v>23685499.380710661</v>
      </c>
      <c r="EL127" s="29">
        <f>IF(CD127=1,VLOOKUP(EA127,'EIA 2023'!$A$2:$J$213,4,0)*EH127,"")</f>
        <v>31198183.012999997</v>
      </c>
      <c r="EM127" s="29">
        <f>IF(CD127=1,VLOOKUP(EA127,'EIA 2023'!$A$2:$J$213,7,0)*EH127,"")</f>
        <v>347157.31</v>
      </c>
      <c r="EN127" s="29">
        <f>IF(CD127=1,VLOOKUP(EA127,'EIA 2023'!$A$2:$J$213,10,0),"")</f>
        <v>353737</v>
      </c>
      <c r="EO127" s="28">
        <f>IF(CD127=1,VLOOKUP(EA127,'EIA 2023'!$A$2:$Z$213,26,0),"")</f>
        <v>0</v>
      </c>
      <c r="EP127" s="23">
        <f t="shared" si="55"/>
        <v>2.7110780751940105E-2</v>
      </c>
      <c r="EQ127" s="32">
        <f t="shared" si="56"/>
        <v>1010.6192893401021</v>
      </c>
      <c r="ER127" s="32">
        <f t="shared" si="57"/>
        <v>642132.3807106599</v>
      </c>
      <c r="ES127" s="32"/>
      <c r="ET127" s="32"/>
    </row>
    <row r="128" spans="1:150" ht="15.75" customHeight="1">
      <c r="A128" s="7" t="s">
        <v>589</v>
      </c>
      <c r="B128" s="7" t="s">
        <v>590</v>
      </c>
      <c r="C128" s="32" t="s">
        <v>1213</v>
      </c>
      <c r="D128" s="42">
        <v>0</v>
      </c>
      <c r="E128" s="42">
        <v>0</v>
      </c>
      <c r="F128" s="42">
        <v>0</v>
      </c>
      <c r="G128" s="42">
        <v>592123186</v>
      </c>
      <c r="H128" s="42">
        <v>624193465</v>
      </c>
      <c r="I128" s="42">
        <v>1331874</v>
      </c>
      <c r="J128" s="42">
        <v>125419</v>
      </c>
      <c r="K128" s="42">
        <v>3548573</v>
      </c>
      <c r="L128" s="42">
        <v>2657085</v>
      </c>
      <c r="M128" s="42">
        <v>2551098</v>
      </c>
      <c r="N128" s="42">
        <v>540377</v>
      </c>
      <c r="O128" s="42">
        <v>21005994</v>
      </c>
      <c r="P128" s="42">
        <v>1961655</v>
      </c>
      <c r="Q128" s="42">
        <v>0</v>
      </c>
      <c r="R128" s="42">
        <v>499645</v>
      </c>
      <c r="S128" s="42">
        <v>5002594</v>
      </c>
      <c r="T128" s="42">
        <v>48364196</v>
      </c>
      <c r="U128" s="42">
        <v>3559774</v>
      </c>
      <c r="V128" s="42">
        <v>692690</v>
      </c>
      <c r="W128" s="42">
        <v>1029791</v>
      </c>
      <c r="X128" s="42">
        <f>IFERROR(VLOOKUP(A128,'Trans 21-23'!$A$2:$J$229,10,0),0)</f>
        <v>3694830</v>
      </c>
      <c r="Y128" s="42">
        <v>3901067</v>
      </c>
      <c r="Z128" s="42">
        <v>1099217</v>
      </c>
      <c r="AA128" s="42">
        <v>59512631</v>
      </c>
      <c r="AB128" s="42">
        <v>11715682</v>
      </c>
      <c r="AC128" s="42">
        <v>0</v>
      </c>
      <c r="AD128" s="42">
        <v>102526216</v>
      </c>
      <c r="AE128" s="42">
        <v>0</v>
      </c>
      <c r="AF128" s="42">
        <v>926928396</v>
      </c>
      <c r="AG128" s="42">
        <v>549745</v>
      </c>
      <c r="AH128" s="42">
        <v>498280</v>
      </c>
      <c r="AI128" s="42">
        <v>12557692</v>
      </c>
      <c r="AJ128" s="42">
        <v>14862</v>
      </c>
      <c r="AK128" s="42">
        <v>0</v>
      </c>
      <c r="AL128" s="42">
        <v>5131740</v>
      </c>
      <c r="AM128" s="42">
        <v>5002290</v>
      </c>
      <c r="AN128" s="42">
        <v>1420472</v>
      </c>
      <c r="AO128" s="42">
        <v>43724</v>
      </c>
      <c r="AP128" s="42">
        <v>0</v>
      </c>
      <c r="AQ128" s="42">
        <v>11598226</v>
      </c>
      <c r="AR128" s="42">
        <v>446324</v>
      </c>
      <c r="AS128" s="42">
        <v>12044550</v>
      </c>
      <c r="AT128" s="42">
        <v>0</v>
      </c>
      <c r="AU128" s="42">
        <v>4022</v>
      </c>
      <c r="AV128" s="42">
        <v>0</v>
      </c>
      <c r="AW128" s="42">
        <v>513617671</v>
      </c>
      <c r="AX128" s="42">
        <v>26186094</v>
      </c>
      <c r="AY128" s="42">
        <v>486160381</v>
      </c>
      <c r="AZ128" s="42">
        <v>139537988</v>
      </c>
      <c r="BA128" s="42">
        <v>91420118</v>
      </c>
      <c r="BB128" s="42">
        <v>3106327170</v>
      </c>
      <c r="BC128" s="42">
        <v>5597593559</v>
      </c>
      <c r="BD128" s="42">
        <v>386027824</v>
      </c>
      <c r="BE128" s="42">
        <v>811529534</v>
      </c>
      <c r="BF128" s="42">
        <v>90044259</v>
      </c>
      <c r="BG128" s="42">
        <v>0</v>
      </c>
      <c r="BH128" s="42">
        <v>29339748</v>
      </c>
      <c r="BI128" s="42">
        <v>1587660</v>
      </c>
      <c r="BJ128" s="42">
        <v>1803757</v>
      </c>
      <c r="BK128" s="42">
        <v>0</v>
      </c>
      <c r="BL128" s="42">
        <v>0</v>
      </c>
      <c r="BM128" s="42">
        <v>2810405</v>
      </c>
      <c r="BN128" s="42">
        <v>40456682</v>
      </c>
      <c r="BO128" s="42">
        <v>2053091</v>
      </c>
      <c r="BP128" s="42">
        <v>338908</v>
      </c>
      <c r="BQ128" s="42">
        <v>119187037</v>
      </c>
      <c r="BR128" s="42">
        <v>0</v>
      </c>
      <c r="BS128" s="42">
        <f>IFERROR(VLOOKUP(A128,'Trans 21-23'!$A$2:$J$229,9,0),0)</f>
        <v>363866830</v>
      </c>
      <c r="BT128" s="67"/>
      <c r="BU128" s="32">
        <f t="shared" si="0"/>
        <v>3106327170</v>
      </c>
      <c r="BV128" s="32">
        <f t="shared" si="1"/>
        <v>4022</v>
      </c>
      <c r="BW128" s="32">
        <f t="shared" si="2"/>
        <v>549745</v>
      </c>
      <c r="BX128" s="32">
        <f t="shared" si="3"/>
        <v>92870765</v>
      </c>
      <c r="BY128" s="32">
        <f t="shared" si="4"/>
        <v>76228597</v>
      </c>
      <c r="BZ128" s="32">
        <f t="shared" si="5"/>
        <v>139537988</v>
      </c>
      <c r="CA128" s="32">
        <f t="shared" si="6"/>
        <v>102526216</v>
      </c>
      <c r="CB128" s="32">
        <f t="shared" si="7"/>
        <v>498280</v>
      </c>
      <c r="CC128" s="32">
        <f t="shared" si="8"/>
        <v>11598226</v>
      </c>
      <c r="CD128" s="41">
        <f t="shared" si="67"/>
        <v>1</v>
      </c>
      <c r="CE128" s="44">
        <f t="shared" si="10"/>
        <v>14</v>
      </c>
      <c r="CF128" s="27"/>
      <c r="CG128" s="28">
        <f t="shared" si="11"/>
        <v>772.33395574341125</v>
      </c>
      <c r="CH128" s="28">
        <f t="shared" si="12"/>
        <v>7.3161192916715931</v>
      </c>
      <c r="CI128" s="28">
        <f t="shared" si="13"/>
        <v>168.93426042983566</v>
      </c>
      <c r="CJ128" s="28">
        <f t="shared" si="14"/>
        <v>253.82311435301821</v>
      </c>
      <c r="CK128" s="23">
        <f t="shared" si="15"/>
        <v>4.2961742597531723E-2</v>
      </c>
      <c r="CL128" s="29" t="str">
        <f t="shared" si="16"/>
        <v/>
      </c>
      <c r="CM128" s="29" t="str">
        <f t="shared" si="17"/>
        <v/>
      </c>
      <c r="CN128" s="29" t="str">
        <f t="shared" si="18"/>
        <v/>
      </c>
      <c r="CO128" s="29" t="str">
        <f t="shared" si="19"/>
        <v/>
      </c>
      <c r="CP128" s="29" t="str">
        <f t="shared" si="20"/>
        <v/>
      </c>
      <c r="CQ128" s="29">
        <f t="shared" si="21"/>
        <v>0</v>
      </c>
      <c r="CR128" s="13"/>
      <c r="CS128" s="7">
        <f>VLOOKUP(A128,'Empresas 21-23'!$A$2:$M$228,13,0)</f>
        <v>1</v>
      </c>
      <c r="CT128" s="30"/>
      <c r="CU128" s="6">
        <f t="shared" si="22"/>
        <v>2931828009</v>
      </c>
      <c r="CV128" s="6">
        <f t="shared" si="23"/>
        <v>139537988</v>
      </c>
      <c r="CW128" s="6">
        <f t="shared" si="24"/>
        <v>386027824</v>
      </c>
      <c r="CX128" s="23">
        <f t="shared" si="68"/>
        <v>0.56256183996880926</v>
      </c>
      <c r="CY128" s="23">
        <f t="shared" si="69"/>
        <v>2.6774676766117774E-2</v>
      </c>
      <c r="CZ128" s="6">
        <f t="shared" si="27"/>
        <v>3148992531.9485955</v>
      </c>
      <c r="DA128" s="6">
        <f t="shared" si="28"/>
        <v>149873758.2103278</v>
      </c>
      <c r="DB128" s="6">
        <f t="shared" si="29"/>
        <v>92870765</v>
      </c>
      <c r="DC128" s="6">
        <f t="shared" si="30"/>
        <v>96565595</v>
      </c>
      <c r="DD128" s="6">
        <f t="shared" si="31"/>
        <v>76228597</v>
      </c>
      <c r="DE128" s="6">
        <f t="shared" si="32"/>
        <v>102526216</v>
      </c>
      <c r="DF128" s="6">
        <f t="shared" si="70"/>
        <v>88487330.097181201</v>
      </c>
      <c r="DG128" s="30"/>
      <c r="DH128" s="32">
        <f>VLOOKUP(A128,'T_med_comp-USA'!$A$7:$Q$233,17,0)</f>
        <v>9.1086401632643206</v>
      </c>
      <c r="DI128" s="6" t="str">
        <f t="shared" si="34"/>
        <v>11_2014</v>
      </c>
      <c r="DJ128" s="32">
        <f>IF(DI128="","",VLOOKUP(DI128,'CPI USA'!$T:$U,2,FALSE))</f>
        <v>236.15100000000001</v>
      </c>
      <c r="DK128" s="32">
        <f>IF(DI128="","",VLOOKUP(DI128,'PPI USA'!$S:$T,2,FALSE))</f>
        <v>176</v>
      </c>
      <c r="DL128" s="32">
        <f>IF(DI128="","",VLOOKUP(DI128,'CPI USA'!$T:$V,3,FALSE))</f>
        <v>0.66756601812039096</v>
      </c>
      <c r="DM128" s="32">
        <f>IF(DI128="","",VLOOKUP(DI128,'CPI USA'!$T:$X,5,FALSE))</f>
        <v>0.49542529667095003</v>
      </c>
      <c r="DN128" s="32">
        <f t="shared" si="35"/>
        <v>1.3557914675979239</v>
      </c>
      <c r="DO128" s="32">
        <f t="shared" si="36"/>
        <v>1.3689402955589707</v>
      </c>
      <c r="DP128" s="32">
        <f t="shared" si="37"/>
        <v>0.33195245160681602</v>
      </c>
      <c r="DQ128" s="32">
        <f>IF(DP128="","",DP128*$DO$1/'CPI USA'!$U$532+(1-DP128)*AVERAGE($DO$1,$DQ$1)/AVERAGE('CPI USA'!$U$532,'PPI USA'!$T$538))</f>
        <v>1.039636523855008</v>
      </c>
      <c r="DR128" s="6">
        <f t="shared" si="38"/>
        <v>3391417</v>
      </c>
      <c r="DS128" s="32">
        <f t="shared" si="39"/>
        <v>0.2</v>
      </c>
      <c r="DT128" s="28">
        <f>IF(DS128="","",DS128*$DO$1/'CPI USA'!$U$532+(1-DS128)*AVERAGE($DO$1,$DQ$1)/AVERAGE('CPI USA'!$U$532,'PPI USA'!$T$538))</f>
        <v>1.0426818386380585</v>
      </c>
      <c r="DU128" s="6">
        <f t="shared" si="40"/>
        <v>2953027.1065745084</v>
      </c>
      <c r="DV128" s="6">
        <f t="shared" si="41"/>
        <v>8014.1668678688238</v>
      </c>
      <c r="DW128" s="6">
        <f t="shared" si="42"/>
        <v>2395607.4918069798</v>
      </c>
      <c r="DX128" s="16">
        <f t="shared" si="43"/>
        <v>0.2</v>
      </c>
      <c r="DY128" s="28">
        <f>IF(DX128="","",DX128*$DO$1/'CPI USA'!$U$532+(1-DX128)*AVERAGE($DO$1,$DQ$1)/AVERAGE('CPI USA'!$U$532,'PPI USA'!$T$538))</f>
        <v>1.0426818386380585</v>
      </c>
      <c r="DZ128" s="30"/>
      <c r="EA128" s="29" t="str">
        <f t="shared" si="44"/>
        <v>C001465</v>
      </c>
      <c r="EB128" s="29">
        <f t="shared" si="45"/>
        <v>4269377206.3454885</v>
      </c>
      <c r="EC128" s="29">
        <f t="shared" si="46"/>
        <v>205168226.86097986</v>
      </c>
      <c r="ED128" s="29">
        <f t="shared" si="47"/>
        <v>100393119.50979054</v>
      </c>
      <c r="EE128" s="29">
        <f t="shared" si="48"/>
        <v>79482173.676759586</v>
      </c>
      <c r="EF128" s="29">
        <f t="shared" si="49"/>
        <v>92264132.041901708</v>
      </c>
      <c r="EG128" s="29">
        <f t="shared" si="50"/>
        <v>4022</v>
      </c>
      <c r="EH128" s="29">
        <f t="shared" si="51"/>
        <v>549745</v>
      </c>
      <c r="EI128" s="29">
        <f t="shared" si="52"/>
        <v>498280</v>
      </c>
      <c r="EJ128" s="29">
        <f t="shared" si="53"/>
        <v>11598226</v>
      </c>
      <c r="EK128" s="29">
        <f t="shared" si="54"/>
        <v>12089709.187817259</v>
      </c>
      <c r="EL128" s="29">
        <f>IF(CD128=1,VLOOKUP(EA128,'EIA 2023'!$A$2:$J$213,4,0)*EH128,"")</f>
        <v>32984700</v>
      </c>
      <c r="EM128" s="29">
        <f>IF(CD128=1,VLOOKUP(EA128,'EIA 2023'!$A$2:$J$213,7,0)*EH128,"")</f>
        <v>390318.94999999995</v>
      </c>
      <c r="EN128" s="29">
        <f>IF(CD128=1,VLOOKUP(EA128,'EIA 2023'!$A$2:$J$213,10,0),"")</f>
        <v>343666</v>
      </c>
      <c r="EO128" s="28">
        <f>IF(CD128=1,VLOOKUP(EA128,'EIA 2023'!$A$2:$Z$213,26,0),"")</f>
        <v>0</v>
      </c>
      <c r="EP128" s="23">
        <f t="shared" si="55"/>
        <v>4.0653019868544409E-2</v>
      </c>
      <c r="EQ128" s="32">
        <f t="shared" si="56"/>
        <v>6796.8121827411233</v>
      </c>
      <c r="ER128" s="32">
        <f t="shared" si="57"/>
        <v>491483.18781725888</v>
      </c>
      <c r="ES128" s="32"/>
      <c r="ET128" s="32"/>
    </row>
    <row r="129" spans="1:150" ht="15.75" customHeight="1">
      <c r="A129" s="7" t="s">
        <v>592</v>
      </c>
      <c r="B129" s="7" t="s">
        <v>593</v>
      </c>
      <c r="C129" s="32" t="s">
        <v>1214</v>
      </c>
      <c r="D129" s="42">
        <v>0</v>
      </c>
      <c r="E129" s="42">
        <v>0</v>
      </c>
      <c r="F129" s="42">
        <v>0</v>
      </c>
      <c r="G129" s="42">
        <v>587003450</v>
      </c>
      <c r="H129" s="42">
        <v>646478732</v>
      </c>
      <c r="I129" s="42">
        <v>663283</v>
      </c>
      <c r="J129" s="42">
        <v>5474</v>
      </c>
      <c r="K129" s="42">
        <v>2811791</v>
      </c>
      <c r="L129" s="42">
        <v>3290439</v>
      </c>
      <c r="M129" s="42">
        <v>6808</v>
      </c>
      <c r="N129" s="42">
        <v>1045762</v>
      </c>
      <c r="O129" s="42">
        <v>50127749</v>
      </c>
      <c r="P129" s="42">
        <v>3835298</v>
      </c>
      <c r="Q129" s="42">
        <v>5160</v>
      </c>
      <c r="R129" s="42">
        <v>314273</v>
      </c>
      <c r="S129" s="42">
        <v>8704355</v>
      </c>
      <c r="T129" s="42">
        <v>61985878</v>
      </c>
      <c r="U129" s="42">
        <v>5266537</v>
      </c>
      <c r="V129" s="42">
        <v>584449</v>
      </c>
      <c r="W129" s="42">
        <v>1851840</v>
      </c>
      <c r="X129" s="42">
        <f>IFERROR(VLOOKUP(A129,'Trans 21-23'!$A$2:$J$229,10,0),0)</f>
        <v>8951764</v>
      </c>
      <c r="Y129" s="42">
        <v>6961013</v>
      </c>
      <c r="Z129" s="42">
        <v>4543</v>
      </c>
      <c r="AA129" s="42">
        <v>76508900</v>
      </c>
      <c r="AB129" s="42">
        <v>36585692</v>
      </c>
      <c r="AC129" s="42">
        <v>0</v>
      </c>
      <c r="AD129" s="42">
        <v>95418176</v>
      </c>
      <c r="AE129" s="42">
        <v>0</v>
      </c>
      <c r="AF129" s="42">
        <v>1037369732</v>
      </c>
      <c r="AG129" s="42">
        <v>569973</v>
      </c>
      <c r="AH129" s="42">
        <v>227725</v>
      </c>
      <c r="AI129" s="42">
        <v>9079663</v>
      </c>
      <c r="AJ129" s="42">
        <v>6241</v>
      </c>
      <c r="AK129" s="42">
        <v>0</v>
      </c>
      <c r="AL129" s="42">
        <v>4013338</v>
      </c>
      <c r="AM129" s="42">
        <v>1550807</v>
      </c>
      <c r="AN129" s="42">
        <v>3128203</v>
      </c>
      <c r="AO129" s="42">
        <v>43881</v>
      </c>
      <c r="AP129" s="42">
        <v>0</v>
      </c>
      <c r="AQ129" s="42">
        <v>8736229</v>
      </c>
      <c r="AR129" s="42">
        <v>109468</v>
      </c>
      <c r="AS129" s="42">
        <v>8845697</v>
      </c>
      <c r="AT129" s="42">
        <v>0</v>
      </c>
      <c r="AU129" s="42">
        <v>2478</v>
      </c>
      <c r="AV129" s="42">
        <v>0</v>
      </c>
      <c r="AW129" s="42">
        <v>644590165</v>
      </c>
      <c r="AX129" s="42">
        <v>43118022</v>
      </c>
      <c r="AY129" s="42">
        <v>198655678</v>
      </c>
      <c r="AZ129" s="42">
        <v>124802187</v>
      </c>
      <c r="BA129" s="42">
        <v>127503839</v>
      </c>
      <c r="BB129" s="42">
        <v>3115342242</v>
      </c>
      <c r="BC129" s="42">
        <v>5665786665</v>
      </c>
      <c r="BD129" s="42">
        <v>277135340</v>
      </c>
      <c r="BE129" s="42">
        <v>722275740</v>
      </c>
      <c r="BF129" s="42">
        <v>96267699</v>
      </c>
      <c r="BG129" s="42">
        <v>0</v>
      </c>
      <c r="BH129" s="42">
        <v>29535597</v>
      </c>
      <c r="BI129" s="42">
        <v>836940</v>
      </c>
      <c r="BJ129" s="42">
        <v>814067</v>
      </c>
      <c r="BK129" s="42">
        <v>0</v>
      </c>
      <c r="BL129" s="42">
        <v>0</v>
      </c>
      <c r="BM129" s="42">
        <v>3117314</v>
      </c>
      <c r="BN129" s="42">
        <v>38481349</v>
      </c>
      <c r="BO129" s="42">
        <v>1427459</v>
      </c>
      <c r="BP129" s="42">
        <v>573881</v>
      </c>
      <c r="BQ129" s="42">
        <v>87844415</v>
      </c>
      <c r="BR129" s="42">
        <v>0</v>
      </c>
      <c r="BS129" s="42">
        <f>IFERROR(VLOOKUP(A129,'Trans 21-23'!$A$2:$J$229,9,0),0)</f>
        <v>703562103</v>
      </c>
      <c r="BT129" s="67"/>
      <c r="BU129" s="32">
        <f t="shared" si="0"/>
        <v>3115342242</v>
      </c>
      <c r="BV129" s="32">
        <f t="shared" si="1"/>
        <v>2478</v>
      </c>
      <c r="BW129" s="32">
        <f t="shared" si="2"/>
        <v>569973</v>
      </c>
      <c r="BX129" s="32">
        <f t="shared" si="3"/>
        <v>140499096</v>
      </c>
      <c r="BY129" s="32">
        <f t="shared" si="4"/>
        <v>120060148</v>
      </c>
      <c r="BZ129" s="32">
        <f t="shared" si="5"/>
        <v>124802187</v>
      </c>
      <c r="CA129" s="32">
        <f t="shared" si="6"/>
        <v>95418176</v>
      </c>
      <c r="CB129" s="32">
        <f t="shared" si="7"/>
        <v>227725</v>
      </c>
      <c r="CC129" s="32">
        <f t="shared" si="8"/>
        <v>8736229</v>
      </c>
      <c r="CD129" s="41">
        <f t="shared" si="67"/>
        <v>1</v>
      </c>
      <c r="CE129" s="44">
        <f t="shared" si="10"/>
        <v>13</v>
      </c>
      <c r="CF129" s="27"/>
      <c r="CG129" s="28">
        <f t="shared" si="11"/>
        <v>1257.2002590799032</v>
      </c>
      <c r="CH129" s="28">
        <f t="shared" si="12"/>
        <v>4.3475743587854163</v>
      </c>
      <c r="CI129" s="28">
        <f t="shared" si="13"/>
        <v>246.50131848350711</v>
      </c>
      <c r="CJ129" s="28">
        <f t="shared" si="14"/>
        <v>218.96157712733762</v>
      </c>
      <c r="CK129" s="23">
        <f t="shared" si="15"/>
        <v>2.6066738864102577E-2</v>
      </c>
      <c r="CL129" s="29" t="str">
        <f t="shared" si="16"/>
        <v/>
      </c>
      <c r="CM129" s="29" t="str">
        <f t="shared" si="17"/>
        <v/>
      </c>
      <c r="CN129" s="29" t="str">
        <f t="shared" si="18"/>
        <v/>
      </c>
      <c r="CO129" s="29" t="str">
        <f t="shared" si="19"/>
        <v/>
      </c>
      <c r="CP129" s="29" t="str">
        <f t="shared" si="20"/>
        <v/>
      </c>
      <c r="CQ129" s="29">
        <f t="shared" si="21"/>
        <v>0</v>
      </c>
      <c r="CR129" s="13"/>
      <c r="CS129" s="7">
        <f>VLOOKUP(A129,'Empresas 21-23'!$A$2:$M$228,13,0)</f>
        <v>1</v>
      </c>
      <c r="CT129" s="30"/>
      <c r="CU129" s="6">
        <f t="shared" si="22"/>
        <v>3421534099</v>
      </c>
      <c r="CV129" s="6">
        <f t="shared" si="23"/>
        <v>124802187</v>
      </c>
      <c r="CW129" s="6">
        <f t="shared" si="24"/>
        <v>277135340</v>
      </c>
      <c r="CX129" s="23">
        <f t="shared" si="68"/>
        <v>0.63495184465289189</v>
      </c>
      <c r="CY129" s="23">
        <f t="shared" si="69"/>
        <v>2.3160189715930452E-2</v>
      </c>
      <c r="CZ129" s="6">
        <f t="shared" si="27"/>
        <v>3597501694.3515062</v>
      </c>
      <c r="DA129" s="6">
        <f t="shared" si="28"/>
        <v>131220694.05138889</v>
      </c>
      <c r="DB129" s="6">
        <f t="shared" si="29"/>
        <v>140499096</v>
      </c>
      <c r="DC129" s="6">
        <f t="shared" si="30"/>
        <v>149450860</v>
      </c>
      <c r="DD129" s="6">
        <f t="shared" si="31"/>
        <v>120060148</v>
      </c>
      <c r="DE129" s="6">
        <f t="shared" si="32"/>
        <v>95418176</v>
      </c>
      <c r="DF129" s="6">
        <f t="shared" si="70"/>
        <v>87034226.861017197</v>
      </c>
      <c r="DG129" s="30"/>
      <c r="DH129" s="32">
        <f>VLOOKUP(A129,'T_med_comp-USA'!$A$7:$Q$233,17,0)</f>
        <v>7.4129029417369656</v>
      </c>
      <c r="DI129" s="6" t="str">
        <f t="shared" si="34"/>
        <v>8_2016</v>
      </c>
      <c r="DJ129" s="32">
        <f>IF(DI129="","",VLOOKUP(DI129,'CPI USA'!$T:$U,2,FALSE))</f>
        <v>240.84899999999999</v>
      </c>
      <c r="DK129" s="32">
        <f>IF(DI129="","",VLOOKUP(DI129,'PPI USA'!$S:$T,2,FALSE))</f>
        <v>189.2</v>
      </c>
      <c r="DL129" s="32">
        <f>IF(DI129="","",VLOOKUP(DI129,'CPI USA'!$T:$V,3,FALSE))</f>
        <v>0.67131212484522451</v>
      </c>
      <c r="DM129" s="32">
        <f>IF(DI129="","",VLOOKUP(DI129,'CPI USA'!$T:$X,5,FALSE))</f>
        <v>0.49965731919331663</v>
      </c>
      <c r="DN129" s="32">
        <f t="shared" si="35"/>
        <v>1.3188401793974869</v>
      </c>
      <c r="DO129" s="32">
        <f t="shared" si="36"/>
        <v>1.3263563804629017</v>
      </c>
      <c r="DP129" s="32">
        <f t="shared" si="37"/>
        <v>0.21801716698182927</v>
      </c>
      <c r="DQ129" s="32">
        <f>IF(DP129="","",DP129*$DO$1/'CPI USA'!$U$532+(1-DP129)*AVERAGE($DO$1,$DQ$1)/AVERAGE('CPI USA'!$U$532,'PPI USA'!$T$538))</f>
        <v>1.0422660226051594</v>
      </c>
      <c r="DR129" s="6">
        <f t="shared" si="38"/>
        <v>1651007</v>
      </c>
      <c r="DS129" s="32">
        <f t="shared" si="39"/>
        <v>0.2</v>
      </c>
      <c r="DT129" s="28">
        <f>IF(DS129="","",DS129*$DO$1/'CPI USA'!$U$532+(1-DS129)*AVERAGE($DO$1,$DQ$1)/AVERAGE('CPI USA'!$U$532,'PPI USA'!$T$538))</f>
        <v>1.0426818386380585</v>
      </c>
      <c r="DU129" s="6">
        <f t="shared" si="40"/>
        <v>3232950.2248404026</v>
      </c>
      <c r="DV129" s="6">
        <f t="shared" si="41"/>
        <v>20499.098534609631</v>
      </c>
      <c r="DW129" s="6">
        <f t="shared" si="42"/>
        <v>2636706.8286032397</v>
      </c>
      <c r="DX129" s="16">
        <f t="shared" si="43"/>
        <v>0.2</v>
      </c>
      <c r="DY129" s="28">
        <f>IF(DX129="","",DX129*$DO$1/'CPI USA'!$U$532+(1-DX129)*AVERAGE($DO$1,$DQ$1)/AVERAGE('CPI USA'!$U$532,'PPI USA'!$T$538))</f>
        <v>1.0426818386380585</v>
      </c>
      <c r="DZ129" s="30"/>
      <c r="EA129" s="29" t="str">
        <f t="shared" si="44"/>
        <v>C001466</v>
      </c>
      <c r="EB129" s="29">
        <f t="shared" si="45"/>
        <v>4744529779.9613037</v>
      </c>
      <c r="EC129" s="29">
        <f t="shared" si="46"/>
        <v>174045404.80383</v>
      </c>
      <c r="ED129" s="29">
        <f t="shared" si="47"/>
        <v>155767553.42712051</v>
      </c>
      <c r="EE129" s="29">
        <f t="shared" si="48"/>
        <v>125184535.86379743</v>
      </c>
      <c r="EF129" s="29">
        <f t="shared" si="49"/>
        <v>90749007.687887311</v>
      </c>
      <c r="EG129" s="29">
        <f t="shared" si="50"/>
        <v>2478</v>
      </c>
      <c r="EH129" s="29">
        <f t="shared" si="51"/>
        <v>569973</v>
      </c>
      <c r="EI129" s="29">
        <f t="shared" si="52"/>
        <v>227725</v>
      </c>
      <c r="EJ129" s="29">
        <f t="shared" si="53"/>
        <v>8736229</v>
      </c>
      <c r="EK129" s="29">
        <f t="shared" si="54"/>
        <v>8962286.9746192899</v>
      </c>
      <c r="EL129" s="29">
        <f>IF(CD129=1,VLOOKUP(EA129,'EIA 2023'!$A$2:$J$213,4,0)*EH129,"")</f>
        <v>30208569</v>
      </c>
      <c r="EM129" s="29">
        <f>IF(CD129=1,VLOOKUP(EA129,'EIA 2023'!$A$2:$J$213,7,0)*EH129,"")</f>
        <v>376182.18</v>
      </c>
      <c r="EN129" s="29">
        <f>IF(CD129=1,VLOOKUP(EA129,'EIA 2023'!$A$2:$J$213,10,0),"")</f>
        <v>594</v>
      </c>
      <c r="EO129" s="28">
        <f>IF(CD129=1,VLOOKUP(EA129,'EIA 2023'!$A$2:$Z$213,26,0),"")</f>
        <v>0</v>
      </c>
      <c r="EP129" s="23">
        <f t="shared" si="55"/>
        <v>2.5223246617685113E-2</v>
      </c>
      <c r="EQ129" s="32">
        <f t="shared" si="56"/>
        <v>1667.0253807106637</v>
      </c>
      <c r="ER129" s="32">
        <f t="shared" si="57"/>
        <v>226057.97461928934</v>
      </c>
      <c r="ES129" s="32"/>
      <c r="ET129" s="32"/>
    </row>
    <row r="130" spans="1:150" ht="15.75" customHeight="1">
      <c r="A130" s="7" t="s">
        <v>595</v>
      </c>
      <c r="B130" s="7" t="s">
        <v>596</v>
      </c>
      <c r="C130" s="32" t="s">
        <v>1215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10638627</v>
      </c>
      <c r="J130" s="42">
        <v>4176536</v>
      </c>
      <c r="K130" s="42">
        <v>10915785</v>
      </c>
      <c r="L130" s="42">
        <v>18349694</v>
      </c>
      <c r="M130" s="42">
        <v>7930748</v>
      </c>
      <c r="N130" s="42">
        <v>1768134</v>
      </c>
      <c r="O130" s="42">
        <v>89609453</v>
      </c>
      <c r="P130" s="42">
        <v>907551</v>
      </c>
      <c r="Q130" s="42">
        <v>1353495</v>
      </c>
      <c r="R130" s="42">
        <v>16679</v>
      </c>
      <c r="S130" s="42">
        <v>8495155</v>
      </c>
      <c r="T130" s="42">
        <v>108431783</v>
      </c>
      <c r="U130" s="42">
        <v>27178730</v>
      </c>
      <c r="V130" s="42">
        <v>4629810</v>
      </c>
      <c r="W130" s="42">
        <v>2272862</v>
      </c>
      <c r="X130" s="42">
        <f>IFERROR(VLOOKUP(A130,'Trans 21-23'!$A$2:$J$229,10,0),0)</f>
        <v>0</v>
      </c>
      <c r="Y130" s="42">
        <v>32789073</v>
      </c>
      <c r="Z130" s="42">
        <v>18923683</v>
      </c>
      <c r="AA130" s="42">
        <v>28564992</v>
      </c>
      <c r="AB130" s="42">
        <v>56011535</v>
      </c>
      <c r="AC130" s="42">
        <v>0</v>
      </c>
      <c r="AD130" s="42">
        <v>680454403</v>
      </c>
      <c r="AE130" s="42">
        <v>0</v>
      </c>
      <c r="AF130" s="42">
        <v>2606358581</v>
      </c>
      <c r="AG130" s="42">
        <v>3936106</v>
      </c>
      <c r="AH130" s="42">
        <v>0</v>
      </c>
      <c r="AI130" s="42">
        <v>156150440</v>
      </c>
      <c r="AJ130" s="42">
        <v>0</v>
      </c>
      <c r="AK130" s="42">
        <v>0</v>
      </c>
      <c r="AL130" s="42">
        <v>47913732</v>
      </c>
      <c r="AM130" s="42">
        <v>49572668</v>
      </c>
      <c r="AN130" s="42">
        <v>58299083</v>
      </c>
      <c r="AO130" s="42">
        <v>364958</v>
      </c>
      <c r="AP130" s="42">
        <v>0</v>
      </c>
      <c r="AQ130" s="42">
        <v>156150440</v>
      </c>
      <c r="AR130" s="42">
        <v>0</v>
      </c>
      <c r="AS130" s="42">
        <v>156150440</v>
      </c>
      <c r="AT130" s="42">
        <v>0</v>
      </c>
      <c r="AU130" s="42">
        <v>0</v>
      </c>
      <c r="AV130" s="42">
        <v>0</v>
      </c>
      <c r="AW130" s="42">
        <v>2059608990</v>
      </c>
      <c r="AX130" s="42">
        <v>1361146899</v>
      </c>
      <c r="AY130" s="42">
        <v>2951423236</v>
      </c>
      <c r="AZ130" s="42">
        <v>600551267</v>
      </c>
      <c r="BA130" s="42">
        <v>507047965</v>
      </c>
      <c r="BB130" s="42">
        <v>18757062698</v>
      </c>
      <c r="BC130" s="42">
        <v>34183976921</v>
      </c>
      <c r="BD130" s="42">
        <v>881919873</v>
      </c>
      <c r="BE130" s="42">
        <v>6408826940</v>
      </c>
      <c r="BF130" s="42">
        <v>468832535</v>
      </c>
      <c r="BG130" s="42">
        <v>0</v>
      </c>
      <c r="BH130" s="42">
        <v>148215892</v>
      </c>
      <c r="BI130" s="42">
        <v>10758557</v>
      </c>
      <c r="BJ130" s="42">
        <v>0</v>
      </c>
      <c r="BK130" s="42">
        <v>0</v>
      </c>
      <c r="BL130" s="42">
        <v>0</v>
      </c>
      <c r="BM130" s="42">
        <v>173535832</v>
      </c>
      <c r="BN130" s="42">
        <v>381795955</v>
      </c>
      <c r="BO130" s="42">
        <v>0</v>
      </c>
      <c r="BP130" s="42">
        <v>79863874</v>
      </c>
      <c r="BQ130" s="42">
        <v>756025863</v>
      </c>
      <c r="BR130" s="42">
        <v>0</v>
      </c>
      <c r="BS130" s="42">
        <f>IFERROR(VLOOKUP(A130,'Trans 21-23'!$A$2:$J$229,9,0),0)</f>
        <v>0</v>
      </c>
      <c r="BT130" s="67"/>
      <c r="BU130" s="32">
        <f t="shared" si="0"/>
        <v>18757062698</v>
      </c>
      <c r="BV130" s="32">
        <f t="shared" si="1"/>
        <v>0</v>
      </c>
      <c r="BW130" s="32">
        <f t="shared" si="2"/>
        <v>3936106</v>
      </c>
      <c r="BX130" s="32">
        <f t="shared" si="3"/>
        <v>296675042</v>
      </c>
      <c r="BY130" s="32">
        <f t="shared" si="4"/>
        <v>136289283</v>
      </c>
      <c r="BZ130" s="32">
        <f t="shared" si="5"/>
        <v>600551267</v>
      </c>
      <c r="CA130" s="32">
        <f t="shared" si="6"/>
        <v>680454403</v>
      </c>
      <c r="CB130" s="32">
        <f t="shared" si="7"/>
        <v>0</v>
      </c>
      <c r="CC130" s="32">
        <f t="shared" si="8"/>
        <v>156150440</v>
      </c>
      <c r="CD130" s="41">
        <f t="shared" si="67"/>
        <v>0</v>
      </c>
      <c r="CE130" s="44">
        <f t="shared" si="10"/>
        <v>23</v>
      </c>
      <c r="CF130" s="27"/>
      <c r="CG130" s="28" t="str">
        <f t="shared" si="11"/>
        <v/>
      </c>
      <c r="CH130" s="28" t="str">
        <f t="shared" si="12"/>
        <v/>
      </c>
      <c r="CI130" s="28" t="str">
        <f t="shared" si="13"/>
        <v/>
      </c>
      <c r="CJ130" s="28" t="str">
        <f t="shared" si="14"/>
        <v/>
      </c>
      <c r="CK130" s="23" t="str">
        <f t="shared" si="15"/>
        <v/>
      </c>
      <c r="CL130" s="29" t="str">
        <f t="shared" si="16"/>
        <v/>
      </c>
      <c r="CM130" s="29" t="str">
        <f t="shared" si="17"/>
        <v/>
      </c>
      <c r="CN130" s="29" t="str">
        <f t="shared" si="18"/>
        <v/>
      </c>
      <c r="CO130" s="29" t="str">
        <f t="shared" si="19"/>
        <v/>
      </c>
      <c r="CP130" s="29" t="str">
        <f t="shared" si="20"/>
        <v/>
      </c>
      <c r="CQ130" s="29" t="str">
        <f t="shared" si="21"/>
        <v/>
      </c>
      <c r="CR130" s="13"/>
      <c r="CS130" s="7" t="str">
        <f>VLOOKUP(A130,'Empresas 21-23'!$A$2:$M$228,13,0)</f>
        <v/>
      </c>
      <c r="CT130" s="30"/>
      <c r="CU130" s="6">
        <f t="shared" si="22"/>
        <v>15061921385</v>
      </c>
      <c r="CV130" s="6">
        <f t="shared" si="23"/>
        <v>600551267</v>
      </c>
      <c r="CW130" s="6">
        <f t="shared" si="24"/>
        <v>881919873</v>
      </c>
      <c r="CX130" s="23">
        <f t="shared" si="68"/>
        <v>0.45228201258830536</v>
      </c>
      <c r="CY130" s="23">
        <f t="shared" si="69"/>
        <v>1.8033458597899642E-2</v>
      </c>
      <c r="CZ130" s="6">
        <f t="shared" si="27"/>
        <v>15460797880.102062</v>
      </c>
      <c r="DA130" s="6">
        <f t="shared" si="28"/>
        <v>616455332.51641035</v>
      </c>
      <c r="DB130" s="6">
        <f t="shared" si="29"/>
        <v>296675042</v>
      </c>
      <c r="DC130" s="6">
        <f t="shared" si="30"/>
        <v>296675042</v>
      </c>
      <c r="DD130" s="6">
        <f t="shared" si="31"/>
        <v>136289283</v>
      </c>
      <c r="DE130" s="6">
        <f t="shared" si="32"/>
        <v>680454403</v>
      </c>
      <c r="DF130" s="6">
        <f t="shared" si="70"/>
        <v>152973592.69147032</v>
      </c>
      <c r="DG130" s="30"/>
      <c r="DH130" s="32">
        <f>VLOOKUP(A130,'T_med_comp-USA'!$A$7:$Q$233,17,0)</f>
        <v>14.9721424480992</v>
      </c>
      <c r="DI130" s="6" t="str">
        <f t="shared" si="34"/>
        <v>1_2009</v>
      </c>
      <c r="DJ130" s="32">
        <f>IF(DI130="","",VLOOKUP(DI130,'CPI USA'!$T:$U,2,FALSE))</f>
        <v>214.53700000000001</v>
      </c>
      <c r="DK130" s="32">
        <f>IF(DI130="","",VLOOKUP(DI130,'PPI USA'!$S:$T,2,FALSE))</f>
        <v>159.1</v>
      </c>
      <c r="DL130" s="32">
        <f>IF(DI130="","",VLOOKUP(DI130,'CPI USA'!$T:$V,3,FALSE))</f>
        <v>0.66997101349938215</v>
      </c>
      <c r="DM130" s="32">
        <f>IF(DI130="","",VLOOKUP(DI130,'CPI USA'!$T:$X,5,FALSE))</f>
        <v>0.49813941766071862</v>
      </c>
      <c r="DN130" s="32">
        <f t="shared" si="35"/>
        <v>1.4932638886873792</v>
      </c>
      <c r="DO130" s="32">
        <f t="shared" si="36"/>
        <v>1.5082750176818205</v>
      </c>
      <c r="DP130" s="32">
        <f t="shared" si="37"/>
        <v>0.49959002618090131</v>
      </c>
      <c r="DQ130" s="32">
        <f>IF(DP130="","",DP130*$DO$1/'CPI USA'!$U$532+(1-DP130)*AVERAGE($DO$1,$DQ$1)/AVERAGE('CPI USA'!$U$532,'PPI USA'!$T$538))</f>
        <v>1.0357676364048045</v>
      </c>
      <c r="DR130" s="6">
        <f t="shared" si="38"/>
        <v>10758557</v>
      </c>
      <c r="DS130" s="32">
        <f t="shared" si="39"/>
        <v>0.2</v>
      </c>
      <c r="DT130" s="28">
        <f>IF(DS130="","",DS130*$DO$1/'CPI USA'!$U$532+(1-DS130)*AVERAGE($DO$1,$DQ$1)/AVERAGE('CPI USA'!$U$532,'PPI USA'!$T$538))</f>
        <v>1.0426818386380585</v>
      </c>
      <c r="DU130" s="6">
        <f t="shared" si="40"/>
        <v>173535832</v>
      </c>
      <c r="DV130" s="6">
        <f t="shared" si="41"/>
        <v>20496928.320135381</v>
      </c>
      <c r="DW130" s="6">
        <f t="shared" si="42"/>
        <v>80792503.838451058</v>
      </c>
      <c r="DX130" s="16">
        <f t="shared" si="43"/>
        <v>0.52814673707376414</v>
      </c>
      <c r="DY130" s="28">
        <f>IF(DX130="","",DX130*$DO$1/'CPI USA'!$U$532+(1-DX130)*AVERAGE($DO$1,$DQ$1)/AVERAGE('CPI USA'!$U$532,'PPI USA'!$T$538))</f>
        <v>1.0351085795037895</v>
      </c>
      <c r="DZ130" s="30"/>
      <c r="EA130" s="29" t="str">
        <f t="shared" si="44"/>
        <v>C001486</v>
      </c>
      <c r="EB130" s="29" t="str">
        <f t="shared" si="45"/>
        <v/>
      </c>
      <c r="EC130" s="29" t="str">
        <f t="shared" si="46"/>
        <v/>
      </c>
      <c r="ED130" s="29" t="str">
        <f t="shared" si="47"/>
        <v/>
      </c>
      <c r="EE130" s="29" t="str">
        <f t="shared" si="48"/>
        <v/>
      </c>
      <c r="EF130" s="29" t="str">
        <f t="shared" si="49"/>
        <v/>
      </c>
      <c r="EG130" s="29" t="str">
        <f t="shared" si="50"/>
        <v/>
      </c>
      <c r="EH130" s="29" t="str">
        <f t="shared" si="51"/>
        <v/>
      </c>
      <c r="EI130" s="29" t="str">
        <f t="shared" si="52"/>
        <v/>
      </c>
      <c r="EJ130" s="29" t="str">
        <f t="shared" si="53"/>
        <v/>
      </c>
      <c r="EK130" s="29" t="str">
        <f t="shared" si="54"/>
        <v/>
      </c>
      <c r="EL130" s="29" t="str">
        <f>IF(CD130=1,VLOOKUP(EA130,'EIA 2023'!$A$2:$J$213,4,0)*EH130,"")</f>
        <v/>
      </c>
      <c r="EM130" s="29" t="str">
        <f>IF(CD130=1,VLOOKUP(EA130,'EIA 2023'!$A$2:$J$213,7,0)*EH130,"")</f>
        <v/>
      </c>
      <c r="EN130" s="29" t="str">
        <f>IF(CD130=1,VLOOKUP(EA130,'EIA 2023'!$A$2:$J$213,10,0),"")</f>
        <v/>
      </c>
      <c r="EO130" s="28" t="str">
        <f>IF(CD130=1,VLOOKUP(EA130,'EIA 2023'!$A$2:$Z$213,26,0),"")</f>
        <v/>
      </c>
      <c r="EP130" s="23" t="str">
        <f t="shared" si="55"/>
        <v/>
      </c>
      <c r="EQ130" s="32" t="str">
        <f t="shared" si="56"/>
        <v/>
      </c>
      <c r="ER130" s="32" t="str">
        <f t="shared" si="57"/>
        <v/>
      </c>
      <c r="ES130" s="32"/>
      <c r="ET130" s="32"/>
    </row>
    <row r="131" spans="1:150" ht="15.75" customHeight="1">
      <c r="A131" s="7" t="s">
        <v>598</v>
      </c>
      <c r="B131" s="7" t="s">
        <v>599</v>
      </c>
      <c r="C131" s="32" t="s">
        <v>1216</v>
      </c>
      <c r="D131" s="42">
        <v>708799562</v>
      </c>
      <c r="E131" s="42">
        <v>101229688</v>
      </c>
      <c r="F131" s="42">
        <v>488548208</v>
      </c>
      <c r="G131" s="42">
        <v>504004354</v>
      </c>
      <c r="H131" s="42">
        <v>522630046</v>
      </c>
      <c r="I131" s="42">
        <v>19687111</v>
      </c>
      <c r="J131" s="42">
        <v>2679780</v>
      </c>
      <c r="K131" s="42">
        <v>9723200</v>
      </c>
      <c r="L131" s="42">
        <v>2488945</v>
      </c>
      <c r="M131" s="42">
        <v>7128108</v>
      </c>
      <c r="N131" s="42">
        <v>4440663</v>
      </c>
      <c r="O131" s="42">
        <v>53682602</v>
      </c>
      <c r="P131" s="42">
        <v>2998</v>
      </c>
      <c r="Q131" s="42">
        <v>22551296</v>
      </c>
      <c r="R131" s="42">
        <v>158331</v>
      </c>
      <c r="S131" s="42">
        <v>7041628</v>
      </c>
      <c r="T131" s="42">
        <v>5749658</v>
      </c>
      <c r="U131" s="42">
        <v>6256734</v>
      </c>
      <c r="V131" s="42">
        <v>4500183</v>
      </c>
      <c r="W131" s="42">
        <v>6897</v>
      </c>
      <c r="X131" s="42">
        <f>IFERROR(VLOOKUP(A131,'Trans 21-23'!$A$2:$J$229,10,0),0)</f>
        <v>28147242</v>
      </c>
      <c r="Y131" s="42">
        <v>18398499</v>
      </c>
      <c r="Z131" s="42">
        <v>2725521</v>
      </c>
      <c r="AA131" s="42">
        <v>112625572</v>
      </c>
      <c r="AB131" s="42">
        <v>46553337</v>
      </c>
      <c r="AC131" s="42">
        <v>14008922</v>
      </c>
      <c r="AD131" s="42">
        <v>274702230</v>
      </c>
      <c r="AE131" s="42">
        <v>0</v>
      </c>
      <c r="AF131" s="42">
        <v>3316721081</v>
      </c>
      <c r="AG131" s="42">
        <v>1537035</v>
      </c>
      <c r="AH131" s="42">
        <v>3454406</v>
      </c>
      <c r="AI131" s="42">
        <v>65777693</v>
      </c>
      <c r="AJ131" s="42">
        <v>141819</v>
      </c>
      <c r="AK131" s="42">
        <v>1271</v>
      </c>
      <c r="AL131" s="42">
        <v>17365015</v>
      </c>
      <c r="AM131" s="42">
        <v>12921448</v>
      </c>
      <c r="AN131" s="42">
        <v>20359287</v>
      </c>
      <c r="AO131" s="42">
        <v>100438</v>
      </c>
      <c r="AP131" s="42">
        <v>0</v>
      </c>
      <c r="AQ131" s="42">
        <v>50746188</v>
      </c>
      <c r="AR131" s="42">
        <v>11434009</v>
      </c>
      <c r="AS131" s="42">
        <v>62180197</v>
      </c>
      <c r="AT131" s="42">
        <v>0</v>
      </c>
      <c r="AU131" s="42">
        <v>13650</v>
      </c>
      <c r="AV131" s="42">
        <v>0</v>
      </c>
      <c r="AW131" s="42">
        <v>1871401585</v>
      </c>
      <c r="AX131" s="42">
        <v>133976452</v>
      </c>
      <c r="AY131" s="42">
        <v>1011655015</v>
      </c>
      <c r="AZ131" s="42">
        <v>482667479</v>
      </c>
      <c r="BA131" s="42">
        <v>428474364</v>
      </c>
      <c r="BB131" s="42">
        <v>9763003949</v>
      </c>
      <c r="BC131" s="42">
        <v>36239510565</v>
      </c>
      <c r="BD131" s="42">
        <v>2337307084</v>
      </c>
      <c r="BE131" s="42">
        <v>2841178849</v>
      </c>
      <c r="BF131" s="42">
        <v>299943502</v>
      </c>
      <c r="BG131" s="42">
        <v>0</v>
      </c>
      <c r="BH131" s="42">
        <v>102973000</v>
      </c>
      <c r="BI131" s="42">
        <v>47355380</v>
      </c>
      <c r="BJ131" s="42">
        <v>28376294</v>
      </c>
      <c r="BK131" s="42">
        <v>3406193</v>
      </c>
      <c r="BL131" s="42">
        <v>0</v>
      </c>
      <c r="BM131" s="42">
        <v>68904961</v>
      </c>
      <c r="BN131" s="42">
        <v>403808481</v>
      </c>
      <c r="BO131" s="42">
        <v>16432147</v>
      </c>
      <c r="BP131" s="42">
        <v>36831043</v>
      </c>
      <c r="BQ131" s="42">
        <v>702517183</v>
      </c>
      <c r="BR131" s="42">
        <v>0</v>
      </c>
      <c r="BS131" s="42">
        <f>IFERROR(VLOOKUP(A131,'Trans 21-23'!$A$2:$J$229,9,0),0)</f>
        <v>2935931728</v>
      </c>
      <c r="BT131" s="67"/>
      <c r="BU131" s="32">
        <f t="shared" si="0"/>
        <v>9763003949</v>
      </c>
      <c r="BV131" s="32">
        <f t="shared" si="1"/>
        <v>13650</v>
      </c>
      <c r="BW131" s="32">
        <f t="shared" si="2"/>
        <v>1537035</v>
      </c>
      <c r="BX131" s="32">
        <f t="shared" si="3"/>
        <v>146098134</v>
      </c>
      <c r="BY131" s="32">
        <f t="shared" si="4"/>
        <v>194311851</v>
      </c>
      <c r="BZ131" s="32">
        <f t="shared" si="5"/>
        <v>482667479</v>
      </c>
      <c r="CA131" s="32">
        <f t="shared" si="6"/>
        <v>274702230</v>
      </c>
      <c r="CB131" s="32">
        <f t="shared" si="7"/>
        <v>3454406</v>
      </c>
      <c r="CC131" s="32">
        <f t="shared" si="8"/>
        <v>50746188</v>
      </c>
      <c r="CD131" s="41">
        <f t="shared" si="67"/>
        <v>1</v>
      </c>
      <c r="CE131" s="44">
        <f t="shared" si="10"/>
        <v>7</v>
      </c>
      <c r="CF131" s="27"/>
      <c r="CG131" s="28">
        <f t="shared" si="11"/>
        <v>715.23838454212455</v>
      </c>
      <c r="CH131" s="28">
        <f t="shared" si="12"/>
        <v>8.8807346612146105</v>
      </c>
      <c r="CI131" s="28">
        <f t="shared" si="13"/>
        <v>95.051923996525773</v>
      </c>
      <c r="CJ131" s="28">
        <f t="shared" si="14"/>
        <v>314.02504106933156</v>
      </c>
      <c r="CK131" s="23">
        <f t="shared" si="15"/>
        <v>6.8072226430091656E-2</v>
      </c>
      <c r="CL131" s="29" t="str">
        <f t="shared" si="16"/>
        <v/>
      </c>
      <c r="CM131" s="29" t="str">
        <f t="shared" si="17"/>
        <v/>
      </c>
      <c r="CN131" s="29" t="str">
        <f t="shared" si="18"/>
        <v/>
      </c>
      <c r="CO131" s="29" t="str">
        <f t="shared" si="19"/>
        <v/>
      </c>
      <c r="CP131" s="29" t="str">
        <f t="shared" si="20"/>
        <v/>
      </c>
      <c r="CQ131" s="29">
        <f t="shared" si="21"/>
        <v>0</v>
      </c>
      <c r="CR131" s="13"/>
      <c r="CS131" s="7">
        <f>VLOOKUP(A131,'Empresas 21-23'!$A$2:$M$228,13,0)</f>
        <v>1</v>
      </c>
      <c r="CT131" s="30"/>
      <c r="CU131" s="6">
        <f t="shared" si="22"/>
        <v>11100414953.799999</v>
      </c>
      <c r="CV131" s="6">
        <f t="shared" si="23"/>
        <v>482667479</v>
      </c>
      <c r="CW131" s="6">
        <f t="shared" si="24"/>
        <v>2337307084</v>
      </c>
      <c r="CX131" s="23">
        <f t="shared" si="68"/>
        <v>0.3274245864290522</v>
      </c>
      <c r="CY131" s="23">
        <f t="shared" si="69"/>
        <v>1.4237053331076371E-2</v>
      </c>
      <c r="CZ131" s="6">
        <f t="shared" si="27"/>
        <v>11865706759.136393</v>
      </c>
      <c r="DA131" s="6">
        <f t="shared" si="28"/>
        <v>515943844.60601062</v>
      </c>
      <c r="DB131" s="6">
        <f t="shared" si="29"/>
        <v>146098134</v>
      </c>
      <c r="DC131" s="6">
        <f t="shared" si="30"/>
        <v>174245376</v>
      </c>
      <c r="DD131" s="6">
        <f t="shared" si="31"/>
        <v>194311851</v>
      </c>
      <c r="DE131" s="6">
        <f t="shared" si="32"/>
        <v>274702230</v>
      </c>
      <c r="DF131" s="6">
        <f t="shared" si="70"/>
        <v>82931316.44648467</v>
      </c>
      <c r="DG131" s="30"/>
      <c r="DH131" s="32">
        <f>VLOOKUP(A131,'T_med_comp-USA'!$A$7:$Q$233,17,0)</f>
        <v>11.242839369624525</v>
      </c>
      <c r="DI131" s="6" t="str">
        <f t="shared" si="34"/>
        <v>10_2012</v>
      </c>
      <c r="DJ131" s="32">
        <f>IF(DI131="","",VLOOKUP(DI131,'CPI USA'!$T:$U,2,FALSE))</f>
        <v>229.59399999999999</v>
      </c>
      <c r="DK131" s="32">
        <f>IF(DI131="","",VLOOKUP(DI131,'PPI USA'!$S:$T,2,FALSE))</f>
        <v>175.1</v>
      </c>
      <c r="DL131" s="32">
        <f>IF(DI131="","",VLOOKUP(DI131,'CPI USA'!$T:$V,3,FALSE))</f>
        <v>0.66730871354337351</v>
      </c>
      <c r="DM131" s="32">
        <f>IF(DI131="","",VLOOKUP(DI131,'CPI USA'!$T:$X,5,FALSE))</f>
        <v>0.49513551903851311</v>
      </c>
      <c r="DN131" s="32">
        <f t="shared" si="35"/>
        <v>1.3897894616766442</v>
      </c>
      <c r="DO131" s="32">
        <f t="shared" si="36"/>
        <v>1.4008620811189902</v>
      </c>
      <c r="DP131" s="32">
        <f t="shared" si="37"/>
        <v>0.73350199155819928</v>
      </c>
      <c r="DQ131" s="32">
        <f>IF(DP131="","",DP131*$DO$1/'CPI USA'!$U$532+(1-DP131)*AVERAGE($DO$1,$DQ$1)/AVERAGE('CPI USA'!$U$532,'PPI USA'!$T$538))</f>
        <v>1.0303692102488553</v>
      </c>
      <c r="DR131" s="6">
        <f t="shared" si="38"/>
        <v>79137867</v>
      </c>
      <c r="DS131" s="32">
        <f t="shared" si="39"/>
        <v>0.42384557411840307</v>
      </c>
      <c r="DT131" s="28">
        <f>IF(DS131="","",DS131*$DO$1/'CPI USA'!$U$532+(1-DS131)*AVERAGE($DO$1,$DQ$1)/AVERAGE('CPI USA'!$U$532,'PPI USA'!$T$538))</f>
        <v>1.0375157335169924</v>
      </c>
      <c r="DU131" s="6">
        <f t="shared" si="40"/>
        <v>71708905.199926957</v>
      </c>
      <c r="DV131" s="6">
        <f t="shared" si="41"/>
        <v>3812369.5672923625</v>
      </c>
      <c r="DW131" s="6">
        <f t="shared" si="42"/>
        <v>34058831.034813091</v>
      </c>
      <c r="DX131" s="16">
        <f t="shared" si="43"/>
        <v>0.41068721074494402</v>
      </c>
      <c r="DY131" s="28">
        <f>IF(DX131="","",DX131*$DO$1/'CPI USA'!$U$532+(1-DX131)*AVERAGE($DO$1,$DQ$1)/AVERAGE('CPI USA'!$U$532,'PPI USA'!$T$538))</f>
        <v>1.0378194138049597</v>
      </c>
      <c r="DZ131" s="30"/>
      <c r="EA131" s="29" t="str">
        <f t="shared" si="44"/>
        <v>C001552</v>
      </c>
      <c r="EB131" s="29">
        <f t="shared" si="45"/>
        <v>16490834209.193085</v>
      </c>
      <c r="EC131" s="29">
        <f t="shared" si="46"/>
        <v>722766167.89530897</v>
      </c>
      <c r="ED131" s="29">
        <f t="shared" si="47"/>
        <v>179537070.45863485</v>
      </c>
      <c r="EE131" s="29">
        <f t="shared" si="48"/>
        <v>201601602.62130955</v>
      </c>
      <c r="EF131" s="29">
        <f t="shared" si="49"/>
        <v>86067730.220564336</v>
      </c>
      <c r="EG131" s="29">
        <f t="shared" si="50"/>
        <v>13650</v>
      </c>
      <c r="EH131" s="29">
        <f t="shared" si="51"/>
        <v>1537035</v>
      </c>
      <c r="EI131" s="29">
        <f t="shared" si="52"/>
        <v>3454406</v>
      </c>
      <c r="EJ131" s="29">
        <f t="shared" si="53"/>
        <v>50746188</v>
      </c>
      <c r="EK131" s="29">
        <f t="shared" si="54"/>
        <v>54026472.035532996</v>
      </c>
      <c r="EL131" s="29">
        <f>IF(CD131=1,VLOOKUP(EA131,'EIA 2023'!$A$2:$J$213,4,0)*EH131,"")</f>
        <v>161081268</v>
      </c>
      <c r="EM131" s="29">
        <f>IF(CD131=1,VLOOKUP(EA131,'EIA 2023'!$A$2:$J$213,7,0)*EH131,"")</f>
        <v>2299404.36</v>
      </c>
      <c r="EN131" s="29">
        <f>IF(CD131=1,VLOOKUP(EA131,'EIA 2023'!$A$2:$J$213,10,0),"")</f>
        <v>1512319</v>
      </c>
      <c r="EO131" s="28">
        <f>IF(CD131=1,VLOOKUP(EA131,'EIA 2023'!$A$2:$Z$213,26,0),"")</f>
        <v>0</v>
      </c>
      <c r="EP131" s="23">
        <f t="shared" si="55"/>
        <v>6.0716236169845859E-2</v>
      </c>
      <c r="EQ131" s="32">
        <f t="shared" si="56"/>
        <v>174121.9644670058</v>
      </c>
      <c r="ER131" s="32">
        <f t="shared" si="57"/>
        <v>3280284.0355329942</v>
      </c>
      <c r="ES131" s="32"/>
      <c r="ET131" s="32"/>
    </row>
    <row r="132" spans="1:150" ht="15.75" customHeight="1">
      <c r="A132" s="7" t="s">
        <v>601</v>
      </c>
      <c r="B132" s="7" t="s">
        <v>602</v>
      </c>
      <c r="C132" s="32" t="s">
        <v>1217</v>
      </c>
      <c r="D132" s="42">
        <v>748302685</v>
      </c>
      <c r="E132" s="42">
        <v>144301898</v>
      </c>
      <c r="F132" s="42">
        <v>888871830</v>
      </c>
      <c r="G132" s="42">
        <v>1314344529</v>
      </c>
      <c r="H132" s="42">
        <v>1344672885</v>
      </c>
      <c r="I132" s="42">
        <v>21846425</v>
      </c>
      <c r="J132" s="42">
        <v>669684</v>
      </c>
      <c r="K132" s="42">
        <v>6923805</v>
      </c>
      <c r="L132" s="42">
        <v>2099991</v>
      </c>
      <c r="M132" s="42">
        <v>15794163</v>
      </c>
      <c r="N132" s="42">
        <v>2451932</v>
      </c>
      <c r="O132" s="42">
        <v>45702847</v>
      </c>
      <c r="P132" s="42">
        <v>4068362</v>
      </c>
      <c r="Q132" s="42">
        <v>13795482</v>
      </c>
      <c r="R132" s="42">
        <v>380507</v>
      </c>
      <c r="S132" s="42">
        <v>11827561</v>
      </c>
      <c r="T132" s="42">
        <v>105041557</v>
      </c>
      <c r="U132" s="42">
        <v>17501216</v>
      </c>
      <c r="V132" s="42">
        <v>5992409</v>
      </c>
      <c r="W132" s="42">
        <v>0</v>
      </c>
      <c r="X132" s="42">
        <f>IFERROR(VLOOKUP(A132,'Trans 21-23'!$A$2:$J$229,10,0),0)</f>
        <v>29176838</v>
      </c>
      <c r="Y132" s="42">
        <v>29917171</v>
      </c>
      <c r="Z132" s="42">
        <v>2439146</v>
      </c>
      <c r="AA132" s="42">
        <v>181802290</v>
      </c>
      <c r="AB132" s="42">
        <v>84953728</v>
      </c>
      <c r="AC132" s="42">
        <v>39016154</v>
      </c>
      <c r="AD132" s="42">
        <v>315547752</v>
      </c>
      <c r="AE132" s="42">
        <v>0</v>
      </c>
      <c r="AF132" s="42">
        <v>4813841889</v>
      </c>
      <c r="AG132" s="42">
        <v>2735261</v>
      </c>
      <c r="AH132" s="42">
        <v>3574849</v>
      </c>
      <c r="AI132" s="42">
        <v>90436559</v>
      </c>
      <c r="AJ132" s="42">
        <v>95935</v>
      </c>
      <c r="AK132" s="42">
        <v>0</v>
      </c>
      <c r="AL132" s="42">
        <v>27622686</v>
      </c>
      <c r="AM132" s="42">
        <v>32607165</v>
      </c>
      <c r="AN132" s="42">
        <v>23475989</v>
      </c>
      <c r="AO132" s="42">
        <v>280071</v>
      </c>
      <c r="AP132" s="42">
        <v>0</v>
      </c>
      <c r="AQ132" s="42">
        <v>84130035</v>
      </c>
      <c r="AR132" s="42">
        <v>2635740</v>
      </c>
      <c r="AS132" s="42">
        <v>86765775</v>
      </c>
      <c r="AT132" s="42">
        <v>144124</v>
      </c>
      <c r="AU132" s="42">
        <v>16720</v>
      </c>
      <c r="AV132" s="42">
        <v>0</v>
      </c>
      <c r="AW132" s="42">
        <v>1923501575</v>
      </c>
      <c r="AX132" s="42">
        <v>651942870</v>
      </c>
      <c r="AY132" s="42">
        <v>3134937941</v>
      </c>
      <c r="AZ132" s="42">
        <v>575979889</v>
      </c>
      <c r="BA132" s="42">
        <v>1149781805</v>
      </c>
      <c r="BB132" s="42">
        <v>15348825682</v>
      </c>
      <c r="BC132" s="42">
        <v>50842584962</v>
      </c>
      <c r="BD132" s="42">
        <v>2328541474</v>
      </c>
      <c r="BE132" s="42">
        <v>3610995972</v>
      </c>
      <c r="BF132" s="42">
        <v>416801980</v>
      </c>
      <c r="BG132" s="42">
        <v>0</v>
      </c>
      <c r="BH132" s="42">
        <v>118191838</v>
      </c>
      <c r="BI132" s="42">
        <v>55433241</v>
      </c>
      <c r="BJ132" s="42">
        <v>14647696</v>
      </c>
      <c r="BK132" s="42">
        <v>25005183</v>
      </c>
      <c r="BL132" s="42">
        <v>0</v>
      </c>
      <c r="BM132" s="42">
        <v>79740794</v>
      </c>
      <c r="BN132" s="42">
        <v>446743591</v>
      </c>
      <c r="BO132" s="42">
        <v>5830358</v>
      </c>
      <c r="BP132" s="42">
        <v>65825105</v>
      </c>
      <c r="BQ132" s="42">
        <v>840090391</v>
      </c>
      <c r="BR132" s="42">
        <v>0</v>
      </c>
      <c r="BS132" s="42">
        <f>IFERROR(VLOOKUP(A132,'Trans 21-23'!$A$2:$J$229,9,0),0)</f>
        <v>2873334936</v>
      </c>
      <c r="BT132" s="67"/>
      <c r="BU132" s="32">
        <f t="shared" si="0"/>
        <v>15348825682</v>
      </c>
      <c r="BV132" s="32">
        <f t="shared" si="1"/>
        <v>16720</v>
      </c>
      <c r="BW132" s="32">
        <f t="shared" si="2"/>
        <v>2735261</v>
      </c>
      <c r="BX132" s="32">
        <f t="shared" si="3"/>
        <v>254095941</v>
      </c>
      <c r="BY132" s="32">
        <f t="shared" si="4"/>
        <v>338128489</v>
      </c>
      <c r="BZ132" s="32">
        <f t="shared" si="5"/>
        <v>575979889</v>
      </c>
      <c r="CA132" s="32">
        <f t="shared" si="6"/>
        <v>315547752</v>
      </c>
      <c r="CB132" s="32">
        <f t="shared" si="7"/>
        <v>3574849</v>
      </c>
      <c r="CC132" s="32">
        <f t="shared" si="8"/>
        <v>84130035</v>
      </c>
      <c r="CD132" s="41">
        <f t="shared" si="67"/>
        <v>1</v>
      </c>
      <c r="CE132" s="44">
        <f t="shared" si="10"/>
        <v>8</v>
      </c>
      <c r="CF132" s="27"/>
      <c r="CG132" s="28">
        <f t="shared" si="11"/>
        <v>917.99196662679435</v>
      </c>
      <c r="CH132" s="28">
        <f t="shared" si="12"/>
        <v>6.112762182475457</v>
      </c>
      <c r="CI132" s="28">
        <f t="shared" si="13"/>
        <v>92.896415003906398</v>
      </c>
      <c r="CJ132" s="28">
        <f t="shared" si="14"/>
        <v>210.57584230535952</v>
      </c>
      <c r="CK132" s="23">
        <f t="shared" si="15"/>
        <v>4.2491947138735886E-2</v>
      </c>
      <c r="CL132" s="29" t="str">
        <f t="shared" si="16"/>
        <v/>
      </c>
      <c r="CM132" s="29" t="str">
        <f t="shared" si="17"/>
        <v/>
      </c>
      <c r="CN132" s="29" t="str">
        <f t="shared" si="18"/>
        <v/>
      </c>
      <c r="CO132" s="29" t="str">
        <f t="shared" si="19"/>
        <v/>
      </c>
      <c r="CP132" s="29" t="str">
        <f t="shared" si="20"/>
        <v/>
      </c>
      <c r="CQ132" s="29">
        <f t="shared" si="21"/>
        <v>0</v>
      </c>
      <c r="CR132" s="13"/>
      <c r="CS132" s="7">
        <f>VLOOKUP(A132,'Empresas 21-23'!$A$2:$M$228,13,0)</f>
        <v>1</v>
      </c>
      <c r="CT132" s="30"/>
      <c r="CU132" s="6">
        <f t="shared" si="22"/>
        <v>14224270437.4</v>
      </c>
      <c r="CV132" s="6">
        <f t="shared" si="23"/>
        <v>575979889</v>
      </c>
      <c r="CW132" s="6">
        <f t="shared" si="24"/>
        <v>2328541474</v>
      </c>
      <c r="CX132" s="23">
        <f t="shared" si="68"/>
        <v>0.29319902887332794</v>
      </c>
      <c r="CY132" s="23">
        <f t="shared" si="69"/>
        <v>1.187243625946102E-2</v>
      </c>
      <c r="CZ132" s="6">
        <f t="shared" si="27"/>
        <v>14906996536.268066</v>
      </c>
      <c r="DA132" s="6">
        <f t="shared" si="28"/>
        <v>603625349.22757638</v>
      </c>
      <c r="DB132" s="6">
        <f t="shared" si="29"/>
        <v>254095941</v>
      </c>
      <c r="DC132" s="6">
        <f t="shared" si="30"/>
        <v>283272779</v>
      </c>
      <c r="DD132" s="6">
        <f t="shared" si="31"/>
        <v>338128489</v>
      </c>
      <c r="DE132" s="6">
        <f t="shared" si="32"/>
        <v>315547752</v>
      </c>
      <c r="DF132" s="6">
        <f t="shared" si="70"/>
        <v>142901658.50877026</v>
      </c>
      <c r="DG132" s="30"/>
      <c r="DH132" s="32">
        <f>VLOOKUP(A132,'T_med_comp-USA'!$A$7:$Q$233,17,0)</f>
        <v>9.7630032447211974</v>
      </c>
      <c r="DI132" s="6" t="str">
        <f t="shared" si="34"/>
        <v>3_2014</v>
      </c>
      <c r="DJ132" s="32">
        <f>IF(DI132="","",VLOOKUP(DI132,'CPI USA'!$T:$U,2,FALSE))</f>
        <v>236.29300000000001</v>
      </c>
      <c r="DK132" s="32">
        <f>IF(DI132="","",VLOOKUP(DI132,'PPI USA'!$S:$T,2,FALSE))</f>
        <v>179.3</v>
      </c>
      <c r="DL132" s="32">
        <f>IF(DI132="","",VLOOKUP(DI132,'CPI USA'!$T:$V,3,FALSE))</f>
        <v>0.66756601812039096</v>
      </c>
      <c r="DM132" s="32">
        <f>IF(DI132="","",VLOOKUP(DI132,'CPI USA'!$T:$X,5,FALSE))</f>
        <v>0.49542529667095003</v>
      </c>
      <c r="DN132" s="32">
        <f t="shared" si="35"/>
        <v>1.3513845009008025</v>
      </c>
      <c r="DO132" s="32">
        <f t="shared" si="36"/>
        <v>1.362665313909166</v>
      </c>
      <c r="DP132" s="32">
        <f t="shared" si="37"/>
        <v>0.47121703206418691</v>
      </c>
      <c r="DQ132" s="32">
        <f>IF(DP132="","",DP132*$DO$1/'CPI USA'!$U$532+(1-DP132)*AVERAGE($DO$1,$DQ$1)/AVERAGE('CPI USA'!$U$532,'PPI USA'!$T$538))</f>
        <v>1.0364224533284077</v>
      </c>
      <c r="DR132" s="6">
        <f t="shared" si="38"/>
        <v>95086120</v>
      </c>
      <c r="DS132" s="32">
        <f t="shared" si="39"/>
        <v>0.2848830322652206</v>
      </c>
      <c r="DT132" s="28">
        <f>IF(DS132="","",DS132*$DO$1/'CPI USA'!$U$532+(1-DS132)*AVERAGE($DO$1,$DQ$1)/AVERAGE('CPI USA'!$U$532,'PPI USA'!$T$538))</f>
        <v>1.040722833330922</v>
      </c>
      <c r="DU132" s="6">
        <f t="shared" si="40"/>
        <v>80781474.572906643</v>
      </c>
      <c r="DV132" s="6">
        <f t="shared" si="41"/>
        <v>6779260.5877378434</v>
      </c>
      <c r="DW132" s="6">
        <f t="shared" si="42"/>
        <v>41801998.220587917</v>
      </c>
      <c r="DX132" s="16">
        <f t="shared" si="43"/>
        <v>0.29252283463191869</v>
      </c>
      <c r="DY132" s="28">
        <f>IF(DX132="","",DX132*$DO$1/'CPI USA'!$U$532+(1-DX132)*AVERAGE($DO$1,$DQ$1)/AVERAGE('CPI USA'!$U$532,'PPI USA'!$T$538))</f>
        <v>1.0405465152496467</v>
      </c>
      <c r="DZ132" s="30"/>
      <c r="EA132" s="29" t="str">
        <f t="shared" si="44"/>
        <v>C001553</v>
      </c>
      <c r="EB132" s="29">
        <f t="shared" si="45"/>
        <v>20145084074.094612</v>
      </c>
      <c r="EC132" s="29">
        <f t="shared" si="46"/>
        <v>822539325.9887253</v>
      </c>
      <c r="ED132" s="29">
        <f t="shared" si="47"/>
        <v>293590268.57233584</v>
      </c>
      <c r="EE132" s="29">
        <f t="shared" si="48"/>
        <v>351898039.10198349</v>
      </c>
      <c r="EF132" s="29">
        <f t="shared" si="49"/>
        <v>148695822.78469592</v>
      </c>
      <c r="EG132" s="29">
        <f t="shared" si="50"/>
        <v>16720</v>
      </c>
      <c r="EH132" s="29">
        <f t="shared" si="51"/>
        <v>2735261</v>
      </c>
      <c r="EI132" s="29">
        <f t="shared" si="52"/>
        <v>3574849</v>
      </c>
      <c r="EJ132" s="29">
        <f t="shared" si="53"/>
        <v>84130035</v>
      </c>
      <c r="EK132" s="29">
        <f t="shared" si="54"/>
        <v>87664745.827411175</v>
      </c>
      <c r="EL132" s="29">
        <f>IF(CD132=1,VLOOKUP(EA132,'EIA 2023'!$A$2:$J$213,4,0)*EH132,"")</f>
        <v>381869788.21000004</v>
      </c>
      <c r="EM132" s="29">
        <f>IF(CD132=1,VLOOKUP(EA132,'EIA 2023'!$A$2:$J$213,7,0)*EH132,"")</f>
        <v>4786706.75</v>
      </c>
      <c r="EN132" s="29">
        <f>IF(CD132=1,VLOOKUP(EA132,'EIA 2023'!$A$2:$J$213,10,0),"")</f>
        <v>2717495</v>
      </c>
      <c r="EO132" s="28">
        <f>IF(CD132=1,VLOOKUP(EA132,'EIA 2023'!$A$2:$Z$213,26,0),"")</f>
        <v>0</v>
      </c>
      <c r="EP132" s="23">
        <f t="shared" si="55"/>
        <v>4.0320778826759884E-2</v>
      </c>
      <c r="EQ132" s="32">
        <f t="shared" si="56"/>
        <v>40138.172588832676</v>
      </c>
      <c r="ER132" s="32">
        <f t="shared" si="57"/>
        <v>3534710.8274111673</v>
      </c>
      <c r="ES132" s="32"/>
      <c r="ET132" s="32"/>
    </row>
    <row r="133" spans="1:150" ht="15.75" customHeight="1">
      <c r="A133" s="7" t="s">
        <v>607</v>
      </c>
      <c r="B133" s="7" t="s">
        <v>608</v>
      </c>
      <c r="C133" s="32" t="s">
        <v>1218</v>
      </c>
      <c r="D133" s="42">
        <v>192731281</v>
      </c>
      <c r="E133" s="42">
        <v>0</v>
      </c>
      <c r="F133" s="42">
        <v>321449631</v>
      </c>
      <c r="G133" s="42">
        <v>22528844</v>
      </c>
      <c r="H133" s="42">
        <v>26263026</v>
      </c>
      <c r="I133" s="42">
        <v>5435535</v>
      </c>
      <c r="J133" s="42">
        <v>261090</v>
      </c>
      <c r="K133" s="42">
        <v>462018</v>
      </c>
      <c r="L133" s="42">
        <v>951132</v>
      </c>
      <c r="M133" s="42">
        <v>1285953</v>
      </c>
      <c r="N133" s="42">
        <v>546706</v>
      </c>
      <c r="O133" s="42">
        <v>9580236</v>
      </c>
      <c r="P133" s="42">
        <v>7340</v>
      </c>
      <c r="Q133" s="42">
        <v>1972934</v>
      </c>
      <c r="R133" s="42">
        <v>51362</v>
      </c>
      <c r="S133" s="42">
        <v>1105948</v>
      </c>
      <c r="T133" s="42">
        <v>18818272</v>
      </c>
      <c r="U133" s="42">
        <v>1188637</v>
      </c>
      <c r="V133" s="42">
        <v>65193</v>
      </c>
      <c r="W133" s="42">
        <v>395464</v>
      </c>
      <c r="X133" s="42">
        <f>IFERROR(VLOOKUP(A133,'Trans 21-23'!$A$2:$J$229,10,0),0)</f>
        <v>4140166</v>
      </c>
      <c r="Y133" s="42">
        <v>3568889</v>
      </c>
      <c r="Z133" s="42">
        <v>545308</v>
      </c>
      <c r="AA133" s="42">
        <v>14050637</v>
      </c>
      <c r="AB133" s="42">
        <v>6490828</v>
      </c>
      <c r="AC133" s="42">
        <v>4813788</v>
      </c>
      <c r="AD133" s="42">
        <v>79829631</v>
      </c>
      <c r="AE133" s="42">
        <v>0</v>
      </c>
      <c r="AF133" s="42">
        <v>837648192</v>
      </c>
      <c r="AG133" s="42">
        <v>191779</v>
      </c>
      <c r="AH133" s="42">
        <v>531322</v>
      </c>
      <c r="AI133" s="42">
        <v>19659851</v>
      </c>
      <c r="AJ133" s="42">
        <v>24250</v>
      </c>
      <c r="AK133" s="42">
        <v>0</v>
      </c>
      <c r="AL133" s="42">
        <v>2092079</v>
      </c>
      <c r="AM133" s="42">
        <v>2814730</v>
      </c>
      <c r="AN133" s="42">
        <v>4720734</v>
      </c>
      <c r="AO133" s="42">
        <v>27538</v>
      </c>
      <c r="AP133" s="42">
        <v>0</v>
      </c>
      <c r="AQ133" s="42">
        <v>9655081</v>
      </c>
      <c r="AR133" s="42">
        <v>9449198</v>
      </c>
      <c r="AS133" s="42">
        <v>19104279</v>
      </c>
      <c r="AT133" s="42">
        <v>0</v>
      </c>
      <c r="AU133" s="42">
        <v>2479</v>
      </c>
      <c r="AV133" s="42">
        <v>0</v>
      </c>
      <c r="AW133" s="42">
        <v>219232938</v>
      </c>
      <c r="AX133" s="42">
        <v>541193</v>
      </c>
      <c r="AY133" s="42">
        <v>112971064</v>
      </c>
      <c r="AZ133" s="42">
        <v>49918203</v>
      </c>
      <c r="BA133" s="42">
        <v>91712910</v>
      </c>
      <c r="BB133" s="42">
        <v>1325781110</v>
      </c>
      <c r="BC133" s="42">
        <v>5399981819</v>
      </c>
      <c r="BD133" s="42">
        <v>258782424</v>
      </c>
      <c r="BE133" s="42">
        <v>493571423</v>
      </c>
      <c r="BF133" s="42">
        <v>47583835</v>
      </c>
      <c r="BG133" s="42">
        <v>0</v>
      </c>
      <c r="BH133" s="42">
        <v>19856970</v>
      </c>
      <c r="BI133" s="42">
        <v>6021878</v>
      </c>
      <c r="BJ133" s="42">
        <v>2940287</v>
      </c>
      <c r="BK133" s="42">
        <v>2223649</v>
      </c>
      <c r="BL133" s="42">
        <v>0</v>
      </c>
      <c r="BM133" s="42">
        <v>22233910</v>
      </c>
      <c r="BN133" s="42">
        <v>91589465</v>
      </c>
      <c r="BO133" s="42">
        <v>0</v>
      </c>
      <c r="BP133" s="42">
        <v>0</v>
      </c>
      <c r="BQ133" s="42">
        <v>0</v>
      </c>
      <c r="BR133" s="42">
        <v>0</v>
      </c>
      <c r="BS133" s="42">
        <f>IFERROR(VLOOKUP(A133,'Trans 21-23'!$A$2:$J$229,9,0),0)</f>
        <v>370702273</v>
      </c>
      <c r="BT133" s="67"/>
      <c r="BU133" s="32">
        <f t="shared" si="0"/>
        <v>1325781110</v>
      </c>
      <c r="BV133" s="32">
        <f t="shared" si="1"/>
        <v>2479</v>
      </c>
      <c r="BW133" s="32">
        <f t="shared" si="2"/>
        <v>191779</v>
      </c>
      <c r="BX133" s="32">
        <f t="shared" si="3"/>
        <v>42127820</v>
      </c>
      <c r="BY133" s="32">
        <f t="shared" si="4"/>
        <v>29469450</v>
      </c>
      <c r="BZ133" s="32">
        <f t="shared" si="5"/>
        <v>49918203</v>
      </c>
      <c r="CA133" s="32">
        <f t="shared" si="6"/>
        <v>79829631</v>
      </c>
      <c r="CB133" s="32">
        <f t="shared" si="7"/>
        <v>531322</v>
      </c>
      <c r="CC133" s="32">
        <f t="shared" si="8"/>
        <v>9655081</v>
      </c>
      <c r="CD133" s="41">
        <f t="shared" si="67"/>
        <v>1</v>
      </c>
      <c r="CE133" s="44">
        <f t="shared" si="10"/>
        <v>12</v>
      </c>
      <c r="CF133" s="27"/>
      <c r="CG133" s="28">
        <f t="shared" si="11"/>
        <v>534.80480435659535</v>
      </c>
      <c r="CH133" s="28">
        <f t="shared" si="12"/>
        <v>12.926337085916602</v>
      </c>
      <c r="CI133" s="28">
        <f t="shared" si="13"/>
        <v>219.66857685148008</v>
      </c>
      <c r="CJ133" s="28">
        <f t="shared" si="14"/>
        <v>260.29024554304692</v>
      </c>
      <c r="CK133" s="23">
        <f t="shared" si="15"/>
        <v>5.5030299590443622E-2</v>
      </c>
      <c r="CL133" s="29" t="str">
        <f t="shared" si="16"/>
        <v/>
      </c>
      <c r="CM133" s="29" t="str">
        <f t="shared" si="17"/>
        <v/>
      </c>
      <c r="CN133" s="29" t="str">
        <f t="shared" si="18"/>
        <v/>
      </c>
      <c r="CO133" s="29" t="str">
        <f t="shared" si="19"/>
        <v/>
      </c>
      <c r="CP133" s="29" t="str">
        <f t="shared" si="20"/>
        <v/>
      </c>
      <c r="CQ133" s="29">
        <f t="shared" si="21"/>
        <v>0</v>
      </c>
      <c r="CR133" s="13"/>
      <c r="CS133" s="7">
        <f>VLOOKUP(A133,'Empresas 21-23'!$A$2:$M$228,13,0)</f>
        <v>1</v>
      </c>
      <c r="CT133" s="30"/>
      <c r="CU133" s="6">
        <f t="shared" si="22"/>
        <v>1486744915.8</v>
      </c>
      <c r="CV133" s="6">
        <f t="shared" si="23"/>
        <v>49918203</v>
      </c>
      <c r="CW133" s="6">
        <f t="shared" si="24"/>
        <v>258782424</v>
      </c>
      <c r="CX133" s="23">
        <f t="shared" si="68"/>
        <v>0.28918250423158309</v>
      </c>
      <c r="CY133" s="23">
        <f t="shared" si="69"/>
        <v>9.7094469917948008E-3</v>
      </c>
      <c r="CZ133" s="6">
        <f t="shared" si="27"/>
        <v>1561580265.2234392</v>
      </c>
      <c r="DA133" s="6">
        <f t="shared" si="28"/>
        <v>52430837.228236169</v>
      </c>
      <c r="DB133" s="6">
        <f t="shared" si="29"/>
        <v>42127820</v>
      </c>
      <c r="DC133" s="6">
        <f t="shared" si="30"/>
        <v>46267986</v>
      </c>
      <c r="DD133" s="6">
        <f t="shared" si="31"/>
        <v>29469450</v>
      </c>
      <c r="DE133" s="6">
        <f t="shared" si="32"/>
        <v>79829631</v>
      </c>
      <c r="DF133" s="6">
        <f t="shared" si="70"/>
        <v>27814155.513296124</v>
      </c>
      <c r="DG133" s="30"/>
      <c r="DH133" s="32">
        <f>VLOOKUP(A133,'T_med_comp-USA'!$A$7:$Q$233,17,0)</f>
        <v>10.589602858026625</v>
      </c>
      <c r="DI133" s="6" t="str">
        <f t="shared" si="34"/>
        <v>5_2013</v>
      </c>
      <c r="DJ133" s="32">
        <f>IF(DI133="","",VLOOKUP(DI133,'CPI USA'!$T:$U,2,FALSE))</f>
        <v>232.94499999999999</v>
      </c>
      <c r="DK133" s="32">
        <f>IF(DI133="","",VLOOKUP(DI133,'PPI USA'!$S:$T,2,FALSE))</f>
        <v>169.7</v>
      </c>
      <c r="DL133" s="32">
        <f>IF(DI133="","",VLOOKUP(DI133,'CPI USA'!$T:$V,3,FALSE))</f>
        <v>0.67305131835944076</v>
      </c>
      <c r="DM133" s="32">
        <f>IF(DI133="","",VLOOKUP(DI133,'CPI USA'!$T:$X,5,FALSE))</f>
        <v>0.50163050295255052</v>
      </c>
      <c r="DN133" s="32">
        <f t="shared" si="35"/>
        <v>1.3785549584693351</v>
      </c>
      <c r="DO133" s="32">
        <f t="shared" si="36"/>
        <v>1.3942033830519249</v>
      </c>
      <c r="DP133" s="32">
        <f t="shared" si="37"/>
        <v>0.47135052324093674</v>
      </c>
      <c r="DQ133" s="32">
        <f>IF(DP133="","",DP133*$DO$1/'CPI USA'!$U$532+(1-DP133)*AVERAGE($DO$1,$DQ$1)/AVERAGE('CPI USA'!$U$532,'PPI USA'!$T$538))</f>
        <v>1.0364193725015718</v>
      </c>
      <c r="DR133" s="6">
        <f t="shared" si="38"/>
        <v>11185814</v>
      </c>
      <c r="DS133" s="32">
        <f t="shared" si="39"/>
        <v>0.37957321904548608</v>
      </c>
      <c r="DT133" s="28">
        <f>IF(DS133="","",DS133*$DO$1/'CPI USA'!$U$532+(1-DS133)*AVERAGE($DO$1,$DQ$1)/AVERAGE('CPI USA'!$U$532,'PPI USA'!$T$538))</f>
        <v>1.038537489882579</v>
      </c>
      <c r="DU133" s="6">
        <f t="shared" si="40"/>
        <v>22233910</v>
      </c>
      <c r="DV133" s="6" t="str">
        <f t="shared" si="41"/>
        <v/>
      </c>
      <c r="DW133" s="6">
        <f t="shared" si="42"/>
        <v>0</v>
      </c>
      <c r="DX133" s="16">
        <f t="shared" si="43"/>
        <v>0.2</v>
      </c>
      <c r="DY133" s="28">
        <f>IF(DX133="","",DX133*$DO$1/'CPI USA'!$U$532+(1-DX133)*AVERAGE($DO$1,$DQ$1)/AVERAGE('CPI USA'!$U$532,'PPI USA'!$T$538))</f>
        <v>1.0426818386380585</v>
      </c>
      <c r="DZ133" s="30"/>
      <c r="EA133" s="29" t="str">
        <f t="shared" si="44"/>
        <v>C001555</v>
      </c>
      <c r="EB133" s="29">
        <f t="shared" si="45"/>
        <v>2152724217.6716313</v>
      </c>
      <c r="EC133" s="29">
        <f t="shared" si="46"/>
        <v>73099250.639851674</v>
      </c>
      <c r="ED133" s="29">
        <f t="shared" si="47"/>
        <v>47953037.017031506</v>
      </c>
      <c r="EE133" s="29">
        <f t="shared" si="48"/>
        <v>30605128.631220166</v>
      </c>
      <c r="EF133" s="29">
        <f t="shared" si="49"/>
        <v>29001314.810768496</v>
      </c>
      <c r="EG133" s="29">
        <f t="shared" si="50"/>
        <v>2479</v>
      </c>
      <c r="EH133" s="29">
        <f t="shared" si="51"/>
        <v>191779</v>
      </c>
      <c r="EI133" s="29">
        <f t="shared" si="52"/>
        <v>531322</v>
      </c>
      <c r="EJ133" s="29">
        <f t="shared" si="53"/>
        <v>9655081</v>
      </c>
      <c r="EK133" s="29">
        <f t="shared" si="54"/>
        <v>10042506.583756344</v>
      </c>
      <c r="EL133" s="29">
        <f>IF(CD133=1,VLOOKUP(EA133,'EIA 2023'!$A$2:$J$213,4,0)*EH133,"")</f>
        <v>15745055.899999999</v>
      </c>
      <c r="EM133" s="29">
        <f>IF(CD133=1,VLOOKUP(EA133,'EIA 2023'!$A$2:$J$213,7,0)*EH133,"")</f>
        <v>204819.97200000001</v>
      </c>
      <c r="EN133" s="29">
        <f>IF(CD133=1,VLOOKUP(EA133,'EIA 2023'!$A$2:$J$213,10,0),"")</f>
        <v>191664</v>
      </c>
      <c r="EO133" s="28">
        <f>IF(CD133=1,VLOOKUP(EA133,'EIA 2023'!$A$2:$Z$213,26,0),"")</f>
        <v>0</v>
      </c>
      <c r="EP133" s="23">
        <f t="shared" si="55"/>
        <v>3.8578574036784948E-2</v>
      </c>
      <c r="EQ133" s="32">
        <f t="shared" si="56"/>
        <v>143896.41624365561</v>
      </c>
      <c r="ER133" s="32">
        <f t="shared" si="57"/>
        <v>387425.58375634439</v>
      </c>
      <c r="ES133" s="32"/>
      <c r="ET133" s="32"/>
    </row>
    <row r="134" spans="1:150" ht="15.75" customHeight="1">
      <c r="A134" s="7" t="s">
        <v>610</v>
      </c>
      <c r="B134" s="7" t="s">
        <v>611</v>
      </c>
      <c r="C134" s="32" t="s">
        <v>1219</v>
      </c>
      <c r="D134" s="42">
        <v>62723380</v>
      </c>
      <c r="E134" s="42">
        <v>0</v>
      </c>
      <c r="F134" s="42">
        <v>71189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  <c r="M134" s="42">
        <v>0</v>
      </c>
      <c r="N134" s="42">
        <v>0</v>
      </c>
      <c r="O134" s="42">
        <v>0</v>
      </c>
      <c r="P134" s="42">
        <v>0</v>
      </c>
      <c r="Q134" s="42">
        <v>0</v>
      </c>
      <c r="R134" s="42">
        <v>0</v>
      </c>
      <c r="S134" s="42">
        <v>0</v>
      </c>
      <c r="T134" s="42">
        <v>0</v>
      </c>
      <c r="U134" s="42">
        <v>0</v>
      </c>
      <c r="V134" s="42">
        <v>0</v>
      </c>
      <c r="W134" s="42">
        <v>0</v>
      </c>
      <c r="X134" s="42">
        <f>IFERROR(VLOOKUP(A134,'Trans 21-23'!$A$2:$J$229,10,0),0)</f>
        <v>0</v>
      </c>
      <c r="Y134" s="42">
        <v>0</v>
      </c>
      <c r="Z134" s="42">
        <v>0</v>
      </c>
      <c r="AA134" s="42">
        <v>0</v>
      </c>
      <c r="AB134" s="42">
        <v>0</v>
      </c>
      <c r="AC134" s="42">
        <v>0</v>
      </c>
      <c r="AD134" s="42">
        <v>8471313</v>
      </c>
      <c r="AE134" s="42">
        <v>0</v>
      </c>
      <c r="AF134" s="42">
        <v>125056335</v>
      </c>
      <c r="AG134" s="42">
        <v>0</v>
      </c>
      <c r="AH134" s="42">
        <v>0</v>
      </c>
      <c r="AI134" s="42">
        <v>1556471</v>
      </c>
      <c r="AJ134" s="42">
        <v>0</v>
      </c>
      <c r="AK134" s="42">
        <v>0</v>
      </c>
      <c r="AL134" s="42">
        <v>0</v>
      </c>
      <c r="AM134" s="42">
        <v>0</v>
      </c>
      <c r="AN134" s="42">
        <v>0</v>
      </c>
      <c r="AO134" s="42">
        <v>0</v>
      </c>
      <c r="AP134" s="42">
        <v>0</v>
      </c>
      <c r="AQ134" s="42">
        <v>0</v>
      </c>
      <c r="AR134" s="42">
        <v>1556471</v>
      </c>
      <c r="AS134" s="42">
        <v>1556471</v>
      </c>
      <c r="AT134" s="42">
        <v>0</v>
      </c>
      <c r="AU134" s="42">
        <v>982</v>
      </c>
      <c r="AV134" s="42">
        <v>0</v>
      </c>
      <c r="AW134" s="42">
        <v>0</v>
      </c>
      <c r="AX134" s="42">
        <v>0</v>
      </c>
      <c r="AY134" s="42">
        <v>0</v>
      </c>
      <c r="AZ134" s="42">
        <v>0</v>
      </c>
      <c r="BA134" s="42">
        <v>0</v>
      </c>
      <c r="BB134" s="42">
        <v>0</v>
      </c>
      <c r="BC134" s="42">
        <v>823045730</v>
      </c>
      <c r="BD134" s="42">
        <v>23648397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2">
        <v>0</v>
      </c>
      <c r="BL134" s="42">
        <v>0</v>
      </c>
      <c r="BM134" s="42">
        <v>0</v>
      </c>
      <c r="BN134" s="42">
        <v>0</v>
      </c>
      <c r="BO134" s="42">
        <v>0</v>
      </c>
      <c r="BP134" s="42">
        <v>0</v>
      </c>
      <c r="BQ134" s="42">
        <v>0</v>
      </c>
      <c r="BR134" s="42">
        <v>0</v>
      </c>
      <c r="BS134" s="42">
        <f>IFERROR(VLOOKUP(A134,'Trans 21-23'!$A$2:$J$229,9,0),0)</f>
        <v>0</v>
      </c>
      <c r="BT134" s="67"/>
      <c r="BU134" s="32">
        <f t="shared" si="0"/>
        <v>0</v>
      </c>
      <c r="BV134" s="32">
        <f t="shared" si="1"/>
        <v>982</v>
      </c>
      <c r="BW134" s="32">
        <f t="shared" si="2"/>
        <v>0</v>
      </c>
      <c r="BX134" s="32">
        <f t="shared" si="3"/>
        <v>0</v>
      </c>
      <c r="BY134" s="32">
        <f t="shared" si="4"/>
        <v>0</v>
      </c>
      <c r="BZ134" s="32">
        <f t="shared" si="5"/>
        <v>0</v>
      </c>
      <c r="CA134" s="32">
        <f t="shared" si="6"/>
        <v>8471313</v>
      </c>
      <c r="CB134" s="32">
        <f t="shared" si="7"/>
        <v>0</v>
      </c>
      <c r="CC134" s="32">
        <f t="shared" si="8"/>
        <v>0</v>
      </c>
      <c r="CD134" s="41">
        <f t="shared" si="67"/>
        <v>0</v>
      </c>
      <c r="CE134" s="44">
        <f t="shared" si="10"/>
        <v>58</v>
      </c>
      <c r="CF134" s="27"/>
      <c r="CG134" s="28" t="str">
        <f t="shared" si="11"/>
        <v/>
      </c>
      <c r="CH134" s="28" t="str">
        <f t="shared" si="12"/>
        <v/>
      </c>
      <c r="CI134" s="28" t="str">
        <f t="shared" si="13"/>
        <v/>
      </c>
      <c r="CJ134" s="28" t="str">
        <f t="shared" si="14"/>
        <v/>
      </c>
      <c r="CK134" s="23" t="str">
        <f t="shared" si="15"/>
        <v/>
      </c>
      <c r="CL134" s="29" t="str">
        <f t="shared" si="16"/>
        <v/>
      </c>
      <c r="CM134" s="29" t="str">
        <f t="shared" si="17"/>
        <v/>
      </c>
      <c r="CN134" s="29" t="str">
        <f t="shared" si="18"/>
        <v/>
      </c>
      <c r="CO134" s="29" t="str">
        <f t="shared" si="19"/>
        <v/>
      </c>
      <c r="CP134" s="29" t="str">
        <f t="shared" si="20"/>
        <v/>
      </c>
      <c r="CQ134" s="29" t="str">
        <f t="shared" si="21"/>
        <v/>
      </c>
      <c r="CR134" s="13"/>
      <c r="CS134" s="7" t="str">
        <f>VLOOKUP(A134,'Empresas 21-23'!$A$2:$M$228,13,0)</f>
        <v/>
      </c>
      <c r="CT134" s="30"/>
      <c r="CU134" s="6">
        <f t="shared" si="22"/>
        <v>0</v>
      </c>
      <c r="CV134" s="6">
        <f t="shared" si="23"/>
        <v>0</v>
      </c>
      <c r="CW134" s="6">
        <f t="shared" si="24"/>
        <v>23648397</v>
      </c>
      <c r="CX134" s="23">
        <f t="shared" si="68"/>
        <v>0</v>
      </c>
      <c r="CY134" s="23">
        <f t="shared" si="69"/>
        <v>0</v>
      </c>
      <c r="CZ134" s="6">
        <f t="shared" si="27"/>
        <v>0</v>
      </c>
      <c r="DA134" s="6">
        <f t="shared" si="28"/>
        <v>0</v>
      </c>
      <c r="DB134" s="6">
        <f t="shared" si="29"/>
        <v>0</v>
      </c>
      <c r="DC134" s="6">
        <f t="shared" si="30"/>
        <v>0</v>
      </c>
      <c r="DD134" s="6">
        <f t="shared" si="31"/>
        <v>0</v>
      </c>
      <c r="DE134" s="6">
        <f t="shared" si="32"/>
        <v>8471313</v>
      </c>
      <c r="DF134" s="6">
        <f t="shared" si="70"/>
        <v>0</v>
      </c>
      <c r="DG134" s="30"/>
      <c r="DH134" s="32" t="str">
        <f>VLOOKUP(A134,'T_med_comp-USA'!$A$7:$Q$233,17,0)</f>
        <v>-</v>
      </c>
      <c r="DI134" s="6" t="str">
        <f t="shared" si="34"/>
        <v/>
      </c>
      <c r="DJ134" s="32" t="str">
        <f>IF(DI134="","",VLOOKUP(DI134,'CPI USA'!$T:$U,2,FALSE))</f>
        <v/>
      </c>
      <c r="DK134" s="32" t="str">
        <f>IF(DI134="","",VLOOKUP(DI134,'PPI USA'!$S:$T,2,FALSE))</f>
        <v/>
      </c>
      <c r="DL134" s="32" t="str">
        <f>IF(DI134="","",VLOOKUP(DI134,'CPI USA'!$T:$V,3,FALSE))</f>
        <v/>
      </c>
      <c r="DM134" s="32" t="str">
        <f>IF(DI134="","",VLOOKUP(DI134,'CPI USA'!$T:$X,5,FALSE))</f>
        <v/>
      </c>
      <c r="DN134" s="32" t="str">
        <f t="shared" si="35"/>
        <v/>
      </c>
      <c r="DO134" s="32" t="str">
        <f t="shared" si="36"/>
        <v/>
      </c>
      <c r="DP134" s="32" t="str">
        <f t="shared" si="37"/>
        <v/>
      </c>
      <c r="DQ134" s="32" t="str">
        <f>IF(DP134="","",DP134*$DO$1/'CPI USA'!$U$532+(1-DP134)*AVERAGE($DO$1,$DQ$1)/AVERAGE('CPI USA'!$U$532,'PPI USA'!$T$538))</f>
        <v/>
      </c>
      <c r="DR134" s="6">
        <f t="shared" si="38"/>
        <v>0</v>
      </c>
      <c r="DS134" s="32" t="str">
        <f t="shared" si="39"/>
        <v/>
      </c>
      <c r="DT134" s="28" t="str">
        <f>IF(DS134="","",DS134*$DO$1/'CPI USA'!$U$532+(1-DS134)*AVERAGE($DO$1,$DQ$1)/AVERAGE('CPI USA'!$U$532,'PPI USA'!$T$538))</f>
        <v/>
      </c>
      <c r="DU134" s="6" t="str">
        <f t="shared" si="40"/>
        <v/>
      </c>
      <c r="DV134" s="6" t="str">
        <f t="shared" si="41"/>
        <v/>
      </c>
      <c r="DW134" s="6">
        <f t="shared" si="42"/>
        <v>0</v>
      </c>
      <c r="DX134" s="16" t="str">
        <f t="shared" si="43"/>
        <v/>
      </c>
      <c r="DY134" s="28" t="str">
        <f>IF(DX134="","",DX134*$DO$1/'CPI USA'!$U$532+(1-DX134)*AVERAGE($DO$1,$DQ$1)/AVERAGE('CPI USA'!$U$532,'PPI USA'!$T$538))</f>
        <v/>
      </c>
      <c r="DZ134" s="30"/>
      <c r="EA134" s="29" t="str">
        <f t="shared" si="44"/>
        <v>C001559</v>
      </c>
      <c r="EB134" s="29" t="str">
        <f t="shared" si="45"/>
        <v/>
      </c>
      <c r="EC134" s="29" t="str">
        <f t="shared" si="46"/>
        <v/>
      </c>
      <c r="ED134" s="29" t="str">
        <f t="shared" si="47"/>
        <v/>
      </c>
      <c r="EE134" s="29" t="str">
        <f t="shared" si="48"/>
        <v/>
      </c>
      <c r="EF134" s="29" t="str">
        <f t="shared" si="49"/>
        <v/>
      </c>
      <c r="EG134" s="29" t="str">
        <f t="shared" si="50"/>
        <v/>
      </c>
      <c r="EH134" s="29" t="str">
        <f t="shared" si="51"/>
        <v/>
      </c>
      <c r="EI134" s="29" t="str">
        <f t="shared" si="52"/>
        <v/>
      </c>
      <c r="EJ134" s="29" t="str">
        <f t="shared" si="53"/>
        <v/>
      </c>
      <c r="EK134" s="29" t="str">
        <f t="shared" si="54"/>
        <v/>
      </c>
      <c r="EL134" s="29" t="str">
        <f>IF(CD134=1,VLOOKUP(EA134,'EIA 2023'!$A$2:$J$213,4,0)*EH134,"")</f>
        <v/>
      </c>
      <c r="EM134" s="29" t="str">
        <f>IF(CD134=1,VLOOKUP(EA134,'EIA 2023'!$A$2:$J$213,7,0)*EH134,"")</f>
        <v/>
      </c>
      <c r="EN134" s="29" t="str">
        <f>IF(CD134=1,VLOOKUP(EA134,'EIA 2023'!$A$2:$J$213,10,0),"")</f>
        <v/>
      </c>
      <c r="EO134" s="28" t="str">
        <f>IF(CD134=1,VLOOKUP(EA134,'EIA 2023'!$A$2:$Z$213,26,0),"")</f>
        <v/>
      </c>
      <c r="EP134" s="23" t="str">
        <f t="shared" si="55"/>
        <v/>
      </c>
      <c r="EQ134" s="32" t="str">
        <f t="shared" si="56"/>
        <v/>
      </c>
      <c r="ER134" s="32" t="str">
        <f t="shared" si="57"/>
        <v/>
      </c>
      <c r="ES134" s="32"/>
      <c r="ET134" s="32"/>
    </row>
    <row r="135" spans="1:150" ht="15.75" customHeight="1">
      <c r="A135" s="7" t="s">
        <v>613</v>
      </c>
      <c r="B135" s="7" t="s">
        <v>614</v>
      </c>
      <c r="C135" s="32" t="s">
        <v>1220</v>
      </c>
      <c r="D135" s="42">
        <v>0</v>
      </c>
      <c r="E135" s="42">
        <v>0</v>
      </c>
      <c r="F135" s="42">
        <v>0</v>
      </c>
      <c r="G135" s="42">
        <v>542422735</v>
      </c>
      <c r="H135" s="42">
        <v>553110360</v>
      </c>
      <c r="I135" s="42">
        <v>14482599</v>
      </c>
      <c r="J135" s="42">
        <v>3189339</v>
      </c>
      <c r="K135" s="42">
        <v>0</v>
      </c>
      <c r="L135" s="42">
        <v>3529322</v>
      </c>
      <c r="M135" s="42">
        <v>727052</v>
      </c>
      <c r="N135" s="42">
        <v>685247</v>
      </c>
      <c r="O135" s="42">
        <v>40451561</v>
      </c>
      <c r="P135" s="42">
        <v>3412760</v>
      </c>
      <c r="Q135" s="42">
        <v>2838847</v>
      </c>
      <c r="R135" s="42">
        <v>21642</v>
      </c>
      <c r="S135" s="42">
        <v>18623161</v>
      </c>
      <c r="T135" s="42">
        <v>21683085</v>
      </c>
      <c r="U135" s="42">
        <v>196163</v>
      </c>
      <c r="V135" s="42">
        <v>0</v>
      </c>
      <c r="W135" s="42">
        <v>3573084</v>
      </c>
      <c r="X135" s="42">
        <f>IFERROR(VLOOKUP(A135,'Trans 21-23'!$A$2:$J$229,10,0),0)</f>
        <v>2611986</v>
      </c>
      <c r="Y135" s="42">
        <v>685491</v>
      </c>
      <c r="Z135" s="42">
        <v>0</v>
      </c>
      <c r="AA135" s="42">
        <v>89993758</v>
      </c>
      <c r="AB135" s="42">
        <v>45303615</v>
      </c>
      <c r="AC135" s="42">
        <v>321876</v>
      </c>
      <c r="AD135" s="42">
        <v>28986933</v>
      </c>
      <c r="AE135" s="42">
        <v>0</v>
      </c>
      <c r="AF135" s="42">
        <v>875153145</v>
      </c>
      <c r="AG135" s="42">
        <v>344026</v>
      </c>
      <c r="AH135" s="42">
        <v>198173</v>
      </c>
      <c r="AI135" s="42">
        <v>4946509</v>
      </c>
      <c r="AJ135" s="42">
        <v>0</v>
      </c>
      <c r="AK135" s="42">
        <v>0</v>
      </c>
      <c r="AL135" s="42">
        <v>2051960</v>
      </c>
      <c r="AM135" s="42">
        <v>2296135</v>
      </c>
      <c r="AN135" s="42">
        <v>378607</v>
      </c>
      <c r="AO135" s="42">
        <v>21634</v>
      </c>
      <c r="AP135" s="42">
        <v>0</v>
      </c>
      <c r="AQ135" s="42">
        <v>4748336</v>
      </c>
      <c r="AR135" s="42">
        <v>0</v>
      </c>
      <c r="AS135" s="42">
        <v>4748336</v>
      </c>
      <c r="AT135" s="42">
        <v>0</v>
      </c>
      <c r="AU135" s="42">
        <v>1197</v>
      </c>
      <c r="AV135" s="42">
        <v>0</v>
      </c>
      <c r="AW135" s="42">
        <v>393928475</v>
      </c>
      <c r="AX135" s="42">
        <v>252931645</v>
      </c>
      <c r="AY135" s="42">
        <v>333635506</v>
      </c>
      <c r="AZ135" s="42">
        <v>104025910</v>
      </c>
      <c r="BA135" s="42">
        <v>65344311</v>
      </c>
      <c r="BB135" s="42">
        <v>2012062472</v>
      </c>
      <c r="BC135" s="42">
        <v>3802227016</v>
      </c>
      <c r="BD135" s="42">
        <v>357164017</v>
      </c>
      <c r="BE135" s="42">
        <v>564762381</v>
      </c>
      <c r="BF135" s="42">
        <v>56869252</v>
      </c>
      <c r="BG135" s="42">
        <v>0</v>
      </c>
      <c r="BH135" s="42">
        <v>57551156</v>
      </c>
      <c r="BI135" s="42">
        <v>0</v>
      </c>
      <c r="BJ135" s="42">
        <v>0</v>
      </c>
      <c r="BK135" s="42">
        <v>233837</v>
      </c>
      <c r="BL135" s="42">
        <v>0</v>
      </c>
      <c r="BM135" s="42">
        <v>5059626</v>
      </c>
      <c r="BN135" s="42">
        <v>77582326</v>
      </c>
      <c r="BO135" s="42">
        <v>0</v>
      </c>
      <c r="BP135" s="42">
        <v>51275</v>
      </c>
      <c r="BQ135" s="42">
        <v>113177661</v>
      </c>
      <c r="BR135" s="42">
        <v>0</v>
      </c>
      <c r="BS135" s="42">
        <f>IFERROR(VLOOKUP(A135,'Trans 21-23'!$A$2:$J$229,9,0),0)</f>
        <v>257228359</v>
      </c>
      <c r="BT135" s="67"/>
      <c r="BU135" s="32">
        <f t="shared" si="0"/>
        <v>2012062472</v>
      </c>
      <c r="BV135" s="32">
        <f t="shared" si="1"/>
        <v>1197</v>
      </c>
      <c r="BW135" s="32">
        <f t="shared" si="2"/>
        <v>344026</v>
      </c>
      <c r="BX135" s="32">
        <f t="shared" si="3"/>
        <v>113413862</v>
      </c>
      <c r="BY135" s="32">
        <f t="shared" si="4"/>
        <v>136304740</v>
      </c>
      <c r="BZ135" s="32">
        <f t="shared" si="5"/>
        <v>104025910</v>
      </c>
      <c r="CA135" s="32">
        <f t="shared" si="6"/>
        <v>28986933</v>
      </c>
      <c r="CB135" s="32">
        <f t="shared" si="7"/>
        <v>198173</v>
      </c>
      <c r="CC135" s="32">
        <f t="shared" si="8"/>
        <v>4748336</v>
      </c>
      <c r="CD135" s="41">
        <f t="shared" si="67"/>
        <v>1</v>
      </c>
      <c r="CE135" s="44">
        <f t="shared" si="10"/>
        <v>19</v>
      </c>
      <c r="CF135" s="27"/>
      <c r="CG135" s="28">
        <f t="shared" si="11"/>
        <v>1680.9210292397661</v>
      </c>
      <c r="CH135" s="28">
        <f t="shared" si="12"/>
        <v>3.4793881857766564</v>
      </c>
      <c r="CI135" s="28">
        <f t="shared" si="13"/>
        <v>329.66654264503262</v>
      </c>
      <c r="CJ135" s="28">
        <f t="shared" si="14"/>
        <v>302.37804700807499</v>
      </c>
      <c r="CK135" s="23">
        <f t="shared" si="15"/>
        <v>4.1735252096734517E-2</v>
      </c>
      <c r="CL135" s="29" t="str">
        <f t="shared" si="16"/>
        <v/>
      </c>
      <c r="CM135" s="29" t="str">
        <f t="shared" si="17"/>
        <v/>
      </c>
      <c r="CN135" s="29" t="str">
        <f t="shared" si="18"/>
        <v/>
      </c>
      <c r="CO135" s="29" t="str">
        <f t="shared" si="19"/>
        <v/>
      </c>
      <c r="CP135" s="29" t="str">
        <f t="shared" si="20"/>
        <v/>
      </c>
      <c r="CQ135" s="29">
        <f t="shared" si="21"/>
        <v>0</v>
      </c>
      <c r="CR135" s="13"/>
      <c r="CS135" s="7">
        <f>VLOOKUP(A135,'Empresas 21-23'!$A$2:$M$228,13,0)</f>
        <v>1</v>
      </c>
      <c r="CT135" s="30"/>
      <c r="CU135" s="6">
        <f t="shared" si="22"/>
        <v>1747980319.4000001</v>
      </c>
      <c r="CV135" s="6">
        <f t="shared" si="23"/>
        <v>104025910</v>
      </c>
      <c r="CW135" s="6">
        <f t="shared" si="24"/>
        <v>357164017</v>
      </c>
      <c r="CX135" s="23">
        <f t="shared" si="68"/>
        <v>0.50738704050038774</v>
      </c>
      <c r="CY135" s="23">
        <f t="shared" si="69"/>
        <v>3.0195648099960913E-2</v>
      </c>
      <c r="CZ135" s="6">
        <f t="shared" si="27"/>
        <v>1929200712.9588604</v>
      </c>
      <c r="DA135" s="6">
        <f t="shared" si="28"/>
        <v>114810708.97130045</v>
      </c>
      <c r="DB135" s="6">
        <f t="shared" si="29"/>
        <v>113413862</v>
      </c>
      <c r="DC135" s="6">
        <f t="shared" si="30"/>
        <v>116025848</v>
      </c>
      <c r="DD135" s="6">
        <f t="shared" si="31"/>
        <v>136304740</v>
      </c>
      <c r="DE135" s="6">
        <f t="shared" si="32"/>
        <v>28986933</v>
      </c>
      <c r="DF135" s="6">
        <f t="shared" si="70"/>
        <v>24958688.926664408</v>
      </c>
      <c r="DG135" s="30"/>
      <c r="DH135" s="32">
        <f>VLOOKUP(A135,'T_med_comp-USA'!$A$7:$Q$233,17,0)</f>
        <v>9.5331964426378999</v>
      </c>
      <c r="DI135" s="6" t="str">
        <f t="shared" si="34"/>
        <v>6_2014</v>
      </c>
      <c r="DJ135" s="32">
        <f>IF(DI135="","",VLOOKUP(DI135,'CPI USA'!$T:$U,2,FALSE))</f>
        <v>238.34299999999999</v>
      </c>
      <c r="DK135" s="32">
        <f>IF(DI135="","",VLOOKUP(DI135,'PPI USA'!$S:$T,2,FALSE))</f>
        <v>186.8</v>
      </c>
      <c r="DL135" s="32">
        <f>IF(DI135="","",VLOOKUP(DI135,'CPI USA'!$T:$V,3,FALSE))</f>
        <v>0.66756601812039096</v>
      </c>
      <c r="DM135" s="32">
        <f>IF(DI135="","",VLOOKUP(DI135,'CPI USA'!$T:$X,5,FALSE))</f>
        <v>0.49542529667095003</v>
      </c>
      <c r="DN135" s="32">
        <f t="shared" si="35"/>
        <v>1.3333321386506967</v>
      </c>
      <c r="DO135" s="32">
        <f t="shared" si="36"/>
        <v>1.3411868456226204</v>
      </c>
      <c r="DP135" s="32">
        <f t="shared" si="37"/>
        <v>0.50744375497943983</v>
      </c>
      <c r="DQ135" s="32">
        <f>IF(DP135="","",DP135*$DO$1/'CPI USA'!$U$532+(1-DP135)*AVERAGE($DO$1,$DQ$1)/AVERAGE('CPI USA'!$U$532,'PPI USA'!$T$538))</f>
        <v>1.0355863811411017</v>
      </c>
      <c r="DR135" s="6">
        <f t="shared" si="38"/>
        <v>233837</v>
      </c>
      <c r="DS135" s="32">
        <f t="shared" si="39"/>
        <v>0.2</v>
      </c>
      <c r="DT135" s="28">
        <f>IF(DS135="","",DS135*$DO$1/'CPI USA'!$U$532+(1-DS135)*AVERAGE($DO$1,$DQ$1)/AVERAGE('CPI USA'!$U$532,'PPI USA'!$T$538))</f>
        <v>1.0426818386380585</v>
      </c>
      <c r="DU135" s="6">
        <f t="shared" si="40"/>
        <v>5059626</v>
      </c>
      <c r="DV135" s="6">
        <f t="shared" si="41"/>
        <v>2293.2963062216095</v>
      </c>
      <c r="DW135" s="6">
        <f t="shared" si="42"/>
        <v>3770226.8826487614</v>
      </c>
      <c r="DX135" s="16">
        <f t="shared" si="43"/>
        <v>0.2</v>
      </c>
      <c r="DY135" s="28">
        <f>IF(DX135="","",DX135*$DO$1/'CPI USA'!$U$532+(1-DX135)*AVERAGE($DO$1,$DQ$1)/AVERAGE('CPI USA'!$U$532,'PPI USA'!$T$538))</f>
        <v>1.0426818386380585</v>
      </c>
      <c r="DZ135" s="30"/>
      <c r="EA135" s="29" t="str">
        <f t="shared" si="44"/>
        <v>C001607</v>
      </c>
      <c r="EB135" s="29">
        <f t="shared" si="45"/>
        <v>2572265312.4958863</v>
      </c>
      <c r="EC135" s="29">
        <f t="shared" si="46"/>
        <v>153982612.60891512</v>
      </c>
      <c r="ED135" s="29">
        <f t="shared" si="47"/>
        <v>120154788.04914753</v>
      </c>
      <c r="EE135" s="29">
        <f t="shared" si="48"/>
        <v>142122476.91828251</v>
      </c>
      <c r="EF135" s="29">
        <f t="shared" si="49"/>
        <v>26023971.660049796</v>
      </c>
      <c r="EG135" s="29">
        <f t="shared" si="50"/>
        <v>1197</v>
      </c>
      <c r="EH135" s="29">
        <f t="shared" si="51"/>
        <v>344026</v>
      </c>
      <c r="EI135" s="29">
        <f t="shared" si="52"/>
        <v>198173</v>
      </c>
      <c r="EJ135" s="29">
        <f t="shared" si="53"/>
        <v>4748336</v>
      </c>
      <c r="EK135" s="29">
        <f t="shared" si="54"/>
        <v>4946509</v>
      </c>
      <c r="EL135" s="29">
        <f>IF(CD135=1,VLOOKUP(EA135,'EIA 2023'!$A$2:$J$213,4,0)*EH135,"")</f>
        <v>14793118</v>
      </c>
      <c r="EM135" s="29">
        <f>IF(CD135=1,VLOOKUP(EA135,'EIA 2023'!$A$2:$J$213,7,0)*EH135,"")</f>
        <v>258019.5</v>
      </c>
      <c r="EN135" s="29">
        <f>IF(CD135=1,VLOOKUP(EA135,'EIA 2023'!$A$2:$J$213,10,0),"")</f>
        <v>348210</v>
      </c>
      <c r="EO135" s="28">
        <f>IF(CD135=1,VLOOKUP(EA135,'EIA 2023'!$A$2:$Z$213,26,0),"")</f>
        <v>0</v>
      </c>
      <c r="EP135" s="23">
        <f t="shared" si="55"/>
        <v>4.0063204170860699E-2</v>
      </c>
      <c r="EQ135" s="32">
        <f t="shared" si="56"/>
        <v>0</v>
      </c>
      <c r="ER135" s="32">
        <f t="shared" si="57"/>
        <v>198173</v>
      </c>
      <c r="ES135" s="32"/>
      <c r="ET135" s="32"/>
    </row>
    <row r="136" spans="1:150" ht="15.75" customHeight="1">
      <c r="A136" s="7" t="s">
        <v>616</v>
      </c>
      <c r="B136" s="7" t="s">
        <v>617</v>
      </c>
      <c r="C136" s="32" t="s">
        <v>1221</v>
      </c>
      <c r="D136" s="42">
        <v>87961068</v>
      </c>
      <c r="E136" s="42">
        <v>0</v>
      </c>
      <c r="F136" s="42">
        <v>142541905</v>
      </c>
      <c r="G136" s="42">
        <v>291152595</v>
      </c>
      <c r="H136" s="42">
        <v>474656875</v>
      </c>
      <c r="I136" s="42">
        <v>1441192</v>
      </c>
      <c r="J136" s="42">
        <v>1218835</v>
      </c>
      <c r="K136" s="42">
        <v>899644</v>
      </c>
      <c r="L136" s="42">
        <v>8448169</v>
      </c>
      <c r="M136" s="42">
        <v>1660227</v>
      </c>
      <c r="N136" s="42">
        <v>5614</v>
      </c>
      <c r="O136" s="42">
        <v>9226280</v>
      </c>
      <c r="P136" s="42">
        <v>1377206</v>
      </c>
      <c r="Q136" s="42">
        <v>1669</v>
      </c>
      <c r="R136" s="42">
        <v>548</v>
      </c>
      <c r="S136" s="42">
        <v>2403268</v>
      </c>
      <c r="T136" s="42">
        <v>9869053</v>
      </c>
      <c r="U136" s="42">
        <v>991276</v>
      </c>
      <c r="V136" s="42">
        <v>0</v>
      </c>
      <c r="W136" s="42">
        <v>688819</v>
      </c>
      <c r="X136" s="42">
        <f>IFERROR(VLOOKUP(A136,'Trans 21-23'!$A$2:$J$229,10,0),0)</f>
        <v>613485</v>
      </c>
      <c r="Y136" s="42">
        <v>1138919</v>
      </c>
      <c r="Z136" s="42">
        <v>305312</v>
      </c>
      <c r="AA136" s="42">
        <v>11879458</v>
      </c>
      <c r="AB136" s="42">
        <v>9709060</v>
      </c>
      <c r="AC136" s="42">
        <v>187323</v>
      </c>
      <c r="AD136" s="42">
        <v>60183092</v>
      </c>
      <c r="AE136" s="42">
        <v>0</v>
      </c>
      <c r="AF136" s="42">
        <v>885008257</v>
      </c>
      <c r="AG136" s="42">
        <v>375809</v>
      </c>
      <c r="AH136" s="42">
        <v>718466</v>
      </c>
      <c r="AI136" s="42">
        <v>9709887</v>
      </c>
      <c r="AJ136" s="42">
        <v>18117</v>
      </c>
      <c r="AK136" s="42">
        <v>0</v>
      </c>
      <c r="AL136" s="42">
        <v>2655054</v>
      </c>
      <c r="AM136" s="42">
        <v>2997458</v>
      </c>
      <c r="AN136" s="42">
        <v>2683771</v>
      </c>
      <c r="AO136" s="42">
        <v>11289</v>
      </c>
      <c r="AP136" s="42">
        <v>0</v>
      </c>
      <c r="AQ136" s="42">
        <v>8347572</v>
      </c>
      <c r="AR136" s="42">
        <v>625732</v>
      </c>
      <c r="AS136" s="42">
        <v>8973304</v>
      </c>
      <c r="AT136" s="42">
        <v>0</v>
      </c>
      <c r="AU136" s="42">
        <v>1825</v>
      </c>
      <c r="AV136" s="42">
        <v>0</v>
      </c>
      <c r="AW136" s="42">
        <v>211173022</v>
      </c>
      <c r="AX136" s="42">
        <v>94818062</v>
      </c>
      <c r="AY136" s="42">
        <v>417916496</v>
      </c>
      <c r="AZ136" s="42">
        <v>56546611</v>
      </c>
      <c r="BA136" s="42">
        <v>54979539</v>
      </c>
      <c r="BB136" s="42">
        <v>2095194836</v>
      </c>
      <c r="BC136" s="42">
        <v>4730168819</v>
      </c>
      <c r="BD136" s="42">
        <v>219267949</v>
      </c>
      <c r="BE136" s="42">
        <v>627830617</v>
      </c>
      <c r="BF136" s="42">
        <v>48081817</v>
      </c>
      <c r="BG136" s="42">
        <v>0</v>
      </c>
      <c r="BH136" s="42">
        <v>14639602</v>
      </c>
      <c r="BI136" s="42">
        <v>4035789</v>
      </c>
      <c r="BJ136" s="42">
        <v>560078</v>
      </c>
      <c r="BK136" s="42">
        <v>101206</v>
      </c>
      <c r="BL136" s="42">
        <v>0</v>
      </c>
      <c r="BM136" s="42">
        <v>12488593</v>
      </c>
      <c r="BN136" s="42">
        <v>51794162</v>
      </c>
      <c r="BO136" s="42">
        <v>7117763</v>
      </c>
      <c r="BP136" s="42">
        <v>14419726</v>
      </c>
      <c r="BQ136" s="42">
        <v>126230886</v>
      </c>
      <c r="BR136" s="42">
        <v>0</v>
      </c>
      <c r="BS136" s="42">
        <f>IFERROR(VLOOKUP(A136,'Trans 21-23'!$A$2:$J$229,9,0),0)</f>
        <v>41925699</v>
      </c>
      <c r="BT136" s="67"/>
      <c r="BU136" s="32">
        <f t="shared" si="0"/>
        <v>2095194836</v>
      </c>
      <c r="BV136" s="32">
        <f t="shared" si="1"/>
        <v>1825</v>
      </c>
      <c r="BW136" s="32">
        <f t="shared" si="2"/>
        <v>375809</v>
      </c>
      <c r="BX136" s="32">
        <f t="shared" si="3"/>
        <v>38231800</v>
      </c>
      <c r="BY136" s="32">
        <f t="shared" si="4"/>
        <v>23220072</v>
      </c>
      <c r="BZ136" s="32">
        <f t="shared" si="5"/>
        <v>56546611</v>
      </c>
      <c r="CA136" s="32">
        <f t="shared" si="6"/>
        <v>60183092</v>
      </c>
      <c r="CB136" s="32">
        <f t="shared" si="7"/>
        <v>718466</v>
      </c>
      <c r="CC136" s="32">
        <f t="shared" si="8"/>
        <v>8347572</v>
      </c>
      <c r="CD136" s="41">
        <f t="shared" si="67"/>
        <v>1</v>
      </c>
      <c r="CE136" s="44">
        <f t="shared" si="10"/>
        <v>10</v>
      </c>
      <c r="CF136" s="27"/>
      <c r="CG136" s="28">
        <f t="shared" si="11"/>
        <v>1148.051964931507</v>
      </c>
      <c r="CH136" s="28">
        <f t="shared" si="12"/>
        <v>4.8561902455768751</v>
      </c>
      <c r="CI136" s="28">
        <f t="shared" si="13"/>
        <v>101.73199683881973</v>
      </c>
      <c r="CJ136" s="28">
        <f t="shared" si="14"/>
        <v>150.46635658007125</v>
      </c>
      <c r="CK136" s="23">
        <f t="shared" si="15"/>
        <v>8.606885930423841E-2</v>
      </c>
      <c r="CL136" s="29" t="str">
        <f t="shared" si="16"/>
        <v/>
      </c>
      <c r="CM136" s="29" t="str">
        <f t="shared" si="17"/>
        <v/>
      </c>
      <c r="CN136" s="29" t="str">
        <f t="shared" si="18"/>
        <v/>
      </c>
      <c r="CO136" s="29" t="str">
        <f t="shared" si="19"/>
        <v/>
      </c>
      <c r="CP136" s="29" t="str">
        <f t="shared" si="20"/>
        <v/>
      </c>
      <c r="CQ136" s="29">
        <f t="shared" si="21"/>
        <v>0</v>
      </c>
      <c r="CR136" s="13"/>
      <c r="CS136" s="7">
        <f>VLOOKUP(A136,'Empresas 21-23'!$A$2:$M$228,13,0)</f>
        <v>1</v>
      </c>
      <c r="CT136" s="30"/>
      <c r="CU136" s="6">
        <f t="shared" si="22"/>
        <v>1717953650.2</v>
      </c>
      <c r="CV136" s="6">
        <f t="shared" si="23"/>
        <v>56546611</v>
      </c>
      <c r="CW136" s="6">
        <f t="shared" si="24"/>
        <v>219267949</v>
      </c>
      <c r="CX136" s="23">
        <f t="shared" si="68"/>
        <v>0.38084491318028013</v>
      </c>
      <c r="CY136" s="23">
        <f t="shared" si="69"/>
        <v>1.253554725089758E-2</v>
      </c>
      <c r="CZ136" s="6">
        <f t="shared" si="27"/>
        <v>1801460733.2001231</v>
      </c>
      <c r="DA136" s="6">
        <f t="shared" si="28"/>
        <v>59295254.735296898</v>
      </c>
      <c r="DB136" s="6">
        <f t="shared" si="29"/>
        <v>38231800</v>
      </c>
      <c r="DC136" s="6">
        <f t="shared" si="30"/>
        <v>38845285</v>
      </c>
      <c r="DD136" s="6">
        <f t="shared" si="31"/>
        <v>23220072</v>
      </c>
      <c r="DE136" s="6">
        <f t="shared" si="32"/>
        <v>60183092</v>
      </c>
      <c r="DF136" s="6">
        <f t="shared" si="70"/>
        <v>31214433.588504545</v>
      </c>
      <c r="DG136" s="30"/>
      <c r="DH136" s="32">
        <f>VLOOKUP(A136,'T_med_comp-USA'!$A$7:$Q$233,17,0)</f>
        <v>16.057205275795319</v>
      </c>
      <c r="DI136" s="6" t="str">
        <f t="shared" si="34"/>
        <v>12_2007</v>
      </c>
      <c r="DJ136" s="32">
        <f>IF(DI136="","",VLOOKUP(DI136,'CPI USA'!$T:$U,2,FALSE))</f>
        <v>207.34200000000001</v>
      </c>
      <c r="DK136" s="32">
        <f>IF(DI136="","",VLOOKUP(DI136,'PPI USA'!$S:$T,2,FALSE))</f>
        <v>151.69999999999999</v>
      </c>
      <c r="DL136" s="32">
        <f>IF(DI136="","",VLOOKUP(DI136,'CPI USA'!$T:$V,3,FALSE))</f>
        <v>0.67123734379962852</v>
      </c>
      <c r="DM136" s="32">
        <f>IF(DI136="","",VLOOKUP(DI136,'CPI USA'!$T:$X,5,FALSE))</f>
        <v>0.49957259686190569</v>
      </c>
      <c r="DN136" s="32">
        <f t="shared" si="35"/>
        <v>1.5480022216582647</v>
      </c>
      <c r="DO136" s="32">
        <f t="shared" si="36"/>
        <v>1.5651038394149617</v>
      </c>
      <c r="DP136" s="32">
        <f t="shared" si="37"/>
        <v>0.43553887741435449</v>
      </c>
      <c r="DQ136" s="32">
        <f>IF(DP136="","",DP136*$DO$1/'CPI USA'!$U$532+(1-DP136)*AVERAGE($DO$1,$DQ$1)/AVERAGE('CPI USA'!$U$532,'PPI USA'!$T$538))</f>
        <v>1.0372458651745993</v>
      </c>
      <c r="DR136" s="6">
        <f t="shared" si="38"/>
        <v>4697073</v>
      </c>
      <c r="DS136" s="32">
        <f t="shared" si="39"/>
        <v>0.23008385799581405</v>
      </c>
      <c r="DT136" s="28">
        <f>IF(DS136="","",DS136*$DO$1/'CPI USA'!$U$532+(1-DS136)*AVERAGE($DO$1,$DQ$1)/AVERAGE('CPI USA'!$U$532,'PPI USA'!$T$538))</f>
        <v>1.0419875368924658</v>
      </c>
      <c r="DU136" s="6">
        <f t="shared" si="40"/>
        <v>14204825.906277332</v>
      </c>
      <c r="DV136" s="6">
        <f t="shared" si="41"/>
        <v>1610591.3683886116</v>
      </c>
      <c r="DW136" s="6">
        <f t="shared" si="42"/>
        <v>5904479.8104775036</v>
      </c>
      <c r="DX136" s="16">
        <f t="shared" si="43"/>
        <v>0.2</v>
      </c>
      <c r="DY136" s="28">
        <f>IF(DX136="","",DX136*$DO$1/'CPI USA'!$U$532+(1-DX136)*AVERAGE($DO$1,$DQ$1)/AVERAGE('CPI USA'!$U$532,'PPI USA'!$T$538))</f>
        <v>1.0426818386380585</v>
      </c>
      <c r="DZ136" s="30"/>
      <c r="EA136" s="29" t="str">
        <f t="shared" si="44"/>
        <v>C001609</v>
      </c>
      <c r="EB136" s="29">
        <f t="shared" si="45"/>
        <v>2788665217.223917</v>
      </c>
      <c r="EC136" s="29">
        <f t="shared" si="46"/>
        <v>92803230.84530136</v>
      </c>
      <c r="ED136" s="29">
        <f t="shared" si="47"/>
        <v>40292111.247778885</v>
      </c>
      <c r="EE136" s="29">
        <f t="shared" si="48"/>
        <v>24195025.629745711</v>
      </c>
      <c r="EF136" s="29">
        <f t="shared" si="49"/>
        <v>32546723.006107491</v>
      </c>
      <c r="EG136" s="29">
        <f t="shared" si="50"/>
        <v>1825</v>
      </c>
      <c r="EH136" s="29">
        <f t="shared" si="51"/>
        <v>375809</v>
      </c>
      <c r="EI136" s="29">
        <f t="shared" si="52"/>
        <v>718466</v>
      </c>
      <c r="EJ136" s="29">
        <f t="shared" si="53"/>
        <v>8347572</v>
      </c>
      <c r="EK136" s="29">
        <f t="shared" si="54"/>
        <v>9056509.0862944163</v>
      </c>
      <c r="EL136" s="29">
        <f>IF(CD136=1,VLOOKUP(EA136,'EIA 2023'!$A$2:$J$213,4,0)*EH136,"")</f>
        <v>60982526.430000007</v>
      </c>
      <c r="EM136" s="29">
        <f>IF(CD136=1,VLOOKUP(EA136,'EIA 2023'!$A$2:$J$213,7,0)*EH136,"")</f>
        <v>680214.29</v>
      </c>
      <c r="EN136" s="29">
        <f>IF(CD136=1,VLOOKUP(EA136,'EIA 2023'!$A$2:$J$213,10,0),"")</f>
        <v>399796</v>
      </c>
      <c r="EO136" s="28">
        <f>IF(CD136=1,VLOOKUP(EA136,'EIA 2023'!$A$2:$Z$213,26,0),"")</f>
        <v>0</v>
      </c>
      <c r="EP136" s="23">
        <f t="shared" si="55"/>
        <v>7.8279288359272947E-2</v>
      </c>
      <c r="EQ136" s="32">
        <f t="shared" si="56"/>
        <v>9528.9137055837782</v>
      </c>
      <c r="ER136" s="32">
        <f t="shared" si="57"/>
        <v>708937.08629441622</v>
      </c>
      <c r="ES136" s="32"/>
      <c r="ET136" s="32"/>
    </row>
    <row r="137" spans="1:150" ht="15.75" customHeight="1">
      <c r="A137" s="7" t="s">
        <v>619</v>
      </c>
      <c r="B137" s="7" t="s">
        <v>620</v>
      </c>
      <c r="C137" s="32" t="s">
        <v>1222</v>
      </c>
      <c r="D137" s="42">
        <v>0</v>
      </c>
      <c r="E137" s="42">
        <v>0</v>
      </c>
      <c r="F137" s="42">
        <v>982513818</v>
      </c>
      <c r="G137" s="42">
        <v>852991056</v>
      </c>
      <c r="H137" s="42">
        <v>999965508</v>
      </c>
      <c r="I137" s="42">
        <v>1028698</v>
      </c>
      <c r="J137" s="42">
        <v>773426</v>
      </c>
      <c r="K137" s="42">
        <v>1149502</v>
      </c>
      <c r="L137" s="42">
        <v>3209273</v>
      </c>
      <c r="M137" s="42">
        <v>6881260</v>
      </c>
      <c r="N137" s="42">
        <v>634</v>
      </c>
      <c r="O137" s="42">
        <v>6951798</v>
      </c>
      <c r="P137" s="42">
        <v>343939</v>
      </c>
      <c r="Q137" s="42">
        <v>17653</v>
      </c>
      <c r="R137" s="42">
        <v>600</v>
      </c>
      <c r="S137" s="42">
        <v>3803355</v>
      </c>
      <c r="T137" s="42">
        <v>3717153</v>
      </c>
      <c r="U137" s="42">
        <v>1411338</v>
      </c>
      <c r="V137" s="42">
        <v>0</v>
      </c>
      <c r="W137" s="42">
        <v>1516911</v>
      </c>
      <c r="X137" s="42">
        <f>IFERROR(VLOOKUP(A137,'Trans 21-23'!$A$2:$J$229,10,0),0)</f>
        <v>2668580</v>
      </c>
      <c r="Y137" s="42">
        <v>2229804</v>
      </c>
      <c r="Z137" s="42">
        <v>720503</v>
      </c>
      <c r="AA137" s="42">
        <v>46138599</v>
      </c>
      <c r="AB137" s="42">
        <v>37445484</v>
      </c>
      <c r="AC137" s="42">
        <v>296356</v>
      </c>
      <c r="AD137" s="42">
        <v>108560595</v>
      </c>
      <c r="AE137" s="42">
        <v>0</v>
      </c>
      <c r="AF137" s="42">
        <v>2327129232</v>
      </c>
      <c r="AG137" s="42">
        <v>1015207</v>
      </c>
      <c r="AH137" s="42">
        <v>747773</v>
      </c>
      <c r="AI137" s="42">
        <v>22235986</v>
      </c>
      <c r="AJ137" s="42">
        <v>15027</v>
      </c>
      <c r="AK137" s="42">
        <v>0</v>
      </c>
      <c r="AL137" s="42">
        <v>9583914</v>
      </c>
      <c r="AM137" s="42">
        <v>4807108</v>
      </c>
      <c r="AN137" s="42">
        <v>5826823</v>
      </c>
      <c r="AO137" s="42">
        <v>127001</v>
      </c>
      <c r="AP137" s="42">
        <v>52223</v>
      </c>
      <c r="AQ137" s="42">
        <v>20397069</v>
      </c>
      <c r="AR137" s="42">
        <v>1076117</v>
      </c>
      <c r="AS137" s="42">
        <v>21473186</v>
      </c>
      <c r="AT137" s="42">
        <v>0</v>
      </c>
      <c r="AU137" s="42">
        <v>6311</v>
      </c>
      <c r="AV137" s="42">
        <v>0</v>
      </c>
      <c r="AW137" s="42">
        <v>123678614</v>
      </c>
      <c r="AX137" s="42">
        <v>432745475</v>
      </c>
      <c r="AY137" s="42">
        <v>1748422442</v>
      </c>
      <c r="AZ137" s="42">
        <v>178104582</v>
      </c>
      <c r="BA137" s="42">
        <v>1523602</v>
      </c>
      <c r="BB137" s="42">
        <v>4425238274</v>
      </c>
      <c r="BC137" s="42">
        <v>11239467392</v>
      </c>
      <c r="BD137" s="42">
        <v>464002724</v>
      </c>
      <c r="BE137" s="42">
        <v>1518036271</v>
      </c>
      <c r="BF137" s="42">
        <v>101277191</v>
      </c>
      <c r="BG137" s="42">
        <v>0</v>
      </c>
      <c r="BH137" s="42">
        <v>13844386</v>
      </c>
      <c r="BI137" s="42">
        <v>13684656</v>
      </c>
      <c r="BJ137" s="42">
        <v>631464</v>
      </c>
      <c r="BK137" s="42">
        <v>195933</v>
      </c>
      <c r="BL137" s="42">
        <v>0</v>
      </c>
      <c r="BM137" s="42">
        <v>23693354</v>
      </c>
      <c r="BN137" s="42">
        <v>79639938</v>
      </c>
      <c r="BO137" s="42">
        <v>18991650</v>
      </c>
      <c r="BP137" s="42">
        <v>5790186</v>
      </c>
      <c r="BQ137" s="42">
        <v>159742667</v>
      </c>
      <c r="BR137" s="42">
        <v>0</v>
      </c>
      <c r="BS137" s="42">
        <f>IFERROR(VLOOKUP(A137,'Trans 21-23'!$A$2:$J$229,9,0),0)</f>
        <v>72285667</v>
      </c>
      <c r="BT137" s="67"/>
      <c r="BU137" s="32">
        <f t="shared" si="0"/>
        <v>4425238274</v>
      </c>
      <c r="BV137" s="32">
        <f t="shared" si="1"/>
        <v>6311</v>
      </c>
      <c r="BW137" s="32">
        <f t="shared" si="2"/>
        <v>1015207</v>
      </c>
      <c r="BX137" s="32">
        <f t="shared" si="3"/>
        <v>30805540</v>
      </c>
      <c r="BY137" s="32">
        <f t="shared" si="4"/>
        <v>86830746</v>
      </c>
      <c r="BZ137" s="32">
        <f t="shared" si="5"/>
        <v>178104582</v>
      </c>
      <c r="CA137" s="32">
        <f t="shared" si="6"/>
        <v>108560595</v>
      </c>
      <c r="CB137" s="32">
        <f t="shared" si="7"/>
        <v>747773</v>
      </c>
      <c r="CC137" s="32">
        <f t="shared" si="8"/>
        <v>20397069</v>
      </c>
      <c r="CD137" s="41">
        <f t="shared" si="67"/>
        <v>1</v>
      </c>
      <c r="CE137" s="44">
        <f t="shared" si="10"/>
        <v>10</v>
      </c>
      <c r="CF137" s="27"/>
      <c r="CG137" s="28">
        <f t="shared" si="11"/>
        <v>701.19446585327216</v>
      </c>
      <c r="CH137" s="28">
        <f t="shared" si="12"/>
        <v>6.2164661985191199</v>
      </c>
      <c r="CI137" s="28">
        <f t="shared" si="13"/>
        <v>30.344097312173773</v>
      </c>
      <c r="CJ137" s="28">
        <f t="shared" si="14"/>
        <v>175.43671586188827</v>
      </c>
      <c r="CK137" s="23">
        <f t="shared" si="15"/>
        <v>3.666080651097469E-2</v>
      </c>
      <c r="CL137" s="29" t="str">
        <f t="shared" si="16"/>
        <v/>
      </c>
      <c r="CM137" s="29" t="str">
        <f t="shared" si="17"/>
        <v/>
      </c>
      <c r="CN137" s="29" t="str">
        <f t="shared" si="18"/>
        <v/>
      </c>
      <c r="CO137" s="29" t="str">
        <f t="shared" si="19"/>
        <v/>
      </c>
      <c r="CP137" s="29" t="str">
        <f t="shared" si="20"/>
        <v/>
      </c>
      <c r="CQ137" s="29">
        <f t="shared" si="21"/>
        <v>0</v>
      </c>
      <c r="CR137" s="13"/>
      <c r="CS137" s="7">
        <f>VLOOKUP(A137,'Empresas 21-23'!$A$2:$M$228,13,0)</f>
        <v>1</v>
      </c>
      <c r="CT137" s="30"/>
      <c r="CU137" s="6">
        <f t="shared" si="22"/>
        <v>3009195006.8000002</v>
      </c>
      <c r="CV137" s="6">
        <f t="shared" si="23"/>
        <v>178104582</v>
      </c>
      <c r="CW137" s="6">
        <f t="shared" si="24"/>
        <v>464002724</v>
      </c>
      <c r="CX137" s="23">
        <f t="shared" si="68"/>
        <v>0.27926359554000812</v>
      </c>
      <c r="CY137" s="23">
        <f t="shared" si="69"/>
        <v>1.6528714768924896E-2</v>
      </c>
      <c r="CZ137" s="6">
        <f t="shared" si="27"/>
        <v>3138774075.8445983</v>
      </c>
      <c r="DA137" s="6">
        <f t="shared" si="28"/>
        <v>185773950.67700019</v>
      </c>
      <c r="DB137" s="6">
        <f t="shared" si="29"/>
        <v>30805540</v>
      </c>
      <c r="DC137" s="6">
        <f t="shared" si="30"/>
        <v>33474120</v>
      </c>
      <c r="DD137" s="6">
        <f t="shared" si="31"/>
        <v>86830746</v>
      </c>
      <c r="DE137" s="6">
        <f t="shared" si="32"/>
        <v>108560595</v>
      </c>
      <c r="DF137" s="6">
        <f t="shared" si="70"/>
        <v>55319606.715931624</v>
      </c>
      <c r="DG137" s="30"/>
      <c r="DH137" s="32">
        <f>VLOOKUP(A137,'T_med_comp-USA'!$A$7:$Q$233,17,0)</f>
        <v>15.100515372656531</v>
      </c>
      <c r="DI137" s="6" t="str">
        <f t="shared" si="34"/>
        <v>11_2008</v>
      </c>
      <c r="DJ137" s="32">
        <f>IF(DI137="","",VLOOKUP(DI137,'CPI USA'!$T:$U,2,FALSE))</f>
        <v>215.303</v>
      </c>
      <c r="DK137" s="32">
        <f>IF(DI137="","",VLOOKUP(DI137,'PPI USA'!$S:$T,2,FALSE))</f>
        <v>159.30000000000001</v>
      </c>
      <c r="DL137" s="32">
        <f>IF(DI137="","",VLOOKUP(DI137,'CPI USA'!$T:$V,3,FALSE))</f>
        <v>0.67018812038291731</v>
      </c>
      <c r="DM137" s="32">
        <f>IF(DI137="","",VLOOKUP(DI137,'CPI USA'!$T:$X,5,FALSE))</f>
        <v>0.49838492968660258</v>
      </c>
      <c r="DN137" s="32">
        <f t="shared" si="35"/>
        <v>1.4884333659448254</v>
      </c>
      <c r="DO137" s="32">
        <f t="shared" si="36"/>
        <v>1.5036496327119213</v>
      </c>
      <c r="DP137" s="32">
        <f t="shared" si="37"/>
        <v>0.55658306190494422</v>
      </c>
      <c r="DQ137" s="32">
        <f>IF(DP137="","",DP137*$DO$1/'CPI USA'!$U$532+(1-DP137)*AVERAGE($DO$1,$DQ$1)/AVERAGE('CPI USA'!$U$532,'PPI USA'!$T$538))</f>
        <v>1.0344523009782336</v>
      </c>
      <c r="DR137" s="6">
        <f t="shared" si="38"/>
        <v>14512053</v>
      </c>
      <c r="DS137" s="32">
        <f t="shared" si="39"/>
        <v>0.20698574448748408</v>
      </c>
      <c r="DT137" s="28">
        <f>IF(DS137="","",DS137*$DO$1/'CPI USA'!$U$532+(1-DS137)*AVERAGE($DO$1,$DQ$1)/AVERAGE('CPI USA'!$U$532,'PPI USA'!$T$538))</f>
        <v>1.0425206154800248</v>
      </c>
      <c r="DU137" s="6">
        <f t="shared" si="40"/>
        <v>29343482.538448889</v>
      </c>
      <c r="DV137" s="6">
        <f t="shared" si="41"/>
        <v>891112.15183238266</v>
      </c>
      <c r="DW137" s="6">
        <f t="shared" si="42"/>
        <v>10765270.05865681</v>
      </c>
      <c r="DX137" s="16">
        <f t="shared" si="43"/>
        <v>0.2</v>
      </c>
      <c r="DY137" s="28">
        <f>IF(DX137="","",DX137*$DO$1/'CPI USA'!$U$532+(1-DX137)*AVERAGE($DO$1,$DQ$1)/AVERAGE('CPI USA'!$U$532,'PPI USA'!$T$538))</f>
        <v>1.0426818386380585</v>
      </c>
      <c r="DZ137" s="30"/>
      <c r="EA137" s="29" t="str">
        <f t="shared" si="44"/>
        <v>C001610</v>
      </c>
      <c r="EB137" s="29">
        <f t="shared" si="45"/>
        <v>4671856062.6497345</v>
      </c>
      <c r="EC137" s="29">
        <f t="shared" si="46"/>
        <v>279338932.70291394</v>
      </c>
      <c r="ED137" s="29">
        <f t="shared" si="47"/>
        <v>34627380.457221508</v>
      </c>
      <c r="EE137" s="29">
        <f t="shared" si="48"/>
        <v>90522842.762509704</v>
      </c>
      <c r="EF137" s="29">
        <f t="shared" si="49"/>
        <v>57680749.243301876</v>
      </c>
      <c r="EG137" s="29">
        <f t="shared" si="50"/>
        <v>6311</v>
      </c>
      <c r="EH137" s="29">
        <f t="shared" si="51"/>
        <v>1015207</v>
      </c>
      <c r="EI137" s="29">
        <f t="shared" si="52"/>
        <v>747773</v>
      </c>
      <c r="EJ137" s="29">
        <f t="shared" si="53"/>
        <v>20397069</v>
      </c>
      <c r="EK137" s="29">
        <f t="shared" si="54"/>
        <v>21128454.431472082</v>
      </c>
      <c r="EL137" s="29">
        <f>IF(CD137=1,VLOOKUP(EA137,'EIA 2023'!$A$2:$J$213,4,0)*EH137,"")</f>
        <v>54536920.039999999</v>
      </c>
      <c r="EM137" s="29">
        <f>IF(CD137=1,VLOOKUP(EA137,'EIA 2023'!$A$2:$J$213,7,0)*EH137,"")</f>
        <v>629428.34</v>
      </c>
      <c r="EN137" s="29">
        <f>IF(CD137=1,VLOOKUP(EA137,'EIA 2023'!$A$2:$J$213,10,0),"")</f>
        <v>1104717</v>
      </c>
      <c r="EO137" s="28">
        <f>IF(CD137=1,VLOOKUP(EA137,'EIA 2023'!$A$2:$Z$213,26,0),"")</f>
        <v>0</v>
      </c>
      <c r="EP137" s="23">
        <f t="shared" si="55"/>
        <v>3.4616135025127032E-2</v>
      </c>
      <c r="EQ137" s="32">
        <f t="shared" si="56"/>
        <v>16387.568527918775</v>
      </c>
      <c r="ER137" s="32">
        <f t="shared" si="57"/>
        <v>731385.43147208123</v>
      </c>
      <c r="ES137" s="32"/>
      <c r="ET137" s="32"/>
    </row>
    <row r="138" spans="1:150" ht="15.75" customHeight="1">
      <c r="A138" s="7" t="s">
        <v>622</v>
      </c>
      <c r="B138" s="7" t="s">
        <v>623</v>
      </c>
      <c r="C138" s="32" t="s">
        <v>1223</v>
      </c>
      <c r="D138" s="42">
        <v>671791677</v>
      </c>
      <c r="E138" s="42">
        <v>0</v>
      </c>
      <c r="F138" s="42">
        <v>486505378</v>
      </c>
      <c r="G138" s="42">
        <v>937845148</v>
      </c>
      <c r="H138" s="42">
        <v>991074578</v>
      </c>
      <c r="I138" s="42">
        <v>21593220</v>
      </c>
      <c r="J138" s="42">
        <v>5975604</v>
      </c>
      <c r="K138" s="42">
        <v>16872057</v>
      </c>
      <c r="L138" s="42">
        <v>11558803</v>
      </c>
      <c r="M138" s="42">
        <v>0</v>
      </c>
      <c r="N138" s="42">
        <v>21176374</v>
      </c>
      <c r="O138" s="42">
        <v>3699565</v>
      </c>
      <c r="P138" s="42">
        <v>3720526</v>
      </c>
      <c r="Q138" s="42">
        <v>13317313</v>
      </c>
      <c r="R138" s="42">
        <v>2617893</v>
      </c>
      <c r="S138" s="42">
        <v>11034515</v>
      </c>
      <c r="T138" s="42">
        <v>188912870</v>
      </c>
      <c r="U138" s="42">
        <v>42982112</v>
      </c>
      <c r="V138" s="42">
        <v>1173446</v>
      </c>
      <c r="W138" s="42">
        <v>10190475</v>
      </c>
      <c r="X138" s="42">
        <f>IFERROR(VLOOKUP(A138,'Trans 21-23'!$A$2:$J$229,10,0),0)</f>
        <v>19472159</v>
      </c>
      <c r="Y138" s="42">
        <v>2750008</v>
      </c>
      <c r="Z138" s="42">
        <v>612575</v>
      </c>
      <c r="AA138" s="42">
        <v>91025325</v>
      </c>
      <c r="AB138" s="42">
        <v>176225005</v>
      </c>
      <c r="AC138" s="42">
        <v>0</v>
      </c>
      <c r="AD138" s="42">
        <f>1953617852-(1785095432-102109509)</f>
        <v>270631929</v>
      </c>
      <c r="AE138" s="42">
        <v>0</v>
      </c>
      <c r="AF138" s="42">
        <v>5438526510</v>
      </c>
      <c r="AG138" s="42">
        <v>2069044</v>
      </c>
      <c r="AH138" s="42">
        <v>4456877</v>
      </c>
      <c r="AI138" s="42">
        <v>64227186</v>
      </c>
      <c r="AJ138" s="42">
        <v>163312</v>
      </c>
      <c r="AK138" s="42">
        <v>0</v>
      </c>
      <c r="AL138" s="42">
        <v>18158770</v>
      </c>
      <c r="AM138" s="42">
        <v>20491480</v>
      </c>
      <c r="AN138" s="42">
        <v>17938466</v>
      </c>
      <c r="AO138" s="42">
        <v>107612</v>
      </c>
      <c r="AP138" s="42">
        <v>0</v>
      </c>
      <c r="AQ138" s="42">
        <v>56696328</v>
      </c>
      <c r="AR138" s="42">
        <v>2910669</v>
      </c>
      <c r="AS138" s="42">
        <v>59606997</v>
      </c>
      <c r="AT138" s="42">
        <v>0</v>
      </c>
      <c r="AU138" s="42">
        <v>10802</v>
      </c>
      <c r="AV138" s="42">
        <v>0</v>
      </c>
      <c r="AW138" s="42">
        <v>1046249044</v>
      </c>
      <c r="AX138" s="42">
        <v>516102973</v>
      </c>
      <c r="AY138" s="42">
        <v>1171817334</v>
      </c>
      <c r="AZ138" s="42">
        <v>310391872</v>
      </c>
      <c r="BA138" s="42">
        <v>63810073</v>
      </c>
      <c r="BB138" s="42">
        <v>9050589187</v>
      </c>
      <c r="BC138" s="42">
        <v>33849235245</v>
      </c>
      <c r="BD138" s="42">
        <v>1538983200</v>
      </c>
      <c r="BE138" s="42">
        <v>3343822119</v>
      </c>
      <c r="BF138" s="42">
        <v>216914160</v>
      </c>
      <c r="BG138" s="42">
        <v>0</v>
      </c>
      <c r="BH138" s="42">
        <v>131214060</v>
      </c>
      <c r="BI138" s="42">
        <v>29892118</v>
      </c>
      <c r="BJ138" s="42">
        <v>8580394</v>
      </c>
      <c r="BK138" s="42">
        <v>0</v>
      </c>
      <c r="BL138" s="42">
        <v>0</v>
      </c>
      <c r="BM138" s="42">
        <v>40158501</v>
      </c>
      <c r="BN138" s="42">
        <v>386417387</v>
      </c>
      <c r="BO138" s="42">
        <v>0</v>
      </c>
      <c r="BP138" s="42">
        <v>28476138</v>
      </c>
      <c r="BQ138" s="42">
        <v>620737217</v>
      </c>
      <c r="BR138" s="42">
        <v>0</v>
      </c>
      <c r="BS138" s="42">
        <f>IFERROR(VLOOKUP(A138,'Trans 21-23'!$A$2:$J$229,9,0),0)</f>
        <v>1128164300</v>
      </c>
      <c r="BT138" s="67"/>
      <c r="BU138" s="32">
        <f t="shared" si="0"/>
        <v>9050589187</v>
      </c>
      <c r="BV138" s="32">
        <f t="shared" si="1"/>
        <v>10802</v>
      </c>
      <c r="BW138" s="32">
        <f t="shared" si="2"/>
        <v>2069044</v>
      </c>
      <c r="BX138" s="32">
        <f t="shared" si="3"/>
        <v>354824773</v>
      </c>
      <c r="BY138" s="32">
        <f t="shared" si="4"/>
        <v>270612913</v>
      </c>
      <c r="BZ138" s="32">
        <f t="shared" si="5"/>
        <v>310391872</v>
      </c>
      <c r="CA138" s="32">
        <f t="shared" si="6"/>
        <v>270631929</v>
      </c>
      <c r="CB138" s="32">
        <f t="shared" si="7"/>
        <v>4456877</v>
      </c>
      <c r="CC138" s="32">
        <f t="shared" si="8"/>
        <v>56696328</v>
      </c>
      <c r="CD138" s="41">
        <f t="shared" si="67"/>
        <v>1</v>
      </c>
      <c r="CE138" s="44">
        <f t="shared" si="10"/>
        <v>13</v>
      </c>
      <c r="CF138" s="27"/>
      <c r="CG138" s="28">
        <f t="shared" si="11"/>
        <v>837.86235761895955</v>
      </c>
      <c r="CH138" s="28">
        <f t="shared" si="12"/>
        <v>5.2207686255101393</v>
      </c>
      <c r="CI138" s="28">
        <f t="shared" si="13"/>
        <v>171.49213501501177</v>
      </c>
      <c r="CJ138" s="28">
        <f t="shared" si="14"/>
        <v>150.01704748666535</v>
      </c>
      <c r="CK138" s="23">
        <f t="shared" si="15"/>
        <v>7.8609623536818815E-2</v>
      </c>
      <c r="CL138" s="29" t="str">
        <f t="shared" si="16"/>
        <v/>
      </c>
      <c r="CM138" s="29" t="str">
        <f t="shared" si="17"/>
        <v/>
      </c>
      <c r="CN138" s="29" t="str">
        <f t="shared" si="18"/>
        <v/>
      </c>
      <c r="CO138" s="29" t="str">
        <f t="shared" si="19"/>
        <v/>
      </c>
      <c r="CP138" s="29" t="str">
        <f t="shared" si="20"/>
        <v/>
      </c>
      <c r="CQ138" s="29">
        <f t="shared" si="21"/>
        <v>0</v>
      </c>
      <c r="CR138" s="13"/>
      <c r="CS138" s="7">
        <f>VLOOKUP(A138,'Empresas 21-23'!$A$2:$M$228,13,0)</f>
        <v>1</v>
      </c>
      <c r="CT138" s="30"/>
      <c r="CU138" s="6">
        <f t="shared" si="22"/>
        <v>8791799357.7999992</v>
      </c>
      <c r="CV138" s="6">
        <f t="shared" si="23"/>
        <v>310391872</v>
      </c>
      <c r="CW138" s="6">
        <f t="shared" si="24"/>
        <v>1538983200</v>
      </c>
      <c r="CX138" s="23">
        <f t="shared" si="68"/>
        <v>0.27210556406540093</v>
      </c>
      <c r="CY138" s="23">
        <f t="shared" si="69"/>
        <v>9.6066063355897905E-3</v>
      </c>
      <c r="CZ138" s="6">
        <f t="shared" si="27"/>
        <v>9210565249.5231743</v>
      </c>
      <c r="DA138" s="6">
        <f t="shared" si="28"/>
        <v>325176277.75948626</v>
      </c>
      <c r="DB138" s="6">
        <f t="shared" si="29"/>
        <v>354824773</v>
      </c>
      <c r="DC138" s="6">
        <f t="shared" si="30"/>
        <v>374296932</v>
      </c>
      <c r="DD138" s="6">
        <f t="shared" si="31"/>
        <v>270612913</v>
      </c>
      <c r="DE138" s="6">
        <f t="shared" si="32"/>
        <v>270631929</v>
      </c>
      <c r="DF138" s="6">
        <f t="shared" si="70"/>
        <v>57820728.346319996</v>
      </c>
      <c r="DG138" s="30"/>
      <c r="DH138" s="32">
        <f>VLOOKUP(A138,'T_med_comp-USA'!$A$7:$Q$233,17,0)</f>
        <v>15.780569975532169</v>
      </c>
      <c r="DI138" s="6" t="str">
        <f t="shared" si="34"/>
        <v>3_2008</v>
      </c>
      <c r="DJ138" s="32">
        <f>IF(DI138="","",VLOOKUP(DI138,'CPI USA'!$T:$U,2,FALSE))</f>
        <v>215.303</v>
      </c>
      <c r="DK138" s="32">
        <f>IF(DI138="","",VLOOKUP(DI138,'PPI USA'!$S:$T,2,FALSE))</f>
        <v>159.30000000000001</v>
      </c>
      <c r="DL138" s="32">
        <f>IF(DI138="","",VLOOKUP(DI138,'CPI USA'!$T:$V,3,FALSE))</f>
        <v>0.67018812038291731</v>
      </c>
      <c r="DM138" s="32">
        <f>IF(DI138="","",VLOOKUP(DI138,'CPI USA'!$T:$X,5,FALSE))</f>
        <v>0.49838492968660258</v>
      </c>
      <c r="DN138" s="32">
        <f t="shared" si="35"/>
        <v>1.4884333659448254</v>
      </c>
      <c r="DO138" s="32">
        <f t="shared" si="36"/>
        <v>1.5036496327119213</v>
      </c>
      <c r="DP138" s="32">
        <f t="shared" si="37"/>
        <v>0.36979960246462273</v>
      </c>
      <c r="DQ138" s="32">
        <f>IF(DP138="","",DP138*$DO$1/'CPI USA'!$U$532+(1-DP138)*AVERAGE($DO$1,$DQ$1)/AVERAGE('CPI USA'!$U$532,'PPI USA'!$T$538))</f>
        <v>1.0387630540058304</v>
      </c>
      <c r="DR138" s="6">
        <f t="shared" si="38"/>
        <v>38472512</v>
      </c>
      <c r="DS138" s="32">
        <f t="shared" si="39"/>
        <v>0.2</v>
      </c>
      <c r="DT138" s="28">
        <f>IF(DS138="","",DS138*$DO$1/'CPI USA'!$U$532+(1-DS138)*AVERAGE($DO$1,$DQ$1)/AVERAGE('CPI USA'!$U$532,'PPI USA'!$T$538))</f>
        <v>1.0426818386380585</v>
      </c>
      <c r="DU138" s="6">
        <f t="shared" si="40"/>
        <v>40158501</v>
      </c>
      <c r="DV138" s="6">
        <f t="shared" si="41"/>
        <v>1930836.0061072626</v>
      </c>
      <c r="DW138" s="6">
        <f t="shared" si="42"/>
        <v>18482593.057643872</v>
      </c>
      <c r="DX138" s="16">
        <f t="shared" si="43"/>
        <v>0.3196534112635438</v>
      </c>
      <c r="DY138" s="28">
        <f>IF(DX138="","",DX138*$DO$1/'CPI USA'!$U$532+(1-DX138)*AVERAGE($DO$1,$DQ$1)/AVERAGE('CPI USA'!$U$532,'PPI USA'!$T$538))</f>
        <v>1.0399203719299668</v>
      </c>
      <c r="DZ138" s="30"/>
      <c r="EA138" s="29" t="str">
        <f t="shared" si="44"/>
        <v>C001646</v>
      </c>
      <c r="EB138" s="29">
        <f t="shared" si="45"/>
        <v>13709312636.602219</v>
      </c>
      <c r="EC138" s="29">
        <f t="shared" si="46"/>
        <v>488951190.61968124</v>
      </c>
      <c r="ED138" s="29">
        <f t="shared" si="47"/>
        <v>388805824.1893326</v>
      </c>
      <c r="EE138" s="29">
        <f t="shared" si="48"/>
        <v>282163169.686041</v>
      </c>
      <c r="EF138" s="29">
        <f t="shared" si="49"/>
        <v>60128953.327166662</v>
      </c>
      <c r="EG138" s="29">
        <f t="shared" si="50"/>
        <v>10802</v>
      </c>
      <c r="EH138" s="29">
        <f t="shared" si="51"/>
        <v>2069044</v>
      </c>
      <c r="EI138" s="29">
        <f t="shared" si="52"/>
        <v>4456877</v>
      </c>
      <c r="EJ138" s="29">
        <f t="shared" si="53"/>
        <v>56696328</v>
      </c>
      <c r="EK138" s="29">
        <f t="shared" si="54"/>
        <v>61108880.09137056</v>
      </c>
      <c r="EL138" s="29">
        <f>IF(CD138=1,VLOOKUP(EA138,'EIA 2023'!$A$2:$J$213,4,0)*EH138,"")</f>
        <v>366696668.12</v>
      </c>
      <c r="EM138" s="29">
        <f>IF(CD138=1,VLOOKUP(EA138,'EIA 2023'!$A$2:$J$213,7,0)*EH138,"")</f>
        <v>8007200.2800000003</v>
      </c>
      <c r="EN138" s="29">
        <f>IF(CD138=1,VLOOKUP(EA138,'EIA 2023'!$A$2:$J$213,10,0),"")</f>
        <v>45863</v>
      </c>
      <c r="EO138" s="28">
        <f>IF(CD138=1,VLOOKUP(EA138,'EIA 2023'!$A$2:$Z$213,26,0),"")</f>
        <v>0</v>
      </c>
      <c r="EP138" s="23">
        <f t="shared" si="55"/>
        <v>7.2208034000506474E-2</v>
      </c>
      <c r="EQ138" s="32">
        <f t="shared" si="56"/>
        <v>44324.908629441634</v>
      </c>
      <c r="ER138" s="32">
        <f t="shared" si="57"/>
        <v>4412552.0913705584</v>
      </c>
      <c r="ES138" s="32"/>
      <c r="ET138" s="32"/>
    </row>
    <row r="139" spans="1:150" ht="15.75" customHeight="1">
      <c r="A139" s="7" t="s">
        <v>625</v>
      </c>
      <c r="B139" s="7" t="s">
        <v>626</v>
      </c>
      <c r="C139" s="32" t="s">
        <v>1224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2">
        <v>0</v>
      </c>
      <c r="V139" s="42">
        <v>0</v>
      </c>
      <c r="W139" s="42">
        <v>0</v>
      </c>
      <c r="X139" s="42">
        <f>IFERROR(VLOOKUP(A139,'Trans 21-23'!$A$2:$J$229,10,0),0)</f>
        <v>0</v>
      </c>
      <c r="Y139" s="42">
        <v>0</v>
      </c>
      <c r="Z139" s="42">
        <v>0</v>
      </c>
      <c r="AA139" s="42">
        <v>7917</v>
      </c>
      <c r="AB139" s="42">
        <v>0</v>
      </c>
      <c r="AC139" s="42">
        <v>0</v>
      </c>
      <c r="AD139" s="42">
        <v>123199</v>
      </c>
      <c r="AE139" s="42">
        <v>0</v>
      </c>
      <c r="AF139" s="42">
        <v>186872</v>
      </c>
      <c r="AG139" s="42">
        <v>0</v>
      </c>
      <c r="AH139" s="42">
        <v>0</v>
      </c>
      <c r="AI139" s="42">
        <v>0</v>
      </c>
      <c r="AJ139" s="42">
        <v>0</v>
      </c>
      <c r="AK139" s="42">
        <v>0</v>
      </c>
      <c r="AL139" s="42">
        <v>0</v>
      </c>
      <c r="AM139" s="42">
        <v>0</v>
      </c>
      <c r="AN139" s="42">
        <v>0</v>
      </c>
      <c r="AO139" s="42">
        <v>0</v>
      </c>
      <c r="AP139" s="42">
        <v>0</v>
      </c>
      <c r="AQ139" s="42">
        <v>0</v>
      </c>
      <c r="AR139" s="42">
        <v>0</v>
      </c>
      <c r="AS139" s="42">
        <v>0</v>
      </c>
      <c r="AT139" s="42">
        <v>0</v>
      </c>
      <c r="AU139" s="42">
        <v>0</v>
      </c>
      <c r="AV139" s="42">
        <v>0</v>
      </c>
      <c r="AW139" s="42">
        <v>0</v>
      </c>
      <c r="AX139" s="42">
        <v>0</v>
      </c>
      <c r="AY139" s="42">
        <v>0</v>
      </c>
      <c r="AZ139" s="42">
        <v>0</v>
      </c>
      <c r="BA139" s="42">
        <v>0</v>
      </c>
      <c r="BB139" s="42">
        <v>0</v>
      </c>
      <c r="BC139" s="42">
        <v>6069793</v>
      </c>
      <c r="BD139" s="42">
        <v>57076</v>
      </c>
      <c r="BE139" s="42">
        <v>0</v>
      </c>
      <c r="BF139" s="42">
        <v>0</v>
      </c>
      <c r="BG139" s="42">
        <v>0</v>
      </c>
      <c r="BH139" s="42">
        <v>0</v>
      </c>
      <c r="BI139" s="42">
        <v>489</v>
      </c>
      <c r="BJ139" s="42">
        <v>0</v>
      </c>
      <c r="BK139" s="42">
        <v>0</v>
      </c>
      <c r="BL139" s="42">
        <v>0</v>
      </c>
      <c r="BM139" s="42">
        <v>10865</v>
      </c>
      <c r="BN139" s="42">
        <v>12069</v>
      </c>
      <c r="BO139" s="42">
        <v>60</v>
      </c>
      <c r="BP139" s="42">
        <v>4</v>
      </c>
      <c r="BQ139" s="42">
        <v>12593</v>
      </c>
      <c r="BR139" s="42">
        <v>0</v>
      </c>
      <c r="BS139" s="42">
        <f>IFERROR(VLOOKUP(A139,'Trans 21-23'!$A$2:$J$229,9,0),0)</f>
        <v>0</v>
      </c>
      <c r="BT139" s="67"/>
      <c r="BU139" s="32">
        <f t="shared" si="0"/>
        <v>0</v>
      </c>
      <c r="BV139" s="32">
        <f t="shared" si="1"/>
        <v>0</v>
      </c>
      <c r="BW139" s="32">
        <f t="shared" si="2"/>
        <v>0</v>
      </c>
      <c r="BX139" s="32">
        <f t="shared" si="3"/>
        <v>0</v>
      </c>
      <c r="BY139" s="32">
        <f t="shared" si="4"/>
        <v>7917</v>
      </c>
      <c r="BZ139" s="32">
        <f t="shared" si="5"/>
        <v>0</v>
      </c>
      <c r="CA139" s="32">
        <f t="shared" si="6"/>
        <v>123199</v>
      </c>
      <c r="CB139" s="32">
        <f t="shared" si="7"/>
        <v>0</v>
      </c>
      <c r="CC139" s="32">
        <f t="shared" si="8"/>
        <v>0</v>
      </c>
      <c r="CD139" s="41">
        <f t="shared" si="67"/>
        <v>0</v>
      </c>
      <c r="CE139" s="44">
        <f t="shared" si="10"/>
        <v>57</v>
      </c>
      <c r="CF139" s="27"/>
      <c r="CG139" s="28" t="str">
        <f t="shared" si="11"/>
        <v/>
      </c>
      <c r="CH139" s="28" t="str">
        <f t="shared" si="12"/>
        <v/>
      </c>
      <c r="CI139" s="28" t="str">
        <f t="shared" si="13"/>
        <v/>
      </c>
      <c r="CJ139" s="28" t="str">
        <f t="shared" si="14"/>
        <v/>
      </c>
      <c r="CK139" s="23" t="str">
        <f t="shared" si="15"/>
        <v/>
      </c>
      <c r="CL139" s="29" t="str">
        <f t="shared" si="16"/>
        <v/>
      </c>
      <c r="CM139" s="29" t="str">
        <f t="shared" si="17"/>
        <v/>
      </c>
      <c r="CN139" s="29" t="str">
        <f t="shared" si="18"/>
        <v/>
      </c>
      <c r="CO139" s="29" t="str">
        <f t="shared" si="19"/>
        <v/>
      </c>
      <c r="CP139" s="29" t="str">
        <f t="shared" si="20"/>
        <v/>
      </c>
      <c r="CQ139" s="29" t="str">
        <f t="shared" si="21"/>
        <v/>
      </c>
      <c r="CR139" s="13"/>
      <c r="CS139" s="7" t="str">
        <f>VLOOKUP(A139,'Empresas 21-23'!$A$2:$M$228,13,0)</f>
        <v/>
      </c>
      <c r="CT139" s="30"/>
      <c r="CU139" s="6">
        <f t="shared" si="22"/>
        <v>0</v>
      </c>
      <c r="CV139" s="6">
        <f t="shared" si="23"/>
        <v>0</v>
      </c>
      <c r="CW139" s="6">
        <f t="shared" si="24"/>
        <v>57076</v>
      </c>
      <c r="CX139" s="23">
        <f t="shared" si="68"/>
        <v>0</v>
      </c>
      <c r="CY139" s="23">
        <f t="shared" si="69"/>
        <v>0</v>
      </c>
      <c r="CZ139" s="6">
        <f t="shared" si="27"/>
        <v>0</v>
      </c>
      <c r="DA139" s="6">
        <f t="shared" si="28"/>
        <v>0</v>
      </c>
      <c r="DB139" s="6">
        <f t="shared" si="29"/>
        <v>0</v>
      </c>
      <c r="DC139" s="6">
        <f t="shared" si="30"/>
        <v>0</v>
      </c>
      <c r="DD139" s="6">
        <f t="shared" si="31"/>
        <v>7917</v>
      </c>
      <c r="DE139" s="6">
        <f t="shared" si="32"/>
        <v>123199</v>
      </c>
      <c r="DF139" s="6">
        <f t="shared" si="70"/>
        <v>15318.368586370989</v>
      </c>
      <c r="DG139" s="30"/>
      <c r="DH139" s="32" t="str">
        <f>VLOOKUP(A139,'T_med_comp-USA'!$A$7:$Q$233,17,0)</f>
        <v>-</v>
      </c>
      <c r="DI139" s="6" t="str">
        <f t="shared" si="34"/>
        <v/>
      </c>
      <c r="DJ139" s="32" t="str">
        <f>IF(DI139="","",VLOOKUP(DI139,'CPI USA'!$T:$U,2,FALSE))</f>
        <v/>
      </c>
      <c r="DK139" s="32" t="str">
        <f>IF(DI139="","",VLOOKUP(DI139,'PPI USA'!$S:$T,2,FALSE))</f>
        <v/>
      </c>
      <c r="DL139" s="32" t="str">
        <f>IF(DI139="","",VLOOKUP(DI139,'CPI USA'!$T:$V,3,FALSE))</f>
        <v/>
      </c>
      <c r="DM139" s="32" t="str">
        <f>IF(DI139="","",VLOOKUP(DI139,'CPI USA'!$T:$X,5,FALSE))</f>
        <v/>
      </c>
      <c r="DN139" s="32" t="str">
        <f t="shared" si="35"/>
        <v/>
      </c>
      <c r="DO139" s="32" t="str">
        <f t="shared" si="36"/>
        <v/>
      </c>
      <c r="DP139" s="32" t="str">
        <f t="shared" si="37"/>
        <v/>
      </c>
      <c r="DQ139" s="32" t="str">
        <f>IF(DP139="","",DP139*$DO$1/'CPI USA'!$U$532+(1-DP139)*AVERAGE($DO$1,$DQ$1)/AVERAGE('CPI USA'!$U$532,'PPI USA'!$T$538))</f>
        <v/>
      </c>
      <c r="DR139" s="6">
        <f t="shared" si="38"/>
        <v>489</v>
      </c>
      <c r="DS139" s="32">
        <f t="shared" si="39"/>
        <v>0.2</v>
      </c>
      <c r="DT139" s="28">
        <f>IF(DS139="","",DS139*$DO$1/'CPI USA'!$U$532+(1-DS139)*AVERAGE($DO$1,$DQ$1)/AVERAGE('CPI USA'!$U$532,'PPI USA'!$T$538))</f>
        <v>1.0426818386380585</v>
      </c>
      <c r="DU139" s="6" t="str">
        <f t="shared" si="40"/>
        <v/>
      </c>
      <c r="DV139" s="6">
        <f t="shared" si="41"/>
        <v>3.4522201922313132</v>
      </c>
      <c r="DW139" s="6">
        <f t="shared" si="42"/>
        <v>0</v>
      </c>
      <c r="DX139" s="16" t="str">
        <f t="shared" si="43"/>
        <v/>
      </c>
      <c r="DY139" s="28" t="str">
        <f>IF(DX139="","",DX139*$DO$1/'CPI USA'!$U$532+(1-DX139)*AVERAGE($DO$1,$DQ$1)/AVERAGE('CPI USA'!$U$532,'PPI USA'!$T$538))</f>
        <v/>
      </c>
      <c r="DZ139" s="30"/>
      <c r="EA139" s="29" t="str">
        <f t="shared" si="44"/>
        <v>C001654</v>
      </c>
      <c r="EB139" s="29" t="str">
        <f t="shared" si="45"/>
        <v/>
      </c>
      <c r="EC139" s="29" t="str">
        <f t="shared" si="46"/>
        <v/>
      </c>
      <c r="ED139" s="29" t="str">
        <f t="shared" si="47"/>
        <v/>
      </c>
      <c r="EE139" s="29" t="str">
        <f t="shared" si="48"/>
        <v/>
      </c>
      <c r="EF139" s="29" t="str">
        <f t="shared" si="49"/>
        <v/>
      </c>
      <c r="EG139" s="29" t="str">
        <f t="shared" si="50"/>
        <v/>
      </c>
      <c r="EH139" s="29" t="str">
        <f t="shared" si="51"/>
        <v/>
      </c>
      <c r="EI139" s="29" t="str">
        <f t="shared" si="52"/>
        <v/>
      </c>
      <c r="EJ139" s="29" t="str">
        <f t="shared" si="53"/>
        <v/>
      </c>
      <c r="EK139" s="29" t="str">
        <f t="shared" si="54"/>
        <v/>
      </c>
      <c r="EL139" s="29" t="str">
        <f>IF(CD139=1,VLOOKUP(EA139,'EIA 2023'!$A$2:$J$213,4,0)*EH139,"")</f>
        <v/>
      </c>
      <c r="EM139" s="29" t="str">
        <f>IF(CD139=1,VLOOKUP(EA139,'EIA 2023'!$A$2:$J$213,7,0)*EH139,"")</f>
        <v/>
      </c>
      <c r="EN139" s="29" t="str">
        <f>IF(CD139=1,VLOOKUP(EA139,'EIA 2023'!$A$2:$J$213,10,0),"")</f>
        <v/>
      </c>
      <c r="EO139" s="28" t="str">
        <f>IF(CD139=1,VLOOKUP(EA139,'EIA 2023'!$A$2:$Z$213,26,0),"")</f>
        <v/>
      </c>
      <c r="EP139" s="23" t="str">
        <f t="shared" si="55"/>
        <v/>
      </c>
      <c r="EQ139" s="32" t="str">
        <f t="shared" si="56"/>
        <v/>
      </c>
      <c r="ER139" s="32" t="str">
        <f t="shared" si="57"/>
        <v/>
      </c>
      <c r="ES139" s="32"/>
      <c r="ET139" s="32"/>
    </row>
    <row r="140" spans="1:150" ht="15.75" customHeight="1">
      <c r="A140" s="7" t="s">
        <v>628</v>
      </c>
      <c r="B140" s="7" t="s">
        <v>629</v>
      </c>
      <c r="C140" s="32" t="s">
        <v>1225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25</v>
      </c>
      <c r="M140" s="42">
        <v>0</v>
      </c>
      <c r="N140" s="42">
        <v>0</v>
      </c>
      <c r="O140" s="42">
        <v>1847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v>0</v>
      </c>
      <c r="V140" s="42">
        <v>0</v>
      </c>
      <c r="W140" s="42">
        <v>0</v>
      </c>
      <c r="X140" s="42">
        <f>IFERROR(VLOOKUP(A140,'Trans 21-23'!$A$2:$J$229,10,0),0)</f>
        <v>0</v>
      </c>
      <c r="Y140" s="42">
        <v>0</v>
      </c>
      <c r="Z140" s="42">
        <v>0</v>
      </c>
      <c r="AA140" s="42">
        <v>300</v>
      </c>
      <c r="AB140" s="42">
        <v>1</v>
      </c>
      <c r="AC140" s="42">
        <v>0</v>
      </c>
      <c r="AD140" s="42">
        <v>1037569</v>
      </c>
      <c r="AE140" s="42">
        <v>0</v>
      </c>
      <c r="AF140" s="42">
        <v>6122448</v>
      </c>
      <c r="AG140" s="42">
        <v>0</v>
      </c>
      <c r="AH140" s="42">
        <v>0</v>
      </c>
      <c r="AI140" s="42">
        <v>0</v>
      </c>
      <c r="AJ140" s="42">
        <v>0</v>
      </c>
      <c r="AK140" s="42">
        <v>0</v>
      </c>
      <c r="AL140" s="42">
        <v>0</v>
      </c>
      <c r="AM140" s="42">
        <v>0</v>
      </c>
      <c r="AN140" s="42">
        <v>0</v>
      </c>
      <c r="AO140" s="42">
        <v>0</v>
      </c>
      <c r="AP140" s="42">
        <v>0</v>
      </c>
      <c r="AQ140" s="42">
        <v>0</v>
      </c>
      <c r="AR140" s="42">
        <v>0</v>
      </c>
      <c r="AS140" s="42">
        <v>0</v>
      </c>
      <c r="AT140" s="42">
        <v>0</v>
      </c>
      <c r="AU140" s="42">
        <v>0</v>
      </c>
      <c r="AV140" s="42">
        <v>0</v>
      </c>
      <c r="AW140" s="42">
        <v>0</v>
      </c>
      <c r="AX140" s="42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193564471</v>
      </c>
      <c r="BD140" s="42">
        <v>0</v>
      </c>
      <c r="BE140" s="42">
        <v>0</v>
      </c>
      <c r="BF140" s="42">
        <v>0</v>
      </c>
      <c r="BG140" s="42">
        <v>0</v>
      </c>
      <c r="BH140" s="42">
        <v>1850</v>
      </c>
      <c r="BI140" s="42">
        <v>281</v>
      </c>
      <c r="BJ140" s="42">
        <v>0</v>
      </c>
      <c r="BK140" s="42">
        <v>0</v>
      </c>
      <c r="BL140" s="42">
        <v>0</v>
      </c>
      <c r="BM140" s="42">
        <v>309363</v>
      </c>
      <c r="BN140" s="42">
        <v>398849</v>
      </c>
      <c r="BO140" s="42">
        <v>3677</v>
      </c>
      <c r="BP140" s="42">
        <v>368</v>
      </c>
      <c r="BQ140" s="42">
        <v>871048</v>
      </c>
      <c r="BR140" s="42">
        <v>0</v>
      </c>
      <c r="BS140" s="42">
        <f>IFERROR(VLOOKUP(A140,'Trans 21-23'!$A$2:$J$229,9,0),0)</f>
        <v>0</v>
      </c>
      <c r="BT140" s="67"/>
      <c r="BU140" s="32">
        <f t="shared" si="0"/>
        <v>0</v>
      </c>
      <c r="BV140" s="32">
        <f t="shared" si="1"/>
        <v>0</v>
      </c>
      <c r="BW140" s="32">
        <f t="shared" si="2"/>
        <v>0</v>
      </c>
      <c r="BX140" s="32">
        <f t="shared" si="3"/>
        <v>1872</v>
      </c>
      <c r="BY140" s="32">
        <f t="shared" si="4"/>
        <v>301</v>
      </c>
      <c r="BZ140" s="32">
        <f t="shared" si="5"/>
        <v>0</v>
      </c>
      <c r="CA140" s="32">
        <f t="shared" si="6"/>
        <v>1037569</v>
      </c>
      <c r="CB140" s="32">
        <f t="shared" si="7"/>
        <v>0</v>
      </c>
      <c r="CC140" s="32">
        <f t="shared" si="8"/>
        <v>0</v>
      </c>
      <c r="CD140" s="41">
        <f t="shared" si="67"/>
        <v>0</v>
      </c>
      <c r="CE140" s="44">
        <f t="shared" si="10"/>
        <v>54</v>
      </c>
      <c r="CF140" s="27"/>
      <c r="CG140" s="28" t="str">
        <f t="shared" si="11"/>
        <v/>
      </c>
      <c r="CH140" s="28" t="str">
        <f t="shared" si="12"/>
        <v/>
      </c>
      <c r="CI140" s="28" t="str">
        <f t="shared" si="13"/>
        <v/>
      </c>
      <c r="CJ140" s="28" t="str">
        <f t="shared" si="14"/>
        <v/>
      </c>
      <c r="CK140" s="23" t="str">
        <f t="shared" si="15"/>
        <v/>
      </c>
      <c r="CL140" s="29" t="str">
        <f t="shared" si="16"/>
        <v/>
      </c>
      <c r="CM140" s="29" t="str">
        <f t="shared" si="17"/>
        <v/>
      </c>
      <c r="CN140" s="29" t="str">
        <f t="shared" si="18"/>
        <v/>
      </c>
      <c r="CO140" s="29" t="str">
        <f t="shared" si="19"/>
        <v/>
      </c>
      <c r="CP140" s="29" t="str">
        <f t="shared" si="20"/>
        <v/>
      </c>
      <c r="CQ140" s="29" t="str">
        <f t="shared" si="21"/>
        <v/>
      </c>
      <c r="CR140" s="13"/>
      <c r="CS140" s="7" t="str">
        <f>VLOOKUP(A140,'Empresas 21-23'!$A$2:$M$228,13,0)</f>
        <v/>
      </c>
      <c r="CT140" s="30"/>
      <c r="CU140" s="6">
        <f t="shared" si="22"/>
        <v>0</v>
      </c>
      <c r="CV140" s="6">
        <f t="shared" si="23"/>
        <v>0</v>
      </c>
      <c r="CW140" s="6">
        <f t="shared" si="24"/>
        <v>0</v>
      </c>
      <c r="CX140" s="23">
        <f t="shared" si="68"/>
        <v>0</v>
      </c>
      <c r="CY140" s="23">
        <f t="shared" si="69"/>
        <v>0</v>
      </c>
      <c r="CZ140" s="6">
        <f t="shared" si="27"/>
        <v>0</v>
      </c>
      <c r="DA140" s="6">
        <f t="shared" si="28"/>
        <v>0</v>
      </c>
      <c r="DB140" s="6">
        <f t="shared" si="29"/>
        <v>1872</v>
      </c>
      <c r="DC140" s="6">
        <f t="shared" si="30"/>
        <v>1872</v>
      </c>
      <c r="DD140" s="6">
        <f t="shared" si="31"/>
        <v>301</v>
      </c>
      <c r="DE140" s="6">
        <f t="shared" si="32"/>
        <v>1037569</v>
      </c>
      <c r="DF140" s="6">
        <f t="shared" si="70"/>
        <v>443.40041070790477</v>
      </c>
      <c r="DG140" s="30"/>
      <c r="DH140" s="32" t="str">
        <f>VLOOKUP(A140,'T_med_comp-USA'!$A$7:$Q$233,17,0)</f>
        <v>-</v>
      </c>
      <c r="DI140" s="6" t="str">
        <f t="shared" si="34"/>
        <v/>
      </c>
      <c r="DJ140" s="32" t="str">
        <f>IF(DI140="","",VLOOKUP(DI140,'CPI USA'!$T:$U,2,FALSE))</f>
        <v/>
      </c>
      <c r="DK140" s="32" t="str">
        <f>IF(DI140="","",VLOOKUP(DI140,'PPI USA'!$S:$T,2,FALSE))</f>
        <v/>
      </c>
      <c r="DL140" s="32" t="str">
        <f>IF(DI140="","",VLOOKUP(DI140,'CPI USA'!$T:$V,3,FALSE))</f>
        <v/>
      </c>
      <c r="DM140" s="32" t="str">
        <f>IF(DI140="","",VLOOKUP(DI140,'CPI USA'!$T:$X,5,FALSE))</f>
        <v/>
      </c>
      <c r="DN140" s="32" t="str">
        <f t="shared" si="35"/>
        <v/>
      </c>
      <c r="DO140" s="32" t="str">
        <f t="shared" si="36"/>
        <v/>
      </c>
      <c r="DP140" s="32">
        <f t="shared" si="37"/>
        <v>0.8</v>
      </c>
      <c r="DQ140" s="32">
        <f>IF(DP140="","",DP140*$DO$1/'CPI USA'!$U$532+(1-DP140)*AVERAGE($DO$1,$DQ$1)/AVERAGE('CPI USA'!$U$532,'PPI USA'!$T$538))</f>
        <v>1.0288345106984851</v>
      </c>
      <c r="DR140" s="6">
        <f t="shared" si="38"/>
        <v>281</v>
      </c>
      <c r="DS140" s="32">
        <f t="shared" si="39"/>
        <v>0.8</v>
      </c>
      <c r="DT140" s="28">
        <f>IF(DS140="","",DS140*$DO$1/'CPI USA'!$U$532+(1-DS140)*AVERAGE($DO$1,$DQ$1)/AVERAGE('CPI USA'!$U$532,'PPI USA'!$T$538))</f>
        <v>1.0288345106984851</v>
      </c>
      <c r="DU140" s="6">
        <f t="shared" si="40"/>
        <v>312215.02608255256</v>
      </c>
      <c r="DV140" s="6">
        <f t="shared" si="41"/>
        <v>130.75479395415078</v>
      </c>
      <c r="DW140" s="6">
        <f t="shared" si="42"/>
        <v>1668.8241892240819</v>
      </c>
      <c r="DX140" s="16" t="str">
        <f t="shared" si="43"/>
        <v/>
      </c>
      <c r="DY140" s="28" t="str">
        <f>IF(DX140="","",DX140*$DO$1/'CPI USA'!$U$532+(1-DX140)*AVERAGE($DO$1,$DQ$1)/AVERAGE('CPI USA'!$U$532,'PPI USA'!$T$538))</f>
        <v/>
      </c>
      <c r="DZ140" s="30"/>
      <c r="EA140" s="29" t="str">
        <f t="shared" si="44"/>
        <v>C001655</v>
      </c>
      <c r="EB140" s="29" t="str">
        <f t="shared" si="45"/>
        <v/>
      </c>
      <c r="EC140" s="29" t="str">
        <f t="shared" si="46"/>
        <v/>
      </c>
      <c r="ED140" s="29" t="str">
        <f t="shared" si="47"/>
        <v/>
      </c>
      <c r="EE140" s="29" t="str">
        <f t="shared" si="48"/>
        <v/>
      </c>
      <c r="EF140" s="29" t="str">
        <f t="shared" si="49"/>
        <v/>
      </c>
      <c r="EG140" s="29" t="str">
        <f t="shared" si="50"/>
        <v/>
      </c>
      <c r="EH140" s="29" t="str">
        <f t="shared" si="51"/>
        <v/>
      </c>
      <c r="EI140" s="29" t="str">
        <f t="shared" si="52"/>
        <v/>
      </c>
      <c r="EJ140" s="29" t="str">
        <f t="shared" si="53"/>
        <v/>
      </c>
      <c r="EK140" s="29" t="str">
        <f t="shared" si="54"/>
        <v/>
      </c>
      <c r="EL140" s="29" t="str">
        <f>IF(CD140=1,VLOOKUP(EA140,'EIA 2023'!$A$2:$J$213,4,0)*EH140,"")</f>
        <v/>
      </c>
      <c r="EM140" s="29" t="str">
        <f>IF(CD140=1,VLOOKUP(EA140,'EIA 2023'!$A$2:$J$213,7,0)*EH140,"")</f>
        <v/>
      </c>
      <c r="EN140" s="29" t="str">
        <f>IF(CD140=1,VLOOKUP(EA140,'EIA 2023'!$A$2:$J$213,10,0),"")</f>
        <v/>
      </c>
      <c r="EO140" s="28" t="str">
        <f>IF(CD140=1,VLOOKUP(EA140,'EIA 2023'!$A$2:$Z$213,26,0),"")</f>
        <v/>
      </c>
      <c r="EP140" s="23" t="str">
        <f t="shared" si="55"/>
        <v/>
      </c>
      <c r="EQ140" s="32" t="str">
        <f t="shared" si="56"/>
        <v/>
      </c>
      <c r="ER140" s="32" t="str">
        <f t="shared" si="57"/>
        <v/>
      </c>
      <c r="ES140" s="32"/>
      <c r="ET140" s="32"/>
    </row>
    <row r="141" spans="1:150" ht="15.75" customHeight="1">
      <c r="A141" s="7" t="s">
        <v>631</v>
      </c>
      <c r="B141" s="7" t="s">
        <v>632</v>
      </c>
      <c r="C141" s="32" t="s">
        <v>1226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>
        <v>253</v>
      </c>
      <c r="M141" s="42">
        <v>0</v>
      </c>
      <c r="N141" s="42">
        <v>0</v>
      </c>
      <c r="O141" s="42">
        <v>783</v>
      </c>
      <c r="P141" s="42">
        <v>0</v>
      </c>
      <c r="Q141" s="42">
        <v>0</v>
      </c>
      <c r="R141" s="42">
        <v>0</v>
      </c>
      <c r="S141" s="42">
        <v>0</v>
      </c>
      <c r="T141" s="42">
        <v>0</v>
      </c>
      <c r="U141" s="42">
        <v>0</v>
      </c>
      <c r="V141" s="42">
        <v>0</v>
      </c>
      <c r="W141" s="42">
        <v>0</v>
      </c>
      <c r="X141" s="42">
        <f>IFERROR(VLOOKUP(A141,'Trans 21-23'!$A$2:$J$229,10,0),0)</f>
        <v>0</v>
      </c>
      <c r="Y141" s="42">
        <v>0</v>
      </c>
      <c r="Z141" s="42">
        <v>0</v>
      </c>
      <c r="AA141" s="42">
        <v>18310</v>
      </c>
      <c r="AB141" s="42">
        <v>2</v>
      </c>
      <c r="AC141" s="42">
        <v>0</v>
      </c>
      <c r="AD141" s="42">
        <v>2260769</v>
      </c>
      <c r="AE141" s="42">
        <v>0</v>
      </c>
      <c r="AF141" s="42">
        <v>7063779</v>
      </c>
      <c r="AG141" s="42">
        <v>0</v>
      </c>
      <c r="AH141" s="42">
        <v>0</v>
      </c>
      <c r="AI141" s="42">
        <v>0</v>
      </c>
      <c r="AJ141" s="42">
        <v>0</v>
      </c>
      <c r="AK141" s="42">
        <v>0</v>
      </c>
      <c r="AL141" s="42">
        <v>0</v>
      </c>
      <c r="AM141" s="42">
        <v>0</v>
      </c>
      <c r="AN141" s="42">
        <v>0</v>
      </c>
      <c r="AO141" s="42">
        <v>0</v>
      </c>
      <c r="AP141" s="42">
        <v>0</v>
      </c>
      <c r="AQ141" s="42">
        <v>0</v>
      </c>
      <c r="AR141" s="42">
        <v>0</v>
      </c>
      <c r="AS141" s="42">
        <v>0</v>
      </c>
      <c r="AT141" s="42">
        <v>0</v>
      </c>
      <c r="AU141" s="42">
        <v>0</v>
      </c>
      <c r="AV141" s="42">
        <v>0</v>
      </c>
      <c r="AW141" s="42">
        <v>0</v>
      </c>
      <c r="AX141" s="42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282369810</v>
      </c>
      <c r="BD141" s="42">
        <v>1874866</v>
      </c>
      <c r="BE141" s="42">
        <v>0</v>
      </c>
      <c r="BF141" s="42">
        <v>0</v>
      </c>
      <c r="BG141" s="42">
        <v>0</v>
      </c>
      <c r="BH141" s="42">
        <v>909</v>
      </c>
      <c r="BI141" s="42">
        <v>315</v>
      </c>
      <c r="BJ141" s="42">
        <v>0</v>
      </c>
      <c r="BK141" s="42">
        <v>0</v>
      </c>
      <c r="BL141" s="42">
        <v>0</v>
      </c>
      <c r="BM141" s="42">
        <v>807387</v>
      </c>
      <c r="BN141" s="42">
        <v>2988778</v>
      </c>
      <c r="BO141" s="42">
        <v>4833</v>
      </c>
      <c r="BP141" s="42">
        <v>424</v>
      </c>
      <c r="BQ141" s="42">
        <v>3217466</v>
      </c>
      <c r="BR141" s="42">
        <v>0</v>
      </c>
      <c r="BS141" s="42">
        <f>IFERROR(VLOOKUP(A141,'Trans 21-23'!$A$2:$J$229,9,0),0)</f>
        <v>0</v>
      </c>
      <c r="BT141" s="67"/>
      <c r="BU141" s="32">
        <f t="shared" si="0"/>
        <v>0</v>
      </c>
      <c r="BV141" s="32">
        <f t="shared" si="1"/>
        <v>0</v>
      </c>
      <c r="BW141" s="32">
        <f t="shared" si="2"/>
        <v>0</v>
      </c>
      <c r="BX141" s="32">
        <f t="shared" si="3"/>
        <v>1036</v>
      </c>
      <c r="BY141" s="32">
        <f t="shared" si="4"/>
        <v>18312</v>
      </c>
      <c r="BZ141" s="32">
        <f t="shared" si="5"/>
        <v>0</v>
      </c>
      <c r="CA141" s="32">
        <f t="shared" si="6"/>
        <v>2260769</v>
      </c>
      <c r="CB141" s="32">
        <f t="shared" si="7"/>
        <v>0</v>
      </c>
      <c r="CC141" s="32">
        <f t="shared" si="8"/>
        <v>0</v>
      </c>
      <c r="CD141" s="41">
        <f t="shared" si="67"/>
        <v>0</v>
      </c>
      <c r="CE141" s="44">
        <f t="shared" si="10"/>
        <v>53</v>
      </c>
      <c r="CF141" s="27"/>
      <c r="CG141" s="28" t="str">
        <f t="shared" si="11"/>
        <v/>
      </c>
      <c r="CH141" s="28" t="str">
        <f t="shared" si="12"/>
        <v/>
      </c>
      <c r="CI141" s="28" t="str">
        <f t="shared" si="13"/>
        <v/>
      </c>
      <c r="CJ141" s="28" t="str">
        <f t="shared" si="14"/>
        <v/>
      </c>
      <c r="CK141" s="23" t="str">
        <f t="shared" si="15"/>
        <v/>
      </c>
      <c r="CL141" s="29" t="str">
        <f t="shared" si="16"/>
        <v/>
      </c>
      <c r="CM141" s="29" t="str">
        <f t="shared" si="17"/>
        <v/>
      </c>
      <c r="CN141" s="29" t="str">
        <f t="shared" si="18"/>
        <v/>
      </c>
      <c r="CO141" s="29" t="str">
        <f t="shared" si="19"/>
        <v/>
      </c>
      <c r="CP141" s="29" t="str">
        <f t="shared" si="20"/>
        <v/>
      </c>
      <c r="CQ141" s="29" t="str">
        <f t="shared" si="21"/>
        <v/>
      </c>
      <c r="CR141" s="13"/>
      <c r="CS141" s="7" t="str">
        <f>VLOOKUP(A141,'Empresas 21-23'!$A$2:$M$228,13,0)</f>
        <v/>
      </c>
      <c r="CT141" s="30"/>
      <c r="CU141" s="6">
        <f t="shared" si="22"/>
        <v>0</v>
      </c>
      <c r="CV141" s="6">
        <f t="shared" si="23"/>
        <v>0</v>
      </c>
      <c r="CW141" s="6">
        <f t="shared" si="24"/>
        <v>1874866</v>
      </c>
      <c r="CX141" s="23">
        <f t="shared" si="68"/>
        <v>0</v>
      </c>
      <c r="CY141" s="23">
        <f t="shared" si="69"/>
        <v>0</v>
      </c>
      <c r="CZ141" s="6">
        <f t="shared" si="27"/>
        <v>0</v>
      </c>
      <c r="DA141" s="6">
        <f t="shared" si="28"/>
        <v>0</v>
      </c>
      <c r="DB141" s="6">
        <f t="shared" si="29"/>
        <v>1036</v>
      </c>
      <c r="DC141" s="6">
        <f t="shared" si="30"/>
        <v>1036</v>
      </c>
      <c r="DD141" s="6">
        <f t="shared" si="31"/>
        <v>18312</v>
      </c>
      <c r="DE141" s="6">
        <f t="shared" si="32"/>
        <v>2260769</v>
      </c>
      <c r="DF141" s="6">
        <f t="shared" si="70"/>
        <v>9107.0721510053063</v>
      </c>
      <c r="DG141" s="30"/>
      <c r="DH141" s="32" t="str">
        <f>VLOOKUP(A141,'T_med_comp-USA'!$A$7:$Q$233,17,0)</f>
        <v>-</v>
      </c>
      <c r="DI141" s="6" t="str">
        <f t="shared" si="34"/>
        <v/>
      </c>
      <c r="DJ141" s="32" t="str">
        <f>IF(DI141="","",VLOOKUP(DI141,'CPI USA'!$T:$U,2,FALSE))</f>
        <v/>
      </c>
      <c r="DK141" s="32" t="str">
        <f>IF(DI141="","",VLOOKUP(DI141,'PPI USA'!$S:$T,2,FALSE))</f>
        <v/>
      </c>
      <c r="DL141" s="32" t="str">
        <f>IF(DI141="","",VLOOKUP(DI141,'CPI USA'!$T:$V,3,FALSE))</f>
        <v/>
      </c>
      <c r="DM141" s="32" t="str">
        <f>IF(DI141="","",VLOOKUP(DI141,'CPI USA'!$T:$X,5,FALSE))</f>
        <v/>
      </c>
      <c r="DN141" s="32" t="str">
        <f t="shared" si="35"/>
        <v/>
      </c>
      <c r="DO141" s="32" t="str">
        <f t="shared" si="36"/>
        <v/>
      </c>
      <c r="DP141" s="32">
        <f t="shared" si="37"/>
        <v>0.8</v>
      </c>
      <c r="DQ141" s="32">
        <f>IF(DP141="","",DP141*$DO$1/'CPI USA'!$U$532+(1-DP141)*AVERAGE($DO$1,$DQ$1)/AVERAGE('CPI USA'!$U$532,'PPI USA'!$T$538))</f>
        <v>1.0288345106984851</v>
      </c>
      <c r="DR141" s="6">
        <f t="shared" si="38"/>
        <v>315</v>
      </c>
      <c r="DS141" s="32">
        <f t="shared" si="39"/>
        <v>0.2</v>
      </c>
      <c r="DT141" s="28">
        <f>IF(DS141="","",DS141*$DO$1/'CPI USA'!$U$532+(1-DS141)*AVERAGE($DO$1,$DQ$1)/AVERAGE('CPI USA'!$U$532,'PPI USA'!$T$538))</f>
        <v>1.0426818386380585</v>
      </c>
      <c r="DU141" s="6">
        <f t="shared" si="40"/>
        <v>808692.58421234367</v>
      </c>
      <c r="DV141" s="6">
        <f t="shared" si="41"/>
        <v>106.41206673708334</v>
      </c>
      <c r="DW141" s="6">
        <f t="shared" si="42"/>
        <v>331.22900779033932</v>
      </c>
      <c r="DX141" s="16" t="str">
        <f t="shared" si="43"/>
        <v/>
      </c>
      <c r="DY141" s="28" t="str">
        <f>IF(DX141="","",DX141*$DO$1/'CPI USA'!$U$532+(1-DX141)*AVERAGE($DO$1,$DQ$1)/AVERAGE('CPI USA'!$U$532,'PPI USA'!$T$538))</f>
        <v/>
      </c>
      <c r="DZ141" s="30"/>
      <c r="EA141" s="29" t="str">
        <f t="shared" si="44"/>
        <v>C001656</v>
      </c>
      <c r="EB141" s="29" t="str">
        <f t="shared" si="45"/>
        <v/>
      </c>
      <c r="EC141" s="29" t="str">
        <f t="shared" si="46"/>
        <v/>
      </c>
      <c r="ED141" s="29" t="str">
        <f t="shared" si="47"/>
        <v/>
      </c>
      <c r="EE141" s="29" t="str">
        <f t="shared" si="48"/>
        <v/>
      </c>
      <c r="EF141" s="29" t="str">
        <f t="shared" si="49"/>
        <v/>
      </c>
      <c r="EG141" s="29" t="str">
        <f t="shared" si="50"/>
        <v/>
      </c>
      <c r="EH141" s="29" t="str">
        <f t="shared" si="51"/>
        <v/>
      </c>
      <c r="EI141" s="29" t="str">
        <f t="shared" si="52"/>
        <v/>
      </c>
      <c r="EJ141" s="29" t="str">
        <f t="shared" si="53"/>
        <v/>
      </c>
      <c r="EK141" s="29" t="str">
        <f t="shared" si="54"/>
        <v/>
      </c>
      <c r="EL141" s="29" t="str">
        <f>IF(CD141=1,VLOOKUP(EA141,'EIA 2023'!$A$2:$J$213,4,0)*EH141,"")</f>
        <v/>
      </c>
      <c r="EM141" s="29" t="str">
        <f>IF(CD141=1,VLOOKUP(EA141,'EIA 2023'!$A$2:$J$213,7,0)*EH141,"")</f>
        <v/>
      </c>
      <c r="EN141" s="29" t="str">
        <f>IF(CD141=1,VLOOKUP(EA141,'EIA 2023'!$A$2:$J$213,10,0),"")</f>
        <v/>
      </c>
      <c r="EO141" s="28" t="str">
        <f>IF(CD141=1,VLOOKUP(EA141,'EIA 2023'!$A$2:$Z$213,26,0),"")</f>
        <v/>
      </c>
      <c r="EP141" s="23" t="str">
        <f t="shared" si="55"/>
        <v/>
      </c>
      <c r="EQ141" s="32" t="str">
        <f t="shared" si="56"/>
        <v/>
      </c>
      <c r="ER141" s="32" t="str">
        <f t="shared" si="57"/>
        <v/>
      </c>
      <c r="ES141" s="32"/>
      <c r="ET141" s="32"/>
    </row>
    <row r="142" spans="1:150" ht="15.75" customHeight="1">
      <c r="A142" s="7" t="s">
        <v>634</v>
      </c>
      <c r="B142" s="7" t="s">
        <v>635</v>
      </c>
      <c r="C142" s="32" t="s">
        <v>1227</v>
      </c>
      <c r="D142" s="42">
        <v>127914279</v>
      </c>
      <c r="E142" s="42">
        <v>0</v>
      </c>
      <c r="F142" s="42">
        <v>0</v>
      </c>
      <c r="G142" s="42">
        <v>352824169</v>
      </c>
      <c r="H142" s="42">
        <v>354306257</v>
      </c>
      <c r="I142" s="42">
        <v>1049565</v>
      </c>
      <c r="J142" s="42">
        <v>0</v>
      </c>
      <c r="K142" s="42">
        <v>542836</v>
      </c>
      <c r="L142" s="42">
        <v>267353</v>
      </c>
      <c r="M142" s="42">
        <v>100637</v>
      </c>
      <c r="N142" s="42">
        <v>5655</v>
      </c>
      <c r="O142" s="42">
        <v>7752893</v>
      </c>
      <c r="P142" s="42">
        <v>78669</v>
      </c>
      <c r="Q142" s="42">
        <v>713036</v>
      </c>
      <c r="R142" s="42">
        <v>0</v>
      </c>
      <c r="S142" s="42">
        <v>28852</v>
      </c>
      <c r="T142" s="42">
        <v>13885839</v>
      </c>
      <c r="U142" s="42">
        <v>2228287</v>
      </c>
      <c r="V142" s="42">
        <v>0</v>
      </c>
      <c r="W142" s="42">
        <v>700268</v>
      </c>
      <c r="X142" s="42">
        <f>IFERROR(VLOOKUP(A142,'Trans 21-23'!$A$2:$J$229,10,0),0)</f>
        <v>2032653</v>
      </c>
      <c r="Y142" s="42">
        <v>1012008</v>
      </c>
      <c r="Z142" s="42">
        <v>0</v>
      </c>
      <c r="AA142" s="42">
        <v>5909892</v>
      </c>
      <c r="AB142" s="42">
        <v>12406069</v>
      </c>
      <c r="AC142" s="42">
        <v>2014</v>
      </c>
      <c r="AD142" s="42">
        <v>80655721</v>
      </c>
      <c r="AE142" s="42">
        <v>0</v>
      </c>
      <c r="AF142" s="42">
        <v>783892740</v>
      </c>
      <c r="AG142" s="42">
        <v>151694</v>
      </c>
      <c r="AH142" s="42">
        <v>488398</v>
      </c>
      <c r="AI142" s="42">
        <v>13291379</v>
      </c>
      <c r="AJ142" s="42">
        <v>17067</v>
      </c>
      <c r="AK142" s="42">
        <v>0</v>
      </c>
      <c r="AL142" s="42">
        <v>1004064</v>
      </c>
      <c r="AM142" s="42">
        <v>1178825</v>
      </c>
      <c r="AN142" s="42">
        <v>6244359</v>
      </c>
      <c r="AO142" s="42">
        <v>7864</v>
      </c>
      <c r="AP142" s="42">
        <v>43671</v>
      </c>
      <c r="AQ142" s="42">
        <v>8478783</v>
      </c>
      <c r="AR142" s="42">
        <v>4307131</v>
      </c>
      <c r="AS142" s="42">
        <v>12785914</v>
      </c>
      <c r="AT142" s="42">
        <v>0</v>
      </c>
      <c r="AU142" s="42">
        <v>1551</v>
      </c>
      <c r="AV142" s="42">
        <v>0</v>
      </c>
      <c r="AW142" s="42">
        <v>112013369</v>
      </c>
      <c r="AX142" s="42">
        <v>14436401</v>
      </c>
      <c r="AY142" s="42">
        <v>131025344</v>
      </c>
      <c r="AZ142" s="42">
        <v>73592821</v>
      </c>
      <c r="BA142" s="42">
        <v>8298084</v>
      </c>
      <c r="BB142" s="42">
        <v>744722996</v>
      </c>
      <c r="BC142" s="42">
        <v>5000319501</v>
      </c>
      <c r="BD142" s="42">
        <v>260402380</v>
      </c>
      <c r="BE142" s="42">
        <v>346449436</v>
      </c>
      <c r="BF142" s="42">
        <v>24546598</v>
      </c>
      <c r="BG142" s="42">
        <v>0</v>
      </c>
      <c r="BH142" s="42">
        <v>12686960</v>
      </c>
      <c r="BI142" s="42">
        <v>2847725</v>
      </c>
      <c r="BJ142" s="42">
        <v>1178895</v>
      </c>
      <c r="BK142" s="42">
        <v>0</v>
      </c>
      <c r="BL142" s="42">
        <v>0</v>
      </c>
      <c r="BM142" s="42">
        <v>37335419</v>
      </c>
      <c r="BN142" s="42">
        <v>90023137</v>
      </c>
      <c r="BO142" s="42">
        <v>87915</v>
      </c>
      <c r="BP142" s="42">
        <v>19065053</v>
      </c>
      <c r="BQ142" s="42">
        <v>130719302</v>
      </c>
      <c r="BR142" s="42">
        <v>0</v>
      </c>
      <c r="BS142" s="42">
        <f>IFERROR(VLOOKUP(A142,'Trans 21-23'!$A$2:$J$229,9,0),0)</f>
        <v>200175697</v>
      </c>
      <c r="BT142" s="67"/>
      <c r="BU142" s="32">
        <f t="shared" si="0"/>
        <v>744722996</v>
      </c>
      <c r="BV142" s="32">
        <f t="shared" si="1"/>
        <v>1551</v>
      </c>
      <c r="BW142" s="32">
        <f t="shared" si="2"/>
        <v>151694</v>
      </c>
      <c r="BX142" s="32">
        <f t="shared" si="3"/>
        <v>27353890</v>
      </c>
      <c r="BY142" s="32">
        <f t="shared" si="4"/>
        <v>19329983</v>
      </c>
      <c r="BZ142" s="32">
        <f t="shared" si="5"/>
        <v>73592821</v>
      </c>
      <c r="CA142" s="32">
        <f t="shared" si="6"/>
        <v>80655721</v>
      </c>
      <c r="CB142" s="32">
        <f t="shared" si="7"/>
        <v>488398</v>
      </c>
      <c r="CC142" s="32">
        <f t="shared" si="8"/>
        <v>8478783</v>
      </c>
      <c r="CD142" s="41">
        <f t="shared" si="67"/>
        <v>1</v>
      </c>
      <c r="CE142" s="44">
        <f t="shared" si="10"/>
        <v>14</v>
      </c>
      <c r="CF142" s="27"/>
      <c r="CG142" s="28">
        <f t="shared" si="11"/>
        <v>480.15667053513863</v>
      </c>
      <c r="CH142" s="28">
        <f t="shared" si="12"/>
        <v>10.224530963650507</v>
      </c>
      <c r="CI142" s="28">
        <f t="shared" si="13"/>
        <v>180.32282094215986</v>
      </c>
      <c r="CJ142" s="28">
        <f t="shared" si="14"/>
        <v>485.13995939193376</v>
      </c>
      <c r="CK142" s="23">
        <f t="shared" si="15"/>
        <v>5.7602370528883687E-2</v>
      </c>
      <c r="CL142" s="29" t="str">
        <f t="shared" si="16"/>
        <v/>
      </c>
      <c r="CM142" s="29" t="str">
        <f t="shared" si="17"/>
        <v/>
      </c>
      <c r="CN142" s="29" t="str">
        <f t="shared" si="18"/>
        <v/>
      </c>
      <c r="CO142" s="29" t="str">
        <f t="shared" si="19"/>
        <v/>
      </c>
      <c r="CP142" s="29" t="str">
        <f t="shared" si="20"/>
        <v/>
      </c>
      <c r="CQ142" s="29">
        <f t="shared" si="21"/>
        <v>0</v>
      </c>
      <c r="CR142" s="13"/>
      <c r="CS142" s="7">
        <f>VLOOKUP(A142,'Empresas 21-23'!$A$2:$M$228,13,0)</f>
        <v>1</v>
      </c>
      <c r="CT142" s="30"/>
      <c r="CU142" s="6">
        <f t="shared" si="22"/>
        <v>775730741</v>
      </c>
      <c r="CV142" s="6">
        <f t="shared" si="23"/>
        <v>73592821</v>
      </c>
      <c r="CW142" s="6">
        <f t="shared" si="24"/>
        <v>260402380</v>
      </c>
      <c r="CX142" s="23">
        <f t="shared" si="68"/>
        <v>0.1636591360560205</v>
      </c>
      <c r="CY142" s="23">
        <f t="shared" si="69"/>
        <v>1.5526183079014221E-2</v>
      </c>
      <c r="CZ142" s="6">
        <f t="shared" si="27"/>
        <v>818347969.53773153</v>
      </c>
      <c r="DA142" s="6">
        <f t="shared" si="28"/>
        <v>77635876.026091024</v>
      </c>
      <c r="DB142" s="6">
        <f t="shared" si="29"/>
        <v>27353890</v>
      </c>
      <c r="DC142" s="6">
        <f t="shared" si="30"/>
        <v>29386543</v>
      </c>
      <c r="DD142" s="6">
        <f t="shared" si="31"/>
        <v>19329983</v>
      </c>
      <c r="DE142" s="6">
        <f t="shared" si="32"/>
        <v>80655721</v>
      </c>
      <c r="DF142" s="6">
        <f t="shared" si="70"/>
        <v>17778160.59603684</v>
      </c>
      <c r="DG142" s="30"/>
      <c r="DH142" s="32">
        <f>VLOOKUP(A142,'T_med_comp-USA'!$A$7:$Q$233,17,0)</f>
        <v>14.227950903717968</v>
      </c>
      <c r="DI142" s="6" t="str">
        <f t="shared" si="34"/>
        <v>10_2009</v>
      </c>
      <c r="DJ142" s="32">
        <f>IF(DI142="","",VLOOKUP(DI142,'CPI USA'!$T:$U,2,FALSE))</f>
        <v>214.53700000000001</v>
      </c>
      <c r="DK142" s="32">
        <f>IF(DI142="","",VLOOKUP(DI142,'PPI USA'!$S:$T,2,FALSE))</f>
        <v>159.1</v>
      </c>
      <c r="DL142" s="32">
        <f>IF(DI142="","",VLOOKUP(DI142,'CPI USA'!$T:$V,3,FALSE))</f>
        <v>0.66997101349938215</v>
      </c>
      <c r="DM142" s="32">
        <f>IF(DI142="","",VLOOKUP(DI142,'CPI USA'!$T:$X,5,FALSE))</f>
        <v>0.49813941766071862</v>
      </c>
      <c r="DN142" s="32">
        <f t="shared" si="35"/>
        <v>1.4932638886873792</v>
      </c>
      <c r="DO142" s="32">
        <f t="shared" si="36"/>
        <v>1.5082750176818205</v>
      </c>
      <c r="DP142" s="32">
        <f t="shared" si="37"/>
        <v>0.4642612023470491</v>
      </c>
      <c r="DQ142" s="32">
        <f>IF(DP142="","",DP142*$DO$1/'CPI USA'!$U$532+(1-DP142)*AVERAGE($DO$1,$DQ$1)/AVERAGE('CPI USA'!$U$532,'PPI USA'!$T$538))</f>
        <v>1.0365829860870492</v>
      </c>
      <c r="DR142" s="6">
        <f t="shared" si="38"/>
        <v>4026620</v>
      </c>
      <c r="DS142" s="32">
        <f t="shared" si="39"/>
        <v>0.20851297829507187</v>
      </c>
      <c r="DT142" s="28">
        <f>IF(DS142="","",DS142*$DO$1/'CPI USA'!$U$532+(1-DS142)*AVERAGE($DO$1,$DQ$1)/AVERAGE('CPI USA'!$U$532,'PPI USA'!$T$538))</f>
        <v>1.0424853686344013</v>
      </c>
      <c r="DU142" s="6">
        <f t="shared" si="40"/>
        <v>37371880.108452432</v>
      </c>
      <c r="DV142" s="6">
        <f t="shared" si="41"/>
        <v>6375052.8832288953</v>
      </c>
      <c r="DW142" s="6">
        <f t="shared" si="42"/>
        <v>8121999.3956787493</v>
      </c>
      <c r="DX142" s="16">
        <f t="shared" si="43"/>
        <v>0.45685262835848883</v>
      </c>
      <c r="DY142" s="28">
        <f>IF(DX142="","",DX142*$DO$1/'CPI USA'!$U$532+(1-DX142)*AVERAGE($DO$1,$DQ$1)/AVERAGE('CPI USA'!$U$532,'PPI USA'!$T$538))</f>
        <v>1.0367539676763562</v>
      </c>
      <c r="DZ142" s="30"/>
      <c r="EA142" s="29" t="str">
        <f t="shared" si="44"/>
        <v>C001673</v>
      </c>
      <c r="EB142" s="29">
        <f t="shared" si="45"/>
        <v>1222009471.2913339</v>
      </c>
      <c r="EC142" s="29">
        <f t="shared" si="46"/>
        <v>117096252.28599606</v>
      </c>
      <c r="ED142" s="29">
        <f t="shared" si="47"/>
        <v>30461590.493715473</v>
      </c>
      <c r="EE142" s="29">
        <f t="shared" si="48"/>
        <v>20151224.453451712</v>
      </c>
      <c r="EF142" s="29">
        <f t="shared" si="49"/>
        <v>18431578.535928648</v>
      </c>
      <c r="EG142" s="29">
        <f t="shared" si="50"/>
        <v>1551</v>
      </c>
      <c r="EH142" s="29">
        <f t="shared" si="51"/>
        <v>151694</v>
      </c>
      <c r="EI142" s="29">
        <f t="shared" si="52"/>
        <v>488398</v>
      </c>
      <c r="EJ142" s="29">
        <f t="shared" si="53"/>
        <v>8478783</v>
      </c>
      <c r="EK142" s="29">
        <f t="shared" si="54"/>
        <v>8901590.1725888327</v>
      </c>
      <c r="EL142" s="29">
        <f>IF(CD142=1,VLOOKUP(EA142,'EIA 2023'!$A$2:$J$213,4,0)*EH142,"")</f>
        <v>15715498.399999999</v>
      </c>
      <c r="EM142" s="29">
        <f>IF(CD142=1,VLOOKUP(EA142,'EIA 2023'!$A$2:$J$213,7,0)*EH142,"")</f>
        <v>188100.56</v>
      </c>
      <c r="EN142" s="29">
        <f>IF(CD142=1,VLOOKUP(EA142,'EIA 2023'!$A$2:$J$213,10,0),"")</f>
        <v>151679</v>
      </c>
      <c r="EO142" s="28">
        <f>IF(CD142=1,VLOOKUP(EA142,'EIA 2023'!$A$2:$Z$213,26,0),"")</f>
        <v>0</v>
      </c>
      <c r="EP142" s="23">
        <f t="shared" si="55"/>
        <v>4.7497937378740106E-2</v>
      </c>
      <c r="EQ142" s="32">
        <f t="shared" si="56"/>
        <v>65590.827411167324</v>
      </c>
      <c r="ER142" s="32">
        <f t="shared" si="57"/>
        <v>422807.17258883268</v>
      </c>
      <c r="ES142" s="32"/>
      <c r="ET142" s="32"/>
    </row>
    <row r="143" spans="1:150" ht="15.75" customHeight="1">
      <c r="A143" s="7" t="s">
        <v>637</v>
      </c>
      <c r="B143" s="7" t="s">
        <v>638</v>
      </c>
      <c r="C143" s="32" t="s">
        <v>1228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v>0</v>
      </c>
      <c r="V143" s="42">
        <v>0</v>
      </c>
      <c r="W143" s="42">
        <v>0</v>
      </c>
      <c r="X143" s="42">
        <f>IFERROR(VLOOKUP(A143,'Trans 21-23'!$A$2:$J$229,10,0),0)</f>
        <v>0</v>
      </c>
      <c r="Y143" s="42">
        <v>0</v>
      </c>
      <c r="Z143" s="42">
        <v>0</v>
      </c>
      <c r="AA143" s="42">
        <v>0</v>
      </c>
      <c r="AB143" s="42">
        <v>0</v>
      </c>
      <c r="AC143" s="42">
        <v>0</v>
      </c>
      <c r="AD143" s="42">
        <v>0</v>
      </c>
      <c r="AE143" s="42">
        <v>0</v>
      </c>
      <c r="AF143" s="42">
        <v>0</v>
      </c>
      <c r="AG143" s="42">
        <v>0</v>
      </c>
      <c r="AH143" s="42">
        <v>0</v>
      </c>
      <c r="AI143" s="42">
        <v>0</v>
      </c>
      <c r="AJ143" s="42">
        <v>0</v>
      </c>
      <c r="AK143" s="42">
        <v>0</v>
      </c>
      <c r="AL143" s="42">
        <v>0</v>
      </c>
      <c r="AM143" s="42">
        <v>0</v>
      </c>
      <c r="AN143" s="42">
        <v>0</v>
      </c>
      <c r="AO143" s="42">
        <v>0</v>
      </c>
      <c r="AP143" s="42">
        <v>0</v>
      </c>
      <c r="AQ143" s="42">
        <v>0</v>
      </c>
      <c r="AR143" s="42">
        <v>0</v>
      </c>
      <c r="AS143" s="42">
        <v>0</v>
      </c>
      <c r="AT143" s="42">
        <v>0</v>
      </c>
      <c r="AU143" s="42">
        <v>0</v>
      </c>
      <c r="AV143" s="42">
        <v>0</v>
      </c>
      <c r="AW143" s="42">
        <v>0</v>
      </c>
      <c r="AX143" s="42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358980</v>
      </c>
      <c r="BD143" s="42">
        <v>358980</v>
      </c>
      <c r="BE143" s="42">
        <v>0</v>
      </c>
      <c r="BF143" s="42">
        <v>0</v>
      </c>
      <c r="BG143" s="42">
        <v>0</v>
      </c>
      <c r="BH143" s="42">
        <v>0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v>0</v>
      </c>
      <c r="BP143" s="42">
        <v>0</v>
      </c>
      <c r="BQ143" s="42">
        <v>0</v>
      </c>
      <c r="BR143" s="42">
        <v>0</v>
      </c>
      <c r="BS143" s="42">
        <f>IFERROR(VLOOKUP(A143,'Trans 21-23'!$A$2:$J$229,9,0),0)</f>
        <v>0</v>
      </c>
      <c r="BT143" s="67"/>
      <c r="BU143" s="32">
        <f t="shared" si="0"/>
        <v>0</v>
      </c>
      <c r="BV143" s="32">
        <f t="shared" si="1"/>
        <v>0</v>
      </c>
      <c r="BW143" s="32">
        <f t="shared" si="2"/>
        <v>0</v>
      </c>
      <c r="BX143" s="32">
        <f t="shared" si="3"/>
        <v>0</v>
      </c>
      <c r="BY143" s="32">
        <f t="shared" si="4"/>
        <v>0</v>
      </c>
      <c r="BZ143" s="32">
        <f t="shared" si="5"/>
        <v>0</v>
      </c>
      <c r="CA143" s="32">
        <f t="shared" si="6"/>
        <v>0</v>
      </c>
      <c r="CB143" s="32">
        <f t="shared" si="7"/>
        <v>0</v>
      </c>
      <c r="CC143" s="32">
        <f t="shared" si="8"/>
        <v>0</v>
      </c>
      <c r="CD143" s="41">
        <f t="shared" si="67"/>
        <v>0</v>
      </c>
      <c r="CE143" s="44">
        <f t="shared" si="10"/>
        <v>66</v>
      </c>
      <c r="CF143" s="27"/>
      <c r="CG143" s="28" t="str">
        <f t="shared" si="11"/>
        <v/>
      </c>
      <c r="CH143" s="28" t="str">
        <f t="shared" si="12"/>
        <v/>
      </c>
      <c r="CI143" s="28" t="str">
        <f t="shared" si="13"/>
        <v/>
      </c>
      <c r="CJ143" s="28" t="str">
        <f t="shared" si="14"/>
        <v/>
      </c>
      <c r="CK143" s="23" t="str">
        <f t="shared" si="15"/>
        <v/>
      </c>
      <c r="CL143" s="29" t="str">
        <f t="shared" si="16"/>
        <v/>
      </c>
      <c r="CM143" s="29" t="str">
        <f t="shared" si="17"/>
        <v/>
      </c>
      <c r="CN143" s="29" t="str">
        <f t="shared" si="18"/>
        <v/>
      </c>
      <c r="CO143" s="29" t="str">
        <f t="shared" si="19"/>
        <v/>
      </c>
      <c r="CP143" s="29" t="str">
        <f t="shared" si="20"/>
        <v/>
      </c>
      <c r="CQ143" s="29" t="str">
        <f t="shared" si="21"/>
        <v/>
      </c>
      <c r="CR143" s="13"/>
      <c r="CS143" s="7" t="str">
        <f>VLOOKUP(A143,'Empresas 21-23'!$A$2:$M$228,13,0)</f>
        <v/>
      </c>
      <c r="CT143" s="30"/>
      <c r="CU143" s="6">
        <f t="shared" si="22"/>
        <v>0</v>
      </c>
      <c r="CV143" s="6">
        <f t="shared" si="23"/>
        <v>0</v>
      </c>
      <c r="CW143" s="6">
        <f t="shared" si="24"/>
        <v>358980</v>
      </c>
      <c r="CX143" s="23" t="str">
        <f>IFERROR(CU143/(BC143-BD143),"")</f>
        <v/>
      </c>
      <c r="CY143" s="23" t="str">
        <f>IFERROR(CV143/(BC143-BD143),"")</f>
        <v/>
      </c>
      <c r="CZ143" s="6" t="e">
        <f t="shared" si="27"/>
        <v>#VALUE!</v>
      </c>
      <c r="DA143" s="6" t="e">
        <f t="shared" si="28"/>
        <v>#VALUE!</v>
      </c>
      <c r="DB143" s="6">
        <f t="shared" si="29"/>
        <v>0</v>
      </c>
      <c r="DC143" s="6">
        <f t="shared" si="30"/>
        <v>0</v>
      </c>
      <c r="DD143" s="6">
        <f t="shared" si="31"/>
        <v>0</v>
      </c>
      <c r="DE143" s="6">
        <f t="shared" si="32"/>
        <v>0</v>
      </c>
      <c r="DF143" s="6" t="str">
        <f>IFERROR(DE143*(DC143+DD143)/(AF143-AD143-F143-H143-E143-D143),"")</f>
        <v/>
      </c>
      <c r="DG143" s="30"/>
      <c r="DH143" s="32" t="str">
        <f>VLOOKUP(A143,'T_med_comp-USA'!$A$7:$Q$233,17,0)</f>
        <v>-</v>
      </c>
      <c r="DI143" s="6" t="str">
        <f t="shared" si="34"/>
        <v/>
      </c>
      <c r="DJ143" s="32" t="str">
        <f>IF(DI143="","",VLOOKUP(DI143,'CPI USA'!$T:$U,2,FALSE))</f>
        <v/>
      </c>
      <c r="DK143" s="32" t="str">
        <f>IF(DI143="","",VLOOKUP(DI143,'PPI USA'!$S:$T,2,FALSE))</f>
        <v/>
      </c>
      <c r="DL143" s="32" t="str">
        <f>IF(DI143="","",VLOOKUP(DI143,'CPI USA'!$T:$V,3,FALSE))</f>
        <v/>
      </c>
      <c r="DM143" s="32" t="str">
        <f>IF(DI143="","",VLOOKUP(DI143,'CPI USA'!$T:$X,5,FALSE))</f>
        <v/>
      </c>
      <c r="DN143" s="32" t="str">
        <f t="shared" si="35"/>
        <v/>
      </c>
      <c r="DO143" s="32" t="str">
        <f t="shared" si="36"/>
        <v/>
      </c>
      <c r="DP143" s="32" t="str">
        <f t="shared" si="37"/>
        <v/>
      </c>
      <c r="DQ143" s="32" t="str">
        <f>IF(DP143="","",DP143*$DO$1/'CPI USA'!$U$532+(1-DP143)*AVERAGE($DO$1,$DQ$1)/AVERAGE('CPI USA'!$U$532,'PPI USA'!$T$538))</f>
        <v/>
      </c>
      <c r="DR143" s="6">
        <f t="shared" si="38"/>
        <v>0</v>
      </c>
      <c r="DS143" s="32" t="str">
        <f t="shared" si="39"/>
        <v/>
      </c>
      <c r="DT143" s="28" t="str">
        <f>IF(DS143="","",DS143*$DO$1/'CPI USA'!$U$532+(1-DS143)*AVERAGE($DO$1,$DQ$1)/AVERAGE('CPI USA'!$U$532,'PPI USA'!$T$538))</f>
        <v/>
      </c>
      <c r="DU143" s="6" t="str">
        <f t="shared" si="40"/>
        <v/>
      </c>
      <c r="DV143" s="6" t="str">
        <f t="shared" si="41"/>
        <v/>
      </c>
      <c r="DW143" s="6">
        <f t="shared" si="42"/>
        <v>0</v>
      </c>
      <c r="DX143" s="16" t="e">
        <f t="shared" si="43"/>
        <v>#VALUE!</v>
      </c>
      <c r="DY143" s="28" t="e">
        <f>IF(DX143="","",DX143*$DO$1/'CPI USA'!$U$532+(1-DX143)*AVERAGE($DO$1,$DQ$1)/AVERAGE('CPI USA'!$U$532,'PPI USA'!$T$538))</f>
        <v>#VALUE!</v>
      </c>
      <c r="DZ143" s="30"/>
      <c r="EA143" s="29" t="str">
        <f t="shared" si="44"/>
        <v>C001675</v>
      </c>
      <c r="EB143" s="29" t="str">
        <f t="shared" si="45"/>
        <v/>
      </c>
      <c r="EC143" s="29" t="str">
        <f t="shared" si="46"/>
        <v/>
      </c>
      <c r="ED143" s="29" t="str">
        <f t="shared" si="47"/>
        <v/>
      </c>
      <c r="EE143" s="29" t="str">
        <f t="shared" si="48"/>
        <v/>
      </c>
      <c r="EF143" s="29" t="str">
        <f t="shared" si="49"/>
        <v/>
      </c>
      <c r="EG143" s="29" t="str">
        <f t="shared" si="50"/>
        <v/>
      </c>
      <c r="EH143" s="29" t="str">
        <f t="shared" si="51"/>
        <v/>
      </c>
      <c r="EI143" s="29" t="str">
        <f t="shared" si="52"/>
        <v/>
      </c>
      <c r="EJ143" s="29" t="str">
        <f t="shared" si="53"/>
        <v/>
      </c>
      <c r="EK143" s="29" t="str">
        <f t="shared" si="54"/>
        <v/>
      </c>
      <c r="EL143" s="29" t="str">
        <f>IF(CD143=1,VLOOKUP(EA143,'EIA 2023'!$A$2:$J$213,4,0)*EH143,"")</f>
        <v/>
      </c>
      <c r="EM143" s="29" t="str">
        <f>IF(CD143=1,VLOOKUP(EA143,'EIA 2023'!$A$2:$J$213,7,0)*EH143,"")</f>
        <v/>
      </c>
      <c r="EN143" s="29" t="str">
        <f>IF(CD143=1,VLOOKUP(EA143,'EIA 2023'!$A$2:$J$213,10,0),"")</f>
        <v/>
      </c>
      <c r="EO143" s="28" t="str">
        <f>IF(CD143=1,VLOOKUP(EA143,'EIA 2023'!$A$2:$Z$213,26,0),"")</f>
        <v/>
      </c>
      <c r="EP143" s="23" t="str">
        <f t="shared" si="55"/>
        <v/>
      </c>
      <c r="EQ143" s="32" t="str">
        <f t="shared" si="56"/>
        <v/>
      </c>
      <c r="ER143" s="32" t="str">
        <f t="shared" si="57"/>
        <v/>
      </c>
      <c r="ES143" s="32"/>
      <c r="ET143" s="32"/>
    </row>
    <row r="144" spans="1:150" ht="15.75" customHeight="1">
      <c r="A144" s="7" t="s">
        <v>640</v>
      </c>
      <c r="B144" s="7" t="s">
        <v>641</v>
      </c>
      <c r="C144" s="32" t="s">
        <v>1229</v>
      </c>
      <c r="D144" s="42">
        <v>0</v>
      </c>
      <c r="E144" s="42">
        <v>0</v>
      </c>
      <c r="F144" s="42">
        <v>16641638</v>
      </c>
      <c r="G144" s="42">
        <v>113211934</v>
      </c>
      <c r="H144" s="42">
        <v>114878072</v>
      </c>
      <c r="I144" s="42">
        <v>952243</v>
      </c>
      <c r="J144" s="42">
        <v>4005</v>
      </c>
      <c r="K144" s="42">
        <v>479704</v>
      </c>
      <c r="L144" s="42">
        <v>459623</v>
      </c>
      <c r="M144" s="42">
        <v>1032308</v>
      </c>
      <c r="N144" s="42">
        <v>626389</v>
      </c>
      <c r="O144" s="42">
        <v>3551082</v>
      </c>
      <c r="P144" s="42">
        <v>18603</v>
      </c>
      <c r="Q144" s="42">
        <v>56886</v>
      </c>
      <c r="R144" s="42">
        <v>0</v>
      </c>
      <c r="S144" s="42">
        <v>1034079</v>
      </c>
      <c r="T144" s="42">
        <v>4996520</v>
      </c>
      <c r="U144" s="42">
        <v>188409</v>
      </c>
      <c r="V144" s="42">
        <v>7663</v>
      </c>
      <c r="W144" s="42">
        <v>75750</v>
      </c>
      <c r="X144" s="42">
        <f>IFERROR(VLOOKUP(A144,'Trans 21-23'!$A$2:$J$229,10,0),0)</f>
        <v>1174111</v>
      </c>
      <c r="Y144" s="42">
        <v>829466</v>
      </c>
      <c r="Z144" s="42">
        <v>46168</v>
      </c>
      <c r="AA144" s="42">
        <v>4078041</v>
      </c>
      <c r="AB144" s="42">
        <v>553296</v>
      </c>
      <c r="AC144" s="42">
        <v>4973</v>
      </c>
      <c r="AD144" s="42">
        <v>27892381</v>
      </c>
      <c r="AE144" s="42">
        <v>0</v>
      </c>
      <c r="AF144" s="42">
        <v>190084978</v>
      </c>
      <c r="AG144" s="42">
        <v>101122</v>
      </c>
      <c r="AH144" s="42">
        <v>114864</v>
      </c>
      <c r="AI144" s="42">
        <v>2516507</v>
      </c>
      <c r="AJ144" s="42">
        <v>4463</v>
      </c>
      <c r="AK144" s="42">
        <v>0</v>
      </c>
      <c r="AL144" s="42">
        <v>602501</v>
      </c>
      <c r="AM144" s="42">
        <v>742569</v>
      </c>
      <c r="AN144" s="42">
        <v>341357</v>
      </c>
      <c r="AO144" s="42">
        <v>6177</v>
      </c>
      <c r="AP144" s="42">
        <v>106051</v>
      </c>
      <c r="AQ144" s="42">
        <v>1798655</v>
      </c>
      <c r="AR144" s="42">
        <v>598525</v>
      </c>
      <c r="AS144" s="42">
        <v>2397180</v>
      </c>
      <c r="AT144" s="42">
        <v>0</v>
      </c>
      <c r="AU144" s="42">
        <v>411</v>
      </c>
      <c r="AV144" s="42">
        <v>0</v>
      </c>
      <c r="AW144" s="42">
        <v>60584149</v>
      </c>
      <c r="AX144" s="42">
        <v>21134923</v>
      </c>
      <c r="AY144" s="42">
        <v>35841681</v>
      </c>
      <c r="AZ144" s="42">
        <v>17937895</v>
      </c>
      <c r="BA144" s="42">
        <v>11907426</v>
      </c>
      <c r="BB144" s="42">
        <v>437813046</v>
      </c>
      <c r="BC144" s="42">
        <v>1237597699</v>
      </c>
      <c r="BD144" s="42">
        <v>46223204</v>
      </c>
      <c r="BE144" s="42">
        <v>163933250</v>
      </c>
      <c r="BF144" s="42">
        <v>9653710</v>
      </c>
      <c r="BG144" s="42">
        <v>0</v>
      </c>
      <c r="BH144" s="42">
        <v>6937934</v>
      </c>
      <c r="BI144" s="42">
        <v>1128610</v>
      </c>
      <c r="BJ144" s="42">
        <v>290488</v>
      </c>
      <c r="BK144" s="42">
        <v>0</v>
      </c>
      <c r="BL144" s="42">
        <v>0</v>
      </c>
      <c r="BM144" s="42">
        <v>11434257</v>
      </c>
      <c r="BN144" s="42">
        <v>23934610</v>
      </c>
      <c r="BO144" s="42">
        <v>0</v>
      </c>
      <c r="BP144" s="42">
        <v>3229968</v>
      </c>
      <c r="BQ144" s="42">
        <v>32092965</v>
      </c>
      <c r="BR144" s="42">
        <v>0</v>
      </c>
      <c r="BS144" s="42">
        <f>IFERROR(VLOOKUP(A144,'Trans 21-23'!$A$2:$J$229,9,0),0)</f>
        <v>115626437</v>
      </c>
      <c r="BT144" s="67"/>
      <c r="BU144" s="32">
        <f t="shared" si="0"/>
        <v>437813046</v>
      </c>
      <c r="BV144" s="32">
        <f t="shared" si="1"/>
        <v>411</v>
      </c>
      <c r="BW144" s="32">
        <f t="shared" si="2"/>
        <v>101122</v>
      </c>
      <c r="BX144" s="32">
        <f t="shared" si="3"/>
        <v>13483264</v>
      </c>
      <c r="BY144" s="32">
        <f t="shared" si="4"/>
        <v>5511944</v>
      </c>
      <c r="BZ144" s="32">
        <f t="shared" si="5"/>
        <v>17937895</v>
      </c>
      <c r="CA144" s="32">
        <f t="shared" si="6"/>
        <v>27892381</v>
      </c>
      <c r="CB144" s="32">
        <f t="shared" si="7"/>
        <v>114864</v>
      </c>
      <c r="CC144" s="32">
        <f t="shared" si="8"/>
        <v>1798655</v>
      </c>
      <c r="CD144" s="41">
        <f t="shared" si="67"/>
        <v>1</v>
      </c>
      <c r="CE144" s="44">
        <f t="shared" si="10"/>
        <v>12</v>
      </c>
      <c r="CF144" s="27"/>
      <c r="CG144" s="28">
        <f t="shared" si="11"/>
        <v>1065.2385547445256</v>
      </c>
      <c r="CH144" s="28">
        <f t="shared" si="12"/>
        <v>4.0643974604932653</v>
      </c>
      <c r="CI144" s="28">
        <f t="shared" si="13"/>
        <v>133.33660331085224</v>
      </c>
      <c r="CJ144" s="28">
        <f t="shared" si="14"/>
        <v>177.38864935424536</v>
      </c>
      <c r="CK144" s="23">
        <f t="shared" si="15"/>
        <v>6.3861051730320709E-2</v>
      </c>
      <c r="CL144" s="29" t="str">
        <f t="shared" si="16"/>
        <v/>
      </c>
      <c r="CM144" s="29" t="str">
        <f t="shared" si="17"/>
        <v/>
      </c>
      <c r="CN144" s="29" t="str">
        <f t="shared" si="18"/>
        <v/>
      </c>
      <c r="CO144" s="29" t="str">
        <f t="shared" si="19"/>
        <v/>
      </c>
      <c r="CP144" s="29" t="str">
        <f t="shared" si="20"/>
        <v/>
      </c>
      <c r="CQ144" s="29">
        <f t="shared" si="21"/>
        <v>0</v>
      </c>
      <c r="CR144" s="13"/>
      <c r="CS144" s="7">
        <f>VLOOKUP(A144,'Empresas 21-23'!$A$2:$M$228,13,0)</f>
        <v>1</v>
      </c>
      <c r="CT144" s="30"/>
      <c r="CU144" s="6">
        <f t="shared" si="22"/>
        <v>489408199.60000002</v>
      </c>
      <c r="CV144" s="6">
        <f t="shared" si="23"/>
        <v>17937895</v>
      </c>
      <c r="CW144" s="6">
        <f t="shared" si="24"/>
        <v>46223204</v>
      </c>
      <c r="CX144" s="23">
        <f t="shared" ref="CX144:CX155" si="71">CU144/(BC144-BD144)</f>
        <v>0.41079291327283285</v>
      </c>
      <c r="CY144" s="23">
        <f t="shared" ref="CY144:CY155" si="72">CV144/(BC144-BD144)</f>
        <v>1.5056470551688284E-2</v>
      </c>
      <c r="CZ144" s="6">
        <f t="shared" si="27"/>
        <v>508396364.23196447</v>
      </c>
      <c r="DA144" s="6">
        <f t="shared" si="28"/>
        <v>18633853.30983068</v>
      </c>
      <c r="DB144" s="6">
        <f t="shared" si="29"/>
        <v>13483264</v>
      </c>
      <c r="DC144" s="6">
        <f t="shared" si="30"/>
        <v>14657375</v>
      </c>
      <c r="DD144" s="6">
        <f t="shared" si="31"/>
        <v>5511944</v>
      </c>
      <c r="DE144" s="6">
        <f t="shared" si="32"/>
        <v>27892381</v>
      </c>
      <c r="DF144" s="6">
        <f t="shared" ref="DF144:DF155" si="73">DE144*(DC144+DD144)/(AF144-AD144-F144-H144-E144-D144)</f>
        <v>18340964.45041313</v>
      </c>
      <c r="DG144" s="30"/>
      <c r="DH144" s="32">
        <f>VLOOKUP(A144,'T_med_comp-USA'!$A$7:$Q$233,17,0)</f>
        <v>17.277984380726608</v>
      </c>
      <c r="DI144" s="6" t="str">
        <f t="shared" si="34"/>
        <v>9_2006</v>
      </c>
      <c r="DJ144" s="32">
        <f>IF(DI144="","",VLOOKUP(DI144,'CPI USA'!$T:$U,2,FALSE))</f>
        <v>201.6</v>
      </c>
      <c r="DK144" s="32">
        <f>IF(DI144="","",VLOOKUP(DI144,'PPI USA'!$S:$T,2,FALSE))</f>
        <v>145.30000000000001</v>
      </c>
      <c r="DL144" s="32">
        <f>IF(DI144="","",VLOOKUP(DI144,'CPI USA'!$T:$V,3,FALSE))</f>
        <v>0.67263024008352756</v>
      </c>
      <c r="DM144" s="32">
        <f>IF(DI144="","",VLOOKUP(DI144,'CPI USA'!$T:$X,5,FALSE))</f>
        <v>0.50115228263529643</v>
      </c>
      <c r="DN144" s="32">
        <f t="shared" si="35"/>
        <v>1.595396421204319</v>
      </c>
      <c r="DO144" s="32">
        <f t="shared" si="36"/>
        <v>1.6147712829199015</v>
      </c>
      <c r="DP144" s="32">
        <f t="shared" si="37"/>
        <v>0.51455893765782523</v>
      </c>
      <c r="DQ144" s="32">
        <f>IF(DP144="","",DP144*$DO$1/'CPI USA'!$U$532+(1-DP144)*AVERAGE($DO$1,$DQ$1)/AVERAGE('CPI USA'!$U$532,'PPI USA'!$T$538))</f>
        <v>1.0354221706946056</v>
      </c>
      <c r="DR144" s="6">
        <f t="shared" si="38"/>
        <v>1419098</v>
      </c>
      <c r="DS144" s="32">
        <f t="shared" si="39"/>
        <v>0.25745871148182931</v>
      </c>
      <c r="DT144" s="28">
        <f>IF(DS144="","",DS144*$DO$1/'CPI USA'!$U$532+(1-DS144)*AVERAGE($DO$1,$DQ$1)/AVERAGE('CPI USA'!$U$532,'PPI USA'!$T$538))</f>
        <v>1.0413557559366016</v>
      </c>
      <c r="DU144" s="6">
        <f t="shared" si="40"/>
        <v>11434257</v>
      </c>
      <c r="DV144" s="6">
        <f t="shared" si="41"/>
        <v>1279572.0490764005</v>
      </c>
      <c r="DW144" s="6">
        <f t="shared" si="42"/>
        <v>4439173.0722021805</v>
      </c>
      <c r="DX144" s="16">
        <f t="shared" si="43"/>
        <v>0.24203596731262342</v>
      </c>
      <c r="DY144" s="28">
        <f>IF(DX144="","",DX144*$DO$1/'CPI USA'!$U$532+(1-DX144)*AVERAGE($DO$1,$DQ$1)/AVERAGE('CPI USA'!$U$532,'PPI USA'!$T$538))</f>
        <v>1.0417116955969998</v>
      </c>
      <c r="DZ144" s="30"/>
      <c r="EA144" s="29" t="str">
        <f t="shared" si="44"/>
        <v>C001696</v>
      </c>
      <c r="EB144" s="29">
        <f t="shared" si="45"/>
        <v>811093740.04896355</v>
      </c>
      <c r="EC144" s="29">
        <f t="shared" si="46"/>
        <v>30089411.214856539</v>
      </c>
      <c r="ED144" s="29">
        <f t="shared" si="47"/>
        <v>15176571.039184846</v>
      </c>
      <c r="EE144" s="29">
        <f t="shared" si="48"/>
        <v>5739894.610800215</v>
      </c>
      <c r="EF144" s="29">
        <f t="shared" si="49"/>
        <v>19105997.176524159</v>
      </c>
      <c r="EG144" s="29">
        <f t="shared" si="50"/>
        <v>411</v>
      </c>
      <c r="EH144" s="29">
        <f t="shared" si="51"/>
        <v>101122</v>
      </c>
      <c r="EI144" s="29">
        <f t="shared" si="52"/>
        <v>114864</v>
      </c>
      <c r="EJ144" s="29">
        <f t="shared" si="53"/>
        <v>1798655</v>
      </c>
      <c r="EK144" s="29">
        <f t="shared" si="54"/>
        <v>1904404.4060913706</v>
      </c>
      <c r="EL144" s="29">
        <f>IF(CD144=1,VLOOKUP(EA144,'EIA 2023'!$A$2:$J$213,4,0)*EH144,"")</f>
        <v>8842613.2899999991</v>
      </c>
      <c r="EM144" s="29">
        <f>IF(CD144=1,VLOOKUP(EA144,'EIA 2023'!$A$2:$J$213,7,0)*EH144,"")</f>
        <v>156536.856</v>
      </c>
      <c r="EN144" s="29">
        <f>IF(CD144=1,VLOOKUP(EA144,'EIA 2023'!$A$2:$J$213,10,0),"")</f>
        <v>101100</v>
      </c>
      <c r="EO144" s="28">
        <f>IF(CD144=1,VLOOKUP(EA144,'EIA 2023'!$A$2:$Z$213,26,0),"")</f>
        <v>0</v>
      </c>
      <c r="EP144" s="23">
        <f t="shared" si="55"/>
        <v>5.5528860232166882E-2</v>
      </c>
      <c r="EQ144" s="32">
        <f t="shared" si="56"/>
        <v>9114.5939086294966</v>
      </c>
      <c r="ER144" s="32">
        <f t="shared" si="57"/>
        <v>105749.4060913705</v>
      </c>
      <c r="ES144" s="32"/>
      <c r="ET144" s="32"/>
    </row>
    <row r="145" spans="1:150" ht="15.75" customHeight="1">
      <c r="A145" s="7" t="s">
        <v>643</v>
      </c>
      <c r="B145" s="7" t="s">
        <v>644</v>
      </c>
      <c r="C145" s="32" t="s">
        <v>1230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  <c r="M145" s="42">
        <v>0</v>
      </c>
      <c r="N145" s="42">
        <v>0</v>
      </c>
      <c r="O145" s="42">
        <v>0</v>
      </c>
      <c r="P145" s="42">
        <v>0</v>
      </c>
      <c r="Q145" s="42">
        <v>0</v>
      </c>
      <c r="R145" s="42">
        <v>0</v>
      </c>
      <c r="S145" s="42">
        <v>0</v>
      </c>
      <c r="T145" s="42">
        <v>0</v>
      </c>
      <c r="U145" s="42">
        <v>0</v>
      </c>
      <c r="V145" s="42">
        <v>0</v>
      </c>
      <c r="W145" s="42">
        <v>0</v>
      </c>
      <c r="X145" s="42">
        <f>IFERROR(VLOOKUP(A145,'Trans 21-23'!$A$2:$J$229,10,0),0)</f>
        <v>0</v>
      </c>
      <c r="Y145" s="42">
        <v>0</v>
      </c>
      <c r="Z145" s="42">
        <v>0</v>
      </c>
      <c r="AA145" s="42">
        <v>0</v>
      </c>
      <c r="AB145" s="42">
        <v>0</v>
      </c>
      <c r="AC145" s="42">
        <v>0</v>
      </c>
      <c r="AD145" s="42">
        <v>696279</v>
      </c>
      <c r="AE145" s="42">
        <v>0</v>
      </c>
      <c r="AF145" s="42">
        <v>3269441</v>
      </c>
      <c r="AG145" s="42">
        <v>0</v>
      </c>
      <c r="AH145" s="42">
        <v>0</v>
      </c>
      <c r="AI145" s="42">
        <v>0</v>
      </c>
      <c r="AJ145" s="42">
        <v>0</v>
      </c>
      <c r="AK145" s="42">
        <v>0</v>
      </c>
      <c r="AL145" s="42">
        <v>0</v>
      </c>
      <c r="AM145" s="42">
        <v>0</v>
      </c>
      <c r="AN145" s="42">
        <v>0</v>
      </c>
      <c r="AO145" s="42">
        <v>0</v>
      </c>
      <c r="AP145" s="42">
        <v>0</v>
      </c>
      <c r="AQ145" s="42">
        <v>0</v>
      </c>
      <c r="AR145" s="42">
        <v>0</v>
      </c>
      <c r="AS145" s="42">
        <v>0</v>
      </c>
      <c r="AT145" s="42">
        <v>0</v>
      </c>
      <c r="AU145" s="42">
        <v>0</v>
      </c>
      <c r="AV145" s="42">
        <v>0</v>
      </c>
      <c r="AW145" s="42">
        <v>0</v>
      </c>
      <c r="AX145" s="42">
        <v>0</v>
      </c>
      <c r="AY145" s="42">
        <v>0</v>
      </c>
      <c r="AZ145" s="42">
        <v>0</v>
      </c>
      <c r="BA145" s="42">
        <v>0</v>
      </c>
      <c r="BB145" s="42">
        <v>0</v>
      </c>
      <c r="BC145" s="42">
        <v>122261553</v>
      </c>
      <c r="BD145" s="42">
        <v>595714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v>0</v>
      </c>
      <c r="BP145" s="42">
        <v>0</v>
      </c>
      <c r="BQ145" s="42">
        <v>0</v>
      </c>
      <c r="BR145" s="42">
        <v>0</v>
      </c>
      <c r="BS145" s="42">
        <f>IFERROR(VLOOKUP(A145,'Trans 21-23'!$A$2:$J$229,9,0),0)</f>
        <v>0</v>
      </c>
      <c r="BT145" s="67"/>
      <c r="BU145" s="32">
        <f t="shared" si="0"/>
        <v>0</v>
      </c>
      <c r="BV145" s="32">
        <f t="shared" si="1"/>
        <v>0</v>
      </c>
      <c r="BW145" s="32">
        <f t="shared" si="2"/>
        <v>0</v>
      </c>
      <c r="BX145" s="32">
        <f t="shared" si="3"/>
        <v>0</v>
      </c>
      <c r="BY145" s="32">
        <f t="shared" si="4"/>
        <v>0</v>
      </c>
      <c r="BZ145" s="32">
        <f t="shared" si="5"/>
        <v>0</v>
      </c>
      <c r="CA145" s="32">
        <f t="shared" si="6"/>
        <v>696279</v>
      </c>
      <c r="CB145" s="32">
        <f t="shared" si="7"/>
        <v>0</v>
      </c>
      <c r="CC145" s="32">
        <f t="shared" si="8"/>
        <v>0</v>
      </c>
      <c r="CD145" s="41">
        <f t="shared" si="67"/>
        <v>0</v>
      </c>
      <c r="CE145" s="44">
        <f t="shared" si="10"/>
        <v>64</v>
      </c>
      <c r="CF145" s="27"/>
      <c r="CG145" s="28" t="str">
        <f t="shared" si="11"/>
        <v/>
      </c>
      <c r="CH145" s="28" t="str">
        <f t="shared" si="12"/>
        <v/>
      </c>
      <c r="CI145" s="28" t="str">
        <f t="shared" si="13"/>
        <v/>
      </c>
      <c r="CJ145" s="28" t="str">
        <f t="shared" si="14"/>
        <v/>
      </c>
      <c r="CK145" s="23" t="str">
        <f t="shared" si="15"/>
        <v/>
      </c>
      <c r="CL145" s="29" t="str">
        <f t="shared" si="16"/>
        <v/>
      </c>
      <c r="CM145" s="29" t="str">
        <f t="shared" si="17"/>
        <v/>
      </c>
      <c r="CN145" s="29" t="str">
        <f t="shared" si="18"/>
        <v/>
      </c>
      <c r="CO145" s="29" t="str">
        <f t="shared" si="19"/>
        <v/>
      </c>
      <c r="CP145" s="29" t="str">
        <f t="shared" si="20"/>
        <v/>
      </c>
      <c r="CQ145" s="29" t="str">
        <f t="shared" si="21"/>
        <v/>
      </c>
      <c r="CR145" s="13"/>
      <c r="CS145" s="7" t="str">
        <f>VLOOKUP(A145,'Empresas 21-23'!$A$2:$M$228,13,0)</f>
        <v/>
      </c>
      <c r="CT145" s="30"/>
      <c r="CU145" s="6">
        <f t="shared" si="22"/>
        <v>0</v>
      </c>
      <c r="CV145" s="6">
        <f t="shared" si="23"/>
        <v>0</v>
      </c>
      <c r="CW145" s="6">
        <f t="shared" si="24"/>
        <v>595714</v>
      </c>
      <c r="CX145" s="23">
        <f t="shared" si="71"/>
        <v>0</v>
      </c>
      <c r="CY145" s="23">
        <f t="shared" si="72"/>
        <v>0</v>
      </c>
      <c r="CZ145" s="6">
        <f t="shared" si="27"/>
        <v>0</v>
      </c>
      <c r="DA145" s="6">
        <f t="shared" si="28"/>
        <v>0</v>
      </c>
      <c r="DB145" s="6">
        <f t="shared" si="29"/>
        <v>0</v>
      </c>
      <c r="DC145" s="6">
        <f t="shared" si="30"/>
        <v>0</v>
      </c>
      <c r="DD145" s="6">
        <f t="shared" si="31"/>
        <v>0</v>
      </c>
      <c r="DE145" s="6">
        <f t="shared" si="32"/>
        <v>696279</v>
      </c>
      <c r="DF145" s="6">
        <f t="shared" si="73"/>
        <v>0</v>
      </c>
      <c r="DG145" s="30"/>
      <c r="DH145" s="32" t="str">
        <f>VLOOKUP(A145,'T_med_comp-USA'!$A$7:$Q$233,17,0)</f>
        <v>-</v>
      </c>
      <c r="DI145" s="6" t="str">
        <f t="shared" si="34"/>
        <v/>
      </c>
      <c r="DJ145" s="32" t="str">
        <f>IF(DI145="","",VLOOKUP(DI145,'CPI USA'!$T:$U,2,FALSE))</f>
        <v/>
      </c>
      <c r="DK145" s="32" t="str">
        <f>IF(DI145="","",VLOOKUP(DI145,'PPI USA'!$S:$T,2,FALSE))</f>
        <v/>
      </c>
      <c r="DL145" s="32" t="str">
        <f>IF(DI145="","",VLOOKUP(DI145,'CPI USA'!$T:$V,3,FALSE))</f>
        <v/>
      </c>
      <c r="DM145" s="32" t="str">
        <f>IF(DI145="","",VLOOKUP(DI145,'CPI USA'!$T:$X,5,FALSE))</f>
        <v/>
      </c>
      <c r="DN145" s="32" t="str">
        <f t="shared" si="35"/>
        <v/>
      </c>
      <c r="DO145" s="32" t="str">
        <f t="shared" si="36"/>
        <v/>
      </c>
      <c r="DP145" s="32" t="str">
        <f t="shared" si="37"/>
        <v/>
      </c>
      <c r="DQ145" s="32" t="str">
        <f>IF(DP145="","",DP145*$DO$1/'CPI USA'!$U$532+(1-DP145)*AVERAGE($DO$1,$DQ$1)/AVERAGE('CPI USA'!$U$532,'PPI USA'!$T$538))</f>
        <v/>
      </c>
      <c r="DR145" s="6">
        <f t="shared" si="38"/>
        <v>0</v>
      </c>
      <c r="DS145" s="32" t="str">
        <f t="shared" si="39"/>
        <v/>
      </c>
      <c r="DT145" s="28" t="str">
        <f>IF(DS145="","",DS145*$DO$1/'CPI USA'!$U$532+(1-DS145)*AVERAGE($DO$1,$DQ$1)/AVERAGE('CPI USA'!$U$532,'PPI USA'!$T$538))</f>
        <v/>
      </c>
      <c r="DU145" s="6" t="str">
        <f t="shared" si="40"/>
        <v/>
      </c>
      <c r="DV145" s="6" t="str">
        <f t="shared" si="41"/>
        <v/>
      </c>
      <c r="DW145" s="6">
        <f t="shared" si="42"/>
        <v>0</v>
      </c>
      <c r="DX145" s="16" t="str">
        <f t="shared" si="43"/>
        <v/>
      </c>
      <c r="DY145" s="28" t="str">
        <f>IF(DX145="","",DX145*$DO$1/'CPI USA'!$U$532+(1-DX145)*AVERAGE($DO$1,$DQ$1)/AVERAGE('CPI USA'!$U$532,'PPI USA'!$T$538))</f>
        <v/>
      </c>
      <c r="DZ145" s="30"/>
      <c r="EA145" s="29" t="str">
        <f t="shared" si="44"/>
        <v>C001702</v>
      </c>
      <c r="EB145" s="29" t="str">
        <f t="shared" si="45"/>
        <v/>
      </c>
      <c r="EC145" s="29" t="str">
        <f t="shared" si="46"/>
        <v/>
      </c>
      <c r="ED145" s="29" t="str">
        <f t="shared" si="47"/>
        <v/>
      </c>
      <c r="EE145" s="29" t="str">
        <f t="shared" si="48"/>
        <v/>
      </c>
      <c r="EF145" s="29" t="str">
        <f t="shared" si="49"/>
        <v/>
      </c>
      <c r="EG145" s="29" t="str">
        <f t="shared" si="50"/>
        <v/>
      </c>
      <c r="EH145" s="29" t="str">
        <f t="shared" si="51"/>
        <v/>
      </c>
      <c r="EI145" s="29" t="str">
        <f t="shared" si="52"/>
        <v/>
      </c>
      <c r="EJ145" s="29" t="str">
        <f t="shared" si="53"/>
        <v/>
      </c>
      <c r="EK145" s="29" t="str">
        <f t="shared" si="54"/>
        <v/>
      </c>
      <c r="EL145" s="29" t="str">
        <f>IF(CD145=1,VLOOKUP(EA145,'EIA 2023'!$A$2:$J$213,4,0)*EH145,"")</f>
        <v/>
      </c>
      <c r="EM145" s="29" t="str">
        <f>IF(CD145=1,VLOOKUP(EA145,'EIA 2023'!$A$2:$J$213,7,0)*EH145,"")</f>
        <v/>
      </c>
      <c r="EN145" s="29" t="str">
        <f>IF(CD145=1,VLOOKUP(EA145,'EIA 2023'!$A$2:$J$213,10,0),"")</f>
        <v/>
      </c>
      <c r="EO145" s="28" t="str">
        <f>IF(CD145=1,VLOOKUP(EA145,'EIA 2023'!$A$2:$Z$213,26,0),"")</f>
        <v/>
      </c>
      <c r="EP145" s="23" t="str">
        <f t="shared" si="55"/>
        <v/>
      </c>
      <c r="EQ145" s="32" t="str">
        <f t="shared" si="56"/>
        <v/>
      </c>
      <c r="ER145" s="32" t="str">
        <f t="shared" si="57"/>
        <v/>
      </c>
      <c r="ES145" s="32"/>
      <c r="ET145" s="32"/>
    </row>
    <row r="146" spans="1:150" ht="15.75" customHeight="1">
      <c r="A146" s="7" t="s">
        <v>646</v>
      </c>
      <c r="B146" s="7" t="s">
        <v>647</v>
      </c>
      <c r="C146" s="32" t="s">
        <v>1231</v>
      </c>
      <c r="D146" s="42">
        <v>0</v>
      </c>
      <c r="E146" s="42">
        <v>0</v>
      </c>
      <c r="F146" s="42">
        <v>0</v>
      </c>
      <c r="G146" s="42">
        <v>21130052</v>
      </c>
      <c r="H146" s="42">
        <v>21135287</v>
      </c>
      <c r="I146" s="42">
        <v>0</v>
      </c>
      <c r="J146" s="42">
        <v>0</v>
      </c>
      <c r="K146" s="42">
        <v>0</v>
      </c>
      <c r="L146" s="42">
        <v>89718</v>
      </c>
      <c r="M146" s="42">
        <v>0</v>
      </c>
      <c r="N146" s="42">
        <v>0</v>
      </c>
      <c r="O146" s="42">
        <v>0</v>
      </c>
      <c r="P146" s="42">
        <v>0</v>
      </c>
      <c r="Q146" s="42">
        <v>0</v>
      </c>
      <c r="R146" s="42">
        <v>0</v>
      </c>
      <c r="S146" s="42">
        <v>0</v>
      </c>
      <c r="T146" s="42">
        <v>11674</v>
      </c>
      <c r="U146" s="42">
        <v>3686</v>
      </c>
      <c r="V146" s="42">
        <v>35075</v>
      </c>
      <c r="W146" s="42">
        <v>0</v>
      </c>
      <c r="X146" s="42">
        <f>IFERROR(VLOOKUP(A146,'Trans 21-23'!$A$2:$J$229,10,0),0)</f>
        <v>1004999</v>
      </c>
      <c r="Y146" s="42">
        <v>0</v>
      </c>
      <c r="Z146" s="42">
        <v>0</v>
      </c>
      <c r="AA146" s="42">
        <v>36912</v>
      </c>
      <c r="AB146" s="42">
        <v>9481</v>
      </c>
      <c r="AC146" s="42">
        <v>0</v>
      </c>
      <c r="AD146" s="42">
        <v>2942298</v>
      </c>
      <c r="AE146" s="42">
        <v>0</v>
      </c>
      <c r="AF146" s="42">
        <v>29224952</v>
      </c>
      <c r="AG146" s="42">
        <v>94</v>
      </c>
      <c r="AH146" s="42">
        <v>11996</v>
      </c>
      <c r="AI146" s="42">
        <v>472004</v>
      </c>
      <c r="AJ146" s="42">
        <v>534</v>
      </c>
      <c r="AK146" s="42">
        <v>0</v>
      </c>
      <c r="AL146" s="42">
        <v>670</v>
      </c>
      <c r="AM146" s="42">
        <v>7304</v>
      </c>
      <c r="AN146" s="42">
        <v>451327</v>
      </c>
      <c r="AO146" s="42">
        <v>25</v>
      </c>
      <c r="AP146" s="42">
        <v>147</v>
      </c>
      <c r="AQ146" s="42">
        <v>459474</v>
      </c>
      <c r="AR146" s="42">
        <v>0</v>
      </c>
      <c r="AS146" s="42">
        <v>459474</v>
      </c>
      <c r="AT146" s="42">
        <v>0</v>
      </c>
      <c r="AU146" s="42">
        <v>104</v>
      </c>
      <c r="AV146" s="42">
        <v>0</v>
      </c>
      <c r="AW146" s="42">
        <v>32909</v>
      </c>
      <c r="AX146" s="42">
        <v>0</v>
      </c>
      <c r="AY146" s="42">
        <v>86760</v>
      </c>
      <c r="AZ146" s="42">
        <v>253326</v>
      </c>
      <c r="BA146" s="42">
        <v>0</v>
      </c>
      <c r="BB146" s="42">
        <v>860542</v>
      </c>
      <c r="BC146" s="42">
        <v>70302639</v>
      </c>
      <c r="BD146" s="42">
        <v>4491114</v>
      </c>
      <c r="BE146" s="42">
        <v>412558</v>
      </c>
      <c r="BF146" s="42">
        <v>18659</v>
      </c>
      <c r="BG146" s="42">
        <v>0</v>
      </c>
      <c r="BH146" s="42">
        <v>38704</v>
      </c>
      <c r="BI146" s="42">
        <v>0</v>
      </c>
      <c r="BJ146" s="42">
        <v>0</v>
      </c>
      <c r="BK146" s="42">
        <v>0</v>
      </c>
      <c r="BL146" s="42">
        <v>0</v>
      </c>
      <c r="BM146" s="42">
        <v>999551</v>
      </c>
      <c r="BN146" s="42">
        <v>2990719</v>
      </c>
      <c r="BO146" s="42">
        <v>0</v>
      </c>
      <c r="BP146" s="42">
        <v>0</v>
      </c>
      <c r="BQ146" s="42">
        <v>2990719</v>
      </c>
      <c r="BR146" s="42">
        <v>0</v>
      </c>
      <c r="BS146" s="42">
        <f>IFERROR(VLOOKUP(A146,'Trans 21-23'!$A$2:$J$229,9,0),0)</f>
        <v>5066044</v>
      </c>
      <c r="BT146" s="67"/>
      <c r="BU146" s="32">
        <f t="shared" si="0"/>
        <v>860542</v>
      </c>
      <c r="BV146" s="32">
        <f t="shared" si="1"/>
        <v>104</v>
      </c>
      <c r="BW146" s="32">
        <f t="shared" si="2"/>
        <v>94</v>
      </c>
      <c r="BX146" s="32">
        <f t="shared" si="3"/>
        <v>140153</v>
      </c>
      <c r="BY146" s="32">
        <f t="shared" si="4"/>
        <v>46393</v>
      </c>
      <c r="BZ146" s="32">
        <f t="shared" si="5"/>
        <v>253326</v>
      </c>
      <c r="CA146" s="32">
        <f t="shared" si="6"/>
        <v>2942298</v>
      </c>
      <c r="CB146" s="32">
        <f t="shared" si="7"/>
        <v>11996</v>
      </c>
      <c r="CC146" s="32">
        <f t="shared" si="8"/>
        <v>459474</v>
      </c>
      <c r="CD146" s="41">
        <v>0</v>
      </c>
      <c r="CE146" s="44">
        <f t="shared" si="10"/>
        <v>32</v>
      </c>
      <c r="CF146" s="27"/>
      <c r="CG146" s="28" t="str">
        <f t="shared" si="11"/>
        <v/>
      </c>
      <c r="CH146" s="28" t="str">
        <f t="shared" si="12"/>
        <v/>
      </c>
      <c r="CI146" s="28" t="str">
        <f t="shared" si="13"/>
        <v/>
      </c>
      <c r="CJ146" s="28" t="str">
        <f t="shared" si="14"/>
        <v/>
      </c>
      <c r="CK146" s="23" t="str">
        <f t="shared" si="15"/>
        <v/>
      </c>
      <c r="CL146" s="29" t="str">
        <f t="shared" si="16"/>
        <v/>
      </c>
      <c r="CM146" s="29" t="str">
        <f t="shared" si="17"/>
        <v/>
      </c>
      <c r="CN146" s="29" t="str">
        <f t="shared" si="18"/>
        <v/>
      </c>
      <c r="CO146" s="29" t="str">
        <f t="shared" si="19"/>
        <v/>
      </c>
      <c r="CP146" s="29" t="str">
        <f t="shared" si="20"/>
        <v/>
      </c>
      <c r="CQ146" s="29" t="str">
        <f t="shared" si="21"/>
        <v/>
      </c>
      <c r="CR146" s="13"/>
      <c r="CS146" s="7" t="str">
        <f>VLOOKUP(A146,'Empresas 21-23'!$A$2:$M$228,13,0)</f>
        <v/>
      </c>
      <c r="CT146" s="30"/>
      <c r="CU146" s="6">
        <f t="shared" si="22"/>
        <v>5621204</v>
      </c>
      <c r="CV146" s="6">
        <f t="shared" si="23"/>
        <v>253326</v>
      </c>
      <c r="CW146" s="6">
        <f t="shared" si="24"/>
        <v>4491114</v>
      </c>
      <c r="CX146" s="23">
        <f t="shared" si="71"/>
        <v>8.5413671845470829E-2</v>
      </c>
      <c r="CY146" s="23">
        <f t="shared" si="72"/>
        <v>3.8492650033561749E-3</v>
      </c>
      <c r="CZ146" s="6">
        <f t="shared" si="27"/>
        <v>6004806.5374165997</v>
      </c>
      <c r="DA146" s="6">
        <f t="shared" si="28"/>
        <v>270613.48794628296</v>
      </c>
      <c r="DB146" s="6">
        <f t="shared" si="29"/>
        <v>140153</v>
      </c>
      <c r="DC146" s="6">
        <f t="shared" si="30"/>
        <v>1145152</v>
      </c>
      <c r="DD146" s="6">
        <f t="shared" si="31"/>
        <v>46393</v>
      </c>
      <c r="DE146" s="6">
        <f t="shared" si="32"/>
        <v>2942298</v>
      </c>
      <c r="DF146" s="6">
        <f t="shared" si="73"/>
        <v>681101.71091550298</v>
      </c>
      <c r="DG146" s="30"/>
      <c r="DH146" s="32">
        <f>VLOOKUP(A146,'T_med_comp-USA'!$A$7:$Q$233,17,0)</f>
        <v>16.369745813818195</v>
      </c>
      <c r="DI146" s="6" t="str">
        <f t="shared" si="34"/>
        <v>8_2007</v>
      </c>
      <c r="DJ146" s="32">
        <f>IF(DI146="","",VLOOKUP(DI146,'CPI USA'!$T:$U,2,FALSE))</f>
        <v>207.34200000000001</v>
      </c>
      <c r="DK146" s="32">
        <f>IF(DI146="","",VLOOKUP(DI146,'PPI USA'!$S:$T,2,FALSE))</f>
        <v>151.69999999999999</v>
      </c>
      <c r="DL146" s="32">
        <f>IF(DI146="","",VLOOKUP(DI146,'CPI USA'!$T:$V,3,FALSE))</f>
        <v>0.67123734379962852</v>
      </c>
      <c r="DM146" s="32">
        <f>IF(DI146="","",VLOOKUP(DI146,'CPI USA'!$T:$X,5,FALSE))</f>
        <v>0.49957259686190569</v>
      </c>
      <c r="DN146" s="32">
        <f t="shared" si="35"/>
        <v>1.5480022216582647</v>
      </c>
      <c r="DO146" s="32">
        <f t="shared" si="36"/>
        <v>1.5651038394149617</v>
      </c>
      <c r="DP146" s="32">
        <f t="shared" si="37"/>
        <v>0.27615534451634999</v>
      </c>
      <c r="DQ146" s="32">
        <f>IF(DP146="","",DP146*$DO$1/'CPI USA'!$U$532+(1-DP146)*AVERAGE($DO$1,$DQ$1)/AVERAGE('CPI USA'!$U$532,'PPI USA'!$T$538))</f>
        <v>1.0409242585882765</v>
      </c>
      <c r="DR146" s="6">
        <f t="shared" si="38"/>
        <v>0</v>
      </c>
      <c r="DS146" s="32">
        <f t="shared" si="39"/>
        <v>0.2</v>
      </c>
      <c r="DT146" s="28">
        <f>IF(DS146="","",DS146*$DO$1/'CPI USA'!$U$532+(1-DS146)*AVERAGE($DO$1,$DQ$1)/AVERAGE('CPI USA'!$U$532,'PPI USA'!$T$538))</f>
        <v>1.0426818386380585</v>
      </c>
      <c r="DU146" s="6">
        <f t="shared" si="40"/>
        <v>999551</v>
      </c>
      <c r="DV146" s="6">
        <f t="shared" si="41"/>
        <v>0</v>
      </c>
      <c r="DW146" s="6">
        <f t="shared" si="42"/>
        <v>12935.558942180794</v>
      </c>
      <c r="DX146" s="16">
        <f t="shared" si="43"/>
        <v>0.2</v>
      </c>
      <c r="DY146" s="28">
        <f>IF(DX146="","",DX146*$DO$1/'CPI USA'!$U$532+(1-DX146)*AVERAGE($DO$1,$DQ$1)/AVERAGE('CPI USA'!$U$532,'PPI USA'!$T$538))</f>
        <v>1.0426818386380585</v>
      </c>
      <c r="DZ146" s="30"/>
      <c r="EA146" s="29" t="str">
        <f t="shared" si="44"/>
        <v>C001731</v>
      </c>
      <c r="EB146" s="29" t="str">
        <f t="shared" si="45"/>
        <v/>
      </c>
      <c r="EC146" s="29" t="str">
        <f t="shared" si="46"/>
        <v/>
      </c>
      <c r="ED146" s="29" t="str">
        <f t="shared" si="47"/>
        <v/>
      </c>
      <c r="EE146" s="29" t="str">
        <f t="shared" si="48"/>
        <v/>
      </c>
      <c r="EF146" s="29" t="str">
        <f t="shared" si="49"/>
        <v/>
      </c>
      <c r="EG146" s="29" t="str">
        <f t="shared" si="50"/>
        <v/>
      </c>
      <c r="EH146" s="29" t="str">
        <f t="shared" si="51"/>
        <v/>
      </c>
      <c r="EI146" s="29" t="str">
        <f t="shared" si="52"/>
        <v/>
      </c>
      <c r="EJ146" s="29" t="str">
        <f t="shared" si="53"/>
        <v/>
      </c>
      <c r="EK146" s="29" t="str">
        <f t="shared" si="54"/>
        <v/>
      </c>
      <c r="EL146" s="29" t="str">
        <f>IF(CD146=1,VLOOKUP(EA146,'EIA 2023'!$A$2:$J$213,4,0)*EH146,"")</f>
        <v/>
      </c>
      <c r="EM146" s="29" t="str">
        <f>IF(CD146=1,VLOOKUP(EA146,'EIA 2023'!$A$2:$J$213,7,0)*EH146,"")</f>
        <v/>
      </c>
      <c r="EN146" s="29" t="str">
        <f>IF(CD146=1,VLOOKUP(EA146,'EIA 2023'!$A$2:$J$213,10,0),"")</f>
        <v/>
      </c>
      <c r="EO146" s="28" t="str">
        <f>IF(CD146=1,VLOOKUP(EA146,'EIA 2023'!$A$2:$Z$213,26,0),"")</f>
        <v/>
      </c>
      <c r="EP146" s="23" t="str">
        <f t="shared" si="55"/>
        <v/>
      </c>
      <c r="EQ146" s="32" t="str">
        <f t="shared" si="56"/>
        <v/>
      </c>
      <c r="ER146" s="32" t="str">
        <f t="shared" si="57"/>
        <v/>
      </c>
      <c r="ES146" s="32"/>
      <c r="ET146" s="32"/>
    </row>
    <row r="147" spans="1:150" ht="15.75" customHeight="1">
      <c r="A147" s="7" t="s">
        <v>649</v>
      </c>
      <c r="B147" s="7" t="s">
        <v>650</v>
      </c>
      <c r="C147" s="32" t="s">
        <v>1232</v>
      </c>
      <c r="D147" s="42">
        <v>4825355</v>
      </c>
      <c r="E147" s="42">
        <v>1149360</v>
      </c>
      <c r="F147" s="42">
        <v>1282707</v>
      </c>
      <c r="G147" s="42">
        <v>349109031</v>
      </c>
      <c r="H147" s="42">
        <v>350946259</v>
      </c>
      <c r="I147" s="42">
        <v>941351</v>
      </c>
      <c r="J147" s="42">
        <v>344291</v>
      </c>
      <c r="K147" s="42">
        <v>173615</v>
      </c>
      <c r="L147" s="42">
        <v>1817049</v>
      </c>
      <c r="M147" s="42">
        <v>101085</v>
      </c>
      <c r="N147" s="42">
        <v>31867</v>
      </c>
      <c r="O147" s="42">
        <v>4364210</v>
      </c>
      <c r="P147" s="42">
        <v>408844</v>
      </c>
      <c r="Q147" s="42">
        <v>16929</v>
      </c>
      <c r="R147" s="42">
        <v>0</v>
      </c>
      <c r="S147" s="42">
        <v>2375276</v>
      </c>
      <c r="T147" s="42">
        <v>42870377</v>
      </c>
      <c r="U147" s="42">
        <v>668944</v>
      </c>
      <c r="V147" s="42">
        <v>0</v>
      </c>
      <c r="W147" s="42">
        <v>123531</v>
      </c>
      <c r="X147" s="42">
        <f>IFERROR(VLOOKUP(A147,'Trans 21-23'!$A$2:$J$229,10,0),0)</f>
        <v>1221909</v>
      </c>
      <c r="Y147" s="42">
        <v>359832</v>
      </c>
      <c r="Z147" s="42">
        <v>420564</v>
      </c>
      <c r="AA147" s="42">
        <v>9517642</v>
      </c>
      <c r="AB147" s="42">
        <v>2760750</v>
      </c>
      <c r="AC147" s="42">
        <v>112733</v>
      </c>
      <c r="AD147" s="42">
        <v>40084828</v>
      </c>
      <c r="AE147" s="42">
        <v>0</v>
      </c>
      <c r="AF147" s="42">
        <v>609823681</v>
      </c>
      <c r="AG147" s="42">
        <v>273011</v>
      </c>
      <c r="AH147" s="42">
        <v>233086</v>
      </c>
      <c r="AI147" s="42">
        <v>4882999</v>
      </c>
      <c r="AJ147" s="42">
        <v>9794</v>
      </c>
      <c r="AK147" s="42">
        <v>0</v>
      </c>
      <c r="AL147" s="42">
        <v>1556801</v>
      </c>
      <c r="AM147" s="42">
        <v>1439685</v>
      </c>
      <c r="AN147" s="42">
        <v>1032825</v>
      </c>
      <c r="AO147" s="42">
        <v>3717</v>
      </c>
      <c r="AP147" s="42">
        <v>0</v>
      </c>
      <c r="AQ147" s="42">
        <v>4033028</v>
      </c>
      <c r="AR147" s="42">
        <v>607091</v>
      </c>
      <c r="AS147" s="42">
        <v>4640119</v>
      </c>
      <c r="AT147" s="42">
        <v>0</v>
      </c>
      <c r="AU147" s="42">
        <v>592</v>
      </c>
      <c r="AV147" s="42">
        <v>0</v>
      </c>
      <c r="AW147" s="42">
        <v>272152209</v>
      </c>
      <c r="AX147" s="42">
        <v>21934416</v>
      </c>
      <c r="AY147" s="42">
        <v>59294693</v>
      </c>
      <c r="AZ147" s="42">
        <v>46013606</v>
      </c>
      <c r="BA147" s="42">
        <v>19879178</v>
      </c>
      <c r="BB147" s="42">
        <v>1112556432</v>
      </c>
      <c r="BC147" s="42">
        <v>2291278100</v>
      </c>
      <c r="BD147" s="42">
        <v>148023552</v>
      </c>
      <c r="BE147" s="42">
        <v>370371414</v>
      </c>
      <c r="BF147" s="42">
        <v>26299931</v>
      </c>
      <c r="BG147" s="42">
        <v>0</v>
      </c>
      <c r="BH147" s="42">
        <v>25016776</v>
      </c>
      <c r="BI147" s="42">
        <v>2266209</v>
      </c>
      <c r="BJ147" s="42">
        <v>2635712</v>
      </c>
      <c r="BK147" s="42">
        <v>9500</v>
      </c>
      <c r="BL147" s="42">
        <v>0</v>
      </c>
      <c r="BM147" s="42">
        <v>13222843</v>
      </c>
      <c r="BN147" s="42">
        <v>49287886</v>
      </c>
      <c r="BO147" s="42">
        <v>0</v>
      </c>
      <c r="BP147" s="42">
        <v>5115935</v>
      </c>
      <c r="BQ147" s="42">
        <v>70833793</v>
      </c>
      <c r="BR147" s="42">
        <v>0</v>
      </c>
      <c r="BS147" s="42">
        <f>IFERROR(VLOOKUP(A147,'Trans 21-23'!$A$2:$J$229,9,0),0)</f>
        <v>120333588</v>
      </c>
      <c r="BT147" s="67"/>
      <c r="BU147" s="32">
        <f t="shared" si="0"/>
        <v>1112556432</v>
      </c>
      <c r="BV147" s="32">
        <f t="shared" si="1"/>
        <v>592</v>
      </c>
      <c r="BW147" s="32">
        <f t="shared" si="2"/>
        <v>273011</v>
      </c>
      <c r="BX147" s="32">
        <f t="shared" si="3"/>
        <v>54237369</v>
      </c>
      <c r="BY147" s="32">
        <f t="shared" si="4"/>
        <v>13171521</v>
      </c>
      <c r="BZ147" s="32">
        <f t="shared" si="5"/>
        <v>46013606</v>
      </c>
      <c r="CA147" s="32">
        <f t="shared" si="6"/>
        <v>40084828</v>
      </c>
      <c r="CB147" s="32">
        <f t="shared" si="7"/>
        <v>233086</v>
      </c>
      <c r="CC147" s="32">
        <f t="shared" si="8"/>
        <v>4033028</v>
      </c>
      <c r="CD147" s="41">
        <f t="shared" ref="CD147:CD215" si="74">IF(OR(BU147&lt;=0,BV147&lt;=0,BW147&lt;=0,BX147&lt;=0,BY147&lt;=0,BZ147&lt;=0,CA147&lt;=0,CB147&lt;=0,CC147&lt;=0,DH147="-"),0,1)</f>
        <v>1</v>
      </c>
      <c r="CE147" s="44">
        <f t="shared" si="10"/>
        <v>11</v>
      </c>
      <c r="CF147" s="27"/>
      <c r="CG147" s="28">
        <f t="shared" si="11"/>
        <v>1879.3182972972972</v>
      </c>
      <c r="CH147" s="28">
        <f t="shared" si="12"/>
        <v>2.1684107966345678</v>
      </c>
      <c r="CI147" s="28">
        <f t="shared" si="13"/>
        <v>198.66367655515711</v>
      </c>
      <c r="CJ147" s="28">
        <f t="shared" si="14"/>
        <v>168.54121628798839</v>
      </c>
      <c r="CK147" s="23">
        <f t="shared" si="15"/>
        <v>5.7794292526607796E-2</v>
      </c>
      <c r="CL147" s="29" t="str">
        <f t="shared" si="16"/>
        <v/>
      </c>
      <c r="CM147" s="29" t="str">
        <f t="shared" si="17"/>
        <v/>
      </c>
      <c r="CN147" s="29" t="str">
        <f t="shared" si="18"/>
        <v/>
      </c>
      <c r="CO147" s="29" t="str">
        <f t="shared" si="19"/>
        <v/>
      </c>
      <c r="CP147" s="29" t="str">
        <f t="shared" si="20"/>
        <v/>
      </c>
      <c r="CQ147" s="29">
        <f t="shared" si="21"/>
        <v>0</v>
      </c>
      <c r="CR147" s="13"/>
      <c r="CS147" s="7">
        <f>VLOOKUP(A147,'Empresas 21-23'!$A$2:$M$228,13,0)</f>
        <v>1</v>
      </c>
      <c r="CT147" s="30"/>
      <c r="CU147" s="6">
        <f t="shared" si="22"/>
        <v>1118259770.5999999</v>
      </c>
      <c r="CV147" s="6">
        <f t="shared" si="23"/>
        <v>46013606</v>
      </c>
      <c r="CW147" s="6">
        <f t="shared" si="24"/>
        <v>148023552</v>
      </c>
      <c r="CX147" s="23">
        <f t="shared" si="71"/>
        <v>0.52175779663853528</v>
      </c>
      <c r="CY147" s="23">
        <f t="shared" si="72"/>
        <v>2.1469034577781751E-2</v>
      </c>
      <c r="CZ147" s="6">
        <f t="shared" si="27"/>
        <v>1195492212.9421296</v>
      </c>
      <c r="DA147" s="6">
        <f t="shared" si="28"/>
        <v>49191528.756214075</v>
      </c>
      <c r="DB147" s="6">
        <f t="shared" si="29"/>
        <v>54237369</v>
      </c>
      <c r="DC147" s="6">
        <f t="shared" si="30"/>
        <v>55459278</v>
      </c>
      <c r="DD147" s="6">
        <f t="shared" si="31"/>
        <v>13171521</v>
      </c>
      <c r="DE147" s="6">
        <f t="shared" si="32"/>
        <v>40084828</v>
      </c>
      <c r="DF147" s="6">
        <f t="shared" si="73"/>
        <v>13005183.712038072</v>
      </c>
      <c r="DG147" s="30"/>
      <c r="DH147" s="32">
        <f>VLOOKUP(A147,'T_med_comp-USA'!$A$7:$Q$233,17,0)</f>
        <v>14.323765946624684</v>
      </c>
      <c r="DI147" s="6" t="str">
        <f t="shared" si="34"/>
        <v>9_2009</v>
      </c>
      <c r="DJ147" s="32">
        <f>IF(DI147="","",VLOOKUP(DI147,'CPI USA'!$T:$U,2,FALSE))</f>
        <v>214.53700000000001</v>
      </c>
      <c r="DK147" s="32">
        <f>IF(DI147="","",VLOOKUP(DI147,'PPI USA'!$S:$T,2,FALSE))</f>
        <v>159.1</v>
      </c>
      <c r="DL147" s="32">
        <f>IF(DI147="","",VLOOKUP(DI147,'CPI USA'!$T:$V,3,FALSE))</f>
        <v>0.66997101349938215</v>
      </c>
      <c r="DM147" s="32">
        <f>IF(DI147="","",VLOOKUP(DI147,'CPI USA'!$T:$X,5,FALSE))</f>
        <v>0.49813941766071862</v>
      </c>
      <c r="DN147" s="32">
        <f t="shared" si="35"/>
        <v>1.4932638886873792</v>
      </c>
      <c r="DO147" s="32">
        <f t="shared" si="36"/>
        <v>1.5082750176818205</v>
      </c>
      <c r="DP147" s="32">
        <f t="shared" si="37"/>
        <v>0.46124611981086322</v>
      </c>
      <c r="DQ147" s="32">
        <f>IF(DP147="","",DP147*$DO$1/'CPI USA'!$U$532+(1-DP147)*AVERAGE($DO$1,$DQ$1)/AVERAGE('CPI USA'!$U$532,'PPI USA'!$T$538))</f>
        <v>1.0366525708147882</v>
      </c>
      <c r="DR147" s="6">
        <f t="shared" si="38"/>
        <v>4911421</v>
      </c>
      <c r="DS147" s="32">
        <f t="shared" si="39"/>
        <v>0.37288184105692879</v>
      </c>
      <c r="DT147" s="28">
        <f>IF(DS147="","",DS147*$DO$1/'CPI USA'!$U$532+(1-DS147)*AVERAGE($DO$1,$DQ$1)/AVERAGE('CPI USA'!$U$532,'PPI USA'!$T$538))</f>
        <v>1.0386919193915376</v>
      </c>
      <c r="DU147" s="6">
        <f t="shared" si="40"/>
        <v>13222843</v>
      </c>
      <c r="DV147" s="6">
        <f t="shared" si="41"/>
        <v>1029358.0369464416</v>
      </c>
      <c r="DW147" s="6">
        <f t="shared" si="42"/>
        <v>8654107.8332582042</v>
      </c>
      <c r="DX147" s="16">
        <f t="shared" si="43"/>
        <v>0.66543526219069449</v>
      </c>
      <c r="DY147" s="28">
        <f>IF(DX147="","",DX147*$DO$1/'CPI USA'!$U$532+(1-DX147)*AVERAGE($DO$1,$DQ$1)/AVERAGE('CPI USA'!$U$532,'PPI USA'!$T$538))</f>
        <v>1.0319401141210653</v>
      </c>
      <c r="DZ147" s="30"/>
      <c r="EA147" s="29" t="str">
        <f t="shared" si="44"/>
        <v>C001745</v>
      </c>
      <c r="EB147" s="29">
        <f t="shared" si="45"/>
        <v>1785185350.7934449</v>
      </c>
      <c r="EC147" s="29">
        <f t="shared" si="46"/>
        <v>74194353.904574558</v>
      </c>
      <c r="ED147" s="29">
        <f t="shared" si="47"/>
        <v>57492003.114232026</v>
      </c>
      <c r="EE147" s="29">
        <f t="shared" si="48"/>
        <v>13681152.428795945</v>
      </c>
      <c r="EF147" s="29">
        <f t="shared" si="49"/>
        <v>13420570.763965989</v>
      </c>
      <c r="EG147" s="29">
        <f t="shared" si="50"/>
        <v>592</v>
      </c>
      <c r="EH147" s="29">
        <f t="shared" si="51"/>
        <v>273011</v>
      </c>
      <c r="EI147" s="29">
        <f t="shared" si="52"/>
        <v>233086</v>
      </c>
      <c r="EJ147" s="29">
        <f t="shared" si="53"/>
        <v>4033028</v>
      </c>
      <c r="EK147" s="29">
        <f t="shared" si="54"/>
        <v>4256868.9593908628</v>
      </c>
      <c r="EL147" s="29">
        <f>IF(CD147=1,VLOOKUP(EA147,'EIA 2023'!$A$2:$J$213,4,0)*EH147,"")</f>
        <v>61099861.800000004</v>
      </c>
      <c r="EM147" s="29">
        <f>IF(CD147=1,VLOOKUP(EA147,'EIA 2023'!$A$2:$J$213,7,0)*EH147,"")</f>
        <v>685257.61</v>
      </c>
      <c r="EN147" s="29">
        <f>IF(CD147=1,VLOOKUP(EA147,'EIA 2023'!$A$2:$J$213,10,0),"")</f>
        <v>277540</v>
      </c>
      <c r="EO147" s="28">
        <f>IF(CD147=1,VLOOKUP(EA147,'EIA 2023'!$A$2:$Z$213,26,0),"")</f>
        <v>0</v>
      </c>
      <c r="EP147" s="23">
        <f t="shared" si="55"/>
        <v>5.2583474268583903E-2</v>
      </c>
      <c r="EQ147" s="32">
        <f t="shared" si="56"/>
        <v>9245.0406091370387</v>
      </c>
      <c r="ER147" s="32">
        <f t="shared" si="57"/>
        <v>223840.95939086296</v>
      </c>
      <c r="ES147" s="32"/>
      <c r="ET147" s="32"/>
    </row>
    <row r="148" spans="1:150" ht="15.75" customHeight="1">
      <c r="A148" s="7" t="s">
        <v>652</v>
      </c>
      <c r="B148" s="7" t="s">
        <v>653</v>
      </c>
      <c r="C148" s="32" t="s">
        <v>1233</v>
      </c>
      <c r="D148" s="42">
        <v>246669750</v>
      </c>
      <c r="E148" s="42">
        <v>0</v>
      </c>
      <c r="F148" s="42">
        <v>148534213</v>
      </c>
      <c r="G148" s="42">
        <v>442904654</v>
      </c>
      <c r="H148" s="42">
        <v>542911245</v>
      </c>
      <c r="I148" s="42">
        <v>6112839</v>
      </c>
      <c r="J148" s="42">
        <v>4724298</v>
      </c>
      <c r="K148" s="42">
        <v>0</v>
      </c>
      <c r="L148" s="42">
        <v>1117808</v>
      </c>
      <c r="M148" s="42">
        <v>3976930</v>
      </c>
      <c r="N148" s="42">
        <v>83785</v>
      </c>
      <c r="O148" s="42">
        <v>5604707</v>
      </c>
      <c r="P148" s="42">
        <v>852858</v>
      </c>
      <c r="Q148" s="42">
        <v>10608675</v>
      </c>
      <c r="R148" s="42">
        <v>0</v>
      </c>
      <c r="S148" s="42">
        <v>5913240</v>
      </c>
      <c r="T148" s="42">
        <v>77090870</v>
      </c>
      <c r="U148" s="42">
        <v>1603626</v>
      </c>
      <c r="V148" s="42">
        <v>2139837</v>
      </c>
      <c r="W148" s="42">
        <v>1015375</v>
      </c>
      <c r="X148" s="42">
        <f>IFERROR(VLOOKUP(A148,'Trans 21-23'!$A$2:$J$229,10,0),0)</f>
        <v>5808494</v>
      </c>
      <c r="Y148" s="42">
        <v>103338</v>
      </c>
      <c r="Z148" s="42">
        <v>2191228</v>
      </c>
      <c r="AA148" s="42">
        <v>22477780</v>
      </c>
      <c r="AB148" s="42">
        <v>51320157</v>
      </c>
      <c r="AC148" s="42">
        <v>3716115</v>
      </c>
      <c r="AD148" s="42">
        <v>171377414</v>
      </c>
      <c r="AE148" s="42">
        <v>0</v>
      </c>
      <c r="AF148" s="42">
        <v>1628165961</v>
      </c>
      <c r="AG148" s="42">
        <v>892274</v>
      </c>
      <c r="AH148" s="42">
        <v>1469643</v>
      </c>
      <c r="AI148" s="42">
        <v>32158987</v>
      </c>
      <c r="AJ148" s="42">
        <v>52641</v>
      </c>
      <c r="AK148" s="42">
        <v>90773</v>
      </c>
      <c r="AL148" s="42">
        <v>9604499</v>
      </c>
      <c r="AM148" s="42">
        <v>8641416</v>
      </c>
      <c r="AN148" s="42">
        <v>8445904</v>
      </c>
      <c r="AO148" s="42">
        <v>54227</v>
      </c>
      <c r="AP148" s="42">
        <v>2992978</v>
      </c>
      <c r="AQ148" s="42">
        <v>29739024</v>
      </c>
      <c r="AR148" s="42">
        <v>806906</v>
      </c>
      <c r="AS148" s="42">
        <v>30545930</v>
      </c>
      <c r="AT148" s="42">
        <v>0</v>
      </c>
      <c r="AU148" s="42">
        <v>7384</v>
      </c>
      <c r="AV148" s="42">
        <v>0</v>
      </c>
      <c r="AW148" s="42">
        <v>1316754900</v>
      </c>
      <c r="AX148" s="42">
        <v>382043919</v>
      </c>
      <c r="AY148" s="42">
        <v>1012894241</v>
      </c>
      <c r="AZ148" s="42">
        <v>227376007</v>
      </c>
      <c r="BA148" s="42">
        <v>313900221</v>
      </c>
      <c r="BB148" s="42">
        <v>6142411553</v>
      </c>
      <c r="BC148" s="42">
        <v>16066322565</v>
      </c>
      <c r="BD148" s="42">
        <v>620608028</v>
      </c>
      <c r="BE148" s="42">
        <v>1618629414</v>
      </c>
      <c r="BF148" s="42">
        <v>155521492</v>
      </c>
      <c r="BG148" s="42">
        <v>0</v>
      </c>
      <c r="BH148" s="42">
        <v>46853269</v>
      </c>
      <c r="BI148" s="42">
        <v>8964549</v>
      </c>
      <c r="BJ148" s="42">
        <v>3304483</v>
      </c>
      <c r="BK148" s="42">
        <v>3004410</v>
      </c>
      <c r="BL148" s="42">
        <v>0</v>
      </c>
      <c r="BM148" s="42">
        <v>35106555</v>
      </c>
      <c r="BN148" s="42">
        <v>177757678</v>
      </c>
      <c r="BO148" s="42">
        <v>0</v>
      </c>
      <c r="BP148" s="42">
        <v>7156753</v>
      </c>
      <c r="BQ148" s="42">
        <v>309948582</v>
      </c>
      <c r="BR148" s="42">
        <v>0</v>
      </c>
      <c r="BS148" s="42">
        <f>IFERROR(VLOOKUP(A148,'Trans 21-23'!$A$2:$J$229,9,0),0)</f>
        <v>201507095</v>
      </c>
      <c r="BT148" s="67"/>
      <c r="BU148" s="32">
        <f t="shared" si="0"/>
        <v>6142411553</v>
      </c>
      <c r="BV148" s="32">
        <f t="shared" si="1"/>
        <v>7384</v>
      </c>
      <c r="BW148" s="32">
        <f t="shared" si="2"/>
        <v>892274</v>
      </c>
      <c r="BX148" s="32">
        <f t="shared" si="3"/>
        <v>120844848</v>
      </c>
      <c r="BY148" s="32">
        <f t="shared" si="4"/>
        <v>79808618</v>
      </c>
      <c r="BZ148" s="32">
        <f t="shared" si="5"/>
        <v>227376007</v>
      </c>
      <c r="CA148" s="32">
        <f t="shared" si="6"/>
        <v>171377414</v>
      </c>
      <c r="CB148" s="32">
        <f t="shared" si="7"/>
        <v>1469643</v>
      </c>
      <c r="CC148" s="32">
        <f t="shared" si="8"/>
        <v>29739024</v>
      </c>
      <c r="CD148" s="41">
        <f t="shared" si="74"/>
        <v>1</v>
      </c>
      <c r="CE148" s="44">
        <f t="shared" si="10"/>
        <v>10</v>
      </c>
      <c r="CF148" s="27"/>
      <c r="CG148" s="28">
        <f t="shared" si="11"/>
        <v>831.85421898699894</v>
      </c>
      <c r="CH148" s="28">
        <f t="shared" si="12"/>
        <v>8.2754848846878879</v>
      </c>
      <c r="CI148" s="28">
        <f t="shared" si="13"/>
        <v>135.43468486137667</v>
      </c>
      <c r="CJ148" s="28">
        <f t="shared" si="14"/>
        <v>254.82756081652047</v>
      </c>
      <c r="CK148" s="23">
        <f t="shared" si="15"/>
        <v>4.9417997039849053E-2</v>
      </c>
      <c r="CL148" s="29" t="str">
        <f t="shared" si="16"/>
        <v/>
      </c>
      <c r="CM148" s="29" t="str">
        <f t="shared" si="17"/>
        <v/>
      </c>
      <c r="CN148" s="29" t="str">
        <f t="shared" si="18"/>
        <v/>
      </c>
      <c r="CO148" s="29" t="str">
        <f t="shared" si="19"/>
        <v/>
      </c>
      <c r="CP148" s="29" t="str">
        <f t="shared" si="20"/>
        <v/>
      </c>
      <c r="CQ148" s="29">
        <f t="shared" si="21"/>
        <v>0</v>
      </c>
      <c r="CR148" s="13"/>
      <c r="CS148" s="7">
        <f>VLOOKUP(A148,'Empresas 21-23'!$A$2:$M$228,13,0)</f>
        <v>1</v>
      </c>
      <c r="CT148" s="30"/>
      <c r="CU148" s="6">
        <f t="shared" si="22"/>
        <v>4965679524</v>
      </c>
      <c r="CV148" s="6">
        <f t="shared" si="23"/>
        <v>227376007</v>
      </c>
      <c r="CW148" s="6">
        <f t="shared" si="24"/>
        <v>620608028</v>
      </c>
      <c r="CX148" s="23">
        <f t="shared" si="71"/>
        <v>0.32149237978630135</v>
      </c>
      <c r="CY148" s="23">
        <f t="shared" si="72"/>
        <v>1.4720976906268975E-2</v>
      </c>
      <c r="CZ148" s="6">
        <f t="shared" si="27"/>
        <v>5165200275.8362036</v>
      </c>
      <c r="DA148" s="6">
        <f t="shared" si="28"/>
        <v>236511963.44803312</v>
      </c>
      <c r="DB148" s="6">
        <f t="shared" si="29"/>
        <v>120844848</v>
      </c>
      <c r="DC148" s="6">
        <f t="shared" si="30"/>
        <v>126653342</v>
      </c>
      <c r="DD148" s="6">
        <f t="shared" si="31"/>
        <v>79808618</v>
      </c>
      <c r="DE148" s="6">
        <f t="shared" si="32"/>
        <v>171377414</v>
      </c>
      <c r="DF148" s="6">
        <f t="shared" si="73"/>
        <v>68218113.663581699</v>
      </c>
      <c r="DG148" s="30"/>
      <c r="DH148" s="32">
        <f>VLOOKUP(A148,'T_med_comp-USA'!$A$7:$Q$233,17,0)</f>
        <v>11.054206078650724</v>
      </c>
      <c r="DI148" s="6" t="str">
        <f t="shared" si="34"/>
        <v>12_2012</v>
      </c>
      <c r="DJ148" s="32">
        <f>IF(DI148="","",VLOOKUP(DI148,'CPI USA'!$T:$U,2,FALSE))</f>
        <v>229.59399999999999</v>
      </c>
      <c r="DK148" s="32">
        <f>IF(DI148="","",VLOOKUP(DI148,'PPI USA'!$S:$T,2,FALSE))</f>
        <v>175.1</v>
      </c>
      <c r="DL148" s="32">
        <f>IF(DI148="","",VLOOKUP(DI148,'CPI USA'!$T:$V,3,FALSE))</f>
        <v>0.66730871354337351</v>
      </c>
      <c r="DM148" s="32">
        <f>IF(DI148="","",VLOOKUP(DI148,'CPI USA'!$T:$X,5,FALSE))</f>
        <v>0.49513551903851311</v>
      </c>
      <c r="DN148" s="32">
        <f t="shared" si="35"/>
        <v>1.3897894616766442</v>
      </c>
      <c r="DO148" s="32">
        <f t="shared" si="36"/>
        <v>1.4008620811189902</v>
      </c>
      <c r="DP148" s="32">
        <f t="shared" si="37"/>
        <v>0.38771424496309514</v>
      </c>
      <c r="DQ148" s="32">
        <f>IF(DP148="","",DP148*$DO$1/'CPI USA'!$U$532+(1-DP148)*AVERAGE($DO$1,$DQ$1)/AVERAGE('CPI USA'!$U$532,'PPI USA'!$T$538))</f>
        <v>1.0383496041231695</v>
      </c>
      <c r="DR148" s="6">
        <f t="shared" si="38"/>
        <v>15273442</v>
      </c>
      <c r="DS148" s="32">
        <f t="shared" si="39"/>
        <v>0.2</v>
      </c>
      <c r="DT148" s="28">
        <f>IF(DS148="","",DS148*$DO$1/'CPI USA'!$U$532+(1-DS148)*AVERAGE($DO$1,$DQ$1)/AVERAGE('CPI USA'!$U$532,'PPI USA'!$T$538))</f>
        <v>1.0426818386380585</v>
      </c>
      <c r="DU148" s="6">
        <f t="shared" si="40"/>
        <v>35106555</v>
      </c>
      <c r="DV148" s="6">
        <f t="shared" si="41"/>
        <v>829774.51421225432</v>
      </c>
      <c r="DW148" s="6">
        <f t="shared" si="42"/>
        <v>12559828.544397587</v>
      </c>
      <c r="DX148" s="16">
        <f t="shared" si="43"/>
        <v>0.2</v>
      </c>
      <c r="DY148" s="28">
        <f>IF(DX148="","",DX148*$DO$1/'CPI USA'!$U$532+(1-DX148)*AVERAGE($DO$1,$DQ$1)/AVERAGE('CPI USA'!$U$532,'PPI USA'!$T$538))</f>
        <v>1.0426818386380585</v>
      </c>
      <c r="DZ148" s="30"/>
      <c r="EA148" s="29" t="str">
        <f t="shared" si="44"/>
        <v>C001775</v>
      </c>
      <c r="EB148" s="29">
        <f t="shared" si="45"/>
        <v>7178540910.8064518</v>
      </c>
      <c r="EC148" s="29">
        <f t="shared" si="46"/>
        <v>331320641.32535022</v>
      </c>
      <c r="ED148" s="29">
        <f t="shared" si="47"/>
        <v>131510447.52657638</v>
      </c>
      <c r="EE148" s="29">
        <f t="shared" si="48"/>
        <v>83214996.555402458</v>
      </c>
      <c r="EF148" s="29">
        <f t="shared" si="49"/>
        <v>71129788.183163434</v>
      </c>
      <c r="EG148" s="29">
        <f t="shared" si="50"/>
        <v>7384</v>
      </c>
      <c r="EH148" s="29">
        <f t="shared" si="51"/>
        <v>892274</v>
      </c>
      <c r="EI148" s="29">
        <f t="shared" si="52"/>
        <v>1469643</v>
      </c>
      <c r="EJ148" s="29">
        <f t="shared" si="53"/>
        <v>29739024</v>
      </c>
      <c r="EK148" s="29">
        <f t="shared" si="54"/>
        <v>31196379.09137056</v>
      </c>
      <c r="EL148" s="29">
        <f>IF(CD148=1,VLOOKUP(EA148,'EIA 2023'!$A$2:$J$213,4,0)*EH148,"")</f>
        <v>121285020.272</v>
      </c>
      <c r="EM148" s="29">
        <f>IF(CD148=1,VLOOKUP(EA148,'EIA 2023'!$A$2:$J$213,7,0)*EH148,"")</f>
        <v>1603416.378</v>
      </c>
      <c r="EN148" s="29">
        <f>IF(CD148=1,VLOOKUP(EA148,'EIA 2023'!$A$2:$J$213,10,0),"")</f>
        <v>71453</v>
      </c>
      <c r="EO148" s="28">
        <f>IF(CD148=1,VLOOKUP(EA148,'EIA 2023'!$A$2:$Z$213,26,0),"")</f>
        <v>0</v>
      </c>
      <c r="EP148" s="23">
        <f t="shared" si="55"/>
        <v>4.6715520641101814E-2</v>
      </c>
      <c r="EQ148" s="32">
        <f t="shared" si="56"/>
        <v>12287.908629441634</v>
      </c>
      <c r="ER148" s="32">
        <f t="shared" si="57"/>
        <v>1457355.0913705584</v>
      </c>
      <c r="ES148" s="32"/>
      <c r="ET148" s="32"/>
    </row>
    <row r="149" spans="1:150" ht="15.75" customHeight="1">
      <c r="A149" s="7" t="s">
        <v>655</v>
      </c>
      <c r="B149" s="7" t="s">
        <v>656</v>
      </c>
      <c r="C149" s="32" t="s">
        <v>1234</v>
      </c>
      <c r="D149" s="42">
        <v>54222808</v>
      </c>
      <c r="E149" s="42">
        <v>0</v>
      </c>
      <c r="F149" s="42">
        <v>25955883</v>
      </c>
      <c r="G149" s="42">
        <v>281449711</v>
      </c>
      <c r="H149" s="42">
        <v>349612494</v>
      </c>
      <c r="I149" s="42">
        <v>3879920</v>
      </c>
      <c r="J149" s="42">
        <v>1623216</v>
      </c>
      <c r="K149" s="42">
        <v>0</v>
      </c>
      <c r="L149" s="42">
        <v>2265267</v>
      </c>
      <c r="M149" s="42">
        <v>2912074</v>
      </c>
      <c r="N149" s="42">
        <v>1812434</v>
      </c>
      <c r="O149" s="42">
        <v>3462625</v>
      </c>
      <c r="P149" s="42">
        <v>72610</v>
      </c>
      <c r="Q149" s="42">
        <v>1527311</v>
      </c>
      <c r="R149" s="42">
        <v>19450</v>
      </c>
      <c r="S149" s="42">
        <v>607353</v>
      </c>
      <c r="T149" s="42">
        <v>13924384</v>
      </c>
      <c r="U149" s="42">
        <v>1579984</v>
      </c>
      <c r="V149" s="42">
        <v>81150</v>
      </c>
      <c r="W149" s="42">
        <v>19443</v>
      </c>
      <c r="X149" s="42">
        <f>IFERROR(VLOOKUP(A149,'Trans 21-23'!$A$2:$J$229,10,0),0)</f>
        <v>1057400</v>
      </c>
      <c r="Y149" s="42">
        <v>2171113</v>
      </c>
      <c r="Z149" s="42">
        <v>1411122</v>
      </c>
      <c r="AA149" s="42">
        <v>12413367</v>
      </c>
      <c r="AB149" s="42">
        <v>4826930</v>
      </c>
      <c r="AC149" s="42">
        <v>779851</v>
      </c>
      <c r="AD149" s="42">
        <v>115460146</v>
      </c>
      <c r="AE149" s="42">
        <v>0</v>
      </c>
      <c r="AF149" s="42">
        <v>693461255</v>
      </c>
      <c r="AG149" s="42">
        <v>467684</v>
      </c>
      <c r="AH149" s="42">
        <v>605615</v>
      </c>
      <c r="AI149" s="42">
        <v>9870966</v>
      </c>
      <c r="AJ149" s="42">
        <v>8861</v>
      </c>
      <c r="AK149" s="42">
        <v>0</v>
      </c>
      <c r="AL149" s="42">
        <v>3398191</v>
      </c>
      <c r="AM149" s="42">
        <v>3853669</v>
      </c>
      <c r="AN149" s="42">
        <v>740374</v>
      </c>
      <c r="AO149" s="42">
        <v>36314</v>
      </c>
      <c r="AP149" s="42">
        <v>6993</v>
      </c>
      <c r="AQ149" s="42">
        <v>8043103</v>
      </c>
      <c r="AR149" s="42">
        <v>1213387</v>
      </c>
      <c r="AS149" s="42">
        <v>9256490</v>
      </c>
      <c r="AT149" s="42">
        <v>0</v>
      </c>
      <c r="AU149" s="42">
        <v>2336</v>
      </c>
      <c r="AV149" s="42">
        <v>0</v>
      </c>
      <c r="AW149" s="42">
        <v>179629573</v>
      </c>
      <c r="AX149" s="42">
        <v>194038627</v>
      </c>
      <c r="AY149" s="42">
        <v>348012344</v>
      </c>
      <c r="AZ149" s="42">
        <v>101722534</v>
      </c>
      <c r="BA149" s="42">
        <v>94008406</v>
      </c>
      <c r="BB149" s="42">
        <v>2275982170</v>
      </c>
      <c r="BC149" s="42">
        <v>5538980964</v>
      </c>
      <c r="BD149" s="42">
        <v>187360459</v>
      </c>
      <c r="BE149" s="42">
        <v>946719166</v>
      </c>
      <c r="BF149" s="42">
        <v>64527020</v>
      </c>
      <c r="BG149" s="42">
        <v>0</v>
      </c>
      <c r="BH149" s="42">
        <v>22215565</v>
      </c>
      <c r="BI149" s="42">
        <v>4893271</v>
      </c>
      <c r="BJ149" s="42">
        <v>3809773</v>
      </c>
      <c r="BK149" s="42">
        <v>0</v>
      </c>
      <c r="BL149" s="42">
        <v>0</v>
      </c>
      <c r="BM149" s="42">
        <v>34053059</v>
      </c>
      <c r="BN149" s="42">
        <v>86037411</v>
      </c>
      <c r="BO149" s="42">
        <v>0</v>
      </c>
      <c r="BP149" s="42">
        <v>1892571</v>
      </c>
      <c r="BQ149" s="42">
        <v>164503492</v>
      </c>
      <c r="BR149" s="42">
        <v>7562</v>
      </c>
      <c r="BS149" s="42">
        <f>IFERROR(VLOOKUP(A149,'Trans 21-23'!$A$2:$J$229,9,0),0)</f>
        <v>252558052</v>
      </c>
      <c r="BT149" s="67"/>
      <c r="BU149" s="32">
        <f t="shared" si="0"/>
        <v>2275982170</v>
      </c>
      <c r="BV149" s="32">
        <f t="shared" si="1"/>
        <v>2336</v>
      </c>
      <c r="BW149" s="32">
        <f t="shared" si="2"/>
        <v>467684</v>
      </c>
      <c r="BX149" s="32">
        <f t="shared" si="3"/>
        <v>33787221</v>
      </c>
      <c r="BY149" s="32">
        <f t="shared" si="4"/>
        <v>21602383</v>
      </c>
      <c r="BZ149" s="32">
        <f t="shared" si="5"/>
        <v>101722534</v>
      </c>
      <c r="CA149" s="32">
        <f t="shared" si="6"/>
        <v>115460146</v>
      </c>
      <c r="CB149" s="32">
        <f t="shared" si="7"/>
        <v>605615</v>
      </c>
      <c r="CC149" s="32">
        <f t="shared" si="8"/>
        <v>8043103</v>
      </c>
      <c r="CD149" s="41">
        <f t="shared" si="74"/>
        <v>1</v>
      </c>
      <c r="CE149" s="44">
        <f t="shared" si="10"/>
        <v>10</v>
      </c>
      <c r="CF149" s="27"/>
      <c r="CG149" s="28">
        <f t="shared" si="11"/>
        <v>974.30743578767124</v>
      </c>
      <c r="CH149" s="28">
        <f t="shared" si="12"/>
        <v>4.9948255659804479</v>
      </c>
      <c r="CI149" s="28">
        <f t="shared" si="13"/>
        <v>72.243696598558003</v>
      </c>
      <c r="CJ149" s="28">
        <f t="shared" si="14"/>
        <v>217.50270267958706</v>
      </c>
      <c r="CK149" s="23">
        <f t="shared" si="15"/>
        <v>7.5296188548126267E-2</v>
      </c>
      <c r="CL149" s="29" t="str">
        <f t="shared" si="16"/>
        <v/>
      </c>
      <c r="CM149" s="29" t="str">
        <f t="shared" si="17"/>
        <v/>
      </c>
      <c r="CN149" s="29" t="str">
        <f t="shared" si="18"/>
        <v/>
      </c>
      <c r="CO149" s="29" t="str">
        <f t="shared" si="19"/>
        <v/>
      </c>
      <c r="CP149" s="29" t="str">
        <f t="shared" si="20"/>
        <v/>
      </c>
      <c r="CQ149" s="29">
        <f t="shared" si="21"/>
        <v>0</v>
      </c>
      <c r="CR149" s="13"/>
      <c r="CS149" s="7">
        <f>VLOOKUP(A149,'Empresas 21-23'!$A$2:$M$228,13,0)</f>
        <v>1</v>
      </c>
      <c r="CT149" s="30"/>
      <c r="CU149" s="6">
        <f t="shared" si="22"/>
        <v>2007578699.4000001</v>
      </c>
      <c r="CV149" s="6">
        <f t="shared" si="23"/>
        <v>101722534</v>
      </c>
      <c r="CW149" s="6">
        <f t="shared" si="24"/>
        <v>187360459</v>
      </c>
      <c r="CX149" s="23">
        <f t="shared" si="71"/>
        <v>0.37513472742028819</v>
      </c>
      <c r="CY149" s="23">
        <f t="shared" si="72"/>
        <v>1.9007800329818043E-2</v>
      </c>
      <c r="CZ149" s="6">
        <f t="shared" si="27"/>
        <v>2077864114.1163051</v>
      </c>
      <c r="DA149" s="6">
        <f t="shared" si="28"/>
        <v>105283844.19437505</v>
      </c>
      <c r="DB149" s="6">
        <f t="shared" si="29"/>
        <v>33787221</v>
      </c>
      <c r="DC149" s="6">
        <f t="shared" si="30"/>
        <v>34844621</v>
      </c>
      <c r="DD149" s="6">
        <f t="shared" si="31"/>
        <v>21602383</v>
      </c>
      <c r="DE149" s="6">
        <f t="shared" si="32"/>
        <v>115460146</v>
      </c>
      <c r="DF149" s="6">
        <f t="shared" si="73"/>
        <v>43973973.855506353</v>
      </c>
      <c r="DG149" s="30"/>
      <c r="DH149" s="32">
        <f>VLOOKUP(A149,'T_med_comp-USA'!$A$7:$Q$233,17,0)</f>
        <v>15.085986648318963</v>
      </c>
      <c r="DI149" s="6" t="str">
        <f t="shared" si="34"/>
        <v>12_2008</v>
      </c>
      <c r="DJ149" s="32">
        <f>IF(DI149="","",VLOOKUP(DI149,'CPI USA'!$T:$U,2,FALSE))</f>
        <v>215.303</v>
      </c>
      <c r="DK149" s="32">
        <f>IF(DI149="","",VLOOKUP(DI149,'PPI USA'!$S:$T,2,FALSE))</f>
        <v>159.30000000000001</v>
      </c>
      <c r="DL149" s="32">
        <f>IF(DI149="","",VLOOKUP(DI149,'CPI USA'!$T:$V,3,FALSE))</f>
        <v>0.67018812038291731</v>
      </c>
      <c r="DM149" s="32">
        <f>IF(DI149="","",VLOOKUP(DI149,'CPI USA'!$T:$X,5,FALSE))</f>
        <v>0.49838492968660258</v>
      </c>
      <c r="DN149" s="32">
        <f t="shared" si="35"/>
        <v>1.4884333659448254</v>
      </c>
      <c r="DO149" s="32">
        <f t="shared" si="36"/>
        <v>1.5036496327119213</v>
      </c>
      <c r="DP149" s="32">
        <f t="shared" si="37"/>
        <v>0.65751382749116893</v>
      </c>
      <c r="DQ149" s="32">
        <f>IF(DP149="","",DP149*$DO$1/'CPI USA'!$U$532+(1-DP149)*AVERAGE($DO$1,$DQ$1)/AVERAGE('CPI USA'!$U$532,'PPI USA'!$T$538))</f>
        <v>1.0321229319611258</v>
      </c>
      <c r="DR149" s="6">
        <f t="shared" si="38"/>
        <v>8703044</v>
      </c>
      <c r="DS149" s="32">
        <f t="shared" si="39"/>
        <v>0.40287425697433471</v>
      </c>
      <c r="DT149" s="28">
        <f>IF(DS149="","",DS149*$DO$1/'CPI USA'!$U$532+(1-DS149)*AVERAGE($DO$1,$DQ$1)/AVERAGE('CPI USA'!$U$532,'PPI USA'!$T$538))</f>
        <v>1.0379997280266904</v>
      </c>
      <c r="DU149" s="6">
        <f t="shared" si="40"/>
        <v>34053059</v>
      </c>
      <c r="DV149" s="6">
        <f t="shared" si="41"/>
        <v>396331.51038292807</v>
      </c>
      <c r="DW149" s="6">
        <f t="shared" si="42"/>
        <v>12379815.04904698</v>
      </c>
      <c r="DX149" s="16">
        <f t="shared" si="43"/>
        <v>0.2815259564606486</v>
      </c>
      <c r="DY149" s="28">
        <f>IF(DX149="","",DX149*$DO$1/'CPI USA'!$U$532+(1-DX149)*AVERAGE($DO$1,$DQ$1)/AVERAGE('CPI USA'!$U$532,'PPI USA'!$T$538))</f>
        <v>1.0408003108802286</v>
      </c>
      <c r="DZ149" s="30"/>
      <c r="EA149" s="29" t="str">
        <f t="shared" si="44"/>
        <v>C001789</v>
      </c>
      <c r="EB149" s="29">
        <f t="shared" si="45"/>
        <v>3092762277.3500948</v>
      </c>
      <c r="EC149" s="29">
        <f t="shared" si="46"/>
        <v>158310013.65337119</v>
      </c>
      <c r="ED149" s="29">
        <f t="shared" si="47"/>
        <v>35963932.389594212</v>
      </c>
      <c r="EE149" s="29">
        <f t="shared" si="48"/>
        <v>22423267.678728402</v>
      </c>
      <c r="EF149" s="29">
        <f t="shared" si="49"/>
        <v>45768125.659450054</v>
      </c>
      <c r="EG149" s="29">
        <f t="shared" si="50"/>
        <v>2336</v>
      </c>
      <c r="EH149" s="29">
        <f t="shared" si="51"/>
        <v>467684</v>
      </c>
      <c r="EI149" s="29">
        <f t="shared" si="52"/>
        <v>605615</v>
      </c>
      <c r="EJ149" s="29">
        <f t="shared" si="53"/>
        <v>8043103</v>
      </c>
      <c r="EK149" s="29">
        <f t="shared" si="54"/>
        <v>8630240.0253807101</v>
      </c>
      <c r="EL149" s="29">
        <f>IF(CD149=1,VLOOKUP(EA149,'EIA 2023'!$A$2:$J$213,4,0)*EH149,"")</f>
        <v>47945560.627999999</v>
      </c>
      <c r="EM149" s="29">
        <f>IF(CD149=1,VLOOKUP(EA149,'EIA 2023'!$A$2:$J$213,7,0)*EH149,"")</f>
        <v>436816.85600000003</v>
      </c>
      <c r="EN149" s="29">
        <f>IF(CD149=1,VLOOKUP(EA149,'EIA 2023'!$A$2:$J$213,10,0),"")</f>
        <v>380664</v>
      </c>
      <c r="EO149" s="28">
        <f>IF(CD149=1,VLOOKUP(EA149,'EIA 2023'!$A$2:$Z$213,26,0),"")</f>
        <v>0</v>
      </c>
      <c r="EP149" s="23">
        <f t="shared" si="55"/>
        <v>6.8032525590713211E-2</v>
      </c>
      <c r="EQ149" s="32">
        <f t="shared" si="56"/>
        <v>18477.974619289394</v>
      </c>
      <c r="ER149" s="32">
        <f t="shared" si="57"/>
        <v>587137.02538071061</v>
      </c>
      <c r="ES149" s="32"/>
      <c r="ET149" s="32"/>
    </row>
    <row r="150" spans="1:150" ht="15.75" customHeight="1">
      <c r="A150" s="7" t="s">
        <v>658</v>
      </c>
      <c r="B150" s="7" t="s">
        <v>659</v>
      </c>
      <c r="C150" s="32" t="s">
        <v>1235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22492623</v>
      </c>
      <c r="J150" s="42">
        <v>794209</v>
      </c>
      <c r="K150" s="42">
        <v>3389984</v>
      </c>
      <c r="L150" s="42">
        <v>3121087</v>
      </c>
      <c r="M150" s="42">
        <v>12057268</v>
      </c>
      <c r="N150" s="42">
        <v>2794161</v>
      </c>
      <c r="O150" s="42">
        <v>29617903</v>
      </c>
      <c r="P150" s="42">
        <v>0</v>
      </c>
      <c r="Q150" s="42">
        <v>3881205</v>
      </c>
      <c r="R150" s="42">
        <v>1123988</v>
      </c>
      <c r="S150" s="42">
        <v>12438001</v>
      </c>
      <c r="T150" s="42">
        <v>80322953</v>
      </c>
      <c r="U150" s="42">
        <v>12788332</v>
      </c>
      <c r="V150" s="42">
        <v>4588981</v>
      </c>
      <c r="W150" s="42">
        <v>625779</v>
      </c>
      <c r="X150" s="42">
        <f>IFERROR(VLOOKUP(A150,'Trans 21-23'!$A$2:$J$229,10,0),0)</f>
        <v>0</v>
      </c>
      <c r="Y150" s="42">
        <v>22512468</v>
      </c>
      <c r="Z150" s="42">
        <v>4514290</v>
      </c>
      <c r="AA150" s="42">
        <v>17055500</v>
      </c>
      <c r="AB150" s="42">
        <v>42309116</v>
      </c>
      <c r="AC150" s="42">
        <v>0</v>
      </c>
      <c r="AD150" s="42">
        <v>242168650</v>
      </c>
      <c r="AE150" s="42">
        <v>0</v>
      </c>
      <c r="AF150" s="42">
        <v>1674846443</v>
      </c>
      <c r="AG150" s="42">
        <v>2753976</v>
      </c>
      <c r="AH150" s="42">
        <v>0</v>
      </c>
      <c r="AI150" s="42">
        <v>0</v>
      </c>
      <c r="AJ150" s="42">
        <v>0</v>
      </c>
      <c r="AK150" s="42">
        <v>0</v>
      </c>
      <c r="AL150" s="42">
        <v>33830427</v>
      </c>
      <c r="AM150" s="42">
        <v>28110925</v>
      </c>
      <c r="AN150" s="42">
        <v>41840201</v>
      </c>
      <c r="AO150" s="42">
        <v>80380</v>
      </c>
      <c r="AP150" s="42">
        <v>0</v>
      </c>
      <c r="AQ150" s="42">
        <v>103861933</v>
      </c>
      <c r="AR150" s="42">
        <v>0</v>
      </c>
      <c r="AS150" s="42">
        <v>103861933</v>
      </c>
      <c r="AT150" s="42">
        <v>0</v>
      </c>
      <c r="AU150" s="42">
        <v>0</v>
      </c>
      <c r="AV150" s="42">
        <v>0</v>
      </c>
      <c r="AW150" s="42">
        <v>1454568543</v>
      </c>
      <c r="AX150" s="42">
        <v>787427198</v>
      </c>
      <c r="AY150" s="42">
        <v>1468449996</v>
      </c>
      <c r="AZ150" s="42">
        <v>337978428</v>
      </c>
      <c r="BA150" s="42">
        <v>785107773</v>
      </c>
      <c r="BB150" s="42">
        <v>10359668732</v>
      </c>
      <c r="BC150" s="42">
        <v>17832677022</v>
      </c>
      <c r="BD150" s="42">
        <v>1365596574</v>
      </c>
      <c r="BE150" s="42">
        <v>3076782306</v>
      </c>
      <c r="BF150" s="42">
        <v>301647884</v>
      </c>
      <c r="BG150" s="42">
        <v>0</v>
      </c>
      <c r="BH150" s="42">
        <v>95431264</v>
      </c>
      <c r="BI150" s="42">
        <v>4702330</v>
      </c>
      <c r="BJ150" s="42">
        <v>1701619</v>
      </c>
      <c r="BK150" s="42">
        <v>0</v>
      </c>
      <c r="BL150" s="42">
        <v>0</v>
      </c>
      <c r="BM150" s="42">
        <v>2548379</v>
      </c>
      <c r="BN150" s="42">
        <v>127660256</v>
      </c>
      <c r="BO150" s="42">
        <v>12430501</v>
      </c>
      <c r="BP150" s="42">
        <v>0</v>
      </c>
      <c r="BQ150" s="42">
        <v>369180389</v>
      </c>
      <c r="BR150" s="42">
        <v>0</v>
      </c>
      <c r="BS150" s="42">
        <f>IFERROR(VLOOKUP(A150,'Trans 21-23'!$A$2:$J$229,9,0),0)</f>
        <v>0</v>
      </c>
      <c r="BT150" s="67"/>
      <c r="BU150" s="32">
        <f t="shared" si="0"/>
        <v>10359668732</v>
      </c>
      <c r="BV150" s="32">
        <f t="shared" si="1"/>
        <v>0</v>
      </c>
      <c r="BW150" s="32">
        <f t="shared" si="2"/>
        <v>2753976</v>
      </c>
      <c r="BX150" s="32">
        <f t="shared" si="3"/>
        <v>190036474</v>
      </c>
      <c r="BY150" s="32">
        <f t="shared" si="4"/>
        <v>86391374</v>
      </c>
      <c r="BZ150" s="32">
        <f t="shared" si="5"/>
        <v>337978428</v>
      </c>
      <c r="CA150" s="32">
        <f t="shared" si="6"/>
        <v>242168650</v>
      </c>
      <c r="CB150" s="32">
        <f t="shared" si="7"/>
        <v>0</v>
      </c>
      <c r="CC150" s="32">
        <f t="shared" si="8"/>
        <v>103861933</v>
      </c>
      <c r="CD150" s="41">
        <f t="shared" si="74"/>
        <v>0</v>
      </c>
      <c r="CE150" s="44">
        <f t="shared" si="10"/>
        <v>24</v>
      </c>
      <c r="CF150" s="27"/>
      <c r="CG150" s="28" t="str">
        <f t="shared" si="11"/>
        <v/>
      </c>
      <c r="CH150" s="28" t="str">
        <f t="shared" si="12"/>
        <v/>
      </c>
      <c r="CI150" s="28" t="str">
        <f t="shared" si="13"/>
        <v/>
      </c>
      <c r="CJ150" s="28" t="str">
        <f t="shared" si="14"/>
        <v/>
      </c>
      <c r="CK150" s="23" t="str">
        <f t="shared" si="15"/>
        <v/>
      </c>
      <c r="CL150" s="29" t="str">
        <f t="shared" si="16"/>
        <v/>
      </c>
      <c r="CM150" s="29" t="str">
        <f t="shared" si="17"/>
        <v/>
      </c>
      <c r="CN150" s="29" t="str">
        <f t="shared" si="18"/>
        <v/>
      </c>
      <c r="CO150" s="29" t="str">
        <f t="shared" si="19"/>
        <v/>
      </c>
      <c r="CP150" s="29" t="str">
        <f t="shared" si="20"/>
        <v/>
      </c>
      <c r="CQ150" s="29" t="str">
        <f t="shared" si="21"/>
        <v/>
      </c>
      <c r="CR150" s="13"/>
      <c r="CS150" s="7" t="str">
        <f>VLOOKUP(A150,'Empresas 21-23'!$A$2:$M$228,13,0)</f>
        <v/>
      </c>
      <c r="CT150" s="30"/>
      <c r="CU150" s="6">
        <f t="shared" si="22"/>
        <v>7883056214.6000004</v>
      </c>
      <c r="CV150" s="6">
        <f t="shared" si="23"/>
        <v>337978428</v>
      </c>
      <c r="CW150" s="6">
        <f t="shared" si="24"/>
        <v>1365596574</v>
      </c>
      <c r="CX150" s="23">
        <f t="shared" si="71"/>
        <v>0.47871608081913708</v>
      </c>
      <c r="CY150" s="23">
        <f t="shared" si="72"/>
        <v>2.052449000096122E-2</v>
      </c>
      <c r="CZ150" s="6">
        <f t="shared" si="27"/>
        <v>8536789254.485321</v>
      </c>
      <c r="DA150" s="6">
        <f t="shared" si="28"/>
        <v>366006601.22840989</v>
      </c>
      <c r="DB150" s="6">
        <f t="shared" si="29"/>
        <v>190036474</v>
      </c>
      <c r="DC150" s="6">
        <f t="shared" si="30"/>
        <v>190036474</v>
      </c>
      <c r="DD150" s="6">
        <f t="shared" si="31"/>
        <v>86391374</v>
      </c>
      <c r="DE150" s="6">
        <f t="shared" si="32"/>
        <v>242168650</v>
      </c>
      <c r="DF150" s="6">
        <f t="shared" si="73"/>
        <v>46725201.646623977</v>
      </c>
      <c r="DG150" s="30"/>
      <c r="DH150" s="32">
        <f>VLOOKUP(A150,'T_med_comp-USA'!$A$7:$Q$233,17,0)</f>
        <v>10.962829095865596</v>
      </c>
      <c r="DI150" s="6" t="str">
        <f t="shared" si="34"/>
        <v>1_2013</v>
      </c>
      <c r="DJ150" s="32">
        <f>IF(DI150="","",VLOOKUP(DI150,'CPI USA'!$T:$U,2,FALSE))</f>
        <v>230.28</v>
      </c>
      <c r="DK150" s="32">
        <f>IF(DI150="","",VLOOKUP(DI150,'PPI USA'!$S:$T,2,FALSE))</f>
        <v>166.2</v>
      </c>
      <c r="DL150" s="32">
        <f>IF(DI150="","",VLOOKUP(DI150,'CPI USA'!$T:$V,3,FALSE))</f>
        <v>0.67305131835944076</v>
      </c>
      <c r="DM150" s="32">
        <f>IF(DI150="","",VLOOKUP(DI150,'CPI USA'!$T:$X,5,FALSE))</f>
        <v>0.50163050295255052</v>
      </c>
      <c r="DN150" s="32">
        <f t="shared" si="35"/>
        <v>1.3963809315743387</v>
      </c>
      <c r="DO150" s="32">
        <f t="shared" si="36"/>
        <v>1.4131920249632246</v>
      </c>
      <c r="DP150" s="32">
        <f t="shared" si="37"/>
        <v>0.55107090670938108</v>
      </c>
      <c r="DQ150" s="32">
        <f>IF(DP150="","",DP150*$DO$1/'CPI USA'!$U$532+(1-DP150)*AVERAGE($DO$1,$DQ$1)/AVERAGE('CPI USA'!$U$532,'PPI USA'!$T$538))</f>
        <v>1.0345795153459783</v>
      </c>
      <c r="DR150" s="6">
        <f t="shared" si="38"/>
        <v>6403949</v>
      </c>
      <c r="DS150" s="32">
        <f t="shared" si="39"/>
        <v>0.2</v>
      </c>
      <c r="DT150" s="28">
        <f>IF(DS150="","",DS150*$DO$1/'CPI USA'!$U$532+(1-DS150)*AVERAGE($DO$1,$DQ$1)/AVERAGE('CPI USA'!$U$532,'PPI USA'!$T$538))</f>
        <v>1.0426818386380585</v>
      </c>
      <c r="DU150" s="6">
        <f t="shared" si="40"/>
        <v>2796519.0923078125</v>
      </c>
      <c r="DV150" s="6">
        <f t="shared" si="41"/>
        <v>0</v>
      </c>
      <c r="DW150" s="6">
        <f t="shared" si="42"/>
        <v>2230797.0103376005</v>
      </c>
      <c r="DX150" s="16">
        <f t="shared" si="43"/>
        <v>0.2</v>
      </c>
      <c r="DY150" s="28">
        <f>IF(DX150="","",DX150*$DO$1/'CPI USA'!$U$532+(1-DX150)*AVERAGE($DO$1,$DQ$1)/AVERAGE('CPI USA'!$U$532,'PPI USA'!$T$538))</f>
        <v>1.0426818386380585</v>
      </c>
      <c r="DZ150" s="30"/>
      <c r="EA150" s="29" t="str">
        <f t="shared" si="44"/>
        <v>C002012</v>
      </c>
      <c r="EB150" s="29" t="str">
        <f t="shared" si="45"/>
        <v/>
      </c>
      <c r="EC150" s="29" t="str">
        <f t="shared" si="46"/>
        <v/>
      </c>
      <c r="ED150" s="29" t="str">
        <f t="shared" si="47"/>
        <v/>
      </c>
      <c r="EE150" s="29" t="str">
        <f t="shared" si="48"/>
        <v/>
      </c>
      <c r="EF150" s="29" t="str">
        <f t="shared" si="49"/>
        <v/>
      </c>
      <c r="EG150" s="29" t="str">
        <f t="shared" si="50"/>
        <v/>
      </c>
      <c r="EH150" s="29" t="str">
        <f t="shared" si="51"/>
        <v/>
      </c>
      <c r="EI150" s="29" t="str">
        <f t="shared" si="52"/>
        <v/>
      </c>
      <c r="EJ150" s="29" t="str">
        <f t="shared" si="53"/>
        <v/>
      </c>
      <c r="EK150" s="29" t="str">
        <f t="shared" si="54"/>
        <v/>
      </c>
      <c r="EL150" s="29" t="str">
        <f>IF(CD150=1,VLOOKUP(EA150,'EIA 2023'!$A$2:$J$213,4,0)*EH150,"")</f>
        <v/>
      </c>
      <c r="EM150" s="29" t="str">
        <f>IF(CD150=1,VLOOKUP(EA150,'EIA 2023'!$A$2:$J$213,7,0)*EH150,"")</f>
        <v/>
      </c>
      <c r="EN150" s="29" t="str">
        <f>IF(CD150=1,VLOOKUP(EA150,'EIA 2023'!$A$2:$J$213,10,0),"")</f>
        <v/>
      </c>
      <c r="EO150" s="28" t="str">
        <f>IF(CD150=1,VLOOKUP(EA150,'EIA 2023'!$A$2:$Z$213,26,0),"")</f>
        <v/>
      </c>
      <c r="EP150" s="23" t="str">
        <f t="shared" si="55"/>
        <v/>
      </c>
      <c r="EQ150" s="32" t="str">
        <f t="shared" si="56"/>
        <v/>
      </c>
      <c r="ER150" s="32" t="str">
        <f t="shared" si="57"/>
        <v/>
      </c>
      <c r="ES150" s="32"/>
      <c r="ET150" s="32"/>
    </row>
    <row r="151" spans="1:150" ht="15.75" customHeight="1">
      <c r="A151" s="7" t="s">
        <v>661</v>
      </c>
      <c r="B151" s="7" t="s">
        <v>662</v>
      </c>
      <c r="C151" s="32" t="s">
        <v>1236</v>
      </c>
      <c r="D151" s="42">
        <v>27498785</v>
      </c>
      <c r="E151" s="42">
        <v>0</v>
      </c>
      <c r="F151" s="42">
        <v>4274472</v>
      </c>
      <c r="G151" s="42">
        <v>76107891</v>
      </c>
      <c r="H151" s="42">
        <v>78473466</v>
      </c>
      <c r="I151" s="42">
        <v>2252263</v>
      </c>
      <c r="J151" s="42">
        <v>772860</v>
      </c>
      <c r="K151" s="42">
        <v>0</v>
      </c>
      <c r="L151" s="42">
        <v>186383</v>
      </c>
      <c r="M151" s="42">
        <v>1115289</v>
      </c>
      <c r="N151" s="42">
        <v>217662</v>
      </c>
      <c r="O151" s="42">
        <v>3989852</v>
      </c>
      <c r="P151" s="42">
        <v>103256</v>
      </c>
      <c r="Q151" s="42">
        <v>827963</v>
      </c>
      <c r="R151" s="42">
        <v>0</v>
      </c>
      <c r="S151" s="42">
        <v>150332</v>
      </c>
      <c r="T151" s="42">
        <v>3273971</v>
      </c>
      <c r="U151" s="42">
        <v>611021</v>
      </c>
      <c r="V151" s="42">
        <v>74014</v>
      </c>
      <c r="W151" s="42">
        <v>1030211</v>
      </c>
      <c r="X151" s="42">
        <f>IFERROR(VLOOKUP(A151,'Trans 21-23'!$A$2:$J$229,10,0),0)</f>
        <v>0</v>
      </c>
      <c r="Y151" s="42">
        <v>1374293</v>
      </c>
      <c r="Z151" s="42">
        <v>65670</v>
      </c>
      <c r="AA151" s="42">
        <v>4564965</v>
      </c>
      <c r="AB151" s="42">
        <v>383034</v>
      </c>
      <c r="AC151" s="42">
        <v>149388</v>
      </c>
      <c r="AD151" s="42">
        <v>30831866</v>
      </c>
      <c r="AE151" s="42">
        <v>0</v>
      </c>
      <c r="AF151" s="42">
        <v>224852840</v>
      </c>
      <c r="AG151" s="42">
        <v>144895</v>
      </c>
      <c r="AH151" s="42">
        <v>280979</v>
      </c>
      <c r="AI151" s="42">
        <v>4513881</v>
      </c>
      <c r="AJ151" s="42">
        <v>0</v>
      </c>
      <c r="AK151" s="42">
        <v>0</v>
      </c>
      <c r="AL151" s="42">
        <v>1180206</v>
      </c>
      <c r="AM151" s="42">
        <v>2350530</v>
      </c>
      <c r="AN151" s="42">
        <v>583726</v>
      </c>
      <c r="AO151" s="42">
        <v>17593</v>
      </c>
      <c r="AP151" s="42">
        <v>58002</v>
      </c>
      <c r="AQ151" s="42">
        <v>4196194</v>
      </c>
      <c r="AR151" s="42">
        <v>36708</v>
      </c>
      <c r="AS151" s="42">
        <v>4232902</v>
      </c>
      <c r="AT151" s="42">
        <v>0</v>
      </c>
      <c r="AU151" s="42">
        <v>747</v>
      </c>
      <c r="AV151" s="42">
        <v>0</v>
      </c>
      <c r="AW151" s="42">
        <v>39269206</v>
      </c>
      <c r="AX151" s="42">
        <v>237464</v>
      </c>
      <c r="AY151" s="42">
        <v>150952864</v>
      </c>
      <c r="AZ151" s="42">
        <v>19934041</v>
      </c>
      <c r="BA151" s="42">
        <v>9449633</v>
      </c>
      <c r="BB151" s="42">
        <v>521214706</v>
      </c>
      <c r="BC151" s="42">
        <v>2149709076</v>
      </c>
      <c r="BD151" s="42">
        <v>39111599</v>
      </c>
      <c r="BE151" s="42">
        <v>170036915</v>
      </c>
      <c r="BF151" s="42">
        <v>11357248</v>
      </c>
      <c r="BG151" s="42">
        <v>0</v>
      </c>
      <c r="BH151" s="42">
        <v>10028082</v>
      </c>
      <c r="BI151" s="42">
        <v>2046280</v>
      </c>
      <c r="BJ151" s="42">
        <v>226777</v>
      </c>
      <c r="BK151" s="42">
        <v>113226</v>
      </c>
      <c r="BL151" s="42">
        <v>0</v>
      </c>
      <c r="BM151" s="42">
        <v>7338100</v>
      </c>
      <c r="BN151" s="42">
        <v>28255944</v>
      </c>
      <c r="BO151" s="42">
        <v>3707852</v>
      </c>
      <c r="BP151" s="42">
        <v>9337024</v>
      </c>
      <c r="BQ151" s="42">
        <v>95549622</v>
      </c>
      <c r="BR151" s="42">
        <v>6137</v>
      </c>
      <c r="BS151" s="42">
        <f>IFERROR(VLOOKUP(A151,'Trans 21-23'!$A$2:$J$229,9,0),0)</f>
        <v>0</v>
      </c>
      <c r="BT151" s="67"/>
      <c r="BU151" s="32">
        <f t="shared" si="0"/>
        <v>521214706</v>
      </c>
      <c r="BV151" s="32">
        <f t="shared" si="1"/>
        <v>747</v>
      </c>
      <c r="BW151" s="32">
        <f t="shared" si="2"/>
        <v>144895</v>
      </c>
      <c r="BX151" s="32">
        <f t="shared" si="3"/>
        <v>14605077</v>
      </c>
      <c r="BY151" s="32">
        <f t="shared" si="4"/>
        <v>6537350</v>
      </c>
      <c r="BZ151" s="32">
        <f t="shared" si="5"/>
        <v>19934041</v>
      </c>
      <c r="CA151" s="32">
        <f t="shared" si="6"/>
        <v>30831866</v>
      </c>
      <c r="CB151" s="32">
        <f t="shared" si="7"/>
        <v>280979</v>
      </c>
      <c r="CC151" s="32">
        <f t="shared" si="8"/>
        <v>4196194</v>
      </c>
      <c r="CD151" s="41">
        <f t="shared" si="74"/>
        <v>1</v>
      </c>
      <c r="CE151" s="44">
        <f t="shared" si="10"/>
        <v>12</v>
      </c>
      <c r="CF151" s="27"/>
      <c r="CG151" s="28">
        <f t="shared" si="11"/>
        <v>697.74391700133867</v>
      </c>
      <c r="CH151" s="28">
        <f t="shared" si="12"/>
        <v>5.155457400186342</v>
      </c>
      <c r="CI151" s="28">
        <f t="shared" si="13"/>
        <v>100.79766037475413</v>
      </c>
      <c r="CJ151" s="28">
        <f t="shared" si="14"/>
        <v>137.57576866006417</v>
      </c>
      <c r="CK151" s="23">
        <f t="shared" si="15"/>
        <v>6.6960440818513156E-2</v>
      </c>
      <c r="CL151" s="29" t="str">
        <f t="shared" si="16"/>
        <v/>
      </c>
      <c r="CM151" s="29" t="str">
        <f t="shared" si="17"/>
        <v/>
      </c>
      <c r="CN151" s="29" t="str">
        <f t="shared" si="18"/>
        <v/>
      </c>
      <c r="CO151" s="29" t="str">
        <f t="shared" si="19"/>
        <v/>
      </c>
      <c r="CP151" s="29" t="str">
        <f t="shared" si="20"/>
        <v/>
      </c>
      <c r="CQ151" s="29">
        <f t="shared" si="21"/>
        <v>0</v>
      </c>
      <c r="CR151" s="13"/>
      <c r="CS151" s="7" t="str">
        <f>VLOOKUP(A151,'Empresas 21-23'!$A$2:$M$228,13,0)</f>
        <v/>
      </c>
      <c r="CT151" s="30"/>
      <c r="CU151" s="6">
        <f t="shared" si="22"/>
        <v>401116835.19999999</v>
      </c>
      <c r="CV151" s="6">
        <f t="shared" si="23"/>
        <v>19934041</v>
      </c>
      <c r="CW151" s="6">
        <f t="shared" si="24"/>
        <v>39111599</v>
      </c>
      <c r="CX151" s="23">
        <f t="shared" si="71"/>
        <v>0.19004895039017428</v>
      </c>
      <c r="CY151" s="23">
        <f t="shared" si="72"/>
        <v>9.4447383820121938E-3</v>
      </c>
      <c r="CZ151" s="6">
        <f t="shared" si="27"/>
        <v>408549953.5380314</v>
      </c>
      <c r="DA151" s="6">
        <f t="shared" si="28"/>
        <v>20303439.820257168</v>
      </c>
      <c r="DB151" s="6">
        <f t="shared" si="29"/>
        <v>14605077</v>
      </c>
      <c r="DC151" s="6">
        <f t="shared" si="30"/>
        <v>14605077</v>
      </c>
      <c r="DD151" s="6">
        <f t="shared" si="31"/>
        <v>6537350</v>
      </c>
      <c r="DE151" s="6">
        <f t="shared" si="32"/>
        <v>30831866</v>
      </c>
      <c r="DF151" s="6">
        <f t="shared" si="73"/>
        <v>7781155.5268788021</v>
      </c>
      <c r="DG151" s="30"/>
      <c r="DH151" s="32">
        <f>VLOOKUP(A151,'T_med_comp-USA'!$A$7:$Q$233,17,0)</f>
        <v>14.511392747343061</v>
      </c>
      <c r="DI151" s="6" t="str">
        <f t="shared" si="34"/>
        <v>6_2009</v>
      </c>
      <c r="DJ151" s="32">
        <f>IF(DI151="","",VLOOKUP(DI151,'CPI USA'!$T:$U,2,FALSE))</f>
        <v>214.53700000000001</v>
      </c>
      <c r="DK151" s="32">
        <f>IF(DI151="","",VLOOKUP(DI151,'PPI USA'!$S:$T,2,FALSE))</f>
        <v>159.1</v>
      </c>
      <c r="DL151" s="32">
        <f>IF(DI151="","",VLOOKUP(DI151,'CPI USA'!$T:$V,3,FALSE))</f>
        <v>0.66997101349938215</v>
      </c>
      <c r="DM151" s="32">
        <f>IF(DI151="","",VLOOKUP(DI151,'CPI USA'!$T:$X,5,FALSE))</f>
        <v>0.49813941766071862</v>
      </c>
      <c r="DN151" s="32">
        <f t="shared" si="35"/>
        <v>1.4932638886873792</v>
      </c>
      <c r="DO151" s="32">
        <f t="shared" si="36"/>
        <v>1.5082750176818205</v>
      </c>
      <c r="DP151" s="32">
        <f t="shared" si="37"/>
        <v>0.77671654210180419</v>
      </c>
      <c r="DQ151" s="32">
        <f>IF(DP151="","",DP151*$DO$1/'CPI USA'!$U$532+(1-DP151)*AVERAGE($DO$1,$DQ$1)/AVERAGE('CPI USA'!$U$532,'PPI USA'!$T$538))</f>
        <v>1.0293718668269576</v>
      </c>
      <c r="DR151" s="6">
        <f t="shared" si="38"/>
        <v>2386283</v>
      </c>
      <c r="DS151" s="32">
        <f t="shared" si="39"/>
        <v>0.41292268182997699</v>
      </c>
      <c r="DT151" s="28">
        <f>IF(DS151="","",DS151*$DO$1/'CPI USA'!$U$532+(1-DS151)*AVERAGE($DO$1,$DQ$1)/AVERAGE('CPI USA'!$U$532,'PPI USA'!$T$538))</f>
        <v>1.03776782163627</v>
      </c>
      <c r="DU151" s="6">
        <f t="shared" si="40"/>
        <v>8301033.2773734266</v>
      </c>
      <c r="DV151" s="6">
        <f t="shared" si="41"/>
        <v>794733.22233486106</v>
      </c>
      <c r="DW151" s="6">
        <f t="shared" si="42"/>
        <v>3996262.3539369651</v>
      </c>
      <c r="DX151" s="16">
        <f t="shared" si="43"/>
        <v>0.51358212030751638</v>
      </c>
      <c r="DY151" s="28">
        <f>IF(DX151="","",DX151*$DO$1/'CPI USA'!$U$532+(1-DX151)*AVERAGE($DO$1,$DQ$1)/AVERAGE('CPI USA'!$U$532,'PPI USA'!$T$538))</f>
        <v>1.035444714544917</v>
      </c>
      <c r="DZ151" s="30"/>
      <c r="EA151" s="29" t="str">
        <f t="shared" si="44"/>
        <v>C002045</v>
      </c>
      <c r="EB151" s="29">
        <f t="shared" si="45"/>
        <v>610072892.34324884</v>
      </c>
      <c r="EC151" s="29">
        <f t="shared" si="46"/>
        <v>30623171.05390016</v>
      </c>
      <c r="ED151" s="29">
        <f t="shared" si="47"/>
        <v>15034055.376641462</v>
      </c>
      <c r="EE151" s="29">
        <f t="shared" si="48"/>
        <v>6784251.4687738698</v>
      </c>
      <c r="EF151" s="29">
        <f t="shared" si="49"/>
        <v>8056956.3633586252</v>
      </c>
      <c r="EG151" s="29">
        <f t="shared" si="50"/>
        <v>747</v>
      </c>
      <c r="EH151" s="29">
        <f t="shared" si="51"/>
        <v>144895</v>
      </c>
      <c r="EI151" s="29">
        <f t="shared" si="52"/>
        <v>280979</v>
      </c>
      <c r="EJ151" s="29">
        <f t="shared" si="53"/>
        <v>4196194</v>
      </c>
      <c r="EK151" s="29">
        <f t="shared" si="54"/>
        <v>4476613.994923858</v>
      </c>
      <c r="EL151" s="29" t="e">
        <f>IF(CD151=1,VLOOKUP(EA151,'EIA 2023'!$A$2:$J$213,4,0)*EH151,"")</f>
        <v>#VALUE!</v>
      </c>
      <c r="EM151" s="29">
        <f>IF(CD151=1,VLOOKUP(EA151,'EIA 2023'!$A$2:$J$213,7,0)*EH151,"")</f>
        <v>186479.86499999999</v>
      </c>
      <c r="EN151" s="29">
        <f>IF(CD151=1,VLOOKUP(EA151,'EIA 2023'!$A$2:$J$213,10,0),"")</f>
        <v>25469</v>
      </c>
      <c r="EO151" s="28">
        <f>IF(CD151=1,VLOOKUP(EA151,'EIA 2023'!$A$2:$Z$213,26,0),"")</f>
        <v>0</v>
      </c>
      <c r="EP151" s="23">
        <f t="shared" si="55"/>
        <v>6.2641093299943426E-2</v>
      </c>
      <c r="EQ151" s="32">
        <f t="shared" si="56"/>
        <v>559.00507614212984</v>
      </c>
      <c r="ER151" s="32">
        <f t="shared" si="57"/>
        <v>280419.99492385786</v>
      </c>
      <c r="ES151" s="32"/>
      <c r="ET151" s="32"/>
    </row>
    <row r="152" spans="1:150" ht="15.75" customHeight="1">
      <c r="A152" s="7" t="s">
        <v>664</v>
      </c>
      <c r="B152" s="7" t="s">
        <v>665</v>
      </c>
      <c r="C152" s="32" t="s">
        <v>1237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f>IFERROR(VLOOKUP(A152,'Trans 21-23'!$A$2:$J$229,10,0),0)</f>
        <v>0</v>
      </c>
      <c r="Y152" s="42">
        <v>0</v>
      </c>
      <c r="Z152" s="42">
        <v>0</v>
      </c>
      <c r="AA152" s="42">
        <v>0</v>
      </c>
      <c r="AB152" s="42">
        <v>0</v>
      </c>
      <c r="AC152" s="42">
        <v>0</v>
      </c>
      <c r="AD152" s="42">
        <v>1659276</v>
      </c>
      <c r="AE152" s="42">
        <v>0</v>
      </c>
      <c r="AF152" s="42">
        <v>1677268</v>
      </c>
      <c r="AG152" s="42">
        <v>0</v>
      </c>
      <c r="AH152" s="42">
        <v>0</v>
      </c>
      <c r="AI152" s="42">
        <v>0</v>
      </c>
      <c r="AJ152" s="42">
        <v>0</v>
      </c>
      <c r="AK152" s="42">
        <v>0</v>
      </c>
      <c r="AL152" s="42">
        <v>0</v>
      </c>
      <c r="AM152" s="42">
        <v>0</v>
      </c>
      <c r="AN152" s="42">
        <v>0</v>
      </c>
      <c r="AO152" s="42">
        <v>0</v>
      </c>
      <c r="AP152" s="42">
        <v>0</v>
      </c>
      <c r="AQ152" s="42">
        <v>0</v>
      </c>
      <c r="AR152" s="42">
        <v>0</v>
      </c>
      <c r="AS152" s="42">
        <v>0</v>
      </c>
      <c r="AT152" s="42">
        <v>0</v>
      </c>
      <c r="AU152" s="42">
        <v>0</v>
      </c>
      <c r="AV152" s="42">
        <v>0</v>
      </c>
      <c r="AW152" s="42">
        <v>0</v>
      </c>
      <c r="AX152" s="42">
        <v>0</v>
      </c>
      <c r="AY152" s="42">
        <v>0</v>
      </c>
      <c r="AZ152" s="42">
        <v>0</v>
      </c>
      <c r="BA152" s="42">
        <v>0</v>
      </c>
      <c r="BB152" s="42">
        <v>0</v>
      </c>
      <c r="BC152" s="42">
        <v>23884796</v>
      </c>
      <c r="BD152" s="42">
        <v>521771</v>
      </c>
      <c r="BE152" s="42">
        <v>0</v>
      </c>
      <c r="BF152" s="42">
        <v>0</v>
      </c>
      <c r="BG152" s="42">
        <v>0</v>
      </c>
      <c r="BH152" s="42">
        <v>0</v>
      </c>
      <c r="BI152" s="42">
        <v>0</v>
      </c>
      <c r="BJ152" s="42">
        <v>0</v>
      </c>
      <c r="BK152" s="42">
        <v>0</v>
      </c>
      <c r="BL152" s="42">
        <v>0</v>
      </c>
      <c r="BM152" s="42">
        <v>0</v>
      </c>
      <c r="BN152" s="42">
        <v>0</v>
      </c>
      <c r="BO152" s="42">
        <v>0</v>
      </c>
      <c r="BP152" s="42">
        <v>0</v>
      </c>
      <c r="BQ152" s="42">
        <v>0</v>
      </c>
      <c r="BR152" s="42">
        <v>0</v>
      </c>
      <c r="BS152" s="42">
        <f>IFERROR(VLOOKUP(A152,'Trans 21-23'!$A$2:$J$229,9,0),0)</f>
        <v>0</v>
      </c>
      <c r="BT152" s="67"/>
      <c r="BU152" s="32">
        <f t="shared" si="0"/>
        <v>0</v>
      </c>
      <c r="BV152" s="32">
        <f t="shared" si="1"/>
        <v>0</v>
      </c>
      <c r="BW152" s="32">
        <f t="shared" si="2"/>
        <v>0</v>
      </c>
      <c r="BX152" s="32">
        <f t="shared" si="3"/>
        <v>0</v>
      </c>
      <c r="BY152" s="32">
        <f t="shared" si="4"/>
        <v>0</v>
      </c>
      <c r="BZ152" s="32">
        <f t="shared" si="5"/>
        <v>0</v>
      </c>
      <c r="CA152" s="32">
        <f t="shared" si="6"/>
        <v>1659276</v>
      </c>
      <c r="CB152" s="32">
        <f t="shared" si="7"/>
        <v>0</v>
      </c>
      <c r="CC152" s="32">
        <f t="shared" si="8"/>
        <v>0</v>
      </c>
      <c r="CD152" s="41">
        <f t="shared" si="74"/>
        <v>0</v>
      </c>
      <c r="CE152" s="44">
        <f t="shared" si="10"/>
        <v>64</v>
      </c>
      <c r="CF152" s="27"/>
      <c r="CG152" s="28" t="str">
        <f t="shared" si="11"/>
        <v/>
      </c>
      <c r="CH152" s="28" t="str">
        <f t="shared" si="12"/>
        <v/>
      </c>
      <c r="CI152" s="28" t="str">
        <f t="shared" si="13"/>
        <v/>
      </c>
      <c r="CJ152" s="28" t="str">
        <f t="shared" si="14"/>
        <v/>
      </c>
      <c r="CK152" s="23" t="str">
        <f t="shared" si="15"/>
        <v/>
      </c>
      <c r="CL152" s="29" t="str">
        <f t="shared" si="16"/>
        <v/>
      </c>
      <c r="CM152" s="29" t="str">
        <f t="shared" si="17"/>
        <v/>
      </c>
      <c r="CN152" s="29" t="str">
        <f t="shared" si="18"/>
        <v/>
      </c>
      <c r="CO152" s="29" t="str">
        <f t="shared" si="19"/>
        <v/>
      </c>
      <c r="CP152" s="29" t="str">
        <f t="shared" si="20"/>
        <v/>
      </c>
      <c r="CQ152" s="29" t="str">
        <f t="shared" si="21"/>
        <v/>
      </c>
      <c r="CR152" s="13"/>
      <c r="CS152" s="7" t="str">
        <f>VLOOKUP(A152,'Empresas 21-23'!$A$2:$M$228,13,0)</f>
        <v/>
      </c>
      <c r="CT152" s="30"/>
      <c r="CU152" s="6">
        <f t="shared" si="22"/>
        <v>0</v>
      </c>
      <c r="CV152" s="6">
        <f t="shared" si="23"/>
        <v>0</v>
      </c>
      <c r="CW152" s="6">
        <f t="shared" si="24"/>
        <v>521771</v>
      </c>
      <c r="CX152" s="23">
        <f t="shared" si="71"/>
        <v>0</v>
      </c>
      <c r="CY152" s="23">
        <f t="shared" si="72"/>
        <v>0</v>
      </c>
      <c r="CZ152" s="6">
        <f t="shared" si="27"/>
        <v>0</v>
      </c>
      <c r="DA152" s="6">
        <f t="shared" si="28"/>
        <v>0</v>
      </c>
      <c r="DB152" s="6">
        <f t="shared" si="29"/>
        <v>0</v>
      </c>
      <c r="DC152" s="6">
        <f t="shared" si="30"/>
        <v>0</v>
      </c>
      <c r="DD152" s="6">
        <f t="shared" si="31"/>
        <v>0</v>
      </c>
      <c r="DE152" s="6">
        <f t="shared" si="32"/>
        <v>1659276</v>
      </c>
      <c r="DF152" s="6">
        <f t="shared" si="73"/>
        <v>0</v>
      </c>
      <c r="DG152" s="30"/>
      <c r="DH152" s="32" t="str">
        <f>VLOOKUP(A152,'T_med_comp-USA'!$A$7:$Q$233,17,0)</f>
        <v>-</v>
      </c>
      <c r="DI152" s="6" t="str">
        <f t="shared" si="34"/>
        <v/>
      </c>
      <c r="DJ152" s="32" t="str">
        <f>IF(DI152="","",VLOOKUP(DI152,'CPI USA'!$T:$U,2,FALSE))</f>
        <v/>
      </c>
      <c r="DK152" s="32" t="str">
        <f>IF(DI152="","",VLOOKUP(DI152,'PPI USA'!$S:$T,2,FALSE))</f>
        <v/>
      </c>
      <c r="DL152" s="32" t="str">
        <f>IF(DI152="","",VLOOKUP(DI152,'CPI USA'!$T:$V,3,FALSE))</f>
        <v/>
      </c>
      <c r="DM152" s="32" t="str">
        <f>IF(DI152="","",VLOOKUP(DI152,'CPI USA'!$T:$X,5,FALSE))</f>
        <v/>
      </c>
      <c r="DN152" s="32" t="str">
        <f t="shared" si="35"/>
        <v/>
      </c>
      <c r="DO152" s="32" t="str">
        <f t="shared" si="36"/>
        <v/>
      </c>
      <c r="DP152" s="32" t="str">
        <f t="shared" si="37"/>
        <v/>
      </c>
      <c r="DQ152" s="32" t="str">
        <f>IF(DP152="","",DP152*$DO$1/'CPI USA'!$U$532+(1-DP152)*AVERAGE($DO$1,$DQ$1)/AVERAGE('CPI USA'!$U$532,'PPI USA'!$T$538))</f>
        <v/>
      </c>
      <c r="DR152" s="6">
        <f t="shared" si="38"/>
        <v>0</v>
      </c>
      <c r="DS152" s="32" t="str">
        <f t="shared" si="39"/>
        <v/>
      </c>
      <c r="DT152" s="28" t="str">
        <f>IF(DS152="","",DS152*$DO$1/'CPI USA'!$U$532+(1-DS152)*AVERAGE($DO$1,$DQ$1)/AVERAGE('CPI USA'!$U$532,'PPI USA'!$T$538))</f>
        <v/>
      </c>
      <c r="DU152" s="6" t="str">
        <f t="shared" si="40"/>
        <v/>
      </c>
      <c r="DV152" s="6" t="str">
        <f t="shared" si="41"/>
        <v/>
      </c>
      <c r="DW152" s="6">
        <f t="shared" si="42"/>
        <v>0</v>
      </c>
      <c r="DX152" s="16" t="str">
        <f t="shared" si="43"/>
        <v/>
      </c>
      <c r="DY152" s="28" t="str">
        <f>IF(DX152="","",DX152*$DO$1/'CPI USA'!$U$532+(1-DX152)*AVERAGE($DO$1,$DQ$1)/AVERAGE('CPI USA'!$U$532,'PPI USA'!$T$538))</f>
        <v/>
      </c>
      <c r="DZ152" s="30"/>
      <c r="EA152" s="29" t="str">
        <f t="shared" si="44"/>
        <v>C002073</v>
      </c>
      <c r="EB152" s="29" t="str">
        <f t="shared" si="45"/>
        <v/>
      </c>
      <c r="EC152" s="29" t="str">
        <f t="shared" si="46"/>
        <v/>
      </c>
      <c r="ED152" s="29" t="str">
        <f t="shared" si="47"/>
        <v/>
      </c>
      <c r="EE152" s="29" t="str">
        <f t="shared" si="48"/>
        <v/>
      </c>
      <c r="EF152" s="29" t="str">
        <f t="shared" si="49"/>
        <v/>
      </c>
      <c r="EG152" s="29" t="str">
        <f t="shared" si="50"/>
        <v/>
      </c>
      <c r="EH152" s="29" t="str">
        <f t="shared" si="51"/>
        <v/>
      </c>
      <c r="EI152" s="29" t="str">
        <f t="shared" si="52"/>
        <v/>
      </c>
      <c r="EJ152" s="29" t="str">
        <f t="shared" si="53"/>
        <v/>
      </c>
      <c r="EK152" s="29" t="str">
        <f t="shared" si="54"/>
        <v/>
      </c>
      <c r="EL152" s="29" t="str">
        <f>IF(CD152=1,VLOOKUP(EA152,'EIA 2023'!$A$2:$J$213,4,0)*EH152,"")</f>
        <v/>
      </c>
      <c r="EM152" s="29" t="str">
        <f>IF(CD152=1,VLOOKUP(EA152,'EIA 2023'!$A$2:$J$213,7,0)*EH152,"")</f>
        <v/>
      </c>
      <c r="EN152" s="29" t="str">
        <f>IF(CD152=1,VLOOKUP(EA152,'EIA 2023'!$A$2:$J$213,10,0),"")</f>
        <v/>
      </c>
      <c r="EO152" s="28" t="str">
        <f>IF(CD152=1,VLOOKUP(EA152,'EIA 2023'!$A$2:$Z$213,26,0),"")</f>
        <v/>
      </c>
      <c r="EP152" s="23" t="str">
        <f t="shared" si="55"/>
        <v/>
      </c>
      <c r="EQ152" s="32" t="str">
        <f t="shared" si="56"/>
        <v/>
      </c>
      <c r="ER152" s="32" t="str">
        <f t="shared" si="57"/>
        <v/>
      </c>
      <c r="ES152" s="32"/>
      <c r="ET152" s="32"/>
    </row>
    <row r="153" spans="1:150" ht="15.75" customHeight="1">
      <c r="A153" s="7" t="s">
        <v>667</v>
      </c>
      <c r="B153" s="7" t="s">
        <v>668</v>
      </c>
      <c r="C153" s="32" t="s">
        <v>1238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f>IFERROR(VLOOKUP(A153,'Trans 21-23'!$A$2:$J$229,10,0),0)</f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2017885</v>
      </c>
      <c r="AE153" s="42">
        <v>0</v>
      </c>
      <c r="AF153" s="42">
        <v>2411209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2">
        <v>0</v>
      </c>
      <c r="AR153" s="42">
        <v>0</v>
      </c>
      <c r="AS153" s="42">
        <v>0</v>
      </c>
      <c r="AT153" s="42">
        <v>0</v>
      </c>
      <c r="AU153" s="42">
        <v>0</v>
      </c>
      <c r="AV153" s="42">
        <v>0</v>
      </c>
      <c r="AW153" s="42">
        <v>0</v>
      </c>
      <c r="AX153" s="42">
        <v>0</v>
      </c>
      <c r="AY153" s="42">
        <v>0</v>
      </c>
      <c r="AZ153" s="42">
        <v>0</v>
      </c>
      <c r="BA153" s="42">
        <v>0</v>
      </c>
      <c r="BB153" s="42">
        <v>0</v>
      </c>
      <c r="BC153" s="42">
        <v>151627587</v>
      </c>
      <c r="BD153" s="42">
        <v>0</v>
      </c>
      <c r="BE153" s="42">
        <v>0</v>
      </c>
      <c r="BF153" s="42">
        <v>0</v>
      </c>
      <c r="BG153" s="42">
        <v>0</v>
      </c>
      <c r="BH153" s="42">
        <v>0</v>
      </c>
      <c r="BI153" s="42">
        <v>0</v>
      </c>
      <c r="BJ153" s="42">
        <v>0</v>
      </c>
      <c r="BK153" s="42">
        <v>0</v>
      </c>
      <c r="BL153" s="42">
        <v>0</v>
      </c>
      <c r="BM153" s="42">
        <v>0</v>
      </c>
      <c r="BN153" s="42">
        <v>0</v>
      </c>
      <c r="BO153" s="42">
        <v>0</v>
      </c>
      <c r="BP153" s="42">
        <v>0</v>
      </c>
      <c r="BQ153" s="42">
        <v>0</v>
      </c>
      <c r="BR153" s="42">
        <v>0</v>
      </c>
      <c r="BS153" s="42">
        <f>IFERROR(VLOOKUP(A153,'Trans 21-23'!$A$2:$J$229,9,0),0)</f>
        <v>0</v>
      </c>
      <c r="BT153" s="67"/>
      <c r="BU153" s="32">
        <f t="shared" si="0"/>
        <v>0</v>
      </c>
      <c r="BV153" s="32">
        <f t="shared" si="1"/>
        <v>0</v>
      </c>
      <c r="BW153" s="32">
        <f t="shared" si="2"/>
        <v>0</v>
      </c>
      <c r="BX153" s="32">
        <f t="shared" si="3"/>
        <v>0</v>
      </c>
      <c r="BY153" s="32">
        <f t="shared" si="4"/>
        <v>0</v>
      </c>
      <c r="BZ153" s="32">
        <f t="shared" si="5"/>
        <v>0</v>
      </c>
      <c r="CA153" s="32">
        <f t="shared" si="6"/>
        <v>2017885</v>
      </c>
      <c r="CB153" s="32">
        <f t="shared" si="7"/>
        <v>0</v>
      </c>
      <c r="CC153" s="32">
        <f t="shared" si="8"/>
        <v>0</v>
      </c>
      <c r="CD153" s="41">
        <f t="shared" si="74"/>
        <v>0</v>
      </c>
      <c r="CE153" s="44">
        <f t="shared" si="10"/>
        <v>65</v>
      </c>
      <c r="CF153" s="27"/>
      <c r="CG153" s="28" t="str">
        <f t="shared" si="11"/>
        <v/>
      </c>
      <c r="CH153" s="28" t="str">
        <f t="shared" si="12"/>
        <v/>
      </c>
      <c r="CI153" s="28" t="str">
        <f t="shared" si="13"/>
        <v/>
      </c>
      <c r="CJ153" s="28" t="str">
        <f t="shared" si="14"/>
        <v/>
      </c>
      <c r="CK153" s="23" t="str">
        <f t="shared" si="15"/>
        <v/>
      </c>
      <c r="CL153" s="29" t="str">
        <f t="shared" si="16"/>
        <v/>
      </c>
      <c r="CM153" s="29" t="str">
        <f t="shared" si="17"/>
        <v/>
      </c>
      <c r="CN153" s="29" t="str">
        <f t="shared" si="18"/>
        <v/>
      </c>
      <c r="CO153" s="29" t="str">
        <f t="shared" si="19"/>
        <v/>
      </c>
      <c r="CP153" s="29" t="str">
        <f t="shared" si="20"/>
        <v/>
      </c>
      <c r="CQ153" s="29" t="str">
        <f t="shared" si="21"/>
        <v/>
      </c>
      <c r="CR153" s="13"/>
      <c r="CS153" s="7" t="str">
        <f>VLOOKUP(A153,'Empresas 21-23'!$A$2:$M$228,13,0)</f>
        <v/>
      </c>
      <c r="CT153" s="30"/>
      <c r="CU153" s="6">
        <f t="shared" si="22"/>
        <v>0</v>
      </c>
      <c r="CV153" s="6">
        <f t="shared" si="23"/>
        <v>0</v>
      </c>
      <c r="CW153" s="6">
        <f t="shared" si="24"/>
        <v>0</v>
      </c>
      <c r="CX153" s="23">
        <f t="shared" si="71"/>
        <v>0</v>
      </c>
      <c r="CY153" s="23">
        <f t="shared" si="72"/>
        <v>0</v>
      </c>
      <c r="CZ153" s="6">
        <f t="shared" si="27"/>
        <v>0</v>
      </c>
      <c r="DA153" s="6">
        <f t="shared" si="28"/>
        <v>0</v>
      </c>
      <c r="DB153" s="6">
        <f t="shared" si="29"/>
        <v>0</v>
      </c>
      <c r="DC153" s="6">
        <f t="shared" si="30"/>
        <v>0</v>
      </c>
      <c r="DD153" s="6">
        <f t="shared" si="31"/>
        <v>0</v>
      </c>
      <c r="DE153" s="6">
        <f t="shared" si="32"/>
        <v>2017885</v>
      </c>
      <c r="DF153" s="6">
        <f t="shared" si="73"/>
        <v>0</v>
      </c>
      <c r="DG153" s="30"/>
      <c r="DH153" s="32" t="str">
        <f>VLOOKUP(A153,'T_med_comp-USA'!$A$7:$Q$233,17,0)</f>
        <v>-</v>
      </c>
      <c r="DI153" s="6" t="str">
        <f t="shared" si="34"/>
        <v/>
      </c>
      <c r="DJ153" s="32" t="str">
        <f>IF(DI153="","",VLOOKUP(DI153,'CPI USA'!$T:$U,2,FALSE))</f>
        <v/>
      </c>
      <c r="DK153" s="32" t="str">
        <f>IF(DI153="","",VLOOKUP(DI153,'PPI USA'!$S:$T,2,FALSE))</f>
        <v/>
      </c>
      <c r="DL153" s="32" t="str">
        <f>IF(DI153="","",VLOOKUP(DI153,'CPI USA'!$T:$V,3,FALSE))</f>
        <v/>
      </c>
      <c r="DM153" s="32" t="str">
        <f>IF(DI153="","",VLOOKUP(DI153,'CPI USA'!$T:$X,5,FALSE))</f>
        <v/>
      </c>
      <c r="DN153" s="32" t="str">
        <f t="shared" si="35"/>
        <v/>
      </c>
      <c r="DO153" s="32" t="str">
        <f t="shared" si="36"/>
        <v/>
      </c>
      <c r="DP153" s="32" t="str">
        <f t="shared" si="37"/>
        <v/>
      </c>
      <c r="DQ153" s="32" t="str">
        <f>IF(DP153="","",DP153*$DO$1/'CPI USA'!$U$532+(1-DP153)*AVERAGE($DO$1,$DQ$1)/AVERAGE('CPI USA'!$U$532,'PPI USA'!$T$538))</f>
        <v/>
      </c>
      <c r="DR153" s="6">
        <f t="shared" si="38"/>
        <v>0</v>
      </c>
      <c r="DS153" s="32" t="str">
        <f t="shared" si="39"/>
        <v/>
      </c>
      <c r="DT153" s="28" t="str">
        <f>IF(DS153="","",DS153*$DO$1/'CPI USA'!$U$532+(1-DS153)*AVERAGE($DO$1,$DQ$1)/AVERAGE('CPI USA'!$U$532,'PPI USA'!$T$538))</f>
        <v/>
      </c>
      <c r="DU153" s="6" t="str">
        <f t="shared" si="40"/>
        <v/>
      </c>
      <c r="DV153" s="6" t="str">
        <f t="shared" si="41"/>
        <v/>
      </c>
      <c r="DW153" s="6">
        <f t="shared" si="42"/>
        <v>0</v>
      </c>
      <c r="DX153" s="16" t="str">
        <f t="shared" si="43"/>
        <v/>
      </c>
      <c r="DY153" s="28" t="str">
        <f>IF(DX153="","",DX153*$DO$1/'CPI USA'!$U$532+(1-DX153)*AVERAGE($DO$1,$DQ$1)/AVERAGE('CPI USA'!$U$532,'PPI USA'!$T$538))</f>
        <v/>
      </c>
      <c r="DZ153" s="30"/>
      <c r="EA153" s="29" t="str">
        <f t="shared" si="44"/>
        <v>C002083</v>
      </c>
      <c r="EB153" s="29" t="str">
        <f t="shared" si="45"/>
        <v/>
      </c>
      <c r="EC153" s="29" t="str">
        <f t="shared" si="46"/>
        <v/>
      </c>
      <c r="ED153" s="29" t="str">
        <f t="shared" si="47"/>
        <v/>
      </c>
      <c r="EE153" s="29" t="str">
        <f t="shared" si="48"/>
        <v/>
      </c>
      <c r="EF153" s="29" t="str">
        <f t="shared" si="49"/>
        <v/>
      </c>
      <c r="EG153" s="29" t="str">
        <f t="shared" si="50"/>
        <v/>
      </c>
      <c r="EH153" s="29" t="str">
        <f t="shared" si="51"/>
        <v/>
      </c>
      <c r="EI153" s="29" t="str">
        <f t="shared" si="52"/>
        <v/>
      </c>
      <c r="EJ153" s="29" t="str">
        <f t="shared" si="53"/>
        <v/>
      </c>
      <c r="EK153" s="29" t="str">
        <f t="shared" si="54"/>
        <v/>
      </c>
      <c r="EL153" s="29" t="str">
        <f>IF(CD153=1,VLOOKUP(EA153,'EIA 2023'!$A$2:$J$213,4,0)*EH153,"")</f>
        <v/>
      </c>
      <c r="EM153" s="29" t="str">
        <f>IF(CD153=1,VLOOKUP(EA153,'EIA 2023'!$A$2:$J$213,7,0)*EH153,"")</f>
        <v/>
      </c>
      <c r="EN153" s="29" t="str">
        <f>IF(CD153=1,VLOOKUP(EA153,'EIA 2023'!$A$2:$J$213,10,0),"")</f>
        <v/>
      </c>
      <c r="EO153" s="28" t="str">
        <f>IF(CD153=1,VLOOKUP(EA153,'EIA 2023'!$A$2:$Z$213,26,0),"")</f>
        <v/>
      </c>
      <c r="EP153" s="23" t="str">
        <f t="shared" si="55"/>
        <v/>
      </c>
      <c r="EQ153" s="32" t="str">
        <f t="shared" si="56"/>
        <v/>
      </c>
      <c r="ER153" s="32" t="str">
        <f t="shared" si="57"/>
        <v/>
      </c>
      <c r="ES153" s="32"/>
      <c r="ET153" s="32"/>
    </row>
    <row r="154" spans="1:150" ht="15.75" customHeight="1">
      <c r="A154" s="7" t="s">
        <v>670</v>
      </c>
      <c r="B154" s="7" t="s">
        <v>671</v>
      </c>
      <c r="C154" s="32" t="s">
        <v>1239</v>
      </c>
      <c r="D154" s="42">
        <v>0</v>
      </c>
      <c r="E154" s="42">
        <v>0</v>
      </c>
      <c r="F154" s="42">
        <v>0</v>
      </c>
      <c r="G154" s="42">
        <v>77280257</v>
      </c>
      <c r="H154" s="42">
        <v>77280257</v>
      </c>
      <c r="I154" s="42">
        <v>487191</v>
      </c>
      <c r="J154" s="42">
        <v>64158</v>
      </c>
      <c r="K154" s="42">
        <v>535138</v>
      </c>
      <c r="L154" s="42">
        <v>317833</v>
      </c>
      <c r="M154" s="42">
        <v>153676</v>
      </c>
      <c r="N154" s="42">
        <v>91689</v>
      </c>
      <c r="O154" s="42">
        <v>663791</v>
      </c>
      <c r="P154" s="42">
        <v>73483</v>
      </c>
      <c r="Q154" s="42">
        <v>221846</v>
      </c>
      <c r="R154" s="42">
        <v>0</v>
      </c>
      <c r="S154" s="42">
        <v>400255</v>
      </c>
      <c r="T154" s="42">
        <v>8439306</v>
      </c>
      <c r="U154" s="42">
        <v>70169</v>
      </c>
      <c r="V154" s="42">
        <v>87445</v>
      </c>
      <c r="W154" s="42">
        <v>40899</v>
      </c>
      <c r="X154" s="42">
        <f>IFERROR(VLOOKUP(A154,'Trans 21-23'!$A$2:$J$229,10,0),0)</f>
        <v>1052699</v>
      </c>
      <c r="Y154" s="42">
        <v>484744</v>
      </c>
      <c r="Z154" s="42">
        <v>35771</v>
      </c>
      <c r="AA154" s="42">
        <v>6117919</v>
      </c>
      <c r="AB154" s="42">
        <v>79025</v>
      </c>
      <c r="AC154" s="42">
        <v>12963</v>
      </c>
      <c r="AD154" s="42">
        <v>9990906</v>
      </c>
      <c r="AE154" s="42">
        <v>0</v>
      </c>
      <c r="AF154" s="42">
        <v>114448988</v>
      </c>
      <c r="AG154" s="42">
        <v>62746</v>
      </c>
      <c r="AH154" s="42">
        <v>92567</v>
      </c>
      <c r="AI154" s="42">
        <v>1048544</v>
      </c>
      <c r="AJ154" s="42">
        <v>1853</v>
      </c>
      <c r="AK154" s="42">
        <v>0</v>
      </c>
      <c r="AL154" s="42">
        <v>537077</v>
      </c>
      <c r="AM154" s="42">
        <v>308794</v>
      </c>
      <c r="AN154" s="42">
        <v>103258</v>
      </c>
      <c r="AO154" s="42">
        <v>4222</v>
      </c>
      <c r="AP154" s="42">
        <v>646</v>
      </c>
      <c r="AQ154" s="42">
        <v>953997</v>
      </c>
      <c r="AR154" s="42">
        <v>127</v>
      </c>
      <c r="AS154" s="42">
        <v>954124</v>
      </c>
      <c r="AT154" s="42">
        <v>0</v>
      </c>
      <c r="AU154" s="42">
        <v>195</v>
      </c>
      <c r="AV154" s="42">
        <v>0</v>
      </c>
      <c r="AW154" s="42">
        <v>62443367</v>
      </c>
      <c r="AX154" s="42">
        <v>9785501</v>
      </c>
      <c r="AY154" s="42">
        <v>16966413</v>
      </c>
      <c r="AZ154" s="42">
        <v>10290173</v>
      </c>
      <c r="BA154" s="42">
        <v>2410607</v>
      </c>
      <c r="BB154" s="42">
        <v>223957696</v>
      </c>
      <c r="BC154" s="42">
        <v>313718946</v>
      </c>
      <c r="BD154" s="42">
        <v>16680837</v>
      </c>
      <c r="BE154" s="42">
        <v>70682608</v>
      </c>
      <c r="BF154" s="42">
        <v>5398162</v>
      </c>
      <c r="BG154" s="42">
        <v>0</v>
      </c>
      <c r="BH154" s="42">
        <v>4113498</v>
      </c>
      <c r="BI154" s="42">
        <v>1472975</v>
      </c>
      <c r="BJ154" s="42">
        <v>49143</v>
      </c>
      <c r="BK154" s="42">
        <v>0</v>
      </c>
      <c r="BL154" s="42">
        <v>0</v>
      </c>
      <c r="BM154" s="42">
        <v>3379822</v>
      </c>
      <c r="BN154" s="42">
        <v>10100398</v>
      </c>
      <c r="BO154" s="42">
        <v>0</v>
      </c>
      <c r="BP154" s="42">
        <v>6705665</v>
      </c>
      <c r="BQ154" s="42">
        <v>167530018</v>
      </c>
      <c r="BR154" s="42">
        <v>0</v>
      </c>
      <c r="BS154" s="42">
        <f>IFERROR(VLOOKUP(A154,'Trans 21-23'!$A$2:$J$229,9,0),0)</f>
        <v>30739316</v>
      </c>
      <c r="BT154" s="67"/>
      <c r="BU154" s="32">
        <f t="shared" si="0"/>
        <v>223957696</v>
      </c>
      <c r="BV154" s="32">
        <f t="shared" si="1"/>
        <v>195</v>
      </c>
      <c r="BW154" s="32">
        <f t="shared" si="2"/>
        <v>62746</v>
      </c>
      <c r="BX154" s="32">
        <f t="shared" si="3"/>
        <v>11646879</v>
      </c>
      <c r="BY154" s="32">
        <f t="shared" si="4"/>
        <v>6730422</v>
      </c>
      <c r="BZ154" s="32">
        <f t="shared" si="5"/>
        <v>10290173</v>
      </c>
      <c r="CA154" s="32">
        <f t="shared" si="6"/>
        <v>9990906</v>
      </c>
      <c r="CB154" s="32">
        <f t="shared" si="7"/>
        <v>92567</v>
      </c>
      <c r="CC154" s="32">
        <f t="shared" si="8"/>
        <v>953997</v>
      </c>
      <c r="CD154" s="41">
        <f t="shared" si="74"/>
        <v>1</v>
      </c>
      <c r="CE154" s="44">
        <f t="shared" si="10"/>
        <v>13</v>
      </c>
      <c r="CF154" s="27"/>
      <c r="CG154" s="28">
        <f t="shared" si="11"/>
        <v>1148.501005128205</v>
      </c>
      <c r="CH154" s="28">
        <f t="shared" si="12"/>
        <v>3.1077678258375037</v>
      </c>
      <c r="CI154" s="28">
        <f t="shared" si="13"/>
        <v>185.61946578267938</v>
      </c>
      <c r="CJ154" s="28">
        <f t="shared" si="14"/>
        <v>163.99727472667581</v>
      </c>
      <c r="CK154" s="23">
        <f t="shared" si="15"/>
        <v>9.7030703450849423E-2</v>
      </c>
      <c r="CL154" s="29" t="str">
        <f t="shared" si="16"/>
        <v/>
      </c>
      <c r="CM154" s="29" t="str">
        <f t="shared" si="17"/>
        <v/>
      </c>
      <c r="CN154" s="29" t="str">
        <f t="shared" si="18"/>
        <v/>
      </c>
      <c r="CO154" s="29" t="str">
        <f t="shared" si="19"/>
        <v/>
      </c>
      <c r="CP154" s="29" t="str">
        <f t="shared" si="20"/>
        <v/>
      </c>
      <c r="CQ154" s="29">
        <f t="shared" si="21"/>
        <v>0</v>
      </c>
      <c r="CR154" s="13"/>
      <c r="CS154" s="7">
        <f>VLOOKUP(A154,'Empresas 21-23'!$A$2:$M$228,13,0)</f>
        <v>1</v>
      </c>
      <c r="CT154" s="30"/>
      <c r="CU154" s="6">
        <f t="shared" si="22"/>
        <v>225945083.59999999</v>
      </c>
      <c r="CV154" s="6">
        <f t="shared" si="23"/>
        <v>10290173</v>
      </c>
      <c r="CW154" s="6">
        <f t="shared" si="24"/>
        <v>16680837</v>
      </c>
      <c r="CX154" s="23">
        <f t="shared" si="71"/>
        <v>0.7606602545399318</v>
      </c>
      <c r="CY154" s="23">
        <f t="shared" si="72"/>
        <v>3.4642602037302898E-2</v>
      </c>
      <c r="CZ154" s="6">
        <f t="shared" si="27"/>
        <v>238633533.31835911</v>
      </c>
      <c r="DA154" s="6">
        <f t="shared" si="28"/>
        <v>10868040.597840117</v>
      </c>
      <c r="DB154" s="6">
        <f t="shared" si="29"/>
        <v>11646879</v>
      </c>
      <c r="DC154" s="6">
        <f t="shared" si="30"/>
        <v>12699578</v>
      </c>
      <c r="DD154" s="6">
        <f t="shared" si="31"/>
        <v>6730422</v>
      </c>
      <c r="DE154" s="6">
        <f t="shared" si="32"/>
        <v>9990906</v>
      </c>
      <c r="DF154" s="6">
        <f t="shared" si="73"/>
        <v>7142709.3073121198</v>
      </c>
      <c r="DG154" s="30"/>
      <c r="DH154" s="32">
        <f>VLOOKUP(A154,'T_med_comp-USA'!$A$7:$Q$233,17,0)</f>
        <v>13.421813261713515</v>
      </c>
      <c r="DI154" s="6" t="str">
        <f t="shared" si="34"/>
        <v>8_2010</v>
      </c>
      <c r="DJ154" s="32">
        <f>IF(DI154="","",VLOOKUP(DI154,'CPI USA'!$T:$U,2,FALSE))</f>
        <v>218.05600000000001</v>
      </c>
      <c r="DK154" s="32">
        <f>IF(DI154="","",VLOOKUP(DI154,'PPI USA'!$S:$T,2,FALSE))</f>
        <v>160.80000000000001</v>
      </c>
      <c r="DL154" s="32">
        <f>IF(DI154="","",VLOOKUP(DI154,'CPI USA'!$T:$V,3,FALSE))</f>
        <v>0.67050107279443949</v>
      </c>
      <c r="DM154" s="32">
        <f>IF(DI154="","",VLOOKUP(DI154,'CPI USA'!$T:$X,5,FALSE))</f>
        <v>0.4987389730136107</v>
      </c>
      <c r="DN154" s="32">
        <f t="shared" si="35"/>
        <v>1.4703278680244813</v>
      </c>
      <c r="DO154" s="32">
        <f t="shared" si="36"/>
        <v>1.4857204383544427</v>
      </c>
      <c r="DP154" s="32">
        <f t="shared" si="37"/>
        <v>0.35318457416789512</v>
      </c>
      <c r="DQ154" s="32">
        <f>IF(DP154="","",DP154*$DO$1/'CPI USA'!$U$532+(1-DP154)*AVERAGE($DO$1,$DQ$1)/AVERAGE('CPI USA'!$U$532,'PPI USA'!$T$538))</f>
        <v>1.0391465102484139</v>
      </c>
      <c r="DR154" s="6">
        <f t="shared" si="38"/>
        <v>1522118</v>
      </c>
      <c r="DS154" s="32">
        <f t="shared" si="39"/>
        <v>0.22615491272315466</v>
      </c>
      <c r="DT154" s="28">
        <f>IF(DS154="","",DS154*$DO$1/'CPI USA'!$U$532+(1-DS154)*AVERAGE($DO$1,$DQ$1)/AVERAGE('CPI USA'!$U$532,'PPI USA'!$T$538))</f>
        <v>1.0420782125485444</v>
      </c>
      <c r="DU154" s="6">
        <f t="shared" si="40"/>
        <v>3379822</v>
      </c>
      <c r="DV154" s="6">
        <f t="shared" si="41"/>
        <v>140923.64538615616</v>
      </c>
      <c r="DW154" s="6">
        <f t="shared" si="42"/>
        <v>1964434.519418794</v>
      </c>
      <c r="DX154" s="16">
        <f t="shared" si="43"/>
        <v>0.27502652493610052</v>
      </c>
      <c r="DY154" s="28">
        <f>IF(DX154="","",DX154*$DO$1/'CPI USA'!$U$532+(1-DX154)*AVERAGE($DO$1,$DQ$1)/AVERAGE('CPI USA'!$U$532,'PPI USA'!$T$538))</f>
        <v>1.040950310479797</v>
      </c>
      <c r="DZ154" s="30"/>
      <c r="EA154" s="29" t="str">
        <f t="shared" si="44"/>
        <v>C002089</v>
      </c>
      <c r="EB154" s="29">
        <f t="shared" si="45"/>
        <v>350869534.28313196</v>
      </c>
      <c r="EC154" s="29">
        <f t="shared" si="46"/>
        <v>16146870.041076899</v>
      </c>
      <c r="ED154" s="29">
        <f t="shared" si="47"/>
        <v>13196722.160327531</v>
      </c>
      <c r="EE154" s="29">
        <f t="shared" si="48"/>
        <v>7013626.1274573989</v>
      </c>
      <c r="EF154" s="29">
        <f t="shared" si="49"/>
        <v>7435205.4711134871</v>
      </c>
      <c r="EG154" s="29">
        <f t="shared" si="50"/>
        <v>195</v>
      </c>
      <c r="EH154" s="29">
        <f t="shared" si="51"/>
        <v>62746</v>
      </c>
      <c r="EI154" s="29">
        <f t="shared" si="52"/>
        <v>92567</v>
      </c>
      <c r="EJ154" s="29">
        <f t="shared" si="53"/>
        <v>953997</v>
      </c>
      <c r="EK154" s="29">
        <f t="shared" si="54"/>
        <v>1046562.0659898478</v>
      </c>
      <c r="EL154" s="29">
        <f>IF(CD154=1,VLOOKUP(EA154,'EIA 2023'!$A$2:$J$213,4,0)*EH154,"")</f>
        <v>5333410</v>
      </c>
      <c r="EM154" s="29">
        <f>IF(CD154=1,VLOOKUP(EA154,'EIA 2023'!$A$2:$J$213,7,0)*EH154,"")</f>
        <v>52079.18</v>
      </c>
      <c r="EN154" s="29">
        <f>IF(CD154=1,VLOOKUP(EA154,'EIA 2023'!$A$2:$J$213,10,0),"")</f>
        <v>58709</v>
      </c>
      <c r="EO154" s="28">
        <f>IF(CD154=1,VLOOKUP(EA154,'EIA 2023'!$A$2:$Z$213,26,0),"")</f>
        <v>0</v>
      </c>
      <c r="EP154" s="23">
        <f t="shared" si="55"/>
        <v>8.8446800240460519E-2</v>
      </c>
      <c r="EQ154" s="32">
        <f t="shared" si="56"/>
        <v>1.9340101522842588</v>
      </c>
      <c r="ER154" s="32">
        <f t="shared" si="57"/>
        <v>92565.065989847717</v>
      </c>
      <c r="ES154" s="32"/>
      <c r="ET154" s="32"/>
    </row>
    <row r="155" spans="1:150" ht="15.75" customHeight="1">
      <c r="A155" s="7" t="s">
        <v>673</v>
      </c>
      <c r="B155" s="7" t="s">
        <v>674</v>
      </c>
      <c r="C155" s="32" t="s">
        <v>1240</v>
      </c>
      <c r="D155" s="42">
        <v>0</v>
      </c>
      <c r="E155" s="42">
        <v>0</v>
      </c>
      <c r="F155" s="42">
        <v>0</v>
      </c>
      <c r="G155" s="42">
        <v>0</v>
      </c>
      <c r="H155" s="42">
        <v>623853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f>IFERROR(VLOOKUP(A155,'Trans 21-23'!$A$2:$J$229,10,0),0)</f>
        <v>0</v>
      </c>
      <c r="Y155" s="42">
        <v>0</v>
      </c>
      <c r="Z155" s="42">
        <v>0</v>
      </c>
      <c r="AA155" s="42">
        <v>0</v>
      </c>
      <c r="AB155" s="42">
        <v>0</v>
      </c>
      <c r="AC155" s="42">
        <v>0</v>
      </c>
      <c r="AD155" s="42">
        <v>33464865</v>
      </c>
      <c r="AE155" s="42">
        <v>0</v>
      </c>
      <c r="AF155" s="42">
        <v>81517642</v>
      </c>
      <c r="AG155" s="42">
        <v>0</v>
      </c>
      <c r="AH155" s="42">
        <v>0</v>
      </c>
      <c r="AI155" s="42">
        <v>0</v>
      </c>
      <c r="AJ155" s="42">
        <v>0</v>
      </c>
      <c r="AK155" s="42">
        <v>0</v>
      </c>
      <c r="AL155" s="42">
        <v>0</v>
      </c>
      <c r="AM155" s="42">
        <v>0</v>
      </c>
      <c r="AN155" s="42">
        <v>0</v>
      </c>
      <c r="AO155" s="42">
        <v>0</v>
      </c>
      <c r="AP155" s="42">
        <v>0</v>
      </c>
      <c r="AQ155" s="42">
        <v>0</v>
      </c>
      <c r="AR155" s="42">
        <v>0</v>
      </c>
      <c r="AS155" s="42">
        <v>0</v>
      </c>
      <c r="AT155" s="42">
        <v>0</v>
      </c>
      <c r="AU155" s="42">
        <v>8546</v>
      </c>
      <c r="AV155" s="42">
        <v>0</v>
      </c>
      <c r="AW155" s="42">
        <v>0</v>
      </c>
      <c r="AX155" s="42">
        <v>0</v>
      </c>
      <c r="AY155" s="42">
        <v>0</v>
      </c>
      <c r="AZ155" s="42">
        <v>0</v>
      </c>
      <c r="BA155" s="42">
        <v>0</v>
      </c>
      <c r="BB155" s="42">
        <v>0</v>
      </c>
      <c r="BC155" s="42">
        <v>3397974924</v>
      </c>
      <c r="BD155" s="42">
        <v>135503355</v>
      </c>
      <c r="BE155" s="42">
        <v>0</v>
      </c>
      <c r="BF155" s="42">
        <v>0</v>
      </c>
      <c r="BG155" s="42">
        <v>0</v>
      </c>
      <c r="BH155" s="42">
        <v>0</v>
      </c>
      <c r="BI155" s="42">
        <v>0</v>
      </c>
      <c r="BJ155" s="42">
        <v>0</v>
      </c>
      <c r="BK155" s="42">
        <v>0</v>
      </c>
      <c r="BL155" s="42">
        <v>0</v>
      </c>
      <c r="BM155" s="42">
        <v>8390204</v>
      </c>
      <c r="BN155" s="42">
        <v>11869607</v>
      </c>
      <c r="BO155" s="42">
        <v>0</v>
      </c>
      <c r="BP155" s="42">
        <v>222242</v>
      </c>
      <c r="BQ155" s="42">
        <v>25466589</v>
      </c>
      <c r="BR155" s="42">
        <v>0</v>
      </c>
      <c r="BS155" s="42">
        <f>IFERROR(VLOOKUP(A155,'Trans 21-23'!$A$2:$J$229,9,0),0)</f>
        <v>0</v>
      </c>
      <c r="BT155" s="67"/>
      <c r="BU155" s="32">
        <f t="shared" si="0"/>
        <v>0</v>
      </c>
      <c r="BV155" s="32">
        <f t="shared" si="1"/>
        <v>8546</v>
      </c>
      <c r="BW155" s="32">
        <f t="shared" si="2"/>
        <v>0</v>
      </c>
      <c r="BX155" s="32">
        <f t="shared" si="3"/>
        <v>0</v>
      </c>
      <c r="BY155" s="32">
        <f t="shared" si="4"/>
        <v>0</v>
      </c>
      <c r="BZ155" s="32">
        <f t="shared" si="5"/>
        <v>0</v>
      </c>
      <c r="CA155" s="32">
        <f t="shared" si="6"/>
        <v>33464865</v>
      </c>
      <c r="CB155" s="32">
        <f t="shared" si="7"/>
        <v>0</v>
      </c>
      <c r="CC155" s="32">
        <f t="shared" si="8"/>
        <v>0</v>
      </c>
      <c r="CD155" s="41">
        <f t="shared" si="74"/>
        <v>0</v>
      </c>
      <c r="CE155" s="44">
        <f t="shared" si="10"/>
        <v>58</v>
      </c>
      <c r="CF155" s="27"/>
      <c r="CG155" s="28" t="str">
        <f t="shared" si="11"/>
        <v/>
      </c>
      <c r="CH155" s="28" t="str">
        <f t="shared" si="12"/>
        <v/>
      </c>
      <c r="CI155" s="28" t="str">
        <f t="shared" si="13"/>
        <v/>
      </c>
      <c r="CJ155" s="28" t="str">
        <f t="shared" si="14"/>
        <v/>
      </c>
      <c r="CK155" s="23" t="str">
        <f t="shared" si="15"/>
        <v/>
      </c>
      <c r="CL155" s="29" t="str">
        <f t="shared" si="16"/>
        <v/>
      </c>
      <c r="CM155" s="29" t="str">
        <f t="shared" si="17"/>
        <v/>
      </c>
      <c r="CN155" s="29" t="str">
        <f t="shared" si="18"/>
        <v/>
      </c>
      <c r="CO155" s="29" t="str">
        <f t="shared" si="19"/>
        <v/>
      </c>
      <c r="CP155" s="29" t="str">
        <f t="shared" si="20"/>
        <v/>
      </c>
      <c r="CQ155" s="29" t="str">
        <f t="shared" si="21"/>
        <v/>
      </c>
      <c r="CR155" s="13"/>
      <c r="CS155" s="7" t="str">
        <f>VLOOKUP(A155,'Empresas 21-23'!$A$2:$M$228,13,0)</f>
        <v/>
      </c>
      <c r="CT155" s="30"/>
      <c r="CU155" s="6">
        <f t="shared" si="22"/>
        <v>0</v>
      </c>
      <c r="CV155" s="6">
        <f t="shared" si="23"/>
        <v>0</v>
      </c>
      <c r="CW155" s="6">
        <f t="shared" si="24"/>
        <v>135503355</v>
      </c>
      <c r="CX155" s="23">
        <f t="shared" si="71"/>
        <v>0</v>
      </c>
      <c r="CY155" s="23">
        <f t="shared" si="72"/>
        <v>0</v>
      </c>
      <c r="CZ155" s="6">
        <f t="shared" si="27"/>
        <v>0</v>
      </c>
      <c r="DA155" s="6">
        <f t="shared" si="28"/>
        <v>0</v>
      </c>
      <c r="DB155" s="6">
        <f t="shared" si="29"/>
        <v>0</v>
      </c>
      <c r="DC155" s="6">
        <f t="shared" si="30"/>
        <v>0</v>
      </c>
      <c r="DD155" s="6">
        <f t="shared" si="31"/>
        <v>0</v>
      </c>
      <c r="DE155" s="6">
        <f t="shared" si="32"/>
        <v>33464865</v>
      </c>
      <c r="DF155" s="6">
        <f t="shared" si="73"/>
        <v>0</v>
      </c>
      <c r="DG155" s="30"/>
      <c r="DH155" s="32" t="str">
        <f>VLOOKUP(A155,'T_med_comp-USA'!$A$7:$Q$233,17,0)</f>
        <v>-</v>
      </c>
      <c r="DI155" s="6" t="str">
        <f t="shared" si="34"/>
        <v/>
      </c>
      <c r="DJ155" s="32" t="str">
        <f>IF(DI155="","",VLOOKUP(DI155,'CPI USA'!$T:$U,2,FALSE))</f>
        <v/>
      </c>
      <c r="DK155" s="32" t="str">
        <f>IF(DI155="","",VLOOKUP(DI155,'PPI USA'!$S:$T,2,FALSE))</f>
        <v/>
      </c>
      <c r="DL155" s="32" t="str">
        <f>IF(DI155="","",VLOOKUP(DI155,'CPI USA'!$T:$V,3,FALSE))</f>
        <v/>
      </c>
      <c r="DM155" s="32" t="str">
        <f>IF(DI155="","",VLOOKUP(DI155,'CPI USA'!$T:$X,5,FALSE))</f>
        <v/>
      </c>
      <c r="DN155" s="32" t="str">
        <f t="shared" si="35"/>
        <v/>
      </c>
      <c r="DO155" s="32" t="str">
        <f t="shared" si="36"/>
        <v/>
      </c>
      <c r="DP155" s="32" t="str">
        <f t="shared" si="37"/>
        <v/>
      </c>
      <c r="DQ155" s="32" t="str">
        <f>IF(DP155="","",DP155*$DO$1/'CPI USA'!$U$532+(1-DP155)*AVERAGE($DO$1,$DQ$1)/AVERAGE('CPI USA'!$U$532,'PPI USA'!$T$538))</f>
        <v/>
      </c>
      <c r="DR155" s="6">
        <f t="shared" si="38"/>
        <v>0</v>
      </c>
      <c r="DS155" s="32" t="str">
        <f t="shared" si="39"/>
        <v/>
      </c>
      <c r="DT155" s="28" t="str">
        <f>IF(DS155="","",DS155*$DO$1/'CPI USA'!$U$532+(1-DS155)*AVERAGE($DO$1,$DQ$1)/AVERAGE('CPI USA'!$U$532,'PPI USA'!$T$538))</f>
        <v/>
      </c>
      <c r="DU155" s="6" t="str">
        <f t="shared" si="40"/>
        <v/>
      </c>
      <c r="DV155" s="6">
        <f t="shared" si="41"/>
        <v>73864.288007449737</v>
      </c>
      <c r="DW155" s="6">
        <f t="shared" si="42"/>
        <v>0</v>
      </c>
      <c r="DX155" s="16" t="str">
        <f t="shared" si="43"/>
        <v/>
      </c>
      <c r="DY155" s="28" t="str">
        <f>IF(DX155="","",DX155*$DO$1/'CPI USA'!$U$532+(1-DX155)*AVERAGE($DO$1,$DQ$1)/AVERAGE('CPI USA'!$U$532,'PPI USA'!$T$538))</f>
        <v/>
      </c>
      <c r="DZ155" s="30"/>
      <c r="EA155" s="29" t="str">
        <f t="shared" si="44"/>
        <v>C002101</v>
      </c>
      <c r="EB155" s="29" t="str">
        <f t="shared" si="45"/>
        <v/>
      </c>
      <c r="EC155" s="29" t="str">
        <f t="shared" si="46"/>
        <v/>
      </c>
      <c r="ED155" s="29" t="str">
        <f t="shared" si="47"/>
        <v/>
      </c>
      <c r="EE155" s="29" t="str">
        <f t="shared" si="48"/>
        <v/>
      </c>
      <c r="EF155" s="29" t="str">
        <f t="shared" si="49"/>
        <v/>
      </c>
      <c r="EG155" s="29" t="str">
        <f t="shared" si="50"/>
        <v/>
      </c>
      <c r="EH155" s="29" t="str">
        <f t="shared" si="51"/>
        <v/>
      </c>
      <c r="EI155" s="29" t="str">
        <f t="shared" si="52"/>
        <v/>
      </c>
      <c r="EJ155" s="29" t="str">
        <f t="shared" si="53"/>
        <v/>
      </c>
      <c r="EK155" s="29" t="str">
        <f t="shared" si="54"/>
        <v/>
      </c>
      <c r="EL155" s="29" t="str">
        <f>IF(CD155=1,VLOOKUP(EA155,'EIA 2023'!$A$2:$J$213,4,0)*EH155,"")</f>
        <v/>
      </c>
      <c r="EM155" s="29" t="str">
        <f>IF(CD155=1,VLOOKUP(EA155,'EIA 2023'!$A$2:$J$213,7,0)*EH155,"")</f>
        <v/>
      </c>
      <c r="EN155" s="29" t="str">
        <f>IF(CD155=1,VLOOKUP(EA155,'EIA 2023'!$A$2:$J$213,10,0),"")</f>
        <v/>
      </c>
      <c r="EO155" s="28" t="str">
        <f>IF(CD155=1,VLOOKUP(EA155,'EIA 2023'!$A$2:$Z$213,26,0),"")</f>
        <v/>
      </c>
      <c r="EP155" s="23" t="str">
        <f t="shared" si="55"/>
        <v/>
      </c>
      <c r="EQ155" s="32" t="str">
        <f t="shared" si="56"/>
        <v/>
      </c>
      <c r="ER155" s="32" t="str">
        <f t="shared" si="57"/>
        <v/>
      </c>
      <c r="ES155" s="32"/>
      <c r="ET155" s="32"/>
    </row>
    <row r="156" spans="1:150" ht="15.75" customHeight="1">
      <c r="A156" s="7" t="s">
        <v>676</v>
      </c>
      <c r="B156" s="7" t="s">
        <v>677</v>
      </c>
      <c r="C156" s="32" t="s">
        <v>1241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f>IFERROR(VLOOKUP(A156,'Trans 21-23'!$A$2:$J$229,10,0),0)</f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180734</v>
      </c>
      <c r="AE156" s="42">
        <v>0</v>
      </c>
      <c r="AF156" s="42">
        <v>180734</v>
      </c>
      <c r="AG156" s="42">
        <v>9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2">
        <v>0</v>
      </c>
      <c r="AR156" s="42">
        <v>0</v>
      </c>
      <c r="AS156" s="42">
        <v>0</v>
      </c>
      <c r="AT156" s="42">
        <v>0</v>
      </c>
      <c r="AU156" s="42">
        <v>0</v>
      </c>
      <c r="AV156" s="42">
        <v>0</v>
      </c>
      <c r="AW156" s="42">
        <v>0</v>
      </c>
      <c r="AX156" s="42">
        <v>0</v>
      </c>
      <c r="AY156" s="42">
        <v>0</v>
      </c>
      <c r="AZ156" s="42">
        <v>0</v>
      </c>
      <c r="BA156" s="42">
        <v>0</v>
      </c>
      <c r="BB156" s="42">
        <v>0</v>
      </c>
      <c r="BC156" s="42">
        <v>0</v>
      </c>
      <c r="BD156" s="42">
        <v>0</v>
      </c>
      <c r="BE156" s="42">
        <v>0</v>
      </c>
      <c r="BF156" s="42">
        <v>0</v>
      </c>
      <c r="BG156" s="42">
        <v>0</v>
      </c>
      <c r="BH156" s="42">
        <v>0</v>
      </c>
      <c r="BI156" s="42">
        <v>0</v>
      </c>
      <c r="BJ156" s="42">
        <v>0</v>
      </c>
      <c r="BK156" s="42">
        <v>0</v>
      </c>
      <c r="BL156" s="42">
        <v>0</v>
      </c>
      <c r="BM156" s="42">
        <v>0</v>
      </c>
      <c r="BN156" s="42">
        <v>0</v>
      </c>
      <c r="BO156" s="42">
        <v>0</v>
      </c>
      <c r="BP156" s="42">
        <v>1572346</v>
      </c>
      <c r="BQ156" s="42">
        <v>1572346</v>
      </c>
      <c r="BR156" s="42">
        <v>0</v>
      </c>
      <c r="BS156" s="42">
        <f>IFERROR(VLOOKUP(A156,'Trans 21-23'!$A$2:$J$229,9,0),0)</f>
        <v>0</v>
      </c>
      <c r="BT156" s="67"/>
      <c r="BU156" s="32">
        <f t="shared" si="0"/>
        <v>0</v>
      </c>
      <c r="BV156" s="32">
        <f t="shared" si="1"/>
        <v>0</v>
      </c>
      <c r="BW156" s="32">
        <f t="shared" si="2"/>
        <v>9</v>
      </c>
      <c r="BX156" s="32">
        <f t="shared" si="3"/>
        <v>0</v>
      </c>
      <c r="BY156" s="32">
        <f t="shared" si="4"/>
        <v>0</v>
      </c>
      <c r="BZ156" s="32">
        <f t="shared" si="5"/>
        <v>0</v>
      </c>
      <c r="CA156" s="32">
        <f t="shared" si="6"/>
        <v>180734</v>
      </c>
      <c r="CB156" s="32">
        <f t="shared" si="7"/>
        <v>0</v>
      </c>
      <c r="CC156" s="32">
        <f t="shared" si="8"/>
        <v>0</v>
      </c>
      <c r="CD156" s="41">
        <f t="shared" si="74"/>
        <v>0</v>
      </c>
      <c r="CE156" s="44">
        <f t="shared" si="10"/>
        <v>63</v>
      </c>
      <c r="CF156" s="27"/>
      <c r="CG156" s="28" t="str">
        <f t="shared" si="11"/>
        <v/>
      </c>
      <c r="CH156" s="28" t="str">
        <f t="shared" si="12"/>
        <v/>
      </c>
      <c r="CI156" s="28" t="str">
        <f t="shared" si="13"/>
        <v/>
      </c>
      <c r="CJ156" s="28" t="str">
        <f t="shared" si="14"/>
        <v/>
      </c>
      <c r="CK156" s="23" t="str">
        <f t="shared" si="15"/>
        <v/>
      </c>
      <c r="CL156" s="29" t="str">
        <f t="shared" si="16"/>
        <v/>
      </c>
      <c r="CM156" s="29" t="str">
        <f t="shared" si="17"/>
        <v/>
      </c>
      <c r="CN156" s="29" t="str">
        <f t="shared" si="18"/>
        <v/>
      </c>
      <c r="CO156" s="29" t="str">
        <f t="shared" si="19"/>
        <v/>
      </c>
      <c r="CP156" s="29" t="str">
        <f t="shared" si="20"/>
        <v/>
      </c>
      <c r="CQ156" s="29" t="str">
        <f t="shared" si="21"/>
        <v/>
      </c>
      <c r="CR156" s="13"/>
      <c r="CS156" s="7" t="str">
        <f>VLOOKUP(A156,'Empresas 21-23'!$A$2:$M$228,13,0)</f>
        <v/>
      </c>
      <c r="CT156" s="30"/>
      <c r="CU156" s="6">
        <f t="shared" si="22"/>
        <v>0</v>
      </c>
      <c r="CV156" s="6">
        <f t="shared" si="23"/>
        <v>0</v>
      </c>
      <c r="CW156" s="6">
        <f t="shared" si="24"/>
        <v>0</v>
      </c>
      <c r="CX156" s="23" t="str">
        <f t="shared" ref="CX156:CX157" si="75">IFERROR(CU156/(BC156-BD156),"")</f>
        <v/>
      </c>
      <c r="CY156" s="23" t="str">
        <f t="shared" ref="CY156:CY157" si="76">IFERROR(CV156/(BC156-BD156),"")</f>
        <v/>
      </c>
      <c r="CZ156" s="6" t="e">
        <f t="shared" si="27"/>
        <v>#VALUE!</v>
      </c>
      <c r="DA156" s="6" t="e">
        <f t="shared" si="28"/>
        <v>#VALUE!</v>
      </c>
      <c r="DB156" s="6">
        <f t="shared" si="29"/>
        <v>0</v>
      </c>
      <c r="DC156" s="6">
        <f t="shared" si="30"/>
        <v>0</v>
      </c>
      <c r="DD156" s="6">
        <f t="shared" si="31"/>
        <v>0</v>
      </c>
      <c r="DE156" s="6">
        <f t="shared" si="32"/>
        <v>180734</v>
      </c>
      <c r="DF156" s="6" t="str">
        <f t="shared" ref="DF156:DF157" si="77">IFERROR(DE156*(DC156+DD156)/(AF156-AD156-F156-H156-E156-D156),"")</f>
        <v/>
      </c>
      <c r="DG156" s="30"/>
      <c r="DH156" s="32" t="str">
        <f>VLOOKUP(A156,'T_med_comp-USA'!$A$7:$Q$233,17,0)</f>
        <v>-</v>
      </c>
      <c r="DI156" s="6" t="str">
        <f t="shared" si="34"/>
        <v/>
      </c>
      <c r="DJ156" s="32" t="str">
        <f>IF(DI156="","",VLOOKUP(DI156,'CPI USA'!$T:$U,2,FALSE))</f>
        <v/>
      </c>
      <c r="DK156" s="32" t="str">
        <f>IF(DI156="","",VLOOKUP(DI156,'PPI USA'!$S:$T,2,FALSE))</f>
        <v/>
      </c>
      <c r="DL156" s="32" t="str">
        <f>IF(DI156="","",VLOOKUP(DI156,'CPI USA'!$T:$V,3,FALSE))</f>
        <v/>
      </c>
      <c r="DM156" s="32" t="str">
        <f>IF(DI156="","",VLOOKUP(DI156,'CPI USA'!$T:$X,5,FALSE))</f>
        <v/>
      </c>
      <c r="DN156" s="32" t="str">
        <f t="shared" si="35"/>
        <v/>
      </c>
      <c r="DO156" s="32" t="str">
        <f t="shared" si="36"/>
        <v/>
      </c>
      <c r="DP156" s="32" t="str">
        <f t="shared" si="37"/>
        <v/>
      </c>
      <c r="DQ156" s="32" t="str">
        <f>IF(DP156="","",DP156*$DO$1/'CPI USA'!$U$532+(1-DP156)*AVERAGE($DO$1,$DQ$1)/AVERAGE('CPI USA'!$U$532,'PPI USA'!$T$538))</f>
        <v/>
      </c>
      <c r="DR156" s="6">
        <f t="shared" si="38"/>
        <v>0</v>
      </c>
      <c r="DS156" s="32" t="str">
        <f t="shared" si="39"/>
        <v/>
      </c>
      <c r="DT156" s="28" t="str">
        <f>IF(DS156="","",DS156*$DO$1/'CPI USA'!$U$532+(1-DS156)*AVERAGE($DO$1,$DQ$1)/AVERAGE('CPI USA'!$U$532,'PPI USA'!$T$538))</f>
        <v/>
      </c>
      <c r="DU156" s="6" t="str">
        <f t="shared" si="40"/>
        <v/>
      </c>
      <c r="DV156" s="6" t="str">
        <f t="shared" ref="DV156:DV157" si="78">IFERROR(IF(BQ156=0,"",BP156/(BQ156-BP156)*BM156),"")</f>
        <v/>
      </c>
      <c r="DW156" s="6">
        <f t="shared" si="42"/>
        <v>0</v>
      </c>
      <c r="DX156" s="16" t="e">
        <f t="shared" si="43"/>
        <v>#VALUE!</v>
      </c>
      <c r="DY156" s="28" t="e">
        <f>IF(DX156="","",DX156*$DO$1/'CPI USA'!$U$532+(1-DX156)*AVERAGE($DO$1,$DQ$1)/AVERAGE('CPI USA'!$U$532,'PPI USA'!$T$538))</f>
        <v>#VALUE!</v>
      </c>
      <c r="DZ156" s="30"/>
      <c r="EA156" s="29" t="str">
        <f t="shared" si="44"/>
        <v>C002115</v>
      </c>
      <c r="EB156" s="29" t="str">
        <f t="shared" si="45"/>
        <v/>
      </c>
      <c r="EC156" s="29" t="str">
        <f t="shared" si="46"/>
        <v/>
      </c>
      <c r="ED156" s="29" t="str">
        <f t="shared" si="47"/>
        <v/>
      </c>
      <c r="EE156" s="29" t="str">
        <f t="shared" si="48"/>
        <v/>
      </c>
      <c r="EF156" s="29" t="str">
        <f t="shared" si="49"/>
        <v/>
      </c>
      <c r="EG156" s="29" t="str">
        <f t="shared" si="50"/>
        <v/>
      </c>
      <c r="EH156" s="29" t="str">
        <f t="shared" si="51"/>
        <v/>
      </c>
      <c r="EI156" s="29" t="str">
        <f t="shared" si="52"/>
        <v/>
      </c>
      <c r="EJ156" s="29" t="str">
        <f t="shared" si="53"/>
        <v/>
      </c>
      <c r="EK156" s="29" t="str">
        <f t="shared" si="54"/>
        <v/>
      </c>
      <c r="EL156" s="29" t="str">
        <f>IF(CD156=1,VLOOKUP(EA156,'EIA 2023'!$A$2:$J$213,4,0)*EH156,"")</f>
        <v/>
      </c>
      <c r="EM156" s="29" t="str">
        <f>IF(CD156=1,VLOOKUP(EA156,'EIA 2023'!$A$2:$J$213,7,0)*EH156,"")</f>
        <v/>
      </c>
      <c r="EN156" s="29" t="str">
        <f>IF(CD156=1,VLOOKUP(EA156,'EIA 2023'!$A$2:$J$213,10,0),"")</f>
        <v/>
      </c>
      <c r="EO156" s="28" t="str">
        <f>IF(CD156=1,VLOOKUP(EA156,'EIA 2023'!$A$2:$Z$213,26,0),"")</f>
        <v/>
      </c>
      <c r="EP156" s="23" t="str">
        <f t="shared" si="55"/>
        <v/>
      </c>
      <c r="EQ156" s="32" t="str">
        <f t="shared" si="56"/>
        <v/>
      </c>
      <c r="ER156" s="32" t="str">
        <f t="shared" si="57"/>
        <v/>
      </c>
      <c r="ES156" s="32"/>
      <c r="ET156" s="32"/>
    </row>
    <row r="157" spans="1:150" ht="15.75" customHeight="1">
      <c r="A157" s="7" t="s">
        <v>679</v>
      </c>
      <c r="B157" s="7" t="s">
        <v>680</v>
      </c>
      <c r="C157" s="32" t="s">
        <v>1242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f>IFERROR(VLOOKUP(A157,'Trans 21-23'!$A$2:$J$229,10,0),0)</f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11573</v>
      </c>
      <c r="AE157" s="42">
        <v>0</v>
      </c>
      <c r="AF157" s="42">
        <v>11573</v>
      </c>
      <c r="AG157" s="42">
        <v>9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2">
        <v>0</v>
      </c>
      <c r="AR157" s="42">
        <v>0</v>
      </c>
      <c r="AS157" s="42">
        <v>0</v>
      </c>
      <c r="AT157" s="42">
        <v>0</v>
      </c>
      <c r="AU157" s="42">
        <v>0</v>
      </c>
      <c r="AV157" s="42">
        <v>0</v>
      </c>
      <c r="AW157" s="42">
        <v>0</v>
      </c>
      <c r="AX157" s="42">
        <v>0</v>
      </c>
      <c r="AY157" s="42">
        <v>0</v>
      </c>
      <c r="AZ157" s="42">
        <v>0</v>
      </c>
      <c r="BA157" s="42">
        <v>0</v>
      </c>
      <c r="BB157" s="42">
        <v>0</v>
      </c>
      <c r="BC157" s="42">
        <v>0</v>
      </c>
      <c r="BD157" s="42">
        <v>0</v>
      </c>
      <c r="BE157" s="42">
        <v>0</v>
      </c>
      <c r="BF157" s="42">
        <v>0</v>
      </c>
      <c r="BG157" s="42">
        <v>0</v>
      </c>
      <c r="BH157" s="42">
        <v>0</v>
      </c>
      <c r="BI157" s="42">
        <v>0</v>
      </c>
      <c r="BJ157" s="42">
        <v>0</v>
      </c>
      <c r="BK157" s="42">
        <v>0</v>
      </c>
      <c r="BL157" s="42">
        <v>0</v>
      </c>
      <c r="BM157" s="42">
        <v>0</v>
      </c>
      <c r="BN157" s="42">
        <v>0</v>
      </c>
      <c r="BO157" s="42">
        <v>0</v>
      </c>
      <c r="BP157" s="42">
        <v>2713759</v>
      </c>
      <c r="BQ157" s="42">
        <v>2713759</v>
      </c>
      <c r="BR157" s="42">
        <v>0</v>
      </c>
      <c r="BS157" s="42">
        <f>IFERROR(VLOOKUP(A157,'Trans 21-23'!$A$2:$J$229,9,0),0)</f>
        <v>0</v>
      </c>
      <c r="BT157" s="67"/>
      <c r="BU157" s="32">
        <f t="shared" si="0"/>
        <v>0</v>
      </c>
      <c r="BV157" s="32">
        <f t="shared" si="1"/>
        <v>0</v>
      </c>
      <c r="BW157" s="32">
        <f t="shared" si="2"/>
        <v>9</v>
      </c>
      <c r="BX157" s="32">
        <f t="shared" si="3"/>
        <v>0</v>
      </c>
      <c r="BY157" s="32">
        <f t="shared" si="4"/>
        <v>0</v>
      </c>
      <c r="BZ157" s="32">
        <f t="shared" si="5"/>
        <v>0</v>
      </c>
      <c r="CA157" s="32">
        <f t="shared" si="6"/>
        <v>11573</v>
      </c>
      <c r="CB157" s="32">
        <f t="shared" si="7"/>
        <v>0</v>
      </c>
      <c r="CC157" s="32">
        <f t="shared" si="8"/>
        <v>0</v>
      </c>
      <c r="CD157" s="41">
        <f t="shared" si="74"/>
        <v>0</v>
      </c>
      <c r="CE157" s="44">
        <f t="shared" si="10"/>
        <v>63</v>
      </c>
      <c r="CF157" s="27"/>
      <c r="CG157" s="28" t="str">
        <f t="shared" si="11"/>
        <v/>
      </c>
      <c r="CH157" s="28" t="str">
        <f t="shared" si="12"/>
        <v/>
      </c>
      <c r="CI157" s="28" t="str">
        <f t="shared" si="13"/>
        <v/>
      </c>
      <c r="CJ157" s="28" t="str">
        <f t="shared" si="14"/>
        <v/>
      </c>
      <c r="CK157" s="23" t="str">
        <f t="shared" si="15"/>
        <v/>
      </c>
      <c r="CL157" s="29" t="str">
        <f t="shared" si="16"/>
        <v/>
      </c>
      <c r="CM157" s="29" t="str">
        <f t="shared" si="17"/>
        <v/>
      </c>
      <c r="CN157" s="29" t="str">
        <f t="shared" si="18"/>
        <v/>
      </c>
      <c r="CO157" s="29" t="str">
        <f t="shared" si="19"/>
        <v/>
      </c>
      <c r="CP157" s="29" t="str">
        <f t="shared" si="20"/>
        <v/>
      </c>
      <c r="CQ157" s="29" t="str">
        <f t="shared" si="21"/>
        <v/>
      </c>
      <c r="CR157" s="13"/>
      <c r="CS157" s="7" t="str">
        <f>VLOOKUP(A157,'Empresas 21-23'!$A$2:$M$228,13,0)</f>
        <v/>
      </c>
      <c r="CT157" s="30"/>
      <c r="CU157" s="6">
        <f t="shared" si="22"/>
        <v>0</v>
      </c>
      <c r="CV157" s="6">
        <f t="shared" si="23"/>
        <v>0</v>
      </c>
      <c r="CW157" s="6">
        <f t="shared" si="24"/>
        <v>0</v>
      </c>
      <c r="CX157" s="23" t="str">
        <f t="shared" si="75"/>
        <v/>
      </c>
      <c r="CY157" s="23" t="str">
        <f t="shared" si="76"/>
        <v/>
      </c>
      <c r="CZ157" s="6" t="e">
        <f t="shared" si="27"/>
        <v>#VALUE!</v>
      </c>
      <c r="DA157" s="6" t="e">
        <f t="shared" si="28"/>
        <v>#VALUE!</v>
      </c>
      <c r="DB157" s="6">
        <f t="shared" si="29"/>
        <v>0</v>
      </c>
      <c r="DC157" s="6">
        <f t="shared" si="30"/>
        <v>0</v>
      </c>
      <c r="DD157" s="6">
        <f t="shared" si="31"/>
        <v>0</v>
      </c>
      <c r="DE157" s="6">
        <f t="shared" si="32"/>
        <v>11573</v>
      </c>
      <c r="DF157" s="6" t="str">
        <f t="shared" si="77"/>
        <v/>
      </c>
      <c r="DG157" s="30"/>
      <c r="DH157" s="32" t="str">
        <f>VLOOKUP(A157,'T_med_comp-USA'!$A$7:$Q$233,17,0)</f>
        <v>-</v>
      </c>
      <c r="DI157" s="6" t="str">
        <f t="shared" si="34"/>
        <v/>
      </c>
      <c r="DJ157" s="32" t="str">
        <f>IF(DI157="","",VLOOKUP(DI157,'CPI USA'!$T:$U,2,FALSE))</f>
        <v/>
      </c>
      <c r="DK157" s="32" t="str">
        <f>IF(DI157="","",VLOOKUP(DI157,'PPI USA'!$S:$T,2,FALSE))</f>
        <v/>
      </c>
      <c r="DL157" s="32" t="str">
        <f>IF(DI157="","",VLOOKUP(DI157,'CPI USA'!$T:$V,3,FALSE))</f>
        <v/>
      </c>
      <c r="DM157" s="32" t="str">
        <f>IF(DI157="","",VLOOKUP(DI157,'CPI USA'!$T:$X,5,FALSE))</f>
        <v/>
      </c>
      <c r="DN157" s="32" t="str">
        <f t="shared" si="35"/>
        <v/>
      </c>
      <c r="DO157" s="32" t="str">
        <f t="shared" si="36"/>
        <v/>
      </c>
      <c r="DP157" s="32" t="str">
        <f t="shared" si="37"/>
        <v/>
      </c>
      <c r="DQ157" s="32" t="str">
        <f>IF(DP157="","",DP157*$DO$1/'CPI USA'!$U$532+(1-DP157)*AVERAGE($DO$1,$DQ$1)/AVERAGE('CPI USA'!$U$532,'PPI USA'!$T$538))</f>
        <v/>
      </c>
      <c r="DR157" s="6">
        <f t="shared" si="38"/>
        <v>0</v>
      </c>
      <c r="DS157" s="32" t="str">
        <f t="shared" si="39"/>
        <v/>
      </c>
      <c r="DT157" s="28" t="str">
        <f>IF(DS157="","",DS157*$DO$1/'CPI USA'!$U$532+(1-DS157)*AVERAGE($DO$1,$DQ$1)/AVERAGE('CPI USA'!$U$532,'PPI USA'!$T$538))</f>
        <v/>
      </c>
      <c r="DU157" s="6" t="str">
        <f t="shared" si="40"/>
        <v/>
      </c>
      <c r="DV157" s="6" t="str">
        <f t="shared" si="78"/>
        <v/>
      </c>
      <c r="DW157" s="6">
        <f t="shared" si="42"/>
        <v>0</v>
      </c>
      <c r="DX157" s="16" t="e">
        <f t="shared" si="43"/>
        <v>#VALUE!</v>
      </c>
      <c r="DY157" s="28" t="e">
        <f>IF(DX157="","",DX157*$DO$1/'CPI USA'!$U$532+(1-DX157)*AVERAGE($DO$1,$DQ$1)/AVERAGE('CPI USA'!$U$532,'PPI USA'!$T$538))</f>
        <v>#VALUE!</v>
      </c>
      <c r="DZ157" s="30"/>
      <c r="EA157" s="29" t="str">
        <f t="shared" si="44"/>
        <v>C002116</v>
      </c>
      <c r="EB157" s="29" t="str">
        <f t="shared" si="45"/>
        <v/>
      </c>
      <c r="EC157" s="29" t="str">
        <f t="shared" si="46"/>
        <v/>
      </c>
      <c r="ED157" s="29" t="str">
        <f t="shared" si="47"/>
        <v/>
      </c>
      <c r="EE157" s="29" t="str">
        <f t="shared" si="48"/>
        <v/>
      </c>
      <c r="EF157" s="29" t="str">
        <f t="shared" si="49"/>
        <v/>
      </c>
      <c r="EG157" s="29" t="str">
        <f t="shared" si="50"/>
        <v/>
      </c>
      <c r="EH157" s="29" t="str">
        <f t="shared" si="51"/>
        <v/>
      </c>
      <c r="EI157" s="29" t="str">
        <f t="shared" si="52"/>
        <v/>
      </c>
      <c r="EJ157" s="29" t="str">
        <f t="shared" si="53"/>
        <v/>
      </c>
      <c r="EK157" s="29" t="str">
        <f t="shared" si="54"/>
        <v/>
      </c>
      <c r="EL157" s="29" t="str">
        <f>IF(CD157=1,VLOOKUP(EA157,'EIA 2023'!$A$2:$J$213,4,0)*EH157,"")</f>
        <v/>
      </c>
      <c r="EM157" s="29" t="str">
        <f>IF(CD157=1,VLOOKUP(EA157,'EIA 2023'!$A$2:$J$213,7,0)*EH157,"")</f>
        <v/>
      </c>
      <c r="EN157" s="29" t="str">
        <f>IF(CD157=1,VLOOKUP(EA157,'EIA 2023'!$A$2:$J$213,10,0),"")</f>
        <v/>
      </c>
      <c r="EO157" s="28" t="str">
        <f>IF(CD157=1,VLOOKUP(EA157,'EIA 2023'!$A$2:$Z$213,26,0),"")</f>
        <v/>
      </c>
      <c r="EP157" s="23" t="str">
        <f t="shared" si="55"/>
        <v/>
      </c>
      <c r="EQ157" s="32" t="str">
        <f t="shared" si="56"/>
        <v/>
      </c>
      <c r="ER157" s="32" t="str">
        <f t="shared" si="57"/>
        <v/>
      </c>
      <c r="ES157" s="32"/>
      <c r="ET157" s="32"/>
    </row>
    <row r="158" spans="1:150" ht="15.75" customHeight="1">
      <c r="A158" s="7" t="s">
        <v>682</v>
      </c>
      <c r="B158" s="7" t="s">
        <v>683</v>
      </c>
      <c r="C158" s="32" t="s">
        <v>1243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f>IFERROR(VLOOKUP(A158,'Trans 21-23'!$A$2:$J$229,10,0),0)</f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6878342</v>
      </c>
      <c r="AE158" s="42">
        <v>0</v>
      </c>
      <c r="AF158" s="42">
        <v>10372832</v>
      </c>
      <c r="AG158" s="42">
        <v>0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0</v>
      </c>
      <c r="AN158" s="42">
        <v>0</v>
      </c>
      <c r="AO158" s="42">
        <v>0</v>
      </c>
      <c r="AP158" s="42">
        <v>0</v>
      </c>
      <c r="AQ158" s="42">
        <v>0</v>
      </c>
      <c r="AR158" s="42">
        <v>0</v>
      </c>
      <c r="AS158" s="42">
        <v>0</v>
      </c>
      <c r="AT158" s="42">
        <v>0</v>
      </c>
      <c r="AU158" s="42">
        <v>0</v>
      </c>
      <c r="AV158" s="42">
        <v>0</v>
      </c>
      <c r="AW158" s="42">
        <v>0</v>
      </c>
      <c r="AX158" s="42">
        <v>0</v>
      </c>
      <c r="AY158" s="42">
        <v>0</v>
      </c>
      <c r="AZ158" s="42">
        <v>0</v>
      </c>
      <c r="BA158" s="42">
        <v>0</v>
      </c>
      <c r="BB158" s="42">
        <v>0</v>
      </c>
      <c r="BC158" s="42">
        <v>2005548680</v>
      </c>
      <c r="BD158" s="42">
        <v>417262</v>
      </c>
      <c r="BE158" s="42">
        <v>0</v>
      </c>
      <c r="BF158" s="42">
        <v>0</v>
      </c>
      <c r="BG158" s="42">
        <v>0</v>
      </c>
      <c r="BH158" s="42">
        <v>0</v>
      </c>
      <c r="BI158" s="42">
        <v>0</v>
      </c>
      <c r="BJ158" s="42">
        <v>0</v>
      </c>
      <c r="BK158" s="42">
        <v>0</v>
      </c>
      <c r="BL158" s="42">
        <v>0</v>
      </c>
      <c r="BM158" s="42">
        <v>2479211</v>
      </c>
      <c r="BN158" s="42">
        <v>4636385</v>
      </c>
      <c r="BO158" s="42">
        <v>2313</v>
      </c>
      <c r="BP158" s="42">
        <v>818142</v>
      </c>
      <c r="BQ158" s="42">
        <v>13382630</v>
      </c>
      <c r="BR158" s="42">
        <v>0</v>
      </c>
      <c r="BS158" s="42">
        <f>IFERROR(VLOOKUP(A158,'Trans 21-23'!$A$2:$J$229,9,0),0)</f>
        <v>0</v>
      </c>
      <c r="BT158" s="67"/>
      <c r="BU158" s="32">
        <f t="shared" si="0"/>
        <v>0</v>
      </c>
      <c r="BV158" s="32">
        <f t="shared" si="1"/>
        <v>0</v>
      </c>
      <c r="BW158" s="32">
        <f t="shared" si="2"/>
        <v>0</v>
      </c>
      <c r="BX158" s="32">
        <f t="shared" si="3"/>
        <v>0</v>
      </c>
      <c r="BY158" s="32">
        <f t="shared" si="4"/>
        <v>0</v>
      </c>
      <c r="BZ158" s="32">
        <f t="shared" si="5"/>
        <v>0</v>
      </c>
      <c r="CA158" s="32">
        <f t="shared" si="6"/>
        <v>6878342</v>
      </c>
      <c r="CB158" s="32">
        <f t="shared" si="7"/>
        <v>0</v>
      </c>
      <c r="CC158" s="32">
        <f t="shared" si="8"/>
        <v>0</v>
      </c>
      <c r="CD158" s="41">
        <f t="shared" si="74"/>
        <v>0</v>
      </c>
      <c r="CE158" s="44">
        <f t="shared" si="10"/>
        <v>59</v>
      </c>
      <c r="CF158" s="27"/>
      <c r="CG158" s="28" t="str">
        <f t="shared" si="11"/>
        <v/>
      </c>
      <c r="CH158" s="28" t="str">
        <f t="shared" si="12"/>
        <v/>
      </c>
      <c r="CI158" s="28" t="str">
        <f t="shared" si="13"/>
        <v/>
      </c>
      <c r="CJ158" s="28" t="str">
        <f t="shared" si="14"/>
        <v/>
      </c>
      <c r="CK158" s="23" t="str">
        <f t="shared" si="15"/>
        <v/>
      </c>
      <c r="CL158" s="29" t="str">
        <f t="shared" si="16"/>
        <v/>
      </c>
      <c r="CM158" s="29" t="str">
        <f t="shared" si="17"/>
        <v/>
      </c>
      <c r="CN158" s="29" t="str">
        <f t="shared" si="18"/>
        <v/>
      </c>
      <c r="CO158" s="29" t="str">
        <f t="shared" si="19"/>
        <v/>
      </c>
      <c r="CP158" s="29" t="str">
        <f t="shared" si="20"/>
        <v/>
      </c>
      <c r="CQ158" s="29" t="str">
        <f t="shared" si="21"/>
        <v/>
      </c>
      <c r="CR158" s="13"/>
      <c r="CS158" s="7" t="str">
        <f>VLOOKUP(A158,'Empresas 21-23'!$A$2:$M$228,13,0)</f>
        <v/>
      </c>
      <c r="CT158" s="30"/>
      <c r="CU158" s="6">
        <f t="shared" si="22"/>
        <v>0</v>
      </c>
      <c r="CV158" s="6">
        <f t="shared" si="23"/>
        <v>0</v>
      </c>
      <c r="CW158" s="6">
        <f t="shared" si="24"/>
        <v>417262</v>
      </c>
      <c r="CX158" s="23">
        <f t="shared" ref="CX158:CX169" si="79">CU158/(BC158-BD158)</f>
        <v>0</v>
      </c>
      <c r="CY158" s="23">
        <f t="shared" ref="CY158:CY169" si="80">CV158/(BC158-BD158)</f>
        <v>0</v>
      </c>
      <c r="CZ158" s="6">
        <f t="shared" si="27"/>
        <v>0</v>
      </c>
      <c r="DA158" s="6">
        <f t="shared" si="28"/>
        <v>0</v>
      </c>
      <c r="DB158" s="6">
        <f t="shared" si="29"/>
        <v>0</v>
      </c>
      <c r="DC158" s="6">
        <f t="shared" si="30"/>
        <v>0</v>
      </c>
      <c r="DD158" s="6">
        <f t="shared" si="31"/>
        <v>0</v>
      </c>
      <c r="DE158" s="6">
        <f t="shared" si="32"/>
        <v>6878342</v>
      </c>
      <c r="DF158" s="6">
        <f t="shared" ref="DF158:DF159" si="81">DE158*(DC158+DD158)/(AF158-AD158-F158-H158-E158-D158)</f>
        <v>0</v>
      </c>
      <c r="DG158" s="30"/>
      <c r="DH158" s="32" t="str">
        <f>VLOOKUP(A158,'T_med_comp-USA'!$A$7:$Q$233,17,0)</f>
        <v>-</v>
      </c>
      <c r="DI158" s="6" t="str">
        <f t="shared" si="34"/>
        <v/>
      </c>
      <c r="DJ158" s="32" t="str">
        <f>IF(DI158="","",VLOOKUP(DI158,'CPI USA'!$T:$U,2,FALSE))</f>
        <v/>
      </c>
      <c r="DK158" s="32" t="str">
        <f>IF(DI158="","",VLOOKUP(DI158,'PPI USA'!$S:$T,2,FALSE))</f>
        <v/>
      </c>
      <c r="DL158" s="32" t="str">
        <f>IF(DI158="","",VLOOKUP(DI158,'CPI USA'!$T:$V,3,FALSE))</f>
        <v/>
      </c>
      <c r="DM158" s="32" t="str">
        <f>IF(DI158="","",VLOOKUP(DI158,'CPI USA'!$T:$X,5,FALSE))</f>
        <v/>
      </c>
      <c r="DN158" s="32" t="str">
        <f t="shared" si="35"/>
        <v/>
      </c>
      <c r="DO158" s="32" t="str">
        <f t="shared" si="36"/>
        <v/>
      </c>
      <c r="DP158" s="32" t="str">
        <f t="shared" si="37"/>
        <v/>
      </c>
      <c r="DQ158" s="32" t="str">
        <f>IF(DP158="","",DP158*$DO$1/'CPI USA'!$U$532+(1-DP158)*AVERAGE($DO$1,$DQ$1)/AVERAGE('CPI USA'!$U$532,'PPI USA'!$T$538))</f>
        <v/>
      </c>
      <c r="DR158" s="6">
        <f t="shared" si="38"/>
        <v>0</v>
      </c>
      <c r="DS158" s="32" t="str">
        <f t="shared" si="39"/>
        <v/>
      </c>
      <c r="DT158" s="28" t="str">
        <f>IF(DS158="","",DS158*$DO$1/'CPI USA'!$U$532+(1-DS158)*AVERAGE($DO$1,$DQ$1)/AVERAGE('CPI USA'!$U$532,'PPI USA'!$T$538))</f>
        <v/>
      </c>
      <c r="DU158" s="6" t="str">
        <f t="shared" si="40"/>
        <v/>
      </c>
      <c r="DV158" s="6">
        <f t="shared" ref="DV158:DV169" si="82">IF(BQ158=0,"",BP158/(BQ158-BP158)*BM158)</f>
        <v>161434.88265992215</v>
      </c>
      <c r="DW158" s="6">
        <f t="shared" si="42"/>
        <v>0</v>
      </c>
      <c r="DX158" s="16" t="str">
        <f t="shared" si="43"/>
        <v/>
      </c>
      <c r="DY158" s="28" t="str">
        <f>IF(DX158="","",DX158*$DO$1/'CPI USA'!$U$532+(1-DX158)*AVERAGE($DO$1,$DQ$1)/AVERAGE('CPI USA'!$U$532,'PPI USA'!$T$538))</f>
        <v/>
      </c>
      <c r="DZ158" s="30"/>
      <c r="EA158" s="29" t="str">
        <f t="shared" si="44"/>
        <v>C002196</v>
      </c>
      <c r="EB158" s="29" t="str">
        <f t="shared" si="45"/>
        <v/>
      </c>
      <c r="EC158" s="29" t="str">
        <f t="shared" si="46"/>
        <v/>
      </c>
      <c r="ED158" s="29" t="str">
        <f t="shared" si="47"/>
        <v/>
      </c>
      <c r="EE158" s="29" t="str">
        <f t="shared" si="48"/>
        <v/>
      </c>
      <c r="EF158" s="29" t="str">
        <f t="shared" si="49"/>
        <v/>
      </c>
      <c r="EG158" s="29" t="str">
        <f t="shared" si="50"/>
        <v/>
      </c>
      <c r="EH158" s="29" t="str">
        <f t="shared" si="51"/>
        <v/>
      </c>
      <c r="EI158" s="29" t="str">
        <f t="shared" si="52"/>
        <v/>
      </c>
      <c r="EJ158" s="29" t="str">
        <f t="shared" si="53"/>
        <v/>
      </c>
      <c r="EK158" s="29" t="str">
        <f t="shared" si="54"/>
        <v/>
      </c>
      <c r="EL158" s="29" t="str">
        <f>IF(CD158=1,VLOOKUP(EA158,'EIA 2023'!$A$2:$J$213,4,0)*EH158,"")</f>
        <v/>
      </c>
      <c r="EM158" s="29" t="str">
        <f>IF(CD158=1,VLOOKUP(EA158,'EIA 2023'!$A$2:$J$213,7,0)*EH158,"")</f>
        <v/>
      </c>
      <c r="EN158" s="29" t="str">
        <f>IF(CD158=1,VLOOKUP(EA158,'EIA 2023'!$A$2:$J$213,10,0),"")</f>
        <v/>
      </c>
      <c r="EO158" s="28" t="str">
        <f>IF(CD158=1,VLOOKUP(EA158,'EIA 2023'!$A$2:$Z$213,26,0),"")</f>
        <v/>
      </c>
      <c r="EP158" s="23" t="str">
        <f t="shared" si="55"/>
        <v/>
      </c>
      <c r="EQ158" s="32" t="str">
        <f t="shared" si="56"/>
        <v/>
      </c>
      <c r="ER158" s="32" t="str">
        <f t="shared" si="57"/>
        <v/>
      </c>
      <c r="ES158" s="32"/>
      <c r="ET158" s="32"/>
    </row>
    <row r="159" spans="1:150" ht="15.75" customHeight="1">
      <c r="A159" s="7" t="s">
        <v>685</v>
      </c>
      <c r="B159" s="7" t="s">
        <v>686</v>
      </c>
      <c r="C159" s="32" t="s">
        <v>1244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f>IFERROR(VLOOKUP(A159,'Trans 21-23'!$A$2:$J$229,10,0),0)</f>
        <v>0</v>
      </c>
      <c r="Y159" s="42">
        <v>0</v>
      </c>
      <c r="Z159" s="42">
        <v>0</v>
      </c>
      <c r="AA159" s="42">
        <v>0</v>
      </c>
      <c r="AB159" s="42">
        <v>0</v>
      </c>
      <c r="AC159" s="42">
        <v>0</v>
      </c>
      <c r="AD159" s="42">
        <v>11552190</v>
      </c>
      <c r="AE159" s="42">
        <v>0</v>
      </c>
      <c r="AF159" s="42">
        <v>24935090</v>
      </c>
      <c r="AG159" s="42">
        <v>0</v>
      </c>
      <c r="AH159" s="42">
        <v>0</v>
      </c>
      <c r="AI159" s="42">
        <v>0</v>
      </c>
      <c r="AJ159" s="42">
        <v>0</v>
      </c>
      <c r="AK159" s="42">
        <v>0</v>
      </c>
      <c r="AL159" s="42">
        <v>0</v>
      </c>
      <c r="AM159" s="42">
        <v>0</v>
      </c>
      <c r="AN159" s="42">
        <v>0</v>
      </c>
      <c r="AO159" s="42">
        <v>0</v>
      </c>
      <c r="AP159" s="42">
        <v>0</v>
      </c>
      <c r="AQ159" s="42">
        <v>0</v>
      </c>
      <c r="AR159" s="42">
        <v>0</v>
      </c>
      <c r="AS159" s="42">
        <v>0</v>
      </c>
      <c r="AT159" s="42">
        <v>0</v>
      </c>
      <c r="AU159" s="42">
        <v>0</v>
      </c>
      <c r="AV159" s="42">
        <v>0</v>
      </c>
      <c r="AW159" s="42">
        <v>0</v>
      </c>
      <c r="AX159" s="42">
        <v>0</v>
      </c>
      <c r="AY159" s="42">
        <v>0</v>
      </c>
      <c r="AZ159" s="42">
        <v>0</v>
      </c>
      <c r="BA159" s="42">
        <v>0</v>
      </c>
      <c r="BB159" s="42">
        <v>0</v>
      </c>
      <c r="BC159" s="42">
        <v>693467876</v>
      </c>
      <c r="BD159" s="42">
        <v>39455025</v>
      </c>
      <c r="BE159" s="42">
        <v>0</v>
      </c>
      <c r="BF159" s="42">
        <v>0</v>
      </c>
      <c r="BG159" s="42">
        <v>0</v>
      </c>
      <c r="BH159" s="42">
        <v>0</v>
      </c>
      <c r="BI159" s="42">
        <v>0</v>
      </c>
      <c r="BJ159" s="42">
        <v>0</v>
      </c>
      <c r="BK159" s="42">
        <v>0</v>
      </c>
      <c r="BL159" s="42">
        <v>0</v>
      </c>
      <c r="BM159" s="42">
        <v>2161510</v>
      </c>
      <c r="BN159" s="42">
        <v>3726872</v>
      </c>
      <c r="BO159" s="42">
        <v>0</v>
      </c>
      <c r="BP159" s="42">
        <v>0</v>
      </c>
      <c r="BQ159" s="42">
        <v>4767177</v>
      </c>
      <c r="BR159" s="42">
        <v>0</v>
      </c>
      <c r="BS159" s="42">
        <f>IFERROR(VLOOKUP(A159,'Trans 21-23'!$A$2:$J$229,9,0),0)</f>
        <v>0</v>
      </c>
      <c r="BT159" s="67"/>
      <c r="BU159" s="32">
        <f t="shared" si="0"/>
        <v>0</v>
      </c>
      <c r="BV159" s="32">
        <f t="shared" si="1"/>
        <v>0</v>
      </c>
      <c r="BW159" s="32">
        <f t="shared" si="2"/>
        <v>0</v>
      </c>
      <c r="BX159" s="32">
        <f t="shared" si="3"/>
        <v>0</v>
      </c>
      <c r="BY159" s="32">
        <f t="shared" si="4"/>
        <v>0</v>
      </c>
      <c r="BZ159" s="32">
        <f t="shared" si="5"/>
        <v>0</v>
      </c>
      <c r="CA159" s="32">
        <f t="shared" si="6"/>
        <v>11552190</v>
      </c>
      <c r="CB159" s="32">
        <f t="shared" si="7"/>
        <v>0</v>
      </c>
      <c r="CC159" s="32">
        <f t="shared" si="8"/>
        <v>0</v>
      </c>
      <c r="CD159" s="41">
        <f t="shared" si="74"/>
        <v>0</v>
      </c>
      <c r="CE159" s="44">
        <f t="shared" si="10"/>
        <v>61</v>
      </c>
      <c r="CF159" s="27"/>
      <c r="CG159" s="28" t="str">
        <f t="shared" si="11"/>
        <v/>
      </c>
      <c r="CH159" s="28" t="str">
        <f t="shared" si="12"/>
        <v/>
      </c>
      <c r="CI159" s="28" t="str">
        <f t="shared" si="13"/>
        <v/>
      </c>
      <c r="CJ159" s="28" t="str">
        <f t="shared" si="14"/>
        <v/>
      </c>
      <c r="CK159" s="23" t="str">
        <f t="shared" si="15"/>
        <v/>
      </c>
      <c r="CL159" s="29" t="str">
        <f t="shared" si="16"/>
        <v/>
      </c>
      <c r="CM159" s="29" t="str">
        <f t="shared" si="17"/>
        <v/>
      </c>
      <c r="CN159" s="29" t="str">
        <f t="shared" si="18"/>
        <v/>
      </c>
      <c r="CO159" s="29" t="str">
        <f t="shared" si="19"/>
        <v/>
      </c>
      <c r="CP159" s="29" t="str">
        <f t="shared" si="20"/>
        <v/>
      </c>
      <c r="CQ159" s="29" t="str">
        <f t="shared" si="21"/>
        <v/>
      </c>
      <c r="CR159" s="13"/>
      <c r="CS159" s="7" t="str">
        <f>VLOOKUP(A159,'Empresas 21-23'!$A$2:$M$228,13,0)</f>
        <v/>
      </c>
      <c r="CT159" s="30"/>
      <c r="CU159" s="6">
        <f t="shared" si="22"/>
        <v>0</v>
      </c>
      <c r="CV159" s="6">
        <f t="shared" si="23"/>
        <v>0</v>
      </c>
      <c r="CW159" s="6">
        <f t="shared" si="24"/>
        <v>39455025</v>
      </c>
      <c r="CX159" s="23">
        <f t="shared" si="79"/>
        <v>0</v>
      </c>
      <c r="CY159" s="23">
        <f t="shared" si="80"/>
        <v>0</v>
      </c>
      <c r="CZ159" s="6">
        <f t="shared" si="27"/>
        <v>0</v>
      </c>
      <c r="DA159" s="6">
        <f t="shared" si="28"/>
        <v>0</v>
      </c>
      <c r="DB159" s="6">
        <f t="shared" si="29"/>
        <v>0</v>
      </c>
      <c r="DC159" s="6">
        <f t="shared" si="30"/>
        <v>0</v>
      </c>
      <c r="DD159" s="6">
        <f t="shared" si="31"/>
        <v>0</v>
      </c>
      <c r="DE159" s="6">
        <f t="shared" si="32"/>
        <v>11552190</v>
      </c>
      <c r="DF159" s="6">
        <f t="shared" si="81"/>
        <v>0</v>
      </c>
      <c r="DG159" s="30"/>
      <c r="DH159" s="32" t="str">
        <f>VLOOKUP(A159,'T_med_comp-USA'!$A$7:$Q$233,17,0)</f>
        <v>-</v>
      </c>
      <c r="DI159" s="6" t="str">
        <f t="shared" si="34"/>
        <v/>
      </c>
      <c r="DJ159" s="32" t="str">
        <f>IF(DI159="","",VLOOKUP(DI159,'CPI USA'!$T:$U,2,FALSE))</f>
        <v/>
      </c>
      <c r="DK159" s="32" t="str">
        <f>IF(DI159="","",VLOOKUP(DI159,'PPI USA'!$S:$T,2,FALSE))</f>
        <v/>
      </c>
      <c r="DL159" s="32" t="str">
        <f>IF(DI159="","",VLOOKUP(DI159,'CPI USA'!$T:$V,3,FALSE))</f>
        <v/>
      </c>
      <c r="DM159" s="32" t="str">
        <f>IF(DI159="","",VLOOKUP(DI159,'CPI USA'!$T:$X,5,FALSE))</f>
        <v/>
      </c>
      <c r="DN159" s="32" t="str">
        <f t="shared" si="35"/>
        <v/>
      </c>
      <c r="DO159" s="32" t="str">
        <f t="shared" si="36"/>
        <v/>
      </c>
      <c r="DP159" s="32" t="str">
        <f t="shared" si="37"/>
        <v/>
      </c>
      <c r="DQ159" s="32" t="str">
        <f>IF(DP159="","",DP159*$DO$1/'CPI USA'!$U$532+(1-DP159)*AVERAGE($DO$1,$DQ$1)/AVERAGE('CPI USA'!$U$532,'PPI USA'!$T$538))</f>
        <v/>
      </c>
      <c r="DR159" s="6">
        <f t="shared" si="38"/>
        <v>0</v>
      </c>
      <c r="DS159" s="32" t="str">
        <f t="shared" si="39"/>
        <v/>
      </c>
      <c r="DT159" s="28" t="str">
        <f>IF(DS159="","",DS159*$DO$1/'CPI USA'!$U$532+(1-DS159)*AVERAGE($DO$1,$DQ$1)/AVERAGE('CPI USA'!$U$532,'PPI USA'!$T$538))</f>
        <v/>
      </c>
      <c r="DU159" s="6" t="str">
        <f t="shared" si="40"/>
        <v/>
      </c>
      <c r="DV159" s="6">
        <f t="shared" si="82"/>
        <v>0</v>
      </c>
      <c r="DW159" s="6">
        <f t="shared" si="42"/>
        <v>0</v>
      </c>
      <c r="DX159" s="16" t="str">
        <f t="shared" si="43"/>
        <v/>
      </c>
      <c r="DY159" s="28" t="str">
        <f>IF(DX159="","",DX159*$DO$1/'CPI USA'!$U$532+(1-DX159)*AVERAGE($DO$1,$DQ$1)/AVERAGE('CPI USA'!$U$532,'PPI USA'!$T$538))</f>
        <v/>
      </c>
      <c r="DZ159" s="30"/>
      <c r="EA159" s="29" t="str">
        <f t="shared" si="44"/>
        <v>C002308</v>
      </c>
      <c r="EB159" s="29" t="str">
        <f t="shared" si="45"/>
        <v/>
      </c>
      <c r="EC159" s="29" t="str">
        <f t="shared" si="46"/>
        <v/>
      </c>
      <c r="ED159" s="29" t="str">
        <f t="shared" si="47"/>
        <v/>
      </c>
      <c r="EE159" s="29" t="str">
        <f t="shared" si="48"/>
        <v/>
      </c>
      <c r="EF159" s="29" t="str">
        <f t="shared" si="49"/>
        <v/>
      </c>
      <c r="EG159" s="29" t="str">
        <f t="shared" si="50"/>
        <v/>
      </c>
      <c r="EH159" s="29" t="str">
        <f t="shared" si="51"/>
        <v/>
      </c>
      <c r="EI159" s="29" t="str">
        <f t="shared" si="52"/>
        <v/>
      </c>
      <c r="EJ159" s="29" t="str">
        <f t="shared" si="53"/>
        <v/>
      </c>
      <c r="EK159" s="29" t="str">
        <f t="shared" si="54"/>
        <v/>
      </c>
      <c r="EL159" s="29" t="str">
        <f>IF(CD159=1,VLOOKUP(EA159,'EIA 2023'!$A$2:$J$213,4,0)*EH159,"")</f>
        <v/>
      </c>
      <c r="EM159" s="29" t="str">
        <f>IF(CD159=1,VLOOKUP(EA159,'EIA 2023'!$A$2:$J$213,7,0)*EH159,"")</f>
        <v/>
      </c>
      <c r="EN159" s="29" t="str">
        <f>IF(CD159=1,VLOOKUP(EA159,'EIA 2023'!$A$2:$J$213,10,0),"")</f>
        <v/>
      </c>
      <c r="EO159" s="28" t="str">
        <f>IF(CD159=1,VLOOKUP(EA159,'EIA 2023'!$A$2:$Z$213,26,0),"")</f>
        <v/>
      </c>
      <c r="EP159" s="23" t="str">
        <f t="shared" si="55"/>
        <v/>
      </c>
      <c r="EQ159" s="32" t="str">
        <f t="shared" si="56"/>
        <v/>
      </c>
      <c r="ER159" s="32" t="str">
        <f t="shared" si="57"/>
        <v/>
      </c>
      <c r="ES159" s="32"/>
      <c r="ET159" s="32"/>
    </row>
    <row r="160" spans="1:150" ht="15.75" customHeight="1">
      <c r="A160" s="7" t="s">
        <v>688</v>
      </c>
      <c r="B160" s="7" t="s">
        <v>689</v>
      </c>
      <c r="C160" s="32" t="s">
        <v>1245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f>IFERROR(VLOOKUP(A160,'Trans 21-23'!$A$2:$J$229,10,0),0)</f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472948</v>
      </c>
      <c r="AE160" s="42">
        <v>0</v>
      </c>
      <c r="AF160" s="42">
        <v>472948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0</v>
      </c>
      <c r="AN160" s="42">
        <v>0</v>
      </c>
      <c r="AO160" s="42">
        <v>0</v>
      </c>
      <c r="AP160" s="42">
        <v>0</v>
      </c>
      <c r="AQ160" s="42">
        <v>0</v>
      </c>
      <c r="AR160" s="42">
        <v>0</v>
      </c>
      <c r="AS160" s="42">
        <v>0</v>
      </c>
      <c r="AT160" s="42">
        <v>0</v>
      </c>
      <c r="AU160" s="42">
        <v>0</v>
      </c>
      <c r="AV160" s="42">
        <v>0</v>
      </c>
      <c r="AW160" s="42">
        <v>0</v>
      </c>
      <c r="AX160" s="42">
        <v>0</v>
      </c>
      <c r="AY160" s="42">
        <v>0</v>
      </c>
      <c r="AZ160" s="42">
        <v>0</v>
      </c>
      <c r="BA160" s="42">
        <v>0</v>
      </c>
      <c r="BB160" s="42">
        <v>0</v>
      </c>
      <c r="BC160" s="42">
        <v>192572663</v>
      </c>
      <c r="BD160" s="42">
        <v>0</v>
      </c>
      <c r="BE160" s="42">
        <v>0</v>
      </c>
      <c r="BF160" s="42">
        <v>0</v>
      </c>
      <c r="BG160" s="42">
        <v>0</v>
      </c>
      <c r="BH160" s="42">
        <v>0</v>
      </c>
      <c r="BI160" s="42">
        <v>0</v>
      </c>
      <c r="BJ160" s="42">
        <v>0</v>
      </c>
      <c r="BK160" s="42">
        <v>0</v>
      </c>
      <c r="BL160" s="42">
        <v>0</v>
      </c>
      <c r="BM160" s="42">
        <v>0</v>
      </c>
      <c r="BN160" s="42">
        <v>0</v>
      </c>
      <c r="BO160" s="42">
        <v>0</v>
      </c>
      <c r="BP160" s="42">
        <v>0</v>
      </c>
      <c r="BQ160" s="42">
        <v>0</v>
      </c>
      <c r="BR160" s="42">
        <v>0</v>
      </c>
      <c r="BS160" s="42">
        <f>IFERROR(VLOOKUP(A160,'Trans 21-23'!$A$2:$J$229,9,0),0)</f>
        <v>0</v>
      </c>
      <c r="BT160" s="67"/>
      <c r="BU160" s="32">
        <f t="shared" si="0"/>
        <v>0</v>
      </c>
      <c r="BV160" s="32">
        <f t="shared" si="1"/>
        <v>0</v>
      </c>
      <c r="BW160" s="32">
        <f t="shared" si="2"/>
        <v>0</v>
      </c>
      <c r="BX160" s="32">
        <f t="shared" si="3"/>
        <v>0</v>
      </c>
      <c r="BY160" s="32">
        <f t="shared" si="4"/>
        <v>0</v>
      </c>
      <c r="BZ160" s="32">
        <f t="shared" si="5"/>
        <v>0</v>
      </c>
      <c r="CA160" s="32">
        <f t="shared" si="6"/>
        <v>472948</v>
      </c>
      <c r="CB160" s="32">
        <f t="shared" si="7"/>
        <v>0</v>
      </c>
      <c r="CC160" s="32">
        <f t="shared" si="8"/>
        <v>0</v>
      </c>
      <c r="CD160" s="41">
        <f t="shared" si="74"/>
        <v>0</v>
      </c>
      <c r="CE160" s="44">
        <f t="shared" si="10"/>
        <v>65</v>
      </c>
      <c r="CF160" s="27"/>
      <c r="CG160" s="28" t="str">
        <f t="shared" si="11"/>
        <v/>
      </c>
      <c r="CH160" s="28" t="str">
        <f t="shared" si="12"/>
        <v/>
      </c>
      <c r="CI160" s="28" t="str">
        <f t="shared" si="13"/>
        <v/>
      </c>
      <c r="CJ160" s="28" t="str">
        <f t="shared" si="14"/>
        <v/>
      </c>
      <c r="CK160" s="23" t="str">
        <f t="shared" si="15"/>
        <v/>
      </c>
      <c r="CL160" s="29" t="str">
        <f t="shared" si="16"/>
        <v/>
      </c>
      <c r="CM160" s="29" t="str">
        <f t="shared" si="17"/>
        <v/>
      </c>
      <c r="CN160" s="29" t="str">
        <f t="shared" si="18"/>
        <v/>
      </c>
      <c r="CO160" s="29" t="str">
        <f t="shared" si="19"/>
        <v/>
      </c>
      <c r="CP160" s="29" t="str">
        <f t="shared" si="20"/>
        <v/>
      </c>
      <c r="CQ160" s="29" t="str">
        <f t="shared" si="21"/>
        <v/>
      </c>
      <c r="CR160" s="13"/>
      <c r="CS160" s="7" t="str">
        <f>VLOOKUP(A160,'Empresas 21-23'!$A$2:$M$228,13,0)</f>
        <v/>
      </c>
      <c r="CT160" s="30"/>
      <c r="CU160" s="6">
        <f t="shared" si="22"/>
        <v>0</v>
      </c>
      <c r="CV160" s="6">
        <f t="shared" si="23"/>
        <v>0</v>
      </c>
      <c r="CW160" s="6">
        <f t="shared" si="24"/>
        <v>0</v>
      </c>
      <c r="CX160" s="23">
        <f t="shared" si="79"/>
        <v>0</v>
      </c>
      <c r="CY160" s="23">
        <f t="shared" si="80"/>
        <v>0</v>
      </c>
      <c r="CZ160" s="6">
        <f t="shared" si="27"/>
        <v>0</v>
      </c>
      <c r="DA160" s="6">
        <f t="shared" si="28"/>
        <v>0</v>
      </c>
      <c r="DB160" s="6">
        <f t="shared" si="29"/>
        <v>0</v>
      </c>
      <c r="DC160" s="6">
        <f t="shared" si="30"/>
        <v>0</v>
      </c>
      <c r="DD160" s="6">
        <f t="shared" si="31"/>
        <v>0</v>
      </c>
      <c r="DE160" s="6">
        <f t="shared" si="32"/>
        <v>472948</v>
      </c>
      <c r="DF160" s="6" t="str">
        <f>IFERROR(DE160*(DC160+DD160)/(AF160-AD160-F160-H160-E160-D160),"")</f>
        <v/>
      </c>
      <c r="DG160" s="30"/>
      <c r="DH160" s="32" t="str">
        <f>VLOOKUP(A160,'T_med_comp-USA'!$A$7:$Q$233,17,0)</f>
        <v>-</v>
      </c>
      <c r="DI160" s="6" t="str">
        <f t="shared" si="34"/>
        <v/>
      </c>
      <c r="DJ160" s="32" t="str">
        <f>IF(DI160="","",VLOOKUP(DI160,'CPI USA'!$T:$U,2,FALSE))</f>
        <v/>
      </c>
      <c r="DK160" s="32" t="str">
        <f>IF(DI160="","",VLOOKUP(DI160,'PPI USA'!$S:$T,2,FALSE))</f>
        <v/>
      </c>
      <c r="DL160" s="32" t="str">
        <f>IF(DI160="","",VLOOKUP(DI160,'CPI USA'!$T:$V,3,FALSE))</f>
        <v/>
      </c>
      <c r="DM160" s="32" t="str">
        <f>IF(DI160="","",VLOOKUP(DI160,'CPI USA'!$T:$X,5,FALSE))</f>
        <v/>
      </c>
      <c r="DN160" s="32" t="str">
        <f t="shared" si="35"/>
        <v/>
      </c>
      <c r="DO160" s="32" t="str">
        <f t="shared" si="36"/>
        <v/>
      </c>
      <c r="DP160" s="32" t="str">
        <f t="shared" si="37"/>
        <v/>
      </c>
      <c r="DQ160" s="32" t="str">
        <f>IF(DP160="","",DP160*$DO$1/'CPI USA'!$U$532+(1-DP160)*AVERAGE($DO$1,$DQ$1)/AVERAGE('CPI USA'!$U$532,'PPI USA'!$T$538))</f>
        <v/>
      </c>
      <c r="DR160" s="6">
        <f t="shared" si="38"/>
        <v>0</v>
      </c>
      <c r="DS160" s="32" t="str">
        <f t="shared" si="39"/>
        <v/>
      </c>
      <c r="DT160" s="28" t="str">
        <f>IF(DS160="","",DS160*$DO$1/'CPI USA'!$U$532+(1-DS160)*AVERAGE($DO$1,$DQ$1)/AVERAGE('CPI USA'!$U$532,'PPI USA'!$T$538))</f>
        <v/>
      </c>
      <c r="DU160" s="6" t="str">
        <f t="shared" si="40"/>
        <v/>
      </c>
      <c r="DV160" s="6" t="str">
        <f t="shared" si="82"/>
        <v/>
      </c>
      <c r="DW160" s="6">
        <f t="shared" si="42"/>
        <v>0</v>
      </c>
      <c r="DX160" s="16" t="str">
        <f t="shared" si="43"/>
        <v/>
      </c>
      <c r="DY160" s="28" t="str">
        <f>IF(DX160="","",DX160*$DO$1/'CPI USA'!$U$532+(1-DX160)*AVERAGE($DO$1,$DQ$1)/AVERAGE('CPI USA'!$U$532,'PPI USA'!$T$538))</f>
        <v/>
      </c>
      <c r="DZ160" s="30"/>
      <c r="EA160" s="29" t="str">
        <f t="shared" si="44"/>
        <v>C002335</v>
      </c>
      <c r="EB160" s="29" t="str">
        <f t="shared" si="45"/>
        <v/>
      </c>
      <c r="EC160" s="29" t="str">
        <f t="shared" si="46"/>
        <v/>
      </c>
      <c r="ED160" s="29" t="str">
        <f t="shared" si="47"/>
        <v/>
      </c>
      <c r="EE160" s="29" t="str">
        <f t="shared" si="48"/>
        <v/>
      </c>
      <c r="EF160" s="29" t="str">
        <f t="shared" si="49"/>
        <v/>
      </c>
      <c r="EG160" s="29" t="str">
        <f t="shared" si="50"/>
        <v/>
      </c>
      <c r="EH160" s="29" t="str">
        <f t="shared" si="51"/>
        <v/>
      </c>
      <c r="EI160" s="29" t="str">
        <f t="shared" si="52"/>
        <v/>
      </c>
      <c r="EJ160" s="29" t="str">
        <f t="shared" si="53"/>
        <v/>
      </c>
      <c r="EK160" s="29" t="str">
        <f t="shared" si="54"/>
        <v/>
      </c>
      <c r="EL160" s="29" t="str">
        <f>IF(CD160=1,VLOOKUP(EA160,'EIA 2023'!$A$2:$J$213,4,0)*EH160,"")</f>
        <v/>
      </c>
      <c r="EM160" s="29" t="str">
        <f>IF(CD160=1,VLOOKUP(EA160,'EIA 2023'!$A$2:$J$213,7,0)*EH160,"")</f>
        <v/>
      </c>
      <c r="EN160" s="29" t="str">
        <f>IF(CD160=1,VLOOKUP(EA160,'EIA 2023'!$A$2:$J$213,10,0),"")</f>
        <v/>
      </c>
      <c r="EO160" s="28" t="str">
        <f>IF(CD160=1,VLOOKUP(EA160,'EIA 2023'!$A$2:$Z$213,26,0),"")</f>
        <v/>
      </c>
      <c r="EP160" s="23" t="str">
        <f t="shared" si="55"/>
        <v/>
      </c>
      <c r="EQ160" s="32" t="str">
        <f t="shared" si="56"/>
        <v/>
      </c>
      <c r="ER160" s="32" t="str">
        <f t="shared" si="57"/>
        <v/>
      </c>
      <c r="ES160" s="32"/>
      <c r="ET160" s="32"/>
    </row>
    <row r="161" spans="1:150" ht="15.75" customHeight="1">
      <c r="A161" s="7" t="s">
        <v>691</v>
      </c>
      <c r="B161" s="7" t="s">
        <v>692</v>
      </c>
      <c r="C161" s="32" t="s">
        <v>1246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f>IFERROR(VLOOKUP(A161,'Trans 21-23'!$A$2:$J$229,10,0),0)</f>
        <v>0</v>
      </c>
      <c r="Y161" s="42">
        <v>0</v>
      </c>
      <c r="Z161" s="42">
        <v>0</v>
      </c>
      <c r="AA161" s="42">
        <v>0</v>
      </c>
      <c r="AB161" s="42">
        <v>0</v>
      </c>
      <c r="AC161" s="42">
        <v>0</v>
      </c>
      <c r="AD161" s="42">
        <v>279703</v>
      </c>
      <c r="AE161" s="42">
        <v>0</v>
      </c>
      <c r="AF161" s="42">
        <v>285703</v>
      </c>
      <c r="AG161" s="42">
        <v>0</v>
      </c>
      <c r="AH161" s="42">
        <v>0</v>
      </c>
      <c r="AI161" s="42">
        <v>0</v>
      </c>
      <c r="AJ161" s="42">
        <v>0</v>
      </c>
      <c r="AK161" s="42">
        <v>0</v>
      </c>
      <c r="AL161" s="42">
        <v>0</v>
      </c>
      <c r="AM161" s="42">
        <v>0</v>
      </c>
      <c r="AN161" s="42">
        <v>0</v>
      </c>
      <c r="AO161" s="42">
        <v>0</v>
      </c>
      <c r="AP161" s="42">
        <v>0</v>
      </c>
      <c r="AQ161" s="42">
        <v>0</v>
      </c>
      <c r="AR161" s="42">
        <v>0</v>
      </c>
      <c r="AS161" s="42">
        <v>0</v>
      </c>
      <c r="AT161" s="42">
        <v>0</v>
      </c>
      <c r="AU161" s="42">
        <v>0</v>
      </c>
      <c r="AV161" s="42">
        <v>0</v>
      </c>
      <c r="AW161" s="42">
        <v>0</v>
      </c>
      <c r="AX161" s="42">
        <v>0</v>
      </c>
      <c r="AY161" s="42">
        <v>0</v>
      </c>
      <c r="AZ161" s="42">
        <v>0</v>
      </c>
      <c r="BA161" s="42">
        <v>0</v>
      </c>
      <c r="BB161" s="42">
        <v>0</v>
      </c>
      <c r="BC161" s="42">
        <v>157946560</v>
      </c>
      <c r="BD161" s="42">
        <v>0</v>
      </c>
      <c r="BE161" s="42">
        <v>0</v>
      </c>
      <c r="BF161" s="42">
        <v>0</v>
      </c>
      <c r="BG161" s="42">
        <v>0</v>
      </c>
      <c r="BH161" s="42">
        <v>0</v>
      </c>
      <c r="BI161" s="42">
        <v>0</v>
      </c>
      <c r="BJ161" s="42">
        <v>0</v>
      </c>
      <c r="BK161" s="42">
        <v>0</v>
      </c>
      <c r="BL161" s="42">
        <v>0</v>
      </c>
      <c r="BM161" s="42">
        <v>0</v>
      </c>
      <c r="BN161" s="42">
        <v>0</v>
      </c>
      <c r="BO161" s="42">
        <v>0</v>
      </c>
      <c r="BP161" s="42">
        <v>0</v>
      </c>
      <c r="BQ161" s="42">
        <v>0</v>
      </c>
      <c r="BR161" s="42">
        <v>0</v>
      </c>
      <c r="BS161" s="42">
        <f>IFERROR(VLOOKUP(A161,'Trans 21-23'!$A$2:$J$229,9,0),0)</f>
        <v>0</v>
      </c>
      <c r="BT161" s="67"/>
      <c r="BU161" s="32">
        <f t="shared" si="0"/>
        <v>0</v>
      </c>
      <c r="BV161" s="32">
        <f t="shared" si="1"/>
        <v>0</v>
      </c>
      <c r="BW161" s="32">
        <f t="shared" si="2"/>
        <v>0</v>
      </c>
      <c r="BX161" s="32">
        <f t="shared" si="3"/>
        <v>0</v>
      </c>
      <c r="BY161" s="32">
        <f t="shared" si="4"/>
        <v>0</v>
      </c>
      <c r="BZ161" s="32">
        <f t="shared" si="5"/>
        <v>0</v>
      </c>
      <c r="CA161" s="32">
        <f t="shared" si="6"/>
        <v>279703</v>
      </c>
      <c r="CB161" s="32">
        <f t="shared" si="7"/>
        <v>0</v>
      </c>
      <c r="CC161" s="32">
        <f t="shared" si="8"/>
        <v>0</v>
      </c>
      <c r="CD161" s="41">
        <f t="shared" si="74"/>
        <v>0</v>
      </c>
      <c r="CE161" s="44">
        <f t="shared" si="10"/>
        <v>65</v>
      </c>
      <c r="CF161" s="27"/>
      <c r="CG161" s="28" t="str">
        <f t="shared" si="11"/>
        <v/>
      </c>
      <c r="CH161" s="28" t="str">
        <f t="shared" si="12"/>
        <v/>
      </c>
      <c r="CI161" s="28" t="str">
        <f t="shared" si="13"/>
        <v/>
      </c>
      <c r="CJ161" s="28" t="str">
        <f t="shared" si="14"/>
        <v/>
      </c>
      <c r="CK161" s="23" t="str">
        <f t="shared" si="15"/>
        <v/>
      </c>
      <c r="CL161" s="29" t="str">
        <f t="shared" si="16"/>
        <v/>
      </c>
      <c r="CM161" s="29" t="str">
        <f t="shared" si="17"/>
        <v/>
      </c>
      <c r="CN161" s="29" t="str">
        <f t="shared" si="18"/>
        <v/>
      </c>
      <c r="CO161" s="29" t="str">
        <f t="shared" si="19"/>
        <v/>
      </c>
      <c r="CP161" s="29" t="str">
        <f t="shared" si="20"/>
        <v/>
      </c>
      <c r="CQ161" s="29" t="str">
        <f t="shared" si="21"/>
        <v/>
      </c>
      <c r="CR161" s="13"/>
      <c r="CS161" s="7" t="str">
        <f>VLOOKUP(A161,'Empresas 21-23'!$A$2:$M$228,13,0)</f>
        <v/>
      </c>
      <c r="CT161" s="30"/>
      <c r="CU161" s="6">
        <f t="shared" si="22"/>
        <v>0</v>
      </c>
      <c r="CV161" s="6">
        <f t="shared" si="23"/>
        <v>0</v>
      </c>
      <c r="CW161" s="6">
        <f t="shared" si="24"/>
        <v>0</v>
      </c>
      <c r="CX161" s="23">
        <f t="shared" si="79"/>
        <v>0</v>
      </c>
      <c r="CY161" s="23">
        <f t="shared" si="80"/>
        <v>0</v>
      </c>
      <c r="CZ161" s="6">
        <f t="shared" si="27"/>
        <v>0</v>
      </c>
      <c r="DA161" s="6">
        <f t="shared" si="28"/>
        <v>0</v>
      </c>
      <c r="DB161" s="6">
        <f t="shared" si="29"/>
        <v>0</v>
      </c>
      <c r="DC161" s="6">
        <f t="shared" si="30"/>
        <v>0</v>
      </c>
      <c r="DD161" s="6">
        <f t="shared" si="31"/>
        <v>0</v>
      </c>
      <c r="DE161" s="6">
        <f t="shared" si="32"/>
        <v>279703</v>
      </c>
      <c r="DF161" s="6">
        <f t="shared" ref="DF161:DF169" si="83">DE161*(DC161+DD161)/(AF161-AD161-F161-H161-E161-D161)</f>
        <v>0</v>
      </c>
      <c r="DG161" s="30"/>
      <c r="DH161" s="32" t="str">
        <f>VLOOKUP(A161,'T_med_comp-USA'!$A$7:$Q$233,17,0)</f>
        <v>-</v>
      </c>
      <c r="DI161" s="6" t="str">
        <f t="shared" si="34"/>
        <v/>
      </c>
      <c r="DJ161" s="32" t="str">
        <f>IF(DI161="","",VLOOKUP(DI161,'CPI USA'!$T:$U,2,FALSE))</f>
        <v/>
      </c>
      <c r="DK161" s="32" t="str">
        <f>IF(DI161="","",VLOOKUP(DI161,'PPI USA'!$S:$T,2,FALSE))</f>
        <v/>
      </c>
      <c r="DL161" s="32" t="str">
        <f>IF(DI161="","",VLOOKUP(DI161,'CPI USA'!$T:$V,3,FALSE))</f>
        <v/>
      </c>
      <c r="DM161" s="32" t="str">
        <f>IF(DI161="","",VLOOKUP(DI161,'CPI USA'!$T:$X,5,FALSE))</f>
        <v/>
      </c>
      <c r="DN161" s="32" t="str">
        <f t="shared" si="35"/>
        <v/>
      </c>
      <c r="DO161" s="32" t="str">
        <f t="shared" si="36"/>
        <v/>
      </c>
      <c r="DP161" s="32" t="str">
        <f t="shared" si="37"/>
        <v/>
      </c>
      <c r="DQ161" s="32" t="str">
        <f>IF(DP161="","",DP161*$DO$1/'CPI USA'!$U$532+(1-DP161)*AVERAGE($DO$1,$DQ$1)/AVERAGE('CPI USA'!$U$532,'PPI USA'!$T$538))</f>
        <v/>
      </c>
      <c r="DR161" s="6">
        <f t="shared" si="38"/>
        <v>0</v>
      </c>
      <c r="DS161" s="32" t="str">
        <f t="shared" si="39"/>
        <v/>
      </c>
      <c r="DT161" s="28" t="str">
        <f>IF(DS161="","",DS161*$DO$1/'CPI USA'!$U$532+(1-DS161)*AVERAGE($DO$1,$DQ$1)/AVERAGE('CPI USA'!$U$532,'PPI USA'!$T$538))</f>
        <v/>
      </c>
      <c r="DU161" s="6" t="str">
        <f t="shared" si="40"/>
        <v/>
      </c>
      <c r="DV161" s="6" t="str">
        <f t="shared" si="82"/>
        <v/>
      </c>
      <c r="DW161" s="6">
        <f t="shared" si="42"/>
        <v>0</v>
      </c>
      <c r="DX161" s="16" t="str">
        <f t="shared" si="43"/>
        <v/>
      </c>
      <c r="DY161" s="28" t="str">
        <f>IF(DX161="","",DX161*$DO$1/'CPI USA'!$U$532+(1-DX161)*AVERAGE($DO$1,$DQ$1)/AVERAGE('CPI USA'!$U$532,'PPI USA'!$T$538))</f>
        <v/>
      </c>
      <c r="DZ161" s="30"/>
      <c r="EA161" s="29" t="str">
        <f t="shared" si="44"/>
        <v>C002336</v>
      </c>
      <c r="EB161" s="29" t="str">
        <f t="shared" si="45"/>
        <v/>
      </c>
      <c r="EC161" s="29" t="str">
        <f t="shared" si="46"/>
        <v/>
      </c>
      <c r="ED161" s="29" t="str">
        <f t="shared" si="47"/>
        <v/>
      </c>
      <c r="EE161" s="29" t="str">
        <f t="shared" si="48"/>
        <v/>
      </c>
      <c r="EF161" s="29" t="str">
        <f t="shared" si="49"/>
        <v/>
      </c>
      <c r="EG161" s="29" t="str">
        <f t="shared" si="50"/>
        <v/>
      </c>
      <c r="EH161" s="29" t="str">
        <f t="shared" si="51"/>
        <v/>
      </c>
      <c r="EI161" s="29" t="str">
        <f t="shared" si="52"/>
        <v/>
      </c>
      <c r="EJ161" s="29" t="str">
        <f t="shared" si="53"/>
        <v/>
      </c>
      <c r="EK161" s="29" t="str">
        <f t="shared" si="54"/>
        <v/>
      </c>
      <c r="EL161" s="29" t="str">
        <f>IF(CD161=1,VLOOKUP(EA161,'EIA 2023'!$A$2:$J$213,4,0)*EH161,"")</f>
        <v/>
      </c>
      <c r="EM161" s="29" t="str">
        <f>IF(CD161=1,VLOOKUP(EA161,'EIA 2023'!$A$2:$J$213,7,0)*EH161,"")</f>
        <v/>
      </c>
      <c r="EN161" s="29" t="str">
        <f>IF(CD161=1,VLOOKUP(EA161,'EIA 2023'!$A$2:$J$213,10,0),"")</f>
        <v/>
      </c>
      <c r="EO161" s="28" t="str">
        <f>IF(CD161=1,VLOOKUP(EA161,'EIA 2023'!$A$2:$Z$213,26,0),"")</f>
        <v/>
      </c>
      <c r="EP161" s="23" t="str">
        <f t="shared" si="55"/>
        <v/>
      </c>
      <c r="EQ161" s="32" t="str">
        <f t="shared" si="56"/>
        <v/>
      </c>
      <c r="ER161" s="32" t="str">
        <f t="shared" si="57"/>
        <v/>
      </c>
      <c r="ES161" s="32"/>
      <c r="ET161" s="32"/>
    </row>
    <row r="162" spans="1:150" ht="15.75" customHeight="1">
      <c r="A162" s="7" t="s">
        <v>694</v>
      </c>
      <c r="B162" s="7" t="s">
        <v>695</v>
      </c>
      <c r="C162" s="32" t="s">
        <v>1247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f>IFERROR(VLOOKUP(A162,'Trans 21-23'!$A$2:$J$229,10,0),0)</f>
        <v>0</v>
      </c>
      <c r="Y162" s="42">
        <v>0</v>
      </c>
      <c r="Z162" s="42">
        <v>0</v>
      </c>
      <c r="AA162" s="42">
        <v>0</v>
      </c>
      <c r="AB162" s="42">
        <v>0</v>
      </c>
      <c r="AC162" s="42">
        <v>0</v>
      </c>
      <c r="AD162" s="42">
        <v>32285642</v>
      </c>
      <c r="AE162" s="42">
        <v>0</v>
      </c>
      <c r="AF162" s="42">
        <v>69666049</v>
      </c>
      <c r="AG162" s="42">
        <v>0</v>
      </c>
      <c r="AH162" s="42">
        <v>0</v>
      </c>
      <c r="AI162" s="42">
        <v>0</v>
      </c>
      <c r="AJ162" s="42">
        <v>0</v>
      </c>
      <c r="AK162" s="42">
        <v>0</v>
      </c>
      <c r="AL162" s="42">
        <v>0</v>
      </c>
      <c r="AM162" s="42">
        <v>0</v>
      </c>
      <c r="AN162" s="42">
        <v>0</v>
      </c>
      <c r="AO162" s="42">
        <v>0</v>
      </c>
      <c r="AP162" s="42">
        <v>0</v>
      </c>
      <c r="AQ162" s="42">
        <v>0</v>
      </c>
      <c r="AR162" s="42">
        <v>0</v>
      </c>
      <c r="AS162" s="42">
        <v>0</v>
      </c>
      <c r="AT162" s="42">
        <v>0</v>
      </c>
      <c r="AU162" s="42">
        <v>10449</v>
      </c>
      <c r="AV162" s="42">
        <v>0</v>
      </c>
      <c r="AW162" s="42">
        <v>0</v>
      </c>
      <c r="AX162" s="42">
        <v>0</v>
      </c>
      <c r="AY162" s="42">
        <v>0</v>
      </c>
      <c r="AZ162" s="42">
        <v>0</v>
      </c>
      <c r="BA162" s="42">
        <v>0</v>
      </c>
      <c r="BB162" s="42">
        <v>0</v>
      </c>
      <c r="BC162" s="42">
        <v>3975253069</v>
      </c>
      <c r="BD162" s="42">
        <v>358834297</v>
      </c>
      <c r="BE162" s="42">
        <v>0</v>
      </c>
      <c r="BF162" s="42">
        <v>0</v>
      </c>
      <c r="BG162" s="42">
        <v>0</v>
      </c>
      <c r="BH162" s="42">
        <v>0</v>
      </c>
      <c r="BI162" s="42">
        <v>0</v>
      </c>
      <c r="BJ162" s="42">
        <v>0</v>
      </c>
      <c r="BK162" s="42">
        <v>0</v>
      </c>
      <c r="BL162" s="42">
        <v>0</v>
      </c>
      <c r="BM162" s="42">
        <v>9460217</v>
      </c>
      <c r="BN162" s="42">
        <v>13812198</v>
      </c>
      <c r="BO162" s="42">
        <v>0</v>
      </c>
      <c r="BP162" s="42">
        <v>216725</v>
      </c>
      <c r="BQ162" s="42">
        <v>33644229</v>
      </c>
      <c r="BR162" s="42">
        <v>0</v>
      </c>
      <c r="BS162" s="42">
        <f>IFERROR(VLOOKUP(A162,'Trans 21-23'!$A$2:$J$229,9,0),0)</f>
        <v>0</v>
      </c>
      <c r="BT162" s="67"/>
      <c r="BU162" s="32">
        <f t="shared" si="0"/>
        <v>0</v>
      </c>
      <c r="BV162" s="32">
        <f t="shared" si="1"/>
        <v>10449</v>
      </c>
      <c r="BW162" s="32">
        <f t="shared" si="2"/>
        <v>0</v>
      </c>
      <c r="BX162" s="32">
        <f t="shared" si="3"/>
        <v>0</v>
      </c>
      <c r="BY162" s="32">
        <f t="shared" si="4"/>
        <v>0</v>
      </c>
      <c r="BZ162" s="32">
        <f t="shared" si="5"/>
        <v>0</v>
      </c>
      <c r="CA162" s="32">
        <f t="shared" si="6"/>
        <v>32285642</v>
      </c>
      <c r="CB162" s="32">
        <f t="shared" si="7"/>
        <v>0</v>
      </c>
      <c r="CC162" s="32">
        <f t="shared" si="8"/>
        <v>0</v>
      </c>
      <c r="CD162" s="41">
        <f t="shared" si="74"/>
        <v>0</v>
      </c>
      <c r="CE162" s="44">
        <f t="shared" si="10"/>
        <v>59</v>
      </c>
      <c r="CF162" s="27"/>
      <c r="CG162" s="28" t="str">
        <f t="shared" si="11"/>
        <v/>
      </c>
      <c r="CH162" s="28" t="str">
        <f t="shared" si="12"/>
        <v/>
      </c>
      <c r="CI162" s="28" t="str">
        <f t="shared" si="13"/>
        <v/>
      </c>
      <c r="CJ162" s="28" t="str">
        <f t="shared" si="14"/>
        <v/>
      </c>
      <c r="CK162" s="23" t="str">
        <f t="shared" si="15"/>
        <v/>
      </c>
      <c r="CL162" s="29" t="str">
        <f t="shared" si="16"/>
        <v/>
      </c>
      <c r="CM162" s="29" t="str">
        <f t="shared" si="17"/>
        <v/>
      </c>
      <c r="CN162" s="29" t="str">
        <f t="shared" si="18"/>
        <v/>
      </c>
      <c r="CO162" s="29" t="str">
        <f t="shared" si="19"/>
        <v/>
      </c>
      <c r="CP162" s="29" t="str">
        <f t="shared" si="20"/>
        <v/>
      </c>
      <c r="CQ162" s="29" t="str">
        <f t="shared" si="21"/>
        <v/>
      </c>
      <c r="CR162" s="13"/>
      <c r="CS162" s="7" t="str">
        <f>VLOOKUP(A162,'Empresas 21-23'!$A$2:$M$228,13,0)</f>
        <v/>
      </c>
      <c r="CT162" s="30"/>
      <c r="CU162" s="6">
        <f t="shared" si="22"/>
        <v>0</v>
      </c>
      <c r="CV162" s="6">
        <f t="shared" si="23"/>
        <v>0</v>
      </c>
      <c r="CW162" s="6">
        <f t="shared" si="24"/>
        <v>358834297</v>
      </c>
      <c r="CX162" s="23">
        <f t="shared" si="79"/>
        <v>0</v>
      </c>
      <c r="CY162" s="23">
        <f t="shared" si="80"/>
        <v>0</v>
      </c>
      <c r="CZ162" s="6">
        <f t="shared" si="27"/>
        <v>0</v>
      </c>
      <c r="DA162" s="6">
        <f t="shared" si="28"/>
        <v>0</v>
      </c>
      <c r="DB162" s="6">
        <f t="shared" si="29"/>
        <v>0</v>
      </c>
      <c r="DC162" s="6">
        <f t="shared" si="30"/>
        <v>0</v>
      </c>
      <c r="DD162" s="6">
        <f t="shared" si="31"/>
        <v>0</v>
      </c>
      <c r="DE162" s="6">
        <f t="shared" si="32"/>
        <v>32285642</v>
      </c>
      <c r="DF162" s="6">
        <f t="shared" si="83"/>
        <v>0</v>
      </c>
      <c r="DG162" s="30"/>
      <c r="DH162" s="32" t="str">
        <f>VLOOKUP(A162,'T_med_comp-USA'!$A$7:$Q$233,17,0)</f>
        <v>-</v>
      </c>
      <c r="DI162" s="6" t="str">
        <f t="shared" si="34"/>
        <v/>
      </c>
      <c r="DJ162" s="32" t="str">
        <f>IF(DI162="","",VLOOKUP(DI162,'CPI USA'!$T:$U,2,FALSE))</f>
        <v/>
      </c>
      <c r="DK162" s="32" t="str">
        <f>IF(DI162="","",VLOOKUP(DI162,'PPI USA'!$S:$T,2,FALSE))</f>
        <v/>
      </c>
      <c r="DL162" s="32" t="str">
        <f>IF(DI162="","",VLOOKUP(DI162,'CPI USA'!$T:$V,3,FALSE))</f>
        <v/>
      </c>
      <c r="DM162" s="32" t="str">
        <f>IF(DI162="","",VLOOKUP(DI162,'CPI USA'!$T:$X,5,FALSE))</f>
        <v/>
      </c>
      <c r="DN162" s="32" t="str">
        <f t="shared" si="35"/>
        <v/>
      </c>
      <c r="DO162" s="32" t="str">
        <f t="shared" si="36"/>
        <v/>
      </c>
      <c r="DP162" s="32" t="str">
        <f t="shared" si="37"/>
        <v/>
      </c>
      <c r="DQ162" s="32" t="str">
        <f>IF(DP162="","",DP162*$DO$1/'CPI USA'!$U$532+(1-DP162)*AVERAGE($DO$1,$DQ$1)/AVERAGE('CPI USA'!$U$532,'PPI USA'!$T$538))</f>
        <v/>
      </c>
      <c r="DR162" s="6">
        <f t="shared" si="38"/>
        <v>0</v>
      </c>
      <c r="DS162" s="32" t="str">
        <f t="shared" si="39"/>
        <v/>
      </c>
      <c r="DT162" s="28" t="str">
        <f>IF(DS162="","",DS162*$DO$1/'CPI USA'!$U$532+(1-DS162)*AVERAGE($DO$1,$DQ$1)/AVERAGE('CPI USA'!$U$532,'PPI USA'!$T$538))</f>
        <v/>
      </c>
      <c r="DU162" s="6" t="str">
        <f t="shared" si="40"/>
        <v/>
      </c>
      <c r="DV162" s="6">
        <f t="shared" si="82"/>
        <v>61334.688025914227</v>
      </c>
      <c r="DW162" s="6">
        <f t="shared" si="42"/>
        <v>0</v>
      </c>
      <c r="DX162" s="16" t="str">
        <f t="shared" si="43"/>
        <v/>
      </c>
      <c r="DY162" s="28" t="str">
        <f>IF(DX162="","",DX162*$DO$1/'CPI USA'!$U$532+(1-DX162)*AVERAGE($DO$1,$DQ$1)/AVERAGE('CPI USA'!$U$532,'PPI USA'!$T$538))</f>
        <v/>
      </c>
      <c r="DZ162" s="30"/>
      <c r="EA162" s="29" t="str">
        <f t="shared" si="44"/>
        <v>C002446</v>
      </c>
      <c r="EB162" s="29" t="str">
        <f t="shared" si="45"/>
        <v/>
      </c>
      <c r="EC162" s="29" t="str">
        <f t="shared" si="46"/>
        <v/>
      </c>
      <c r="ED162" s="29" t="str">
        <f t="shared" si="47"/>
        <v/>
      </c>
      <c r="EE162" s="29" t="str">
        <f t="shared" si="48"/>
        <v/>
      </c>
      <c r="EF162" s="29" t="str">
        <f t="shared" si="49"/>
        <v/>
      </c>
      <c r="EG162" s="29" t="str">
        <f t="shared" si="50"/>
        <v/>
      </c>
      <c r="EH162" s="29" t="str">
        <f t="shared" si="51"/>
        <v/>
      </c>
      <c r="EI162" s="29" t="str">
        <f t="shared" si="52"/>
        <v/>
      </c>
      <c r="EJ162" s="29" t="str">
        <f t="shared" si="53"/>
        <v/>
      </c>
      <c r="EK162" s="29" t="str">
        <f t="shared" si="54"/>
        <v/>
      </c>
      <c r="EL162" s="29" t="str">
        <f>IF(CD162=1,VLOOKUP(EA162,'EIA 2023'!$A$2:$J$213,4,0)*EH162,"")</f>
        <v/>
      </c>
      <c r="EM162" s="29" t="str">
        <f>IF(CD162=1,VLOOKUP(EA162,'EIA 2023'!$A$2:$J$213,7,0)*EH162,"")</f>
        <v/>
      </c>
      <c r="EN162" s="29" t="str">
        <f>IF(CD162=1,VLOOKUP(EA162,'EIA 2023'!$A$2:$J$213,10,0),"")</f>
        <v/>
      </c>
      <c r="EO162" s="28" t="str">
        <f>IF(CD162=1,VLOOKUP(EA162,'EIA 2023'!$A$2:$Z$213,26,0),"")</f>
        <v/>
      </c>
      <c r="EP162" s="23" t="str">
        <f t="shared" si="55"/>
        <v/>
      </c>
      <c r="EQ162" s="32" t="str">
        <f t="shared" si="56"/>
        <v/>
      </c>
      <c r="ER162" s="32" t="str">
        <f t="shared" si="57"/>
        <v/>
      </c>
      <c r="ES162" s="32"/>
      <c r="ET162" s="32"/>
    </row>
    <row r="163" spans="1:150" ht="15.75" customHeight="1">
      <c r="A163" s="7" t="s">
        <v>697</v>
      </c>
      <c r="B163" s="7" t="s">
        <v>698</v>
      </c>
      <c r="C163" s="32" t="s">
        <v>1248</v>
      </c>
      <c r="D163" s="42">
        <v>54541224</v>
      </c>
      <c r="E163" s="42">
        <v>0</v>
      </c>
      <c r="F163" s="42">
        <v>6754076</v>
      </c>
      <c r="G163" s="42">
        <v>48533017</v>
      </c>
      <c r="H163" s="42">
        <v>49630349</v>
      </c>
      <c r="I163" s="42">
        <v>975891</v>
      </c>
      <c r="J163" s="42">
        <v>1855317</v>
      </c>
      <c r="K163" s="42">
        <v>1525405</v>
      </c>
      <c r="L163" s="42">
        <v>10619</v>
      </c>
      <c r="M163" s="42">
        <v>927821</v>
      </c>
      <c r="N163" s="42">
        <v>83391</v>
      </c>
      <c r="O163" s="42">
        <v>4865692</v>
      </c>
      <c r="P163" s="42">
        <v>16694</v>
      </c>
      <c r="Q163" s="42">
        <v>102494</v>
      </c>
      <c r="R163" s="42">
        <v>0</v>
      </c>
      <c r="S163" s="42">
        <v>318494</v>
      </c>
      <c r="T163" s="42">
        <v>4541862</v>
      </c>
      <c r="U163" s="42">
        <v>91895</v>
      </c>
      <c r="V163" s="42">
        <v>164406</v>
      </c>
      <c r="W163" s="42">
        <v>0</v>
      </c>
      <c r="X163" s="42">
        <f>IFERROR(VLOOKUP(A163,'Trans 21-23'!$A$2:$J$229,10,0),0)</f>
        <v>0</v>
      </c>
      <c r="Y163" s="42">
        <v>700766</v>
      </c>
      <c r="Z163" s="42">
        <v>0</v>
      </c>
      <c r="AA163" s="42">
        <v>8567235</v>
      </c>
      <c r="AB163" s="42">
        <v>10253542</v>
      </c>
      <c r="AC163" s="42">
        <v>518144</v>
      </c>
      <c r="AD163" s="42">
        <v>38107865</v>
      </c>
      <c r="AE163" s="42">
        <v>0</v>
      </c>
      <c r="AF163" s="42">
        <v>258741835</v>
      </c>
      <c r="AG163" s="42">
        <v>163278</v>
      </c>
      <c r="AH163" s="42">
        <v>88445</v>
      </c>
      <c r="AI163" s="42">
        <v>3642992</v>
      </c>
      <c r="AJ163" s="42">
        <v>6772</v>
      </c>
      <c r="AK163" s="42">
        <v>0</v>
      </c>
      <c r="AL163" s="42">
        <v>871558</v>
      </c>
      <c r="AM163" s="42">
        <v>1772484</v>
      </c>
      <c r="AN163" s="42">
        <v>151283</v>
      </c>
      <c r="AO163" s="42">
        <v>9195</v>
      </c>
      <c r="AP163" s="42">
        <v>354448</v>
      </c>
      <c r="AQ163" s="42">
        <v>3159061</v>
      </c>
      <c r="AR163" s="42">
        <v>388714</v>
      </c>
      <c r="AS163" s="42">
        <v>3547775</v>
      </c>
      <c r="AT163" s="42">
        <v>0</v>
      </c>
      <c r="AU163" s="42">
        <v>745</v>
      </c>
      <c r="AV163" s="42">
        <v>0</v>
      </c>
      <c r="AW163" s="42">
        <v>60651170</v>
      </c>
      <c r="AX163" s="42">
        <v>144948726</v>
      </c>
      <c r="AY163" s="42">
        <v>189187663</v>
      </c>
      <c r="AZ163" s="42">
        <v>32456760</v>
      </c>
      <c r="BA163" s="42">
        <v>3425791</v>
      </c>
      <c r="BB163" s="42">
        <v>826290534</v>
      </c>
      <c r="BC163" s="42">
        <v>1918313726</v>
      </c>
      <c r="BD163" s="42">
        <v>11640363</v>
      </c>
      <c r="BE163" s="42">
        <v>226198631</v>
      </c>
      <c r="BF163" s="42">
        <v>18261338</v>
      </c>
      <c r="BG163" s="42">
        <v>0</v>
      </c>
      <c r="BH163" s="42">
        <v>6044984</v>
      </c>
      <c r="BI163" s="42">
        <v>973986</v>
      </c>
      <c r="BJ163" s="42">
        <v>3161925</v>
      </c>
      <c r="BK163" s="42">
        <v>174990</v>
      </c>
      <c r="BL163" s="42">
        <v>0</v>
      </c>
      <c r="BM163" s="42">
        <v>13327973</v>
      </c>
      <c r="BN163" s="42">
        <v>30156838</v>
      </c>
      <c r="BO163" s="42">
        <v>9855457</v>
      </c>
      <c r="BP163" s="42">
        <v>2601761</v>
      </c>
      <c r="BQ163" s="42">
        <v>65393400</v>
      </c>
      <c r="BR163" s="42">
        <v>93</v>
      </c>
      <c r="BS163" s="42">
        <f>IFERROR(VLOOKUP(A163,'Trans 21-23'!$A$2:$J$229,9,0),0)</f>
        <v>0</v>
      </c>
      <c r="BT163" s="67"/>
      <c r="BU163" s="32">
        <f t="shared" si="0"/>
        <v>826290534</v>
      </c>
      <c r="BV163" s="32">
        <f t="shared" si="1"/>
        <v>745</v>
      </c>
      <c r="BW163" s="32">
        <f t="shared" si="2"/>
        <v>163278</v>
      </c>
      <c r="BX163" s="32">
        <f t="shared" si="3"/>
        <v>15479981</v>
      </c>
      <c r="BY163" s="32">
        <f t="shared" si="4"/>
        <v>20039687</v>
      </c>
      <c r="BZ163" s="32">
        <f t="shared" si="5"/>
        <v>32456760</v>
      </c>
      <c r="CA163" s="32">
        <f t="shared" si="6"/>
        <v>38107865</v>
      </c>
      <c r="CB163" s="32">
        <f t="shared" si="7"/>
        <v>88445</v>
      </c>
      <c r="CC163" s="32">
        <f t="shared" si="8"/>
        <v>3159061</v>
      </c>
      <c r="CD163" s="41">
        <f t="shared" si="74"/>
        <v>1</v>
      </c>
      <c r="CE163" s="44">
        <f t="shared" si="10"/>
        <v>12</v>
      </c>
      <c r="CF163" s="27"/>
      <c r="CG163" s="28">
        <f t="shared" si="11"/>
        <v>1109.1148107382551</v>
      </c>
      <c r="CH163" s="28">
        <f t="shared" si="12"/>
        <v>4.562770244613481</v>
      </c>
      <c r="CI163" s="28">
        <f t="shared" si="13"/>
        <v>94.807512340915494</v>
      </c>
      <c r="CJ163" s="28">
        <f t="shared" si="14"/>
        <v>198.78219968397457</v>
      </c>
      <c r="CK163" s="23">
        <f t="shared" si="15"/>
        <v>2.799724348469371E-2</v>
      </c>
      <c r="CL163" s="29" t="str">
        <f t="shared" si="16"/>
        <v/>
      </c>
      <c r="CM163" s="29" t="str">
        <f t="shared" si="17"/>
        <v/>
      </c>
      <c r="CN163" s="29" t="str">
        <f t="shared" si="18"/>
        <v/>
      </c>
      <c r="CO163" s="29" t="str">
        <f t="shared" si="19"/>
        <v/>
      </c>
      <c r="CP163" s="29" t="str">
        <f t="shared" si="20"/>
        <v/>
      </c>
      <c r="CQ163" s="29">
        <f t="shared" si="21"/>
        <v>0</v>
      </c>
      <c r="CR163" s="13"/>
      <c r="CS163" s="7">
        <f>VLOOKUP(A163,'Empresas 21-23'!$A$2:$M$228,13,0)</f>
        <v>1</v>
      </c>
      <c r="CT163" s="30"/>
      <c r="CU163" s="6">
        <f t="shared" si="22"/>
        <v>589926149.60000002</v>
      </c>
      <c r="CV163" s="6">
        <f t="shared" si="23"/>
        <v>32456760</v>
      </c>
      <c r="CW163" s="6">
        <f t="shared" si="24"/>
        <v>11640363</v>
      </c>
      <c r="CX163" s="23">
        <f t="shared" si="79"/>
        <v>0.30940074007841478</v>
      </c>
      <c r="CY163" s="23">
        <f t="shared" si="80"/>
        <v>1.702271643892473E-2</v>
      </c>
      <c r="CZ163" s="6">
        <f t="shared" si="27"/>
        <v>593527686.52698147</v>
      </c>
      <c r="DA163" s="6">
        <f t="shared" si="28"/>
        <v>32654910.59859515</v>
      </c>
      <c r="DB163" s="6">
        <f t="shared" si="29"/>
        <v>15479981</v>
      </c>
      <c r="DC163" s="6">
        <f t="shared" si="30"/>
        <v>15479981</v>
      </c>
      <c r="DD163" s="6">
        <f t="shared" si="31"/>
        <v>20039687</v>
      </c>
      <c r="DE163" s="6">
        <f t="shared" si="32"/>
        <v>38107865</v>
      </c>
      <c r="DF163" s="6">
        <f t="shared" si="83"/>
        <v>12337976.742792554</v>
      </c>
      <c r="DG163" s="30"/>
      <c r="DH163" s="32">
        <f>VLOOKUP(A163,'T_med_comp-USA'!$A$7:$Q$233,17,0)</f>
        <v>12.396353928660782</v>
      </c>
      <c r="DI163" s="6" t="str">
        <f t="shared" si="34"/>
        <v>8_2011</v>
      </c>
      <c r="DJ163" s="32">
        <f>IF(DI163="","",VLOOKUP(DI163,'CPI USA'!$T:$U,2,FALSE))</f>
        <v>224.93899999999999</v>
      </c>
      <c r="DK163" s="32">
        <f>IF(DI163="","",VLOOKUP(DI163,'PPI USA'!$S:$T,2,FALSE))</f>
        <v>169.6</v>
      </c>
      <c r="DL163" s="32">
        <f>IF(DI163="","",VLOOKUP(DI163,'CPI USA'!$T:$V,3,FALSE))</f>
        <v>0.6684022975047168</v>
      </c>
      <c r="DM163" s="32">
        <f>IF(DI163="","",VLOOKUP(DI163,'CPI USA'!$T:$X,5,FALSE))</f>
        <v>0.49636791791307899</v>
      </c>
      <c r="DN163" s="32">
        <f t="shared" si="35"/>
        <v>1.4208751760332547</v>
      </c>
      <c r="DO163" s="32">
        <f t="shared" si="36"/>
        <v>1.4334111417560953</v>
      </c>
      <c r="DP163" s="32">
        <f t="shared" si="37"/>
        <v>0.51812242733897251</v>
      </c>
      <c r="DQ163" s="32">
        <f>IF(DP163="","",DP163*$DO$1/'CPI USA'!$U$532+(1-DP163)*AVERAGE($DO$1,$DQ$1)/AVERAGE('CPI USA'!$U$532,'PPI USA'!$T$538))</f>
        <v>1.0353399293442322</v>
      </c>
      <c r="DR163" s="6">
        <f t="shared" si="38"/>
        <v>4310901</v>
      </c>
      <c r="DS163" s="32">
        <f t="shared" si="39"/>
        <v>0.28542024490723283</v>
      </c>
      <c r="DT163" s="28">
        <f>IF(DS163="","",DS163*$DO$1/'CPI USA'!$U$532+(1-DS163)*AVERAGE($DO$1,$DQ$1)/AVERAGE('CPI USA'!$U$532,'PPI USA'!$T$538))</f>
        <v>1.0407104350648766</v>
      </c>
      <c r="DU163" s="6">
        <f t="shared" si="40"/>
        <v>17683644.002333235</v>
      </c>
      <c r="DV163" s="6">
        <f t="shared" si="82"/>
        <v>552242.3194026358</v>
      </c>
      <c r="DW163" s="6">
        <f t="shared" si="42"/>
        <v>6262219.5875101248</v>
      </c>
      <c r="DX163" s="16">
        <f t="shared" si="43"/>
        <v>0.50755644284775547</v>
      </c>
      <c r="DY163" s="28">
        <f>IF(DX163="","",DX163*$DO$1/'CPI USA'!$U$532+(1-DX163)*AVERAGE($DO$1,$DQ$1)/AVERAGE('CPI USA'!$U$532,'PPI USA'!$T$538))</f>
        <v>1.0355837804313226</v>
      </c>
      <c r="DZ163" s="30"/>
      <c r="EA163" s="29" t="str">
        <f t="shared" si="44"/>
        <v>C002498</v>
      </c>
      <c r="EB163" s="29">
        <f t="shared" si="45"/>
        <v>843328756.07463527</v>
      </c>
      <c r="EC163" s="29">
        <f t="shared" si="46"/>
        <v>46807912.685075492</v>
      </c>
      <c r="ED163" s="29">
        <f t="shared" si="47"/>
        <v>16027042.434790058</v>
      </c>
      <c r="EE163" s="29">
        <f t="shared" si="48"/>
        <v>20855511.376333952</v>
      </c>
      <c r="EF163" s="29">
        <f t="shared" si="49"/>
        <v>12777008.59817485</v>
      </c>
      <c r="EG163" s="29">
        <f t="shared" si="50"/>
        <v>745</v>
      </c>
      <c r="EH163" s="29">
        <f t="shared" si="51"/>
        <v>163278</v>
      </c>
      <c r="EI163" s="29">
        <f t="shared" si="52"/>
        <v>88445</v>
      </c>
      <c r="EJ163" s="29">
        <f t="shared" si="53"/>
        <v>3159061</v>
      </c>
      <c r="EK163" s="29">
        <f t="shared" si="54"/>
        <v>3241586.497461929</v>
      </c>
      <c r="EL163" s="29">
        <f>IF(CD163=1,VLOOKUP(EA163,'EIA 2023'!$A$2:$J$213,4,0)*EH163,"")</f>
        <v>3844707.0660000001</v>
      </c>
      <c r="EM163" s="29">
        <f>IF(CD163=1,VLOOKUP(EA163,'EIA 2023'!$A$2:$J$213,7,0)*EH163,"")</f>
        <v>44901.450000000004</v>
      </c>
      <c r="EN163" s="29">
        <f>IF(CD163=1,VLOOKUP(EA163,'EIA 2023'!$A$2:$J$213,10,0),"")</f>
        <v>167717</v>
      </c>
      <c r="EO163" s="28">
        <f>IF(CD163=1,VLOOKUP(EA163,'EIA 2023'!$A$2:$Z$213,26,0),"")</f>
        <v>0</v>
      </c>
      <c r="EP163" s="23">
        <f t="shared" si="55"/>
        <v>2.5458366613552982E-2</v>
      </c>
      <c r="EQ163" s="32">
        <f t="shared" si="56"/>
        <v>5919.5025380710722</v>
      </c>
      <c r="ER163" s="32">
        <f t="shared" si="57"/>
        <v>82525.497461928928</v>
      </c>
      <c r="ES163" s="32"/>
      <c r="ET163" s="32"/>
    </row>
    <row r="164" spans="1:150" ht="15.75" customHeight="1">
      <c r="A164" s="7" t="s">
        <v>700</v>
      </c>
      <c r="B164" s="7" t="s">
        <v>701</v>
      </c>
      <c r="C164" s="32" t="s">
        <v>1249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f>IFERROR(VLOOKUP(A164,'Trans 21-23'!$A$2:$J$229,10,0),0)</f>
        <v>14803636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33241871</v>
      </c>
      <c r="AE164" s="42">
        <v>0</v>
      </c>
      <c r="AF164" s="42">
        <v>75998060</v>
      </c>
      <c r="AG164" s="42">
        <v>0</v>
      </c>
      <c r="AH164" s="42">
        <v>0</v>
      </c>
      <c r="AI164" s="42">
        <v>0</v>
      </c>
      <c r="AJ164" s="42">
        <v>0</v>
      </c>
      <c r="AK164" s="42">
        <v>0</v>
      </c>
      <c r="AL164" s="42">
        <v>0</v>
      </c>
      <c r="AM164" s="42">
        <v>0</v>
      </c>
      <c r="AN164" s="42">
        <v>0</v>
      </c>
      <c r="AO164" s="42">
        <v>0</v>
      </c>
      <c r="AP164" s="42">
        <v>0</v>
      </c>
      <c r="AQ164" s="42">
        <v>0</v>
      </c>
      <c r="AR164" s="42">
        <v>0</v>
      </c>
      <c r="AS164" s="42">
        <v>0</v>
      </c>
      <c r="AT164" s="42">
        <v>0</v>
      </c>
      <c r="AU164" s="42">
        <v>3482</v>
      </c>
      <c r="AV164" s="42">
        <v>0</v>
      </c>
      <c r="AW164" s="42">
        <v>0</v>
      </c>
      <c r="AX164" s="42">
        <v>0</v>
      </c>
      <c r="AY164" s="42">
        <v>0</v>
      </c>
      <c r="AZ164" s="42">
        <v>0</v>
      </c>
      <c r="BA164" s="42">
        <v>0</v>
      </c>
      <c r="BB164" s="42">
        <v>0</v>
      </c>
      <c r="BC164" s="42">
        <v>4947273135</v>
      </c>
      <c r="BD164" s="42">
        <v>182041662</v>
      </c>
      <c r="BE164" s="42">
        <v>0</v>
      </c>
      <c r="BF164" s="42">
        <v>0</v>
      </c>
      <c r="BG164" s="42">
        <v>0</v>
      </c>
      <c r="BH164" s="42">
        <v>0</v>
      </c>
      <c r="BI164" s="42">
        <v>0</v>
      </c>
      <c r="BJ164" s="42">
        <v>0</v>
      </c>
      <c r="BK164" s="42">
        <v>0</v>
      </c>
      <c r="BL164" s="42">
        <v>0</v>
      </c>
      <c r="BM164" s="42">
        <v>8569107</v>
      </c>
      <c r="BN164" s="42">
        <v>13590550</v>
      </c>
      <c r="BO164" s="42">
        <v>0</v>
      </c>
      <c r="BP164" s="42">
        <v>202770</v>
      </c>
      <c r="BQ164" s="42">
        <v>30664494</v>
      </c>
      <c r="BR164" s="42">
        <v>0</v>
      </c>
      <c r="BS164" s="42">
        <f>IFERROR(VLOOKUP(A164,'Trans 21-23'!$A$2:$J$229,9,0),0)</f>
        <v>1457862019</v>
      </c>
      <c r="BT164" s="67"/>
      <c r="BU164" s="32">
        <f t="shared" si="0"/>
        <v>0</v>
      </c>
      <c r="BV164" s="32">
        <f t="shared" si="1"/>
        <v>3482</v>
      </c>
      <c r="BW164" s="32">
        <f t="shared" si="2"/>
        <v>0</v>
      </c>
      <c r="BX164" s="32">
        <f t="shared" si="3"/>
        <v>0</v>
      </c>
      <c r="BY164" s="32">
        <f t="shared" si="4"/>
        <v>0</v>
      </c>
      <c r="BZ164" s="32">
        <f t="shared" si="5"/>
        <v>0</v>
      </c>
      <c r="CA164" s="32">
        <f t="shared" si="6"/>
        <v>33241871</v>
      </c>
      <c r="CB164" s="32">
        <f t="shared" si="7"/>
        <v>0</v>
      </c>
      <c r="CC164" s="32">
        <f t="shared" si="8"/>
        <v>0</v>
      </c>
      <c r="CD164" s="41">
        <f t="shared" si="74"/>
        <v>0</v>
      </c>
      <c r="CE164" s="44">
        <f t="shared" si="10"/>
        <v>57</v>
      </c>
      <c r="CF164" s="27"/>
      <c r="CG164" s="28" t="str">
        <f t="shared" si="11"/>
        <v/>
      </c>
      <c r="CH164" s="28" t="str">
        <f t="shared" si="12"/>
        <v/>
      </c>
      <c r="CI164" s="28" t="str">
        <f t="shared" si="13"/>
        <v/>
      </c>
      <c r="CJ164" s="28" t="str">
        <f t="shared" si="14"/>
        <v/>
      </c>
      <c r="CK164" s="23" t="str">
        <f t="shared" si="15"/>
        <v/>
      </c>
      <c r="CL164" s="29" t="str">
        <f t="shared" si="16"/>
        <v/>
      </c>
      <c r="CM164" s="29" t="str">
        <f t="shared" si="17"/>
        <v/>
      </c>
      <c r="CN164" s="29" t="str">
        <f t="shared" si="18"/>
        <v/>
      </c>
      <c r="CO164" s="29" t="str">
        <f t="shared" si="19"/>
        <v/>
      </c>
      <c r="CP164" s="29" t="str">
        <f t="shared" si="20"/>
        <v/>
      </c>
      <c r="CQ164" s="29" t="str">
        <f t="shared" si="21"/>
        <v/>
      </c>
      <c r="CR164" s="13"/>
      <c r="CS164" s="7" t="str">
        <f>VLOOKUP(A164,'Empresas 21-23'!$A$2:$M$228,13,0)</f>
        <v/>
      </c>
      <c r="CT164" s="30"/>
      <c r="CU164" s="6">
        <f t="shared" si="22"/>
        <v>1457862019</v>
      </c>
      <c r="CV164" s="6">
        <f t="shared" si="23"/>
        <v>0</v>
      </c>
      <c r="CW164" s="6">
        <f t="shared" si="24"/>
        <v>182041662</v>
      </c>
      <c r="CX164" s="23">
        <f t="shared" si="79"/>
        <v>0.30593729334247599</v>
      </c>
      <c r="CY164" s="23">
        <f t="shared" si="80"/>
        <v>0</v>
      </c>
      <c r="CZ164" s="6">
        <f t="shared" si="27"/>
        <v>1513555352.3478458</v>
      </c>
      <c r="DA164" s="6">
        <f t="shared" si="28"/>
        <v>0</v>
      </c>
      <c r="DB164" s="6">
        <f t="shared" si="29"/>
        <v>0</v>
      </c>
      <c r="DC164" s="6">
        <f t="shared" si="30"/>
        <v>14803636</v>
      </c>
      <c r="DD164" s="6">
        <f t="shared" si="31"/>
        <v>0</v>
      </c>
      <c r="DE164" s="6">
        <f t="shared" si="32"/>
        <v>33241871</v>
      </c>
      <c r="DF164" s="6">
        <f t="shared" si="83"/>
        <v>11509457.922991125</v>
      </c>
      <c r="DG164" s="30"/>
      <c r="DH164" s="32" t="str">
        <f>VLOOKUP(A164,'T_med_comp-USA'!$A$7:$Q$233,17,0)</f>
        <v>-</v>
      </c>
      <c r="DI164" s="6" t="str">
        <f t="shared" si="34"/>
        <v/>
      </c>
      <c r="DJ164" s="32" t="str">
        <f>IF(DI164="","",VLOOKUP(DI164,'CPI USA'!$T:$U,2,FALSE))</f>
        <v/>
      </c>
      <c r="DK164" s="32" t="str">
        <f>IF(DI164="","",VLOOKUP(DI164,'PPI USA'!$S:$T,2,FALSE))</f>
        <v/>
      </c>
      <c r="DL164" s="32" t="str">
        <f>IF(DI164="","",VLOOKUP(DI164,'CPI USA'!$T:$V,3,FALSE))</f>
        <v/>
      </c>
      <c r="DM164" s="32" t="str">
        <f>IF(DI164="","",VLOOKUP(DI164,'CPI USA'!$T:$X,5,FALSE))</f>
        <v/>
      </c>
      <c r="DN164" s="32" t="str">
        <f t="shared" si="35"/>
        <v/>
      </c>
      <c r="DO164" s="32" t="str">
        <f t="shared" si="36"/>
        <v/>
      </c>
      <c r="DP164" s="32" t="str">
        <f t="shared" si="37"/>
        <v/>
      </c>
      <c r="DQ164" s="32" t="str">
        <f>IF(DP164="","",DP164*$DO$1/'CPI USA'!$U$532+(1-DP164)*AVERAGE($DO$1,$DQ$1)/AVERAGE('CPI USA'!$U$532,'PPI USA'!$T$538))</f>
        <v/>
      </c>
      <c r="DR164" s="6">
        <f t="shared" si="38"/>
        <v>0</v>
      </c>
      <c r="DS164" s="32" t="str">
        <f t="shared" si="39"/>
        <v/>
      </c>
      <c r="DT164" s="28" t="str">
        <f>IF(DS164="","",DS164*$DO$1/'CPI USA'!$U$532+(1-DS164)*AVERAGE($DO$1,$DQ$1)/AVERAGE('CPI USA'!$U$532,'PPI USA'!$T$538))</f>
        <v/>
      </c>
      <c r="DU164" s="6" t="str">
        <f t="shared" si="40"/>
        <v/>
      </c>
      <c r="DV164" s="6">
        <f t="shared" si="82"/>
        <v>57040.692325555836</v>
      </c>
      <c r="DW164" s="6">
        <f t="shared" si="42"/>
        <v>0</v>
      </c>
      <c r="DX164" s="16" t="str">
        <f t="shared" si="43"/>
        <v/>
      </c>
      <c r="DY164" s="28" t="str">
        <f>IF(DX164="","",DX164*$DO$1/'CPI USA'!$U$532+(1-DX164)*AVERAGE($DO$1,$DQ$1)/AVERAGE('CPI USA'!$U$532,'PPI USA'!$T$538))</f>
        <v/>
      </c>
      <c r="DZ164" s="30"/>
      <c r="EA164" s="29" t="str">
        <f t="shared" si="44"/>
        <v>C002525</v>
      </c>
      <c r="EB164" s="29" t="str">
        <f t="shared" si="45"/>
        <v/>
      </c>
      <c r="EC164" s="29" t="str">
        <f t="shared" si="46"/>
        <v/>
      </c>
      <c r="ED164" s="29" t="str">
        <f t="shared" si="47"/>
        <v/>
      </c>
      <c r="EE164" s="29" t="str">
        <f t="shared" si="48"/>
        <v/>
      </c>
      <c r="EF164" s="29" t="str">
        <f t="shared" si="49"/>
        <v/>
      </c>
      <c r="EG164" s="29" t="str">
        <f t="shared" si="50"/>
        <v/>
      </c>
      <c r="EH164" s="29" t="str">
        <f t="shared" si="51"/>
        <v/>
      </c>
      <c r="EI164" s="29" t="str">
        <f t="shared" si="52"/>
        <v/>
      </c>
      <c r="EJ164" s="29" t="str">
        <f t="shared" si="53"/>
        <v/>
      </c>
      <c r="EK164" s="29" t="str">
        <f t="shared" si="54"/>
        <v/>
      </c>
      <c r="EL164" s="29" t="str">
        <f>IF(CD164=1,VLOOKUP(EA164,'EIA 2023'!$A$2:$J$213,4,0)*EH164,"")</f>
        <v/>
      </c>
      <c r="EM164" s="29" t="str">
        <f>IF(CD164=1,VLOOKUP(EA164,'EIA 2023'!$A$2:$J$213,7,0)*EH164,"")</f>
        <v/>
      </c>
      <c r="EN164" s="29" t="str">
        <f>IF(CD164=1,VLOOKUP(EA164,'EIA 2023'!$A$2:$J$213,10,0),"")</f>
        <v/>
      </c>
      <c r="EO164" s="28" t="str">
        <f>IF(CD164=1,VLOOKUP(EA164,'EIA 2023'!$A$2:$Z$213,26,0),"")</f>
        <v/>
      </c>
      <c r="EP164" s="23" t="str">
        <f t="shared" si="55"/>
        <v/>
      </c>
      <c r="EQ164" s="32" t="str">
        <f t="shared" si="56"/>
        <v/>
      </c>
      <c r="ER164" s="32" t="str">
        <f t="shared" si="57"/>
        <v/>
      </c>
      <c r="ES164" s="32"/>
      <c r="ET164" s="32"/>
    </row>
    <row r="165" spans="1:150" ht="15.75" customHeight="1">
      <c r="A165" s="7" t="s">
        <v>706</v>
      </c>
      <c r="B165" s="7" t="s">
        <v>707</v>
      </c>
      <c r="C165" s="32" t="s">
        <v>1250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f>IFERROR(VLOOKUP(A165,'Trans 21-23'!$A$2:$J$229,10,0),0)</f>
        <v>0</v>
      </c>
      <c r="Y165" s="42">
        <v>0</v>
      </c>
      <c r="Z165" s="42">
        <v>0</v>
      </c>
      <c r="AA165" s="42">
        <v>0</v>
      </c>
      <c r="AB165" s="42">
        <v>1415355</v>
      </c>
      <c r="AC165" s="42">
        <v>0</v>
      </c>
      <c r="AD165" s="42">
        <v>1146213</v>
      </c>
      <c r="AE165" s="42">
        <v>0</v>
      </c>
      <c r="AF165" s="42">
        <v>9537888</v>
      </c>
      <c r="AG165" s="42">
        <v>0</v>
      </c>
      <c r="AH165" s="42">
        <v>0</v>
      </c>
      <c r="AI165" s="42">
        <v>0</v>
      </c>
      <c r="AJ165" s="42">
        <v>0</v>
      </c>
      <c r="AK165" s="42">
        <v>0</v>
      </c>
      <c r="AL165" s="42">
        <v>0</v>
      </c>
      <c r="AM165" s="42">
        <v>0</v>
      </c>
      <c r="AN165" s="42">
        <v>0</v>
      </c>
      <c r="AO165" s="42">
        <v>0</v>
      </c>
      <c r="AP165" s="42">
        <v>0</v>
      </c>
      <c r="AQ165" s="42">
        <v>0</v>
      </c>
      <c r="AR165" s="42">
        <v>0</v>
      </c>
      <c r="AS165" s="42">
        <v>0</v>
      </c>
      <c r="AT165" s="42">
        <v>0</v>
      </c>
      <c r="AU165" s="42">
        <v>0</v>
      </c>
      <c r="AV165" s="42">
        <v>0</v>
      </c>
      <c r="AW165" s="42">
        <v>0</v>
      </c>
      <c r="AX165" s="42">
        <v>0</v>
      </c>
      <c r="AY165" s="42">
        <v>0</v>
      </c>
      <c r="AZ165" s="42">
        <v>0</v>
      </c>
      <c r="BA165" s="42">
        <v>0</v>
      </c>
      <c r="BB165" s="42">
        <v>0</v>
      </c>
      <c r="BC165" s="42">
        <v>9443020</v>
      </c>
      <c r="BD165" s="42">
        <v>0</v>
      </c>
      <c r="BE165" s="42">
        <v>0</v>
      </c>
      <c r="BF165" s="42">
        <v>0</v>
      </c>
      <c r="BG165" s="42">
        <v>0</v>
      </c>
      <c r="BH165" s="42">
        <v>0</v>
      </c>
      <c r="BI165" s="42">
        <v>0</v>
      </c>
      <c r="BJ165" s="42">
        <v>0</v>
      </c>
      <c r="BK165" s="42">
        <v>0</v>
      </c>
      <c r="BL165" s="42">
        <v>0</v>
      </c>
      <c r="BM165" s="42">
        <v>0</v>
      </c>
      <c r="BN165" s="42">
        <v>0</v>
      </c>
      <c r="BO165" s="42">
        <v>0</v>
      </c>
      <c r="BP165" s="42">
        <v>0</v>
      </c>
      <c r="BQ165" s="42">
        <v>0</v>
      </c>
      <c r="BR165" s="42">
        <v>0</v>
      </c>
      <c r="BS165" s="42">
        <f>IFERROR(VLOOKUP(A165,'Trans 21-23'!$A$2:$J$229,9,0),0)</f>
        <v>0</v>
      </c>
      <c r="BT165" s="67"/>
      <c r="BU165" s="32">
        <f t="shared" si="0"/>
        <v>0</v>
      </c>
      <c r="BV165" s="32">
        <f t="shared" si="1"/>
        <v>0</v>
      </c>
      <c r="BW165" s="32">
        <f t="shared" si="2"/>
        <v>0</v>
      </c>
      <c r="BX165" s="32">
        <f t="shared" si="3"/>
        <v>0</v>
      </c>
      <c r="BY165" s="32">
        <f t="shared" si="4"/>
        <v>1415355</v>
      </c>
      <c r="BZ165" s="32">
        <f t="shared" si="5"/>
        <v>0</v>
      </c>
      <c r="CA165" s="32">
        <f t="shared" si="6"/>
        <v>1146213</v>
      </c>
      <c r="CB165" s="32">
        <f t="shared" si="7"/>
        <v>0</v>
      </c>
      <c r="CC165" s="32">
        <f t="shared" si="8"/>
        <v>0</v>
      </c>
      <c r="CD165" s="41">
        <f t="shared" si="74"/>
        <v>0</v>
      </c>
      <c r="CE165" s="44">
        <f t="shared" si="10"/>
        <v>64</v>
      </c>
      <c r="CF165" s="27"/>
      <c r="CG165" s="28" t="str">
        <f t="shared" si="11"/>
        <v/>
      </c>
      <c r="CH165" s="28" t="str">
        <f t="shared" si="12"/>
        <v/>
      </c>
      <c r="CI165" s="28" t="str">
        <f t="shared" si="13"/>
        <v/>
      </c>
      <c r="CJ165" s="28" t="str">
        <f t="shared" si="14"/>
        <v/>
      </c>
      <c r="CK165" s="23" t="str">
        <f t="shared" si="15"/>
        <v/>
      </c>
      <c r="CL165" s="29" t="str">
        <f t="shared" si="16"/>
        <v/>
      </c>
      <c r="CM165" s="29" t="str">
        <f t="shared" si="17"/>
        <v/>
      </c>
      <c r="CN165" s="29" t="str">
        <f t="shared" si="18"/>
        <v/>
      </c>
      <c r="CO165" s="29" t="str">
        <f t="shared" si="19"/>
        <v/>
      </c>
      <c r="CP165" s="29" t="str">
        <f t="shared" si="20"/>
        <v/>
      </c>
      <c r="CQ165" s="29" t="str">
        <f t="shared" si="21"/>
        <v/>
      </c>
      <c r="CR165" s="13"/>
      <c r="CS165" s="7" t="str">
        <f>VLOOKUP(A165,'Empresas 21-23'!$A$2:$M$228,13,0)</f>
        <v/>
      </c>
      <c r="CT165" s="30"/>
      <c r="CU165" s="6">
        <f t="shared" si="22"/>
        <v>0</v>
      </c>
      <c r="CV165" s="6">
        <f t="shared" si="23"/>
        <v>0</v>
      </c>
      <c r="CW165" s="6">
        <f t="shared" si="24"/>
        <v>0</v>
      </c>
      <c r="CX165" s="23">
        <f t="shared" si="79"/>
        <v>0</v>
      </c>
      <c r="CY165" s="23">
        <f t="shared" si="80"/>
        <v>0</v>
      </c>
      <c r="CZ165" s="6">
        <f t="shared" si="27"/>
        <v>0</v>
      </c>
      <c r="DA165" s="6">
        <f t="shared" si="28"/>
        <v>0</v>
      </c>
      <c r="DB165" s="6">
        <f t="shared" si="29"/>
        <v>0</v>
      </c>
      <c r="DC165" s="6">
        <f t="shared" si="30"/>
        <v>0</v>
      </c>
      <c r="DD165" s="6">
        <f t="shared" si="31"/>
        <v>1415355</v>
      </c>
      <c r="DE165" s="6">
        <f t="shared" si="32"/>
        <v>1146213</v>
      </c>
      <c r="DF165" s="6">
        <f t="shared" si="83"/>
        <v>193322.34632716354</v>
      </c>
      <c r="DG165" s="30"/>
      <c r="DH165" s="32" t="str">
        <f>VLOOKUP(A165,'T_med_comp-USA'!$A$7:$Q$233,17,0)</f>
        <v>-</v>
      </c>
      <c r="DI165" s="6" t="str">
        <f t="shared" si="34"/>
        <v/>
      </c>
      <c r="DJ165" s="32" t="str">
        <f>IF(DI165="","",VLOOKUP(DI165,'CPI USA'!$T:$U,2,FALSE))</f>
        <v/>
      </c>
      <c r="DK165" s="32" t="str">
        <f>IF(DI165="","",VLOOKUP(DI165,'PPI USA'!$S:$T,2,FALSE))</f>
        <v/>
      </c>
      <c r="DL165" s="32" t="str">
        <f>IF(DI165="","",VLOOKUP(DI165,'CPI USA'!$T:$V,3,FALSE))</f>
        <v/>
      </c>
      <c r="DM165" s="32" t="str">
        <f>IF(DI165="","",VLOOKUP(DI165,'CPI USA'!$T:$X,5,FALSE))</f>
        <v/>
      </c>
      <c r="DN165" s="32" t="str">
        <f t="shared" si="35"/>
        <v/>
      </c>
      <c r="DO165" s="32" t="str">
        <f t="shared" si="36"/>
        <v/>
      </c>
      <c r="DP165" s="32" t="str">
        <f t="shared" si="37"/>
        <v/>
      </c>
      <c r="DQ165" s="32" t="str">
        <f>IF(DP165="","",DP165*$DO$1/'CPI USA'!$U$532+(1-DP165)*AVERAGE($DO$1,$DQ$1)/AVERAGE('CPI USA'!$U$532,'PPI USA'!$T$538))</f>
        <v/>
      </c>
      <c r="DR165" s="6">
        <f t="shared" si="38"/>
        <v>0</v>
      </c>
      <c r="DS165" s="32">
        <f t="shared" si="39"/>
        <v>0.2</v>
      </c>
      <c r="DT165" s="28">
        <f>IF(DS165="","",DS165*$DO$1/'CPI USA'!$U$532+(1-DS165)*AVERAGE($DO$1,$DQ$1)/AVERAGE('CPI USA'!$U$532,'PPI USA'!$T$538))</f>
        <v>1.0426818386380585</v>
      </c>
      <c r="DU165" s="6" t="str">
        <f t="shared" si="40"/>
        <v/>
      </c>
      <c r="DV165" s="6" t="str">
        <f t="shared" si="82"/>
        <v/>
      </c>
      <c r="DW165" s="6">
        <f t="shared" si="42"/>
        <v>0</v>
      </c>
      <c r="DX165" s="16" t="str">
        <f t="shared" si="43"/>
        <v/>
      </c>
      <c r="DY165" s="28" t="str">
        <f>IF(DX165="","",DX165*$DO$1/'CPI USA'!$U$532+(1-DX165)*AVERAGE($DO$1,$DQ$1)/AVERAGE('CPI USA'!$U$532,'PPI USA'!$T$538))</f>
        <v/>
      </c>
      <c r="DZ165" s="30"/>
      <c r="EA165" s="29" t="str">
        <f t="shared" si="44"/>
        <v>C002854</v>
      </c>
      <c r="EB165" s="29" t="str">
        <f t="shared" si="45"/>
        <v/>
      </c>
      <c r="EC165" s="29" t="str">
        <f t="shared" si="46"/>
        <v/>
      </c>
      <c r="ED165" s="29" t="str">
        <f t="shared" si="47"/>
        <v/>
      </c>
      <c r="EE165" s="29" t="str">
        <f t="shared" si="48"/>
        <v/>
      </c>
      <c r="EF165" s="29" t="str">
        <f t="shared" si="49"/>
        <v/>
      </c>
      <c r="EG165" s="29" t="str">
        <f t="shared" si="50"/>
        <v/>
      </c>
      <c r="EH165" s="29" t="str">
        <f t="shared" si="51"/>
        <v/>
      </c>
      <c r="EI165" s="29" t="str">
        <f t="shared" si="52"/>
        <v/>
      </c>
      <c r="EJ165" s="29" t="str">
        <f t="shared" si="53"/>
        <v/>
      </c>
      <c r="EK165" s="29" t="str">
        <f t="shared" si="54"/>
        <v/>
      </c>
      <c r="EL165" s="29" t="str">
        <f>IF(CD165=1,VLOOKUP(EA165,'EIA 2023'!$A$2:$J$213,4,0)*EH165,"")</f>
        <v/>
      </c>
      <c r="EM165" s="29" t="str">
        <f>IF(CD165=1,VLOOKUP(EA165,'EIA 2023'!$A$2:$J$213,7,0)*EH165,"")</f>
        <v/>
      </c>
      <c r="EN165" s="29" t="str">
        <f>IF(CD165=1,VLOOKUP(EA165,'EIA 2023'!$A$2:$J$213,10,0),"")</f>
        <v/>
      </c>
      <c r="EO165" s="28" t="str">
        <f>IF(CD165=1,VLOOKUP(EA165,'EIA 2023'!$A$2:$Z$213,26,0),"")</f>
        <v/>
      </c>
      <c r="EP165" s="23" t="str">
        <f t="shared" si="55"/>
        <v/>
      </c>
      <c r="EQ165" s="32" t="str">
        <f t="shared" si="56"/>
        <v/>
      </c>
      <c r="ER165" s="32" t="str">
        <f t="shared" si="57"/>
        <v/>
      </c>
      <c r="ES165" s="32"/>
      <c r="ET165" s="32"/>
    </row>
    <row r="166" spans="1:150" ht="15.75" customHeight="1">
      <c r="A166" s="7" t="s">
        <v>709</v>
      </c>
      <c r="B166" s="7" t="s">
        <v>710</v>
      </c>
      <c r="C166" s="32" t="s">
        <v>1251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f>IFERROR(VLOOKUP(A166,'Trans 21-23'!$A$2:$J$229,10,0),0)</f>
        <v>0</v>
      </c>
      <c r="Y166" s="42">
        <v>0</v>
      </c>
      <c r="Z166" s="42">
        <v>0</v>
      </c>
      <c r="AA166" s="42">
        <v>0</v>
      </c>
      <c r="AB166" s="42">
        <v>0</v>
      </c>
      <c r="AC166" s="42">
        <v>0</v>
      </c>
      <c r="AD166" s="42">
        <v>8376349</v>
      </c>
      <c r="AE166" s="42">
        <v>0</v>
      </c>
      <c r="AF166" s="42">
        <v>12982200</v>
      </c>
      <c r="AG166" s="42">
        <v>0</v>
      </c>
      <c r="AH166" s="42">
        <v>0</v>
      </c>
      <c r="AI166" s="42">
        <v>0</v>
      </c>
      <c r="AJ166" s="42">
        <v>0</v>
      </c>
      <c r="AK166" s="42">
        <v>0</v>
      </c>
      <c r="AL166" s="42">
        <v>0</v>
      </c>
      <c r="AM166" s="42">
        <v>0</v>
      </c>
      <c r="AN166" s="42">
        <v>0</v>
      </c>
      <c r="AO166" s="42">
        <v>0</v>
      </c>
      <c r="AP166" s="42">
        <v>0</v>
      </c>
      <c r="AQ166" s="42">
        <v>0</v>
      </c>
      <c r="AR166" s="42">
        <v>0</v>
      </c>
      <c r="AS166" s="42">
        <v>0</v>
      </c>
      <c r="AT166" s="42">
        <v>0</v>
      </c>
      <c r="AU166" s="42">
        <v>0</v>
      </c>
      <c r="AV166" s="42">
        <v>0</v>
      </c>
      <c r="AW166" s="42">
        <v>0</v>
      </c>
      <c r="AX166" s="42">
        <v>0</v>
      </c>
      <c r="AY166" s="42">
        <v>0</v>
      </c>
      <c r="AZ166" s="42">
        <v>0</v>
      </c>
      <c r="BA166" s="42">
        <v>0</v>
      </c>
      <c r="BB166" s="42">
        <v>0</v>
      </c>
      <c r="BC166" s="42">
        <v>597624885</v>
      </c>
      <c r="BD166" s="42">
        <v>553013</v>
      </c>
      <c r="BE166" s="42">
        <v>0</v>
      </c>
      <c r="BF166" s="42">
        <v>0</v>
      </c>
      <c r="BG166" s="42">
        <v>0</v>
      </c>
      <c r="BH166" s="42">
        <v>0</v>
      </c>
      <c r="BI166" s="42">
        <v>0</v>
      </c>
      <c r="BJ166" s="42">
        <v>0</v>
      </c>
      <c r="BK166" s="42">
        <v>0</v>
      </c>
      <c r="BL166" s="42">
        <v>0</v>
      </c>
      <c r="BM166" s="42">
        <v>2554544</v>
      </c>
      <c r="BN166" s="42">
        <v>2794497</v>
      </c>
      <c r="BO166" s="42">
        <v>0</v>
      </c>
      <c r="BP166" s="42">
        <v>10808</v>
      </c>
      <c r="BQ166" s="42">
        <v>2879246</v>
      </c>
      <c r="BR166" s="42">
        <v>0</v>
      </c>
      <c r="BS166" s="42">
        <f>IFERROR(VLOOKUP(A166,'Trans 21-23'!$A$2:$J$229,9,0),0)</f>
        <v>0</v>
      </c>
      <c r="BT166" s="67"/>
      <c r="BU166" s="32">
        <f t="shared" si="0"/>
        <v>0</v>
      </c>
      <c r="BV166" s="32">
        <f t="shared" si="1"/>
        <v>0</v>
      </c>
      <c r="BW166" s="32">
        <f t="shared" si="2"/>
        <v>0</v>
      </c>
      <c r="BX166" s="32">
        <f t="shared" si="3"/>
        <v>0</v>
      </c>
      <c r="BY166" s="32">
        <f t="shared" si="4"/>
        <v>0</v>
      </c>
      <c r="BZ166" s="32">
        <f t="shared" si="5"/>
        <v>0</v>
      </c>
      <c r="CA166" s="32">
        <f t="shared" si="6"/>
        <v>8376349</v>
      </c>
      <c r="CB166" s="32">
        <f t="shared" si="7"/>
        <v>0</v>
      </c>
      <c r="CC166" s="32">
        <f t="shared" si="8"/>
        <v>0</v>
      </c>
      <c r="CD166" s="41">
        <f t="shared" si="74"/>
        <v>0</v>
      </c>
      <c r="CE166" s="44">
        <f t="shared" si="10"/>
        <v>60</v>
      </c>
      <c r="CF166" s="27"/>
      <c r="CG166" s="28" t="str">
        <f t="shared" si="11"/>
        <v/>
      </c>
      <c r="CH166" s="28" t="str">
        <f t="shared" si="12"/>
        <v/>
      </c>
      <c r="CI166" s="28" t="str">
        <f t="shared" si="13"/>
        <v/>
      </c>
      <c r="CJ166" s="28" t="str">
        <f t="shared" si="14"/>
        <v/>
      </c>
      <c r="CK166" s="23" t="str">
        <f t="shared" si="15"/>
        <v/>
      </c>
      <c r="CL166" s="29" t="str">
        <f t="shared" si="16"/>
        <v/>
      </c>
      <c r="CM166" s="29" t="str">
        <f t="shared" si="17"/>
        <v/>
      </c>
      <c r="CN166" s="29" t="str">
        <f t="shared" si="18"/>
        <v/>
      </c>
      <c r="CO166" s="29" t="str">
        <f t="shared" si="19"/>
        <v/>
      </c>
      <c r="CP166" s="29" t="str">
        <f t="shared" si="20"/>
        <v/>
      </c>
      <c r="CQ166" s="29" t="str">
        <f t="shared" si="21"/>
        <v/>
      </c>
      <c r="CR166" s="13"/>
      <c r="CS166" s="7" t="str">
        <f>VLOOKUP(A166,'Empresas 21-23'!$A$2:$M$228,13,0)</f>
        <v/>
      </c>
      <c r="CT166" s="30"/>
      <c r="CU166" s="6">
        <f t="shared" si="22"/>
        <v>0</v>
      </c>
      <c r="CV166" s="6">
        <f t="shared" si="23"/>
        <v>0</v>
      </c>
      <c r="CW166" s="6">
        <f t="shared" si="24"/>
        <v>553013</v>
      </c>
      <c r="CX166" s="23">
        <f t="shared" si="79"/>
        <v>0</v>
      </c>
      <c r="CY166" s="23">
        <f t="shared" si="80"/>
        <v>0</v>
      </c>
      <c r="CZ166" s="6">
        <f t="shared" si="27"/>
        <v>0</v>
      </c>
      <c r="DA166" s="6">
        <f t="shared" si="28"/>
        <v>0</v>
      </c>
      <c r="DB166" s="6">
        <f t="shared" si="29"/>
        <v>0</v>
      </c>
      <c r="DC166" s="6">
        <f t="shared" si="30"/>
        <v>0</v>
      </c>
      <c r="DD166" s="6">
        <f t="shared" si="31"/>
        <v>0</v>
      </c>
      <c r="DE166" s="6">
        <f t="shared" si="32"/>
        <v>8376349</v>
      </c>
      <c r="DF166" s="6">
        <f t="shared" si="83"/>
        <v>0</v>
      </c>
      <c r="DG166" s="30"/>
      <c r="DH166" s="32" t="str">
        <f>VLOOKUP(A166,'T_med_comp-USA'!$A$7:$Q$233,17,0)</f>
        <v>-</v>
      </c>
      <c r="DI166" s="6" t="str">
        <f t="shared" si="34"/>
        <v/>
      </c>
      <c r="DJ166" s="32" t="str">
        <f>IF(DI166="","",VLOOKUP(DI166,'CPI USA'!$T:$U,2,FALSE))</f>
        <v/>
      </c>
      <c r="DK166" s="32" t="str">
        <f>IF(DI166="","",VLOOKUP(DI166,'PPI USA'!$S:$T,2,FALSE))</f>
        <v/>
      </c>
      <c r="DL166" s="32" t="str">
        <f>IF(DI166="","",VLOOKUP(DI166,'CPI USA'!$T:$V,3,FALSE))</f>
        <v/>
      </c>
      <c r="DM166" s="32" t="str">
        <f>IF(DI166="","",VLOOKUP(DI166,'CPI USA'!$T:$X,5,FALSE))</f>
        <v/>
      </c>
      <c r="DN166" s="32" t="str">
        <f t="shared" si="35"/>
        <v/>
      </c>
      <c r="DO166" s="32" t="str">
        <f t="shared" si="36"/>
        <v/>
      </c>
      <c r="DP166" s="32" t="str">
        <f t="shared" si="37"/>
        <v/>
      </c>
      <c r="DQ166" s="32" t="str">
        <f>IF(DP166="","",DP166*$DO$1/'CPI USA'!$U$532+(1-DP166)*AVERAGE($DO$1,$DQ$1)/AVERAGE('CPI USA'!$U$532,'PPI USA'!$T$538))</f>
        <v/>
      </c>
      <c r="DR166" s="6">
        <f t="shared" si="38"/>
        <v>0</v>
      </c>
      <c r="DS166" s="32" t="str">
        <f t="shared" si="39"/>
        <v/>
      </c>
      <c r="DT166" s="28" t="str">
        <f>IF(DS166="","",DS166*$DO$1/'CPI USA'!$U$532+(1-DS166)*AVERAGE($DO$1,$DQ$1)/AVERAGE('CPI USA'!$U$532,'PPI USA'!$T$538))</f>
        <v/>
      </c>
      <c r="DU166" s="6" t="str">
        <f t="shared" si="40"/>
        <v/>
      </c>
      <c r="DV166" s="6">
        <f t="shared" si="82"/>
        <v>9625.2774339204825</v>
      </c>
      <c r="DW166" s="6">
        <f t="shared" si="42"/>
        <v>0</v>
      </c>
      <c r="DX166" s="16" t="str">
        <f t="shared" si="43"/>
        <v/>
      </c>
      <c r="DY166" s="28" t="str">
        <f>IF(DX166="","",DX166*$DO$1/'CPI USA'!$U$532+(1-DX166)*AVERAGE($DO$1,$DQ$1)/AVERAGE('CPI USA'!$U$532,'PPI USA'!$T$538))</f>
        <v/>
      </c>
      <c r="DZ166" s="30"/>
      <c r="EA166" s="29" t="str">
        <f t="shared" si="44"/>
        <v>C003138</v>
      </c>
      <c r="EB166" s="29" t="str">
        <f t="shared" si="45"/>
        <v/>
      </c>
      <c r="EC166" s="29" t="str">
        <f t="shared" si="46"/>
        <v/>
      </c>
      <c r="ED166" s="29" t="str">
        <f t="shared" si="47"/>
        <v/>
      </c>
      <c r="EE166" s="29" t="str">
        <f t="shared" si="48"/>
        <v/>
      </c>
      <c r="EF166" s="29" t="str">
        <f t="shared" si="49"/>
        <v/>
      </c>
      <c r="EG166" s="29" t="str">
        <f t="shared" si="50"/>
        <v/>
      </c>
      <c r="EH166" s="29" t="str">
        <f t="shared" si="51"/>
        <v/>
      </c>
      <c r="EI166" s="29" t="str">
        <f t="shared" si="52"/>
        <v/>
      </c>
      <c r="EJ166" s="29" t="str">
        <f t="shared" si="53"/>
        <v/>
      </c>
      <c r="EK166" s="29" t="str">
        <f t="shared" si="54"/>
        <v/>
      </c>
      <c r="EL166" s="29" t="str">
        <f>IF(CD166=1,VLOOKUP(EA166,'EIA 2023'!$A$2:$J$213,4,0)*EH166,"")</f>
        <v/>
      </c>
      <c r="EM166" s="29" t="str">
        <f>IF(CD166=1,VLOOKUP(EA166,'EIA 2023'!$A$2:$J$213,7,0)*EH166,"")</f>
        <v/>
      </c>
      <c r="EN166" s="29" t="str">
        <f>IF(CD166=1,VLOOKUP(EA166,'EIA 2023'!$A$2:$J$213,10,0),"")</f>
        <v/>
      </c>
      <c r="EO166" s="28" t="str">
        <f>IF(CD166=1,VLOOKUP(EA166,'EIA 2023'!$A$2:$Z$213,26,0),"")</f>
        <v/>
      </c>
      <c r="EP166" s="23" t="str">
        <f t="shared" si="55"/>
        <v/>
      </c>
      <c r="EQ166" s="32" t="str">
        <f t="shared" si="56"/>
        <v/>
      </c>
      <c r="ER166" s="32" t="str">
        <f t="shared" si="57"/>
        <v/>
      </c>
      <c r="ES166" s="32"/>
      <c r="ET166" s="32"/>
    </row>
    <row r="167" spans="1:150" ht="15.75" customHeight="1">
      <c r="A167" s="7" t="s">
        <v>712</v>
      </c>
      <c r="B167" s="7" t="s">
        <v>713</v>
      </c>
      <c r="C167" s="32" t="s">
        <v>1252</v>
      </c>
      <c r="D167" s="42">
        <v>55028753</v>
      </c>
      <c r="E167" s="42">
        <v>0</v>
      </c>
      <c r="F167" s="42">
        <v>0</v>
      </c>
      <c r="G167" s="42">
        <v>0</v>
      </c>
      <c r="H167" s="42">
        <v>261011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f>IFERROR(VLOOKUP(A167,'Trans 21-23'!$A$2:$J$229,10,0),0)</f>
        <v>0</v>
      </c>
      <c r="Y167" s="42">
        <v>0</v>
      </c>
      <c r="Z167" s="42">
        <v>0</v>
      </c>
      <c r="AA167" s="42">
        <v>0</v>
      </c>
      <c r="AB167" s="42">
        <v>0</v>
      </c>
      <c r="AC167" s="42">
        <v>0</v>
      </c>
      <c r="AD167" s="42">
        <v>2276302</v>
      </c>
      <c r="AE167" s="42">
        <v>0</v>
      </c>
      <c r="AF167" s="42">
        <v>90085649</v>
      </c>
      <c r="AG167" s="42">
        <v>1</v>
      </c>
      <c r="AH167" s="42">
        <v>0</v>
      </c>
      <c r="AI167" s="42">
        <v>1383968</v>
      </c>
      <c r="AJ167" s="42">
        <v>0</v>
      </c>
      <c r="AK167" s="42">
        <v>0</v>
      </c>
      <c r="AL167" s="42">
        <v>0</v>
      </c>
      <c r="AM167" s="42">
        <v>0</v>
      </c>
      <c r="AN167" s="42">
        <v>0</v>
      </c>
      <c r="AO167" s="42">
        <v>0</v>
      </c>
      <c r="AP167" s="42">
        <v>0</v>
      </c>
      <c r="AQ167" s="42">
        <v>0</v>
      </c>
      <c r="AR167" s="42">
        <v>1383968</v>
      </c>
      <c r="AS167" s="42">
        <v>1383968</v>
      </c>
      <c r="AT167" s="42">
        <v>0</v>
      </c>
      <c r="AU167" s="42">
        <v>1240</v>
      </c>
      <c r="AV167" s="42">
        <v>0</v>
      </c>
      <c r="AW167" s="42">
        <v>0</v>
      </c>
      <c r="AX167" s="42">
        <v>0</v>
      </c>
      <c r="AY167" s="42">
        <v>0</v>
      </c>
      <c r="AZ167" s="42">
        <v>0</v>
      </c>
      <c r="BA167" s="42">
        <v>0</v>
      </c>
      <c r="BB167" s="42">
        <v>0</v>
      </c>
      <c r="BC167" s="42">
        <v>1891275127</v>
      </c>
      <c r="BD167" s="42">
        <v>680490</v>
      </c>
      <c r="BE167" s="42">
        <v>0</v>
      </c>
      <c r="BF167" s="42">
        <v>0</v>
      </c>
      <c r="BG167" s="42">
        <v>0</v>
      </c>
      <c r="BH167" s="42">
        <v>0</v>
      </c>
      <c r="BI167" s="42">
        <v>0</v>
      </c>
      <c r="BJ167" s="42">
        <v>0</v>
      </c>
      <c r="BK167" s="42">
        <v>0</v>
      </c>
      <c r="BL167" s="42">
        <v>0</v>
      </c>
      <c r="BM167" s="42">
        <v>5110415</v>
      </c>
      <c r="BN167" s="42">
        <v>12623914</v>
      </c>
      <c r="BO167" s="42">
        <v>2212073</v>
      </c>
      <c r="BP167" s="42">
        <v>2284161</v>
      </c>
      <c r="BQ167" s="42">
        <v>15319007</v>
      </c>
      <c r="BR167" s="42">
        <v>0</v>
      </c>
      <c r="BS167" s="42">
        <f>IFERROR(VLOOKUP(A167,'Trans 21-23'!$A$2:$J$229,9,0),0)</f>
        <v>0</v>
      </c>
      <c r="BT167" s="67"/>
      <c r="BU167" s="32">
        <f t="shared" si="0"/>
        <v>0</v>
      </c>
      <c r="BV167" s="32">
        <f t="shared" si="1"/>
        <v>1240</v>
      </c>
      <c r="BW167" s="32">
        <f t="shared" si="2"/>
        <v>1</v>
      </c>
      <c r="BX167" s="32">
        <f t="shared" si="3"/>
        <v>0</v>
      </c>
      <c r="BY167" s="32">
        <f t="shared" si="4"/>
        <v>0</v>
      </c>
      <c r="BZ167" s="32">
        <f t="shared" si="5"/>
        <v>0</v>
      </c>
      <c r="CA167" s="32">
        <f t="shared" si="6"/>
        <v>2276302</v>
      </c>
      <c r="CB167" s="32">
        <f t="shared" si="7"/>
        <v>0</v>
      </c>
      <c r="CC167" s="32">
        <f t="shared" si="8"/>
        <v>0</v>
      </c>
      <c r="CD167" s="41">
        <f t="shared" si="74"/>
        <v>0</v>
      </c>
      <c r="CE167" s="44">
        <f t="shared" si="10"/>
        <v>52</v>
      </c>
      <c r="CF167" s="27"/>
      <c r="CG167" s="28" t="str">
        <f t="shared" si="11"/>
        <v/>
      </c>
      <c r="CH167" s="28" t="str">
        <f t="shared" si="12"/>
        <v/>
      </c>
      <c r="CI167" s="28" t="str">
        <f t="shared" si="13"/>
        <v/>
      </c>
      <c r="CJ167" s="28" t="str">
        <f t="shared" si="14"/>
        <v/>
      </c>
      <c r="CK167" s="23" t="str">
        <f t="shared" si="15"/>
        <v/>
      </c>
      <c r="CL167" s="29" t="str">
        <f t="shared" si="16"/>
        <v/>
      </c>
      <c r="CM167" s="29" t="str">
        <f t="shared" si="17"/>
        <v/>
      </c>
      <c r="CN167" s="29" t="str">
        <f t="shared" si="18"/>
        <v/>
      </c>
      <c r="CO167" s="29" t="str">
        <f t="shared" si="19"/>
        <v/>
      </c>
      <c r="CP167" s="29" t="str">
        <f t="shared" si="20"/>
        <v/>
      </c>
      <c r="CQ167" s="29" t="str">
        <f t="shared" si="21"/>
        <v/>
      </c>
      <c r="CR167" s="13"/>
      <c r="CS167" s="7" t="str">
        <f>VLOOKUP(A167,'Empresas 21-23'!$A$2:$M$228,13,0)</f>
        <v/>
      </c>
      <c r="CT167" s="30"/>
      <c r="CU167" s="6">
        <f t="shared" si="22"/>
        <v>0</v>
      </c>
      <c r="CV167" s="6">
        <f t="shared" si="23"/>
        <v>0</v>
      </c>
      <c r="CW167" s="6">
        <f t="shared" si="24"/>
        <v>680490</v>
      </c>
      <c r="CX167" s="23">
        <f t="shared" si="79"/>
        <v>0</v>
      </c>
      <c r="CY167" s="23">
        <f t="shared" si="80"/>
        <v>0</v>
      </c>
      <c r="CZ167" s="6">
        <f t="shared" si="27"/>
        <v>0</v>
      </c>
      <c r="DA167" s="6">
        <f t="shared" si="28"/>
        <v>0</v>
      </c>
      <c r="DB167" s="6">
        <f t="shared" si="29"/>
        <v>0</v>
      </c>
      <c r="DC167" s="6">
        <f t="shared" si="30"/>
        <v>0</v>
      </c>
      <c r="DD167" s="6">
        <f t="shared" si="31"/>
        <v>0</v>
      </c>
      <c r="DE167" s="6">
        <f t="shared" si="32"/>
        <v>2276302</v>
      </c>
      <c r="DF167" s="6">
        <f t="shared" si="83"/>
        <v>0</v>
      </c>
      <c r="DG167" s="30"/>
      <c r="DH167" s="32" t="str">
        <f>VLOOKUP(A167,'T_med_comp-USA'!$A$7:$Q$233,17,0)</f>
        <v>-</v>
      </c>
      <c r="DI167" s="6" t="str">
        <f t="shared" si="34"/>
        <v/>
      </c>
      <c r="DJ167" s="32" t="str">
        <f>IF(DI167="","",VLOOKUP(DI167,'CPI USA'!$T:$U,2,FALSE))</f>
        <v/>
      </c>
      <c r="DK167" s="32" t="str">
        <f>IF(DI167="","",VLOOKUP(DI167,'PPI USA'!$S:$T,2,FALSE))</f>
        <v/>
      </c>
      <c r="DL167" s="32" t="str">
        <f>IF(DI167="","",VLOOKUP(DI167,'CPI USA'!$T:$V,3,FALSE))</f>
        <v/>
      </c>
      <c r="DM167" s="32" t="str">
        <f>IF(DI167="","",VLOOKUP(DI167,'CPI USA'!$T:$X,5,FALSE))</f>
        <v/>
      </c>
      <c r="DN167" s="32" t="str">
        <f t="shared" si="35"/>
        <v/>
      </c>
      <c r="DO167" s="32" t="str">
        <f t="shared" si="36"/>
        <v/>
      </c>
      <c r="DP167" s="32" t="str">
        <f t="shared" si="37"/>
        <v/>
      </c>
      <c r="DQ167" s="32" t="str">
        <f>IF(DP167="","",DP167*$DO$1/'CPI USA'!$U$532+(1-DP167)*AVERAGE($DO$1,$DQ$1)/AVERAGE('CPI USA'!$U$532,'PPI USA'!$T$538))</f>
        <v/>
      </c>
      <c r="DR167" s="6">
        <f t="shared" si="38"/>
        <v>0</v>
      </c>
      <c r="DS167" s="32" t="str">
        <f t="shared" si="39"/>
        <v/>
      </c>
      <c r="DT167" s="28" t="str">
        <f>IF(DS167="","",DS167*$DO$1/'CPI USA'!$U$532+(1-DS167)*AVERAGE($DO$1,$DQ$1)/AVERAGE('CPI USA'!$U$532,'PPI USA'!$T$538))</f>
        <v/>
      </c>
      <c r="DU167" s="6" t="str">
        <f t="shared" si="40"/>
        <v/>
      </c>
      <c r="DV167" s="6">
        <f t="shared" si="82"/>
        <v>895523.47889764095</v>
      </c>
      <c r="DW167" s="6">
        <f t="shared" si="42"/>
        <v>0</v>
      </c>
      <c r="DX167" s="16" t="str">
        <f t="shared" si="43"/>
        <v/>
      </c>
      <c r="DY167" s="28" t="str">
        <f>IF(DX167="","",DX167*$DO$1/'CPI USA'!$U$532+(1-DX167)*AVERAGE($DO$1,$DQ$1)/AVERAGE('CPI USA'!$U$532,'PPI USA'!$T$538))</f>
        <v/>
      </c>
      <c r="DZ167" s="30"/>
      <c r="EA167" s="29" t="str">
        <f t="shared" si="44"/>
        <v>C003184</v>
      </c>
      <c r="EB167" s="29" t="str">
        <f t="shared" si="45"/>
        <v/>
      </c>
      <c r="EC167" s="29" t="str">
        <f t="shared" si="46"/>
        <v/>
      </c>
      <c r="ED167" s="29" t="str">
        <f t="shared" si="47"/>
        <v/>
      </c>
      <c r="EE167" s="29" t="str">
        <f t="shared" si="48"/>
        <v/>
      </c>
      <c r="EF167" s="29" t="str">
        <f t="shared" si="49"/>
        <v/>
      </c>
      <c r="EG167" s="29" t="str">
        <f t="shared" si="50"/>
        <v/>
      </c>
      <c r="EH167" s="29" t="str">
        <f t="shared" si="51"/>
        <v/>
      </c>
      <c r="EI167" s="29" t="str">
        <f t="shared" si="52"/>
        <v/>
      </c>
      <c r="EJ167" s="29" t="str">
        <f t="shared" si="53"/>
        <v/>
      </c>
      <c r="EK167" s="29" t="str">
        <f t="shared" si="54"/>
        <v/>
      </c>
      <c r="EL167" s="29" t="str">
        <f>IF(CD167=1,VLOOKUP(EA167,'EIA 2023'!$A$2:$J$213,4,0)*EH167,"")</f>
        <v/>
      </c>
      <c r="EM167" s="29" t="str">
        <f>IF(CD167=1,VLOOKUP(EA167,'EIA 2023'!$A$2:$J$213,7,0)*EH167,"")</f>
        <v/>
      </c>
      <c r="EN167" s="29" t="str">
        <f>IF(CD167=1,VLOOKUP(EA167,'EIA 2023'!$A$2:$J$213,10,0),"")</f>
        <v/>
      </c>
      <c r="EO167" s="28" t="str">
        <f>IF(CD167=1,VLOOKUP(EA167,'EIA 2023'!$A$2:$Z$213,26,0),"")</f>
        <v/>
      </c>
      <c r="EP167" s="23" t="str">
        <f t="shared" si="55"/>
        <v/>
      </c>
      <c r="EQ167" s="32" t="str">
        <f t="shared" si="56"/>
        <v/>
      </c>
      <c r="ER167" s="32" t="str">
        <f t="shared" si="57"/>
        <v/>
      </c>
      <c r="ES167" s="32"/>
      <c r="ET167" s="32"/>
    </row>
    <row r="168" spans="1:150" ht="15.75" customHeight="1">
      <c r="A168" s="7" t="s">
        <v>715</v>
      </c>
      <c r="B168" s="7" t="s">
        <v>716</v>
      </c>
      <c r="C168" s="32" t="s">
        <v>1253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f>IFERROR(VLOOKUP(A168,'Trans 21-23'!$A$2:$J$229,10,0),0)</f>
        <v>0</v>
      </c>
      <c r="Y168" s="42">
        <v>0</v>
      </c>
      <c r="Z168" s="42">
        <v>0</v>
      </c>
      <c r="AA168" s="42">
        <v>0</v>
      </c>
      <c r="AB168" s="42">
        <v>0</v>
      </c>
      <c r="AC168" s="42">
        <v>0</v>
      </c>
      <c r="AD168" s="42">
        <v>539620</v>
      </c>
      <c r="AE168" s="42">
        <v>0</v>
      </c>
      <c r="AF168" s="42">
        <v>1352805</v>
      </c>
      <c r="AG168" s="42">
        <v>0</v>
      </c>
      <c r="AH168" s="42">
        <v>0</v>
      </c>
      <c r="AI168" s="42">
        <v>0</v>
      </c>
      <c r="AJ168" s="42">
        <v>0</v>
      </c>
      <c r="AK168" s="42">
        <v>0</v>
      </c>
      <c r="AL168" s="42">
        <v>0</v>
      </c>
      <c r="AM168" s="42">
        <v>0</v>
      </c>
      <c r="AN168" s="42">
        <v>0</v>
      </c>
      <c r="AO168" s="42">
        <v>0</v>
      </c>
      <c r="AP168" s="42">
        <v>0</v>
      </c>
      <c r="AQ168" s="42">
        <v>0</v>
      </c>
      <c r="AR168" s="42">
        <v>0</v>
      </c>
      <c r="AS168" s="42">
        <v>0</v>
      </c>
      <c r="AT168" s="42">
        <v>0</v>
      </c>
      <c r="AU168" s="42">
        <v>0</v>
      </c>
      <c r="AV168" s="42">
        <v>0</v>
      </c>
      <c r="AW168" s="42">
        <v>0</v>
      </c>
      <c r="AX168" s="42">
        <v>0</v>
      </c>
      <c r="AY168" s="42">
        <v>0</v>
      </c>
      <c r="AZ168" s="42">
        <v>0</v>
      </c>
      <c r="BA168" s="42">
        <v>0</v>
      </c>
      <c r="BB168" s="42">
        <v>0</v>
      </c>
      <c r="BC168" s="42">
        <v>313245927</v>
      </c>
      <c r="BD168" s="42">
        <v>0</v>
      </c>
      <c r="BE168" s="42">
        <v>0</v>
      </c>
      <c r="BF168" s="42">
        <v>0</v>
      </c>
      <c r="BG168" s="42">
        <v>0</v>
      </c>
      <c r="BH168" s="42">
        <v>0</v>
      </c>
      <c r="BI168" s="42">
        <v>0</v>
      </c>
      <c r="BJ168" s="42">
        <v>0</v>
      </c>
      <c r="BK168" s="42">
        <v>0</v>
      </c>
      <c r="BL168" s="42">
        <v>0</v>
      </c>
      <c r="BM168" s="42">
        <v>0</v>
      </c>
      <c r="BN168" s="42">
        <v>0</v>
      </c>
      <c r="BO168" s="42">
        <v>0</v>
      </c>
      <c r="BP168" s="42">
        <v>0</v>
      </c>
      <c r="BQ168" s="42">
        <v>0</v>
      </c>
      <c r="BR168" s="42">
        <v>0</v>
      </c>
      <c r="BS168" s="42">
        <f>IFERROR(VLOOKUP(A168,'Trans 21-23'!$A$2:$J$229,9,0),0)</f>
        <v>0</v>
      </c>
      <c r="BT168" s="67"/>
      <c r="BU168" s="32">
        <f t="shared" si="0"/>
        <v>0</v>
      </c>
      <c r="BV168" s="32">
        <f t="shared" si="1"/>
        <v>0</v>
      </c>
      <c r="BW168" s="32">
        <f t="shared" si="2"/>
        <v>0</v>
      </c>
      <c r="BX168" s="32">
        <f t="shared" si="3"/>
        <v>0</v>
      </c>
      <c r="BY168" s="32">
        <f t="shared" si="4"/>
        <v>0</v>
      </c>
      <c r="BZ168" s="32">
        <f t="shared" si="5"/>
        <v>0</v>
      </c>
      <c r="CA168" s="32">
        <f t="shared" si="6"/>
        <v>539620</v>
      </c>
      <c r="CB168" s="32">
        <f t="shared" si="7"/>
        <v>0</v>
      </c>
      <c r="CC168" s="32">
        <f t="shared" si="8"/>
        <v>0</v>
      </c>
      <c r="CD168" s="41">
        <f t="shared" si="74"/>
        <v>0</v>
      </c>
      <c r="CE168" s="44">
        <f t="shared" si="10"/>
        <v>65</v>
      </c>
      <c r="CF168" s="27"/>
      <c r="CG168" s="28" t="str">
        <f t="shared" si="11"/>
        <v/>
      </c>
      <c r="CH168" s="28" t="str">
        <f t="shared" si="12"/>
        <v/>
      </c>
      <c r="CI168" s="28" t="str">
        <f t="shared" si="13"/>
        <v/>
      </c>
      <c r="CJ168" s="28" t="str">
        <f t="shared" si="14"/>
        <v/>
      </c>
      <c r="CK168" s="23" t="str">
        <f t="shared" si="15"/>
        <v/>
      </c>
      <c r="CL168" s="29" t="str">
        <f t="shared" si="16"/>
        <v/>
      </c>
      <c r="CM168" s="29" t="str">
        <f t="shared" si="17"/>
        <v/>
      </c>
      <c r="CN168" s="29" t="str">
        <f t="shared" si="18"/>
        <v/>
      </c>
      <c r="CO168" s="29" t="str">
        <f t="shared" si="19"/>
        <v/>
      </c>
      <c r="CP168" s="29" t="str">
        <f t="shared" si="20"/>
        <v/>
      </c>
      <c r="CQ168" s="29" t="str">
        <f t="shared" si="21"/>
        <v/>
      </c>
      <c r="CR168" s="13"/>
      <c r="CS168" s="7" t="str">
        <f>VLOOKUP(A168,'Empresas 21-23'!$A$2:$M$228,13,0)</f>
        <v/>
      </c>
      <c r="CT168" s="30"/>
      <c r="CU168" s="6">
        <f t="shared" si="22"/>
        <v>0</v>
      </c>
      <c r="CV168" s="6">
        <f t="shared" si="23"/>
        <v>0</v>
      </c>
      <c r="CW168" s="6">
        <f t="shared" si="24"/>
        <v>0</v>
      </c>
      <c r="CX168" s="23">
        <f t="shared" si="79"/>
        <v>0</v>
      </c>
      <c r="CY168" s="23">
        <f t="shared" si="80"/>
        <v>0</v>
      </c>
      <c r="CZ168" s="6">
        <f t="shared" si="27"/>
        <v>0</v>
      </c>
      <c r="DA168" s="6">
        <f t="shared" si="28"/>
        <v>0</v>
      </c>
      <c r="DB168" s="6">
        <f t="shared" si="29"/>
        <v>0</v>
      </c>
      <c r="DC168" s="6">
        <f t="shared" si="30"/>
        <v>0</v>
      </c>
      <c r="DD168" s="6">
        <f t="shared" si="31"/>
        <v>0</v>
      </c>
      <c r="DE168" s="6">
        <f t="shared" si="32"/>
        <v>539620</v>
      </c>
      <c r="DF168" s="6">
        <f t="shared" si="83"/>
        <v>0</v>
      </c>
      <c r="DG168" s="30"/>
      <c r="DH168" s="32" t="str">
        <f>VLOOKUP(A168,'T_med_comp-USA'!$A$7:$Q$233,17,0)</f>
        <v>-</v>
      </c>
      <c r="DI168" s="6" t="str">
        <f t="shared" si="34"/>
        <v/>
      </c>
      <c r="DJ168" s="32" t="str">
        <f>IF(DI168="","",VLOOKUP(DI168,'CPI USA'!$T:$U,2,FALSE))</f>
        <v/>
      </c>
      <c r="DK168" s="32" t="str">
        <f>IF(DI168="","",VLOOKUP(DI168,'PPI USA'!$S:$T,2,FALSE))</f>
        <v/>
      </c>
      <c r="DL168" s="32" t="str">
        <f>IF(DI168="","",VLOOKUP(DI168,'CPI USA'!$T:$V,3,FALSE))</f>
        <v/>
      </c>
      <c r="DM168" s="32" t="str">
        <f>IF(DI168="","",VLOOKUP(DI168,'CPI USA'!$T:$X,5,FALSE))</f>
        <v/>
      </c>
      <c r="DN168" s="32" t="str">
        <f t="shared" si="35"/>
        <v/>
      </c>
      <c r="DO168" s="32" t="str">
        <f t="shared" si="36"/>
        <v/>
      </c>
      <c r="DP168" s="32" t="str">
        <f t="shared" si="37"/>
        <v/>
      </c>
      <c r="DQ168" s="32" t="str">
        <f>IF(DP168="","",DP168*$DO$1/'CPI USA'!$U$532+(1-DP168)*AVERAGE($DO$1,$DQ$1)/AVERAGE('CPI USA'!$U$532,'PPI USA'!$T$538))</f>
        <v/>
      </c>
      <c r="DR168" s="6">
        <f t="shared" si="38"/>
        <v>0</v>
      </c>
      <c r="DS168" s="32" t="str">
        <f t="shared" si="39"/>
        <v/>
      </c>
      <c r="DT168" s="28" t="str">
        <f>IF(DS168="","",DS168*$DO$1/'CPI USA'!$U$532+(1-DS168)*AVERAGE($DO$1,$DQ$1)/AVERAGE('CPI USA'!$U$532,'PPI USA'!$T$538))</f>
        <v/>
      </c>
      <c r="DU168" s="6" t="str">
        <f t="shared" si="40"/>
        <v/>
      </c>
      <c r="DV168" s="6" t="str">
        <f t="shared" si="82"/>
        <v/>
      </c>
      <c r="DW168" s="6">
        <f t="shared" si="42"/>
        <v>0</v>
      </c>
      <c r="DX168" s="16" t="str">
        <f t="shared" si="43"/>
        <v/>
      </c>
      <c r="DY168" s="28" t="str">
        <f>IF(DX168="","",DX168*$DO$1/'CPI USA'!$U$532+(1-DX168)*AVERAGE($DO$1,$DQ$1)/AVERAGE('CPI USA'!$U$532,'PPI USA'!$T$538))</f>
        <v/>
      </c>
      <c r="DZ168" s="30"/>
      <c r="EA168" s="29" t="str">
        <f t="shared" si="44"/>
        <v>C003194</v>
      </c>
      <c r="EB168" s="29" t="str">
        <f t="shared" si="45"/>
        <v/>
      </c>
      <c r="EC168" s="29" t="str">
        <f t="shared" si="46"/>
        <v/>
      </c>
      <c r="ED168" s="29" t="str">
        <f t="shared" si="47"/>
        <v/>
      </c>
      <c r="EE168" s="29" t="str">
        <f t="shared" si="48"/>
        <v/>
      </c>
      <c r="EF168" s="29" t="str">
        <f t="shared" si="49"/>
        <v/>
      </c>
      <c r="EG168" s="29" t="str">
        <f t="shared" si="50"/>
        <v/>
      </c>
      <c r="EH168" s="29" t="str">
        <f t="shared" si="51"/>
        <v/>
      </c>
      <c r="EI168" s="29" t="str">
        <f t="shared" si="52"/>
        <v/>
      </c>
      <c r="EJ168" s="29" t="str">
        <f t="shared" si="53"/>
        <v/>
      </c>
      <c r="EK168" s="29" t="str">
        <f t="shared" si="54"/>
        <v/>
      </c>
      <c r="EL168" s="29" t="str">
        <f>IF(CD168=1,VLOOKUP(EA168,'EIA 2023'!$A$2:$J$213,4,0)*EH168,"")</f>
        <v/>
      </c>
      <c r="EM168" s="29" t="str">
        <f>IF(CD168=1,VLOOKUP(EA168,'EIA 2023'!$A$2:$J$213,7,0)*EH168,"")</f>
        <v/>
      </c>
      <c r="EN168" s="29" t="str">
        <f>IF(CD168=1,VLOOKUP(EA168,'EIA 2023'!$A$2:$J$213,10,0),"")</f>
        <v/>
      </c>
      <c r="EO168" s="28" t="str">
        <f>IF(CD168=1,VLOOKUP(EA168,'EIA 2023'!$A$2:$Z$213,26,0),"")</f>
        <v/>
      </c>
      <c r="EP168" s="23" t="str">
        <f t="shared" si="55"/>
        <v/>
      </c>
      <c r="EQ168" s="32" t="str">
        <f t="shared" si="56"/>
        <v/>
      </c>
      <c r="ER168" s="32" t="str">
        <f t="shared" si="57"/>
        <v/>
      </c>
      <c r="ES168" s="32"/>
      <c r="ET168" s="32"/>
    </row>
    <row r="169" spans="1:150" ht="15.75" customHeight="1">
      <c r="A169" s="7" t="s">
        <v>718</v>
      </c>
      <c r="B169" s="7" t="s">
        <v>719</v>
      </c>
      <c r="C169" s="32" t="s">
        <v>1254</v>
      </c>
      <c r="D169" s="42">
        <v>0</v>
      </c>
      <c r="E169" s="42">
        <v>0</v>
      </c>
      <c r="F169" s="42">
        <v>18486241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f>IFERROR(VLOOKUP(A169,'Trans 21-23'!$A$2:$J$229,10,0),0)</f>
        <v>0</v>
      </c>
      <c r="Y169" s="42">
        <v>0</v>
      </c>
      <c r="Z169" s="42">
        <v>0</v>
      </c>
      <c r="AA169" s="42">
        <v>0</v>
      </c>
      <c r="AB169" s="42">
        <v>0</v>
      </c>
      <c r="AC169" s="42">
        <v>0</v>
      </c>
      <c r="AD169" s="42">
        <v>2934130</v>
      </c>
      <c r="AE169" s="42">
        <v>0</v>
      </c>
      <c r="AF169" s="42">
        <v>24731304</v>
      </c>
      <c r="AG169" s="42">
        <v>0</v>
      </c>
      <c r="AH169" s="42">
        <v>0</v>
      </c>
      <c r="AI169" s="42">
        <v>912908</v>
      </c>
      <c r="AJ169" s="42">
        <v>0</v>
      </c>
      <c r="AK169" s="42">
        <v>0</v>
      </c>
      <c r="AL169" s="42">
        <v>0</v>
      </c>
      <c r="AM169" s="42">
        <v>0</v>
      </c>
      <c r="AN169" s="42">
        <v>0</v>
      </c>
      <c r="AO169" s="42">
        <v>0</v>
      </c>
      <c r="AP169" s="42">
        <v>0</v>
      </c>
      <c r="AQ169" s="42">
        <v>0</v>
      </c>
      <c r="AR169" s="42">
        <v>912908</v>
      </c>
      <c r="AS169" s="42">
        <v>912908</v>
      </c>
      <c r="AT169" s="42">
        <v>0</v>
      </c>
      <c r="AU169" s="42">
        <v>0</v>
      </c>
      <c r="AV169" s="42">
        <v>0</v>
      </c>
      <c r="AW169" s="42">
        <v>0</v>
      </c>
      <c r="AX169" s="42">
        <v>0</v>
      </c>
      <c r="AY169" s="42">
        <v>0</v>
      </c>
      <c r="AZ169" s="42">
        <v>0</v>
      </c>
      <c r="BA169" s="42">
        <v>0</v>
      </c>
      <c r="BB169" s="42">
        <v>0</v>
      </c>
      <c r="BC169" s="42">
        <v>134872242</v>
      </c>
      <c r="BD169" s="42">
        <v>0</v>
      </c>
      <c r="BE169" s="42">
        <v>0</v>
      </c>
      <c r="BF169" s="42">
        <v>0</v>
      </c>
      <c r="BG169" s="42">
        <v>0</v>
      </c>
      <c r="BH169" s="42">
        <v>0</v>
      </c>
      <c r="BI169" s="42">
        <v>0</v>
      </c>
      <c r="BJ169" s="42">
        <v>0</v>
      </c>
      <c r="BK169" s="42">
        <v>0</v>
      </c>
      <c r="BL169" s="42">
        <v>0</v>
      </c>
      <c r="BM169" s="42">
        <v>0</v>
      </c>
      <c r="BN169" s="42">
        <v>0</v>
      </c>
      <c r="BO169" s="42">
        <v>0</v>
      </c>
      <c r="BP169" s="42">
        <v>0</v>
      </c>
      <c r="BQ169" s="42">
        <v>0</v>
      </c>
      <c r="BR169" s="42">
        <v>0</v>
      </c>
      <c r="BS169" s="42">
        <f>IFERROR(VLOOKUP(A169,'Trans 21-23'!$A$2:$J$229,9,0),0)</f>
        <v>0</v>
      </c>
      <c r="BT169" s="67"/>
      <c r="BU169" s="32">
        <f t="shared" si="0"/>
        <v>0</v>
      </c>
      <c r="BV169" s="32">
        <f t="shared" si="1"/>
        <v>0</v>
      </c>
      <c r="BW169" s="32">
        <f t="shared" si="2"/>
        <v>0</v>
      </c>
      <c r="BX169" s="32">
        <f t="shared" si="3"/>
        <v>0</v>
      </c>
      <c r="BY169" s="32">
        <f t="shared" si="4"/>
        <v>0</v>
      </c>
      <c r="BZ169" s="32">
        <f t="shared" si="5"/>
        <v>0</v>
      </c>
      <c r="CA169" s="32">
        <f t="shared" si="6"/>
        <v>2934130</v>
      </c>
      <c r="CB169" s="32">
        <f t="shared" si="7"/>
        <v>0</v>
      </c>
      <c r="CC169" s="32">
        <f t="shared" si="8"/>
        <v>0</v>
      </c>
      <c r="CD169" s="41">
        <f t="shared" si="74"/>
        <v>0</v>
      </c>
      <c r="CE169" s="44">
        <f t="shared" si="10"/>
        <v>61</v>
      </c>
      <c r="CF169" s="27"/>
      <c r="CG169" s="28" t="str">
        <f t="shared" si="11"/>
        <v/>
      </c>
      <c r="CH169" s="28" t="str">
        <f t="shared" si="12"/>
        <v/>
      </c>
      <c r="CI169" s="28" t="str">
        <f t="shared" si="13"/>
        <v/>
      </c>
      <c r="CJ169" s="28" t="str">
        <f t="shared" si="14"/>
        <v/>
      </c>
      <c r="CK169" s="23" t="str">
        <f t="shared" si="15"/>
        <v/>
      </c>
      <c r="CL169" s="29" t="str">
        <f t="shared" si="16"/>
        <v/>
      </c>
      <c r="CM169" s="29" t="str">
        <f t="shared" si="17"/>
        <v/>
      </c>
      <c r="CN169" s="29" t="str">
        <f t="shared" si="18"/>
        <v/>
      </c>
      <c r="CO169" s="29" t="str">
        <f t="shared" si="19"/>
        <v/>
      </c>
      <c r="CP169" s="29" t="str">
        <f t="shared" si="20"/>
        <v/>
      </c>
      <c r="CQ169" s="29" t="str">
        <f t="shared" si="21"/>
        <v/>
      </c>
      <c r="CR169" s="13"/>
      <c r="CS169" s="7" t="str">
        <f>VLOOKUP(A169,'Empresas 21-23'!$A$2:$M$228,13,0)</f>
        <v/>
      </c>
      <c r="CT169" s="30"/>
      <c r="CU169" s="6">
        <f t="shared" si="22"/>
        <v>0</v>
      </c>
      <c r="CV169" s="6">
        <f t="shared" si="23"/>
        <v>0</v>
      </c>
      <c r="CW169" s="6">
        <f t="shared" si="24"/>
        <v>0</v>
      </c>
      <c r="CX169" s="23">
        <f t="shared" si="79"/>
        <v>0</v>
      </c>
      <c r="CY169" s="23">
        <f t="shared" si="80"/>
        <v>0</v>
      </c>
      <c r="CZ169" s="6">
        <f t="shared" si="27"/>
        <v>0</v>
      </c>
      <c r="DA169" s="6">
        <f t="shared" si="28"/>
        <v>0</v>
      </c>
      <c r="DB169" s="6">
        <f t="shared" si="29"/>
        <v>0</v>
      </c>
      <c r="DC169" s="6">
        <f t="shared" si="30"/>
        <v>0</v>
      </c>
      <c r="DD169" s="6">
        <f t="shared" si="31"/>
        <v>0</v>
      </c>
      <c r="DE169" s="6">
        <f t="shared" si="32"/>
        <v>2934130</v>
      </c>
      <c r="DF169" s="6">
        <f t="shared" si="83"/>
        <v>0</v>
      </c>
      <c r="DG169" s="30"/>
      <c r="DH169" s="32" t="str">
        <f>VLOOKUP(A169,'T_med_comp-USA'!$A$7:$Q$233,17,0)</f>
        <v>-</v>
      </c>
      <c r="DI169" s="6" t="str">
        <f t="shared" si="34"/>
        <v/>
      </c>
      <c r="DJ169" s="32" t="str">
        <f>IF(DI169="","",VLOOKUP(DI169,'CPI USA'!$T:$U,2,FALSE))</f>
        <v/>
      </c>
      <c r="DK169" s="32" t="str">
        <f>IF(DI169="","",VLOOKUP(DI169,'PPI USA'!$S:$T,2,FALSE))</f>
        <v/>
      </c>
      <c r="DL169" s="32" t="str">
        <f>IF(DI169="","",VLOOKUP(DI169,'CPI USA'!$T:$V,3,FALSE))</f>
        <v/>
      </c>
      <c r="DM169" s="32" t="str">
        <f>IF(DI169="","",VLOOKUP(DI169,'CPI USA'!$T:$X,5,FALSE))</f>
        <v/>
      </c>
      <c r="DN169" s="32" t="str">
        <f t="shared" si="35"/>
        <v/>
      </c>
      <c r="DO169" s="32" t="str">
        <f t="shared" si="36"/>
        <v/>
      </c>
      <c r="DP169" s="32" t="str">
        <f t="shared" si="37"/>
        <v/>
      </c>
      <c r="DQ169" s="32" t="str">
        <f>IF(DP169="","",DP169*$DO$1/'CPI USA'!$U$532+(1-DP169)*AVERAGE($DO$1,$DQ$1)/AVERAGE('CPI USA'!$U$532,'PPI USA'!$T$538))</f>
        <v/>
      </c>
      <c r="DR169" s="6">
        <f t="shared" si="38"/>
        <v>0</v>
      </c>
      <c r="DS169" s="32" t="str">
        <f t="shared" si="39"/>
        <v/>
      </c>
      <c r="DT169" s="28" t="str">
        <f>IF(DS169="","",DS169*$DO$1/'CPI USA'!$U$532+(1-DS169)*AVERAGE($DO$1,$DQ$1)/AVERAGE('CPI USA'!$U$532,'PPI USA'!$T$538))</f>
        <v/>
      </c>
      <c r="DU169" s="6" t="str">
        <f t="shared" si="40"/>
        <v/>
      </c>
      <c r="DV169" s="6" t="str">
        <f t="shared" si="82"/>
        <v/>
      </c>
      <c r="DW169" s="6">
        <f t="shared" si="42"/>
        <v>0</v>
      </c>
      <c r="DX169" s="16" t="str">
        <f t="shared" si="43"/>
        <v/>
      </c>
      <c r="DY169" s="28" t="str">
        <f>IF(DX169="","",DX169*$DO$1/'CPI USA'!$U$532+(1-DX169)*AVERAGE($DO$1,$DQ$1)/AVERAGE('CPI USA'!$U$532,'PPI USA'!$T$538))</f>
        <v/>
      </c>
      <c r="DZ169" s="30"/>
      <c r="EA169" s="29" t="str">
        <f t="shared" si="44"/>
        <v>C003435</v>
      </c>
      <c r="EB169" s="29" t="str">
        <f t="shared" si="45"/>
        <v/>
      </c>
      <c r="EC169" s="29" t="str">
        <f t="shared" si="46"/>
        <v/>
      </c>
      <c r="ED169" s="29" t="str">
        <f t="shared" si="47"/>
        <v/>
      </c>
      <c r="EE169" s="29" t="str">
        <f t="shared" si="48"/>
        <v/>
      </c>
      <c r="EF169" s="29" t="str">
        <f t="shared" si="49"/>
        <v/>
      </c>
      <c r="EG169" s="29" t="str">
        <f t="shared" si="50"/>
        <v/>
      </c>
      <c r="EH169" s="29" t="str">
        <f t="shared" si="51"/>
        <v/>
      </c>
      <c r="EI169" s="29" t="str">
        <f t="shared" si="52"/>
        <v/>
      </c>
      <c r="EJ169" s="29" t="str">
        <f t="shared" si="53"/>
        <v/>
      </c>
      <c r="EK169" s="29" t="str">
        <f t="shared" si="54"/>
        <v/>
      </c>
      <c r="EL169" s="29" t="str">
        <f>IF(CD169=1,VLOOKUP(EA169,'EIA 2023'!$A$2:$J$213,4,0)*EH169,"")</f>
        <v/>
      </c>
      <c r="EM169" s="29" t="str">
        <f>IF(CD169=1,VLOOKUP(EA169,'EIA 2023'!$A$2:$J$213,7,0)*EH169,"")</f>
        <v/>
      </c>
      <c r="EN169" s="29" t="str">
        <f>IF(CD169=1,VLOOKUP(EA169,'EIA 2023'!$A$2:$J$213,10,0),"")</f>
        <v/>
      </c>
      <c r="EO169" s="28" t="str">
        <f>IF(CD169=1,VLOOKUP(EA169,'EIA 2023'!$A$2:$Z$213,26,0),"")</f>
        <v/>
      </c>
      <c r="EP169" s="23" t="str">
        <f t="shared" si="55"/>
        <v/>
      </c>
      <c r="EQ169" s="32" t="str">
        <f t="shared" si="56"/>
        <v/>
      </c>
      <c r="ER169" s="32" t="str">
        <f t="shared" si="57"/>
        <v/>
      </c>
      <c r="ES169" s="32"/>
      <c r="ET169" s="32"/>
    </row>
    <row r="170" spans="1:150" ht="15.75" customHeight="1">
      <c r="A170" s="7" t="s">
        <v>721</v>
      </c>
      <c r="B170" s="7" t="s">
        <v>722</v>
      </c>
      <c r="C170" s="32" t="s">
        <v>1255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f>IFERROR(VLOOKUP(A170,'Trans 21-23'!$A$2:$J$229,10,0),0)</f>
        <v>0</v>
      </c>
      <c r="Y170" s="42">
        <v>0</v>
      </c>
      <c r="Z170" s="42">
        <v>0</v>
      </c>
      <c r="AA170" s="42">
        <v>0</v>
      </c>
      <c r="AB170" s="42">
        <v>0</v>
      </c>
      <c r="AC170" s="42">
        <v>0</v>
      </c>
      <c r="AD170" s="42">
        <v>46220</v>
      </c>
      <c r="AE170" s="42">
        <v>0</v>
      </c>
      <c r="AF170" s="42">
        <v>46220</v>
      </c>
      <c r="AG170" s="42">
        <v>7</v>
      </c>
      <c r="AH170" s="42">
        <v>0</v>
      </c>
      <c r="AI170" s="42">
        <v>0</v>
      </c>
      <c r="AJ170" s="42">
        <v>0</v>
      </c>
      <c r="AK170" s="42">
        <v>0</v>
      </c>
      <c r="AL170" s="42">
        <v>0</v>
      </c>
      <c r="AM170" s="42">
        <v>0</v>
      </c>
      <c r="AN170" s="42">
        <v>0</v>
      </c>
      <c r="AO170" s="42">
        <v>0</v>
      </c>
      <c r="AP170" s="42">
        <v>0</v>
      </c>
      <c r="AQ170" s="42">
        <v>0</v>
      </c>
      <c r="AR170" s="42">
        <v>0</v>
      </c>
      <c r="AS170" s="42">
        <v>0</v>
      </c>
      <c r="AT170" s="42">
        <v>0</v>
      </c>
      <c r="AU170" s="42">
        <v>0</v>
      </c>
      <c r="AV170" s="42">
        <v>0</v>
      </c>
      <c r="AW170" s="42">
        <v>0</v>
      </c>
      <c r="AX170" s="42">
        <v>0</v>
      </c>
      <c r="AY170" s="42">
        <v>0</v>
      </c>
      <c r="AZ170" s="42">
        <v>0</v>
      </c>
      <c r="BA170" s="42">
        <v>0</v>
      </c>
      <c r="BB170" s="42">
        <v>0</v>
      </c>
      <c r="BC170" s="42">
        <v>0</v>
      </c>
      <c r="BD170" s="42">
        <v>0</v>
      </c>
      <c r="BE170" s="42">
        <v>0</v>
      </c>
      <c r="BF170" s="42">
        <v>0</v>
      </c>
      <c r="BG170" s="42">
        <v>0</v>
      </c>
      <c r="BH170" s="42">
        <v>0</v>
      </c>
      <c r="BI170" s="42">
        <v>0</v>
      </c>
      <c r="BJ170" s="42">
        <v>0</v>
      </c>
      <c r="BK170" s="42">
        <v>0</v>
      </c>
      <c r="BL170" s="42">
        <v>0</v>
      </c>
      <c r="BM170" s="42">
        <v>0</v>
      </c>
      <c r="BN170" s="42">
        <v>0</v>
      </c>
      <c r="BO170" s="42">
        <v>0</v>
      </c>
      <c r="BP170" s="42">
        <v>1789585</v>
      </c>
      <c r="BQ170" s="42">
        <v>1789585</v>
      </c>
      <c r="BR170" s="42">
        <v>0</v>
      </c>
      <c r="BS170" s="42">
        <f>IFERROR(VLOOKUP(A170,'Trans 21-23'!$A$2:$J$229,9,0),0)</f>
        <v>0</v>
      </c>
      <c r="BT170" s="67"/>
      <c r="BU170" s="32">
        <f t="shared" si="0"/>
        <v>0</v>
      </c>
      <c r="BV170" s="32">
        <f t="shared" si="1"/>
        <v>0</v>
      </c>
      <c r="BW170" s="32">
        <f t="shared" si="2"/>
        <v>7</v>
      </c>
      <c r="BX170" s="32">
        <f t="shared" si="3"/>
        <v>0</v>
      </c>
      <c r="BY170" s="32">
        <f t="shared" si="4"/>
        <v>0</v>
      </c>
      <c r="BZ170" s="32">
        <f t="shared" si="5"/>
        <v>0</v>
      </c>
      <c r="CA170" s="32">
        <f t="shared" si="6"/>
        <v>46220</v>
      </c>
      <c r="CB170" s="32">
        <f t="shared" si="7"/>
        <v>0</v>
      </c>
      <c r="CC170" s="32">
        <f t="shared" si="8"/>
        <v>0</v>
      </c>
      <c r="CD170" s="41">
        <f t="shared" si="74"/>
        <v>0</v>
      </c>
      <c r="CE170" s="44">
        <f t="shared" si="10"/>
        <v>63</v>
      </c>
      <c r="CF170" s="27"/>
      <c r="CG170" s="28" t="str">
        <f t="shared" si="11"/>
        <v/>
      </c>
      <c r="CH170" s="28" t="str">
        <f t="shared" si="12"/>
        <v/>
      </c>
      <c r="CI170" s="28" t="str">
        <f t="shared" si="13"/>
        <v/>
      </c>
      <c r="CJ170" s="28" t="str">
        <f t="shared" si="14"/>
        <v/>
      </c>
      <c r="CK170" s="23" t="str">
        <f t="shared" si="15"/>
        <v/>
      </c>
      <c r="CL170" s="29" t="str">
        <f t="shared" si="16"/>
        <v/>
      </c>
      <c r="CM170" s="29" t="str">
        <f t="shared" si="17"/>
        <v/>
      </c>
      <c r="CN170" s="29" t="str">
        <f t="shared" si="18"/>
        <v/>
      </c>
      <c r="CO170" s="29" t="str">
        <f t="shared" si="19"/>
        <v/>
      </c>
      <c r="CP170" s="29" t="str">
        <f t="shared" si="20"/>
        <v/>
      </c>
      <c r="CQ170" s="29" t="str">
        <f t="shared" si="21"/>
        <v/>
      </c>
      <c r="CR170" s="13"/>
      <c r="CS170" s="7" t="str">
        <f>VLOOKUP(A170,'Empresas 21-23'!$A$2:$M$228,13,0)</f>
        <v/>
      </c>
      <c r="CT170" s="30"/>
      <c r="CU170" s="6">
        <f t="shared" si="22"/>
        <v>0</v>
      </c>
      <c r="CV170" s="6">
        <f t="shared" si="23"/>
        <v>0</v>
      </c>
      <c r="CW170" s="6">
        <f t="shared" si="24"/>
        <v>0</v>
      </c>
      <c r="CX170" s="23" t="str">
        <f>IFERROR(CU170/(BC170-BD170),"")</f>
        <v/>
      </c>
      <c r="CY170" s="23" t="str">
        <f>IFERROR(CV170/(BC170-BD170),"")</f>
        <v/>
      </c>
      <c r="CZ170" s="6" t="e">
        <f t="shared" si="27"/>
        <v>#VALUE!</v>
      </c>
      <c r="DA170" s="6" t="e">
        <f t="shared" si="28"/>
        <v>#VALUE!</v>
      </c>
      <c r="DB170" s="6">
        <f t="shared" si="29"/>
        <v>0</v>
      </c>
      <c r="DC170" s="6">
        <f t="shared" si="30"/>
        <v>0</v>
      </c>
      <c r="DD170" s="6">
        <f t="shared" si="31"/>
        <v>0</v>
      </c>
      <c r="DE170" s="6">
        <f t="shared" si="32"/>
        <v>46220</v>
      </c>
      <c r="DF170" s="6" t="str">
        <f>IFERROR(DE170*(DC170+DD170)/(AF170-AD170-F170-H170-E170-D170),"")</f>
        <v/>
      </c>
      <c r="DG170" s="30"/>
      <c r="DH170" s="32" t="str">
        <f>VLOOKUP(A170,'T_med_comp-USA'!$A$7:$Q$233,17,0)</f>
        <v>-</v>
      </c>
      <c r="DI170" s="6" t="str">
        <f t="shared" si="34"/>
        <v/>
      </c>
      <c r="DJ170" s="32" t="str">
        <f>IF(DI170="","",VLOOKUP(DI170,'CPI USA'!$T:$U,2,FALSE))</f>
        <v/>
      </c>
      <c r="DK170" s="32" t="str">
        <f>IF(DI170="","",VLOOKUP(DI170,'PPI USA'!$S:$T,2,FALSE))</f>
        <v/>
      </c>
      <c r="DL170" s="32" t="str">
        <f>IF(DI170="","",VLOOKUP(DI170,'CPI USA'!$T:$V,3,FALSE))</f>
        <v/>
      </c>
      <c r="DM170" s="32" t="str">
        <f>IF(DI170="","",VLOOKUP(DI170,'CPI USA'!$T:$X,5,FALSE))</f>
        <v/>
      </c>
      <c r="DN170" s="32" t="str">
        <f t="shared" si="35"/>
        <v/>
      </c>
      <c r="DO170" s="32" t="str">
        <f t="shared" si="36"/>
        <v/>
      </c>
      <c r="DP170" s="32" t="str">
        <f t="shared" si="37"/>
        <v/>
      </c>
      <c r="DQ170" s="32" t="str">
        <f>IF(DP170="","",DP170*$DO$1/'CPI USA'!$U$532+(1-DP170)*AVERAGE($DO$1,$DQ$1)/AVERAGE('CPI USA'!$U$532,'PPI USA'!$T$538))</f>
        <v/>
      </c>
      <c r="DR170" s="6">
        <f t="shared" si="38"/>
        <v>0</v>
      </c>
      <c r="DS170" s="32" t="str">
        <f t="shared" si="39"/>
        <v/>
      </c>
      <c r="DT170" s="28" t="str">
        <f>IF(DS170="","",DS170*$DO$1/'CPI USA'!$U$532+(1-DS170)*AVERAGE($DO$1,$DQ$1)/AVERAGE('CPI USA'!$U$532,'PPI USA'!$T$538))</f>
        <v/>
      </c>
      <c r="DU170" s="6" t="str">
        <f t="shared" si="40"/>
        <v/>
      </c>
      <c r="DV170" s="6" t="str">
        <f>IFERROR(IF(BQ170=0,"",BP170/(BQ170-BP170)*BM170),"")</f>
        <v/>
      </c>
      <c r="DW170" s="6">
        <f t="shared" si="42"/>
        <v>0</v>
      </c>
      <c r="DX170" s="16" t="e">
        <f t="shared" si="43"/>
        <v>#VALUE!</v>
      </c>
      <c r="DY170" s="28" t="e">
        <f>IF(DX170="","",DX170*$DO$1/'CPI USA'!$U$532+(1-DX170)*AVERAGE($DO$1,$DQ$1)/AVERAGE('CPI USA'!$U$532,'PPI USA'!$T$538))</f>
        <v>#VALUE!</v>
      </c>
      <c r="DZ170" s="30"/>
      <c r="EA170" s="29" t="str">
        <f t="shared" si="44"/>
        <v>C003483</v>
      </c>
      <c r="EB170" s="29" t="str">
        <f t="shared" si="45"/>
        <v/>
      </c>
      <c r="EC170" s="29" t="str">
        <f t="shared" si="46"/>
        <v/>
      </c>
      <c r="ED170" s="29" t="str">
        <f t="shared" si="47"/>
        <v/>
      </c>
      <c r="EE170" s="29" t="str">
        <f t="shared" si="48"/>
        <v/>
      </c>
      <c r="EF170" s="29" t="str">
        <f t="shared" si="49"/>
        <v/>
      </c>
      <c r="EG170" s="29" t="str">
        <f t="shared" si="50"/>
        <v/>
      </c>
      <c r="EH170" s="29" t="str">
        <f t="shared" si="51"/>
        <v/>
      </c>
      <c r="EI170" s="29" t="str">
        <f t="shared" si="52"/>
        <v/>
      </c>
      <c r="EJ170" s="29" t="str">
        <f t="shared" si="53"/>
        <v/>
      </c>
      <c r="EK170" s="29" t="str">
        <f t="shared" si="54"/>
        <v/>
      </c>
      <c r="EL170" s="29" t="str">
        <f>IF(CD170=1,VLOOKUP(EA170,'EIA 2023'!$A$2:$J$213,4,0)*EH170,"")</f>
        <v/>
      </c>
      <c r="EM170" s="29" t="str">
        <f>IF(CD170=1,VLOOKUP(EA170,'EIA 2023'!$A$2:$J$213,7,0)*EH170,"")</f>
        <v/>
      </c>
      <c r="EN170" s="29" t="str">
        <f>IF(CD170=1,VLOOKUP(EA170,'EIA 2023'!$A$2:$J$213,10,0),"")</f>
        <v/>
      </c>
      <c r="EO170" s="28" t="str">
        <f>IF(CD170=1,VLOOKUP(EA170,'EIA 2023'!$A$2:$Z$213,26,0),"")</f>
        <v/>
      </c>
      <c r="EP170" s="23" t="str">
        <f t="shared" si="55"/>
        <v/>
      </c>
      <c r="EQ170" s="32" t="str">
        <f t="shared" si="56"/>
        <v/>
      </c>
      <c r="ER170" s="32" t="str">
        <f t="shared" si="57"/>
        <v/>
      </c>
      <c r="ES170" s="32"/>
      <c r="ET170" s="32"/>
    </row>
    <row r="171" spans="1:150" ht="15.75" customHeight="1">
      <c r="A171" s="7" t="s">
        <v>724</v>
      </c>
      <c r="B171" s="7" t="s">
        <v>725</v>
      </c>
      <c r="C171" s="32" t="s">
        <v>1256</v>
      </c>
      <c r="D171" s="42">
        <v>102959215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f>IFERROR(VLOOKUP(A171,'Trans 21-23'!$A$2:$J$229,10,0),0)</f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5630708</v>
      </c>
      <c r="AE171" s="42">
        <v>0</v>
      </c>
      <c r="AF171" s="42">
        <v>123311311</v>
      </c>
      <c r="AG171" s="42">
        <v>1</v>
      </c>
      <c r="AH171" s="42">
        <v>0</v>
      </c>
      <c r="AI171" s="42">
        <v>1993411</v>
      </c>
      <c r="AJ171" s="42">
        <v>0</v>
      </c>
      <c r="AK171" s="42">
        <v>0</v>
      </c>
      <c r="AL171" s="42">
        <v>0</v>
      </c>
      <c r="AM171" s="42">
        <v>0</v>
      </c>
      <c r="AN171" s="42">
        <v>0</v>
      </c>
      <c r="AO171" s="42">
        <v>0</v>
      </c>
      <c r="AP171" s="42">
        <v>0</v>
      </c>
      <c r="AQ171" s="42">
        <v>0</v>
      </c>
      <c r="AR171" s="42">
        <v>1993411</v>
      </c>
      <c r="AS171" s="42">
        <v>1993411</v>
      </c>
      <c r="AT171" s="42">
        <v>0</v>
      </c>
      <c r="AU171" s="42">
        <v>585</v>
      </c>
      <c r="AV171" s="42">
        <v>0</v>
      </c>
      <c r="AW171" s="42">
        <v>0</v>
      </c>
      <c r="AX171" s="42">
        <v>0</v>
      </c>
      <c r="AY171" s="42">
        <v>0</v>
      </c>
      <c r="AZ171" s="42">
        <v>0</v>
      </c>
      <c r="BA171" s="42">
        <v>0</v>
      </c>
      <c r="BB171" s="42">
        <v>0</v>
      </c>
      <c r="BC171" s="42">
        <v>814100953</v>
      </c>
      <c r="BD171" s="42">
        <v>0</v>
      </c>
      <c r="BE171" s="42">
        <v>0</v>
      </c>
      <c r="BF171" s="42">
        <v>0</v>
      </c>
      <c r="BG171" s="42">
        <v>0</v>
      </c>
      <c r="BH171" s="42">
        <v>0</v>
      </c>
      <c r="BI171" s="42">
        <v>0</v>
      </c>
      <c r="BJ171" s="42">
        <v>0</v>
      </c>
      <c r="BK171" s="42">
        <v>0</v>
      </c>
      <c r="BL171" s="42">
        <v>0</v>
      </c>
      <c r="BM171" s="42">
        <v>1202600</v>
      </c>
      <c r="BN171" s="42">
        <v>7448098</v>
      </c>
      <c r="BO171" s="42">
        <v>0</v>
      </c>
      <c r="BP171" s="42">
        <v>0</v>
      </c>
      <c r="BQ171" s="42">
        <v>7448098</v>
      </c>
      <c r="BR171" s="42">
        <v>0</v>
      </c>
      <c r="BS171" s="42">
        <f>IFERROR(VLOOKUP(A171,'Trans 21-23'!$A$2:$J$229,9,0),0)</f>
        <v>0</v>
      </c>
      <c r="BT171" s="67"/>
      <c r="BU171" s="32">
        <f t="shared" si="0"/>
        <v>0</v>
      </c>
      <c r="BV171" s="32">
        <f t="shared" si="1"/>
        <v>585</v>
      </c>
      <c r="BW171" s="32">
        <f t="shared" si="2"/>
        <v>1</v>
      </c>
      <c r="BX171" s="32">
        <f t="shared" si="3"/>
        <v>0</v>
      </c>
      <c r="BY171" s="32">
        <f t="shared" si="4"/>
        <v>0</v>
      </c>
      <c r="BZ171" s="32">
        <f t="shared" si="5"/>
        <v>0</v>
      </c>
      <c r="CA171" s="32">
        <f t="shared" si="6"/>
        <v>5630708</v>
      </c>
      <c r="CB171" s="32">
        <f t="shared" si="7"/>
        <v>0</v>
      </c>
      <c r="CC171" s="32">
        <f t="shared" si="8"/>
        <v>0</v>
      </c>
      <c r="CD171" s="41">
        <f t="shared" si="74"/>
        <v>0</v>
      </c>
      <c r="CE171" s="44">
        <f t="shared" si="10"/>
        <v>56</v>
      </c>
      <c r="CF171" s="27"/>
      <c r="CG171" s="28" t="str">
        <f t="shared" si="11"/>
        <v/>
      </c>
      <c r="CH171" s="28" t="str">
        <f t="shared" si="12"/>
        <v/>
      </c>
      <c r="CI171" s="28" t="str">
        <f t="shared" si="13"/>
        <v/>
      </c>
      <c r="CJ171" s="28" t="str">
        <f t="shared" si="14"/>
        <v/>
      </c>
      <c r="CK171" s="23" t="str">
        <f t="shared" si="15"/>
        <v/>
      </c>
      <c r="CL171" s="29" t="str">
        <f t="shared" si="16"/>
        <v/>
      </c>
      <c r="CM171" s="29" t="str">
        <f t="shared" si="17"/>
        <v/>
      </c>
      <c r="CN171" s="29" t="str">
        <f t="shared" si="18"/>
        <v/>
      </c>
      <c r="CO171" s="29" t="str">
        <f t="shared" si="19"/>
        <v/>
      </c>
      <c r="CP171" s="29" t="str">
        <f t="shared" si="20"/>
        <v/>
      </c>
      <c r="CQ171" s="29" t="str">
        <f t="shared" si="21"/>
        <v/>
      </c>
      <c r="CR171" s="13"/>
      <c r="CS171" s="7" t="str">
        <f>VLOOKUP(A171,'Empresas 21-23'!$A$2:$M$228,13,0)</f>
        <v/>
      </c>
      <c r="CT171" s="30"/>
      <c r="CU171" s="6">
        <f t="shared" si="22"/>
        <v>0</v>
      </c>
      <c r="CV171" s="6">
        <f t="shared" si="23"/>
        <v>0</v>
      </c>
      <c r="CW171" s="6">
        <f t="shared" si="24"/>
        <v>0</v>
      </c>
      <c r="CX171" s="23">
        <f t="shared" ref="CX171:CX178" si="84">CU171/(BC171-BD171)</f>
        <v>0</v>
      </c>
      <c r="CY171" s="23">
        <f t="shared" ref="CY171:CY178" si="85">CV171/(BC171-BD171)</f>
        <v>0</v>
      </c>
      <c r="CZ171" s="6">
        <f t="shared" si="27"/>
        <v>0</v>
      </c>
      <c r="DA171" s="6">
        <f t="shared" si="28"/>
        <v>0</v>
      </c>
      <c r="DB171" s="6">
        <f t="shared" si="29"/>
        <v>0</v>
      </c>
      <c r="DC171" s="6">
        <f t="shared" si="30"/>
        <v>0</v>
      </c>
      <c r="DD171" s="6">
        <f t="shared" si="31"/>
        <v>0</v>
      </c>
      <c r="DE171" s="6">
        <f t="shared" si="32"/>
        <v>5630708</v>
      </c>
      <c r="DF171" s="6">
        <f t="shared" ref="DF171:DF218" si="86">DE171*(DC171+DD171)/(AF171-AD171-F171-H171-E171-D171)</f>
        <v>0</v>
      </c>
      <c r="DG171" s="30"/>
      <c r="DH171" s="32" t="str">
        <f>VLOOKUP(A171,'T_med_comp-USA'!$A$7:$Q$233,17,0)</f>
        <v>-</v>
      </c>
      <c r="DI171" s="6" t="str">
        <f t="shared" si="34"/>
        <v/>
      </c>
      <c r="DJ171" s="32" t="str">
        <f>IF(DI171="","",VLOOKUP(DI171,'CPI USA'!$T:$U,2,FALSE))</f>
        <v/>
      </c>
      <c r="DK171" s="32" t="str">
        <f>IF(DI171="","",VLOOKUP(DI171,'PPI USA'!$S:$T,2,FALSE))</f>
        <v/>
      </c>
      <c r="DL171" s="32" t="str">
        <f>IF(DI171="","",VLOOKUP(DI171,'CPI USA'!$T:$V,3,FALSE))</f>
        <v/>
      </c>
      <c r="DM171" s="32" t="str">
        <f>IF(DI171="","",VLOOKUP(DI171,'CPI USA'!$T:$X,5,FALSE))</f>
        <v/>
      </c>
      <c r="DN171" s="32" t="str">
        <f t="shared" si="35"/>
        <v/>
      </c>
      <c r="DO171" s="32" t="str">
        <f t="shared" si="36"/>
        <v/>
      </c>
      <c r="DP171" s="32" t="str">
        <f t="shared" si="37"/>
        <v/>
      </c>
      <c r="DQ171" s="32" t="str">
        <f>IF(DP171="","",DP171*$DO$1/'CPI USA'!$U$532+(1-DP171)*AVERAGE($DO$1,$DQ$1)/AVERAGE('CPI USA'!$U$532,'PPI USA'!$T$538))</f>
        <v/>
      </c>
      <c r="DR171" s="6">
        <f t="shared" si="38"/>
        <v>0</v>
      </c>
      <c r="DS171" s="32" t="str">
        <f t="shared" si="39"/>
        <v/>
      </c>
      <c r="DT171" s="28" t="str">
        <f>IF(DS171="","",DS171*$DO$1/'CPI USA'!$U$532+(1-DS171)*AVERAGE($DO$1,$DQ$1)/AVERAGE('CPI USA'!$U$532,'PPI USA'!$T$538))</f>
        <v/>
      </c>
      <c r="DU171" s="6" t="str">
        <f t="shared" si="40"/>
        <v/>
      </c>
      <c r="DV171" s="6">
        <f t="shared" ref="DV171:DV218" si="87">IF(BQ171=0,"",BP171/(BQ171-BP171)*BM171)</f>
        <v>0</v>
      </c>
      <c r="DW171" s="6">
        <f t="shared" si="42"/>
        <v>0</v>
      </c>
      <c r="DX171" s="16" t="str">
        <f t="shared" si="43"/>
        <v/>
      </c>
      <c r="DY171" s="28" t="str">
        <f>IF(DX171="","",DX171*$DO$1/'CPI USA'!$U$532+(1-DX171)*AVERAGE($DO$1,$DQ$1)/AVERAGE('CPI USA'!$U$532,'PPI USA'!$T$538))</f>
        <v/>
      </c>
      <c r="DZ171" s="30"/>
      <c r="EA171" s="29" t="str">
        <f t="shared" si="44"/>
        <v>C003646</v>
      </c>
      <c r="EB171" s="29" t="str">
        <f t="shared" si="45"/>
        <v/>
      </c>
      <c r="EC171" s="29" t="str">
        <f t="shared" si="46"/>
        <v/>
      </c>
      <c r="ED171" s="29" t="str">
        <f t="shared" si="47"/>
        <v/>
      </c>
      <c r="EE171" s="29" t="str">
        <f t="shared" si="48"/>
        <v/>
      </c>
      <c r="EF171" s="29" t="str">
        <f t="shared" si="49"/>
        <v/>
      </c>
      <c r="EG171" s="29" t="str">
        <f t="shared" si="50"/>
        <v/>
      </c>
      <c r="EH171" s="29" t="str">
        <f t="shared" si="51"/>
        <v/>
      </c>
      <c r="EI171" s="29" t="str">
        <f t="shared" si="52"/>
        <v/>
      </c>
      <c r="EJ171" s="29" t="str">
        <f t="shared" si="53"/>
        <v/>
      </c>
      <c r="EK171" s="29" t="str">
        <f t="shared" si="54"/>
        <v/>
      </c>
      <c r="EL171" s="29" t="str">
        <f>IF(CD171=1,VLOOKUP(EA171,'EIA 2023'!$A$2:$J$213,4,0)*EH171,"")</f>
        <v/>
      </c>
      <c r="EM171" s="29" t="str">
        <f>IF(CD171=1,VLOOKUP(EA171,'EIA 2023'!$A$2:$J$213,7,0)*EH171,"")</f>
        <v/>
      </c>
      <c r="EN171" s="29" t="str">
        <f>IF(CD171=1,VLOOKUP(EA171,'EIA 2023'!$A$2:$J$213,10,0),"")</f>
        <v/>
      </c>
      <c r="EO171" s="28" t="str">
        <f>IF(CD171=1,VLOOKUP(EA171,'EIA 2023'!$A$2:$Z$213,26,0),"")</f>
        <v/>
      </c>
      <c r="EP171" s="23" t="str">
        <f t="shared" si="55"/>
        <v/>
      </c>
      <c r="EQ171" s="32" t="str">
        <f t="shared" si="56"/>
        <v/>
      </c>
      <c r="ER171" s="32" t="str">
        <f t="shared" si="57"/>
        <v/>
      </c>
      <c r="ES171" s="32"/>
      <c r="ET171" s="32"/>
    </row>
    <row r="172" spans="1:150" ht="15.75" customHeight="1">
      <c r="A172" s="7" t="s">
        <v>727</v>
      </c>
      <c r="B172" s="7" t="s">
        <v>728</v>
      </c>
      <c r="C172" s="32" t="s">
        <v>1257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f>IFERROR(VLOOKUP(A172,'Trans 21-23'!$A$2:$J$229,10,0),0)</f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2722094</v>
      </c>
      <c r="AE172" s="42">
        <v>0</v>
      </c>
      <c r="AF172" s="42">
        <v>6200988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2">
        <v>0</v>
      </c>
      <c r="AR172" s="42">
        <v>0</v>
      </c>
      <c r="AS172" s="42">
        <v>0</v>
      </c>
      <c r="AT172" s="42">
        <v>0</v>
      </c>
      <c r="AU172" s="42">
        <v>0</v>
      </c>
      <c r="AV172" s="42">
        <v>0</v>
      </c>
      <c r="AW172" s="42">
        <v>0</v>
      </c>
      <c r="AX172" s="42">
        <v>0</v>
      </c>
      <c r="AY172" s="42">
        <v>0</v>
      </c>
      <c r="AZ172" s="42">
        <v>0</v>
      </c>
      <c r="BA172" s="42">
        <v>0</v>
      </c>
      <c r="BB172" s="42">
        <v>0</v>
      </c>
      <c r="BC172" s="42">
        <v>167074415</v>
      </c>
      <c r="BD172" s="42">
        <v>1561789</v>
      </c>
      <c r="BE172" s="42">
        <v>0</v>
      </c>
      <c r="BF172" s="42">
        <v>0</v>
      </c>
      <c r="BG172" s="42">
        <v>0</v>
      </c>
      <c r="BH172" s="42">
        <v>0</v>
      </c>
      <c r="BI172" s="42">
        <v>0</v>
      </c>
      <c r="BJ172" s="42">
        <v>0</v>
      </c>
      <c r="BK172" s="42">
        <v>0</v>
      </c>
      <c r="BL172" s="42">
        <v>0</v>
      </c>
      <c r="BM172" s="42">
        <v>0</v>
      </c>
      <c r="BN172" s="42">
        <v>0</v>
      </c>
      <c r="BO172" s="42">
        <v>0</v>
      </c>
      <c r="BP172" s="42">
        <v>0</v>
      </c>
      <c r="BQ172" s="42">
        <v>0</v>
      </c>
      <c r="BR172" s="42">
        <v>0</v>
      </c>
      <c r="BS172" s="42">
        <f>IFERROR(VLOOKUP(A172,'Trans 21-23'!$A$2:$J$229,9,0),0)</f>
        <v>0</v>
      </c>
      <c r="BT172" s="67"/>
      <c r="BU172" s="32">
        <f t="shared" si="0"/>
        <v>0</v>
      </c>
      <c r="BV172" s="32">
        <f t="shared" si="1"/>
        <v>0</v>
      </c>
      <c r="BW172" s="32">
        <f t="shared" si="2"/>
        <v>0</v>
      </c>
      <c r="BX172" s="32">
        <f t="shared" si="3"/>
        <v>0</v>
      </c>
      <c r="BY172" s="32">
        <f t="shared" si="4"/>
        <v>0</v>
      </c>
      <c r="BZ172" s="32">
        <f t="shared" si="5"/>
        <v>0</v>
      </c>
      <c r="CA172" s="32">
        <f t="shared" si="6"/>
        <v>2722094</v>
      </c>
      <c r="CB172" s="32">
        <f t="shared" si="7"/>
        <v>0</v>
      </c>
      <c r="CC172" s="32">
        <f t="shared" si="8"/>
        <v>0</v>
      </c>
      <c r="CD172" s="41">
        <f t="shared" si="74"/>
        <v>0</v>
      </c>
      <c r="CE172" s="44">
        <f t="shared" si="10"/>
        <v>64</v>
      </c>
      <c r="CF172" s="27"/>
      <c r="CG172" s="28" t="str">
        <f t="shared" si="11"/>
        <v/>
      </c>
      <c r="CH172" s="28" t="str">
        <f t="shared" si="12"/>
        <v/>
      </c>
      <c r="CI172" s="28" t="str">
        <f t="shared" si="13"/>
        <v/>
      </c>
      <c r="CJ172" s="28" t="str">
        <f t="shared" si="14"/>
        <v/>
      </c>
      <c r="CK172" s="23" t="str">
        <f t="shared" si="15"/>
        <v/>
      </c>
      <c r="CL172" s="29" t="str">
        <f t="shared" si="16"/>
        <v/>
      </c>
      <c r="CM172" s="29" t="str">
        <f t="shared" si="17"/>
        <v/>
      </c>
      <c r="CN172" s="29" t="str">
        <f t="shared" si="18"/>
        <v/>
      </c>
      <c r="CO172" s="29" t="str">
        <f t="shared" si="19"/>
        <v/>
      </c>
      <c r="CP172" s="29" t="str">
        <f t="shared" si="20"/>
        <v/>
      </c>
      <c r="CQ172" s="29" t="str">
        <f t="shared" si="21"/>
        <v/>
      </c>
      <c r="CR172" s="13"/>
      <c r="CS172" s="7" t="str">
        <f>VLOOKUP(A172,'Empresas 21-23'!$A$2:$M$228,13,0)</f>
        <v/>
      </c>
      <c r="CT172" s="30"/>
      <c r="CU172" s="6">
        <f t="shared" si="22"/>
        <v>0</v>
      </c>
      <c r="CV172" s="6">
        <f t="shared" si="23"/>
        <v>0</v>
      </c>
      <c r="CW172" s="6">
        <f t="shared" si="24"/>
        <v>1561789</v>
      </c>
      <c r="CX172" s="23">
        <f t="shared" si="84"/>
        <v>0</v>
      </c>
      <c r="CY172" s="23">
        <f t="shared" si="85"/>
        <v>0</v>
      </c>
      <c r="CZ172" s="6">
        <f t="shared" si="27"/>
        <v>0</v>
      </c>
      <c r="DA172" s="6">
        <f t="shared" si="28"/>
        <v>0</v>
      </c>
      <c r="DB172" s="6">
        <f t="shared" si="29"/>
        <v>0</v>
      </c>
      <c r="DC172" s="6">
        <f t="shared" si="30"/>
        <v>0</v>
      </c>
      <c r="DD172" s="6">
        <f t="shared" si="31"/>
        <v>0</v>
      </c>
      <c r="DE172" s="6">
        <f t="shared" si="32"/>
        <v>2722094</v>
      </c>
      <c r="DF172" s="6">
        <f t="shared" si="86"/>
        <v>0</v>
      </c>
      <c r="DG172" s="30"/>
      <c r="DH172" s="32" t="str">
        <f>VLOOKUP(A172,'T_med_comp-USA'!$A$7:$Q$233,17,0)</f>
        <v>-</v>
      </c>
      <c r="DI172" s="6" t="str">
        <f t="shared" si="34"/>
        <v/>
      </c>
      <c r="DJ172" s="32" t="str">
        <f>IF(DI172="","",VLOOKUP(DI172,'CPI USA'!$T:$U,2,FALSE))</f>
        <v/>
      </c>
      <c r="DK172" s="32" t="str">
        <f>IF(DI172="","",VLOOKUP(DI172,'PPI USA'!$S:$T,2,FALSE))</f>
        <v/>
      </c>
      <c r="DL172" s="32" t="str">
        <f>IF(DI172="","",VLOOKUP(DI172,'CPI USA'!$T:$V,3,FALSE))</f>
        <v/>
      </c>
      <c r="DM172" s="32" t="str">
        <f>IF(DI172="","",VLOOKUP(DI172,'CPI USA'!$T:$X,5,FALSE))</f>
        <v/>
      </c>
      <c r="DN172" s="32" t="str">
        <f t="shared" si="35"/>
        <v/>
      </c>
      <c r="DO172" s="32" t="str">
        <f t="shared" si="36"/>
        <v/>
      </c>
      <c r="DP172" s="32" t="str">
        <f t="shared" si="37"/>
        <v/>
      </c>
      <c r="DQ172" s="32" t="str">
        <f>IF(DP172="","",DP172*$DO$1/'CPI USA'!$U$532+(1-DP172)*AVERAGE($DO$1,$DQ$1)/AVERAGE('CPI USA'!$U$532,'PPI USA'!$T$538))</f>
        <v/>
      </c>
      <c r="DR172" s="6">
        <f t="shared" si="38"/>
        <v>0</v>
      </c>
      <c r="DS172" s="32" t="str">
        <f t="shared" si="39"/>
        <v/>
      </c>
      <c r="DT172" s="28" t="str">
        <f>IF(DS172="","",DS172*$DO$1/'CPI USA'!$U$532+(1-DS172)*AVERAGE($DO$1,$DQ$1)/AVERAGE('CPI USA'!$U$532,'PPI USA'!$T$538))</f>
        <v/>
      </c>
      <c r="DU172" s="6" t="str">
        <f t="shared" si="40"/>
        <v/>
      </c>
      <c r="DV172" s="6" t="str">
        <f t="shared" si="87"/>
        <v/>
      </c>
      <c r="DW172" s="6">
        <f t="shared" si="42"/>
        <v>0</v>
      </c>
      <c r="DX172" s="16" t="str">
        <f t="shared" si="43"/>
        <v/>
      </c>
      <c r="DY172" s="28" t="str">
        <f>IF(DX172="","",DX172*$DO$1/'CPI USA'!$U$532+(1-DX172)*AVERAGE($DO$1,$DQ$1)/AVERAGE('CPI USA'!$U$532,'PPI USA'!$T$538))</f>
        <v/>
      </c>
      <c r="DZ172" s="30"/>
      <c r="EA172" s="29" t="str">
        <f t="shared" si="44"/>
        <v>C003713</v>
      </c>
      <c r="EB172" s="29" t="str">
        <f t="shared" si="45"/>
        <v/>
      </c>
      <c r="EC172" s="29" t="str">
        <f t="shared" si="46"/>
        <v/>
      </c>
      <c r="ED172" s="29" t="str">
        <f t="shared" si="47"/>
        <v/>
      </c>
      <c r="EE172" s="29" t="str">
        <f t="shared" si="48"/>
        <v/>
      </c>
      <c r="EF172" s="29" t="str">
        <f t="shared" si="49"/>
        <v/>
      </c>
      <c r="EG172" s="29" t="str">
        <f t="shared" si="50"/>
        <v/>
      </c>
      <c r="EH172" s="29" t="str">
        <f t="shared" si="51"/>
        <v/>
      </c>
      <c r="EI172" s="29" t="str">
        <f t="shared" si="52"/>
        <v/>
      </c>
      <c r="EJ172" s="29" t="str">
        <f t="shared" si="53"/>
        <v/>
      </c>
      <c r="EK172" s="29" t="str">
        <f t="shared" si="54"/>
        <v/>
      </c>
      <c r="EL172" s="29" t="str">
        <f>IF(CD172=1,VLOOKUP(EA172,'EIA 2023'!$A$2:$J$213,4,0)*EH172,"")</f>
        <v/>
      </c>
      <c r="EM172" s="29" t="str">
        <f>IF(CD172=1,VLOOKUP(EA172,'EIA 2023'!$A$2:$J$213,7,0)*EH172,"")</f>
        <v/>
      </c>
      <c r="EN172" s="29" t="str">
        <f>IF(CD172=1,VLOOKUP(EA172,'EIA 2023'!$A$2:$J$213,10,0),"")</f>
        <v/>
      </c>
      <c r="EO172" s="28" t="str">
        <f>IF(CD172=1,VLOOKUP(EA172,'EIA 2023'!$A$2:$Z$213,26,0),"")</f>
        <v/>
      </c>
      <c r="EP172" s="23" t="str">
        <f t="shared" si="55"/>
        <v/>
      </c>
      <c r="EQ172" s="32" t="str">
        <f t="shared" si="56"/>
        <v/>
      </c>
      <c r="ER172" s="32" t="str">
        <f t="shared" si="57"/>
        <v/>
      </c>
      <c r="ES172" s="32"/>
      <c r="ET172" s="32"/>
    </row>
    <row r="173" spans="1:150" ht="15.75" customHeight="1">
      <c r="A173" s="7" t="s">
        <v>730</v>
      </c>
      <c r="B173" s="7" t="s">
        <v>731</v>
      </c>
      <c r="C173" s="32" t="s">
        <v>1258</v>
      </c>
      <c r="D173" s="42">
        <v>225734787</v>
      </c>
      <c r="E173" s="42">
        <v>0</v>
      </c>
      <c r="F173" s="42">
        <v>58509214</v>
      </c>
      <c r="G173" s="42">
        <v>340727082</v>
      </c>
      <c r="H173" s="42">
        <v>356366381</v>
      </c>
      <c r="I173" s="42">
        <v>86053</v>
      </c>
      <c r="J173" s="42">
        <v>1601962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150876</v>
      </c>
      <c r="T173" s="42">
        <v>0</v>
      </c>
      <c r="U173" s="42">
        <v>0</v>
      </c>
      <c r="V173" s="42">
        <v>0</v>
      </c>
      <c r="W173" s="42">
        <v>0</v>
      </c>
      <c r="X173" s="42">
        <f>IFERROR(VLOOKUP(A173,'Trans 21-23'!$A$2:$J$229,10,0),0)</f>
        <v>3870143</v>
      </c>
      <c r="Y173" s="42">
        <v>0</v>
      </c>
      <c r="Z173" s="42">
        <v>0</v>
      </c>
      <c r="AA173" s="42">
        <v>754303</v>
      </c>
      <c r="AB173" s="42">
        <v>6250889</v>
      </c>
      <c r="AC173" s="42">
        <v>0</v>
      </c>
      <c r="AD173" s="42">
        <v>81713659</v>
      </c>
      <c r="AE173" s="42">
        <v>0</v>
      </c>
      <c r="AF173" s="42">
        <v>1157346809</v>
      </c>
      <c r="AG173" s="42">
        <v>0</v>
      </c>
      <c r="AH173" s="42">
        <v>588352</v>
      </c>
      <c r="AI173" s="42">
        <v>18025165</v>
      </c>
      <c r="AJ173" s="42">
        <v>0</v>
      </c>
      <c r="AK173" s="42">
        <v>0</v>
      </c>
      <c r="AL173" s="42">
        <v>0</v>
      </c>
      <c r="AM173" s="42">
        <v>0</v>
      </c>
      <c r="AN173" s="42">
        <v>0</v>
      </c>
      <c r="AO173" s="42">
        <v>0</v>
      </c>
      <c r="AP173" s="42">
        <v>0</v>
      </c>
      <c r="AQ173" s="42">
        <v>0</v>
      </c>
      <c r="AR173" s="42">
        <v>17436813</v>
      </c>
      <c r="AS173" s="42">
        <v>17436813</v>
      </c>
      <c r="AT173" s="42">
        <v>0</v>
      </c>
      <c r="AU173" s="42">
        <v>3021</v>
      </c>
      <c r="AV173" s="42">
        <v>0</v>
      </c>
      <c r="AW173" s="42">
        <v>0</v>
      </c>
      <c r="AX173" s="42">
        <v>0</v>
      </c>
      <c r="AY173" s="42">
        <v>0</v>
      </c>
      <c r="AZ173" s="42">
        <v>0</v>
      </c>
      <c r="BA173" s="42">
        <v>0</v>
      </c>
      <c r="BB173" s="42">
        <v>85167838</v>
      </c>
      <c r="BC173" s="42">
        <v>4652838586</v>
      </c>
      <c r="BD173" s="42">
        <v>410855694</v>
      </c>
      <c r="BE173" s="42">
        <v>24612516</v>
      </c>
      <c r="BF173" s="42">
        <v>1476261</v>
      </c>
      <c r="BG173" s="42">
        <v>0</v>
      </c>
      <c r="BH173" s="42">
        <v>687770</v>
      </c>
      <c r="BI173" s="42">
        <v>556022</v>
      </c>
      <c r="BJ173" s="42">
        <v>81</v>
      </c>
      <c r="BK173" s="42">
        <v>0</v>
      </c>
      <c r="BL173" s="42">
        <v>0</v>
      </c>
      <c r="BM173" s="42">
        <v>59902357</v>
      </c>
      <c r="BN173" s="42">
        <v>156003240</v>
      </c>
      <c r="BO173" s="42">
        <v>0</v>
      </c>
      <c r="BP173" s="42">
        <v>0</v>
      </c>
      <c r="BQ173" s="42">
        <v>204430461</v>
      </c>
      <c r="BR173" s="42">
        <v>0</v>
      </c>
      <c r="BS173" s="42">
        <f>IFERROR(VLOOKUP(A173,'Trans 21-23'!$A$2:$J$229,9,0),0)</f>
        <v>374625036</v>
      </c>
      <c r="BT173" s="67"/>
      <c r="BU173" s="32">
        <f t="shared" si="0"/>
        <v>85167838</v>
      </c>
      <c r="BV173" s="32">
        <f t="shared" si="1"/>
        <v>3021</v>
      </c>
      <c r="BW173" s="32">
        <f t="shared" si="2"/>
        <v>0</v>
      </c>
      <c r="BX173" s="32">
        <f t="shared" si="3"/>
        <v>1838891</v>
      </c>
      <c r="BY173" s="32">
        <f t="shared" si="4"/>
        <v>7005192</v>
      </c>
      <c r="BZ173" s="32">
        <f t="shared" si="5"/>
        <v>0</v>
      </c>
      <c r="CA173" s="32">
        <f t="shared" si="6"/>
        <v>81713659</v>
      </c>
      <c r="CB173" s="32">
        <f t="shared" si="7"/>
        <v>588352</v>
      </c>
      <c r="CC173" s="32">
        <f t="shared" si="8"/>
        <v>0</v>
      </c>
      <c r="CD173" s="41">
        <f t="shared" si="74"/>
        <v>0</v>
      </c>
      <c r="CE173" s="44">
        <f t="shared" si="10"/>
        <v>39</v>
      </c>
      <c r="CF173" s="27"/>
      <c r="CG173" s="28" t="str">
        <f t="shared" si="11"/>
        <v/>
      </c>
      <c r="CH173" s="28" t="str">
        <f t="shared" si="12"/>
        <v/>
      </c>
      <c r="CI173" s="28" t="str">
        <f t="shared" si="13"/>
        <v/>
      </c>
      <c r="CJ173" s="28" t="str">
        <f t="shared" si="14"/>
        <v/>
      </c>
      <c r="CK173" s="23" t="str">
        <f t="shared" si="15"/>
        <v/>
      </c>
      <c r="CL173" s="29" t="str">
        <f t="shared" si="16"/>
        <v/>
      </c>
      <c r="CM173" s="29" t="str">
        <f t="shared" si="17"/>
        <v/>
      </c>
      <c r="CN173" s="29" t="str">
        <f t="shared" si="18"/>
        <v/>
      </c>
      <c r="CO173" s="29" t="str">
        <f t="shared" si="19"/>
        <v/>
      </c>
      <c r="CP173" s="29" t="str">
        <f t="shared" si="20"/>
        <v/>
      </c>
      <c r="CQ173" s="29" t="str">
        <f t="shared" si="21"/>
        <v/>
      </c>
      <c r="CR173" s="13"/>
      <c r="CS173" s="7" t="str">
        <f>VLOOKUP(A173,'Empresas 21-23'!$A$2:$M$228,13,0)</f>
        <v/>
      </c>
      <c r="CT173" s="30"/>
      <c r="CU173" s="6">
        <f t="shared" si="22"/>
        <v>459792874</v>
      </c>
      <c r="CV173" s="6">
        <f t="shared" si="23"/>
        <v>0</v>
      </c>
      <c r="CW173" s="6">
        <f t="shared" si="24"/>
        <v>410855694</v>
      </c>
      <c r="CX173" s="23">
        <f t="shared" si="84"/>
        <v>0.10839102507158344</v>
      </c>
      <c r="CY173" s="23">
        <f t="shared" si="85"/>
        <v>0</v>
      </c>
      <c r="CZ173" s="6">
        <f t="shared" si="27"/>
        <v>504325943.82915682</v>
      </c>
      <c r="DA173" s="6">
        <f t="shared" si="28"/>
        <v>0</v>
      </c>
      <c r="DB173" s="6">
        <f t="shared" si="29"/>
        <v>1838891</v>
      </c>
      <c r="DC173" s="6">
        <f t="shared" si="30"/>
        <v>5709034</v>
      </c>
      <c r="DD173" s="6">
        <f t="shared" si="31"/>
        <v>7005192</v>
      </c>
      <c r="DE173" s="6">
        <f t="shared" si="32"/>
        <v>81713659</v>
      </c>
      <c r="DF173" s="6">
        <f t="shared" si="86"/>
        <v>2388210.4667517864</v>
      </c>
      <c r="DG173" s="30"/>
      <c r="DH173" s="32">
        <f>VLOOKUP(A173,'T_med_comp-USA'!$A$7:$Q$233,17,0)</f>
        <v>20.254599241590924</v>
      </c>
      <c r="DI173" s="6" t="str">
        <f t="shared" si="34"/>
        <v>10_2003</v>
      </c>
      <c r="DJ173" s="32">
        <f>IF(DI173="","",VLOOKUP(DI173,'CPI USA'!$T:$U,2,FALSE))</f>
        <v>184</v>
      </c>
      <c r="DK173" s="32">
        <f>IF(DI173="","",VLOOKUP(DI173,'PPI USA'!$S:$T,2,FALSE))</f>
        <v>122.6</v>
      </c>
      <c r="DL173" s="32">
        <f>IF(DI173="","",VLOOKUP(DI173,'CPI USA'!$T:$V,3,FALSE))</f>
        <v>0.67966838867333434</v>
      </c>
      <c r="DM173" s="32">
        <f>IF(DI173="","",VLOOKUP(DI173,'CPI USA'!$T:$X,5,FALSE))</f>
        <v>0.509186952863521</v>
      </c>
      <c r="DN173" s="32">
        <f t="shared" si="35"/>
        <v>1.7662899637984153</v>
      </c>
      <c r="DO173" s="32">
        <f t="shared" si="36"/>
        <v>1.7975926193363585</v>
      </c>
      <c r="DP173" s="32">
        <f t="shared" si="37"/>
        <v>0.37401346789994622</v>
      </c>
      <c r="DQ173" s="32">
        <f>IF(DP173="","",DP173*$DO$1/'CPI USA'!$U$532+(1-DP173)*AVERAGE($DO$1,$DQ$1)/AVERAGE('CPI USA'!$U$532,'PPI USA'!$T$538))</f>
        <v>1.0386658027115367</v>
      </c>
      <c r="DR173" s="6">
        <f t="shared" si="38"/>
        <v>556103</v>
      </c>
      <c r="DS173" s="32">
        <f t="shared" si="39"/>
        <v>0.2</v>
      </c>
      <c r="DT173" s="28">
        <f>IF(DS173="","",DS173*$DO$1/'CPI USA'!$U$532+(1-DS173)*AVERAGE($DO$1,$DQ$1)/AVERAGE('CPI USA'!$U$532,'PPI USA'!$T$538))</f>
        <v>1.0426818386380585</v>
      </c>
      <c r="DU173" s="6">
        <f t="shared" si="40"/>
        <v>59902357</v>
      </c>
      <c r="DV173" s="6">
        <f t="shared" si="87"/>
        <v>0</v>
      </c>
      <c r="DW173" s="6">
        <f t="shared" si="42"/>
        <v>477624.21157830436</v>
      </c>
      <c r="DX173" s="16" t="str">
        <f t="shared" si="43"/>
        <v/>
      </c>
      <c r="DY173" s="28" t="str">
        <f>IF(DX173="","",DX173*$DO$1/'CPI USA'!$U$532+(1-DX173)*AVERAGE($DO$1,$DQ$1)/AVERAGE('CPI USA'!$U$532,'PPI USA'!$T$538))</f>
        <v/>
      </c>
      <c r="DZ173" s="30"/>
      <c r="EA173" s="29" t="str">
        <f t="shared" si="44"/>
        <v>C003836</v>
      </c>
      <c r="EB173" s="29" t="str">
        <f t="shared" si="45"/>
        <v/>
      </c>
      <c r="EC173" s="29" t="str">
        <f t="shared" si="46"/>
        <v/>
      </c>
      <c r="ED173" s="29" t="str">
        <f t="shared" si="47"/>
        <v/>
      </c>
      <c r="EE173" s="29" t="str">
        <f t="shared" si="48"/>
        <v/>
      </c>
      <c r="EF173" s="29" t="str">
        <f t="shared" si="49"/>
        <v/>
      </c>
      <c r="EG173" s="29" t="str">
        <f t="shared" si="50"/>
        <v/>
      </c>
      <c r="EH173" s="29" t="str">
        <f t="shared" si="51"/>
        <v/>
      </c>
      <c r="EI173" s="29" t="str">
        <f t="shared" si="52"/>
        <v/>
      </c>
      <c r="EJ173" s="29" t="str">
        <f t="shared" si="53"/>
        <v/>
      </c>
      <c r="EK173" s="29" t="str">
        <f t="shared" si="54"/>
        <v/>
      </c>
      <c r="EL173" s="29" t="str">
        <f>IF(CD173=1,VLOOKUP(EA173,'EIA 2023'!$A$2:$J$213,4,0)*EH173,"")</f>
        <v/>
      </c>
      <c r="EM173" s="29" t="str">
        <f>IF(CD173=1,VLOOKUP(EA173,'EIA 2023'!$A$2:$J$213,7,0)*EH173,"")</f>
        <v/>
      </c>
      <c r="EN173" s="29" t="str">
        <f>IF(CD173=1,VLOOKUP(EA173,'EIA 2023'!$A$2:$J$213,10,0),"")</f>
        <v/>
      </c>
      <c r="EO173" s="28" t="str">
        <f>IF(CD173=1,VLOOKUP(EA173,'EIA 2023'!$A$2:$Z$213,26,0),"")</f>
        <v/>
      </c>
      <c r="EP173" s="23" t="str">
        <f t="shared" si="55"/>
        <v/>
      </c>
      <c r="EQ173" s="32" t="str">
        <f t="shared" si="56"/>
        <v/>
      </c>
      <c r="ER173" s="32" t="str">
        <f t="shared" si="57"/>
        <v/>
      </c>
      <c r="ES173" s="32"/>
      <c r="ET173" s="32"/>
    </row>
    <row r="174" spans="1:150" ht="15.75" customHeight="1">
      <c r="A174" s="7" t="s">
        <v>733</v>
      </c>
      <c r="B174" s="7" t="s">
        <v>734</v>
      </c>
      <c r="C174" s="32" t="s">
        <v>1259</v>
      </c>
      <c r="D174" s="42">
        <v>256375803</v>
      </c>
      <c r="E174" s="42">
        <v>0</v>
      </c>
      <c r="F174" s="42">
        <v>97865951</v>
      </c>
      <c r="G174" s="42">
        <v>711807616</v>
      </c>
      <c r="H174" s="42">
        <v>724873476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f>IFERROR(VLOOKUP(A174,'Trans 21-23'!$A$2:$J$229,10,0),0)</f>
        <v>334213</v>
      </c>
      <c r="Y174" s="42">
        <v>0</v>
      </c>
      <c r="Z174" s="42">
        <v>0</v>
      </c>
      <c r="AA174" s="42">
        <v>0</v>
      </c>
      <c r="AB174" s="42">
        <v>0</v>
      </c>
      <c r="AC174" s="42">
        <v>0</v>
      </c>
      <c r="AD174" s="42">
        <v>149756580</v>
      </c>
      <c r="AE174" s="42">
        <v>0</v>
      </c>
      <c r="AF174" s="42">
        <v>1851853122</v>
      </c>
      <c r="AG174" s="42">
        <v>21</v>
      </c>
      <c r="AH174" s="42">
        <v>214764</v>
      </c>
      <c r="AI174" s="42">
        <v>38378290</v>
      </c>
      <c r="AJ174" s="42">
        <v>0</v>
      </c>
      <c r="AK174" s="42">
        <v>0</v>
      </c>
      <c r="AL174" s="42">
        <v>0</v>
      </c>
      <c r="AM174" s="42">
        <v>0</v>
      </c>
      <c r="AN174" s="42">
        <v>950023</v>
      </c>
      <c r="AO174" s="42">
        <v>0</v>
      </c>
      <c r="AP174" s="42">
        <v>0</v>
      </c>
      <c r="AQ174" s="42">
        <v>950023</v>
      </c>
      <c r="AR174" s="42">
        <v>37213503</v>
      </c>
      <c r="AS174" s="42">
        <v>38163526</v>
      </c>
      <c r="AT174" s="42">
        <v>0</v>
      </c>
      <c r="AU174" s="42">
        <v>4385</v>
      </c>
      <c r="AV174" s="42">
        <v>0</v>
      </c>
      <c r="AW174" s="42">
        <v>0</v>
      </c>
      <c r="AX174" s="42">
        <v>0</v>
      </c>
      <c r="AY174" s="42">
        <v>0</v>
      </c>
      <c r="AZ174" s="42">
        <v>0</v>
      </c>
      <c r="BA174" s="42">
        <v>0</v>
      </c>
      <c r="BB174" s="42">
        <v>0</v>
      </c>
      <c r="BC174" s="42">
        <v>7475456939</v>
      </c>
      <c r="BD174" s="42">
        <v>311137732</v>
      </c>
      <c r="BE174" s="42">
        <v>0</v>
      </c>
      <c r="BF174" s="42">
        <v>0</v>
      </c>
      <c r="BG174" s="42">
        <v>0</v>
      </c>
      <c r="BH174" s="42">
        <v>0</v>
      </c>
      <c r="BI174" s="42">
        <v>0</v>
      </c>
      <c r="BJ174" s="42">
        <v>0</v>
      </c>
      <c r="BK174" s="42">
        <v>0</v>
      </c>
      <c r="BL174" s="42">
        <v>0</v>
      </c>
      <c r="BM174" s="42">
        <v>54593455</v>
      </c>
      <c r="BN174" s="42">
        <v>117816674</v>
      </c>
      <c r="BO174" s="42">
        <v>0</v>
      </c>
      <c r="BP174" s="42">
        <v>145365</v>
      </c>
      <c r="BQ174" s="42">
        <v>121483541</v>
      </c>
      <c r="BR174" s="42">
        <v>0</v>
      </c>
      <c r="BS174" s="42">
        <f>IFERROR(VLOOKUP(A174,'Trans 21-23'!$A$2:$J$229,9,0),0)</f>
        <v>32913247</v>
      </c>
      <c r="BT174" s="67"/>
      <c r="BU174" s="32">
        <f t="shared" si="0"/>
        <v>0</v>
      </c>
      <c r="BV174" s="32">
        <f t="shared" si="1"/>
        <v>4385</v>
      </c>
      <c r="BW174" s="32">
        <f t="shared" si="2"/>
        <v>21</v>
      </c>
      <c r="BX174" s="32">
        <f t="shared" si="3"/>
        <v>0</v>
      </c>
      <c r="BY174" s="32">
        <f t="shared" si="4"/>
        <v>0</v>
      </c>
      <c r="BZ174" s="32">
        <f t="shared" si="5"/>
        <v>0</v>
      </c>
      <c r="CA174" s="32">
        <f t="shared" si="6"/>
        <v>149756580</v>
      </c>
      <c r="CB174" s="32">
        <f t="shared" si="7"/>
        <v>214764</v>
      </c>
      <c r="CC174" s="32">
        <f t="shared" si="8"/>
        <v>950023</v>
      </c>
      <c r="CD174" s="41">
        <f t="shared" si="74"/>
        <v>0</v>
      </c>
      <c r="CE174" s="44">
        <f t="shared" si="10"/>
        <v>46</v>
      </c>
      <c r="CF174" s="27"/>
      <c r="CG174" s="28" t="str">
        <f t="shared" si="11"/>
        <v/>
      </c>
      <c r="CH174" s="28" t="str">
        <f t="shared" si="12"/>
        <v/>
      </c>
      <c r="CI174" s="28" t="str">
        <f t="shared" si="13"/>
        <v/>
      </c>
      <c r="CJ174" s="28" t="str">
        <f t="shared" si="14"/>
        <v/>
      </c>
      <c r="CK174" s="23" t="str">
        <f t="shared" si="15"/>
        <v/>
      </c>
      <c r="CL174" s="29" t="str">
        <f t="shared" si="16"/>
        <v/>
      </c>
      <c r="CM174" s="29" t="str">
        <f t="shared" si="17"/>
        <v/>
      </c>
      <c r="CN174" s="29" t="str">
        <f t="shared" si="18"/>
        <v/>
      </c>
      <c r="CO174" s="29" t="str">
        <f t="shared" si="19"/>
        <v/>
      </c>
      <c r="CP174" s="29" t="str">
        <f t="shared" si="20"/>
        <v/>
      </c>
      <c r="CQ174" s="29" t="str">
        <f t="shared" si="21"/>
        <v/>
      </c>
      <c r="CR174" s="13"/>
      <c r="CS174" s="7" t="str">
        <f>VLOOKUP(A174,'Empresas 21-23'!$A$2:$M$228,13,0)</f>
        <v/>
      </c>
      <c r="CT174" s="30"/>
      <c r="CU174" s="6">
        <f t="shared" si="22"/>
        <v>32913247</v>
      </c>
      <c r="CV174" s="6">
        <f t="shared" si="23"/>
        <v>0</v>
      </c>
      <c r="CW174" s="6">
        <f t="shared" si="24"/>
        <v>311137732</v>
      </c>
      <c r="CX174" s="23">
        <f t="shared" si="84"/>
        <v>4.5940508859294883E-3</v>
      </c>
      <c r="CY174" s="23">
        <f t="shared" si="85"/>
        <v>0</v>
      </c>
      <c r="CZ174" s="6">
        <f t="shared" si="27"/>
        <v>34342629.573340692</v>
      </c>
      <c r="DA174" s="6">
        <f t="shared" si="28"/>
        <v>0</v>
      </c>
      <c r="DB174" s="6">
        <f t="shared" si="29"/>
        <v>0</v>
      </c>
      <c r="DC174" s="6">
        <f t="shared" si="30"/>
        <v>334213</v>
      </c>
      <c r="DD174" s="6">
        <f t="shared" si="31"/>
        <v>0</v>
      </c>
      <c r="DE174" s="6">
        <f t="shared" si="32"/>
        <v>149756580</v>
      </c>
      <c r="DF174" s="6">
        <f t="shared" si="86"/>
        <v>80340.445062242899</v>
      </c>
      <c r="DG174" s="30"/>
      <c r="DH174" s="32" t="str">
        <f>VLOOKUP(A174,'T_med_comp-USA'!$A$7:$Q$233,17,0)</f>
        <v>-</v>
      </c>
      <c r="DI174" s="6" t="str">
        <f t="shared" si="34"/>
        <v/>
      </c>
      <c r="DJ174" s="32" t="str">
        <f>IF(DI174="","",VLOOKUP(DI174,'CPI USA'!$T:$U,2,FALSE))</f>
        <v/>
      </c>
      <c r="DK174" s="32" t="str">
        <f>IF(DI174="","",VLOOKUP(DI174,'PPI USA'!$S:$T,2,FALSE))</f>
        <v/>
      </c>
      <c r="DL174" s="32" t="str">
        <f>IF(DI174="","",VLOOKUP(DI174,'CPI USA'!$T:$V,3,FALSE))</f>
        <v/>
      </c>
      <c r="DM174" s="32" t="str">
        <f>IF(DI174="","",VLOOKUP(DI174,'CPI USA'!$T:$X,5,FALSE))</f>
        <v/>
      </c>
      <c r="DN174" s="32" t="str">
        <f t="shared" si="35"/>
        <v/>
      </c>
      <c r="DO174" s="32" t="str">
        <f t="shared" si="36"/>
        <v/>
      </c>
      <c r="DP174" s="32" t="str">
        <f t="shared" si="37"/>
        <v/>
      </c>
      <c r="DQ174" s="32" t="str">
        <f>IF(DP174="","",DP174*$DO$1/'CPI USA'!$U$532+(1-DP174)*AVERAGE($DO$1,$DQ$1)/AVERAGE('CPI USA'!$U$532,'PPI USA'!$T$538))</f>
        <v/>
      </c>
      <c r="DR174" s="6">
        <f t="shared" si="38"/>
        <v>0</v>
      </c>
      <c r="DS174" s="32" t="str">
        <f t="shared" si="39"/>
        <v/>
      </c>
      <c r="DT174" s="28" t="str">
        <f>IF(DS174="","",DS174*$DO$1/'CPI USA'!$U$532+(1-DS174)*AVERAGE($DO$1,$DQ$1)/AVERAGE('CPI USA'!$U$532,'PPI USA'!$T$538))</f>
        <v/>
      </c>
      <c r="DU174" s="6" t="str">
        <f t="shared" si="40"/>
        <v/>
      </c>
      <c r="DV174" s="6">
        <f t="shared" si="87"/>
        <v>65403.798274295805</v>
      </c>
      <c r="DW174" s="6">
        <f t="shared" si="42"/>
        <v>0</v>
      </c>
      <c r="DX174" s="16" t="str">
        <f t="shared" si="43"/>
        <v/>
      </c>
      <c r="DY174" s="28" t="str">
        <f>IF(DX174="","",DX174*$DO$1/'CPI USA'!$U$532+(1-DX174)*AVERAGE($DO$1,$DQ$1)/AVERAGE('CPI USA'!$U$532,'PPI USA'!$T$538))</f>
        <v/>
      </c>
      <c r="DZ174" s="30"/>
      <c r="EA174" s="29" t="str">
        <f t="shared" si="44"/>
        <v>C003849</v>
      </c>
      <c r="EB174" s="29" t="str">
        <f t="shared" si="45"/>
        <v/>
      </c>
      <c r="EC174" s="29" t="str">
        <f t="shared" si="46"/>
        <v/>
      </c>
      <c r="ED174" s="29" t="str">
        <f t="shared" si="47"/>
        <v/>
      </c>
      <c r="EE174" s="29" t="str">
        <f t="shared" si="48"/>
        <v/>
      </c>
      <c r="EF174" s="29" t="str">
        <f t="shared" si="49"/>
        <v/>
      </c>
      <c r="EG174" s="29" t="str">
        <f t="shared" si="50"/>
        <v/>
      </c>
      <c r="EH174" s="29" t="str">
        <f t="shared" si="51"/>
        <v/>
      </c>
      <c r="EI174" s="29" t="str">
        <f t="shared" si="52"/>
        <v/>
      </c>
      <c r="EJ174" s="29" t="str">
        <f t="shared" si="53"/>
        <v/>
      </c>
      <c r="EK174" s="29" t="str">
        <f t="shared" si="54"/>
        <v/>
      </c>
      <c r="EL174" s="29" t="str">
        <f>IF(CD174=1,VLOOKUP(EA174,'EIA 2023'!$A$2:$J$213,4,0)*EH174,"")</f>
        <v/>
      </c>
      <c r="EM174" s="29" t="str">
        <f>IF(CD174=1,VLOOKUP(EA174,'EIA 2023'!$A$2:$J$213,7,0)*EH174,"")</f>
        <v/>
      </c>
      <c r="EN174" s="29" t="str">
        <f>IF(CD174=1,VLOOKUP(EA174,'EIA 2023'!$A$2:$J$213,10,0),"")</f>
        <v/>
      </c>
      <c r="EO174" s="28" t="str">
        <f>IF(CD174=1,VLOOKUP(EA174,'EIA 2023'!$A$2:$Z$213,26,0),"")</f>
        <v/>
      </c>
      <c r="EP174" s="23" t="str">
        <f t="shared" si="55"/>
        <v/>
      </c>
      <c r="EQ174" s="32" t="str">
        <f t="shared" si="56"/>
        <v/>
      </c>
      <c r="ER174" s="32" t="str">
        <f t="shared" si="57"/>
        <v/>
      </c>
      <c r="ES174" s="32"/>
      <c r="ET174" s="32"/>
    </row>
    <row r="175" spans="1:150" ht="15.75" customHeight="1">
      <c r="A175" s="7" t="s">
        <v>739</v>
      </c>
      <c r="B175" s="7" t="s">
        <v>740</v>
      </c>
      <c r="C175" s="32" t="s">
        <v>1260</v>
      </c>
      <c r="D175" s="42">
        <v>129973420</v>
      </c>
      <c r="E175" s="42">
        <v>30936490</v>
      </c>
      <c r="F175" s="42">
        <v>3780</v>
      </c>
      <c r="G175" s="42">
        <v>38089595</v>
      </c>
      <c r="H175" s="42">
        <v>45262078</v>
      </c>
      <c r="I175" s="42">
        <v>813097</v>
      </c>
      <c r="J175" s="42">
        <v>150652</v>
      </c>
      <c r="K175" s="42">
        <v>2656171</v>
      </c>
      <c r="L175" s="42">
        <v>3349873</v>
      </c>
      <c r="M175" s="42">
        <v>456300</v>
      </c>
      <c r="N175" s="42">
        <v>29280</v>
      </c>
      <c r="O175" s="42">
        <v>2531361</v>
      </c>
      <c r="P175" s="42">
        <v>66459</v>
      </c>
      <c r="Q175" s="42">
        <v>148636</v>
      </c>
      <c r="R175" s="42">
        <v>88</v>
      </c>
      <c r="S175" s="42">
        <v>1529159</v>
      </c>
      <c r="T175" s="42">
        <v>16218355</v>
      </c>
      <c r="U175" s="42">
        <v>1607092</v>
      </c>
      <c r="V175" s="42">
        <v>160649</v>
      </c>
      <c r="W175" s="42">
        <v>4672662</v>
      </c>
      <c r="X175" s="42">
        <f>IFERROR(VLOOKUP(A175,'Trans 21-23'!$A$2:$J$229,10,0),0)</f>
        <v>0</v>
      </c>
      <c r="Y175" s="42">
        <v>989154</v>
      </c>
      <c r="Z175" s="42">
        <v>234138</v>
      </c>
      <c r="AA175" s="42">
        <v>19333586</v>
      </c>
      <c r="AB175" s="42">
        <v>1670488</v>
      </c>
      <c r="AC175" s="42">
        <v>697364</v>
      </c>
      <c r="AD175" s="42">
        <v>83287738</v>
      </c>
      <c r="AE175" s="42">
        <v>0</v>
      </c>
      <c r="AF175" s="42">
        <v>599995929</v>
      </c>
      <c r="AG175" s="42">
        <v>342910</v>
      </c>
      <c r="AH175" s="42">
        <v>1028142</v>
      </c>
      <c r="AI175" s="42">
        <v>10786185</v>
      </c>
      <c r="AJ175" s="42">
        <v>5623</v>
      </c>
      <c r="AK175" s="42">
        <v>0</v>
      </c>
      <c r="AL175" s="42">
        <v>3161889</v>
      </c>
      <c r="AM175" s="42">
        <v>3119812</v>
      </c>
      <c r="AN175" s="42">
        <v>3383914</v>
      </c>
      <c r="AO175" s="42">
        <v>16713</v>
      </c>
      <c r="AP175" s="42">
        <v>0</v>
      </c>
      <c r="AQ175" s="42">
        <v>9682328</v>
      </c>
      <c r="AR175" s="42">
        <v>2126376</v>
      </c>
      <c r="AS175" s="42">
        <v>11808704</v>
      </c>
      <c r="AT175" s="42">
        <v>0</v>
      </c>
      <c r="AU175" s="42">
        <v>2397</v>
      </c>
      <c r="AV175" s="42">
        <v>0</v>
      </c>
      <c r="AW175" s="42">
        <v>218108709</v>
      </c>
      <c r="AX175" s="42">
        <v>70268932</v>
      </c>
      <c r="AY175" s="42">
        <v>198519270</v>
      </c>
      <c r="AZ175" s="42">
        <v>90839857</v>
      </c>
      <c r="BA175" s="42">
        <v>45987673</v>
      </c>
      <c r="BB175" s="42">
        <v>1606079903</v>
      </c>
      <c r="BC175" s="42">
        <v>7520469097</v>
      </c>
      <c r="BD175" s="42">
        <v>209220741</v>
      </c>
      <c r="BE175" s="42">
        <v>378625141</v>
      </c>
      <c r="BF175" s="42">
        <v>38195909</v>
      </c>
      <c r="BG175" s="42">
        <v>0</v>
      </c>
      <c r="BH175" s="42">
        <v>4149249</v>
      </c>
      <c r="BI175" s="42">
        <v>4570635</v>
      </c>
      <c r="BJ175" s="42">
        <v>658989</v>
      </c>
      <c r="BK175" s="42">
        <v>670662</v>
      </c>
      <c r="BL175" s="42">
        <v>0</v>
      </c>
      <c r="BM175" s="42">
        <v>17187090</v>
      </c>
      <c r="BN175" s="42">
        <v>80688051</v>
      </c>
      <c r="BO175" s="42">
        <v>4312461</v>
      </c>
      <c r="BP175" s="42">
        <v>494804</v>
      </c>
      <c r="BQ175" s="42">
        <v>105483041</v>
      </c>
      <c r="BR175" s="42">
        <v>0</v>
      </c>
      <c r="BS175" s="42">
        <f>IFERROR(VLOOKUP(A175,'Trans 21-23'!$A$2:$J$229,9,0),0)</f>
        <v>0</v>
      </c>
      <c r="BT175" s="67"/>
      <c r="BU175" s="32">
        <f t="shared" si="0"/>
        <v>1606079903</v>
      </c>
      <c r="BV175" s="32">
        <f t="shared" si="1"/>
        <v>2397</v>
      </c>
      <c r="BW175" s="32">
        <f t="shared" si="2"/>
        <v>342910</v>
      </c>
      <c r="BX175" s="32">
        <f t="shared" si="3"/>
        <v>34389834</v>
      </c>
      <c r="BY175" s="32">
        <f t="shared" si="4"/>
        <v>22924730</v>
      </c>
      <c r="BZ175" s="32">
        <f t="shared" si="5"/>
        <v>90839857</v>
      </c>
      <c r="CA175" s="32">
        <f t="shared" si="6"/>
        <v>83287738</v>
      </c>
      <c r="CB175" s="32">
        <f t="shared" si="7"/>
        <v>1028142</v>
      </c>
      <c r="CC175" s="32">
        <f t="shared" si="8"/>
        <v>9682328</v>
      </c>
      <c r="CD175" s="41">
        <f t="shared" si="74"/>
        <v>1</v>
      </c>
      <c r="CE175" s="44">
        <f t="shared" si="10"/>
        <v>10</v>
      </c>
      <c r="CF175" s="27"/>
      <c r="CG175" s="28">
        <f t="shared" si="11"/>
        <v>670.0375064664164</v>
      </c>
      <c r="CH175" s="28">
        <f t="shared" si="12"/>
        <v>6.990172348429617</v>
      </c>
      <c r="CI175" s="28">
        <f t="shared" si="13"/>
        <v>100.28822139920095</v>
      </c>
      <c r="CJ175" s="28">
        <f t="shared" si="14"/>
        <v>264.90874281881543</v>
      </c>
      <c r="CK175" s="23">
        <f t="shared" si="15"/>
        <v>0.10618747887904645</v>
      </c>
      <c r="CL175" s="29" t="str">
        <f t="shared" si="16"/>
        <v/>
      </c>
      <c r="CM175" s="29" t="str">
        <f t="shared" si="17"/>
        <v/>
      </c>
      <c r="CN175" s="29" t="str">
        <f t="shared" si="18"/>
        <v/>
      </c>
      <c r="CO175" s="29" t="str">
        <f t="shared" si="19"/>
        <v/>
      </c>
      <c r="CP175" s="29" t="str">
        <f t="shared" si="20"/>
        <v/>
      </c>
      <c r="CQ175" s="29">
        <f t="shared" si="21"/>
        <v>0</v>
      </c>
      <c r="CR175" s="13"/>
      <c r="CS175" s="7">
        <f>VLOOKUP(A175,'Empresas 21-23'!$A$2:$M$228,13,0)</f>
        <v>1</v>
      </c>
      <c r="CT175" s="30"/>
      <c r="CU175" s="6">
        <f t="shared" si="22"/>
        <v>1307979451.8</v>
      </c>
      <c r="CV175" s="6">
        <f t="shared" si="23"/>
        <v>90839857</v>
      </c>
      <c r="CW175" s="6">
        <f t="shared" si="24"/>
        <v>209220741</v>
      </c>
      <c r="CX175" s="23">
        <f t="shared" si="84"/>
        <v>0.17889960621110651</v>
      </c>
      <c r="CY175" s="23">
        <f t="shared" si="85"/>
        <v>1.2424671215750997E-2</v>
      </c>
      <c r="CZ175" s="6">
        <f t="shared" si="27"/>
        <v>1345408959.9760959</v>
      </c>
      <c r="DA175" s="6">
        <f t="shared" si="28"/>
        <v>93439355.918440789</v>
      </c>
      <c r="DB175" s="6">
        <f t="shared" si="29"/>
        <v>34389834</v>
      </c>
      <c r="DC175" s="6">
        <f t="shared" si="30"/>
        <v>34389834</v>
      </c>
      <c r="DD175" s="6">
        <f t="shared" si="31"/>
        <v>22924730</v>
      </c>
      <c r="DE175" s="6">
        <f t="shared" si="32"/>
        <v>83287738</v>
      </c>
      <c r="DF175" s="6">
        <f t="shared" si="86"/>
        <v>15372309.093843743</v>
      </c>
      <c r="DG175" s="30"/>
      <c r="DH175" s="32">
        <f>VLOOKUP(A175,'T_med_comp-USA'!$A$7:$Q$233,17,0)</f>
        <v>10.120551736946226</v>
      </c>
      <c r="DI175" s="6" t="str">
        <f t="shared" si="34"/>
        <v>11_2013</v>
      </c>
      <c r="DJ175" s="32">
        <f>IF(DI175="","",VLOOKUP(DI175,'CPI USA'!$T:$U,2,FALSE))</f>
        <v>233.06899999999999</v>
      </c>
      <c r="DK175" s="32">
        <f>IF(DI175="","",VLOOKUP(DI175,'PPI USA'!$S:$T,2,FALSE))</f>
        <v>166</v>
      </c>
      <c r="DL175" s="32">
        <f>IF(DI175="","",VLOOKUP(DI175,'CPI USA'!$T:$V,3,FALSE))</f>
        <v>0.67305131835944076</v>
      </c>
      <c r="DM175" s="32">
        <f>IF(DI175="","",VLOOKUP(DI175,'CPI USA'!$T:$X,5,FALSE))</f>
        <v>0.50163050295255052</v>
      </c>
      <c r="DN175" s="32">
        <f t="shared" si="35"/>
        <v>1.3822908196671626</v>
      </c>
      <c r="DO175" s="32">
        <f t="shared" si="36"/>
        <v>1.400274192630873</v>
      </c>
      <c r="DP175" s="32">
        <f t="shared" si="37"/>
        <v>0.2</v>
      </c>
      <c r="DQ175" s="32">
        <f>IF(DP175="","",DP175*$DO$1/'CPI USA'!$U$532+(1-DP175)*AVERAGE($DO$1,$DQ$1)/AVERAGE('CPI USA'!$U$532,'PPI USA'!$T$538))</f>
        <v>1.0426818386380585</v>
      </c>
      <c r="DR175" s="6">
        <f t="shared" si="38"/>
        <v>5900286</v>
      </c>
      <c r="DS175" s="32">
        <f t="shared" si="39"/>
        <v>0.27113223268488973</v>
      </c>
      <c r="DT175" s="28">
        <f>IF(DS175="","",DS175*$DO$1/'CPI USA'!$U$532+(1-DS175)*AVERAGE($DO$1,$DQ$1)/AVERAGE('CPI USA'!$U$532,'PPI USA'!$T$538))</f>
        <v>1.0410401863829557</v>
      </c>
      <c r="DU175" s="6">
        <f t="shared" si="40"/>
        <v>18105672.793981355</v>
      </c>
      <c r="DV175" s="6">
        <f t="shared" si="87"/>
        <v>81001.84481010001</v>
      </c>
      <c r="DW175" s="6">
        <f t="shared" si="42"/>
        <v>2265113.8681754386</v>
      </c>
      <c r="DX175" s="16">
        <f t="shared" si="43"/>
        <v>0.2</v>
      </c>
      <c r="DY175" s="28">
        <f>IF(DX175="","",DX175*$DO$1/'CPI USA'!$U$532+(1-DX175)*AVERAGE($DO$1,$DQ$1)/AVERAGE('CPI USA'!$U$532,'PPI USA'!$T$538))</f>
        <v>1.0426818386380585</v>
      </c>
      <c r="DZ175" s="30"/>
      <c r="EA175" s="29" t="str">
        <f t="shared" si="44"/>
        <v>C004044</v>
      </c>
      <c r="EB175" s="29">
        <f t="shared" si="45"/>
        <v>1859746454.0729024</v>
      </c>
      <c r="EC175" s="29">
        <f t="shared" si="46"/>
        <v>130840718.66864346</v>
      </c>
      <c r="ED175" s="29">
        <f t="shared" si="47"/>
        <v>35857655.34557762</v>
      </c>
      <c r="EE175" s="29">
        <f t="shared" si="48"/>
        <v>23865565.191978935</v>
      </c>
      <c r="EF175" s="29">
        <f t="shared" si="49"/>
        <v>16028427.510081541</v>
      </c>
      <c r="EG175" s="29">
        <f t="shared" si="50"/>
        <v>2397</v>
      </c>
      <c r="EH175" s="29">
        <f t="shared" si="51"/>
        <v>342910</v>
      </c>
      <c r="EI175" s="29">
        <f t="shared" si="52"/>
        <v>1028142</v>
      </c>
      <c r="EJ175" s="29">
        <f t="shared" si="53"/>
        <v>9682328</v>
      </c>
      <c r="EK175" s="29">
        <f t="shared" si="54"/>
        <v>10678088.639593909</v>
      </c>
      <c r="EL175" s="29">
        <f>IF(CD175=1,VLOOKUP(EA175,'EIA 2023'!$A$2:$J$213,4,0)*EH175,"")</f>
        <v>28945033.099999998</v>
      </c>
      <c r="EM175" s="29">
        <f>IF(CD175=1,VLOOKUP(EA175,'EIA 2023'!$A$2:$J$213,7,0)*EH175,"")</f>
        <v>368285.34</v>
      </c>
      <c r="EN175" s="29">
        <f>IF(CD175=1,VLOOKUP(EA175,'EIA 2023'!$A$2:$J$213,10,0),"")</f>
        <v>357443</v>
      </c>
      <c r="EO175" s="28">
        <f>IF(CD175=1,VLOOKUP(EA175,'EIA 2023'!$A$2:$Z$213,26,0),"")</f>
        <v>0</v>
      </c>
      <c r="EP175" s="23">
        <f t="shared" si="55"/>
        <v>9.3252704037468798E-2</v>
      </c>
      <c r="EQ175" s="32">
        <f t="shared" si="56"/>
        <v>32381.360406091437</v>
      </c>
      <c r="ER175" s="32">
        <f t="shared" si="57"/>
        <v>995760.63959390856</v>
      </c>
      <c r="ES175" s="32"/>
      <c r="ET175" s="32"/>
    </row>
    <row r="176" spans="1:150" ht="15.75" customHeight="1">
      <c r="A176" s="7" t="s">
        <v>1048</v>
      </c>
      <c r="B176" s="7" t="s">
        <v>1049</v>
      </c>
      <c r="C176" s="32" t="s">
        <v>1261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f>IFERROR(VLOOKUP(A176,'Trans 21-23'!$A$2:$J$229,10,0),0)</f>
        <v>0</v>
      </c>
      <c r="Y176" s="42">
        <v>0</v>
      </c>
      <c r="Z176" s="42">
        <v>0</v>
      </c>
      <c r="AA176" s="42">
        <v>0</v>
      </c>
      <c r="AB176" s="42">
        <v>0</v>
      </c>
      <c r="AC176" s="42">
        <v>0</v>
      </c>
      <c r="AD176" s="42">
        <v>85847</v>
      </c>
      <c r="AE176" s="42">
        <v>0</v>
      </c>
      <c r="AF176" s="42">
        <v>247991</v>
      </c>
      <c r="AG176" s="42">
        <v>0</v>
      </c>
      <c r="AH176" s="42">
        <v>0</v>
      </c>
      <c r="AI176" s="42">
        <v>0</v>
      </c>
      <c r="AJ176" s="42">
        <v>0</v>
      </c>
      <c r="AK176" s="42">
        <v>0</v>
      </c>
      <c r="AL176" s="42">
        <v>0</v>
      </c>
      <c r="AM176" s="42">
        <v>0</v>
      </c>
      <c r="AN176" s="42">
        <v>0</v>
      </c>
      <c r="AO176" s="42">
        <v>0</v>
      </c>
      <c r="AP176" s="42">
        <v>0</v>
      </c>
      <c r="AQ176" s="42">
        <v>0</v>
      </c>
      <c r="AR176" s="42">
        <v>0</v>
      </c>
      <c r="AS176" s="42">
        <v>0</v>
      </c>
      <c r="AT176" s="42">
        <v>0</v>
      </c>
      <c r="AU176" s="42">
        <v>0</v>
      </c>
      <c r="AV176" s="42">
        <v>0</v>
      </c>
      <c r="AW176" s="42">
        <v>0</v>
      </c>
      <c r="AX176" s="42">
        <v>0</v>
      </c>
      <c r="AY176" s="42">
        <v>0</v>
      </c>
      <c r="AZ176" s="42">
        <v>0</v>
      </c>
      <c r="BA176" s="42">
        <v>0</v>
      </c>
      <c r="BB176" s="42">
        <v>0</v>
      </c>
      <c r="BC176" s="42">
        <v>67174</v>
      </c>
      <c r="BD176" s="42">
        <v>0</v>
      </c>
      <c r="BE176" s="42">
        <v>0</v>
      </c>
      <c r="BF176" s="42">
        <v>0</v>
      </c>
      <c r="BG176" s="42">
        <v>0</v>
      </c>
      <c r="BH176" s="42">
        <v>0</v>
      </c>
      <c r="BI176" s="42">
        <v>0</v>
      </c>
      <c r="BJ176" s="42">
        <v>0</v>
      </c>
      <c r="BK176" s="42">
        <v>0</v>
      </c>
      <c r="BL176" s="42">
        <v>0</v>
      </c>
      <c r="BM176" s="42">
        <v>0</v>
      </c>
      <c r="BN176" s="42">
        <v>0</v>
      </c>
      <c r="BO176" s="42">
        <v>0</v>
      </c>
      <c r="BP176" s="42">
        <v>0</v>
      </c>
      <c r="BQ176" s="42">
        <v>0</v>
      </c>
      <c r="BR176" s="42">
        <v>0</v>
      </c>
      <c r="BS176" s="42">
        <f>IFERROR(VLOOKUP(A176,'Trans 21-23'!$A$2:$J$229,9,0),0)</f>
        <v>0</v>
      </c>
      <c r="BT176" s="67"/>
      <c r="BU176" s="32">
        <f t="shared" si="0"/>
        <v>0</v>
      </c>
      <c r="BV176" s="32">
        <f t="shared" si="1"/>
        <v>0</v>
      </c>
      <c r="BW176" s="32">
        <f t="shared" si="2"/>
        <v>0</v>
      </c>
      <c r="BX176" s="32">
        <f t="shared" si="3"/>
        <v>0</v>
      </c>
      <c r="BY176" s="32">
        <f t="shared" si="4"/>
        <v>0</v>
      </c>
      <c r="BZ176" s="32">
        <f t="shared" si="5"/>
        <v>0</v>
      </c>
      <c r="CA176" s="32">
        <f t="shared" si="6"/>
        <v>85847</v>
      </c>
      <c r="CB176" s="32">
        <f t="shared" si="7"/>
        <v>0</v>
      </c>
      <c r="CC176" s="32">
        <f t="shared" si="8"/>
        <v>0</v>
      </c>
      <c r="CD176" s="41">
        <f t="shared" si="74"/>
        <v>0</v>
      </c>
      <c r="CE176" s="44">
        <f t="shared" si="10"/>
        <v>65</v>
      </c>
      <c r="CF176" s="27"/>
      <c r="CG176" s="28" t="str">
        <f t="shared" si="11"/>
        <v/>
      </c>
      <c r="CH176" s="28" t="str">
        <f t="shared" si="12"/>
        <v/>
      </c>
      <c r="CI176" s="28" t="str">
        <f t="shared" si="13"/>
        <v/>
      </c>
      <c r="CJ176" s="28" t="str">
        <f t="shared" si="14"/>
        <v/>
      </c>
      <c r="CK176" s="23" t="str">
        <f t="shared" si="15"/>
        <v/>
      </c>
      <c r="CL176" s="29" t="str">
        <f t="shared" si="16"/>
        <v/>
      </c>
      <c r="CM176" s="29" t="str">
        <f t="shared" si="17"/>
        <v/>
      </c>
      <c r="CN176" s="29" t="str">
        <f t="shared" si="18"/>
        <v/>
      </c>
      <c r="CO176" s="29" t="str">
        <f t="shared" si="19"/>
        <v/>
      </c>
      <c r="CP176" s="29" t="str">
        <f t="shared" si="20"/>
        <v/>
      </c>
      <c r="CQ176" s="29" t="str">
        <f t="shared" si="21"/>
        <v/>
      </c>
      <c r="CR176" s="13"/>
      <c r="CS176" s="7" t="str">
        <f>VLOOKUP(A176,'Empresas 21-23'!$A$2:$M$228,13,0)</f>
        <v/>
      </c>
      <c r="CT176" s="30"/>
      <c r="CU176" s="6">
        <f t="shared" si="22"/>
        <v>0</v>
      </c>
      <c r="CV176" s="6">
        <f t="shared" si="23"/>
        <v>0</v>
      </c>
      <c r="CW176" s="6">
        <f t="shared" si="24"/>
        <v>0</v>
      </c>
      <c r="CX176" s="23">
        <f t="shared" si="84"/>
        <v>0</v>
      </c>
      <c r="CY176" s="23">
        <f t="shared" si="85"/>
        <v>0</v>
      </c>
      <c r="CZ176" s="6">
        <f t="shared" si="27"/>
        <v>0</v>
      </c>
      <c r="DA176" s="6">
        <f t="shared" si="28"/>
        <v>0</v>
      </c>
      <c r="DB176" s="6">
        <f t="shared" si="29"/>
        <v>0</v>
      </c>
      <c r="DC176" s="6">
        <f t="shared" si="30"/>
        <v>0</v>
      </c>
      <c r="DD176" s="6">
        <f t="shared" si="31"/>
        <v>0</v>
      </c>
      <c r="DE176" s="6">
        <f t="shared" si="32"/>
        <v>85847</v>
      </c>
      <c r="DF176" s="6">
        <f t="shared" si="86"/>
        <v>0</v>
      </c>
      <c r="DG176" s="30"/>
      <c r="DH176" s="32" t="str">
        <f>VLOOKUP(A176,'T_med_comp-USA'!$A$7:$Q$233,17,0)</f>
        <v>-</v>
      </c>
      <c r="DI176" s="6" t="str">
        <f t="shared" si="34"/>
        <v/>
      </c>
      <c r="DJ176" s="32" t="str">
        <f>IF(DI176="","",VLOOKUP(DI176,'CPI USA'!$T:$U,2,FALSE))</f>
        <v/>
      </c>
      <c r="DK176" s="32" t="str">
        <f>IF(DI176="","",VLOOKUP(DI176,'PPI USA'!$S:$T,2,FALSE))</f>
        <v/>
      </c>
      <c r="DL176" s="32" t="str">
        <f>IF(DI176="","",VLOOKUP(DI176,'CPI USA'!$T:$V,3,FALSE))</f>
        <v/>
      </c>
      <c r="DM176" s="32" t="str">
        <f>IF(DI176="","",VLOOKUP(DI176,'CPI USA'!$T:$X,5,FALSE))</f>
        <v/>
      </c>
      <c r="DN176" s="32" t="str">
        <f t="shared" si="35"/>
        <v/>
      </c>
      <c r="DO176" s="32" t="str">
        <f t="shared" si="36"/>
        <v/>
      </c>
      <c r="DP176" s="32" t="str">
        <f t="shared" si="37"/>
        <v/>
      </c>
      <c r="DQ176" s="32" t="str">
        <f>IF(DP176="","",DP176*$DO$1/'CPI USA'!$U$532+(1-DP176)*AVERAGE($DO$1,$DQ$1)/AVERAGE('CPI USA'!$U$532,'PPI USA'!$T$538))</f>
        <v/>
      </c>
      <c r="DR176" s="6">
        <f t="shared" si="38"/>
        <v>0</v>
      </c>
      <c r="DS176" s="32" t="str">
        <f t="shared" si="39"/>
        <v/>
      </c>
      <c r="DT176" s="28" t="str">
        <f>IF(DS176="","",DS176*$DO$1/'CPI USA'!$U$532+(1-DS176)*AVERAGE($DO$1,$DQ$1)/AVERAGE('CPI USA'!$U$532,'PPI USA'!$T$538))</f>
        <v/>
      </c>
      <c r="DU176" s="6" t="str">
        <f t="shared" si="40"/>
        <v/>
      </c>
      <c r="DV176" s="6" t="str">
        <f t="shared" si="87"/>
        <v/>
      </c>
      <c r="DW176" s="6">
        <f t="shared" si="42"/>
        <v>0</v>
      </c>
      <c r="DX176" s="16" t="str">
        <f t="shared" si="43"/>
        <v/>
      </c>
      <c r="DY176" s="28" t="str">
        <f>IF(DX176="","",DX176*$DO$1/'CPI USA'!$U$532+(1-DX176)*AVERAGE($DO$1,$DQ$1)/AVERAGE('CPI USA'!$U$532,'PPI USA'!$T$538))</f>
        <v/>
      </c>
      <c r="DZ176" s="30"/>
      <c r="EA176" s="29" t="str">
        <f t="shared" si="44"/>
        <v>C004679</v>
      </c>
      <c r="EB176" s="29" t="str">
        <f t="shared" si="45"/>
        <v/>
      </c>
      <c r="EC176" s="29" t="str">
        <f t="shared" si="46"/>
        <v/>
      </c>
      <c r="ED176" s="29" t="str">
        <f t="shared" si="47"/>
        <v/>
      </c>
      <c r="EE176" s="29" t="str">
        <f t="shared" si="48"/>
        <v/>
      </c>
      <c r="EF176" s="29" t="str">
        <f t="shared" si="49"/>
        <v/>
      </c>
      <c r="EG176" s="29" t="str">
        <f t="shared" si="50"/>
        <v/>
      </c>
      <c r="EH176" s="29" t="str">
        <f t="shared" si="51"/>
        <v/>
      </c>
      <c r="EI176" s="29" t="str">
        <f t="shared" si="52"/>
        <v/>
      </c>
      <c r="EJ176" s="29" t="str">
        <f t="shared" si="53"/>
        <v/>
      </c>
      <c r="EK176" s="29" t="str">
        <f t="shared" si="54"/>
        <v/>
      </c>
      <c r="EL176" s="29" t="str">
        <f>IF(CD176=1,VLOOKUP(EA176,'EIA 2023'!$A$2:$J$213,4,0)*EH176,"")</f>
        <v/>
      </c>
      <c r="EM176" s="29" t="str">
        <f>IF(CD176=1,VLOOKUP(EA176,'EIA 2023'!$A$2:$J$213,7,0)*EH176,"")</f>
        <v/>
      </c>
      <c r="EN176" s="29" t="str">
        <f>IF(CD176=1,VLOOKUP(EA176,'EIA 2023'!$A$2:$J$213,10,0),"")</f>
        <v/>
      </c>
      <c r="EO176" s="28" t="str">
        <f>IF(CD176=1,VLOOKUP(EA176,'EIA 2023'!$A$2:$Z$213,26,0),"")</f>
        <v/>
      </c>
      <c r="EP176" s="23" t="str">
        <f t="shared" si="55"/>
        <v/>
      </c>
      <c r="EQ176" s="32" t="str">
        <f t="shared" si="56"/>
        <v/>
      </c>
      <c r="ER176" s="32" t="str">
        <f t="shared" si="57"/>
        <v/>
      </c>
      <c r="ES176" s="32"/>
      <c r="ET176" s="32"/>
    </row>
    <row r="177" spans="1:150" ht="15.75" customHeight="1">
      <c r="A177" s="7" t="s">
        <v>742</v>
      </c>
      <c r="B177" s="7" t="s">
        <v>743</v>
      </c>
      <c r="C177" s="32" t="s">
        <v>1262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f>IFERROR(VLOOKUP(A177,'Trans 21-23'!$A$2:$J$229,10,0),0)</f>
        <v>0</v>
      </c>
      <c r="Y177" s="42">
        <v>0</v>
      </c>
      <c r="Z177" s="42">
        <v>0</v>
      </c>
      <c r="AA177" s="42">
        <v>0</v>
      </c>
      <c r="AB177" s="42">
        <v>0</v>
      </c>
      <c r="AC177" s="42">
        <v>0</v>
      </c>
      <c r="AD177" s="42">
        <v>237794</v>
      </c>
      <c r="AE177" s="42">
        <v>0</v>
      </c>
      <c r="AF177" s="42">
        <v>384277</v>
      </c>
      <c r="AG177" s="42">
        <v>0</v>
      </c>
      <c r="AH177" s="42">
        <v>0</v>
      </c>
      <c r="AI177" s="42">
        <v>0</v>
      </c>
      <c r="AJ177" s="42">
        <v>0</v>
      </c>
      <c r="AK177" s="42">
        <v>0</v>
      </c>
      <c r="AL177" s="42">
        <v>0</v>
      </c>
      <c r="AM177" s="42">
        <v>0</v>
      </c>
      <c r="AN177" s="42">
        <v>0</v>
      </c>
      <c r="AO177" s="42">
        <v>0</v>
      </c>
      <c r="AP177" s="42">
        <v>0</v>
      </c>
      <c r="AQ177" s="42">
        <v>0</v>
      </c>
      <c r="AR177" s="42">
        <v>0</v>
      </c>
      <c r="AS177" s="42">
        <v>0</v>
      </c>
      <c r="AT177" s="42">
        <v>0</v>
      </c>
      <c r="AU177" s="42">
        <v>0</v>
      </c>
      <c r="AV177" s="42">
        <v>0</v>
      </c>
      <c r="AW177" s="42">
        <v>0</v>
      </c>
      <c r="AX177" s="42">
        <v>0</v>
      </c>
      <c r="AY177" s="42">
        <v>0</v>
      </c>
      <c r="AZ177" s="42">
        <v>0</v>
      </c>
      <c r="BA177" s="42">
        <v>0</v>
      </c>
      <c r="BB177" s="42">
        <v>0</v>
      </c>
      <c r="BC177" s="42">
        <v>85085752</v>
      </c>
      <c r="BD177" s="42">
        <v>0</v>
      </c>
      <c r="BE177" s="42">
        <v>0</v>
      </c>
      <c r="BF177" s="42">
        <v>0</v>
      </c>
      <c r="BG177" s="42">
        <v>0</v>
      </c>
      <c r="BH177" s="42">
        <v>0</v>
      </c>
      <c r="BI177" s="42">
        <v>0</v>
      </c>
      <c r="BJ177" s="42">
        <v>0</v>
      </c>
      <c r="BK177" s="42">
        <v>0</v>
      </c>
      <c r="BL177" s="42">
        <v>0</v>
      </c>
      <c r="BM177" s="42">
        <v>0</v>
      </c>
      <c r="BN177" s="42">
        <v>0</v>
      </c>
      <c r="BO177" s="42">
        <v>0</v>
      </c>
      <c r="BP177" s="42">
        <v>0</v>
      </c>
      <c r="BQ177" s="42">
        <v>0</v>
      </c>
      <c r="BR177" s="42">
        <v>0</v>
      </c>
      <c r="BS177" s="42">
        <f>IFERROR(VLOOKUP(A177,'Trans 21-23'!$A$2:$J$229,9,0),0)</f>
        <v>0</v>
      </c>
      <c r="BT177" s="67"/>
      <c r="BU177" s="32">
        <f t="shared" si="0"/>
        <v>0</v>
      </c>
      <c r="BV177" s="32">
        <f t="shared" si="1"/>
        <v>0</v>
      </c>
      <c r="BW177" s="32">
        <f t="shared" si="2"/>
        <v>0</v>
      </c>
      <c r="BX177" s="32">
        <f t="shared" si="3"/>
        <v>0</v>
      </c>
      <c r="BY177" s="32">
        <f t="shared" si="4"/>
        <v>0</v>
      </c>
      <c r="BZ177" s="32">
        <f t="shared" si="5"/>
        <v>0</v>
      </c>
      <c r="CA177" s="32">
        <f t="shared" si="6"/>
        <v>237794</v>
      </c>
      <c r="CB177" s="32">
        <f t="shared" si="7"/>
        <v>0</v>
      </c>
      <c r="CC177" s="32">
        <f t="shared" si="8"/>
        <v>0</v>
      </c>
      <c r="CD177" s="41">
        <f t="shared" si="74"/>
        <v>0</v>
      </c>
      <c r="CE177" s="44">
        <f t="shared" si="10"/>
        <v>65</v>
      </c>
      <c r="CF177" s="27"/>
      <c r="CG177" s="28" t="str">
        <f t="shared" si="11"/>
        <v/>
      </c>
      <c r="CH177" s="28" t="str">
        <f t="shared" si="12"/>
        <v/>
      </c>
      <c r="CI177" s="28" t="str">
        <f t="shared" si="13"/>
        <v/>
      </c>
      <c r="CJ177" s="28" t="str">
        <f t="shared" si="14"/>
        <v/>
      </c>
      <c r="CK177" s="23" t="str">
        <f t="shared" si="15"/>
        <v/>
      </c>
      <c r="CL177" s="29" t="str">
        <f t="shared" si="16"/>
        <v/>
      </c>
      <c r="CM177" s="29" t="str">
        <f t="shared" si="17"/>
        <v/>
      </c>
      <c r="CN177" s="29" t="str">
        <f t="shared" si="18"/>
        <v/>
      </c>
      <c r="CO177" s="29" t="str">
        <f t="shared" si="19"/>
        <v/>
      </c>
      <c r="CP177" s="29" t="str">
        <f t="shared" si="20"/>
        <v/>
      </c>
      <c r="CQ177" s="29" t="str">
        <f t="shared" si="21"/>
        <v/>
      </c>
      <c r="CR177" s="13"/>
      <c r="CS177" s="7" t="str">
        <f>VLOOKUP(A177,'Empresas 21-23'!$A$2:$M$228,13,0)</f>
        <v/>
      </c>
      <c r="CT177" s="30"/>
      <c r="CU177" s="6">
        <f t="shared" si="22"/>
        <v>0</v>
      </c>
      <c r="CV177" s="6">
        <f t="shared" si="23"/>
        <v>0</v>
      </c>
      <c r="CW177" s="6">
        <f t="shared" si="24"/>
        <v>0</v>
      </c>
      <c r="CX177" s="23">
        <f t="shared" si="84"/>
        <v>0</v>
      </c>
      <c r="CY177" s="23">
        <f t="shared" si="85"/>
        <v>0</v>
      </c>
      <c r="CZ177" s="6">
        <f t="shared" si="27"/>
        <v>0</v>
      </c>
      <c r="DA177" s="6">
        <f t="shared" si="28"/>
        <v>0</v>
      </c>
      <c r="DB177" s="6">
        <f t="shared" si="29"/>
        <v>0</v>
      </c>
      <c r="DC177" s="6">
        <f t="shared" si="30"/>
        <v>0</v>
      </c>
      <c r="DD177" s="6">
        <f t="shared" si="31"/>
        <v>0</v>
      </c>
      <c r="DE177" s="6">
        <f t="shared" si="32"/>
        <v>237794</v>
      </c>
      <c r="DF177" s="6">
        <f t="shared" si="86"/>
        <v>0</v>
      </c>
      <c r="DG177" s="30"/>
      <c r="DH177" s="32" t="str">
        <f>VLOOKUP(A177,'T_med_comp-USA'!$A$7:$Q$233,17,0)</f>
        <v>-</v>
      </c>
      <c r="DI177" s="6" t="str">
        <f t="shared" si="34"/>
        <v/>
      </c>
      <c r="DJ177" s="32" t="str">
        <f>IF(DI177="","",VLOOKUP(DI177,'CPI USA'!$T:$U,2,FALSE))</f>
        <v/>
      </c>
      <c r="DK177" s="32" t="str">
        <f>IF(DI177="","",VLOOKUP(DI177,'PPI USA'!$S:$T,2,FALSE))</f>
        <v/>
      </c>
      <c r="DL177" s="32" t="str">
        <f>IF(DI177="","",VLOOKUP(DI177,'CPI USA'!$T:$V,3,FALSE))</f>
        <v/>
      </c>
      <c r="DM177" s="32" t="str">
        <f>IF(DI177="","",VLOOKUP(DI177,'CPI USA'!$T:$X,5,FALSE))</f>
        <v/>
      </c>
      <c r="DN177" s="32" t="str">
        <f t="shared" si="35"/>
        <v/>
      </c>
      <c r="DO177" s="32" t="str">
        <f t="shared" si="36"/>
        <v/>
      </c>
      <c r="DP177" s="32" t="str">
        <f t="shared" si="37"/>
        <v/>
      </c>
      <c r="DQ177" s="32" t="str">
        <f>IF(DP177="","",DP177*$DO$1/'CPI USA'!$U$532+(1-DP177)*AVERAGE($DO$1,$DQ$1)/AVERAGE('CPI USA'!$U$532,'PPI USA'!$T$538))</f>
        <v/>
      </c>
      <c r="DR177" s="6">
        <f t="shared" si="38"/>
        <v>0</v>
      </c>
      <c r="DS177" s="32" t="str">
        <f t="shared" si="39"/>
        <v/>
      </c>
      <c r="DT177" s="28" t="str">
        <f>IF(DS177="","",DS177*$DO$1/'CPI USA'!$U$532+(1-DS177)*AVERAGE($DO$1,$DQ$1)/AVERAGE('CPI USA'!$U$532,'PPI USA'!$T$538))</f>
        <v/>
      </c>
      <c r="DU177" s="6" t="str">
        <f t="shared" si="40"/>
        <v/>
      </c>
      <c r="DV177" s="6" t="str">
        <f t="shared" si="87"/>
        <v/>
      </c>
      <c r="DW177" s="6">
        <f t="shared" si="42"/>
        <v>0</v>
      </c>
      <c r="DX177" s="16" t="str">
        <f t="shared" si="43"/>
        <v/>
      </c>
      <c r="DY177" s="28" t="str">
        <f>IF(DX177="","",DX177*$DO$1/'CPI USA'!$U$532+(1-DX177)*AVERAGE($DO$1,$DQ$1)/AVERAGE('CPI USA'!$U$532,'PPI USA'!$T$538))</f>
        <v/>
      </c>
      <c r="DZ177" s="30"/>
      <c r="EA177" s="29" t="str">
        <f t="shared" si="44"/>
        <v>C004872</v>
      </c>
      <c r="EB177" s="29" t="str">
        <f t="shared" si="45"/>
        <v/>
      </c>
      <c r="EC177" s="29" t="str">
        <f t="shared" si="46"/>
        <v/>
      </c>
      <c r="ED177" s="29" t="str">
        <f t="shared" si="47"/>
        <v/>
      </c>
      <c r="EE177" s="29" t="str">
        <f t="shared" si="48"/>
        <v/>
      </c>
      <c r="EF177" s="29" t="str">
        <f t="shared" si="49"/>
        <v/>
      </c>
      <c r="EG177" s="29" t="str">
        <f t="shared" si="50"/>
        <v/>
      </c>
      <c r="EH177" s="29" t="str">
        <f t="shared" si="51"/>
        <v/>
      </c>
      <c r="EI177" s="29" t="str">
        <f t="shared" si="52"/>
        <v/>
      </c>
      <c r="EJ177" s="29" t="str">
        <f t="shared" si="53"/>
        <v/>
      </c>
      <c r="EK177" s="29" t="str">
        <f t="shared" si="54"/>
        <v/>
      </c>
      <c r="EL177" s="29" t="str">
        <f>IF(CD177=1,VLOOKUP(EA177,'EIA 2023'!$A$2:$J$213,4,0)*EH177,"")</f>
        <v/>
      </c>
      <c r="EM177" s="29" t="str">
        <f>IF(CD177=1,VLOOKUP(EA177,'EIA 2023'!$A$2:$J$213,7,0)*EH177,"")</f>
        <v/>
      </c>
      <c r="EN177" s="29" t="str">
        <f>IF(CD177=1,VLOOKUP(EA177,'EIA 2023'!$A$2:$J$213,10,0),"")</f>
        <v/>
      </c>
      <c r="EO177" s="28" t="str">
        <f>IF(CD177=1,VLOOKUP(EA177,'EIA 2023'!$A$2:$Z$213,26,0),"")</f>
        <v/>
      </c>
      <c r="EP177" s="23" t="str">
        <f t="shared" si="55"/>
        <v/>
      </c>
      <c r="EQ177" s="32" t="str">
        <f t="shared" si="56"/>
        <v/>
      </c>
      <c r="ER177" s="32" t="str">
        <f t="shared" si="57"/>
        <v/>
      </c>
      <c r="ES177" s="32"/>
      <c r="ET177" s="32"/>
    </row>
    <row r="178" spans="1:150" ht="15.75" customHeight="1">
      <c r="A178" s="7" t="s">
        <v>745</v>
      </c>
      <c r="B178" s="7" t="s">
        <v>746</v>
      </c>
      <c r="C178" s="32" t="s">
        <v>1263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f>IFERROR(VLOOKUP(A178,'Trans 21-23'!$A$2:$J$229,10,0),0)</f>
        <v>0</v>
      </c>
      <c r="Y178" s="42">
        <v>0</v>
      </c>
      <c r="Z178" s="42">
        <v>0</v>
      </c>
      <c r="AA178" s="42">
        <v>0</v>
      </c>
      <c r="AB178" s="42">
        <v>0</v>
      </c>
      <c r="AC178" s="42">
        <v>0</v>
      </c>
      <c r="AD178" s="42">
        <v>596214</v>
      </c>
      <c r="AE178" s="42">
        <v>0</v>
      </c>
      <c r="AF178" s="42">
        <v>13881959</v>
      </c>
      <c r="AG178" s="42">
        <v>0</v>
      </c>
      <c r="AH178" s="42">
        <v>0</v>
      </c>
      <c r="AI178" s="42">
        <v>0</v>
      </c>
      <c r="AJ178" s="42">
        <v>0</v>
      </c>
      <c r="AK178" s="42">
        <v>0</v>
      </c>
      <c r="AL178" s="42">
        <v>0</v>
      </c>
      <c r="AM178" s="42">
        <v>0</v>
      </c>
      <c r="AN178" s="42">
        <v>0</v>
      </c>
      <c r="AO178" s="42">
        <v>0</v>
      </c>
      <c r="AP178" s="42">
        <v>0</v>
      </c>
      <c r="AQ178" s="42">
        <v>0</v>
      </c>
      <c r="AR178" s="42">
        <v>0</v>
      </c>
      <c r="AS178" s="42">
        <v>0</v>
      </c>
      <c r="AT178" s="42">
        <v>0</v>
      </c>
      <c r="AU178" s="42">
        <v>0</v>
      </c>
      <c r="AV178" s="42">
        <v>0</v>
      </c>
      <c r="AW178" s="42">
        <v>0</v>
      </c>
      <c r="AX178" s="42">
        <v>0</v>
      </c>
      <c r="AY178" s="42">
        <v>0</v>
      </c>
      <c r="AZ178" s="42">
        <v>0</v>
      </c>
      <c r="BA178" s="42">
        <v>0</v>
      </c>
      <c r="BB178" s="42">
        <v>0</v>
      </c>
      <c r="BC178" s="42">
        <v>74871315</v>
      </c>
      <c r="BD178" s="42">
        <v>484823</v>
      </c>
      <c r="BE178" s="42">
        <v>0</v>
      </c>
      <c r="BF178" s="42">
        <v>0</v>
      </c>
      <c r="BG178" s="42">
        <v>0</v>
      </c>
      <c r="BH178" s="42">
        <v>0</v>
      </c>
      <c r="BI178" s="42">
        <v>0</v>
      </c>
      <c r="BJ178" s="42">
        <v>0</v>
      </c>
      <c r="BK178" s="42">
        <v>0</v>
      </c>
      <c r="BL178" s="42">
        <v>0</v>
      </c>
      <c r="BM178" s="42">
        <v>0</v>
      </c>
      <c r="BN178" s="42">
        <v>0</v>
      </c>
      <c r="BO178" s="42">
        <v>0</v>
      </c>
      <c r="BP178" s="42">
        <v>0</v>
      </c>
      <c r="BQ178" s="42">
        <v>0</v>
      </c>
      <c r="BR178" s="42">
        <v>0</v>
      </c>
      <c r="BS178" s="42">
        <f>IFERROR(VLOOKUP(A178,'Trans 21-23'!$A$2:$J$229,9,0),0)</f>
        <v>0</v>
      </c>
      <c r="BT178" s="67"/>
      <c r="BU178" s="32">
        <f t="shared" si="0"/>
        <v>0</v>
      </c>
      <c r="BV178" s="32">
        <f t="shared" si="1"/>
        <v>0</v>
      </c>
      <c r="BW178" s="32">
        <f t="shared" si="2"/>
        <v>0</v>
      </c>
      <c r="BX178" s="32">
        <f t="shared" si="3"/>
        <v>0</v>
      </c>
      <c r="BY178" s="32">
        <f t="shared" si="4"/>
        <v>0</v>
      </c>
      <c r="BZ178" s="32">
        <f t="shared" si="5"/>
        <v>0</v>
      </c>
      <c r="CA178" s="32">
        <f t="shared" si="6"/>
        <v>596214</v>
      </c>
      <c r="CB178" s="32">
        <f t="shared" si="7"/>
        <v>0</v>
      </c>
      <c r="CC178" s="32">
        <f t="shared" si="8"/>
        <v>0</v>
      </c>
      <c r="CD178" s="41">
        <f t="shared" si="74"/>
        <v>0</v>
      </c>
      <c r="CE178" s="44">
        <f t="shared" si="10"/>
        <v>64</v>
      </c>
      <c r="CF178" s="27"/>
      <c r="CG178" s="28" t="str">
        <f t="shared" si="11"/>
        <v/>
      </c>
      <c r="CH178" s="28" t="str">
        <f t="shared" si="12"/>
        <v/>
      </c>
      <c r="CI178" s="28" t="str">
        <f t="shared" si="13"/>
        <v/>
      </c>
      <c r="CJ178" s="28" t="str">
        <f t="shared" si="14"/>
        <v/>
      </c>
      <c r="CK178" s="23" t="str">
        <f t="shared" si="15"/>
        <v/>
      </c>
      <c r="CL178" s="29" t="str">
        <f t="shared" si="16"/>
        <v/>
      </c>
      <c r="CM178" s="29" t="str">
        <f t="shared" si="17"/>
        <v/>
      </c>
      <c r="CN178" s="29" t="str">
        <f t="shared" si="18"/>
        <v/>
      </c>
      <c r="CO178" s="29" t="str">
        <f t="shared" si="19"/>
        <v/>
      </c>
      <c r="CP178" s="29" t="str">
        <f t="shared" si="20"/>
        <v/>
      </c>
      <c r="CQ178" s="29" t="str">
        <f t="shared" si="21"/>
        <v/>
      </c>
      <c r="CR178" s="13"/>
      <c r="CS178" s="7" t="str">
        <f>VLOOKUP(A178,'Empresas 21-23'!$A$2:$M$228,13,0)</f>
        <v/>
      </c>
      <c r="CT178" s="30"/>
      <c r="CU178" s="6">
        <f t="shared" si="22"/>
        <v>0</v>
      </c>
      <c r="CV178" s="6">
        <f t="shared" si="23"/>
        <v>0</v>
      </c>
      <c r="CW178" s="6">
        <f t="shared" si="24"/>
        <v>484823</v>
      </c>
      <c r="CX178" s="23">
        <f t="shared" si="84"/>
        <v>0</v>
      </c>
      <c r="CY178" s="23">
        <f t="shared" si="85"/>
        <v>0</v>
      </c>
      <c r="CZ178" s="6">
        <f t="shared" si="27"/>
        <v>0</v>
      </c>
      <c r="DA178" s="6">
        <f t="shared" si="28"/>
        <v>0</v>
      </c>
      <c r="DB178" s="6">
        <f t="shared" si="29"/>
        <v>0</v>
      </c>
      <c r="DC178" s="6">
        <f t="shared" si="30"/>
        <v>0</v>
      </c>
      <c r="DD178" s="6">
        <f t="shared" si="31"/>
        <v>0</v>
      </c>
      <c r="DE178" s="6">
        <f t="shared" si="32"/>
        <v>596214</v>
      </c>
      <c r="DF178" s="6">
        <f t="shared" si="86"/>
        <v>0</v>
      </c>
      <c r="DG178" s="30"/>
      <c r="DH178" s="32" t="str">
        <f>VLOOKUP(A178,'T_med_comp-USA'!$A$7:$Q$233,17,0)</f>
        <v>-</v>
      </c>
      <c r="DI178" s="6" t="str">
        <f t="shared" si="34"/>
        <v/>
      </c>
      <c r="DJ178" s="32" t="str">
        <f>IF(DI178="","",VLOOKUP(DI178,'CPI USA'!$T:$U,2,FALSE))</f>
        <v/>
      </c>
      <c r="DK178" s="32" t="str">
        <f>IF(DI178="","",VLOOKUP(DI178,'PPI USA'!$S:$T,2,FALSE))</f>
        <v/>
      </c>
      <c r="DL178" s="32" t="str">
        <f>IF(DI178="","",VLOOKUP(DI178,'CPI USA'!$T:$V,3,FALSE))</f>
        <v/>
      </c>
      <c r="DM178" s="32" t="str">
        <f>IF(DI178="","",VLOOKUP(DI178,'CPI USA'!$T:$X,5,FALSE))</f>
        <v/>
      </c>
      <c r="DN178" s="32" t="str">
        <f t="shared" si="35"/>
        <v/>
      </c>
      <c r="DO178" s="32" t="str">
        <f t="shared" si="36"/>
        <v/>
      </c>
      <c r="DP178" s="32" t="str">
        <f t="shared" si="37"/>
        <v/>
      </c>
      <c r="DQ178" s="32" t="str">
        <f>IF(DP178="","",DP178*$DO$1/'CPI USA'!$U$532+(1-DP178)*AVERAGE($DO$1,$DQ$1)/AVERAGE('CPI USA'!$U$532,'PPI USA'!$T$538))</f>
        <v/>
      </c>
      <c r="DR178" s="6">
        <f t="shared" si="38"/>
        <v>0</v>
      </c>
      <c r="DS178" s="32" t="str">
        <f t="shared" si="39"/>
        <v/>
      </c>
      <c r="DT178" s="28" t="str">
        <f>IF(DS178="","",DS178*$DO$1/'CPI USA'!$U$532+(1-DS178)*AVERAGE($DO$1,$DQ$1)/AVERAGE('CPI USA'!$U$532,'PPI USA'!$T$538))</f>
        <v/>
      </c>
      <c r="DU178" s="6" t="str">
        <f t="shared" si="40"/>
        <v/>
      </c>
      <c r="DV178" s="6" t="str">
        <f t="shared" si="87"/>
        <v/>
      </c>
      <c r="DW178" s="6">
        <f t="shared" si="42"/>
        <v>0</v>
      </c>
      <c r="DX178" s="16" t="str">
        <f t="shared" si="43"/>
        <v/>
      </c>
      <c r="DY178" s="28" t="str">
        <f>IF(DX178="","",DX178*$DO$1/'CPI USA'!$U$532+(1-DX178)*AVERAGE($DO$1,$DQ$1)/AVERAGE('CPI USA'!$U$532,'PPI USA'!$T$538))</f>
        <v/>
      </c>
      <c r="DZ178" s="30"/>
      <c r="EA178" s="29" t="str">
        <f t="shared" si="44"/>
        <v>C004881</v>
      </c>
      <c r="EB178" s="29" t="str">
        <f t="shared" si="45"/>
        <v/>
      </c>
      <c r="EC178" s="29" t="str">
        <f t="shared" si="46"/>
        <v/>
      </c>
      <c r="ED178" s="29" t="str">
        <f t="shared" si="47"/>
        <v/>
      </c>
      <c r="EE178" s="29" t="str">
        <f t="shared" si="48"/>
        <v/>
      </c>
      <c r="EF178" s="29" t="str">
        <f t="shared" si="49"/>
        <v/>
      </c>
      <c r="EG178" s="29" t="str">
        <f t="shared" si="50"/>
        <v/>
      </c>
      <c r="EH178" s="29" t="str">
        <f t="shared" si="51"/>
        <v/>
      </c>
      <c r="EI178" s="29" t="str">
        <f t="shared" si="52"/>
        <v/>
      </c>
      <c r="EJ178" s="29" t="str">
        <f t="shared" si="53"/>
        <v/>
      </c>
      <c r="EK178" s="29" t="str">
        <f t="shared" si="54"/>
        <v/>
      </c>
      <c r="EL178" s="29" t="str">
        <f>IF(CD178=1,VLOOKUP(EA178,'EIA 2023'!$A$2:$J$213,4,0)*EH178,"")</f>
        <v/>
      </c>
      <c r="EM178" s="29" t="str">
        <f>IF(CD178=1,VLOOKUP(EA178,'EIA 2023'!$A$2:$J$213,7,0)*EH178,"")</f>
        <v/>
      </c>
      <c r="EN178" s="29" t="str">
        <f>IF(CD178=1,VLOOKUP(EA178,'EIA 2023'!$A$2:$J$213,10,0),"")</f>
        <v/>
      </c>
      <c r="EO178" s="28" t="str">
        <f>IF(CD178=1,VLOOKUP(EA178,'EIA 2023'!$A$2:$Z$213,26,0),"")</f>
        <v/>
      </c>
      <c r="EP178" s="23" t="str">
        <f t="shared" si="55"/>
        <v/>
      </c>
      <c r="EQ178" s="32" t="str">
        <f t="shared" si="56"/>
        <v/>
      </c>
      <c r="ER178" s="32" t="str">
        <f t="shared" si="57"/>
        <v/>
      </c>
      <c r="ES178" s="32"/>
      <c r="ET178" s="32"/>
    </row>
    <row r="179" spans="1:150" ht="15.75" customHeight="1">
      <c r="A179" s="7" t="s">
        <v>748</v>
      </c>
      <c r="B179" s="7" t="s">
        <v>749</v>
      </c>
      <c r="C179" s="32" t="s">
        <v>1264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f>IFERROR(VLOOKUP(A179,'Trans 21-23'!$A$2:$J$229,10,0),0)</f>
        <v>0</v>
      </c>
      <c r="Y179" s="42">
        <v>0</v>
      </c>
      <c r="Z179" s="42">
        <v>0</v>
      </c>
      <c r="AA179" s="42">
        <v>0</v>
      </c>
      <c r="AB179" s="42">
        <v>0</v>
      </c>
      <c r="AC179" s="42">
        <v>0</v>
      </c>
      <c r="AD179" s="42">
        <v>159633</v>
      </c>
      <c r="AE179" s="42">
        <v>0</v>
      </c>
      <c r="AF179" s="42">
        <v>198962</v>
      </c>
      <c r="AG179" s="42">
        <v>0</v>
      </c>
      <c r="AH179" s="42">
        <v>0</v>
      </c>
      <c r="AI179" s="42">
        <v>0</v>
      </c>
      <c r="AJ179" s="42">
        <v>0</v>
      </c>
      <c r="AK179" s="42">
        <v>0</v>
      </c>
      <c r="AL179" s="42">
        <v>0</v>
      </c>
      <c r="AM179" s="42">
        <v>0</v>
      </c>
      <c r="AN179" s="42">
        <v>0</v>
      </c>
      <c r="AO179" s="42">
        <v>0</v>
      </c>
      <c r="AP179" s="42">
        <v>0</v>
      </c>
      <c r="AQ179" s="42">
        <v>0</v>
      </c>
      <c r="AR179" s="42">
        <v>0</v>
      </c>
      <c r="AS179" s="42">
        <v>0</v>
      </c>
      <c r="AT179" s="42">
        <v>0</v>
      </c>
      <c r="AU179" s="42">
        <v>0</v>
      </c>
      <c r="AV179" s="42">
        <v>0</v>
      </c>
      <c r="AW179" s="42">
        <v>0</v>
      </c>
      <c r="AX179" s="42">
        <v>0</v>
      </c>
      <c r="AY179" s="42">
        <v>0</v>
      </c>
      <c r="AZ179" s="42">
        <v>0</v>
      </c>
      <c r="BA179" s="42">
        <v>0</v>
      </c>
      <c r="BB179" s="42">
        <v>0</v>
      </c>
      <c r="BC179" s="42">
        <v>0</v>
      </c>
      <c r="BD179" s="42">
        <v>0</v>
      </c>
      <c r="BE179" s="42">
        <v>0</v>
      </c>
      <c r="BF179" s="42">
        <v>0</v>
      </c>
      <c r="BG179" s="42">
        <v>0</v>
      </c>
      <c r="BH179" s="42">
        <v>0</v>
      </c>
      <c r="BI179" s="42">
        <v>0</v>
      </c>
      <c r="BJ179" s="42">
        <v>0</v>
      </c>
      <c r="BK179" s="42">
        <v>0</v>
      </c>
      <c r="BL179" s="42">
        <v>0</v>
      </c>
      <c r="BM179" s="42">
        <v>64157</v>
      </c>
      <c r="BN179" s="42">
        <v>73369</v>
      </c>
      <c r="BO179" s="42">
        <v>0</v>
      </c>
      <c r="BP179" s="42">
        <v>206</v>
      </c>
      <c r="BQ179" s="42">
        <v>73575</v>
      </c>
      <c r="BR179" s="42">
        <v>0</v>
      </c>
      <c r="BS179" s="42">
        <f>IFERROR(VLOOKUP(A179,'Trans 21-23'!$A$2:$J$229,9,0),0)</f>
        <v>0</v>
      </c>
      <c r="BT179" s="67"/>
      <c r="BU179" s="32">
        <f t="shared" si="0"/>
        <v>0</v>
      </c>
      <c r="BV179" s="32">
        <f t="shared" si="1"/>
        <v>0</v>
      </c>
      <c r="BW179" s="32">
        <f t="shared" si="2"/>
        <v>0</v>
      </c>
      <c r="BX179" s="32">
        <f t="shared" si="3"/>
        <v>0</v>
      </c>
      <c r="BY179" s="32">
        <f t="shared" si="4"/>
        <v>0</v>
      </c>
      <c r="BZ179" s="32">
        <f t="shared" si="5"/>
        <v>0</v>
      </c>
      <c r="CA179" s="32">
        <f t="shared" si="6"/>
        <v>159633</v>
      </c>
      <c r="CB179" s="32">
        <f t="shared" si="7"/>
        <v>0</v>
      </c>
      <c r="CC179" s="32">
        <f t="shared" si="8"/>
        <v>0</v>
      </c>
      <c r="CD179" s="41">
        <f t="shared" si="74"/>
        <v>0</v>
      </c>
      <c r="CE179" s="44">
        <f t="shared" si="10"/>
        <v>62</v>
      </c>
      <c r="CF179" s="27"/>
      <c r="CG179" s="28" t="str">
        <f t="shared" si="11"/>
        <v/>
      </c>
      <c r="CH179" s="28" t="str">
        <f t="shared" si="12"/>
        <v/>
      </c>
      <c r="CI179" s="28" t="str">
        <f t="shared" si="13"/>
        <v/>
      </c>
      <c r="CJ179" s="28" t="str">
        <f t="shared" si="14"/>
        <v/>
      </c>
      <c r="CK179" s="23" t="str">
        <f t="shared" si="15"/>
        <v/>
      </c>
      <c r="CL179" s="29" t="str">
        <f t="shared" si="16"/>
        <v/>
      </c>
      <c r="CM179" s="29" t="str">
        <f t="shared" si="17"/>
        <v/>
      </c>
      <c r="CN179" s="29" t="str">
        <f t="shared" si="18"/>
        <v/>
      </c>
      <c r="CO179" s="29" t="str">
        <f t="shared" si="19"/>
        <v/>
      </c>
      <c r="CP179" s="29" t="str">
        <f t="shared" si="20"/>
        <v/>
      </c>
      <c r="CQ179" s="29" t="str">
        <f t="shared" si="21"/>
        <v/>
      </c>
      <c r="CR179" s="13"/>
      <c r="CS179" s="7" t="str">
        <f>VLOOKUP(A179,'Empresas 21-23'!$A$2:$M$228,13,0)</f>
        <v/>
      </c>
      <c r="CT179" s="30"/>
      <c r="CU179" s="6">
        <f t="shared" si="22"/>
        <v>0</v>
      </c>
      <c r="CV179" s="6">
        <f t="shared" si="23"/>
        <v>0</v>
      </c>
      <c r="CW179" s="6">
        <f t="shared" si="24"/>
        <v>0</v>
      </c>
      <c r="CX179" s="23" t="str">
        <f>IFERROR(CU179/(BC179-BD179),"")</f>
        <v/>
      </c>
      <c r="CY179" s="23" t="str">
        <f>IFERROR(CV179/(BC179-BD179),"")</f>
        <v/>
      </c>
      <c r="CZ179" s="6" t="e">
        <f t="shared" si="27"/>
        <v>#VALUE!</v>
      </c>
      <c r="DA179" s="6" t="e">
        <f t="shared" si="28"/>
        <v>#VALUE!</v>
      </c>
      <c r="DB179" s="6">
        <f t="shared" si="29"/>
        <v>0</v>
      </c>
      <c r="DC179" s="6">
        <f t="shared" si="30"/>
        <v>0</v>
      </c>
      <c r="DD179" s="6">
        <f t="shared" si="31"/>
        <v>0</v>
      </c>
      <c r="DE179" s="6">
        <f t="shared" si="32"/>
        <v>159633</v>
      </c>
      <c r="DF179" s="6">
        <f t="shared" si="86"/>
        <v>0</v>
      </c>
      <c r="DG179" s="30"/>
      <c r="DH179" s="32" t="str">
        <f>VLOOKUP(A179,'T_med_comp-USA'!$A$7:$Q$233,17,0)</f>
        <v>-</v>
      </c>
      <c r="DI179" s="6" t="str">
        <f t="shared" si="34"/>
        <v/>
      </c>
      <c r="DJ179" s="32" t="str">
        <f>IF(DI179="","",VLOOKUP(DI179,'CPI USA'!$T:$U,2,FALSE))</f>
        <v/>
      </c>
      <c r="DK179" s="32" t="str">
        <f>IF(DI179="","",VLOOKUP(DI179,'PPI USA'!$S:$T,2,FALSE))</f>
        <v/>
      </c>
      <c r="DL179" s="32" t="str">
        <f>IF(DI179="","",VLOOKUP(DI179,'CPI USA'!$T:$V,3,FALSE))</f>
        <v/>
      </c>
      <c r="DM179" s="32" t="str">
        <f>IF(DI179="","",VLOOKUP(DI179,'CPI USA'!$T:$X,5,FALSE))</f>
        <v/>
      </c>
      <c r="DN179" s="32" t="str">
        <f t="shared" si="35"/>
        <v/>
      </c>
      <c r="DO179" s="32" t="str">
        <f t="shared" si="36"/>
        <v/>
      </c>
      <c r="DP179" s="32" t="str">
        <f t="shared" si="37"/>
        <v/>
      </c>
      <c r="DQ179" s="32" t="str">
        <f>IF(DP179="","",DP179*$DO$1/'CPI USA'!$U$532+(1-DP179)*AVERAGE($DO$1,$DQ$1)/AVERAGE('CPI USA'!$U$532,'PPI USA'!$T$538))</f>
        <v/>
      </c>
      <c r="DR179" s="6">
        <f t="shared" si="38"/>
        <v>0</v>
      </c>
      <c r="DS179" s="32" t="str">
        <f t="shared" si="39"/>
        <v/>
      </c>
      <c r="DT179" s="28" t="str">
        <f>IF(DS179="","",DS179*$DO$1/'CPI USA'!$U$532+(1-DS179)*AVERAGE($DO$1,$DQ$1)/AVERAGE('CPI USA'!$U$532,'PPI USA'!$T$538))</f>
        <v/>
      </c>
      <c r="DU179" s="6" t="str">
        <f t="shared" si="40"/>
        <v/>
      </c>
      <c r="DV179" s="6">
        <f t="shared" si="87"/>
        <v>180.13523422698961</v>
      </c>
      <c r="DW179" s="6">
        <f t="shared" si="42"/>
        <v>0</v>
      </c>
      <c r="DX179" s="16" t="e">
        <f t="shared" si="43"/>
        <v>#VALUE!</v>
      </c>
      <c r="DY179" s="28" t="e">
        <f>IF(DX179="","",DX179*$DO$1/'CPI USA'!$U$532+(1-DX179)*AVERAGE($DO$1,$DQ$1)/AVERAGE('CPI USA'!$U$532,'PPI USA'!$T$538))</f>
        <v>#VALUE!</v>
      </c>
      <c r="DZ179" s="30"/>
      <c r="EA179" s="29" t="str">
        <f t="shared" si="44"/>
        <v>C004936</v>
      </c>
      <c r="EB179" s="29" t="str">
        <f t="shared" si="45"/>
        <v/>
      </c>
      <c r="EC179" s="29" t="str">
        <f t="shared" si="46"/>
        <v/>
      </c>
      <c r="ED179" s="29" t="str">
        <f t="shared" si="47"/>
        <v/>
      </c>
      <c r="EE179" s="29" t="str">
        <f t="shared" si="48"/>
        <v/>
      </c>
      <c r="EF179" s="29" t="str">
        <f t="shared" si="49"/>
        <v/>
      </c>
      <c r="EG179" s="29" t="str">
        <f t="shared" si="50"/>
        <v/>
      </c>
      <c r="EH179" s="29" t="str">
        <f t="shared" si="51"/>
        <v/>
      </c>
      <c r="EI179" s="29" t="str">
        <f t="shared" si="52"/>
        <v/>
      </c>
      <c r="EJ179" s="29" t="str">
        <f t="shared" si="53"/>
        <v/>
      </c>
      <c r="EK179" s="29" t="str">
        <f t="shared" si="54"/>
        <v/>
      </c>
      <c r="EL179" s="29" t="str">
        <f>IF(CD179=1,VLOOKUP(EA179,'EIA 2023'!$A$2:$J$213,4,0)*EH179,"")</f>
        <v/>
      </c>
      <c r="EM179" s="29" t="str">
        <f>IF(CD179=1,VLOOKUP(EA179,'EIA 2023'!$A$2:$J$213,7,0)*EH179,"")</f>
        <v/>
      </c>
      <c r="EN179" s="29" t="str">
        <f>IF(CD179=1,VLOOKUP(EA179,'EIA 2023'!$A$2:$J$213,10,0),"")</f>
        <v/>
      </c>
      <c r="EO179" s="28" t="str">
        <f>IF(CD179=1,VLOOKUP(EA179,'EIA 2023'!$A$2:$Z$213,26,0),"")</f>
        <v/>
      </c>
      <c r="EP179" s="23" t="str">
        <f t="shared" si="55"/>
        <v/>
      </c>
      <c r="EQ179" s="32" t="str">
        <f t="shared" si="56"/>
        <v/>
      </c>
      <c r="ER179" s="32" t="str">
        <f t="shared" si="57"/>
        <v/>
      </c>
      <c r="ES179" s="32"/>
      <c r="ET179" s="32"/>
    </row>
    <row r="180" spans="1:150" ht="15.75" customHeight="1">
      <c r="A180" s="7" t="s">
        <v>751</v>
      </c>
      <c r="B180" s="7" t="s">
        <v>752</v>
      </c>
      <c r="C180" s="32" t="s">
        <v>1265</v>
      </c>
      <c r="D180" s="42">
        <v>847654746</v>
      </c>
      <c r="E180" s="42">
        <v>73337819</v>
      </c>
      <c r="F180" s="42">
        <v>0</v>
      </c>
      <c r="G180" s="42">
        <v>654630519</v>
      </c>
      <c r="H180" s="42">
        <v>785380666</v>
      </c>
      <c r="I180" s="42">
        <v>28635982</v>
      </c>
      <c r="J180" s="42">
        <v>755112</v>
      </c>
      <c r="K180" s="42">
        <v>3727025</v>
      </c>
      <c r="L180" s="42">
        <v>1295996</v>
      </c>
      <c r="M180" s="42">
        <v>2613096</v>
      </c>
      <c r="N180" s="42">
        <v>2039476</v>
      </c>
      <c r="O180" s="42">
        <v>10299592</v>
      </c>
      <c r="P180" s="42">
        <v>5321754</v>
      </c>
      <c r="Q180" s="42">
        <v>5739660</v>
      </c>
      <c r="R180" s="42">
        <v>3075206</v>
      </c>
      <c r="S180" s="42">
        <v>4477980</v>
      </c>
      <c r="T180" s="42">
        <v>59162566</v>
      </c>
      <c r="U180" s="42">
        <v>5592316</v>
      </c>
      <c r="V180" s="42">
        <v>318547</v>
      </c>
      <c r="W180" s="42">
        <v>2030593</v>
      </c>
      <c r="X180" s="42">
        <f>IFERROR(VLOOKUP(A180,'Trans 21-23'!$A$2:$J$229,10,0),0)</f>
        <v>7902852</v>
      </c>
      <c r="Y180" s="42">
        <v>2710271</v>
      </c>
      <c r="Z180" s="42">
        <v>373823</v>
      </c>
      <c r="AA180" s="42">
        <v>56138533</v>
      </c>
      <c r="AB180" s="42">
        <v>33069617</v>
      </c>
      <c r="AC180" s="42">
        <v>8755368</v>
      </c>
      <c r="AD180" s="42">
        <v>340835209</v>
      </c>
      <c r="AE180" s="42">
        <v>0</v>
      </c>
      <c r="AF180" s="42">
        <v>2872828252</v>
      </c>
      <c r="AG180" s="42">
        <v>1104479</v>
      </c>
      <c r="AH180" s="42">
        <v>1675910</v>
      </c>
      <c r="AI180" s="42">
        <v>65358988</v>
      </c>
      <c r="AJ180" s="42">
        <v>66357</v>
      </c>
      <c r="AK180" s="42">
        <v>0</v>
      </c>
      <c r="AL180" s="42">
        <v>14312847</v>
      </c>
      <c r="AM180" s="42">
        <v>11049808</v>
      </c>
      <c r="AN180" s="42">
        <v>31514096</v>
      </c>
      <c r="AO180" s="42">
        <v>169406</v>
      </c>
      <c r="AP180" s="42">
        <v>630906</v>
      </c>
      <c r="AQ180" s="42">
        <v>57677063</v>
      </c>
      <c r="AR180" s="42">
        <v>5939658</v>
      </c>
      <c r="AS180" s="42">
        <v>63616721</v>
      </c>
      <c r="AT180" s="42">
        <v>0</v>
      </c>
      <c r="AU180" s="42">
        <v>10327</v>
      </c>
      <c r="AV180" s="42">
        <v>0</v>
      </c>
      <c r="AW180" s="42">
        <v>1110069414</v>
      </c>
      <c r="AX180" s="42">
        <v>218890641</v>
      </c>
      <c r="AY180" s="42">
        <v>348429182</v>
      </c>
      <c r="AZ180" s="42">
        <v>343195134</v>
      </c>
      <c r="BA180" s="42">
        <v>125105070</v>
      </c>
      <c r="BB180" s="42">
        <v>6101580474</v>
      </c>
      <c r="BC180" s="42">
        <v>27813852892</v>
      </c>
      <c r="BD180" s="42">
        <v>436326172</v>
      </c>
      <c r="BE180" s="42">
        <v>1593016541</v>
      </c>
      <c r="BF180" s="42">
        <v>181630870</v>
      </c>
      <c r="BG180" s="42">
        <v>0</v>
      </c>
      <c r="BH180" s="42">
        <v>28987725</v>
      </c>
      <c r="BI180" s="42">
        <v>2682524</v>
      </c>
      <c r="BJ180" s="42">
        <v>4021040</v>
      </c>
      <c r="BK180" s="42">
        <v>2461298</v>
      </c>
      <c r="BL180" s="42">
        <v>0</v>
      </c>
      <c r="BM180" s="42">
        <v>4502575</v>
      </c>
      <c r="BN180" s="42">
        <v>83371615</v>
      </c>
      <c r="BO180" s="42">
        <v>0</v>
      </c>
      <c r="BP180" s="42">
        <v>26785923</v>
      </c>
      <c r="BQ180" s="42">
        <v>194855266</v>
      </c>
      <c r="BR180" s="42">
        <v>0</v>
      </c>
      <c r="BS180" s="42">
        <f>IFERROR(VLOOKUP(A180,'Trans 21-23'!$A$2:$J$229,9,0),0)</f>
        <v>778272895</v>
      </c>
      <c r="BT180" s="67"/>
      <c r="BU180" s="32">
        <f t="shared" si="0"/>
        <v>6101580474</v>
      </c>
      <c r="BV180" s="32">
        <f t="shared" si="1"/>
        <v>10327</v>
      </c>
      <c r="BW180" s="32">
        <f t="shared" si="2"/>
        <v>1104479</v>
      </c>
      <c r="BX180" s="32">
        <f t="shared" si="3"/>
        <v>135084901</v>
      </c>
      <c r="BY180" s="32">
        <f t="shared" si="4"/>
        <v>101047612</v>
      </c>
      <c r="BZ180" s="32">
        <f t="shared" si="5"/>
        <v>343195134</v>
      </c>
      <c r="CA180" s="32">
        <f t="shared" si="6"/>
        <v>340835209</v>
      </c>
      <c r="CB180" s="32">
        <f t="shared" si="7"/>
        <v>1675910</v>
      </c>
      <c r="CC180" s="32">
        <f t="shared" si="8"/>
        <v>57677063</v>
      </c>
      <c r="CD180" s="41">
        <f t="shared" si="74"/>
        <v>1</v>
      </c>
      <c r="CE180" s="44">
        <f t="shared" si="10"/>
        <v>9</v>
      </c>
      <c r="CF180" s="27"/>
      <c r="CG180" s="28">
        <f t="shared" si="11"/>
        <v>590.83765604725477</v>
      </c>
      <c r="CH180" s="28">
        <f t="shared" si="12"/>
        <v>9.3501098708078647</v>
      </c>
      <c r="CI180" s="28">
        <f t="shared" si="13"/>
        <v>122.30644584460184</v>
      </c>
      <c r="CJ180" s="28">
        <f t="shared" si="14"/>
        <v>310.73033891997949</v>
      </c>
      <c r="CK180" s="23">
        <f t="shared" si="15"/>
        <v>2.9056784670190298E-2</v>
      </c>
      <c r="CL180" s="29" t="str">
        <f t="shared" si="16"/>
        <v/>
      </c>
      <c r="CM180" s="29" t="str">
        <f t="shared" si="17"/>
        <v/>
      </c>
      <c r="CN180" s="29" t="str">
        <f t="shared" si="18"/>
        <v/>
      </c>
      <c r="CO180" s="29" t="str">
        <f t="shared" si="19"/>
        <v/>
      </c>
      <c r="CP180" s="29" t="str">
        <f t="shared" si="20"/>
        <v/>
      </c>
      <c r="CQ180" s="29">
        <f t="shared" si="21"/>
        <v>0</v>
      </c>
      <c r="CR180" s="13"/>
      <c r="CS180" s="7">
        <f>VLOOKUP(A180,'Empresas 21-23'!$A$2:$M$228,13,0)</f>
        <v>1</v>
      </c>
      <c r="CT180" s="30"/>
      <c r="CU180" s="6">
        <f t="shared" si="22"/>
        <v>6071161271.1999998</v>
      </c>
      <c r="CV180" s="6">
        <f t="shared" si="23"/>
        <v>343195134</v>
      </c>
      <c r="CW180" s="6">
        <f t="shared" si="24"/>
        <v>436326172</v>
      </c>
      <c r="CX180" s="23">
        <f t="shared" ref="CX180:CX202" si="88">CU180/(BC180-BD180)</f>
        <v>0.22175711244087135</v>
      </c>
      <c r="CY180" s="23">
        <f t="shared" ref="CY180:CY202" si="89">CV180/(BC180-BD180)</f>
        <v>1.2535651503876973E-2</v>
      </c>
      <c r="CZ180" s="6">
        <f t="shared" si="27"/>
        <v>6167919703.1850986</v>
      </c>
      <c r="DA180" s="6">
        <f t="shared" si="28"/>
        <v>348664766.83421266</v>
      </c>
      <c r="DB180" s="6">
        <f t="shared" si="29"/>
        <v>135084901</v>
      </c>
      <c r="DC180" s="6">
        <f t="shared" si="30"/>
        <v>142987753</v>
      </c>
      <c r="DD180" s="6">
        <f t="shared" si="31"/>
        <v>101047612</v>
      </c>
      <c r="DE180" s="6">
        <f t="shared" si="32"/>
        <v>340835209</v>
      </c>
      <c r="DF180" s="6">
        <f t="shared" si="86"/>
        <v>100743518.29285595</v>
      </c>
      <c r="DG180" s="30"/>
      <c r="DH180" s="32">
        <f>VLOOKUP(A180,'T_med_comp-USA'!$A$7:$Q$233,17,0)</f>
        <v>7.4928353767629376</v>
      </c>
      <c r="DI180" s="6" t="str">
        <f t="shared" si="34"/>
        <v>7_2016</v>
      </c>
      <c r="DJ180" s="32">
        <f>IF(DI180="","",VLOOKUP(DI180,'CPI USA'!$T:$U,2,FALSE))</f>
        <v>240.62799999999999</v>
      </c>
      <c r="DK180" s="32">
        <f>IF(DI180="","",VLOOKUP(DI180,'PPI USA'!$S:$T,2,FALSE))</f>
        <v>188.3</v>
      </c>
      <c r="DL180" s="32">
        <f>IF(DI180="","",VLOOKUP(DI180,'CPI USA'!$T:$V,3,FALSE))</f>
        <v>0.67131212484522451</v>
      </c>
      <c r="DM180" s="32">
        <f>IF(DI180="","",VLOOKUP(DI180,'CPI USA'!$T:$X,5,FALSE))</f>
        <v>0.49965731919331663</v>
      </c>
      <c r="DN180" s="32">
        <f t="shared" si="35"/>
        <v>1.3208026060159446</v>
      </c>
      <c r="DO180" s="32">
        <f t="shared" si="36"/>
        <v>1.3287180000631127</v>
      </c>
      <c r="DP180" s="32">
        <f t="shared" si="37"/>
        <v>0.21458893470262824</v>
      </c>
      <c r="DQ180" s="32">
        <f>IF(DP180="","",DP180*$DO$1/'CPI USA'!$U$532+(1-DP180)*AVERAGE($DO$1,$DQ$1)/AVERAGE('CPI USA'!$U$532,'PPI USA'!$T$538))</f>
        <v>1.042345142366198</v>
      </c>
      <c r="DR180" s="6">
        <f t="shared" si="38"/>
        <v>9164862</v>
      </c>
      <c r="DS180" s="32">
        <f t="shared" si="39"/>
        <v>0.2</v>
      </c>
      <c r="DT180" s="28">
        <f>IF(DS180="","",DS180*$DO$1/'CPI USA'!$U$532+(1-DS180)*AVERAGE($DO$1,$DQ$1)/AVERAGE('CPI USA'!$U$532,'PPI USA'!$T$538))</f>
        <v>1.0426818386380585</v>
      </c>
      <c r="DU180" s="6">
        <f t="shared" si="40"/>
        <v>4502575</v>
      </c>
      <c r="DV180" s="6">
        <f t="shared" si="87"/>
        <v>717594.44702372048</v>
      </c>
      <c r="DW180" s="6">
        <f t="shared" si="42"/>
        <v>2388858.2340921955</v>
      </c>
      <c r="DX180" s="16">
        <f t="shared" si="43"/>
        <v>0.2</v>
      </c>
      <c r="DY180" s="28">
        <f>IF(DX180="","",DX180*$DO$1/'CPI USA'!$U$532+(1-DX180)*AVERAGE($DO$1,$DQ$1)/AVERAGE('CPI USA'!$U$532,'PPI USA'!$T$538))</f>
        <v>1.0426818386380585</v>
      </c>
      <c r="DZ180" s="30"/>
      <c r="EA180" s="29" t="str">
        <f t="shared" si="44"/>
        <v>C004995</v>
      </c>
      <c r="EB180" s="29">
        <f t="shared" si="45"/>
        <v>8146604417.66397</v>
      </c>
      <c r="EC180" s="29">
        <f t="shared" si="46"/>
        <v>463277151.68042654</v>
      </c>
      <c r="ED180" s="29">
        <f t="shared" si="47"/>
        <v>149042589.75740775</v>
      </c>
      <c r="EE180" s="29">
        <f t="shared" si="48"/>
        <v>105360509.87014514</v>
      </c>
      <c r="EF180" s="29">
        <f t="shared" si="49"/>
        <v>105043436.88446192</v>
      </c>
      <c r="EG180" s="29">
        <f t="shared" si="50"/>
        <v>10327</v>
      </c>
      <c r="EH180" s="29">
        <f t="shared" si="51"/>
        <v>1104479</v>
      </c>
      <c r="EI180" s="29">
        <f t="shared" si="52"/>
        <v>1675910</v>
      </c>
      <c r="EJ180" s="29">
        <f t="shared" si="53"/>
        <v>57677063</v>
      </c>
      <c r="EK180" s="29">
        <f t="shared" si="54"/>
        <v>59262521.355329946</v>
      </c>
      <c r="EL180" s="29">
        <f>IF(CD180=1,VLOOKUP(EA180,'EIA 2023'!$A$2:$J$213,4,0)*EH180,"")</f>
        <v>198033084.70000002</v>
      </c>
      <c r="EM180" s="29">
        <f>IF(CD180=1,VLOOKUP(EA180,'EIA 2023'!$A$2:$J$213,7,0)*EH180,"")</f>
        <v>1530807.8939999999</v>
      </c>
      <c r="EN180" s="29">
        <f>IF(CD180=1,VLOOKUP(EA180,'EIA 2023'!$A$2:$J$213,10,0),"")</f>
        <v>1343384</v>
      </c>
      <c r="EO180" s="28">
        <f>IF(CD180=1,VLOOKUP(EA180,'EIA 2023'!$A$2:$Z$213,26,0),"")</f>
        <v>0</v>
      </c>
      <c r="EP180" s="23">
        <f t="shared" si="55"/>
        <v>2.6753137042950952E-2</v>
      </c>
      <c r="EQ180" s="32">
        <f t="shared" si="56"/>
        <v>90451.644670050591</v>
      </c>
      <c r="ER180" s="32">
        <f t="shared" si="57"/>
        <v>1585458.3553299494</v>
      </c>
      <c r="ES180" s="32"/>
      <c r="ET180" s="32"/>
    </row>
    <row r="181" spans="1:150" ht="15.75" customHeight="1">
      <c r="A181" s="7" t="s">
        <v>754</v>
      </c>
      <c r="B181" s="7" t="s">
        <v>755</v>
      </c>
      <c r="C181" s="32" t="s">
        <v>1266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f>IFERROR(VLOOKUP(A181,'Trans 21-23'!$A$2:$J$229,10,0),0)</f>
        <v>0</v>
      </c>
      <c r="Y181" s="42">
        <v>0</v>
      </c>
      <c r="Z181" s="42">
        <v>0</v>
      </c>
      <c r="AA181" s="42">
        <v>0</v>
      </c>
      <c r="AB181" s="42">
        <v>0</v>
      </c>
      <c r="AC181" s="42">
        <v>0</v>
      </c>
      <c r="AD181" s="42">
        <v>2066660</v>
      </c>
      <c r="AE181" s="42">
        <v>0</v>
      </c>
      <c r="AF181" s="42">
        <v>6332609</v>
      </c>
      <c r="AG181" s="42">
        <v>0</v>
      </c>
      <c r="AH181" s="42">
        <v>0</v>
      </c>
      <c r="AI181" s="42">
        <v>0</v>
      </c>
      <c r="AJ181" s="42">
        <v>0</v>
      </c>
      <c r="AK181" s="42">
        <v>0</v>
      </c>
      <c r="AL181" s="42">
        <v>0</v>
      </c>
      <c r="AM181" s="42">
        <v>0</v>
      </c>
      <c r="AN181" s="42">
        <v>0</v>
      </c>
      <c r="AO181" s="42">
        <v>0</v>
      </c>
      <c r="AP181" s="42">
        <v>0</v>
      </c>
      <c r="AQ181" s="42">
        <v>0</v>
      </c>
      <c r="AR181" s="42">
        <v>0</v>
      </c>
      <c r="AS181" s="42">
        <v>0</v>
      </c>
      <c r="AT181" s="42">
        <v>0</v>
      </c>
      <c r="AU181" s="42">
        <v>0</v>
      </c>
      <c r="AV181" s="42">
        <v>0</v>
      </c>
      <c r="AW181" s="42">
        <v>0</v>
      </c>
      <c r="AX181" s="42">
        <v>0</v>
      </c>
      <c r="AY181" s="42">
        <v>0</v>
      </c>
      <c r="AZ181" s="42">
        <v>0</v>
      </c>
      <c r="BA181" s="42">
        <v>0</v>
      </c>
      <c r="BB181" s="42">
        <v>0</v>
      </c>
      <c r="BC181" s="42">
        <v>158699003</v>
      </c>
      <c r="BD181" s="42">
        <v>868140</v>
      </c>
      <c r="BE181" s="42">
        <v>0</v>
      </c>
      <c r="BF181" s="42">
        <v>0</v>
      </c>
      <c r="BG181" s="42">
        <v>0</v>
      </c>
      <c r="BH181" s="42">
        <v>0</v>
      </c>
      <c r="BI181" s="42">
        <v>0</v>
      </c>
      <c r="BJ181" s="42">
        <v>0</v>
      </c>
      <c r="BK181" s="42">
        <v>0</v>
      </c>
      <c r="BL181" s="42">
        <v>0</v>
      </c>
      <c r="BM181" s="42">
        <v>0</v>
      </c>
      <c r="BN181" s="42">
        <v>0</v>
      </c>
      <c r="BO181" s="42">
        <v>0</v>
      </c>
      <c r="BP181" s="42">
        <v>0</v>
      </c>
      <c r="BQ181" s="42">
        <v>0</v>
      </c>
      <c r="BR181" s="42">
        <v>0</v>
      </c>
      <c r="BS181" s="42">
        <f>IFERROR(VLOOKUP(A181,'Trans 21-23'!$A$2:$J$229,9,0),0)</f>
        <v>0</v>
      </c>
      <c r="BT181" s="67"/>
      <c r="BU181" s="32">
        <f t="shared" si="0"/>
        <v>0</v>
      </c>
      <c r="BV181" s="32">
        <f t="shared" si="1"/>
        <v>0</v>
      </c>
      <c r="BW181" s="32">
        <f t="shared" si="2"/>
        <v>0</v>
      </c>
      <c r="BX181" s="32">
        <f t="shared" si="3"/>
        <v>0</v>
      </c>
      <c r="BY181" s="32">
        <f t="shared" si="4"/>
        <v>0</v>
      </c>
      <c r="BZ181" s="32">
        <f t="shared" si="5"/>
        <v>0</v>
      </c>
      <c r="CA181" s="32">
        <f t="shared" si="6"/>
        <v>2066660</v>
      </c>
      <c r="CB181" s="32">
        <f t="shared" si="7"/>
        <v>0</v>
      </c>
      <c r="CC181" s="32">
        <f t="shared" si="8"/>
        <v>0</v>
      </c>
      <c r="CD181" s="41">
        <f t="shared" si="74"/>
        <v>0</v>
      </c>
      <c r="CE181" s="44">
        <f t="shared" si="10"/>
        <v>64</v>
      </c>
      <c r="CF181" s="27"/>
      <c r="CG181" s="28" t="str">
        <f t="shared" si="11"/>
        <v/>
      </c>
      <c r="CH181" s="28" t="str">
        <f t="shared" si="12"/>
        <v/>
      </c>
      <c r="CI181" s="28" t="str">
        <f t="shared" si="13"/>
        <v/>
      </c>
      <c r="CJ181" s="28" t="str">
        <f t="shared" si="14"/>
        <v/>
      </c>
      <c r="CK181" s="23" t="str">
        <f t="shared" si="15"/>
        <v/>
      </c>
      <c r="CL181" s="29" t="str">
        <f t="shared" si="16"/>
        <v/>
      </c>
      <c r="CM181" s="29" t="str">
        <f t="shared" si="17"/>
        <v/>
      </c>
      <c r="CN181" s="29" t="str">
        <f t="shared" si="18"/>
        <v/>
      </c>
      <c r="CO181" s="29" t="str">
        <f t="shared" si="19"/>
        <v/>
      </c>
      <c r="CP181" s="29" t="str">
        <f t="shared" si="20"/>
        <v/>
      </c>
      <c r="CQ181" s="29" t="str">
        <f t="shared" si="21"/>
        <v/>
      </c>
      <c r="CR181" s="13"/>
      <c r="CS181" s="7" t="str">
        <f>VLOOKUP(A181,'Empresas 21-23'!$A$2:$M$228,13,0)</f>
        <v/>
      </c>
      <c r="CT181" s="30"/>
      <c r="CU181" s="6">
        <f t="shared" si="22"/>
        <v>0</v>
      </c>
      <c r="CV181" s="6">
        <f t="shared" si="23"/>
        <v>0</v>
      </c>
      <c r="CW181" s="6">
        <f t="shared" si="24"/>
        <v>868140</v>
      </c>
      <c r="CX181" s="23">
        <f t="shared" si="88"/>
        <v>0</v>
      </c>
      <c r="CY181" s="23">
        <f t="shared" si="89"/>
        <v>0</v>
      </c>
      <c r="CZ181" s="6">
        <f t="shared" si="27"/>
        <v>0</v>
      </c>
      <c r="DA181" s="6">
        <f t="shared" si="28"/>
        <v>0</v>
      </c>
      <c r="DB181" s="6">
        <f t="shared" si="29"/>
        <v>0</v>
      </c>
      <c r="DC181" s="6">
        <f t="shared" si="30"/>
        <v>0</v>
      </c>
      <c r="DD181" s="6">
        <f t="shared" si="31"/>
        <v>0</v>
      </c>
      <c r="DE181" s="6">
        <f t="shared" si="32"/>
        <v>2066660</v>
      </c>
      <c r="DF181" s="6">
        <f t="shared" si="86"/>
        <v>0</v>
      </c>
      <c r="DG181" s="30"/>
      <c r="DH181" s="32" t="str">
        <f>VLOOKUP(A181,'T_med_comp-USA'!$A$7:$Q$233,17,0)</f>
        <v>-</v>
      </c>
      <c r="DI181" s="6" t="str">
        <f t="shared" si="34"/>
        <v/>
      </c>
      <c r="DJ181" s="32" t="str">
        <f>IF(DI181="","",VLOOKUP(DI181,'CPI USA'!$T:$U,2,FALSE))</f>
        <v/>
      </c>
      <c r="DK181" s="32" t="str">
        <f>IF(DI181="","",VLOOKUP(DI181,'PPI USA'!$S:$T,2,FALSE))</f>
        <v/>
      </c>
      <c r="DL181" s="32" t="str">
        <f>IF(DI181="","",VLOOKUP(DI181,'CPI USA'!$T:$V,3,FALSE))</f>
        <v/>
      </c>
      <c r="DM181" s="32" t="str">
        <f>IF(DI181="","",VLOOKUP(DI181,'CPI USA'!$T:$X,5,FALSE))</f>
        <v/>
      </c>
      <c r="DN181" s="32" t="str">
        <f t="shared" si="35"/>
        <v/>
      </c>
      <c r="DO181" s="32" t="str">
        <f t="shared" si="36"/>
        <v/>
      </c>
      <c r="DP181" s="32" t="str">
        <f t="shared" si="37"/>
        <v/>
      </c>
      <c r="DQ181" s="32" t="str">
        <f>IF(DP181="","",DP181*$DO$1/'CPI USA'!$U$532+(1-DP181)*AVERAGE($DO$1,$DQ$1)/AVERAGE('CPI USA'!$U$532,'PPI USA'!$T$538))</f>
        <v/>
      </c>
      <c r="DR181" s="6">
        <f t="shared" si="38"/>
        <v>0</v>
      </c>
      <c r="DS181" s="32" t="str">
        <f t="shared" si="39"/>
        <v/>
      </c>
      <c r="DT181" s="28" t="str">
        <f>IF(DS181="","",DS181*$DO$1/'CPI USA'!$U$532+(1-DS181)*AVERAGE($DO$1,$DQ$1)/AVERAGE('CPI USA'!$U$532,'PPI USA'!$T$538))</f>
        <v/>
      </c>
      <c r="DU181" s="6" t="str">
        <f t="shared" si="40"/>
        <v/>
      </c>
      <c r="DV181" s="6" t="str">
        <f t="shared" si="87"/>
        <v/>
      </c>
      <c r="DW181" s="6">
        <f t="shared" si="42"/>
        <v>0</v>
      </c>
      <c r="DX181" s="16" t="str">
        <f t="shared" si="43"/>
        <v/>
      </c>
      <c r="DY181" s="28" t="str">
        <f>IF(DX181="","",DX181*$DO$1/'CPI USA'!$U$532+(1-DX181)*AVERAGE($DO$1,$DQ$1)/AVERAGE('CPI USA'!$U$532,'PPI USA'!$T$538))</f>
        <v/>
      </c>
      <c r="DZ181" s="30"/>
      <c r="EA181" s="29" t="str">
        <f t="shared" si="44"/>
        <v>C005059</v>
      </c>
      <c r="EB181" s="29" t="str">
        <f t="shared" si="45"/>
        <v/>
      </c>
      <c r="EC181" s="29" t="str">
        <f t="shared" si="46"/>
        <v/>
      </c>
      <c r="ED181" s="29" t="str">
        <f t="shared" si="47"/>
        <v/>
      </c>
      <c r="EE181" s="29" t="str">
        <f t="shared" si="48"/>
        <v/>
      </c>
      <c r="EF181" s="29" t="str">
        <f t="shared" si="49"/>
        <v/>
      </c>
      <c r="EG181" s="29" t="str">
        <f t="shared" si="50"/>
        <v/>
      </c>
      <c r="EH181" s="29" t="str">
        <f t="shared" si="51"/>
        <v/>
      </c>
      <c r="EI181" s="29" t="str">
        <f t="shared" si="52"/>
        <v/>
      </c>
      <c r="EJ181" s="29" t="str">
        <f t="shared" si="53"/>
        <v/>
      </c>
      <c r="EK181" s="29" t="str">
        <f t="shared" si="54"/>
        <v/>
      </c>
      <c r="EL181" s="29" t="str">
        <f>IF(CD181=1,VLOOKUP(EA181,'EIA 2023'!$A$2:$J$213,4,0)*EH181,"")</f>
        <v/>
      </c>
      <c r="EM181" s="29" t="str">
        <f>IF(CD181=1,VLOOKUP(EA181,'EIA 2023'!$A$2:$J$213,7,0)*EH181,"")</f>
        <v/>
      </c>
      <c r="EN181" s="29" t="str">
        <f>IF(CD181=1,VLOOKUP(EA181,'EIA 2023'!$A$2:$J$213,10,0),"")</f>
        <v/>
      </c>
      <c r="EO181" s="28" t="str">
        <f>IF(CD181=1,VLOOKUP(EA181,'EIA 2023'!$A$2:$Z$213,26,0),"")</f>
        <v/>
      </c>
      <c r="EP181" s="23" t="str">
        <f t="shared" si="55"/>
        <v/>
      </c>
      <c r="EQ181" s="32" t="str">
        <f t="shared" si="56"/>
        <v/>
      </c>
      <c r="ER181" s="32" t="str">
        <f t="shared" si="57"/>
        <v/>
      </c>
      <c r="ES181" s="32"/>
      <c r="ET181" s="32"/>
    </row>
    <row r="182" spans="1:150" ht="15.75" customHeight="1">
      <c r="A182" s="7" t="s">
        <v>757</v>
      </c>
      <c r="B182" s="7" t="s">
        <v>758</v>
      </c>
      <c r="C182" s="32" t="s">
        <v>1267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1088459</v>
      </c>
      <c r="J182" s="42">
        <v>37262</v>
      </c>
      <c r="K182" s="42">
        <v>0</v>
      </c>
      <c r="L182" s="42">
        <v>10044</v>
      </c>
      <c r="M182" s="42">
        <v>0</v>
      </c>
      <c r="N182" s="42">
        <v>0</v>
      </c>
      <c r="O182" s="42">
        <v>0</v>
      </c>
      <c r="P182" s="42">
        <v>0</v>
      </c>
      <c r="Q182" s="42">
        <v>137378</v>
      </c>
      <c r="R182" s="42">
        <v>0</v>
      </c>
      <c r="S182" s="42">
        <v>0</v>
      </c>
      <c r="T182" s="42">
        <v>30295</v>
      </c>
      <c r="U182" s="42">
        <v>0</v>
      </c>
      <c r="V182" s="42">
        <v>0</v>
      </c>
      <c r="W182" s="42">
        <v>0</v>
      </c>
      <c r="X182" s="42">
        <f>IFERROR(VLOOKUP(A182,'Trans 21-23'!$A$2:$J$229,10,0),0)</f>
        <v>0</v>
      </c>
      <c r="Y182" s="42">
        <v>0</v>
      </c>
      <c r="Z182" s="42">
        <v>0</v>
      </c>
      <c r="AA182" s="42">
        <v>0</v>
      </c>
      <c r="AB182" s="42">
        <v>0</v>
      </c>
      <c r="AC182" s="42">
        <v>0</v>
      </c>
      <c r="AD182" s="42">
        <v>3805373</v>
      </c>
      <c r="AE182" s="42">
        <v>0</v>
      </c>
      <c r="AF182" s="42">
        <v>5278994</v>
      </c>
      <c r="AG182" s="42">
        <v>0</v>
      </c>
      <c r="AH182" s="42">
        <v>0</v>
      </c>
      <c r="AI182" s="42">
        <v>0</v>
      </c>
      <c r="AJ182" s="42">
        <v>0</v>
      </c>
      <c r="AK182" s="42">
        <v>0</v>
      </c>
      <c r="AL182" s="42">
        <v>0</v>
      </c>
      <c r="AM182" s="42">
        <v>0</v>
      </c>
      <c r="AN182" s="42">
        <v>0</v>
      </c>
      <c r="AO182" s="42">
        <v>0</v>
      </c>
      <c r="AP182" s="42">
        <v>0</v>
      </c>
      <c r="AQ182" s="42">
        <v>0</v>
      </c>
      <c r="AR182" s="42">
        <v>0</v>
      </c>
      <c r="AS182" s="42">
        <v>0</v>
      </c>
      <c r="AT182" s="42">
        <v>0</v>
      </c>
      <c r="AU182" s="42">
        <v>0</v>
      </c>
      <c r="AV182" s="42">
        <v>0</v>
      </c>
      <c r="AW182" s="42">
        <v>19803752</v>
      </c>
      <c r="AX182" s="42">
        <v>0</v>
      </c>
      <c r="AY182" s="42">
        <v>0</v>
      </c>
      <c r="AZ182" s="42">
        <v>0</v>
      </c>
      <c r="BA182" s="42">
        <v>0</v>
      </c>
      <c r="BB182" s="42">
        <v>93089253</v>
      </c>
      <c r="BC182" s="42">
        <v>111384590</v>
      </c>
      <c r="BD182" s="42">
        <v>86766</v>
      </c>
      <c r="BE182" s="42">
        <v>20766752</v>
      </c>
      <c r="BF182" s="42">
        <v>2107348</v>
      </c>
      <c r="BG182" s="42">
        <v>0</v>
      </c>
      <c r="BH182" s="42">
        <v>0</v>
      </c>
      <c r="BI182" s="42">
        <v>0</v>
      </c>
      <c r="BJ182" s="42">
        <v>0</v>
      </c>
      <c r="BK182" s="42">
        <v>0</v>
      </c>
      <c r="BL182" s="42">
        <v>0</v>
      </c>
      <c r="BM182" s="42">
        <v>0</v>
      </c>
      <c r="BN182" s="42">
        <v>0</v>
      </c>
      <c r="BO182" s="42">
        <v>0</v>
      </c>
      <c r="BP182" s="42">
        <v>0</v>
      </c>
      <c r="BQ182" s="42">
        <v>0</v>
      </c>
      <c r="BR182" s="42">
        <v>0</v>
      </c>
      <c r="BS182" s="42">
        <f>IFERROR(VLOOKUP(A182,'Trans 21-23'!$A$2:$J$229,9,0),0)</f>
        <v>0</v>
      </c>
      <c r="BT182" s="67"/>
      <c r="BU182" s="32">
        <f t="shared" si="0"/>
        <v>93089253</v>
      </c>
      <c r="BV182" s="32">
        <f t="shared" si="1"/>
        <v>0</v>
      </c>
      <c r="BW182" s="32">
        <f t="shared" si="2"/>
        <v>0</v>
      </c>
      <c r="BX182" s="32">
        <f t="shared" si="3"/>
        <v>1303438</v>
      </c>
      <c r="BY182" s="32">
        <f t="shared" si="4"/>
        <v>0</v>
      </c>
      <c r="BZ182" s="32">
        <f t="shared" si="5"/>
        <v>0</v>
      </c>
      <c r="CA182" s="32">
        <f t="shared" si="6"/>
        <v>3805373</v>
      </c>
      <c r="CB182" s="32">
        <f t="shared" si="7"/>
        <v>0</v>
      </c>
      <c r="CC182" s="32">
        <f t="shared" si="8"/>
        <v>0</v>
      </c>
      <c r="CD182" s="41">
        <f t="shared" si="74"/>
        <v>0</v>
      </c>
      <c r="CE182" s="44">
        <f t="shared" si="10"/>
        <v>55</v>
      </c>
      <c r="CF182" s="27"/>
      <c r="CG182" s="28" t="str">
        <f t="shared" si="11"/>
        <v/>
      </c>
      <c r="CH182" s="28" t="str">
        <f t="shared" si="12"/>
        <v/>
      </c>
      <c r="CI182" s="28" t="str">
        <f t="shared" si="13"/>
        <v/>
      </c>
      <c r="CJ182" s="28" t="str">
        <f t="shared" si="14"/>
        <v/>
      </c>
      <c r="CK182" s="23" t="str">
        <f t="shared" si="15"/>
        <v/>
      </c>
      <c r="CL182" s="29" t="str">
        <f t="shared" si="16"/>
        <v/>
      </c>
      <c r="CM182" s="29" t="str">
        <f t="shared" si="17"/>
        <v/>
      </c>
      <c r="CN182" s="29" t="str">
        <f t="shared" si="18"/>
        <v/>
      </c>
      <c r="CO182" s="29" t="str">
        <f t="shared" si="19"/>
        <v/>
      </c>
      <c r="CP182" s="29" t="str">
        <f t="shared" si="20"/>
        <v/>
      </c>
      <c r="CQ182" s="29" t="str">
        <f t="shared" si="21"/>
        <v/>
      </c>
      <c r="CR182" s="13"/>
      <c r="CS182" s="7" t="str">
        <f>VLOOKUP(A182,'Empresas 21-23'!$A$2:$M$228,13,0)</f>
        <v/>
      </c>
      <c r="CT182" s="30"/>
      <c r="CU182" s="6">
        <f t="shared" si="22"/>
        <v>93089253</v>
      </c>
      <c r="CV182" s="6">
        <f t="shared" si="23"/>
        <v>0</v>
      </c>
      <c r="CW182" s="6">
        <f t="shared" si="24"/>
        <v>86766</v>
      </c>
      <c r="CX182" s="23">
        <f t="shared" si="88"/>
        <v>0.83639778078680138</v>
      </c>
      <c r="CY182" s="23">
        <f t="shared" si="89"/>
        <v>0</v>
      </c>
      <c r="CZ182" s="6">
        <f t="shared" si="27"/>
        <v>93161823.889847741</v>
      </c>
      <c r="DA182" s="6">
        <f t="shared" si="28"/>
        <v>0</v>
      </c>
      <c r="DB182" s="6">
        <f t="shared" si="29"/>
        <v>1303438</v>
      </c>
      <c r="DC182" s="6">
        <f t="shared" si="30"/>
        <v>1303438</v>
      </c>
      <c r="DD182" s="6">
        <f t="shared" si="31"/>
        <v>0</v>
      </c>
      <c r="DE182" s="6">
        <f t="shared" si="32"/>
        <v>3805373</v>
      </c>
      <c r="DF182" s="6">
        <f t="shared" si="86"/>
        <v>3365904.6473781252</v>
      </c>
      <c r="DG182" s="30"/>
      <c r="DH182" s="32">
        <f>VLOOKUP(A182,'T_med_comp-USA'!$A$7:$Q$233,17,0)</f>
        <v>9.1716659616021392</v>
      </c>
      <c r="DI182" s="6" t="str">
        <f t="shared" si="34"/>
        <v>10_2014</v>
      </c>
      <c r="DJ182" s="32">
        <f>IF(DI182="","",VLOOKUP(DI182,'CPI USA'!$T:$U,2,FALSE))</f>
        <v>237.43299999999999</v>
      </c>
      <c r="DK182" s="32">
        <f>IF(DI182="","",VLOOKUP(DI182,'PPI USA'!$S:$T,2,FALSE))</f>
        <v>181.3</v>
      </c>
      <c r="DL182" s="32">
        <f>IF(DI182="","",VLOOKUP(DI182,'CPI USA'!$T:$V,3,FALSE))</f>
        <v>0.66756601812039096</v>
      </c>
      <c r="DM182" s="32">
        <f>IF(DI182="","",VLOOKUP(DI182,'CPI USA'!$T:$X,5,FALSE))</f>
        <v>0.49542529667095003</v>
      </c>
      <c r="DN182" s="32">
        <f t="shared" si="35"/>
        <v>1.3436449732207416</v>
      </c>
      <c r="DO182" s="32">
        <f t="shared" si="36"/>
        <v>1.3542238044000909</v>
      </c>
      <c r="DP182" s="32">
        <f t="shared" si="37"/>
        <v>0.2</v>
      </c>
      <c r="DQ182" s="32">
        <f>IF(DP182="","",DP182*$DO$1/'CPI USA'!$U$532+(1-DP182)*AVERAGE($DO$1,$DQ$1)/AVERAGE('CPI USA'!$U$532,'PPI USA'!$T$538))</f>
        <v>1.0426818386380585</v>
      </c>
      <c r="DR182" s="6">
        <f t="shared" si="38"/>
        <v>0</v>
      </c>
      <c r="DS182" s="32" t="str">
        <f t="shared" si="39"/>
        <v/>
      </c>
      <c r="DT182" s="28" t="str">
        <f>IF(DS182="","",DS182*$DO$1/'CPI USA'!$U$532+(1-DS182)*AVERAGE($DO$1,$DQ$1)/AVERAGE('CPI USA'!$U$532,'PPI USA'!$T$538))</f>
        <v/>
      </c>
      <c r="DU182" s="6">
        <f t="shared" si="40"/>
        <v>0</v>
      </c>
      <c r="DV182" s="6" t="str">
        <f t="shared" si="87"/>
        <v/>
      </c>
      <c r="DW182" s="6">
        <f t="shared" si="42"/>
        <v>0</v>
      </c>
      <c r="DX182" s="16" t="str">
        <f t="shared" si="43"/>
        <v/>
      </c>
      <c r="DY182" s="28" t="str">
        <f>IF(DX182="","",DX182*$DO$1/'CPI USA'!$U$532+(1-DX182)*AVERAGE($DO$1,$DQ$1)/AVERAGE('CPI USA'!$U$532,'PPI USA'!$T$538))</f>
        <v/>
      </c>
      <c r="DZ182" s="30"/>
      <c r="EA182" s="29" t="str">
        <f t="shared" si="44"/>
        <v>C005067</v>
      </c>
      <c r="EB182" s="29" t="str">
        <f t="shared" si="45"/>
        <v/>
      </c>
      <c r="EC182" s="29" t="str">
        <f t="shared" si="46"/>
        <v/>
      </c>
      <c r="ED182" s="29" t="str">
        <f t="shared" si="47"/>
        <v/>
      </c>
      <c r="EE182" s="29" t="str">
        <f t="shared" si="48"/>
        <v/>
      </c>
      <c r="EF182" s="29" t="str">
        <f t="shared" si="49"/>
        <v/>
      </c>
      <c r="EG182" s="29" t="str">
        <f t="shared" si="50"/>
        <v/>
      </c>
      <c r="EH182" s="29" t="str">
        <f t="shared" si="51"/>
        <v/>
      </c>
      <c r="EI182" s="29" t="str">
        <f t="shared" si="52"/>
        <v/>
      </c>
      <c r="EJ182" s="29" t="str">
        <f t="shared" si="53"/>
        <v/>
      </c>
      <c r="EK182" s="29" t="str">
        <f t="shared" si="54"/>
        <v/>
      </c>
      <c r="EL182" s="29" t="str">
        <f>IF(CD182=1,VLOOKUP(EA182,'EIA 2023'!$A$2:$J$213,4,0)*EH182,"")</f>
        <v/>
      </c>
      <c r="EM182" s="29" t="str">
        <f>IF(CD182=1,VLOOKUP(EA182,'EIA 2023'!$A$2:$J$213,7,0)*EH182,"")</f>
        <v/>
      </c>
      <c r="EN182" s="29" t="str">
        <f>IF(CD182=1,VLOOKUP(EA182,'EIA 2023'!$A$2:$J$213,10,0),"")</f>
        <v/>
      </c>
      <c r="EO182" s="28" t="str">
        <f>IF(CD182=1,VLOOKUP(EA182,'EIA 2023'!$A$2:$Z$213,26,0),"")</f>
        <v/>
      </c>
      <c r="EP182" s="23" t="str">
        <f t="shared" si="55"/>
        <v/>
      </c>
      <c r="EQ182" s="32" t="str">
        <f t="shared" si="56"/>
        <v/>
      </c>
      <c r="ER182" s="32" t="str">
        <f t="shared" si="57"/>
        <v/>
      </c>
      <c r="ES182" s="32"/>
      <c r="ET182" s="32"/>
    </row>
    <row r="183" spans="1:150" ht="15.75" customHeight="1">
      <c r="A183" s="7" t="s">
        <v>760</v>
      </c>
      <c r="B183" s="7" t="s">
        <v>761</v>
      </c>
      <c r="C183" s="32" t="s">
        <v>1268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42">
        <v>0</v>
      </c>
      <c r="S183" s="42">
        <v>0</v>
      </c>
      <c r="T183" s="42">
        <v>0</v>
      </c>
      <c r="U183" s="42">
        <v>0</v>
      </c>
      <c r="V183" s="42">
        <v>0</v>
      </c>
      <c r="W183" s="42">
        <v>0</v>
      </c>
      <c r="X183" s="42">
        <f>IFERROR(VLOOKUP(A183,'Trans 21-23'!$A$2:$J$229,10,0),0)</f>
        <v>0</v>
      </c>
      <c r="Y183" s="42">
        <v>0</v>
      </c>
      <c r="Z183" s="42">
        <v>0</v>
      </c>
      <c r="AA183" s="42">
        <v>0</v>
      </c>
      <c r="AB183" s="42">
        <v>0</v>
      </c>
      <c r="AC183" s="42">
        <v>0</v>
      </c>
      <c r="AD183" s="42">
        <v>5921673</v>
      </c>
      <c r="AE183" s="42">
        <v>0</v>
      </c>
      <c r="AF183" s="42">
        <v>19273135</v>
      </c>
      <c r="AG183" s="42">
        <v>0</v>
      </c>
      <c r="AH183" s="42">
        <v>0</v>
      </c>
      <c r="AI183" s="42">
        <v>0</v>
      </c>
      <c r="AJ183" s="42">
        <v>0</v>
      </c>
      <c r="AK183" s="42">
        <v>0</v>
      </c>
      <c r="AL183" s="42">
        <v>0</v>
      </c>
      <c r="AM183" s="42">
        <v>0</v>
      </c>
      <c r="AN183" s="42">
        <v>0</v>
      </c>
      <c r="AO183" s="42">
        <v>0</v>
      </c>
      <c r="AP183" s="42">
        <v>0</v>
      </c>
      <c r="AQ183" s="42">
        <v>0</v>
      </c>
      <c r="AR183" s="42">
        <v>0</v>
      </c>
      <c r="AS183" s="42">
        <v>0</v>
      </c>
      <c r="AT183" s="42">
        <v>0</v>
      </c>
      <c r="AU183" s="42">
        <v>0</v>
      </c>
      <c r="AV183" s="42">
        <v>0</v>
      </c>
      <c r="AW183" s="42">
        <v>0</v>
      </c>
      <c r="AX183" s="42">
        <v>0</v>
      </c>
      <c r="AY183" s="42">
        <v>0</v>
      </c>
      <c r="AZ183" s="42">
        <v>0</v>
      </c>
      <c r="BA183" s="42">
        <v>0</v>
      </c>
      <c r="BB183" s="42">
        <v>0</v>
      </c>
      <c r="BC183" s="42">
        <v>263285285</v>
      </c>
      <c r="BD183" s="42">
        <v>4254947</v>
      </c>
      <c r="BE183" s="42">
        <v>0</v>
      </c>
      <c r="BF183" s="42">
        <v>0</v>
      </c>
      <c r="BG183" s="42">
        <v>0</v>
      </c>
      <c r="BH183" s="42">
        <v>0</v>
      </c>
      <c r="BI183" s="42">
        <v>0</v>
      </c>
      <c r="BJ183" s="42">
        <v>0</v>
      </c>
      <c r="BK183" s="42">
        <v>0</v>
      </c>
      <c r="BL183" s="42">
        <v>0</v>
      </c>
      <c r="BM183" s="42">
        <v>0</v>
      </c>
      <c r="BN183" s="42">
        <v>0</v>
      </c>
      <c r="BO183" s="42">
        <v>0</v>
      </c>
      <c r="BP183" s="42">
        <v>0</v>
      </c>
      <c r="BQ183" s="42">
        <v>0</v>
      </c>
      <c r="BR183" s="42">
        <v>0</v>
      </c>
      <c r="BS183" s="42">
        <f>IFERROR(VLOOKUP(A183,'Trans 21-23'!$A$2:$J$229,9,0),0)</f>
        <v>0</v>
      </c>
      <c r="BT183" s="67"/>
      <c r="BU183" s="32">
        <f t="shared" si="0"/>
        <v>0</v>
      </c>
      <c r="BV183" s="32">
        <f t="shared" si="1"/>
        <v>0</v>
      </c>
      <c r="BW183" s="32">
        <f t="shared" si="2"/>
        <v>0</v>
      </c>
      <c r="BX183" s="32">
        <f t="shared" si="3"/>
        <v>0</v>
      </c>
      <c r="BY183" s="32">
        <f t="shared" si="4"/>
        <v>0</v>
      </c>
      <c r="BZ183" s="32">
        <f t="shared" si="5"/>
        <v>0</v>
      </c>
      <c r="CA183" s="32">
        <f t="shared" si="6"/>
        <v>5921673</v>
      </c>
      <c r="CB183" s="32">
        <f t="shared" si="7"/>
        <v>0</v>
      </c>
      <c r="CC183" s="32">
        <f t="shared" si="8"/>
        <v>0</v>
      </c>
      <c r="CD183" s="41">
        <f t="shared" si="74"/>
        <v>0</v>
      </c>
      <c r="CE183" s="44">
        <f t="shared" si="10"/>
        <v>64</v>
      </c>
      <c r="CF183" s="27"/>
      <c r="CG183" s="28" t="str">
        <f t="shared" si="11"/>
        <v/>
      </c>
      <c r="CH183" s="28" t="str">
        <f t="shared" si="12"/>
        <v/>
      </c>
      <c r="CI183" s="28" t="str">
        <f t="shared" si="13"/>
        <v/>
      </c>
      <c r="CJ183" s="28" t="str">
        <f t="shared" si="14"/>
        <v/>
      </c>
      <c r="CK183" s="23" t="str">
        <f t="shared" si="15"/>
        <v/>
      </c>
      <c r="CL183" s="29" t="str">
        <f t="shared" si="16"/>
        <v/>
      </c>
      <c r="CM183" s="29" t="str">
        <f t="shared" si="17"/>
        <v/>
      </c>
      <c r="CN183" s="29" t="str">
        <f t="shared" si="18"/>
        <v/>
      </c>
      <c r="CO183" s="29" t="str">
        <f t="shared" si="19"/>
        <v/>
      </c>
      <c r="CP183" s="29" t="str">
        <f t="shared" si="20"/>
        <v/>
      </c>
      <c r="CQ183" s="29" t="str">
        <f t="shared" si="21"/>
        <v/>
      </c>
      <c r="CR183" s="13"/>
      <c r="CS183" s="7" t="str">
        <f>VLOOKUP(A183,'Empresas 21-23'!$A$2:$M$228,13,0)</f>
        <v/>
      </c>
      <c r="CT183" s="30"/>
      <c r="CU183" s="6">
        <f t="shared" si="22"/>
        <v>0</v>
      </c>
      <c r="CV183" s="6">
        <f t="shared" si="23"/>
        <v>0</v>
      </c>
      <c r="CW183" s="6">
        <f t="shared" si="24"/>
        <v>4254947</v>
      </c>
      <c r="CX183" s="23">
        <f t="shared" si="88"/>
        <v>0</v>
      </c>
      <c r="CY183" s="23">
        <f t="shared" si="89"/>
        <v>0</v>
      </c>
      <c r="CZ183" s="6">
        <f t="shared" si="27"/>
        <v>0</v>
      </c>
      <c r="DA183" s="6">
        <f t="shared" si="28"/>
        <v>0</v>
      </c>
      <c r="DB183" s="6">
        <f t="shared" si="29"/>
        <v>0</v>
      </c>
      <c r="DC183" s="6">
        <f t="shared" si="30"/>
        <v>0</v>
      </c>
      <c r="DD183" s="6">
        <f t="shared" si="31"/>
        <v>0</v>
      </c>
      <c r="DE183" s="6">
        <f t="shared" si="32"/>
        <v>5921673</v>
      </c>
      <c r="DF183" s="6">
        <f t="shared" si="86"/>
        <v>0</v>
      </c>
      <c r="DG183" s="30"/>
      <c r="DH183" s="32" t="str">
        <f>VLOOKUP(A183,'T_med_comp-USA'!$A$7:$Q$233,17,0)</f>
        <v>-</v>
      </c>
      <c r="DI183" s="6" t="str">
        <f t="shared" si="34"/>
        <v/>
      </c>
      <c r="DJ183" s="32" t="str">
        <f>IF(DI183="","",VLOOKUP(DI183,'CPI USA'!$T:$U,2,FALSE))</f>
        <v/>
      </c>
      <c r="DK183" s="32" t="str">
        <f>IF(DI183="","",VLOOKUP(DI183,'PPI USA'!$S:$T,2,FALSE))</f>
        <v/>
      </c>
      <c r="DL183" s="32" t="str">
        <f>IF(DI183="","",VLOOKUP(DI183,'CPI USA'!$T:$V,3,FALSE))</f>
        <v/>
      </c>
      <c r="DM183" s="32" t="str">
        <f>IF(DI183="","",VLOOKUP(DI183,'CPI USA'!$T:$X,5,FALSE))</f>
        <v/>
      </c>
      <c r="DN183" s="32" t="str">
        <f t="shared" si="35"/>
        <v/>
      </c>
      <c r="DO183" s="32" t="str">
        <f t="shared" si="36"/>
        <v/>
      </c>
      <c r="DP183" s="32" t="str">
        <f t="shared" si="37"/>
        <v/>
      </c>
      <c r="DQ183" s="32" t="str">
        <f>IF(DP183="","",DP183*$DO$1/'CPI USA'!$U$532+(1-DP183)*AVERAGE($DO$1,$DQ$1)/AVERAGE('CPI USA'!$U$532,'PPI USA'!$T$538))</f>
        <v/>
      </c>
      <c r="DR183" s="6">
        <f t="shared" si="38"/>
        <v>0</v>
      </c>
      <c r="DS183" s="32" t="str">
        <f t="shared" si="39"/>
        <v/>
      </c>
      <c r="DT183" s="28" t="str">
        <f>IF(DS183="","",DS183*$DO$1/'CPI USA'!$U$532+(1-DS183)*AVERAGE($DO$1,$DQ$1)/AVERAGE('CPI USA'!$U$532,'PPI USA'!$T$538))</f>
        <v/>
      </c>
      <c r="DU183" s="6" t="str">
        <f t="shared" si="40"/>
        <v/>
      </c>
      <c r="DV183" s="6" t="str">
        <f t="shared" si="87"/>
        <v/>
      </c>
      <c r="DW183" s="6">
        <f t="shared" si="42"/>
        <v>0</v>
      </c>
      <c r="DX183" s="16" t="str">
        <f t="shared" si="43"/>
        <v/>
      </c>
      <c r="DY183" s="28" t="str">
        <f>IF(DX183="","",DX183*$DO$1/'CPI USA'!$U$532+(1-DX183)*AVERAGE($DO$1,$DQ$1)/AVERAGE('CPI USA'!$U$532,'PPI USA'!$T$538))</f>
        <v/>
      </c>
      <c r="DZ183" s="30"/>
      <c r="EA183" s="29" t="str">
        <f t="shared" si="44"/>
        <v>C005423</v>
      </c>
      <c r="EB183" s="29" t="str">
        <f t="shared" si="45"/>
        <v/>
      </c>
      <c r="EC183" s="29" t="str">
        <f t="shared" si="46"/>
        <v/>
      </c>
      <c r="ED183" s="29" t="str">
        <f t="shared" si="47"/>
        <v/>
      </c>
      <c r="EE183" s="29" t="str">
        <f t="shared" si="48"/>
        <v/>
      </c>
      <c r="EF183" s="29" t="str">
        <f t="shared" si="49"/>
        <v/>
      </c>
      <c r="EG183" s="29" t="str">
        <f t="shared" si="50"/>
        <v/>
      </c>
      <c r="EH183" s="29" t="str">
        <f t="shared" si="51"/>
        <v/>
      </c>
      <c r="EI183" s="29" t="str">
        <f t="shared" si="52"/>
        <v/>
      </c>
      <c r="EJ183" s="29" t="str">
        <f t="shared" si="53"/>
        <v/>
      </c>
      <c r="EK183" s="29" t="str">
        <f t="shared" si="54"/>
        <v/>
      </c>
      <c r="EL183" s="29" t="str">
        <f>IF(CD183=1,VLOOKUP(EA183,'EIA 2023'!$A$2:$J$213,4,0)*EH183,"")</f>
        <v/>
      </c>
      <c r="EM183" s="29" t="str">
        <f>IF(CD183=1,VLOOKUP(EA183,'EIA 2023'!$A$2:$J$213,7,0)*EH183,"")</f>
        <v/>
      </c>
      <c r="EN183" s="29" t="str">
        <f>IF(CD183=1,VLOOKUP(EA183,'EIA 2023'!$A$2:$J$213,10,0),"")</f>
        <v/>
      </c>
      <c r="EO183" s="28" t="str">
        <f>IF(CD183=1,VLOOKUP(EA183,'EIA 2023'!$A$2:$Z$213,26,0),"")</f>
        <v/>
      </c>
      <c r="EP183" s="23" t="str">
        <f t="shared" si="55"/>
        <v/>
      </c>
      <c r="EQ183" s="32" t="str">
        <f t="shared" si="56"/>
        <v/>
      </c>
      <c r="ER183" s="32" t="str">
        <f t="shared" si="57"/>
        <v/>
      </c>
      <c r="ES183" s="32"/>
      <c r="ET183" s="32"/>
    </row>
    <row r="184" spans="1:150" ht="15.75" customHeight="1">
      <c r="A184" s="7" t="s">
        <v>763</v>
      </c>
      <c r="B184" s="7" t="s">
        <v>764</v>
      </c>
      <c r="C184" s="32" t="s">
        <v>1269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  <c r="M184" s="42">
        <v>0</v>
      </c>
      <c r="N184" s="42">
        <v>0</v>
      </c>
      <c r="O184" s="42">
        <v>0</v>
      </c>
      <c r="P184" s="42">
        <v>0</v>
      </c>
      <c r="Q184" s="42">
        <v>0</v>
      </c>
      <c r="R184" s="42">
        <v>0</v>
      </c>
      <c r="S184" s="42">
        <v>0</v>
      </c>
      <c r="T184" s="42">
        <v>0</v>
      </c>
      <c r="U184" s="42">
        <v>0</v>
      </c>
      <c r="V184" s="42">
        <v>0</v>
      </c>
      <c r="W184" s="42">
        <v>0</v>
      </c>
      <c r="X184" s="42">
        <f>IFERROR(VLOOKUP(A184,'Trans 21-23'!$A$2:$J$229,10,0),0)</f>
        <v>0</v>
      </c>
      <c r="Y184" s="42">
        <v>0</v>
      </c>
      <c r="Z184" s="42">
        <v>0</v>
      </c>
      <c r="AA184" s="42">
        <v>0</v>
      </c>
      <c r="AB184" s="42">
        <v>0</v>
      </c>
      <c r="AC184" s="42">
        <v>0</v>
      </c>
      <c r="AD184" s="42">
        <v>585396</v>
      </c>
      <c r="AE184" s="42">
        <v>0</v>
      </c>
      <c r="AF184" s="42">
        <v>718231</v>
      </c>
      <c r="AG184" s="42">
        <v>0</v>
      </c>
      <c r="AH184" s="42">
        <v>0</v>
      </c>
      <c r="AI184" s="42">
        <v>0</v>
      </c>
      <c r="AJ184" s="42">
        <v>0</v>
      </c>
      <c r="AK184" s="42">
        <v>0</v>
      </c>
      <c r="AL184" s="42">
        <v>0</v>
      </c>
      <c r="AM184" s="42">
        <v>0</v>
      </c>
      <c r="AN184" s="42">
        <v>0</v>
      </c>
      <c r="AO184" s="42">
        <v>0</v>
      </c>
      <c r="AP184" s="42">
        <v>0</v>
      </c>
      <c r="AQ184" s="42">
        <v>0</v>
      </c>
      <c r="AR184" s="42">
        <v>0</v>
      </c>
      <c r="AS184" s="42">
        <v>0</v>
      </c>
      <c r="AT184" s="42">
        <v>0</v>
      </c>
      <c r="AU184" s="42">
        <v>0</v>
      </c>
      <c r="AV184" s="42">
        <v>0</v>
      </c>
      <c r="AW184" s="42">
        <v>0</v>
      </c>
      <c r="AX184" s="42">
        <v>0</v>
      </c>
      <c r="AY184" s="42">
        <v>0</v>
      </c>
      <c r="AZ184" s="42">
        <v>0</v>
      </c>
      <c r="BA184" s="42">
        <v>0</v>
      </c>
      <c r="BB184" s="42">
        <v>0</v>
      </c>
      <c r="BC184" s="42">
        <v>74004970</v>
      </c>
      <c r="BD184" s="42">
        <v>0</v>
      </c>
      <c r="BE184" s="42">
        <v>0</v>
      </c>
      <c r="BF184" s="42">
        <v>0</v>
      </c>
      <c r="BG184" s="42">
        <v>0</v>
      </c>
      <c r="BH184" s="42">
        <v>0</v>
      </c>
      <c r="BI184" s="42">
        <v>0</v>
      </c>
      <c r="BJ184" s="42">
        <v>0</v>
      </c>
      <c r="BK184" s="42">
        <v>0</v>
      </c>
      <c r="BL184" s="42">
        <v>0</v>
      </c>
      <c r="BM184" s="42">
        <v>0</v>
      </c>
      <c r="BN184" s="42">
        <v>0</v>
      </c>
      <c r="BO184" s="42">
        <v>0</v>
      </c>
      <c r="BP184" s="42">
        <v>0</v>
      </c>
      <c r="BQ184" s="42">
        <v>0</v>
      </c>
      <c r="BR184" s="42">
        <v>0</v>
      </c>
      <c r="BS184" s="42">
        <f>IFERROR(VLOOKUP(A184,'Trans 21-23'!$A$2:$J$229,9,0),0)</f>
        <v>0</v>
      </c>
      <c r="BT184" s="67"/>
      <c r="BU184" s="32">
        <f t="shared" si="0"/>
        <v>0</v>
      </c>
      <c r="BV184" s="32">
        <f t="shared" si="1"/>
        <v>0</v>
      </c>
      <c r="BW184" s="32">
        <f t="shared" si="2"/>
        <v>0</v>
      </c>
      <c r="BX184" s="32">
        <f t="shared" si="3"/>
        <v>0</v>
      </c>
      <c r="BY184" s="32">
        <f t="shared" si="4"/>
        <v>0</v>
      </c>
      <c r="BZ184" s="32">
        <f t="shared" si="5"/>
        <v>0</v>
      </c>
      <c r="CA184" s="32">
        <f t="shared" si="6"/>
        <v>585396</v>
      </c>
      <c r="CB184" s="32">
        <f t="shared" si="7"/>
        <v>0</v>
      </c>
      <c r="CC184" s="32">
        <f t="shared" si="8"/>
        <v>0</v>
      </c>
      <c r="CD184" s="41">
        <f t="shared" si="74"/>
        <v>0</v>
      </c>
      <c r="CE184" s="44">
        <f t="shared" si="10"/>
        <v>65</v>
      </c>
      <c r="CF184" s="27"/>
      <c r="CG184" s="28" t="str">
        <f t="shared" si="11"/>
        <v/>
      </c>
      <c r="CH184" s="28" t="str">
        <f t="shared" si="12"/>
        <v/>
      </c>
      <c r="CI184" s="28" t="str">
        <f t="shared" si="13"/>
        <v/>
      </c>
      <c r="CJ184" s="28" t="str">
        <f t="shared" si="14"/>
        <v/>
      </c>
      <c r="CK184" s="23" t="str">
        <f t="shared" si="15"/>
        <v/>
      </c>
      <c r="CL184" s="29" t="str">
        <f t="shared" si="16"/>
        <v/>
      </c>
      <c r="CM184" s="29" t="str">
        <f t="shared" si="17"/>
        <v/>
      </c>
      <c r="CN184" s="29" t="str">
        <f t="shared" si="18"/>
        <v/>
      </c>
      <c r="CO184" s="29" t="str">
        <f t="shared" si="19"/>
        <v/>
      </c>
      <c r="CP184" s="29" t="str">
        <f t="shared" si="20"/>
        <v/>
      </c>
      <c r="CQ184" s="29" t="str">
        <f t="shared" si="21"/>
        <v/>
      </c>
      <c r="CR184" s="13"/>
      <c r="CS184" s="7" t="str">
        <f>VLOOKUP(A184,'Empresas 21-23'!$A$2:$M$228,13,0)</f>
        <v/>
      </c>
      <c r="CT184" s="30"/>
      <c r="CU184" s="6">
        <f t="shared" si="22"/>
        <v>0</v>
      </c>
      <c r="CV184" s="6">
        <f t="shared" si="23"/>
        <v>0</v>
      </c>
      <c r="CW184" s="6">
        <f t="shared" si="24"/>
        <v>0</v>
      </c>
      <c r="CX184" s="23">
        <f t="shared" si="88"/>
        <v>0</v>
      </c>
      <c r="CY184" s="23">
        <f t="shared" si="89"/>
        <v>0</v>
      </c>
      <c r="CZ184" s="6">
        <f t="shared" si="27"/>
        <v>0</v>
      </c>
      <c r="DA184" s="6">
        <f t="shared" si="28"/>
        <v>0</v>
      </c>
      <c r="DB184" s="6">
        <f t="shared" si="29"/>
        <v>0</v>
      </c>
      <c r="DC184" s="6">
        <f t="shared" si="30"/>
        <v>0</v>
      </c>
      <c r="DD184" s="6">
        <f t="shared" si="31"/>
        <v>0</v>
      </c>
      <c r="DE184" s="6">
        <f t="shared" si="32"/>
        <v>585396</v>
      </c>
      <c r="DF184" s="6">
        <f t="shared" si="86"/>
        <v>0</v>
      </c>
      <c r="DG184" s="30"/>
      <c r="DH184" s="32" t="str">
        <f>VLOOKUP(A184,'T_med_comp-USA'!$A$7:$Q$233,17,0)</f>
        <v>-</v>
      </c>
      <c r="DI184" s="6" t="str">
        <f t="shared" si="34"/>
        <v/>
      </c>
      <c r="DJ184" s="32" t="str">
        <f>IF(DI184="","",VLOOKUP(DI184,'CPI USA'!$T:$U,2,FALSE))</f>
        <v/>
      </c>
      <c r="DK184" s="32" t="str">
        <f>IF(DI184="","",VLOOKUP(DI184,'PPI USA'!$S:$T,2,FALSE))</f>
        <v/>
      </c>
      <c r="DL184" s="32" t="str">
        <f>IF(DI184="","",VLOOKUP(DI184,'CPI USA'!$T:$V,3,FALSE))</f>
        <v/>
      </c>
      <c r="DM184" s="32" t="str">
        <f>IF(DI184="","",VLOOKUP(DI184,'CPI USA'!$T:$X,5,FALSE))</f>
        <v/>
      </c>
      <c r="DN184" s="32" t="str">
        <f t="shared" si="35"/>
        <v/>
      </c>
      <c r="DO184" s="32" t="str">
        <f t="shared" si="36"/>
        <v/>
      </c>
      <c r="DP184" s="32" t="str">
        <f t="shared" si="37"/>
        <v/>
      </c>
      <c r="DQ184" s="32" t="str">
        <f>IF(DP184="","",DP184*$DO$1/'CPI USA'!$U$532+(1-DP184)*AVERAGE($DO$1,$DQ$1)/AVERAGE('CPI USA'!$U$532,'PPI USA'!$T$538))</f>
        <v/>
      </c>
      <c r="DR184" s="6">
        <f t="shared" si="38"/>
        <v>0</v>
      </c>
      <c r="DS184" s="32" t="str">
        <f t="shared" si="39"/>
        <v/>
      </c>
      <c r="DT184" s="28" t="str">
        <f>IF(DS184="","",DS184*$DO$1/'CPI USA'!$U$532+(1-DS184)*AVERAGE($DO$1,$DQ$1)/AVERAGE('CPI USA'!$U$532,'PPI USA'!$T$538))</f>
        <v/>
      </c>
      <c r="DU184" s="6" t="str">
        <f t="shared" si="40"/>
        <v/>
      </c>
      <c r="DV184" s="6" t="str">
        <f t="shared" si="87"/>
        <v/>
      </c>
      <c r="DW184" s="6">
        <f t="shared" si="42"/>
        <v>0</v>
      </c>
      <c r="DX184" s="16" t="str">
        <f t="shared" si="43"/>
        <v/>
      </c>
      <c r="DY184" s="28" t="str">
        <f>IF(DX184="","",DX184*$DO$1/'CPI USA'!$U$532+(1-DX184)*AVERAGE($DO$1,$DQ$1)/AVERAGE('CPI USA'!$U$532,'PPI USA'!$T$538))</f>
        <v/>
      </c>
      <c r="DZ184" s="30"/>
      <c r="EA184" s="29" t="str">
        <f t="shared" si="44"/>
        <v>C005424</v>
      </c>
      <c r="EB184" s="29" t="str">
        <f t="shared" si="45"/>
        <v/>
      </c>
      <c r="EC184" s="29" t="str">
        <f t="shared" si="46"/>
        <v/>
      </c>
      <c r="ED184" s="29" t="str">
        <f t="shared" si="47"/>
        <v/>
      </c>
      <c r="EE184" s="29" t="str">
        <f t="shared" si="48"/>
        <v/>
      </c>
      <c r="EF184" s="29" t="str">
        <f t="shared" si="49"/>
        <v/>
      </c>
      <c r="EG184" s="29" t="str">
        <f t="shared" si="50"/>
        <v/>
      </c>
      <c r="EH184" s="29" t="str">
        <f t="shared" si="51"/>
        <v/>
      </c>
      <c r="EI184" s="29" t="str">
        <f t="shared" si="52"/>
        <v/>
      </c>
      <c r="EJ184" s="29" t="str">
        <f t="shared" si="53"/>
        <v/>
      </c>
      <c r="EK184" s="29" t="str">
        <f t="shared" si="54"/>
        <v/>
      </c>
      <c r="EL184" s="29" t="str">
        <f>IF(CD184=1,VLOOKUP(EA184,'EIA 2023'!$A$2:$J$213,4,0)*EH184,"")</f>
        <v/>
      </c>
      <c r="EM184" s="29" t="str">
        <f>IF(CD184=1,VLOOKUP(EA184,'EIA 2023'!$A$2:$J$213,7,0)*EH184,"")</f>
        <v/>
      </c>
      <c r="EN184" s="29" t="str">
        <f>IF(CD184=1,VLOOKUP(EA184,'EIA 2023'!$A$2:$J$213,10,0),"")</f>
        <v/>
      </c>
      <c r="EO184" s="28" t="str">
        <f>IF(CD184=1,VLOOKUP(EA184,'EIA 2023'!$A$2:$Z$213,26,0),"")</f>
        <v/>
      </c>
      <c r="EP184" s="23" t="str">
        <f t="shared" si="55"/>
        <v/>
      </c>
      <c r="EQ184" s="32" t="str">
        <f t="shared" si="56"/>
        <v/>
      </c>
      <c r="ER184" s="32" t="str">
        <f t="shared" si="57"/>
        <v/>
      </c>
      <c r="ES184" s="32"/>
      <c r="ET184" s="32"/>
    </row>
    <row r="185" spans="1:150" ht="15.75" customHeight="1">
      <c r="A185" s="7" t="s">
        <v>766</v>
      </c>
      <c r="B185" s="7" t="s">
        <v>767</v>
      </c>
      <c r="C185" s="32" t="s">
        <v>1270</v>
      </c>
      <c r="D185" s="42">
        <v>0</v>
      </c>
      <c r="E185" s="42">
        <v>0</v>
      </c>
      <c r="F185" s="42">
        <v>22992426</v>
      </c>
      <c r="G185" s="42">
        <v>32926798</v>
      </c>
      <c r="H185" s="42">
        <v>33847288</v>
      </c>
      <c r="I185" s="42">
        <v>1419</v>
      </c>
      <c r="J185" s="42">
        <v>91660</v>
      </c>
      <c r="K185" s="42">
        <v>98989</v>
      </c>
      <c r="L185" s="42">
        <v>719086</v>
      </c>
      <c r="M185" s="42">
        <v>87195</v>
      </c>
      <c r="N185" s="42">
        <v>0</v>
      </c>
      <c r="O185" s="42">
        <v>615356</v>
      </c>
      <c r="P185" s="42">
        <v>0</v>
      </c>
      <c r="Q185" s="42">
        <v>865</v>
      </c>
      <c r="R185" s="42">
        <v>1939</v>
      </c>
      <c r="S185" s="42">
        <v>171045</v>
      </c>
      <c r="T185" s="42">
        <v>2385123</v>
      </c>
      <c r="U185" s="42">
        <v>222697</v>
      </c>
      <c r="V185" s="42">
        <v>1160</v>
      </c>
      <c r="W185" s="42">
        <v>0</v>
      </c>
      <c r="X185" s="42">
        <f>IFERROR(VLOOKUP(A185,'Trans 21-23'!$A$2:$J$229,10,0),0)</f>
        <v>0</v>
      </c>
      <c r="Y185" s="42">
        <v>100311</v>
      </c>
      <c r="Z185" s="42">
        <v>0</v>
      </c>
      <c r="AA185" s="42">
        <v>1838219</v>
      </c>
      <c r="AB185" s="42">
        <v>2860114</v>
      </c>
      <c r="AC185" s="42">
        <v>0</v>
      </c>
      <c r="AD185" s="42">
        <v>2959006</v>
      </c>
      <c r="AE185" s="42">
        <v>0</v>
      </c>
      <c r="AF185" s="42">
        <v>98725443</v>
      </c>
      <c r="AG185" s="42">
        <v>37245</v>
      </c>
      <c r="AH185" s="42">
        <v>71965</v>
      </c>
      <c r="AI185" s="42">
        <v>2023869</v>
      </c>
      <c r="AJ185" s="42">
        <v>794</v>
      </c>
      <c r="AK185" s="42">
        <v>0</v>
      </c>
      <c r="AL185" s="42">
        <v>223690</v>
      </c>
      <c r="AM185" s="42">
        <v>135947</v>
      </c>
      <c r="AN185" s="42">
        <v>1464376</v>
      </c>
      <c r="AO185" s="42">
        <v>2190</v>
      </c>
      <c r="AP185" s="42">
        <v>0</v>
      </c>
      <c r="AQ185" s="42">
        <v>1826261</v>
      </c>
      <c r="AR185" s="42">
        <v>124849</v>
      </c>
      <c r="AS185" s="42">
        <v>1951110</v>
      </c>
      <c r="AT185" s="42">
        <v>0</v>
      </c>
      <c r="AU185" s="42">
        <v>281</v>
      </c>
      <c r="AV185" s="42">
        <v>0</v>
      </c>
      <c r="AW185" s="42">
        <v>43489571</v>
      </c>
      <c r="AX185" s="42">
        <v>336183</v>
      </c>
      <c r="AY185" s="42">
        <v>52498999</v>
      </c>
      <c r="AZ185" s="42">
        <v>5803904</v>
      </c>
      <c r="BA185" s="42">
        <v>914571</v>
      </c>
      <c r="BB185" s="42">
        <v>232380885</v>
      </c>
      <c r="BC185" s="42">
        <v>502597564</v>
      </c>
      <c r="BD185" s="42">
        <v>5461374</v>
      </c>
      <c r="BE185" s="42">
        <v>83753027</v>
      </c>
      <c r="BF185" s="42">
        <v>5725464</v>
      </c>
      <c r="BG185" s="42">
        <v>0</v>
      </c>
      <c r="BH185" s="42">
        <v>1269899</v>
      </c>
      <c r="BI185" s="42">
        <v>209112</v>
      </c>
      <c r="BJ185" s="42">
        <v>234666</v>
      </c>
      <c r="BK185" s="42">
        <v>0</v>
      </c>
      <c r="BL185" s="42">
        <v>0</v>
      </c>
      <c r="BM185" s="42">
        <v>1070882</v>
      </c>
      <c r="BN185" s="42">
        <v>4049881</v>
      </c>
      <c r="BO185" s="42">
        <v>46955</v>
      </c>
      <c r="BP185" s="42">
        <v>6825019</v>
      </c>
      <c r="BQ185" s="42">
        <v>0</v>
      </c>
      <c r="BR185" s="42">
        <v>58</v>
      </c>
      <c r="BS185" s="42">
        <f>IFERROR(VLOOKUP(A185,'Trans 21-23'!$A$2:$J$229,9,0),0)</f>
        <v>0</v>
      </c>
      <c r="BT185" s="67"/>
      <c r="BU185" s="32">
        <f t="shared" si="0"/>
        <v>232380885</v>
      </c>
      <c r="BV185" s="32">
        <f t="shared" si="1"/>
        <v>281</v>
      </c>
      <c r="BW185" s="32">
        <f t="shared" si="2"/>
        <v>37245</v>
      </c>
      <c r="BX185" s="32">
        <f t="shared" si="3"/>
        <v>4396534</v>
      </c>
      <c r="BY185" s="32">
        <f t="shared" si="4"/>
        <v>4798644</v>
      </c>
      <c r="BZ185" s="32">
        <f t="shared" si="5"/>
        <v>5803904</v>
      </c>
      <c r="CA185" s="32">
        <f t="shared" si="6"/>
        <v>2959006</v>
      </c>
      <c r="CB185" s="32">
        <f t="shared" si="7"/>
        <v>71965</v>
      </c>
      <c r="CC185" s="32">
        <f t="shared" si="8"/>
        <v>1826261</v>
      </c>
      <c r="CD185" s="41">
        <f t="shared" si="74"/>
        <v>1</v>
      </c>
      <c r="CE185" s="44">
        <f t="shared" si="10"/>
        <v>18</v>
      </c>
      <c r="CF185" s="27"/>
      <c r="CG185" s="28">
        <f t="shared" si="11"/>
        <v>826.9782384341637</v>
      </c>
      <c r="CH185" s="28">
        <f t="shared" si="12"/>
        <v>7.5446368640085915</v>
      </c>
      <c r="CI185" s="28">
        <f t="shared" si="13"/>
        <v>118.0436031682105</v>
      </c>
      <c r="CJ185" s="28">
        <f t="shared" si="14"/>
        <v>155.83042019062961</v>
      </c>
      <c r="CK185" s="23">
        <f t="shared" si="15"/>
        <v>3.9405649028260471E-2</v>
      </c>
      <c r="CL185" s="29" t="str">
        <f t="shared" si="16"/>
        <v/>
      </c>
      <c r="CM185" s="29" t="str">
        <f t="shared" si="17"/>
        <v/>
      </c>
      <c r="CN185" s="29" t="str">
        <f t="shared" si="18"/>
        <v/>
      </c>
      <c r="CO185" s="29" t="str">
        <f t="shared" si="19"/>
        <v/>
      </c>
      <c r="CP185" s="29" t="str">
        <f t="shared" si="20"/>
        <v/>
      </c>
      <c r="CQ185" s="29">
        <f t="shared" si="21"/>
        <v>0</v>
      </c>
      <c r="CR185" s="13"/>
      <c r="CS185" s="7">
        <f>VLOOKUP(A185,'Empresas 21-23'!$A$2:$M$228,13,0)</f>
        <v>1</v>
      </c>
      <c r="CT185" s="30"/>
      <c r="CU185" s="6">
        <f t="shared" si="22"/>
        <v>193961300.80000001</v>
      </c>
      <c r="CV185" s="6">
        <f t="shared" si="23"/>
        <v>5803904</v>
      </c>
      <c r="CW185" s="6">
        <f t="shared" si="24"/>
        <v>5461374</v>
      </c>
      <c r="CX185" s="23">
        <f t="shared" si="88"/>
        <v>0.39015727420689289</v>
      </c>
      <c r="CY185" s="23">
        <f t="shared" si="89"/>
        <v>1.1674676108371832E-2</v>
      </c>
      <c r="CZ185" s="6">
        <f t="shared" si="27"/>
        <v>196092095.5932644</v>
      </c>
      <c r="DA185" s="6">
        <f t="shared" si="28"/>
        <v>5867663.772556683</v>
      </c>
      <c r="DB185" s="6">
        <f t="shared" si="29"/>
        <v>4396534</v>
      </c>
      <c r="DC185" s="6">
        <f t="shared" si="30"/>
        <v>4396534</v>
      </c>
      <c r="DD185" s="6">
        <f t="shared" si="31"/>
        <v>4798644</v>
      </c>
      <c r="DE185" s="6">
        <f t="shared" si="32"/>
        <v>2959006</v>
      </c>
      <c r="DF185" s="6">
        <f t="shared" si="86"/>
        <v>698969.36541686289</v>
      </c>
      <c r="DG185" s="30"/>
      <c r="DH185" s="32">
        <f>VLOOKUP(A185,'T_med_comp-USA'!$A$7:$Q$233,17,0)</f>
        <v>15.019622077527901</v>
      </c>
      <c r="DI185" s="6" t="str">
        <f t="shared" si="34"/>
        <v>12_2008</v>
      </c>
      <c r="DJ185" s="32">
        <f>IF(DI185="","",VLOOKUP(DI185,'CPI USA'!$T:$U,2,FALSE))</f>
        <v>215.303</v>
      </c>
      <c r="DK185" s="32">
        <f>IF(DI185="","",VLOOKUP(DI185,'PPI USA'!$S:$T,2,FALSE))</f>
        <v>159.30000000000001</v>
      </c>
      <c r="DL185" s="32">
        <f>IF(DI185="","",VLOOKUP(DI185,'CPI USA'!$T:$V,3,FALSE))</f>
        <v>0.67018812038291731</v>
      </c>
      <c r="DM185" s="32">
        <f>IF(DI185="","",VLOOKUP(DI185,'CPI USA'!$T:$X,5,FALSE))</f>
        <v>0.49838492968660258</v>
      </c>
      <c r="DN185" s="32">
        <f t="shared" si="35"/>
        <v>1.4884333659448254</v>
      </c>
      <c r="DO185" s="32">
        <f t="shared" si="36"/>
        <v>1.5036496327119213</v>
      </c>
      <c r="DP185" s="32">
        <f t="shared" si="37"/>
        <v>0.29218980727350585</v>
      </c>
      <c r="DQ185" s="32">
        <f>IF(DP185="","",DP185*$DO$1/'CPI USA'!$U$532+(1-DP185)*AVERAGE($DO$1,$DQ$1)/AVERAGE('CPI USA'!$U$532,'PPI USA'!$T$538))</f>
        <v>1.0405542011480546</v>
      </c>
      <c r="DR185" s="6">
        <f t="shared" si="38"/>
        <v>443778</v>
      </c>
      <c r="DS185" s="32">
        <f t="shared" si="39"/>
        <v>0.2</v>
      </c>
      <c r="DT185" s="28">
        <f>IF(DS185="","",DS185*$DO$1/'CPI USA'!$U$532+(1-DS185)*AVERAGE($DO$1,$DQ$1)/AVERAGE('CPI USA'!$U$532,'PPI USA'!$T$538))</f>
        <v>1.0426818386380585</v>
      </c>
      <c r="DU185" s="6">
        <f t="shared" si="40"/>
        <v>1083297.9856326643</v>
      </c>
      <c r="DV185" s="6" t="str">
        <f t="shared" si="87"/>
        <v/>
      </c>
      <c r="DW185" s="6">
        <f t="shared" si="42"/>
        <v>0</v>
      </c>
      <c r="DX185" s="16">
        <f t="shared" si="43"/>
        <v>0.2</v>
      </c>
      <c r="DY185" s="28">
        <f>IF(DX185="","",DX185*$DO$1/'CPI USA'!$U$532+(1-DX185)*AVERAGE($DO$1,$DQ$1)/AVERAGE('CPI USA'!$U$532,'PPI USA'!$T$538))</f>
        <v>1.0426818386380585</v>
      </c>
      <c r="DZ185" s="30"/>
      <c r="EA185" s="29" t="str">
        <f t="shared" si="44"/>
        <v>C005443</v>
      </c>
      <c r="EB185" s="29">
        <f t="shared" si="45"/>
        <v>291870017.87905699</v>
      </c>
      <c r="EC185" s="29">
        <f t="shared" si="46"/>
        <v>8822910.4764819033</v>
      </c>
      <c r="ED185" s="29">
        <f t="shared" si="47"/>
        <v>4574831.9241902614</v>
      </c>
      <c r="EE185" s="29">
        <f t="shared" si="48"/>
        <v>5003458.9488894874</v>
      </c>
      <c r="EF185" s="29">
        <f t="shared" si="49"/>
        <v>728802.66308453155</v>
      </c>
      <c r="EG185" s="29">
        <f t="shared" si="50"/>
        <v>281</v>
      </c>
      <c r="EH185" s="29">
        <f t="shared" si="51"/>
        <v>37245</v>
      </c>
      <c r="EI185" s="29">
        <f t="shared" si="52"/>
        <v>71965</v>
      </c>
      <c r="EJ185" s="29">
        <f t="shared" si="53"/>
        <v>1826261</v>
      </c>
      <c r="EK185" s="29">
        <f t="shared" si="54"/>
        <v>1896324.7461928935</v>
      </c>
      <c r="EL185" s="29">
        <f>IF(CD185=1,VLOOKUP(EA185,'EIA 2023'!$A$2:$J$213,4,0)*EH185,"")</f>
        <v>6964815</v>
      </c>
      <c r="EM185" s="29">
        <f>IF(CD185=1,VLOOKUP(EA185,'EIA 2023'!$A$2:$J$213,7,0)*EH185,"")</f>
        <v>49163.4</v>
      </c>
      <c r="EN185" s="29">
        <f>IF(CD185=1,VLOOKUP(EA185,'EIA 2023'!$A$2:$J$213,10,0),"")</f>
        <v>38006</v>
      </c>
      <c r="EO185" s="28">
        <f>IF(CD185=1,VLOOKUP(EA185,'EIA 2023'!$A$2:$Z$213,26,0),"")</f>
        <v>0</v>
      </c>
      <c r="EP185" s="23">
        <f t="shared" si="55"/>
        <v>3.6947124343314638E-2</v>
      </c>
      <c r="EQ185" s="32">
        <f t="shared" si="56"/>
        <v>1901.2538071065937</v>
      </c>
      <c r="ER185" s="32">
        <f t="shared" si="57"/>
        <v>70063.746192893406</v>
      </c>
      <c r="ES185" s="32"/>
      <c r="ET185" s="32"/>
    </row>
    <row r="186" spans="1:150" ht="15.75" customHeight="1">
      <c r="A186" s="7" t="s">
        <v>769</v>
      </c>
      <c r="B186" s="7" t="s">
        <v>770</v>
      </c>
      <c r="C186" s="32" t="s">
        <v>1271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  <c r="M186" s="42">
        <v>0</v>
      </c>
      <c r="N186" s="42">
        <v>0</v>
      </c>
      <c r="O186" s="42">
        <v>0</v>
      </c>
      <c r="P186" s="42">
        <v>0</v>
      </c>
      <c r="Q186" s="42">
        <v>0</v>
      </c>
      <c r="R186" s="42">
        <v>0</v>
      </c>
      <c r="S186" s="42">
        <v>0</v>
      </c>
      <c r="T186" s="42">
        <v>0</v>
      </c>
      <c r="U186" s="42">
        <v>0</v>
      </c>
      <c r="V186" s="42">
        <v>0</v>
      </c>
      <c r="W186" s="42">
        <v>0</v>
      </c>
      <c r="X186" s="42">
        <f>IFERROR(VLOOKUP(A186,'Trans 21-23'!$A$2:$J$229,10,0),0)</f>
        <v>0</v>
      </c>
      <c r="Y186" s="42">
        <v>0</v>
      </c>
      <c r="Z186" s="42">
        <v>0</v>
      </c>
      <c r="AA186" s="42">
        <v>0</v>
      </c>
      <c r="AB186" s="42">
        <v>0</v>
      </c>
      <c r="AC186" s="42">
        <v>0</v>
      </c>
      <c r="AD186" s="42">
        <v>1187063</v>
      </c>
      <c r="AE186" s="42">
        <v>0</v>
      </c>
      <c r="AF186" s="42">
        <v>2675785</v>
      </c>
      <c r="AG186" s="42">
        <v>0</v>
      </c>
      <c r="AH186" s="42">
        <v>0</v>
      </c>
      <c r="AI186" s="42">
        <v>0</v>
      </c>
      <c r="AJ186" s="42">
        <v>0</v>
      </c>
      <c r="AK186" s="42">
        <v>0</v>
      </c>
      <c r="AL186" s="42">
        <v>0</v>
      </c>
      <c r="AM186" s="42">
        <v>0</v>
      </c>
      <c r="AN186" s="42">
        <v>0</v>
      </c>
      <c r="AO186" s="42">
        <v>0</v>
      </c>
      <c r="AP186" s="42">
        <v>0</v>
      </c>
      <c r="AQ186" s="42">
        <v>0</v>
      </c>
      <c r="AR186" s="42">
        <v>0</v>
      </c>
      <c r="AS186" s="42">
        <v>0</v>
      </c>
      <c r="AT186" s="42">
        <v>0</v>
      </c>
      <c r="AU186" s="42">
        <v>0</v>
      </c>
      <c r="AV186" s="42">
        <v>0</v>
      </c>
      <c r="AW186" s="42">
        <v>0</v>
      </c>
      <c r="AX186" s="42">
        <v>0</v>
      </c>
      <c r="AY186" s="42">
        <v>0</v>
      </c>
      <c r="AZ186" s="42">
        <v>0</v>
      </c>
      <c r="BA186" s="42">
        <v>0</v>
      </c>
      <c r="BB186" s="42">
        <v>0</v>
      </c>
      <c r="BC186" s="42">
        <v>203915401</v>
      </c>
      <c r="BD186" s="42">
        <v>38815</v>
      </c>
      <c r="BE186" s="42">
        <v>0</v>
      </c>
      <c r="BF186" s="42">
        <v>0</v>
      </c>
      <c r="BG186" s="42">
        <v>0</v>
      </c>
      <c r="BH186" s="42">
        <v>0</v>
      </c>
      <c r="BI186" s="42">
        <v>0</v>
      </c>
      <c r="BJ186" s="42">
        <v>0</v>
      </c>
      <c r="BK186" s="42">
        <v>0</v>
      </c>
      <c r="BL186" s="42">
        <v>0</v>
      </c>
      <c r="BM186" s="42">
        <v>0</v>
      </c>
      <c r="BN186" s="42">
        <v>0</v>
      </c>
      <c r="BO186" s="42">
        <v>0</v>
      </c>
      <c r="BP186" s="42">
        <v>0</v>
      </c>
      <c r="BQ186" s="42">
        <v>0</v>
      </c>
      <c r="BR186" s="42">
        <v>0</v>
      </c>
      <c r="BS186" s="42">
        <f>IFERROR(VLOOKUP(A186,'Trans 21-23'!$A$2:$J$229,9,0),0)</f>
        <v>0</v>
      </c>
      <c r="BT186" s="67"/>
      <c r="BU186" s="32">
        <f t="shared" si="0"/>
        <v>0</v>
      </c>
      <c r="BV186" s="32">
        <f t="shared" si="1"/>
        <v>0</v>
      </c>
      <c r="BW186" s="32">
        <f t="shared" si="2"/>
        <v>0</v>
      </c>
      <c r="BX186" s="32">
        <f t="shared" si="3"/>
        <v>0</v>
      </c>
      <c r="BY186" s="32">
        <f t="shared" si="4"/>
        <v>0</v>
      </c>
      <c r="BZ186" s="32">
        <f t="shared" si="5"/>
        <v>0</v>
      </c>
      <c r="CA186" s="32">
        <f t="shared" si="6"/>
        <v>1187063</v>
      </c>
      <c r="CB186" s="32">
        <f t="shared" si="7"/>
        <v>0</v>
      </c>
      <c r="CC186" s="32">
        <f t="shared" si="8"/>
        <v>0</v>
      </c>
      <c r="CD186" s="41">
        <f t="shared" si="74"/>
        <v>0</v>
      </c>
      <c r="CE186" s="44">
        <f t="shared" si="10"/>
        <v>64</v>
      </c>
      <c r="CF186" s="27"/>
      <c r="CG186" s="28" t="str">
        <f t="shared" si="11"/>
        <v/>
      </c>
      <c r="CH186" s="28" t="str">
        <f t="shared" si="12"/>
        <v/>
      </c>
      <c r="CI186" s="28" t="str">
        <f t="shared" si="13"/>
        <v/>
      </c>
      <c r="CJ186" s="28" t="str">
        <f t="shared" si="14"/>
        <v/>
      </c>
      <c r="CK186" s="23" t="str">
        <f t="shared" si="15"/>
        <v/>
      </c>
      <c r="CL186" s="29" t="str">
        <f t="shared" si="16"/>
        <v/>
      </c>
      <c r="CM186" s="29" t="str">
        <f t="shared" si="17"/>
        <v/>
      </c>
      <c r="CN186" s="29" t="str">
        <f t="shared" si="18"/>
        <v/>
      </c>
      <c r="CO186" s="29" t="str">
        <f t="shared" si="19"/>
        <v/>
      </c>
      <c r="CP186" s="29" t="str">
        <f t="shared" si="20"/>
        <v/>
      </c>
      <c r="CQ186" s="29" t="str">
        <f t="shared" si="21"/>
        <v/>
      </c>
      <c r="CR186" s="13"/>
      <c r="CS186" s="7" t="str">
        <f>VLOOKUP(A186,'Empresas 21-23'!$A$2:$M$228,13,0)</f>
        <v/>
      </c>
      <c r="CT186" s="30"/>
      <c r="CU186" s="6">
        <f t="shared" si="22"/>
        <v>0</v>
      </c>
      <c r="CV186" s="6">
        <f t="shared" si="23"/>
        <v>0</v>
      </c>
      <c r="CW186" s="6">
        <f t="shared" si="24"/>
        <v>38815</v>
      </c>
      <c r="CX186" s="23">
        <f t="shared" si="88"/>
        <v>0</v>
      </c>
      <c r="CY186" s="23">
        <f t="shared" si="89"/>
        <v>0</v>
      </c>
      <c r="CZ186" s="6">
        <f t="shared" si="27"/>
        <v>0</v>
      </c>
      <c r="DA186" s="6">
        <f t="shared" si="28"/>
        <v>0</v>
      </c>
      <c r="DB186" s="6">
        <f t="shared" si="29"/>
        <v>0</v>
      </c>
      <c r="DC186" s="6">
        <f t="shared" si="30"/>
        <v>0</v>
      </c>
      <c r="DD186" s="6">
        <f t="shared" si="31"/>
        <v>0</v>
      </c>
      <c r="DE186" s="6">
        <f t="shared" si="32"/>
        <v>1187063</v>
      </c>
      <c r="DF186" s="6">
        <f t="shared" si="86"/>
        <v>0</v>
      </c>
      <c r="DG186" s="30"/>
      <c r="DH186" s="32" t="str">
        <f>VLOOKUP(A186,'T_med_comp-USA'!$A$7:$Q$233,17,0)</f>
        <v>-</v>
      </c>
      <c r="DI186" s="6" t="str">
        <f t="shared" si="34"/>
        <v/>
      </c>
      <c r="DJ186" s="32" t="str">
        <f>IF(DI186="","",VLOOKUP(DI186,'CPI USA'!$T:$U,2,FALSE))</f>
        <v/>
      </c>
      <c r="DK186" s="32" t="str">
        <f>IF(DI186="","",VLOOKUP(DI186,'PPI USA'!$S:$T,2,FALSE))</f>
        <v/>
      </c>
      <c r="DL186" s="32" t="str">
        <f>IF(DI186="","",VLOOKUP(DI186,'CPI USA'!$T:$V,3,FALSE))</f>
        <v/>
      </c>
      <c r="DM186" s="32" t="str">
        <f>IF(DI186="","",VLOOKUP(DI186,'CPI USA'!$T:$X,5,FALSE))</f>
        <v/>
      </c>
      <c r="DN186" s="32" t="str">
        <f t="shared" si="35"/>
        <v/>
      </c>
      <c r="DO186" s="32" t="str">
        <f t="shared" si="36"/>
        <v/>
      </c>
      <c r="DP186" s="32" t="str">
        <f t="shared" si="37"/>
        <v/>
      </c>
      <c r="DQ186" s="32" t="str">
        <f>IF(DP186="","",DP186*$DO$1/'CPI USA'!$U$532+(1-DP186)*AVERAGE($DO$1,$DQ$1)/AVERAGE('CPI USA'!$U$532,'PPI USA'!$T$538))</f>
        <v/>
      </c>
      <c r="DR186" s="6">
        <f t="shared" si="38"/>
        <v>0</v>
      </c>
      <c r="DS186" s="32" t="str">
        <f t="shared" si="39"/>
        <v/>
      </c>
      <c r="DT186" s="28" t="str">
        <f>IF(DS186="","",DS186*$DO$1/'CPI USA'!$U$532+(1-DS186)*AVERAGE($DO$1,$DQ$1)/AVERAGE('CPI USA'!$U$532,'PPI USA'!$T$538))</f>
        <v/>
      </c>
      <c r="DU186" s="6" t="str">
        <f t="shared" si="40"/>
        <v/>
      </c>
      <c r="DV186" s="6" t="str">
        <f t="shared" si="87"/>
        <v/>
      </c>
      <c r="DW186" s="6">
        <f t="shared" si="42"/>
        <v>0</v>
      </c>
      <c r="DX186" s="16" t="str">
        <f t="shared" si="43"/>
        <v/>
      </c>
      <c r="DY186" s="28" t="str">
        <f>IF(DX186="","",DX186*$DO$1/'CPI USA'!$U$532+(1-DX186)*AVERAGE($DO$1,$DQ$1)/AVERAGE('CPI USA'!$U$532,'PPI USA'!$T$538))</f>
        <v/>
      </c>
      <c r="DZ186" s="30"/>
      <c r="EA186" s="29" t="str">
        <f t="shared" si="44"/>
        <v>C005444</v>
      </c>
      <c r="EB186" s="29" t="str">
        <f t="shared" si="45"/>
        <v/>
      </c>
      <c r="EC186" s="29" t="str">
        <f t="shared" si="46"/>
        <v/>
      </c>
      <c r="ED186" s="29" t="str">
        <f t="shared" si="47"/>
        <v/>
      </c>
      <c r="EE186" s="29" t="str">
        <f t="shared" si="48"/>
        <v/>
      </c>
      <c r="EF186" s="29" t="str">
        <f t="shared" si="49"/>
        <v/>
      </c>
      <c r="EG186" s="29" t="str">
        <f t="shared" si="50"/>
        <v/>
      </c>
      <c r="EH186" s="29" t="str">
        <f t="shared" si="51"/>
        <v/>
      </c>
      <c r="EI186" s="29" t="str">
        <f t="shared" si="52"/>
        <v/>
      </c>
      <c r="EJ186" s="29" t="str">
        <f t="shared" si="53"/>
        <v/>
      </c>
      <c r="EK186" s="29" t="str">
        <f t="shared" si="54"/>
        <v/>
      </c>
      <c r="EL186" s="29" t="str">
        <f>IF(CD186=1,VLOOKUP(EA186,'EIA 2023'!$A$2:$J$213,4,0)*EH186,"")</f>
        <v/>
      </c>
      <c r="EM186" s="29" t="str">
        <f>IF(CD186=1,VLOOKUP(EA186,'EIA 2023'!$A$2:$J$213,7,0)*EH186,"")</f>
        <v/>
      </c>
      <c r="EN186" s="29" t="str">
        <f>IF(CD186=1,VLOOKUP(EA186,'EIA 2023'!$A$2:$J$213,10,0),"")</f>
        <v/>
      </c>
      <c r="EO186" s="28" t="str">
        <f>IF(CD186=1,VLOOKUP(EA186,'EIA 2023'!$A$2:$Z$213,26,0),"")</f>
        <v/>
      </c>
      <c r="EP186" s="23" t="str">
        <f t="shared" si="55"/>
        <v/>
      </c>
      <c r="EQ186" s="32" t="str">
        <f t="shared" si="56"/>
        <v/>
      </c>
      <c r="ER186" s="32" t="str">
        <f t="shared" si="57"/>
        <v/>
      </c>
      <c r="ES186" s="32"/>
      <c r="ET186" s="32"/>
    </row>
    <row r="187" spans="1:150" ht="15.75" customHeight="1">
      <c r="A187" s="7" t="s">
        <v>772</v>
      </c>
      <c r="B187" s="7" t="s">
        <v>773</v>
      </c>
      <c r="C187" s="32" t="s">
        <v>1272</v>
      </c>
      <c r="D187" s="42">
        <v>0</v>
      </c>
      <c r="E187" s="42">
        <v>0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  <c r="M187" s="42">
        <v>0</v>
      </c>
      <c r="N187" s="42">
        <v>0</v>
      </c>
      <c r="O187" s="42">
        <v>0</v>
      </c>
      <c r="P187" s="42">
        <v>0</v>
      </c>
      <c r="Q187" s="42">
        <v>0</v>
      </c>
      <c r="R187" s="42">
        <v>0</v>
      </c>
      <c r="S187" s="42">
        <v>0</v>
      </c>
      <c r="T187" s="42">
        <v>0</v>
      </c>
      <c r="U187" s="42">
        <v>0</v>
      </c>
      <c r="V187" s="42">
        <v>0</v>
      </c>
      <c r="W187" s="42">
        <v>0</v>
      </c>
      <c r="X187" s="42">
        <f>IFERROR(VLOOKUP(A187,'Trans 21-23'!$A$2:$J$229,10,0),0)</f>
        <v>9402437</v>
      </c>
      <c r="Y187" s="42">
        <v>0</v>
      </c>
      <c r="Z187" s="42">
        <v>0</v>
      </c>
      <c r="AA187" s="42">
        <v>2816</v>
      </c>
      <c r="AB187" s="42">
        <v>0</v>
      </c>
      <c r="AC187" s="42">
        <v>38877</v>
      </c>
      <c r="AD187" s="42">
        <v>36696922</v>
      </c>
      <c r="AE187" s="42">
        <v>0</v>
      </c>
      <c r="AF187" s="42">
        <v>114018491</v>
      </c>
      <c r="AG187" s="42">
        <v>0</v>
      </c>
      <c r="AH187" s="42">
        <v>0</v>
      </c>
      <c r="AI187" s="42">
        <v>0</v>
      </c>
      <c r="AJ187" s="42">
        <v>0</v>
      </c>
      <c r="AK187" s="42">
        <v>0</v>
      </c>
      <c r="AL187" s="42">
        <v>0</v>
      </c>
      <c r="AM187" s="42">
        <v>0</v>
      </c>
      <c r="AN187" s="42">
        <v>0</v>
      </c>
      <c r="AO187" s="42">
        <v>0</v>
      </c>
      <c r="AP187" s="42">
        <v>0</v>
      </c>
      <c r="AQ187" s="42">
        <v>0</v>
      </c>
      <c r="AR187" s="42">
        <v>0</v>
      </c>
      <c r="AS187" s="42">
        <v>0</v>
      </c>
      <c r="AT187" s="42">
        <v>0</v>
      </c>
      <c r="AU187" s="42">
        <v>0</v>
      </c>
      <c r="AV187" s="42">
        <v>0</v>
      </c>
      <c r="AW187" s="42">
        <v>0</v>
      </c>
      <c r="AX187" s="42">
        <v>0</v>
      </c>
      <c r="AY187" s="42">
        <v>0</v>
      </c>
      <c r="AZ187" s="42">
        <v>0</v>
      </c>
      <c r="BA187" s="42">
        <v>0</v>
      </c>
      <c r="BB187" s="42">
        <v>0</v>
      </c>
      <c r="BC187" s="42">
        <v>3118308137</v>
      </c>
      <c r="BD187" s="42">
        <v>148937093</v>
      </c>
      <c r="BE187" s="42">
        <v>0</v>
      </c>
      <c r="BF187" s="42">
        <v>0</v>
      </c>
      <c r="BG187" s="42">
        <v>0</v>
      </c>
      <c r="BH187" s="42">
        <v>0</v>
      </c>
      <c r="BI187" s="42">
        <v>0</v>
      </c>
      <c r="BJ187" s="42">
        <v>0</v>
      </c>
      <c r="BK187" s="42">
        <v>0</v>
      </c>
      <c r="BL187" s="42">
        <v>0</v>
      </c>
      <c r="BM187" s="42">
        <v>0</v>
      </c>
      <c r="BN187" s="42">
        <v>0</v>
      </c>
      <c r="BO187" s="42">
        <v>0</v>
      </c>
      <c r="BP187" s="42">
        <v>0</v>
      </c>
      <c r="BQ187" s="42">
        <v>0</v>
      </c>
      <c r="BR187" s="42">
        <v>0</v>
      </c>
      <c r="BS187" s="42">
        <f>IFERROR(VLOOKUP(A187,'Trans 21-23'!$A$2:$J$229,9,0),0)</f>
        <v>925952028</v>
      </c>
      <c r="BT187" s="67"/>
      <c r="BU187" s="32">
        <f t="shared" si="0"/>
        <v>0</v>
      </c>
      <c r="BV187" s="32">
        <f t="shared" si="1"/>
        <v>0</v>
      </c>
      <c r="BW187" s="32">
        <f t="shared" si="2"/>
        <v>0</v>
      </c>
      <c r="BX187" s="32">
        <f t="shared" si="3"/>
        <v>0</v>
      </c>
      <c r="BY187" s="32">
        <f t="shared" si="4"/>
        <v>41693</v>
      </c>
      <c r="BZ187" s="32">
        <f t="shared" si="5"/>
        <v>0</v>
      </c>
      <c r="CA187" s="32">
        <f t="shared" si="6"/>
        <v>36696922</v>
      </c>
      <c r="CB187" s="32">
        <f t="shared" si="7"/>
        <v>0</v>
      </c>
      <c r="CC187" s="32">
        <f t="shared" si="8"/>
        <v>0</v>
      </c>
      <c r="CD187" s="41">
        <f t="shared" si="74"/>
        <v>0</v>
      </c>
      <c r="CE187" s="44">
        <f t="shared" si="10"/>
        <v>60</v>
      </c>
      <c r="CF187" s="27"/>
      <c r="CG187" s="28" t="str">
        <f t="shared" si="11"/>
        <v/>
      </c>
      <c r="CH187" s="28" t="str">
        <f t="shared" si="12"/>
        <v/>
      </c>
      <c r="CI187" s="28" t="str">
        <f t="shared" si="13"/>
        <v/>
      </c>
      <c r="CJ187" s="28" t="str">
        <f t="shared" si="14"/>
        <v/>
      </c>
      <c r="CK187" s="23" t="str">
        <f t="shared" si="15"/>
        <v/>
      </c>
      <c r="CL187" s="29" t="str">
        <f t="shared" si="16"/>
        <v/>
      </c>
      <c r="CM187" s="29" t="str">
        <f t="shared" si="17"/>
        <v/>
      </c>
      <c r="CN187" s="29" t="str">
        <f t="shared" si="18"/>
        <v/>
      </c>
      <c r="CO187" s="29" t="str">
        <f t="shared" si="19"/>
        <v/>
      </c>
      <c r="CP187" s="29" t="str">
        <f t="shared" si="20"/>
        <v/>
      </c>
      <c r="CQ187" s="29" t="str">
        <f t="shared" si="21"/>
        <v/>
      </c>
      <c r="CR187" s="13"/>
      <c r="CS187" s="7" t="str">
        <f>VLOOKUP(A187,'Empresas 21-23'!$A$2:$M$228,13,0)</f>
        <v/>
      </c>
      <c r="CT187" s="30"/>
      <c r="CU187" s="6">
        <f t="shared" si="22"/>
        <v>925952028</v>
      </c>
      <c r="CV187" s="6">
        <f t="shared" si="23"/>
        <v>0</v>
      </c>
      <c r="CW187" s="6">
        <f t="shared" si="24"/>
        <v>148937093</v>
      </c>
      <c r="CX187" s="23">
        <f t="shared" si="88"/>
        <v>0.31183439667164747</v>
      </c>
      <c r="CY187" s="23">
        <f t="shared" si="89"/>
        <v>0</v>
      </c>
      <c r="CZ187" s="6">
        <f t="shared" si="27"/>
        <v>972395736.53768408</v>
      </c>
      <c r="DA187" s="6">
        <f t="shared" si="28"/>
        <v>0</v>
      </c>
      <c r="DB187" s="6">
        <f t="shared" si="29"/>
        <v>0</v>
      </c>
      <c r="DC187" s="6">
        <f t="shared" si="30"/>
        <v>9402437</v>
      </c>
      <c r="DD187" s="6">
        <f t="shared" si="31"/>
        <v>41693</v>
      </c>
      <c r="DE187" s="6">
        <f t="shared" si="32"/>
        <v>36696922</v>
      </c>
      <c r="DF187" s="6">
        <f t="shared" si="86"/>
        <v>4482196.9658667948</v>
      </c>
      <c r="DG187" s="30"/>
      <c r="DH187" s="32" t="str">
        <f>VLOOKUP(A187,'T_med_comp-USA'!$A$7:$Q$233,17,0)</f>
        <v>-</v>
      </c>
      <c r="DI187" s="6" t="str">
        <f t="shared" si="34"/>
        <v/>
      </c>
      <c r="DJ187" s="32" t="str">
        <f>IF(DI187="","",VLOOKUP(DI187,'CPI USA'!$T:$U,2,FALSE))</f>
        <v/>
      </c>
      <c r="DK187" s="32" t="str">
        <f>IF(DI187="","",VLOOKUP(DI187,'PPI USA'!$S:$T,2,FALSE))</f>
        <v/>
      </c>
      <c r="DL187" s="32" t="str">
        <f>IF(DI187="","",VLOOKUP(DI187,'CPI USA'!$T:$V,3,FALSE))</f>
        <v/>
      </c>
      <c r="DM187" s="32" t="str">
        <f>IF(DI187="","",VLOOKUP(DI187,'CPI USA'!$T:$X,5,FALSE))</f>
        <v/>
      </c>
      <c r="DN187" s="32" t="str">
        <f t="shared" si="35"/>
        <v/>
      </c>
      <c r="DO187" s="32" t="str">
        <f t="shared" si="36"/>
        <v/>
      </c>
      <c r="DP187" s="32" t="str">
        <f t="shared" si="37"/>
        <v/>
      </c>
      <c r="DQ187" s="32" t="str">
        <f>IF(DP187="","",DP187*$DO$1/'CPI USA'!$U$532+(1-DP187)*AVERAGE($DO$1,$DQ$1)/AVERAGE('CPI USA'!$U$532,'PPI USA'!$T$538))</f>
        <v/>
      </c>
      <c r="DR187" s="6">
        <f t="shared" si="38"/>
        <v>0</v>
      </c>
      <c r="DS187" s="32">
        <f t="shared" si="39"/>
        <v>0.2</v>
      </c>
      <c r="DT187" s="28">
        <f>IF(DS187="","",DS187*$DO$1/'CPI USA'!$U$532+(1-DS187)*AVERAGE($DO$1,$DQ$1)/AVERAGE('CPI USA'!$U$532,'PPI USA'!$T$538))</f>
        <v>1.0426818386380585</v>
      </c>
      <c r="DU187" s="6" t="str">
        <f t="shared" si="40"/>
        <v/>
      </c>
      <c r="DV187" s="6" t="str">
        <f t="shared" si="87"/>
        <v/>
      </c>
      <c r="DW187" s="6">
        <f t="shared" si="42"/>
        <v>0</v>
      </c>
      <c r="DX187" s="16" t="str">
        <f t="shared" si="43"/>
        <v/>
      </c>
      <c r="DY187" s="28" t="str">
        <f>IF(DX187="","",DX187*$DO$1/'CPI USA'!$U$532+(1-DX187)*AVERAGE($DO$1,$DQ$1)/AVERAGE('CPI USA'!$U$532,'PPI USA'!$T$538))</f>
        <v/>
      </c>
      <c r="DZ187" s="30"/>
      <c r="EA187" s="29" t="str">
        <f t="shared" si="44"/>
        <v>C005475</v>
      </c>
      <c r="EB187" s="29" t="str">
        <f t="shared" si="45"/>
        <v/>
      </c>
      <c r="EC187" s="29" t="str">
        <f t="shared" si="46"/>
        <v/>
      </c>
      <c r="ED187" s="29" t="str">
        <f t="shared" si="47"/>
        <v/>
      </c>
      <c r="EE187" s="29" t="str">
        <f t="shared" si="48"/>
        <v/>
      </c>
      <c r="EF187" s="29" t="str">
        <f t="shared" si="49"/>
        <v/>
      </c>
      <c r="EG187" s="29" t="str">
        <f t="shared" si="50"/>
        <v/>
      </c>
      <c r="EH187" s="29" t="str">
        <f t="shared" si="51"/>
        <v/>
      </c>
      <c r="EI187" s="29" t="str">
        <f t="shared" si="52"/>
        <v/>
      </c>
      <c r="EJ187" s="29" t="str">
        <f t="shared" si="53"/>
        <v/>
      </c>
      <c r="EK187" s="29" t="str">
        <f t="shared" si="54"/>
        <v/>
      </c>
      <c r="EL187" s="29" t="str">
        <f>IF(CD187=1,VLOOKUP(EA187,'EIA 2023'!$A$2:$J$213,4,0)*EH187,"")</f>
        <v/>
      </c>
      <c r="EM187" s="29" t="str">
        <f>IF(CD187=1,VLOOKUP(EA187,'EIA 2023'!$A$2:$J$213,7,0)*EH187,"")</f>
        <v/>
      </c>
      <c r="EN187" s="29" t="str">
        <f>IF(CD187=1,VLOOKUP(EA187,'EIA 2023'!$A$2:$J$213,10,0),"")</f>
        <v/>
      </c>
      <c r="EO187" s="28" t="str">
        <f>IF(CD187=1,VLOOKUP(EA187,'EIA 2023'!$A$2:$Z$213,26,0),"")</f>
        <v/>
      </c>
      <c r="EP187" s="23" t="str">
        <f t="shared" si="55"/>
        <v/>
      </c>
      <c r="EQ187" s="32" t="str">
        <f t="shared" si="56"/>
        <v/>
      </c>
      <c r="ER187" s="32" t="str">
        <f t="shared" si="57"/>
        <v/>
      </c>
      <c r="ES187" s="32"/>
      <c r="ET187" s="32"/>
    </row>
    <row r="188" spans="1:150" ht="15.75" customHeight="1">
      <c r="A188" s="7" t="s">
        <v>775</v>
      </c>
      <c r="B188" s="7" t="s">
        <v>776</v>
      </c>
      <c r="C188" s="32" t="s">
        <v>1273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0</v>
      </c>
      <c r="K188" s="42">
        <v>0</v>
      </c>
      <c r="L188" s="42">
        <v>0</v>
      </c>
      <c r="M188" s="42">
        <v>0</v>
      </c>
      <c r="N188" s="42">
        <v>0</v>
      </c>
      <c r="O188" s="42">
        <v>0</v>
      </c>
      <c r="P188" s="42">
        <v>0</v>
      </c>
      <c r="Q188" s="42">
        <v>0</v>
      </c>
      <c r="R188" s="42">
        <v>0</v>
      </c>
      <c r="S188" s="42">
        <v>0</v>
      </c>
      <c r="T188" s="42">
        <v>0</v>
      </c>
      <c r="U188" s="42">
        <v>0</v>
      </c>
      <c r="V188" s="42">
        <v>0</v>
      </c>
      <c r="W188" s="42">
        <v>0</v>
      </c>
      <c r="X188" s="42">
        <f>IFERROR(VLOOKUP(A188,'Trans 21-23'!$A$2:$J$229,10,0),0)</f>
        <v>0</v>
      </c>
      <c r="Y188" s="42">
        <v>0</v>
      </c>
      <c r="Z188" s="42">
        <v>0</v>
      </c>
      <c r="AA188" s="42">
        <v>0</v>
      </c>
      <c r="AB188" s="42">
        <v>0</v>
      </c>
      <c r="AC188" s="42">
        <v>0</v>
      </c>
      <c r="AD188" s="42">
        <v>10657555</v>
      </c>
      <c r="AE188" s="42">
        <v>0</v>
      </c>
      <c r="AF188" s="42">
        <v>20912549</v>
      </c>
      <c r="AG188" s="42">
        <v>0</v>
      </c>
      <c r="AH188" s="42">
        <v>0</v>
      </c>
      <c r="AI188" s="42">
        <v>0</v>
      </c>
      <c r="AJ188" s="42">
        <v>0</v>
      </c>
      <c r="AK188" s="42">
        <v>0</v>
      </c>
      <c r="AL188" s="42">
        <v>0</v>
      </c>
      <c r="AM188" s="42">
        <v>0</v>
      </c>
      <c r="AN188" s="42">
        <v>0</v>
      </c>
      <c r="AO188" s="42">
        <v>0</v>
      </c>
      <c r="AP188" s="42">
        <v>0</v>
      </c>
      <c r="AQ188" s="42">
        <v>0</v>
      </c>
      <c r="AR188" s="42">
        <v>0</v>
      </c>
      <c r="AS188" s="42">
        <v>0</v>
      </c>
      <c r="AT188" s="42">
        <v>0</v>
      </c>
      <c r="AU188" s="42">
        <v>0</v>
      </c>
      <c r="AV188" s="42">
        <v>0</v>
      </c>
      <c r="AW188" s="42">
        <v>0</v>
      </c>
      <c r="AX188" s="42">
        <v>0</v>
      </c>
      <c r="AY188" s="42">
        <v>0</v>
      </c>
      <c r="AZ188" s="42">
        <v>0</v>
      </c>
      <c r="BA188" s="42">
        <v>0</v>
      </c>
      <c r="BB188" s="42">
        <v>0</v>
      </c>
      <c r="BC188" s="42">
        <v>205066887</v>
      </c>
      <c r="BD188" s="42">
        <v>2241679</v>
      </c>
      <c r="BE188" s="42">
        <v>0</v>
      </c>
      <c r="BF188" s="42">
        <v>0</v>
      </c>
      <c r="BG188" s="42">
        <v>0</v>
      </c>
      <c r="BH188" s="42">
        <v>0</v>
      </c>
      <c r="BI188" s="42">
        <v>0</v>
      </c>
      <c r="BJ188" s="42">
        <v>0</v>
      </c>
      <c r="BK188" s="42">
        <v>0</v>
      </c>
      <c r="BL188" s="42">
        <v>0</v>
      </c>
      <c r="BM188" s="42">
        <v>0</v>
      </c>
      <c r="BN188" s="42">
        <v>0</v>
      </c>
      <c r="BO188" s="42">
        <v>0</v>
      </c>
      <c r="BP188" s="42">
        <v>0</v>
      </c>
      <c r="BQ188" s="42">
        <v>0</v>
      </c>
      <c r="BR188" s="42">
        <v>0</v>
      </c>
      <c r="BS188" s="42">
        <f>IFERROR(VLOOKUP(A188,'Trans 21-23'!$A$2:$J$229,9,0),0)</f>
        <v>0</v>
      </c>
      <c r="BT188" s="67"/>
      <c r="BU188" s="32">
        <f t="shared" si="0"/>
        <v>0</v>
      </c>
      <c r="BV188" s="32">
        <f t="shared" si="1"/>
        <v>0</v>
      </c>
      <c r="BW188" s="32">
        <f t="shared" si="2"/>
        <v>0</v>
      </c>
      <c r="BX188" s="32">
        <f t="shared" si="3"/>
        <v>0</v>
      </c>
      <c r="BY188" s="32">
        <f t="shared" si="4"/>
        <v>0</v>
      </c>
      <c r="BZ188" s="32">
        <f t="shared" si="5"/>
        <v>0</v>
      </c>
      <c r="CA188" s="32">
        <f t="shared" si="6"/>
        <v>10657555</v>
      </c>
      <c r="CB188" s="32">
        <f t="shared" si="7"/>
        <v>0</v>
      </c>
      <c r="CC188" s="32">
        <f t="shared" si="8"/>
        <v>0</v>
      </c>
      <c r="CD188" s="41">
        <f t="shared" si="74"/>
        <v>0</v>
      </c>
      <c r="CE188" s="44">
        <f t="shared" si="10"/>
        <v>64</v>
      </c>
      <c r="CF188" s="27"/>
      <c r="CG188" s="28" t="str">
        <f t="shared" si="11"/>
        <v/>
      </c>
      <c r="CH188" s="28" t="str">
        <f t="shared" si="12"/>
        <v/>
      </c>
      <c r="CI188" s="28" t="str">
        <f t="shared" si="13"/>
        <v/>
      </c>
      <c r="CJ188" s="28" t="str">
        <f t="shared" si="14"/>
        <v/>
      </c>
      <c r="CK188" s="23" t="str">
        <f t="shared" si="15"/>
        <v/>
      </c>
      <c r="CL188" s="29" t="str">
        <f t="shared" si="16"/>
        <v/>
      </c>
      <c r="CM188" s="29" t="str">
        <f t="shared" si="17"/>
        <v/>
      </c>
      <c r="CN188" s="29" t="str">
        <f t="shared" si="18"/>
        <v/>
      </c>
      <c r="CO188" s="29" t="str">
        <f t="shared" si="19"/>
        <v/>
      </c>
      <c r="CP188" s="29" t="str">
        <f t="shared" si="20"/>
        <v/>
      </c>
      <c r="CQ188" s="29" t="str">
        <f t="shared" si="21"/>
        <v/>
      </c>
      <c r="CR188" s="13"/>
      <c r="CS188" s="7" t="str">
        <f>VLOOKUP(A188,'Empresas 21-23'!$A$2:$M$228,13,0)</f>
        <v/>
      </c>
      <c r="CT188" s="30"/>
      <c r="CU188" s="6">
        <f t="shared" si="22"/>
        <v>0</v>
      </c>
      <c r="CV188" s="6">
        <f t="shared" si="23"/>
        <v>0</v>
      </c>
      <c r="CW188" s="6">
        <f t="shared" si="24"/>
        <v>2241679</v>
      </c>
      <c r="CX188" s="23">
        <f t="shared" si="88"/>
        <v>0</v>
      </c>
      <c r="CY188" s="23">
        <f t="shared" si="89"/>
        <v>0</v>
      </c>
      <c r="CZ188" s="6">
        <f t="shared" si="27"/>
        <v>0</v>
      </c>
      <c r="DA188" s="6">
        <f t="shared" si="28"/>
        <v>0</v>
      </c>
      <c r="DB188" s="6">
        <f t="shared" si="29"/>
        <v>0</v>
      </c>
      <c r="DC188" s="6">
        <f t="shared" si="30"/>
        <v>0</v>
      </c>
      <c r="DD188" s="6">
        <f t="shared" si="31"/>
        <v>0</v>
      </c>
      <c r="DE188" s="6">
        <f t="shared" si="32"/>
        <v>10657555</v>
      </c>
      <c r="DF188" s="6">
        <f t="shared" si="86"/>
        <v>0</v>
      </c>
      <c r="DG188" s="30"/>
      <c r="DH188" s="32" t="str">
        <f>VLOOKUP(A188,'T_med_comp-USA'!$A$7:$Q$233,17,0)</f>
        <v>-</v>
      </c>
      <c r="DI188" s="6" t="str">
        <f t="shared" si="34"/>
        <v/>
      </c>
      <c r="DJ188" s="32" t="str">
        <f>IF(DI188="","",VLOOKUP(DI188,'CPI USA'!$T:$U,2,FALSE))</f>
        <v/>
      </c>
      <c r="DK188" s="32" t="str">
        <f>IF(DI188="","",VLOOKUP(DI188,'PPI USA'!$S:$T,2,FALSE))</f>
        <v/>
      </c>
      <c r="DL188" s="32" t="str">
        <f>IF(DI188="","",VLOOKUP(DI188,'CPI USA'!$T:$V,3,FALSE))</f>
        <v/>
      </c>
      <c r="DM188" s="32" t="str">
        <f>IF(DI188="","",VLOOKUP(DI188,'CPI USA'!$T:$X,5,FALSE))</f>
        <v/>
      </c>
      <c r="DN188" s="32" t="str">
        <f t="shared" si="35"/>
        <v/>
      </c>
      <c r="DO188" s="32" t="str">
        <f t="shared" si="36"/>
        <v/>
      </c>
      <c r="DP188" s="32" t="str">
        <f t="shared" si="37"/>
        <v/>
      </c>
      <c r="DQ188" s="32" t="str">
        <f>IF(DP188="","",DP188*$DO$1/'CPI USA'!$U$532+(1-DP188)*AVERAGE($DO$1,$DQ$1)/AVERAGE('CPI USA'!$U$532,'PPI USA'!$T$538))</f>
        <v/>
      </c>
      <c r="DR188" s="6">
        <f t="shared" si="38"/>
        <v>0</v>
      </c>
      <c r="DS188" s="32" t="str">
        <f t="shared" si="39"/>
        <v/>
      </c>
      <c r="DT188" s="28" t="str">
        <f>IF(DS188="","",DS188*$DO$1/'CPI USA'!$U$532+(1-DS188)*AVERAGE($DO$1,$DQ$1)/AVERAGE('CPI USA'!$U$532,'PPI USA'!$T$538))</f>
        <v/>
      </c>
      <c r="DU188" s="6" t="str">
        <f t="shared" si="40"/>
        <v/>
      </c>
      <c r="DV188" s="6" t="str">
        <f t="shared" si="87"/>
        <v/>
      </c>
      <c r="DW188" s="6">
        <f t="shared" si="42"/>
        <v>0</v>
      </c>
      <c r="DX188" s="16" t="str">
        <f t="shared" si="43"/>
        <v/>
      </c>
      <c r="DY188" s="28" t="str">
        <f>IF(DX188="","",DX188*$DO$1/'CPI USA'!$U$532+(1-DX188)*AVERAGE($DO$1,$DQ$1)/AVERAGE('CPI USA'!$U$532,'PPI USA'!$T$538))</f>
        <v/>
      </c>
      <c r="DZ188" s="30"/>
      <c r="EA188" s="29" t="str">
        <f t="shared" si="44"/>
        <v>C005519</v>
      </c>
      <c r="EB188" s="29" t="str">
        <f t="shared" si="45"/>
        <v/>
      </c>
      <c r="EC188" s="29" t="str">
        <f t="shared" si="46"/>
        <v/>
      </c>
      <c r="ED188" s="29" t="str">
        <f t="shared" si="47"/>
        <v/>
      </c>
      <c r="EE188" s="29" t="str">
        <f t="shared" si="48"/>
        <v/>
      </c>
      <c r="EF188" s="29" t="str">
        <f t="shared" si="49"/>
        <v/>
      </c>
      <c r="EG188" s="29" t="str">
        <f t="shared" si="50"/>
        <v/>
      </c>
      <c r="EH188" s="29" t="str">
        <f t="shared" si="51"/>
        <v/>
      </c>
      <c r="EI188" s="29" t="str">
        <f t="shared" si="52"/>
        <v/>
      </c>
      <c r="EJ188" s="29" t="str">
        <f t="shared" si="53"/>
        <v/>
      </c>
      <c r="EK188" s="29" t="str">
        <f t="shared" si="54"/>
        <v/>
      </c>
      <c r="EL188" s="29" t="str">
        <f>IF(CD188=1,VLOOKUP(EA188,'EIA 2023'!$A$2:$J$213,4,0)*EH188,"")</f>
        <v/>
      </c>
      <c r="EM188" s="29" t="str">
        <f>IF(CD188=1,VLOOKUP(EA188,'EIA 2023'!$A$2:$J$213,7,0)*EH188,"")</f>
        <v/>
      </c>
      <c r="EN188" s="29" t="str">
        <f>IF(CD188=1,VLOOKUP(EA188,'EIA 2023'!$A$2:$J$213,10,0),"")</f>
        <v/>
      </c>
      <c r="EO188" s="28" t="str">
        <f>IF(CD188=1,VLOOKUP(EA188,'EIA 2023'!$A$2:$Z$213,26,0),"")</f>
        <v/>
      </c>
      <c r="EP188" s="23" t="str">
        <f t="shared" si="55"/>
        <v/>
      </c>
      <c r="EQ188" s="32" t="str">
        <f t="shared" si="56"/>
        <v/>
      </c>
      <c r="ER188" s="32" t="str">
        <f t="shared" si="57"/>
        <v/>
      </c>
      <c r="ES188" s="32"/>
      <c r="ET188" s="32"/>
    </row>
    <row r="189" spans="1:150" ht="15.75" customHeight="1">
      <c r="A189" s="7" t="s">
        <v>778</v>
      </c>
      <c r="B189" s="7" t="s">
        <v>779</v>
      </c>
      <c r="C189" s="32" t="s">
        <v>1274</v>
      </c>
      <c r="D189" s="42">
        <v>0</v>
      </c>
      <c r="E189" s="42">
        <v>0</v>
      </c>
      <c r="F189" s="42">
        <v>0</v>
      </c>
      <c r="G189" s="42">
        <v>0</v>
      </c>
      <c r="H189" s="42">
        <v>77</v>
      </c>
      <c r="I189" s="42">
        <v>5755972</v>
      </c>
      <c r="J189" s="42">
        <v>1802354</v>
      </c>
      <c r="K189" s="42">
        <v>3200773</v>
      </c>
      <c r="L189" s="42">
        <v>7994391</v>
      </c>
      <c r="M189" s="42">
        <v>3462325</v>
      </c>
      <c r="N189" s="42">
        <v>1207392</v>
      </c>
      <c r="O189" s="42">
        <v>32386793</v>
      </c>
      <c r="P189" s="42">
        <v>5766249</v>
      </c>
      <c r="Q189" s="42">
        <v>131287</v>
      </c>
      <c r="R189" s="42">
        <v>36976</v>
      </c>
      <c r="S189" s="42">
        <v>3751437</v>
      </c>
      <c r="T189" s="42">
        <v>47407173</v>
      </c>
      <c r="U189" s="42">
        <v>1731980</v>
      </c>
      <c r="V189" s="42">
        <v>741378</v>
      </c>
      <c r="W189" s="42">
        <v>102099</v>
      </c>
      <c r="X189" s="42">
        <f>IFERROR(VLOOKUP(A189,'Trans 21-23'!$A$2:$J$229,10,0),0)</f>
        <v>0</v>
      </c>
      <c r="Y189" s="42">
        <v>11396592</v>
      </c>
      <c r="Z189" s="42">
        <v>309773</v>
      </c>
      <c r="AA189" s="42">
        <v>13835157</v>
      </c>
      <c r="AB189" s="42">
        <v>19263578</v>
      </c>
      <c r="AC189" s="42">
        <v>179557</v>
      </c>
      <c r="AD189" s="42">
        <v>49434038</v>
      </c>
      <c r="AE189" s="42">
        <v>0</v>
      </c>
      <c r="AF189" s="42">
        <v>633685619</v>
      </c>
      <c r="AG189" s="42">
        <v>0</v>
      </c>
      <c r="AH189" s="42">
        <v>0</v>
      </c>
      <c r="AI189" s="42">
        <v>0</v>
      </c>
      <c r="AJ189" s="42">
        <v>0</v>
      </c>
      <c r="AK189" s="42">
        <v>0</v>
      </c>
      <c r="AL189" s="42">
        <v>0</v>
      </c>
      <c r="AM189" s="42">
        <v>0</v>
      </c>
      <c r="AN189" s="42">
        <v>0</v>
      </c>
      <c r="AO189" s="42">
        <v>0</v>
      </c>
      <c r="AP189" s="42">
        <v>0</v>
      </c>
      <c r="AQ189" s="42">
        <v>0</v>
      </c>
      <c r="AR189" s="42">
        <v>0</v>
      </c>
      <c r="AS189" s="42">
        <v>0</v>
      </c>
      <c r="AT189" s="42">
        <v>0</v>
      </c>
      <c r="AU189" s="42">
        <v>0</v>
      </c>
      <c r="AV189" s="42">
        <v>0</v>
      </c>
      <c r="AW189" s="42">
        <v>1105159419</v>
      </c>
      <c r="AX189" s="42">
        <v>127282514</v>
      </c>
      <c r="AY189" s="42">
        <v>507073431</v>
      </c>
      <c r="AZ189" s="42">
        <v>209649303</v>
      </c>
      <c r="BA189" s="42">
        <v>142541250</v>
      </c>
      <c r="BB189" s="42">
        <v>5828597171</v>
      </c>
      <c r="BC189" s="42">
        <v>13747786477</v>
      </c>
      <c r="BD189" s="42">
        <v>857279199</v>
      </c>
      <c r="BE189" s="42">
        <v>1469488789</v>
      </c>
      <c r="BF189" s="42">
        <v>167836738</v>
      </c>
      <c r="BG189" s="42">
        <v>0</v>
      </c>
      <c r="BH189" s="42">
        <v>46354030</v>
      </c>
      <c r="BI189" s="42">
        <v>4823173</v>
      </c>
      <c r="BJ189" s="42">
        <v>1907598</v>
      </c>
      <c r="BK189" s="42">
        <v>0</v>
      </c>
      <c r="BL189" s="42">
        <v>0</v>
      </c>
      <c r="BM189" s="42">
        <v>5219326</v>
      </c>
      <c r="BN189" s="42">
        <v>67342076</v>
      </c>
      <c r="BO189" s="42">
        <v>4431204</v>
      </c>
      <c r="BP189" s="42">
        <v>11920832</v>
      </c>
      <c r="BQ189" s="42">
        <v>182896456</v>
      </c>
      <c r="BR189" s="42">
        <v>0</v>
      </c>
      <c r="BS189" s="42">
        <f>IFERROR(VLOOKUP(A189,'Trans 21-23'!$A$2:$J$229,9,0),0)</f>
        <v>0</v>
      </c>
      <c r="BT189" s="67"/>
      <c r="BU189" s="32">
        <f t="shared" si="0"/>
        <v>5828597171</v>
      </c>
      <c r="BV189" s="32">
        <f t="shared" si="1"/>
        <v>0</v>
      </c>
      <c r="BW189" s="32">
        <f t="shared" si="2"/>
        <v>0</v>
      </c>
      <c r="BX189" s="32">
        <f t="shared" si="3"/>
        <v>115478579</v>
      </c>
      <c r="BY189" s="32">
        <f t="shared" si="4"/>
        <v>44984657</v>
      </c>
      <c r="BZ189" s="32">
        <f t="shared" si="5"/>
        <v>209649303</v>
      </c>
      <c r="CA189" s="32">
        <f t="shared" si="6"/>
        <v>49434038</v>
      </c>
      <c r="CB189" s="32">
        <f t="shared" si="7"/>
        <v>0</v>
      </c>
      <c r="CC189" s="32">
        <f t="shared" si="8"/>
        <v>0</v>
      </c>
      <c r="CD189" s="41">
        <f t="shared" si="74"/>
        <v>0</v>
      </c>
      <c r="CE189" s="44">
        <f t="shared" si="10"/>
        <v>27</v>
      </c>
      <c r="CF189" s="27"/>
      <c r="CG189" s="28" t="str">
        <f t="shared" si="11"/>
        <v/>
      </c>
      <c r="CH189" s="28" t="str">
        <f t="shared" si="12"/>
        <v/>
      </c>
      <c r="CI189" s="28" t="str">
        <f t="shared" si="13"/>
        <v/>
      </c>
      <c r="CJ189" s="28" t="str">
        <f t="shared" si="14"/>
        <v/>
      </c>
      <c r="CK189" s="23" t="str">
        <f t="shared" si="15"/>
        <v/>
      </c>
      <c r="CL189" s="29" t="str">
        <f t="shared" si="16"/>
        <v/>
      </c>
      <c r="CM189" s="29" t="str">
        <f t="shared" si="17"/>
        <v/>
      </c>
      <c r="CN189" s="29" t="str">
        <f t="shared" si="18"/>
        <v/>
      </c>
      <c r="CO189" s="29" t="str">
        <f t="shared" si="19"/>
        <v/>
      </c>
      <c r="CP189" s="29" t="str">
        <f t="shared" si="20"/>
        <v/>
      </c>
      <c r="CQ189" s="29" t="str">
        <f t="shared" si="21"/>
        <v/>
      </c>
      <c r="CR189" s="13"/>
      <c r="CS189" s="7" t="str">
        <f>VLOOKUP(A189,'Empresas 21-23'!$A$2:$M$228,13,0)</f>
        <v/>
      </c>
      <c r="CT189" s="30"/>
      <c r="CU189" s="6">
        <f t="shared" si="22"/>
        <v>5095793051</v>
      </c>
      <c r="CV189" s="6">
        <f t="shared" si="23"/>
        <v>209649303</v>
      </c>
      <c r="CW189" s="6">
        <f t="shared" si="24"/>
        <v>857279199</v>
      </c>
      <c r="CX189" s="23">
        <f t="shared" si="88"/>
        <v>0.39531361653213598</v>
      </c>
      <c r="CY189" s="23">
        <f t="shared" si="89"/>
        <v>1.6263852033023149E-2</v>
      </c>
      <c r="CZ189" s="6">
        <f t="shared" si="27"/>
        <v>5434687191.5344629</v>
      </c>
      <c r="DA189" s="6">
        <f t="shared" si="28"/>
        <v>223591965.04352459</v>
      </c>
      <c r="DB189" s="6">
        <f t="shared" si="29"/>
        <v>115478579</v>
      </c>
      <c r="DC189" s="6">
        <f t="shared" si="30"/>
        <v>115478579</v>
      </c>
      <c r="DD189" s="6">
        <f t="shared" si="31"/>
        <v>44984657</v>
      </c>
      <c r="DE189" s="6">
        <f t="shared" si="32"/>
        <v>49434038</v>
      </c>
      <c r="DF189" s="6">
        <f t="shared" si="86"/>
        <v>13576936.733100764</v>
      </c>
      <c r="DG189" s="30"/>
      <c r="DH189" s="32">
        <f>VLOOKUP(A189,'T_med_comp-USA'!$A$7:$Q$233,17,0)</f>
        <v>8.9173649575421035</v>
      </c>
      <c r="DI189" s="6" t="str">
        <f t="shared" si="34"/>
        <v>2_2015</v>
      </c>
      <c r="DJ189" s="32">
        <f>IF(DI189="","",VLOOKUP(DI189,'CPI USA'!$T:$U,2,FALSE))</f>
        <v>234.72200000000001</v>
      </c>
      <c r="DK189" s="32">
        <f>IF(DI189="","",VLOOKUP(DI189,'PPI USA'!$S:$T,2,FALSE))</f>
        <v>184.7</v>
      </c>
      <c r="DL189" s="32">
        <f>IF(DI189="","",VLOOKUP(DI189,'CPI USA'!$T:$V,3,FALSE))</f>
        <v>0.6679408278919865</v>
      </c>
      <c r="DM189" s="32">
        <f>IF(DI189="","",VLOOKUP(DI189,'CPI USA'!$T:$X,5,FALSE))</f>
        <v>0.49584761624008583</v>
      </c>
      <c r="DN189" s="32">
        <f t="shared" si="35"/>
        <v>1.3530747060466299</v>
      </c>
      <c r="DO189" s="32">
        <f t="shared" si="36"/>
        <v>1.36062907964979</v>
      </c>
      <c r="DP189" s="32">
        <f t="shared" si="37"/>
        <v>0.427821257142256</v>
      </c>
      <c r="DQ189" s="32">
        <f>IF(DP189="","",DP189*$DO$1/'CPI USA'!$U$532+(1-DP189)*AVERAGE($DO$1,$DQ$1)/AVERAGE('CPI USA'!$U$532,'PPI USA'!$T$538))</f>
        <v>1.0374239792059674</v>
      </c>
      <c r="DR189" s="6">
        <f t="shared" si="38"/>
        <v>6730771</v>
      </c>
      <c r="DS189" s="32">
        <f t="shared" si="39"/>
        <v>0.2</v>
      </c>
      <c r="DT189" s="28">
        <f>IF(DS189="","",DS189*$DO$1/'CPI USA'!$U$532+(1-DS189)*AVERAGE($DO$1,$DQ$1)/AVERAGE('CPI USA'!$U$532,'PPI USA'!$T$538))</f>
        <v>1.0426818386380585</v>
      </c>
      <c r="DU189" s="6">
        <f t="shared" si="40"/>
        <v>5562765.0446843961</v>
      </c>
      <c r="DV189" s="6">
        <f t="shared" si="87"/>
        <v>363903.97030650399</v>
      </c>
      <c r="DW189" s="6">
        <f t="shared" si="42"/>
        <v>4671908.9155145427</v>
      </c>
      <c r="DX189" s="16">
        <f t="shared" si="43"/>
        <v>0.34410625956032942</v>
      </c>
      <c r="DY189" s="28">
        <f>IF(DX189="","",DX189*$DO$1/'CPI USA'!$U$532+(1-DX189)*AVERAGE($DO$1,$DQ$1)/AVERAGE('CPI USA'!$U$532,'PPI USA'!$T$538))</f>
        <v>1.0393560275809297</v>
      </c>
      <c r="DZ189" s="30"/>
      <c r="EA189" s="29" t="str">
        <f t="shared" si="44"/>
        <v>C007565</v>
      </c>
      <c r="EB189" s="29" t="str">
        <f t="shared" si="45"/>
        <v/>
      </c>
      <c r="EC189" s="29" t="str">
        <f t="shared" si="46"/>
        <v/>
      </c>
      <c r="ED189" s="29" t="str">
        <f t="shared" si="47"/>
        <v/>
      </c>
      <c r="EE189" s="29" t="str">
        <f t="shared" si="48"/>
        <v/>
      </c>
      <c r="EF189" s="29" t="str">
        <f t="shared" si="49"/>
        <v/>
      </c>
      <c r="EG189" s="29" t="str">
        <f t="shared" si="50"/>
        <v/>
      </c>
      <c r="EH189" s="29" t="str">
        <f t="shared" si="51"/>
        <v/>
      </c>
      <c r="EI189" s="29" t="str">
        <f t="shared" si="52"/>
        <v/>
      </c>
      <c r="EJ189" s="29" t="str">
        <f t="shared" si="53"/>
        <v/>
      </c>
      <c r="EK189" s="29" t="str">
        <f t="shared" si="54"/>
        <v/>
      </c>
      <c r="EL189" s="29" t="str">
        <f>IF(CD189=1,VLOOKUP(EA189,'EIA 2023'!$A$2:$J$213,4,0)*EH189,"")</f>
        <v/>
      </c>
      <c r="EM189" s="29" t="str">
        <f>IF(CD189=1,VLOOKUP(EA189,'EIA 2023'!$A$2:$J$213,7,0)*EH189,"")</f>
        <v/>
      </c>
      <c r="EN189" s="29" t="str">
        <f>IF(CD189=1,VLOOKUP(EA189,'EIA 2023'!$A$2:$J$213,10,0),"")</f>
        <v/>
      </c>
      <c r="EO189" s="28" t="str">
        <f>IF(CD189=1,VLOOKUP(EA189,'EIA 2023'!$A$2:$Z$213,26,0),"")</f>
        <v/>
      </c>
      <c r="EP189" s="23" t="str">
        <f t="shared" si="55"/>
        <v/>
      </c>
      <c r="EQ189" s="32" t="str">
        <f t="shared" si="56"/>
        <v/>
      </c>
      <c r="ER189" s="32" t="str">
        <f t="shared" si="57"/>
        <v/>
      </c>
      <c r="ES189" s="32"/>
      <c r="ET189" s="32"/>
    </row>
    <row r="190" spans="1:150" ht="15.75" customHeight="1">
      <c r="A190" s="7" t="s">
        <v>781</v>
      </c>
      <c r="B190" s="7" t="s">
        <v>782</v>
      </c>
      <c r="C190" s="32" t="s">
        <v>1275</v>
      </c>
      <c r="D190" s="42">
        <v>0</v>
      </c>
      <c r="E190" s="42">
        <v>0</v>
      </c>
      <c r="F190" s="42">
        <v>0</v>
      </c>
      <c r="G190" s="42">
        <v>0</v>
      </c>
      <c r="H190" s="42">
        <v>0</v>
      </c>
      <c r="I190" s="42">
        <v>0</v>
      </c>
      <c r="J190" s="42">
        <v>0</v>
      </c>
      <c r="K190" s="42">
        <v>0</v>
      </c>
      <c r="L190" s="42">
        <v>0</v>
      </c>
      <c r="M190" s="42">
        <v>0</v>
      </c>
      <c r="N190" s="42">
        <v>0</v>
      </c>
      <c r="O190" s="42">
        <v>0</v>
      </c>
      <c r="P190" s="42">
        <v>0</v>
      </c>
      <c r="Q190" s="42">
        <v>0</v>
      </c>
      <c r="R190" s="42">
        <v>0</v>
      </c>
      <c r="S190" s="42">
        <v>0</v>
      </c>
      <c r="T190" s="42">
        <v>0</v>
      </c>
      <c r="U190" s="42">
        <v>0</v>
      </c>
      <c r="V190" s="42">
        <v>0</v>
      </c>
      <c r="W190" s="42">
        <v>0</v>
      </c>
      <c r="X190" s="42">
        <f>IFERROR(VLOOKUP(A190,'Trans 21-23'!$A$2:$J$229,10,0),0)</f>
        <v>0</v>
      </c>
      <c r="Y190" s="42">
        <v>0</v>
      </c>
      <c r="Z190" s="42">
        <v>0</v>
      </c>
      <c r="AA190" s="42">
        <v>0</v>
      </c>
      <c r="AB190" s="42">
        <v>0</v>
      </c>
      <c r="AC190" s="42">
        <v>0</v>
      </c>
      <c r="AD190" s="42">
        <v>222475</v>
      </c>
      <c r="AE190" s="42">
        <v>0</v>
      </c>
      <c r="AF190" s="42">
        <v>1058783</v>
      </c>
      <c r="AG190" s="42">
        <v>0</v>
      </c>
      <c r="AH190" s="42">
        <v>0</v>
      </c>
      <c r="AI190" s="42">
        <v>0</v>
      </c>
      <c r="AJ190" s="42">
        <v>0</v>
      </c>
      <c r="AK190" s="42">
        <v>0</v>
      </c>
      <c r="AL190" s="42">
        <v>0</v>
      </c>
      <c r="AM190" s="42">
        <v>0</v>
      </c>
      <c r="AN190" s="42">
        <v>0</v>
      </c>
      <c r="AO190" s="42">
        <v>0</v>
      </c>
      <c r="AP190" s="42">
        <v>0</v>
      </c>
      <c r="AQ190" s="42">
        <v>0</v>
      </c>
      <c r="AR190" s="42">
        <v>0</v>
      </c>
      <c r="AS190" s="42">
        <v>0</v>
      </c>
      <c r="AT190" s="42">
        <v>0</v>
      </c>
      <c r="AU190" s="42">
        <v>0</v>
      </c>
      <c r="AV190" s="42">
        <v>0</v>
      </c>
      <c r="AW190" s="42">
        <v>0</v>
      </c>
      <c r="AX190" s="42">
        <v>0</v>
      </c>
      <c r="AY190" s="42">
        <v>0</v>
      </c>
      <c r="AZ190" s="42">
        <v>0</v>
      </c>
      <c r="BA190" s="42">
        <v>0</v>
      </c>
      <c r="BB190" s="42">
        <v>0</v>
      </c>
      <c r="BC190" s="42">
        <v>731613</v>
      </c>
      <c r="BD190" s="42">
        <v>0</v>
      </c>
      <c r="BE190" s="42">
        <v>0</v>
      </c>
      <c r="BF190" s="42">
        <v>0</v>
      </c>
      <c r="BG190" s="42">
        <v>0</v>
      </c>
      <c r="BH190" s="42">
        <v>0</v>
      </c>
      <c r="BI190" s="42">
        <v>0</v>
      </c>
      <c r="BJ190" s="42">
        <v>0</v>
      </c>
      <c r="BK190" s="42">
        <v>0</v>
      </c>
      <c r="BL190" s="42">
        <v>0</v>
      </c>
      <c r="BM190" s="42">
        <v>0</v>
      </c>
      <c r="BN190" s="42">
        <v>0</v>
      </c>
      <c r="BO190" s="42">
        <v>0</v>
      </c>
      <c r="BP190" s="42">
        <v>0</v>
      </c>
      <c r="BQ190" s="42">
        <v>0</v>
      </c>
      <c r="BR190" s="42">
        <v>0</v>
      </c>
      <c r="BS190" s="42">
        <f>IFERROR(VLOOKUP(A190,'Trans 21-23'!$A$2:$J$229,9,0),0)</f>
        <v>0</v>
      </c>
      <c r="BT190" s="67"/>
      <c r="BU190" s="32">
        <f t="shared" si="0"/>
        <v>0</v>
      </c>
      <c r="BV190" s="32">
        <f t="shared" si="1"/>
        <v>0</v>
      </c>
      <c r="BW190" s="32">
        <f t="shared" si="2"/>
        <v>0</v>
      </c>
      <c r="BX190" s="32">
        <f t="shared" si="3"/>
        <v>0</v>
      </c>
      <c r="BY190" s="32">
        <f t="shared" si="4"/>
        <v>0</v>
      </c>
      <c r="BZ190" s="32">
        <f t="shared" si="5"/>
        <v>0</v>
      </c>
      <c r="CA190" s="32">
        <f t="shared" si="6"/>
        <v>222475</v>
      </c>
      <c r="CB190" s="32">
        <f t="shared" si="7"/>
        <v>0</v>
      </c>
      <c r="CC190" s="32">
        <f t="shared" si="8"/>
        <v>0</v>
      </c>
      <c r="CD190" s="41">
        <f t="shared" si="74"/>
        <v>0</v>
      </c>
      <c r="CE190" s="44">
        <f t="shared" si="10"/>
        <v>65</v>
      </c>
      <c r="CF190" s="27"/>
      <c r="CG190" s="28" t="str">
        <f t="shared" si="11"/>
        <v/>
      </c>
      <c r="CH190" s="28" t="str">
        <f t="shared" si="12"/>
        <v/>
      </c>
      <c r="CI190" s="28" t="str">
        <f t="shared" si="13"/>
        <v/>
      </c>
      <c r="CJ190" s="28" t="str">
        <f t="shared" si="14"/>
        <v/>
      </c>
      <c r="CK190" s="23" t="str">
        <f t="shared" si="15"/>
        <v/>
      </c>
      <c r="CL190" s="29" t="str">
        <f t="shared" si="16"/>
        <v/>
      </c>
      <c r="CM190" s="29" t="str">
        <f t="shared" si="17"/>
        <v/>
      </c>
      <c r="CN190" s="29" t="str">
        <f t="shared" si="18"/>
        <v/>
      </c>
      <c r="CO190" s="29" t="str">
        <f t="shared" si="19"/>
        <v/>
      </c>
      <c r="CP190" s="29" t="str">
        <f t="shared" si="20"/>
        <v/>
      </c>
      <c r="CQ190" s="29" t="str">
        <f t="shared" si="21"/>
        <v/>
      </c>
      <c r="CR190" s="13"/>
      <c r="CS190" s="7" t="str">
        <f>VLOOKUP(A190,'Empresas 21-23'!$A$2:$M$228,13,0)</f>
        <v/>
      </c>
      <c r="CT190" s="30"/>
      <c r="CU190" s="6">
        <f t="shared" si="22"/>
        <v>0</v>
      </c>
      <c r="CV190" s="6">
        <f t="shared" si="23"/>
        <v>0</v>
      </c>
      <c r="CW190" s="6">
        <f t="shared" si="24"/>
        <v>0</v>
      </c>
      <c r="CX190" s="23">
        <f t="shared" si="88"/>
        <v>0</v>
      </c>
      <c r="CY190" s="23">
        <f t="shared" si="89"/>
        <v>0</v>
      </c>
      <c r="CZ190" s="6">
        <f t="shared" si="27"/>
        <v>0</v>
      </c>
      <c r="DA190" s="6">
        <f t="shared" si="28"/>
        <v>0</v>
      </c>
      <c r="DB190" s="6">
        <f t="shared" si="29"/>
        <v>0</v>
      </c>
      <c r="DC190" s="6">
        <f t="shared" si="30"/>
        <v>0</v>
      </c>
      <c r="DD190" s="6">
        <f t="shared" si="31"/>
        <v>0</v>
      </c>
      <c r="DE190" s="6">
        <f t="shared" si="32"/>
        <v>222475</v>
      </c>
      <c r="DF190" s="6">
        <f t="shared" si="86"/>
        <v>0</v>
      </c>
      <c r="DG190" s="30"/>
      <c r="DH190" s="32" t="str">
        <f>VLOOKUP(A190,'T_med_comp-USA'!$A$7:$Q$233,17,0)</f>
        <v>-</v>
      </c>
      <c r="DI190" s="6" t="str">
        <f t="shared" si="34"/>
        <v/>
      </c>
      <c r="DJ190" s="32" t="str">
        <f>IF(DI190="","",VLOOKUP(DI190,'CPI USA'!$T:$U,2,FALSE))</f>
        <v/>
      </c>
      <c r="DK190" s="32" t="str">
        <f>IF(DI190="","",VLOOKUP(DI190,'PPI USA'!$S:$T,2,FALSE))</f>
        <v/>
      </c>
      <c r="DL190" s="32" t="str">
        <f>IF(DI190="","",VLOOKUP(DI190,'CPI USA'!$T:$V,3,FALSE))</f>
        <v/>
      </c>
      <c r="DM190" s="32" t="str">
        <f>IF(DI190="","",VLOOKUP(DI190,'CPI USA'!$T:$X,5,FALSE))</f>
        <v/>
      </c>
      <c r="DN190" s="32" t="str">
        <f t="shared" si="35"/>
        <v/>
      </c>
      <c r="DO190" s="32" t="str">
        <f t="shared" si="36"/>
        <v/>
      </c>
      <c r="DP190" s="32" t="str">
        <f t="shared" si="37"/>
        <v/>
      </c>
      <c r="DQ190" s="32" t="str">
        <f>IF(DP190="","",DP190*$DO$1/'CPI USA'!$U$532+(1-DP190)*AVERAGE($DO$1,$DQ$1)/AVERAGE('CPI USA'!$U$532,'PPI USA'!$T$538))</f>
        <v/>
      </c>
      <c r="DR190" s="6">
        <f t="shared" si="38"/>
        <v>0</v>
      </c>
      <c r="DS190" s="32" t="str">
        <f t="shared" si="39"/>
        <v/>
      </c>
      <c r="DT190" s="28" t="str">
        <f>IF(DS190="","",DS190*$DO$1/'CPI USA'!$U$532+(1-DS190)*AVERAGE($DO$1,$DQ$1)/AVERAGE('CPI USA'!$U$532,'PPI USA'!$T$538))</f>
        <v/>
      </c>
      <c r="DU190" s="6" t="str">
        <f t="shared" si="40"/>
        <v/>
      </c>
      <c r="DV190" s="6" t="str">
        <f t="shared" si="87"/>
        <v/>
      </c>
      <c r="DW190" s="6">
        <f t="shared" si="42"/>
        <v>0</v>
      </c>
      <c r="DX190" s="16" t="str">
        <f t="shared" si="43"/>
        <v/>
      </c>
      <c r="DY190" s="28" t="str">
        <f>IF(DX190="","",DX190*$DO$1/'CPI USA'!$U$532+(1-DX190)*AVERAGE($DO$1,$DQ$1)/AVERAGE('CPI USA'!$U$532,'PPI USA'!$T$538))</f>
        <v/>
      </c>
      <c r="DZ190" s="30"/>
      <c r="EA190" s="29" t="str">
        <f t="shared" si="44"/>
        <v>C007581</v>
      </c>
      <c r="EB190" s="29" t="str">
        <f t="shared" si="45"/>
        <v/>
      </c>
      <c r="EC190" s="29" t="str">
        <f t="shared" si="46"/>
        <v/>
      </c>
      <c r="ED190" s="29" t="str">
        <f t="shared" si="47"/>
        <v/>
      </c>
      <c r="EE190" s="29" t="str">
        <f t="shared" si="48"/>
        <v/>
      </c>
      <c r="EF190" s="29" t="str">
        <f t="shared" si="49"/>
        <v/>
      </c>
      <c r="EG190" s="29" t="str">
        <f t="shared" si="50"/>
        <v/>
      </c>
      <c r="EH190" s="29" t="str">
        <f t="shared" si="51"/>
        <v/>
      </c>
      <c r="EI190" s="29" t="str">
        <f t="shared" si="52"/>
        <v/>
      </c>
      <c r="EJ190" s="29" t="str">
        <f t="shared" si="53"/>
        <v/>
      </c>
      <c r="EK190" s="29" t="str">
        <f t="shared" si="54"/>
        <v/>
      </c>
      <c r="EL190" s="29" t="str">
        <f>IF(CD190=1,VLOOKUP(EA190,'EIA 2023'!$A$2:$J$213,4,0)*EH190,"")</f>
        <v/>
      </c>
      <c r="EM190" s="29" t="str">
        <f>IF(CD190=1,VLOOKUP(EA190,'EIA 2023'!$A$2:$J$213,7,0)*EH190,"")</f>
        <v/>
      </c>
      <c r="EN190" s="29" t="str">
        <f>IF(CD190=1,VLOOKUP(EA190,'EIA 2023'!$A$2:$J$213,10,0),"")</f>
        <v/>
      </c>
      <c r="EO190" s="28" t="str">
        <f>IF(CD190=1,VLOOKUP(EA190,'EIA 2023'!$A$2:$Z$213,26,0),"")</f>
        <v/>
      </c>
      <c r="EP190" s="23" t="str">
        <f t="shared" si="55"/>
        <v/>
      </c>
      <c r="EQ190" s="32" t="str">
        <f t="shared" si="56"/>
        <v/>
      </c>
      <c r="ER190" s="32" t="str">
        <f t="shared" si="57"/>
        <v/>
      </c>
      <c r="ES190" s="32"/>
      <c r="ET190" s="32"/>
    </row>
    <row r="191" spans="1:150" ht="15.75" customHeight="1">
      <c r="A191" s="7" t="s">
        <v>784</v>
      </c>
      <c r="B191" s="7" t="s">
        <v>785</v>
      </c>
      <c r="C191" s="32" t="s">
        <v>1276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  <c r="M191" s="42">
        <v>0</v>
      </c>
      <c r="N191" s="42">
        <v>0</v>
      </c>
      <c r="O191" s="42">
        <v>0</v>
      </c>
      <c r="P191" s="42">
        <v>0</v>
      </c>
      <c r="Q191" s="42">
        <v>0</v>
      </c>
      <c r="R191" s="42">
        <v>0</v>
      </c>
      <c r="S191" s="42">
        <v>0</v>
      </c>
      <c r="T191" s="42">
        <v>0</v>
      </c>
      <c r="U191" s="42">
        <v>0</v>
      </c>
      <c r="V191" s="42">
        <v>0</v>
      </c>
      <c r="W191" s="42">
        <v>0</v>
      </c>
      <c r="X191" s="42">
        <f>IFERROR(VLOOKUP(A191,'Trans 21-23'!$A$2:$J$229,10,0),0)</f>
        <v>0</v>
      </c>
      <c r="Y191" s="42">
        <v>0</v>
      </c>
      <c r="Z191" s="42">
        <v>0</v>
      </c>
      <c r="AA191" s="42">
        <v>0</v>
      </c>
      <c r="AB191" s="42">
        <v>0</v>
      </c>
      <c r="AC191" s="42">
        <v>0</v>
      </c>
      <c r="AD191" s="42">
        <v>52176</v>
      </c>
      <c r="AE191" s="42">
        <v>0</v>
      </c>
      <c r="AF191" s="42">
        <v>89649</v>
      </c>
      <c r="AG191" s="42">
        <v>0</v>
      </c>
      <c r="AH191" s="42">
        <v>0</v>
      </c>
      <c r="AI191" s="42">
        <v>0</v>
      </c>
      <c r="AJ191" s="42">
        <v>0</v>
      </c>
      <c r="AK191" s="42">
        <v>0</v>
      </c>
      <c r="AL191" s="42">
        <v>0</v>
      </c>
      <c r="AM191" s="42">
        <v>0</v>
      </c>
      <c r="AN191" s="42">
        <v>0</v>
      </c>
      <c r="AO191" s="42">
        <v>0</v>
      </c>
      <c r="AP191" s="42">
        <v>0</v>
      </c>
      <c r="AQ191" s="42">
        <v>0</v>
      </c>
      <c r="AR191" s="42">
        <v>0</v>
      </c>
      <c r="AS191" s="42">
        <v>0</v>
      </c>
      <c r="AT191" s="42">
        <v>0</v>
      </c>
      <c r="AU191" s="42">
        <v>0</v>
      </c>
      <c r="AV191" s="42">
        <v>0</v>
      </c>
      <c r="AW191" s="42">
        <v>0</v>
      </c>
      <c r="AX191" s="42">
        <v>0</v>
      </c>
      <c r="AY191" s="42">
        <v>0</v>
      </c>
      <c r="AZ191" s="42">
        <v>0</v>
      </c>
      <c r="BA191" s="42">
        <v>0</v>
      </c>
      <c r="BB191" s="42">
        <v>0</v>
      </c>
      <c r="BC191" s="42">
        <v>266903</v>
      </c>
      <c r="BD191" s="42">
        <v>0</v>
      </c>
      <c r="BE191" s="42">
        <v>0</v>
      </c>
      <c r="BF191" s="42">
        <v>0</v>
      </c>
      <c r="BG191" s="42">
        <v>0</v>
      </c>
      <c r="BH191" s="42">
        <v>0</v>
      </c>
      <c r="BI191" s="42">
        <v>0</v>
      </c>
      <c r="BJ191" s="42">
        <v>0</v>
      </c>
      <c r="BK191" s="42">
        <v>0</v>
      </c>
      <c r="BL191" s="42">
        <v>0</v>
      </c>
      <c r="BM191" s="42">
        <v>0</v>
      </c>
      <c r="BN191" s="42">
        <v>0</v>
      </c>
      <c r="BO191" s="42">
        <v>0</v>
      </c>
      <c r="BP191" s="42">
        <v>0</v>
      </c>
      <c r="BQ191" s="42">
        <v>0</v>
      </c>
      <c r="BR191" s="42">
        <v>0</v>
      </c>
      <c r="BS191" s="42">
        <f>IFERROR(VLOOKUP(A191,'Trans 21-23'!$A$2:$J$229,9,0),0)</f>
        <v>0</v>
      </c>
      <c r="BT191" s="67"/>
      <c r="BU191" s="32">
        <f t="shared" si="0"/>
        <v>0</v>
      </c>
      <c r="BV191" s="32">
        <f t="shared" si="1"/>
        <v>0</v>
      </c>
      <c r="BW191" s="32">
        <f t="shared" si="2"/>
        <v>0</v>
      </c>
      <c r="BX191" s="32">
        <f t="shared" si="3"/>
        <v>0</v>
      </c>
      <c r="BY191" s="32">
        <f t="shared" si="4"/>
        <v>0</v>
      </c>
      <c r="BZ191" s="32">
        <f t="shared" si="5"/>
        <v>0</v>
      </c>
      <c r="CA191" s="32">
        <f t="shared" si="6"/>
        <v>52176</v>
      </c>
      <c r="CB191" s="32">
        <f t="shared" si="7"/>
        <v>0</v>
      </c>
      <c r="CC191" s="32">
        <f t="shared" si="8"/>
        <v>0</v>
      </c>
      <c r="CD191" s="41">
        <f t="shared" si="74"/>
        <v>0</v>
      </c>
      <c r="CE191" s="44">
        <f t="shared" si="10"/>
        <v>65</v>
      </c>
      <c r="CF191" s="27"/>
      <c r="CG191" s="28" t="str">
        <f t="shared" si="11"/>
        <v/>
      </c>
      <c r="CH191" s="28" t="str">
        <f t="shared" si="12"/>
        <v/>
      </c>
      <c r="CI191" s="28" t="str">
        <f t="shared" si="13"/>
        <v/>
      </c>
      <c r="CJ191" s="28" t="str">
        <f t="shared" si="14"/>
        <v/>
      </c>
      <c r="CK191" s="23" t="str">
        <f t="shared" si="15"/>
        <v/>
      </c>
      <c r="CL191" s="29" t="str">
        <f t="shared" si="16"/>
        <v/>
      </c>
      <c r="CM191" s="29" t="str">
        <f t="shared" si="17"/>
        <v/>
      </c>
      <c r="CN191" s="29" t="str">
        <f t="shared" si="18"/>
        <v/>
      </c>
      <c r="CO191" s="29" t="str">
        <f t="shared" si="19"/>
        <v/>
      </c>
      <c r="CP191" s="29" t="str">
        <f t="shared" si="20"/>
        <v/>
      </c>
      <c r="CQ191" s="29" t="str">
        <f t="shared" si="21"/>
        <v/>
      </c>
      <c r="CR191" s="13"/>
      <c r="CS191" s="7" t="str">
        <f>VLOOKUP(A191,'Empresas 21-23'!$A$2:$M$228,13,0)</f>
        <v/>
      </c>
      <c r="CT191" s="30"/>
      <c r="CU191" s="6">
        <f t="shared" si="22"/>
        <v>0</v>
      </c>
      <c r="CV191" s="6">
        <f t="shared" si="23"/>
        <v>0</v>
      </c>
      <c r="CW191" s="6">
        <f t="shared" si="24"/>
        <v>0</v>
      </c>
      <c r="CX191" s="23">
        <f t="shared" si="88"/>
        <v>0</v>
      </c>
      <c r="CY191" s="23">
        <f t="shared" si="89"/>
        <v>0</v>
      </c>
      <c r="CZ191" s="6">
        <f t="shared" si="27"/>
        <v>0</v>
      </c>
      <c r="DA191" s="6">
        <f t="shared" si="28"/>
        <v>0</v>
      </c>
      <c r="DB191" s="6">
        <f t="shared" si="29"/>
        <v>0</v>
      </c>
      <c r="DC191" s="6">
        <f t="shared" si="30"/>
        <v>0</v>
      </c>
      <c r="DD191" s="6">
        <f t="shared" si="31"/>
        <v>0</v>
      </c>
      <c r="DE191" s="6">
        <f t="shared" si="32"/>
        <v>52176</v>
      </c>
      <c r="DF191" s="6">
        <f t="shared" si="86"/>
        <v>0</v>
      </c>
      <c r="DG191" s="30"/>
      <c r="DH191" s="32" t="str">
        <f>VLOOKUP(A191,'T_med_comp-USA'!$A$7:$Q$233,17,0)</f>
        <v>-</v>
      </c>
      <c r="DI191" s="6" t="str">
        <f t="shared" si="34"/>
        <v/>
      </c>
      <c r="DJ191" s="32" t="str">
        <f>IF(DI191="","",VLOOKUP(DI191,'CPI USA'!$T:$U,2,FALSE))</f>
        <v/>
      </c>
      <c r="DK191" s="32" t="str">
        <f>IF(DI191="","",VLOOKUP(DI191,'PPI USA'!$S:$T,2,FALSE))</f>
        <v/>
      </c>
      <c r="DL191" s="32" t="str">
        <f>IF(DI191="","",VLOOKUP(DI191,'CPI USA'!$T:$V,3,FALSE))</f>
        <v/>
      </c>
      <c r="DM191" s="32" t="str">
        <f>IF(DI191="","",VLOOKUP(DI191,'CPI USA'!$T:$X,5,FALSE))</f>
        <v/>
      </c>
      <c r="DN191" s="32" t="str">
        <f t="shared" si="35"/>
        <v/>
      </c>
      <c r="DO191" s="32" t="str">
        <f t="shared" si="36"/>
        <v/>
      </c>
      <c r="DP191" s="32" t="str">
        <f t="shared" si="37"/>
        <v/>
      </c>
      <c r="DQ191" s="32" t="str">
        <f>IF(DP191="","",DP191*$DO$1/'CPI USA'!$U$532+(1-DP191)*AVERAGE($DO$1,$DQ$1)/AVERAGE('CPI USA'!$U$532,'PPI USA'!$T$538))</f>
        <v/>
      </c>
      <c r="DR191" s="6">
        <f t="shared" si="38"/>
        <v>0</v>
      </c>
      <c r="DS191" s="32" t="str">
        <f t="shared" si="39"/>
        <v/>
      </c>
      <c r="DT191" s="28" t="str">
        <f>IF(DS191="","",DS191*$DO$1/'CPI USA'!$U$532+(1-DS191)*AVERAGE($DO$1,$DQ$1)/AVERAGE('CPI USA'!$U$532,'PPI USA'!$T$538))</f>
        <v/>
      </c>
      <c r="DU191" s="6" t="str">
        <f t="shared" si="40"/>
        <v/>
      </c>
      <c r="DV191" s="6" t="str">
        <f t="shared" si="87"/>
        <v/>
      </c>
      <c r="DW191" s="6">
        <f t="shared" si="42"/>
        <v>0</v>
      </c>
      <c r="DX191" s="16" t="str">
        <f t="shared" si="43"/>
        <v/>
      </c>
      <c r="DY191" s="28" t="str">
        <f>IF(DX191="","",DX191*$DO$1/'CPI USA'!$U$532+(1-DX191)*AVERAGE($DO$1,$DQ$1)/AVERAGE('CPI USA'!$U$532,'PPI USA'!$T$538))</f>
        <v/>
      </c>
      <c r="DZ191" s="30"/>
      <c r="EA191" s="29" t="str">
        <f t="shared" si="44"/>
        <v>C007582</v>
      </c>
      <c r="EB191" s="29" t="str">
        <f t="shared" si="45"/>
        <v/>
      </c>
      <c r="EC191" s="29" t="str">
        <f t="shared" si="46"/>
        <v/>
      </c>
      <c r="ED191" s="29" t="str">
        <f t="shared" si="47"/>
        <v/>
      </c>
      <c r="EE191" s="29" t="str">
        <f t="shared" si="48"/>
        <v/>
      </c>
      <c r="EF191" s="29" t="str">
        <f t="shared" si="49"/>
        <v/>
      </c>
      <c r="EG191" s="29" t="str">
        <f t="shared" si="50"/>
        <v/>
      </c>
      <c r="EH191" s="29" t="str">
        <f t="shared" si="51"/>
        <v/>
      </c>
      <c r="EI191" s="29" t="str">
        <f t="shared" si="52"/>
        <v/>
      </c>
      <c r="EJ191" s="29" t="str">
        <f t="shared" si="53"/>
        <v/>
      </c>
      <c r="EK191" s="29" t="str">
        <f t="shared" si="54"/>
        <v/>
      </c>
      <c r="EL191" s="29" t="str">
        <f>IF(CD191=1,VLOOKUP(EA191,'EIA 2023'!$A$2:$J$213,4,0)*EH191,"")</f>
        <v/>
      </c>
      <c r="EM191" s="29" t="str">
        <f>IF(CD191=1,VLOOKUP(EA191,'EIA 2023'!$A$2:$J$213,7,0)*EH191,"")</f>
        <v/>
      </c>
      <c r="EN191" s="29" t="str">
        <f>IF(CD191=1,VLOOKUP(EA191,'EIA 2023'!$A$2:$J$213,10,0),"")</f>
        <v/>
      </c>
      <c r="EO191" s="28" t="str">
        <f>IF(CD191=1,VLOOKUP(EA191,'EIA 2023'!$A$2:$Z$213,26,0),"")</f>
        <v/>
      </c>
      <c r="EP191" s="23" t="str">
        <f t="shared" si="55"/>
        <v/>
      </c>
      <c r="EQ191" s="32" t="str">
        <f t="shared" si="56"/>
        <v/>
      </c>
      <c r="ER191" s="32" t="str">
        <f t="shared" si="57"/>
        <v/>
      </c>
      <c r="ES191" s="32"/>
      <c r="ET191" s="32"/>
    </row>
    <row r="192" spans="1:150" ht="15.75" customHeight="1">
      <c r="A192" s="7" t="s">
        <v>787</v>
      </c>
      <c r="B192" s="7" t="s">
        <v>788</v>
      </c>
      <c r="C192" s="32" t="s">
        <v>1277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</v>
      </c>
      <c r="K192" s="42">
        <v>0</v>
      </c>
      <c r="L192" s="42">
        <v>0</v>
      </c>
      <c r="M192" s="42">
        <v>0</v>
      </c>
      <c r="N192" s="42">
        <v>0</v>
      </c>
      <c r="O192" s="42">
        <v>0</v>
      </c>
      <c r="P192" s="42">
        <v>0</v>
      </c>
      <c r="Q192" s="42">
        <v>0</v>
      </c>
      <c r="R192" s="42">
        <v>0</v>
      </c>
      <c r="S192" s="42">
        <v>0</v>
      </c>
      <c r="T192" s="42">
        <v>0</v>
      </c>
      <c r="U192" s="42">
        <v>0</v>
      </c>
      <c r="V192" s="42">
        <v>0</v>
      </c>
      <c r="W192" s="42">
        <v>0</v>
      </c>
      <c r="X192" s="42">
        <f>IFERROR(VLOOKUP(A192,'Trans 21-23'!$A$2:$J$229,10,0),0)</f>
        <v>0</v>
      </c>
      <c r="Y192" s="42">
        <v>0</v>
      </c>
      <c r="Z192" s="42">
        <v>0</v>
      </c>
      <c r="AA192" s="42">
        <v>0</v>
      </c>
      <c r="AB192" s="42">
        <v>0</v>
      </c>
      <c r="AC192" s="42">
        <v>0</v>
      </c>
      <c r="AD192" s="42">
        <v>435159</v>
      </c>
      <c r="AE192" s="42">
        <v>0</v>
      </c>
      <c r="AF192" s="42">
        <v>2362023</v>
      </c>
      <c r="AG192" s="42">
        <v>0</v>
      </c>
      <c r="AH192" s="42">
        <v>0</v>
      </c>
      <c r="AI192" s="42">
        <v>781336</v>
      </c>
      <c r="AJ192" s="42">
        <v>0</v>
      </c>
      <c r="AK192" s="42">
        <v>0</v>
      </c>
      <c r="AL192" s="42">
        <v>0</v>
      </c>
      <c r="AM192" s="42">
        <v>0</v>
      </c>
      <c r="AN192" s="42">
        <v>0</v>
      </c>
      <c r="AO192" s="42">
        <v>0</v>
      </c>
      <c r="AP192" s="42">
        <v>0</v>
      </c>
      <c r="AQ192" s="42">
        <v>781336</v>
      </c>
      <c r="AR192" s="42">
        <v>0</v>
      </c>
      <c r="AS192" s="42">
        <v>0</v>
      </c>
      <c r="AT192" s="42">
        <v>0</v>
      </c>
      <c r="AU192" s="42">
        <v>0</v>
      </c>
      <c r="AV192" s="42">
        <v>0</v>
      </c>
      <c r="AW192" s="42">
        <v>0</v>
      </c>
      <c r="AX192" s="42">
        <v>0</v>
      </c>
      <c r="AY192" s="42">
        <v>0</v>
      </c>
      <c r="AZ192" s="42">
        <v>0</v>
      </c>
      <c r="BA192" s="42">
        <v>0</v>
      </c>
      <c r="BB192" s="42">
        <v>0</v>
      </c>
      <c r="BC192" s="42">
        <v>6927603.25</v>
      </c>
      <c r="BD192" s="42">
        <v>832990</v>
      </c>
      <c r="BE192" s="42">
        <v>0</v>
      </c>
      <c r="BF192" s="42">
        <v>0</v>
      </c>
      <c r="BG192" s="42">
        <v>0</v>
      </c>
      <c r="BH192" s="42">
        <v>0</v>
      </c>
      <c r="BI192" s="42">
        <v>0</v>
      </c>
      <c r="BJ192" s="42">
        <v>0</v>
      </c>
      <c r="BK192" s="42">
        <v>0</v>
      </c>
      <c r="BL192" s="42">
        <v>0</v>
      </c>
      <c r="BM192" s="42">
        <v>0</v>
      </c>
      <c r="BN192" s="42">
        <v>0</v>
      </c>
      <c r="BO192" s="42">
        <v>0</v>
      </c>
      <c r="BP192" s="42">
        <v>0</v>
      </c>
      <c r="BQ192" s="42">
        <v>0</v>
      </c>
      <c r="BR192" s="42">
        <v>0</v>
      </c>
      <c r="BS192" s="42">
        <f>IFERROR(VLOOKUP(A192,'Trans 21-23'!$A$2:$J$229,9,0),0)</f>
        <v>0</v>
      </c>
      <c r="BT192" s="67"/>
      <c r="BU192" s="32">
        <f t="shared" si="0"/>
        <v>0</v>
      </c>
      <c r="BV192" s="32">
        <f t="shared" si="1"/>
        <v>0</v>
      </c>
      <c r="BW192" s="32">
        <f t="shared" si="2"/>
        <v>0</v>
      </c>
      <c r="BX192" s="32">
        <f t="shared" si="3"/>
        <v>0</v>
      </c>
      <c r="BY192" s="32">
        <f t="shared" si="4"/>
        <v>0</v>
      </c>
      <c r="BZ192" s="32">
        <f t="shared" si="5"/>
        <v>0</v>
      </c>
      <c r="CA192" s="32">
        <f t="shared" si="6"/>
        <v>435159</v>
      </c>
      <c r="CB192" s="32">
        <f t="shared" si="7"/>
        <v>0</v>
      </c>
      <c r="CC192" s="32">
        <f t="shared" si="8"/>
        <v>781336</v>
      </c>
      <c r="CD192" s="41">
        <f t="shared" si="74"/>
        <v>0</v>
      </c>
      <c r="CE192" s="44">
        <f t="shared" si="10"/>
        <v>62</v>
      </c>
      <c r="CF192" s="27"/>
      <c r="CG192" s="28" t="str">
        <f t="shared" si="11"/>
        <v/>
      </c>
      <c r="CH192" s="28" t="str">
        <f t="shared" si="12"/>
        <v/>
      </c>
      <c r="CI192" s="28" t="str">
        <f t="shared" si="13"/>
        <v/>
      </c>
      <c r="CJ192" s="28" t="str">
        <f t="shared" si="14"/>
        <v/>
      </c>
      <c r="CK192" s="23" t="str">
        <f t="shared" si="15"/>
        <v/>
      </c>
      <c r="CL192" s="29" t="str">
        <f t="shared" si="16"/>
        <v/>
      </c>
      <c r="CM192" s="29" t="str">
        <f t="shared" si="17"/>
        <v/>
      </c>
      <c r="CN192" s="29" t="str">
        <f t="shared" si="18"/>
        <v/>
      </c>
      <c r="CO192" s="29" t="str">
        <f t="shared" si="19"/>
        <v/>
      </c>
      <c r="CP192" s="29" t="str">
        <f t="shared" si="20"/>
        <v/>
      </c>
      <c r="CQ192" s="29" t="str">
        <f t="shared" si="21"/>
        <v/>
      </c>
      <c r="CR192" s="13"/>
      <c r="CS192" s="7" t="str">
        <f>VLOOKUP(A192,'Empresas 21-23'!$A$2:$M$228,13,0)</f>
        <v/>
      </c>
      <c r="CT192" s="30"/>
      <c r="CU192" s="6">
        <f t="shared" si="22"/>
        <v>0</v>
      </c>
      <c r="CV192" s="6">
        <f t="shared" si="23"/>
        <v>0</v>
      </c>
      <c r="CW192" s="6">
        <f t="shared" si="24"/>
        <v>832990</v>
      </c>
      <c r="CX192" s="23">
        <f t="shared" si="88"/>
        <v>0</v>
      </c>
      <c r="CY192" s="23">
        <f t="shared" si="89"/>
        <v>0</v>
      </c>
      <c r="CZ192" s="6">
        <f t="shared" si="27"/>
        <v>0</v>
      </c>
      <c r="DA192" s="6">
        <f t="shared" si="28"/>
        <v>0</v>
      </c>
      <c r="DB192" s="6">
        <f t="shared" si="29"/>
        <v>0</v>
      </c>
      <c r="DC192" s="6">
        <f t="shared" si="30"/>
        <v>0</v>
      </c>
      <c r="DD192" s="6">
        <f t="shared" si="31"/>
        <v>0</v>
      </c>
      <c r="DE192" s="6">
        <f t="shared" si="32"/>
        <v>435159</v>
      </c>
      <c r="DF192" s="6">
        <f t="shared" si="86"/>
        <v>0</v>
      </c>
      <c r="DG192" s="30"/>
      <c r="DH192" s="32" t="str">
        <f>VLOOKUP(A192,'T_med_comp-USA'!$A$7:$Q$233,17,0)</f>
        <v>-</v>
      </c>
      <c r="DI192" s="6" t="str">
        <f t="shared" si="34"/>
        <v/>
      </c>
      <c r="DJ192" s="32" t="str">
        <f>IF(DI192="","",VLOOKUP(DI192,'CPI USA'!$T:$U,2,FALSE))</f>
        <v/>
      </c>
      <c r="DK192" s="32" t="str">
        <f>IF(DI192="","",VLOOKUP(DI192,'PPI USA'!$S:$T,2,FALSE))</f>
        <v/>
      </c>
      <c r="DL192" s="32" t="str">
        <f>IF(DI192="","",VLOOKUP(DI192,'CPI USA'!$T:$V,3,FALSE))</f>
        <v/>
      </c>
      <c r="DM192" s="32" t="str">
        <f>IF(DI192="","",VLOOKUP(DI192,'CPI USA'!$T:$X,5,FALSE))</f>
        <v/>
      </c>
      <c r="DN192" s="32" t="str">
        <f t="shared" si="35"/>
        <v/>
      </c>
      <c r="DO192" s="32" t="str">
        <f t="shared" si="36"/>
        <v/>
      </c>
      <c r="DP192" s="32" t="str">
        <f t="shared" si="37"/>
        <v/>
      </c>
      <c r="DQ192" s="32" t="str">
        <f>IF(DP192="","",DP192*$DO$1/'CPI USA'!$U$532+(1-DP192)*AVERAGE($DO$1,$DQ$1)/AVERAGE('CPI USA'!$U$532,'PPI USA'!$T$538))</f>
        <v/>
      </c>
      <c r="DR192" s="6">
        <f t="shared" si="38"/>
        <v>0</v>
      </c>
      <c r="DS192" s="32" t="str">
        <f t="shared" si="39"/>
        <v/>
      </c>
      <c r="DT192" s="28" t="str">
        <f>IF(DS192="","",DS192*$DO$1/'CPI USA'!$U$532+(1-DS192)*AVERAGE($DO$1,$DQ$1)/AVERAGE('CPI USA'!$U$532,'PPI USA'!$T$538))</f>
        <v/>
      </c>
      <c r="DU192" s="6" t="str">
        <f t="shared" si="40"/>
        <v/>
      </c>
      <c r="DV192" s="6" t="str">
        <f t="shared" si="87"/>
        <v/>
      </c>
      <c r="DW192" s="6">
        <f t="shared" si="42"/>
        <v>0</v>
      </c>
      <c r="DX192" s="16" t="str">
        <f t="shared" si="43"/>
        <v/>
      </c>
      <c r="DY192" s="28" t="str">
        <f>IF(DX192="","",DX192*$DO$1/'CPI USA'!$U$532+(1-DX192)*AVERAGE($DO$1,$DQ$1)/AVERAGE('CPI USA'!$U$532,'PPI USA'!$T$538))</f>
        <v/>
      </c>
      <c r="DZ192" s="30"/>
      <c r="EA192" s="29" t="str">
        <f t="shared" si="44"/>
        <v>C007584</v>
      </c>
      <c r="EB192" s="29" t="str">
        <f t="shared" si="45"/>
        <v/>
      </c>
      <c r="EC192" s="29" t="str">
        <f t="shared" si="46"/>
        <v/>
      </c>
      <c r="ED192" s="29" t="str">
        <f t="shared" si="47"/>
        <v/>
      </c>
      <c r="EE192" s="29" t="str">
        <f t="shared" si="48"/>
        <v/>
      </c>
      <c r="EF192" s="29" t="str">
        <f t="shared" si="49"/>
        <v/>
      </c>
      <c r="EG192" s="29" t="str">
        <f t="shared" si="50"/>
        <v/>
      </c>
      <c r="EH192" s="29" t="str">
        <f t="shared" si="51"/>
        <v/>
      </c>
      <c r="EI192" s="29" t="str">
        <f t="shared" si="52"/>
        <v/>
      </c>
      <c r="EJ192" s="29" t="str">
        <f t="shared" si="53"/>
        <v/>
      </c>
      <c r="EK192" s="29" t="str">
        <f t="shared" si="54"/>
        <v/>
      </c>
      <c r="EL192" s="29" t="str">
        <f>IF(CD192=1,VLOOKUP(EA192,'EIA 2023'!$A$2:$J$213,4,0)*EH192,"")</f>
        <v/>
      </c>
      <c r="EM192" s="29" t="str">
        <f>IF(CD192=1,VLOOKUP(EA192,'EIA 2023'!$A$2:$J$213,7,0)*EH192,"")</f>
        <v/>
      </c>
      <c r="EN192" s="29" t="str">
        <f>IF(CD192=1,VLOOKUP(EA192,'EIA 2023'!$A$2:$J$213,10,0),"")</f>
        <v/>
      </c>
      <c r="EO192" s="28" t="str">
        <f>IF(CD192=1,VLOOKUP(EA192,'EIA 2023'!$A$2:$Z$213,26,0),"")</f>
        <v/>
      </c>
      <c r="EP192" s="23" t="str">
        <f t="shared" si="55"/>
        <v/>
      </c>
      <c r="EQ192" s="32" t="str">
        <f t="shared" si="56"/>
        <v/>
      </c>
      <c r="ER192" s="32" t="str">
        <f t="shared" si="57"/>
        <v/>
      </c>
      <c r="ES192" s="32"/>
      <c r="ET192" s="32"/>
    </row>
    <row r="193" spans="1:150" ht="15.75" customHeight="1">
      <c r="A193" s="7" t="s">
        <v>790</v>
      </c>
      <c r="B193" s="7" t="s">
        <v>791</v>
      </c>
      <c r="C193" s="32" t="s">
        <v>1278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f>IFERROR(VLOOKUP(A193,'Trans 21-23'!$A$2:$J$229,10,0),0)</f>
        <v>386077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7491721</v>
      </c>
      <c r="AE193" s="42">
        <v>0</v>
      </c>
      <c r="AF193" s="42">
        <v>11525365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2">
        <v>0</v>
      </c>
      <c r="AR193" s="42">
        <v>0</v>
      </c>
      <c r="AS193" s="42">
        <v>0</v>
      </c>
      <c r="AT193" s="42">
        <v>0</v>
      </c>
      <c r="AU193" s="42">
        <v>0</v>
      </c>
      <c r="AV193" s="42">
        <v>0</v>
      </c>
      <c r="AW193" s="42">
        <v>0</v>
      </c>
      <c r="AX193" s="42">
        <v>0</v>
      </c>
      <c r="AY193" s="42">
        <v>0</v>
      </c>
      <c r="AZ193" s="42">
        <v>0</v>
      </c>
      <c r="BA193" s="42">
        <v>0</v>
      </c>
      <c r="BB193" s="42">
        <v>0</v>
      </c>
      <c r="BC193" s="42">
        <v>888015361</v>
      </c>
      <c r="BD193" s="42">
        <v>1147484</v>
      </c>
      <c r="BE193" s="42">
        <v>0</v>
      </c>
      <c r="BF193" s="42">
        <v>0</v>
      </c>
      <c r="BG193" s="42">
        <v>0</v>
      </c>
      <c r="BH193" s="42">
        <v>0</v>
      </c>
      <c r="BI193" s="42">
        <v>0</v>
      </c>
      <c r="BJ193" s="42">
        <v>0</v>
      </c>
      <c r="BK193" s="42">
        <v>0</v>
      </c>
      <c r="BL193" s="42">
        <v>0</v>
      </c>
      <c r="BM193" s="42">
        <v>1950433</v>
      </c>
      <c r="BN193" s="42">
        <v>2753848</v>
      </c>
      <c r="BO193" s="42">
        <v>0</v>
      </c>
      <c r="BP193" s="42">
        <v>0</v>
      </c>
      <c r="BQ193" s="42">
        <v>2753848</v>
      </c>
      <c r="BR193" s="42">
        <v>0</v>
      </c>
      <c r="BS193" s="42">
        <f>IFERROR(VLOOKUP(A193,'Trans 21-23'!$A$2:$J$229,9,0),0)</f>
        <v>65970702</v>
      </c>
      <c r="BT193" s="67"/>
      <c r="BU193" s="32">
        <f t="shared" si="0"/>
        <v>0</v>
      </c>
      <c r="BV193" s="32">
        <f t="shared" si="1"/>
        <v>0</v>
      </c>
      <c r="BW193" s="32">
        <f t="shared" si="2"/>
        <v>0</v>
      </c>
      <c r="BX193" s="32">
        <f t="shared" si="3"/>
        <v>0</v>
      </c>
      <c r="BY193" s="32">
        <f t="shared" si="4"/>
        <v>0</v>
      </c>
      <c r="BZ193" s="32">
        <f t="shared" si="5"/>
        <v>0</v>
      </c>
      <c r="CA193" s="32">
        <f t="shared" si="6"/>
        <v>7491721</v>
      </c>
      <c r="CB193" s="32">
        <f t="shared" si="7"/>
        <v>0</v>
      </c>
      <c r="CC193" s="32">
        <f t="shared" si="8"/>
        <v>0</v>
      </c>
      <c r="CD193" s="41">
        <f t="shared" si="74"/>
        <v>0</v>
      </c>
      <c r="CE193" s="44">
        <f t="shared" si="10"/>
        <v>59</v>
      </c>
      <c r="CF193" s="27"/>
      <c r="CG193" s="28" t="str">
        <f t="shared" si="11"/>
        <v/>
      </c>
      <c r="CH193" s="28" t="str">
        <f t="shared" si="12"/>
        <v/>
      </c>
      <c r="CI193" s="28" t="str">
        <f t="shared" si="13"/>
        <v/>
      </c>
      <c r="CJ193" s="28" t="str">
        <f t="shared" si="14"/>
        <v/>
      </c>
      <c r="CK193" s="23" t="str">
        <f t="shared" si="15"/>
        <v/>
      </c>
      <c r="CL193" s="29" t="str">
        <f t="shared" si="16"/>
        <v/>
      </c>
      <c r="CM193" s="29" t="str">
        <f t="shared" si="17"/>
        <v/>
      </c>
      <c r="CN193" s="29" t="str">
        <f t="shared" si="18"/>
        <v/>
      </c>
      <c r="CO193" s="29" t="str">
        <f t="shared" si="19"/>
        <v/>
      </c>
      <c r="CP193" s="29" t="str">
        <f t="shared" si="20"/>
        <v/>
      </c>
      <c r="CQ193" s="29" t="str">
        <f t="shared" si="21"/>
        <v/>
      </c>
      <c r="CR193" s="13"/>
      <c r="CS193" s="7" t="str">
        <f>VLOOKUP(A193,'Empresas 21-23'!$A$2:$M$228,13,0)</f>
        <v/>
      </c>
      <c r="CT193" s="30"/>
      <c r="CU193" s="6">
        <f t="shared" si="22"/>
        <v>65970702</v>
      </c>
      <c r="CV193" s="6">
        <f t="shared" si="23"/>
        <v>0</v>
      </c>
      <c r="CW193" s="6">
        <f t="shared" si="24"/>
        <v>1147484</v>
      </c>
      <c r="CX193" s="23">
        <f t="shared" si="88"/>
        <v>7.438616699384637E-2</v>
      </c>
      <c r="CY193" s="23">
        <f t="shared" si="89"/>
        <v>0</v>
      </c>
      <c r="CZ193" s="6">
        <f t="shared" si="27"/>
        <v>66056058.936446764</v>
      </c>
      <c r="DA193" s="6">
        <f t="shared" si="28"/>
        <v>0</v>
      </c>
      <c r="DB193" s="6">
        <f t="shared" si="29"/>
        <v>0</v>
      </c>
      <c r="DC193" s="6">
        <f t="shared" si="30"/>
        <v>386077</v>
      </c>
      <c r="DD193" s="6">
        <f t="shared" si="31"/>
        <v>0</v>
      </c>
      <c r="DE193" s="6">
        <f t="shared" si="32"/>
        <v>7491721</v>
      </c>
      <c r="DF193" s="6">
        <f t="shared" si="86"/>
        <v>717064.06626787095</v>
      </c>
      <c r="DG193" s="30"/>
      <c r="DH193" s="32" t="str">
        <f>VLOOKUP(A193,'T_med_comp-USA'!$A$7:$Q$233,17,0)</f>
        <v>-</v>
      </c>
      <c r="DI193" s="6" t="str">
        <f t="shared" si="34"/>
        <v/>
      </c>
      <c r="DJ193" s="32" t="str">
        <f>IF(DI193="","",VLOOKUP(DI193,'CPI USA'!$T:$U,2,FALSE))</f>
        <v/>
      </c>
      <c r="DK193" s="32" t="str">
        <f>IF(DI193="","",VLOOKUP(DI193,'PPI USA'!$S:$T,2,FALSE))</f>
        <v/>
      </c>
      <c r="DL193" s="32" t="str">
        <f>IF(DI193="","",VLOOKUP(DI193,'CPI USA'!$T:$V,3,FALSE))</f>
        <v/>
      </c>
      <c r="DM193" s="32" t="str">
        <f>IF(DI193="","",VLOOKUP(DI193,'CPI USA'!$T:$X,5,FALSE))</f>
        <v/>
      </c>
      <c r="DN193" s="32" t="str">
        <f t="shared" si="35"/>
        <v/>
      </c>
      <c r="DO193" s="32" t="str">
        <f t="shared" si="36"/>
        <v/>
      </c>
      <c r="DP193" s="32" t="str">
        <f t="shared" si="37"/>
        <v/>
      </c>
      <c r="DQ193" s="32" t="str">
        <f>IF(DP193="","",DP193*$DO$1/'CPI USA'!$U$532+(1-DP193)*AVERAGE($DO$1,$DQ$1)/AVERAGE('CPI USA'!$U$532,'PPI USA'!$T$538))</f>
        <v/>
      </c>
      <c r="DR193" s="6">
        <f t="shared" si="38"/>
        <v>0</v>
      </c>
      <c r="DS193" s="32" t="str">
        <f t="shared" si="39"/>
        <v/>
      </c>
      <c r="DT193" s="28" t="str">
        <f>IF(DS193="","",DS193*$DO$1/'CPI USA'!$U$532+(1-DS193)*AVERAGE($DO$1,$DQ$1)/AVERAGE('CPI USA'!$U$532,'PPI USA'!$T$538))</f>
        <v/>
      </c>
      <c r="DU193" s="6" t="str">
        <f t="shared" si="40"/>
        <v/>
      </c>
      <c r="DV193" s="6">
        <f t="shared" si="87"/>
        <v>0</v>
      </c>
      <c r="DW193" s="6">
        <f t="shared" si="42"/>
        <v>0</v>
      </c>
      <c r="DX193" s="16" t="str">
        <f t="shared" si="43"/>
        <v/>
      </c>
      <c r="DY193" s="28" t="str">
        <f>IF(DX193="","",DX193*$DO$1/'CPI USA'!$U$532+(1-DX193)*AVERAGE($DO$1,$DQ$1)/AVERAGE('CPI USA'!$U$532,'PPI USA'!$T$538))</f>
        <v/>
      </c>
      <c r="DZ193" s="30"/>
      <c r="EA193" s="29" t="str">
        <f t="shared" si="44"/>
        <v>C007624</v>
      </c>
      <c r="EB193" s="29" t="str">
        <f t="shared" si="45"/>
        <v/>
      </c>
      <c r="EC193" s="29" t="str">
        <f t="shared" si="46"/>
        <v/>
      </c>
      <c r="ED193" s="29" t="str">
        <f t="shared" si="47"/>
        <v/>
      </c>
      <c r="EE193" s="29" t="str">
        <f t="shared" si="48"/>
        <v/>
      </c>
      <c r="EF193" s="29" t="str">
        <f t="shared" si="49"/>
        <v/>
      </c>
      <c r="EG193" s="29" t="str">
        <f t="shared" si="50"/>
        <v/>
      </c>
      <c r="EH193" s="29" t="str">
        <f t="shared" si="51"/>
        <v/>
      </c>
      <c r="EI193" s="29" t="str">
        <f t="shared" si="52"/>
        <v/>
      </c>
      <c r="EJ193" s="29" t="str">
        <f t="shared" si="53"/>
        <v/>
      </c>
      <c r="EK193" s="29" t="str">
        <f t="shared" si="54"/>
        <v/>
      </c>
      <c r="EL193" s="29" t="str">
        <f>IF(CD193=1,VLOOKUP(EA193,'EIA 2023'!$A$2:$J$213,4,0)*EH193,"")</f>
        <v/>
      </c>
      <c r="EM193" s="29" t="str">
        <f>IF(CD193=1,VLOOKUP(EA193,'EIA 2023'!$A$2:$J$213,7,0)*EH193,"")</f>
        <v/>
      </c>
      <c r="EN193" s="29" t="str">
        <f>IF(CD193=1,VLOOKUP(EA193,'EIA 2023'!$A$2:$J$213,10,0),"")</f>
        <v/>
      </c>
      <c r="EO193" s="28" t="str">
        <f>IF(CD193=1,VLOOKUP(EA193,'EIA 2023'!$A$2:$Z$213,26,0),"")</f>
        <v/>
      </c>
      <c r="EP193" s="23" t="str">
        <f t="shared" si="55"/>
        <v/>
      </c>
      <c r="EQ193" s="32" t="str">
        <f t="shared" si="56"/>
        <v/>
      </c>
      <c r="ER193" s="32" t="str">
        <f t="shared" si="57"/>
        <v/>
      </c>
      <c r="ES193" s="32"/>
      <c r="ET193" s="32"/>
    </row>
    <row r="194" spans="1:150" ht="15.75" customHeight="1">
      <c r="A194" s="7" t="s">
        <v>793</v>
      </c>
      <c r="B194" s="7" t="s">
        <v>794</v>
      </c>
      <c r="C194" s="32" t="s">
        <v>1279</v>
      </c>
      <c r="D194" s="42">
        <v>78341552</v>
      </c>
      <c r="E194" s="42">
        <v>0</v>
      </c>
      <c r="F194" s="42">
        <v>0</v>
      </c>
      <c r="G194" s="42">
        <v>268462708</v>
      </c>
      <c r="H194" s="42">
        <v>265905207</v>
      </c>
      <c r="I194" s="42">
        <v>4727989</v>
      </c>
      <c r="J194" s="42">
        <v>52066</v>
      </c>
      <c r="K194" s="42">
        <v>550038</v>
      </c>
      <c r="L194" s="42">
        <v>949651</v>
      </c>
      <c r="M194" s="42">
        <v>1170952</v>
      </c>
      <c r="N194" s="42">
        <v>546619</v>
      </c>
      <c r="O194" s="42">
        <v>2076052</v>
      </c>
      <c r="P194" s="42">
        <v>2322820</v>
      </c>
      <c r="Q194" s="42">
        <v>772686</v>
      </c>
      <c r="R194" s="42">
        <v>101232</v>
      </c>
      <c r="S194" s="42">
        <v>346287</v>
      </c>
      <c r="T194" s="42">
        <v>14931342</v>
      </c>
      <c r="U194" s="42">
        <v>1300788</v>
      </c>
      <c r="V194" s="42">
        <v>106176</v>
      </c>
      <c r="W194" s="42">
        <v>118227</v>
      </c>
      <c r="X194" s="42">
        <f>IFERROR(VLOOKUP(A194,'Trans 21-23'!$A$2:$J$229,10,0),0)</f>
        <v>479582</v>
      </c>
      <c r="Y194" s="42">
        <v>386316</v>
      </c>
      <c r="Z194" s="42">
        <v>41017</v>
      </c>
      <c r="AA194" s="42">
        <v>11769942</v>
      </c>
      <c r="AB194" s="42">
        <v>20962461</v>
      </c>
      <c r="AC194" s="42">
        <v>1507635</v>
      </c>
      <c r="AD194" s="42">
        <v>50148148</v>
      </c>
      <c r="AE194" s="42">
        <v>0</v>
      </c>
      <c r="AF194" s="42">
        <v>486273845</v>
      </c>
      <c r="AG194" s="42">
        <v>209071</v>
      </c>
      <c r="AH194" s="42">
        <v>66162</v>
      </c>
      <c r="AI194" s="42">
        <v>8636810</v>
      </c>
      <c r="AJ194" s="42">
        <v>13231</v>
      </c>
      <c r="AK194" s="42">
        <v>0</v>
      </c>
      <c r="AL194" s="42">
        <v>2405914</v>
      </c>
      <c r="AM194" s="42">
        <v>2125966</v>
      </c>
      <c r="AN194" s="42">
        <v>421748</v>
      </c>
      <c r="AO194" s="42">
        <v>30243</v>
      </c>
      <c r="AP194" s="42">
        <v>752938</v>
      </c>
      <c r="AQ194" s="42">
        <v>5739361</v>
      </c>
      <c r="AR194" s="42">
        <v>2818056</v>
      </c>
      <c r="AS194" s="42">
        <v>8557417</v>
      </c>
      <c r="AT194" s="42">
        <v>0</v>
      </c>
      <c r="AU194" s="42">
        <v>1208</v>
      </c>
      <c r="AV194" s="42">
        <v>0</v>
      </c>
      <c r="AW194" s="42">
        <v>162708893</v>
      </c>
      <c r="AX194" s="42">
        <v>102963579</v>
      </c>
      <c r="AY194" s="42">
        <v>117054235</v>
      </c>
      <c r="AZ194" s="42">
        <v>64891219</v>
      </c>
      <c r="BA194" s="42">
        <v>7595709</v>
      </c>
      <c r="BB194" s="42">
        <v>980256191</v>
      </c>
      <c r="BC194" s="42">
        <v>2020400909</v>
      </c>
      <c r="BD194" s="42">
        <v>64749643</v>
      </c>
      <c r="BE194" s="42">
        <v>246725313</v>
      </c>
      <c r="BF194" s="42">
        <v>30395697</v>
      </c>
      <c r="BG194" s="42">
        <v>0</v>
      </c>
      <c r="BH194" s="42">
        <v>4090204</v>
      </c>
      <c r="BI194" s="42">
        <v>941223</v>
      </c>
      <c r="BJ194" s="42">
        <v>1211524</v>
      </c>
      <c r="BK194" s="42">
        <v>111154</v>
      </c>
      <c r="BL194" s="42">
        <v>0</v>
      </c>
      <c r="BM194" s="42">
        <v>2090570</v>
      </c>
      <c r="BN194" s="42">
        <v>10921253</v>
      </c>
      <c r="BO194" s="42">
        <v>0</v>
      </c>
      <c r="BP194" s="42">
        <v>1340328</v>
      </c>
      <c r="BQ194" s="42">
        <v>34982222</v>
      </c>
      <c r="BR194" s="42">
        <v>2552</v>
      </c>
      <c r="BS194" s="42">
        <f>IFERROR(VLOOKUP(A194,'Trans 21-23'!$A$2:$J$229,9,0),0)</f>
        <v>47229217</v>
      </c>
      <c r="BT194" s="67"/>
      <c r="BU194" s="32">
        <f t="shared" si="0"/>
        <v>980256191</v>
      </c>
      <c r="BV194" s="32">
        <f t="shared" si="1"/>
        <v>1208</v>
      </c>
      <c r="BW194" s="32">
        <f t="shared" si="2"/>
        <v>209071</v>
      </c>
      <c r="BX194" s="32">
        <f t="shared" si="3"/>
        <v>30072925</v>
      </c>
      <c r="BY194" s="32">
        <f t="shared" si="4"/>
        <v>34667371</v>
      </c>
      <c r="BZ194" s="32">
        <f t="shared" si="5"/>
        <v>64891219</v>
      </c>
      <c r="CA194" s="32">
        <f t="shared" si="6"/>
        <v>50148148</v>
      </c>
      <c r="CB194" s="32">
        <f t="shared" si="7"/>
        <v>66162</v>
      </c>
      <c r="CC194" s="32">
        <f t="shared" si="8"/>
        <v>5739361</v>
      </c>
      <c r="CD194" s="41">
        <f t="shared" si="74"/>
        <v>1</v>
      </c>
      <c r="CE194" s="44">
        <f t="shared" si="10"/>
        <v>9</v>
      </c>
      <c r="CF194" s="27"/>
      <c r="CG194" s="28">
        <f t="shared" si="11"/>
        <v>811.47035678807947</v>
      </c>
      <c r="CH194" s="28">
        <f t="shared" si="12"/>
        <v>5.7779414648612191</v>
      </c>
      <c r="CI194" s="28">
        <f t="shared" si="13"/>
        <v>143.84072874765033</v>
      </c>
      <c r="CJ194" s="28">
        <f t="shared" si="14"/>
        <v>310.37886172639918</v>
      </c>
      <c r="CK194" s="23">
        <f t="shared" si="15"/>
        <v>1.1527764153535559E-2</v>
      </c>
      <c r="CL194" s="29" t="str">
        <f t="shared" si="16"/>
        <v/>
      </c>
      <c r="CM194" s="29" t="str">
        <f t="shared" si="17"/>
        <v/>
      </c>
      <c r="CN194" s="29" t="str">
        <f t="shared" si="18"/>
        <v/>
      </c>
      <c r="CO194" s="29" t="str">
        <f t="shared" si="19"/>
        <v/>
      </c>
      <c r="CP194" s="29" t="str">
        <f t="shared" si="20"/>
        <v/>
      </c>
      <c r="CQ194" s="29">
        <f t="shared" si="21"/>
        <v>0</v>
      </c>
      <c r="CR194" s="13"/>
      <c r="CS194" s="7">
        <f>VLOOKUP(A194,'Empresas 21-23'!$A$2:$M$228,13,0)</f>
        <v>1</v>
      </c>
      <c r="CT194" s="30"/>
      <c r="CU194" s="6">
        <f t="shared" si="22"/>
        <v>822987791.60000002</v>
      </c>
      <c r="CV194" s="6">
        <f t="shared" si="23"/>
        <v>64891219</v>
      </c>
      <c r="CW194" s="6">
        <f t="shared" si="24"/>
        <v>64749643</v>
      </c>
      <c r="CX194" s="23">
        <f t="shared" si="88"/>
        <v>0.42082543340321699</v>
      </c>
      <c r="CY194" s="23">
        <f t="shared" si="89"/>
        <v>3.3181385724626429E-2</v>
      </c>
      <c r="CZ194" s="6">
        <f t="shared" si="27"/>
        <v>850236088.17817855</v>
      </c>
      <c r="DA194" s="6">
        <f t="shared" si="28"/>
        <v>67039701.879914857</v>
      </c>
      <c r="DB194" s="6">
        <f t="shared" si="29"/>
        <v>30072925</v>
      </c>
      <c r="DC194" s="6">
        <f t="shared" si="30"/>
        <v>30552507</v>
      </c>
      <c r="DD194" s="6">
        <f t="shared" si="31"/>
        <v>34667371</v>
      </c>
      <c r="DE194" s="6">
        <f t="shared" si="32"/>
        <v>50148148</v>
      </c>
      <c r="DF194" s="6">
        <f t="shared" si="86"/>
        <v>35597452.100349091</v>
      </c>
      <c r="DG194" s="30"/>
      <c r="DH194" s="32">
        <f>VLOOKUP(A194,'T_med_comp-USA'!$A$7:$Q$233,17,0)</f>
        <v>7.9040326098460412</v>
      </c>
      <c r="DI194" s="6" t="str">
        <f t="shared" si="34"/>
        <v>2_2016</v>
      </c>
      <c r="DJ194" s="32">
        <f>IF(DI194="","",VLOOKUP(DI194,'CPI USA'!$T:$U,2,FALSE))</f>
        <v>237.11099999999999</v>
      </c>
      <c r="DK194" s="32">
        <f>IF(DI194="","",VLOOKUP(DI194,'PPI USA'!$S:$T,2,FALSE))</f>
        <v>170.2</v>
      </c>
      <c r="DL194" s="32">
        <f>IF(DI194="","",VLOOKUP(DI194,'CPI USA'!$T:$V,3,FALSE))</f>
        <v>0.67131212484522451</v>
      </c>
      <c r="DM194" s="32">
        <f>IF(DI194="","",VLOOKUP(DI194,'CPI USA'!$T:$X,5,FALSE))</f>
        <v>0.49965731919331663</v>
      </c>
      <c r="DN194" s="32">
        <f t="shared" si="35"/>
        <v>1.3573838687521431</v>
      </c>
      <c r="DO194" s="32">
        <f t="shared" si="36"/>
        <v>1.3742896617070706</v>
      </c>
      <c r="DP194" s="32">
        <f t="shared" si="37"/>
        <v>0.2</v>
      </c>
      <c r="DQ194" s="32">
        <f>IF(DP194="","",DP194*$DO$1/'CPI USA'!$U$532+(1-DP194)*AVERAGE($DO$1,$DQ$1)/AVERAGE('CPI USA'!$U$532,'PPI USA'!$T$538))</f>
        <v>1.0426818386380585</v>
      </c>
      <c r="DR194" s="6">
        <f t="shared" si="38"/>
        <v>2263901</v>
      </c>
      <c r="DS194" s="32">
        <f t="shared" si="39"/>
        <v>0.2</v>
      </c>
      <c r="DT194" s="28">
        <f>IF(DS194="","",DS194*$DO$1/'CPI USA'!$U$532+(1-DS194)*AVERAGE($DO$1,$DQ$1)/AVERAGE('CPI USA'!$U$532,'PPI USA'!$T$538))</f>
        <v>1.0426818386380585</v>
      </c>
      <c r="DU194" s="6">
        <f t="shared" si="40"/>
        <v>2090570</v>
      </c>
      <c r="DV194" s="6">
        <f t="shared" si="87"/>
        <v>83290.480225637715</v>
      </c>
      <c r="DW194" s="6">
        <f t="shared" si="42"/>
        <v>1264775.9141468587</v>
      </c>
      <c r="DX194" s="16">
        <f t="shared" si="43"/>
        <v>0.2</v>
      </c>
      <c r="DY194" s="28">
        <f>IF(DX194="","",DX194*$DO$1/'CPI USA'!$U$532+(1-DX194)*AVERAGE($DO$1,$DQ$1)/AVERAGE('CPI USA'!$U$532,'PPI USA'!$T$538))</f>
        <v>1.0426818386380585</v>
      </c>
      <c r="DZ194" s="30"/>
      <c r="EA194" s="29" t="str">
        <f t="shared" si="44"/>
        <v>C007667</v>
      </c>
      <c r="EB194" s="29">
        <f t="shared" si="45"/>
        <v>1154096750.7239842</v>
      </c>
      <c r="EC194" s="29">
        <f t="shared" si="46"/>
        <v>92131969.217491046</v>
      </c>
      <c r="ED194" s="29">
        <f t="shared" si="47"/>
        <v>31856544.173762154</v>
      </c>
      <c r="EE194" s="29">
        <f t="shared" si="48"/>
        <v>36147038.135027707</v>
      </c>
      <c r="EF194" s="29">
        <f t="shared" si="49"/>
        <v>37116816.806822211</v>
      </c>
      <c r="EG194" s="29">
        <f t="shared" si="50"/>
        <v>1208</v>
      </c>
      <c r="EH194" s="29">
        <f t="shared" si="51"/>
        <v>209071</v>
      </c>
      <c r="EI194" s="29">
        <f t="shared" si="52"/>
        <v>66162</v>
      </c>
      <c r="EJ194" s="29">
        <f t="shared" si="53"/>
        <v>5739361</v>
      </c>
      <c r="EK194" s="29">
        <f t="shared" si="54"/>
        <v>5762608.4416243657</v>
      </c>
      <c r="EL194" s="29">
        <f>IF(CD194=1,VLOOKUP(EA194,'EIA 2023'!$A$2:$J$213,4,0)*EH194,"")</f>
        <v>29583546.5</v>
      </c>
      <c r="EM194" s="29">
        <f>IF(CD194=1,VLOOKUP(EA194,'EIA 2023'!$A$2:$J$213,7,0)*EH194,"")</f>
        <v>265520.17</v>
      </c>
      <c r="EN194" s="29">
        <f>IF(CD194=1,VLOOKUP(EA194,'EIA 2023'!$A$2:$J$213,10,0),"")</f>
        <v>344459</v>
      </c>
      <c r="EO194" s="28">
        <f>IF(CD194=1,VLOOKUP(EA194,'EIA 2023'!$A$2:$Z$213,26,0),"")</f>
        <v>0</v>
      </c>
      <c r="EP194" s="23">
        <f t="shared" si="55"/>
        <v>4.0341872712441806E-3</v>
      </c>
      <c r="EQ194" s="32">
        <f t="shared" si="56"/>
        <v>42914.558375634719</v>
      </c>
      <c r="ER194" s="32">
        <f t="shared" si="57"/>
        <v>23247.441624365281</v>
      </c>
      <c r="ES194" s="32"/>
      <c r="ET194" s="32"/>
    </row>
    <row r="195" spans="1:150" ht="15.75" customHeight="1">
      <c r="A195" s="7" t="s">
        <v>796</v>
      </c>
      <c r="B195" s="7" t="s">
        <v>797</v>
      </c>
      <c r="C195" s="32" t="s">
        <v>1280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2">
        <v>0</v>
      </c>
      <c r="P195" s="42">
        <v>0</v>
      </c>
      <c r="Q195" s="42">
        <v>0</v>
      </c>
      <c r="R195" s="42">
        <v>0</v>
      </c>
      <c r="S195" s="42">
        <v>0</v>
      </c>
      <c r="T195" s="42">
        <v>0</v>
      </c>
      <c r="U195" s="42">
        <v>0</v>
      </c>
      <c r="V195" s="42">
        <v>0</v>
      </c>
      <c r="W195" s="42">
        <v>0</v>
      </c>
      <c r="X195" s="42">
        <f>IFERROR(VLOOKUP(A195,'Trans 21-23'!$A$2:$J$229,10,0),0)</f>
        <v>0</v>
      </c>
      <c r="Y195" s="42">
        <v>0</v>
      </c>
      <c r="Z195" s="42">
        <v>0</v>
      </c>
      <c r="AA195" s="42">
        <v>0</v>
      </c>
      <c r="AB195" s="42">
        <v>0</v>
      </c>
      <c r="AC195" s="42">
        <v>29835</v>
      </c>
      <c r="AD195" s="42">
        <v>21954576</v>
      </c>
      <c r="AE195" s="42">
        <v>0</v>
      </c>
      <c r="AF195" s="42">
        <v>33473160</v>
      </c>
      <c r="AG195" s="42">
        <v>0</v>
      </c>
      <c r="AH195" s="42">
        <v>0</v>
      </c>
      <c r="AI195" s="42">
        <v>0</v>
      </c>
      <c r="AJ195" s="42">
        <v>0</v>
      </c>
      <c r="AK195" s="42">
        <v>0</v>
      </c>
      <c r="AL195" s="42">
        <v>0</v>
      </c>
      <c r="AM195" s="42">
        <v>0</v>
      </c>
      <c r="AN195" s="42">
        <v>0</v>
      </c>
      <c r="AO195" s="42">
        <v>0</v>
      </c>
      <c r="AP195" s="42">
        <v>0</v>
      </c>
      <c r="AQ195" s="42">
        <v>0</v>
      </c>
      <c r="AR195" s="42">
        <v>0</v>
      </c>
      <c r="AS195" s="42">
        <v>0</v>
      </c>
      <c r="AT195" s="42">
        <v>0</v>
      </c>
      <c r="AU195" s="42">
        <v>0</v>
      </c>
      <c r="AV195" s="42">
        <v>0</v>
      </c>
      <c r="AW195" s="42">
        <v>0</v>
      </c>
      <c r="AX195" s="42">
        <v>0</v>
      </c>
      <c r="AY195" s="42">
        <v>0</v>
      </c>
      <c r="AZ195" s="42">
        <v>0</v>
      </c>
      <c r="BA195" s="42">
        <v>0</v>
      </c>
      <c r="BB195" s="42">
        <v>0</v>
      </c>
      <c r="BC195" s="42">
        <v>2382121057</v>
      </c>
      <c r="BD195" s="42">
        <v>85622339</v>
      </c>
      <c r="BE195" s="42">
        <v>0</v>
      </c>
      <c r="BF195" s="42">
        <v>0</v>
      </c>
      <c r="BG195" s="42">
        <v>0</v>
      </c>
      <c r="BH195" s="42">
        <v>0</v>
      </c>
      <c r="BI195" s="42">
        <v>0</v>
      </c>
      <c r="BJ195" s="42">
        <v>0</v>
      </c>
      <c r="BK195" s="42">
        <v>0</v>
      </c>
      <c r="BL195" s="42">
        <v>0</v>
      </c>
      <c r="BM195" s="42">
        <v>0</v>
      </c>
      <c r="BN195" s="42">
        <v>0</v>
      </c>
      <c r="BO195" s="42">
        <v>0</v>
      </c>
      <c r="BP195" s="42">
        <v>0</v>
      </c>
      <c r="BQ195" s="42">
        <v>0</v>
      </c>
      <c r="BR195" s="42">
        <v>0</v>
      </c>
      <c r="BS195" s="42">
        <f>IFERROR(VLOOKUP(A195,'Trans 21-23'!$A$2:$J$229,9,0),0)</f>
        <v>0</v>
      </c>
      <c r="BT195" s="67"/>
      <c r="BU195" s="32">
        <f t="shared" si="0"/>
        <v>0</v>
      </c>
      <c r="BV195" s="32">
        <f t="shared" si="1"/>
        <v>0</v>
      </c>
      <c r="BW195" s="32">
        <f t="shared" si="2"/>
        <v>0</v>
      </c>
      <c r="BX195" s="32">
        <f t="shared" si="3"/>
        <v>0</v>
      </c>
      <c r="BY195" s="32">
        <f t="shared" si="4"/>
        <v>29835</v>
      </c>
      <c r="BZ195" s="32">
        <f t="shared" si="5"/>
        <v>0</v>
      </c>
      <c r="CA195" s="32">
        <f t="shared" si="6"/>
        <v>21954576</v>
      </c>
      <c r="CB195" s="32">
        <f t="shared" si="7"/>
        <v>0</v>
      </c>
      <c r="CC195" s="32">
        <f t="shared" si="8"/>
        <v>0</v>
      </c>
      <c r="CD195" s="41">
        <f t="shared" si="74"/>
        <v>0</v>
      </c>
      <c r="CE195" s="44">
        <f t="shared" si="10"/>
        <v>63</v>
      </c>
      <c r="CF195" s="27"/>
      <c r="CG195" s="28" t="str">
        <f t="shared" si="11"/>
        <v/>
      </c>
      <c r="CH195" s="28" t="str">
        <f t="shared" si="12"/>
        <v/>
      </c>
      <c r="CI195" s="28" t="str">
        <f t="shared" si="13"/>
        <v/>
      </c>
      <c r="CJ195" s="28" t="str">
        <f t="shared" si="14"/>
        <v/>
      </c>
      <c r="CK195" s="23" t="str">
        <f t="shared" si="15"/>
        <v/>
      </c>
      <c r="CL195" s="29" t="str">
        <f t="shared" si="16"/>
        <v/>
      </c>
      <c r="CM195" s="29" t="str">
        <f t="shared" si="17"/>
        <v/>
      </c>
      <c r="CN195" s="29" t="str">
        <f t="shared" si="18"/>
        <v/>
      </c>
      <c r="CO195" s="29" t="str">
        <f t="shared" si="19"/>
        <v/>
      </c>
      <c r="CP195" s="29" t="str">
        <f t="shared" si="20"/>
        <v/>
      </c>
      <c r="CQ195" s="29" t="str">
        <f t="shared" si="21"/>
        <v/>
      </c>
      <c r="CR195" s="13"/>
      <c r="CS195" s="7" t="str">
        <f>VLOOKUP(A195,'Empresas 21-23'!$A$2:$M$228,13,0)</f>
        <v/>
      </c>
      <c r="CT195" s="30"/>
      <c r="CU195" s="6">
        <f t="shared" si="22"/>
        <v>0</v>
      </c>
      <c r="CV195" s="6">
        <f t="shared" si="23"/>
        <v>0</v>
      </c>
      <c r="CW195" s="6">
        <f t="shared" si="24"/>
        <v>85622339</v>
      </c>
      <c r="CX195" s="23">
        <f t="shared" si="88"/>
        <v>0</v>
      </c>
      <c r="CY195" s="23">
        <f t="shared" si="89"/>
        <v>0</v>
      </c>
      <c r="CZ195" s="6">
        <f t="shared" si="27"/>
        <v>0</v>
      </c>
      <c r="DA195" s="6">
        <f t="shared" si="28"/>
        <v>0</v>
      </c>
      <c r="DB195" s="6">
        <f t="shared" si="29"/>
        <v>0</v>
      </c>
      <c r="DC195" s="6">
        <f t="shared" si="30"/>
        <v>0</v>
      </c>
      <c r="DD195" s="6">
        <f t="shared" si="31"/>
        <v>29835</v>
      </c>
      <c r="DE195" s="6">
        <f t="shared" si="32"/>
        <v>21954576</v>
      </c>
      <c r="DF195" s="6">
        <f t="shared" si="86"/>
        <v>56865.911205752374</v>
      </c>
      <c r="DG195" s="30"/>
      <c r="DH195" s="32" t="str">
        <f>VLOOKUP(A195,'T_med_comp-USA'!$A$7:$Q$233,17,0)</f>
        <v>-</v>
      </c>
      <c r="DI195" s="6" t="str">
        <f t="shared" si="34"/>
        <v/>
      </c>
      <c r="DJ195" s="32" t="str">
        <f>IF(DI195="","",VLOOKUP(DI195,'CPI USA'!$T:$U,2,FALSE))</f>
        <v/>
      </c>
      <c r="DK195" s="32" t="str">
        <f>IF(DI195="","",VLOOKUP(DI195,'PPI USA'!$S:$T,2,FALSE))</f>
        <v/>
      </c>
      <c r="DL195" s="32" t="str">
        <f>IF(DI195="","",VLOOKUP(DI195,'CPI USA'!$T:$V,3,FALSE))</f>
        <v/>
      </c>
      <c r="DM195" s="32" t="str">
        <f>IF(DI195="","",VLOOKUP(DI195,'CPI USA'!$T:$X,5,FALSE))</f>
        <v/>
      </c>
      <c r="DN195" s="32" t="str">
        <f t="shared" si="35"/>
        <v/>
      </c>
      <c r="DO195" s="32" t="str">
        <f t="shared" si="36"/>
        <v/>
      </c>
      <c r="DP195" s="32" t="str">
        <f t="shared" si="37"/>
        <v/>
      </c>
      <c r="DQ195" s="32" t="str">
        <f>IF(DP195="","",DP195*$DO$1/'CPI USA'!$U$532+(1-DP195)*AVERAGE($DO$1,$DQ$1)/AVERAGE('CPI USA'!$U$532,'PPI USA'!$T$538))</f>
        <v/>
      </c>
      <c r="DR195" s="6">
        <f t="shared" si="38"/>
        <v>0</v>
      </c>
      <c r="DS195" s="32">
        <f t="shared" si="39"/>
        <v>0.2</v>
      </c>
      <c r="DT195" s="28">
        <f>IF(DS195="","",DS195*$DO$1/'CPI USA'!$U$532+(1-DS195)*AVERAGE($DO$1,$DQ$1)/AVERAGE('CPI USA'!$U$532,'PPI USA'!$T$538))</f>
        <v>1.0426818386380585</v>
      </c>
      <c r="DU195" s="6" t="str">
        <f t="shared" si="40"/>
        <v/>
      </c>
      <c r="DV195" s="6" t="str">
        <f t="shared" si="87"/>
        <v/>
      </c>
      <c r="DW195" s="6">
        <f t="shared" si="42"/>
        <v>0</v>
      </c>
      <c r="DX195" s="16" t="str">
        <f t="shared" si="43"/>
        <v/>
      </c>
      <c r="DY195" s="28" t="str">
        <f>IF(DX195="","",DX195*$DO$1/'CPI USA'!$U$532+(1-DX195)*AVERAGE($DO$1,$DQ$1)/AVERAGE('CPI USA'!$U$532,'PPI USA'!$T$538))</f>
        <v/>
      </c>
      <c r="DZ195" s="30"/>
      <c r="EA195" s="29" t="str">
        <f t="shared" si="44"/>
        <v>C007679</v>
      </c>
      <c r="EB195" s="29" t="str">
        <f t="shared" si="45"/>
        <v/>
      </c>
      <c r="EC195" s="29" t="str">
        <f t="shared" si="46"/>
        <v/>
      </c>
      <c r="ED195" s="29" t="str">
        <f t="shared" si="47"/>
        <v/>
      </c>
      <c r="EE195" s="29" t="str">
        <f t="shared" si="48"/>
        <v/>
      </c>
      <c r="EF195" s="29" t="str">
        <f t="shared" si="49"/>
        <v/>
      </c>
      <c r="EG195" s="29" t="str">
        <f t="shared" si="50"/>
        <v/>
      </c>
      <c r="EH195" s="29" t="str">
        <f t="shared" si="51"/>
        <v/>
      </c>
      <c r="EI195" s="29" t="str">
        <f t="shared" si="52"/>
        <v/>
      </c>
      <c r="EJ195" s="29" t="str">
        <f t="shared" si="53"/>
        <v/>
      </c>
      <c r="EK195" s="29" t="str">
        <f t="shared" si="54"/>
        <v/>
      </c>
      <c r="EL195" s="29" t="str">
        <f>IF(CD195=1,VLOOKUP(EA195,'EIA 2023'!$A$2:$J$213,4,0)*EH195,"")</f>
        <v/>
      </c>
      <c r="EM195" s="29" t="str">
        <f>IF(CD195=1,VLOOKUP(EA195,'EIA 2023'!$A$2:$J$213,7,0)*EH195,"")</f>
        <v/>
      </c>
      <c r="EN195" s="29" t="str">
        <f>IF(CD195=1,VLOOKUP(EA195,'EIA 2023'!$A$2:$J$213,10,0),"")</f>
        <v/>
      </c>
      <c r="EO195" s="28" t="str">
        <f>IF(CD195=1,VLOOKUP(EA195,'EIA 2023'!$A$2:$Z$213,26,0),"")</f>
        <v/>
      </c>
      <c r="EP195" s="23" t="str">
        <f t="shared" si="55"/>
        <v/>
      </c>
      <c r="EQ195" s="32" t="str">
        <f t="shared" si="56"/>
        <v/>
      </c>
      <c r="ER195" s="32" t="str">
        <f t="shared" si="57"/>
        <v/>
      </c>
      <c r="ES195" s="32"/>
      <c r="ET195" s="32"/>
    </row>
    <row r="196" spans="1:150" ht="15.75" customHeight="1">
      <c r="A196" s="7" t="s">
        <v>799</v>
      </c>
      <c r="B196" s="7" t="s">
        <v>800</v>
      </c>
      <c r="C196" s="32" t="s">
        <v>1281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f>IFERROR(VLOOKUP(A196,'Trans 21-23'!$A$2:$J$229,10,0),0)</f>
        <v>0</v>
      </c>
      <c r="Y196" s="42">
        <v>0</v>
      </c>
      <c r="Z196" s="42">
        <v>0</v>
      </c>
      <c r="AA196" s="42">
        <v>0</v>
      </c>
      <c r="AB196" s="42">
        <v>370072</v>
      </c>
      <c r="AC196" s="42">
        <v>0</v>
      </c>
      <c r="AD196" s="42">
        <v>554460</v>
      </c>
      <c r="AE196" s="42">
        <v>0</v>
      </c>
      <c r="AF196" s="42">
        <v>2733916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2">
        <v>0</v>
      </c>
      <c r="AR196" s="42">
        <v>0</v>
      </c>
      <c r="AS196" s="42">
        <v>0</v>
      </c>
      <c r="AT196" s="42">
        <v>0</v>
      </c>
      <c r="AU196" s="42">
        <v>0</v>
      </c>
      <c r="AV196" s="42">
        <v>0</v>
      </c>
      <c r="AW196" s="42">
        <v>0</v>
      </c>
      <c r="AX196" s="42">
        <v>0</v>
      </c>
      <c r="AY196" s="42">
        <v>0</v>
      </c>
      <c r="AZ196" s="42">
        <v>0</v>
      </c>
      <c r="BA196" s="42">
        <v>0</v>
      </c>
      <c r="BB196" s="42">
        <v>0</v>
      </c>
      <c r="BC196" s="42">
        <v>2364790</v>
      </c>
      <c r="BD196" s="42">
        <v>0</v>
      </c>
      <c r="BE196" s="42">
        <v>0</v>
      </c>
      <c r="BF196" s="42">
        <v>0</v>
      </c>
      <c r="BG196" s="42">
        <v>0</v>
      </c>
      <c r="BH196" s="42">
        <v>0</v>
      </c>
      <c r="BI196" s="42">
        <v>0</v>
      </c>
      <c r="BJ196" s="42">
        <v>0</v>
      </c>
      <c r="BK196" s="42">
        <v>0</v>
      </c>
      <c r="BL196" s="42">
        <v>0</v>
      </c>
      <c r="BM196" s="42">
        <v>0</v>
      </c>
      <c r="BN196" s="42">
        <v>0</v>
      </c>
      <c r="BO196" s="42">
        <v>0</v>
      </c>
      <c r="BP196" s="42">
        <v>0</v>
      </c>
      <c r="BQ196" s="42">
        <v>0</v>
      </c>
      <c r="BR196" s="42">
        <v>0</v>
      </c>
      <c r="BS196" s="42">
        <f>IFERROR(VLOOKUP(A196,'Trans 21-23'!$A$2:$J$229,9,0),0)</f>
        <v>0</v>
      </c>
      <c r="BT196" s="67"/>
      <c r="BU196" s="32">
        <f t="shared" si="0"/>
        <v>0</v>
      </c>
      <c r="BV196" s="32">
        <f t="shared" si="1"/>
        <v>0</v>
      </c>
      <c r="BW196" s="32">
        <f t="shared" si="2"/>
        <v>0</v>
      </c>
      <c r="BX196" s="32">
        <f t="shared" si="3"/>
        <v>0</v>
      </c>
      <c r="BY196" s="32">
        <f t="shared" si="4"/>
        <v>370072</v>
      </c>
      <c r="BZ196" s="32">
        <f t="shared" si="5"/>
        <v>0</v>
      </c>
      <c r="CA196" s="32">
        <f t="shared" si="6"/>
        <v>554460</v>
      </c>
      <c r="CB196" s="32">
        <f t="shared" si="7"/>
        <v>0</v>
      </c>
      <c r="CC196" s="32">
        <f t="shared" si="8"/>
        <v>0</v>
      </c>
      <c r="CD196" s="41">
        <f t="shared" si="74"/>
        <v>0</v>
      </c>
      <c r="CE196" s="44">
        <f t="shared" si="10"/>
        <v>64</v>
      </c>
      <c r="CF196" s="27"/>
      <c r="CG196" s="28" t="str">
        <f t="shared" si="11"/>
        <v/>
      </c>
      <c r="CH196" s="28" t="str">
        <f t="shared" si="12"/>
        <v/>
      </c>
      <c r="CI196" s="28" t="str">
        <f t="shared" si="13"/>
        <v/>
      </c>
      <c r="CJ196" s="28" t="str">
        <f t="shared" si="14"/>
        <v/>
      </c>
      <c r="CK196" s="23" t="str">
        <f t="shared" si="15"/>
        <v/>
      </c>
      <c r="CL196" s="29" t="str">
        <f t="shared" si="16"/>
        <v/>
      </c>
      <c r="CM196" s="29" t="str">
        <f t="shared" si="17"/>
        <v/>
      </c>
      <c r="CN196" s="29" t="str">
        <f t="shared" si="18"/>
        <v/>
      </c>
      <c r="CO196" s="29" t="str">
        <f t="shared" si="19"/>
        <v/>
      </c>
      <c r="CP196" s="29" t="str">
        <f t="shared" si="20"/>
        <v/>
      </c>
      <c r="CQ196" s="29" t="str">
        <f t="shared" si="21"/>
        <v/>
      </c>
      <c r="CR196" s="13"/>
      <c r="CS196" s="7" t="str">
        <f>VLOOKUP(A196,'Empresas 21-23'!$A$2:$M$228,13,0)</f>
        <v/>
      </c>
      <c r="CT196" s="30"/>
      <c r="CU196" s="6">
        <f t="shared" si="22"/>
        <v>0</v>
      </c>
      <c r="CV196" s="6">
        <f t="shared" si="23"/>
        <v>0</v>
      </c>
      <c r="CW196" s="6">
        <f t="shared" si="24"/>
        <v>0</v>
      </c>
      <c r="CX196" s="23">
        <f t="shared" si="88"/>
        <v>0</v>
      </c>
      <c r="CY196" s="23">
        <f t="shared" si="89"/>
        <v>0</v>
      </c>
      <c r="CZ196" s="6">
        <f t="shared" si="27"/>
        <v>0</v>
      </c>
      <c r="DA196" s="6">
        <f t="shared" si="28"/>
        <v>0</v>
      </c>
      <c r="DB196" s="6">
        <f t="shared" si="29"/>
        <v>0</v>
      </c>
      <c r="DC196" s="6">
        <f t="shared" si="30"/>
        <v>0</v>
      </c>
      <c r="DD196" s="6">
        <f t="shared" si="31"/>
        <v>370072</v>
      </c>
      <c r="DE196" s="6">
        <f t="shared" si="32"/>
        <v>554460</v>
      </c>
      <c r="DF196" s="6">
        <f t="shared" si="86"/>
        <v>94147.402434368938</v>
      </c>
      <c r="DG196" s="30"/>
      <c r="DH196" s="32" t="str">
        <f>VLOOKUP(A196,'T_med_comp-USA'!$A$7:$Q$233,17,0)</f>
        <v>-</v>
      </c>
      <c r="DI196" s="6" t="str">
        <f t="shared" si="34"/>
        <v/>
      </c>
      <c r="DJ196" s="32" t="str">
        <f>IF(DI196="","",VLOOKUP(DI196,'CPI USA'!$T:$U,2,FALSE))</f>
        <v/>
      </c>
      <c r="DK196" s="32" t="str">
        <f>IF(DI196="","",VLOOKUP(DI196,'PPI USA'!$S:$T,2,FALSE))</f>
        <v/>
      </c>
      <c r="DL196" s="32" t="str">
        <f>IF(DI196="","",VLOOKUP(DI196,'CPI USA'!$T:$V,3,FALSE))</f>
        <v/>
      </c>
      <c r="DM196" s="32" t="str">
        <f>IF(DI196="","",VLOOKUP(DI196,'CPI USA'!$T:$X,5,FALSE))</f>
        <v/>
      </c>
      <c r="DN196" s="32" t="str">
        <f t="shared" si="35"/>
        <v/>
      </c>
      <c r="DO196" s="32" t="str">
        <f t="shared" si="36"/>
        <v/>
      </c>
      <c r="DP196" s="32" t="str">
        <f t="shared" si="37"/>
        <v/>
      </c>
      <c r="DQ196" s="32" t="str">
        <f>IF(DP196="","",DP196*$DO$1/'CPI USA'!$U$532+(1-DP196)*AVERAGE($DO$1,$DQ$1)/AVERAGE('CPI USA'!$U$532,'PPI USA'!$T$538))</f>
        <v/>
      </c>
      <c r="DR196" s="6">
        <f t="shared" si="38"/>
        <v>0</v>
      </c>
      <c r="DS196" s="32">
        <f t="shared" si="39"/>
        <v>0.2</v>
      </c>
      <c r="DT196" s="28">
        <f>IF(DS196="","",DS196*$DO$1/'CPI USA'!$U$532+(1-DS196)*AVERAGE($DO$1,$DQ$1)/AVERAGE('CPI USA'!$U$532,'PPI USA'!$T$538))</f>
        <v>1.0426818386380585</v>
      </c>
      <c r="DU196" s="6" t="str">
        <f t="shared" si="40"/>
        <v/>
      </c>
      <c r="DV196" s="6" t="str">
        <f t="shared" si="87"/>
        <v/>
      </c>
      <c r="DW196" s="6">
        <f t="shared" si="42"/>
        <v>0</v>
      </c>
      <c r="DX196" s="16" t="str">
        <f t="shared" si="43"/>
        <v/>
      </c>
      <c r="DY196" s="28" t="str">
        <f>IF(DX196="","",DX196*$DO$1/'CPI USA'!$U$532+(1-DX196)*AVERAGE($DO$1,$DQ$1)/AVERAGE('CPI USA'!$U$532,'PPI USA'!$T$538))</f>
        <v/>
      </c>
      <c r="DZ196" s="30"/>
      <c r="EA196" s="29" t="str">
        <f t="shared" si="44"/>
        <v>C008947</v>
      </c>
      <c r="EB196" s="29" t="str">
        <f t="shared" si="45"/>
        <v/>
      </c>
      <c r="EC196" s="29" t="str">
        <f t="shared" si="46"/>
        <v/>
      </c>
      <c r="ED196" s="29" t="str">
        <f t="shared" si="47"/>
        <v/>
      </c>
      <c r="EE196" s="29" t="str">
        <f t="shared" si="48"/>
        <v/>
      </c>
      <c r="EF196" s="29" t="str">
        <f t="shared" si="49"/>
        <v/>
      </c>
      <c r="EG196" s="29" t="str">
        <f t="shared" si="50"/>
        <v/>
      </c>
      <c r="EH196" s="29" t="str">
        <f t="shared" si="51"/>
        <v/>
      </c>
      <c r="EI196" s="29" t="str">
        <f t="shared" si="52"/>
        <v/>
      </c>
      <c r="EJ196" s="29" t="str">
        <f t="shared" si="53"/>
        <v/>
      </c>
      <c r="EK196" s="29" t="str">
        <f t="shared" si="54"/>
        <v/>
      </c>
      <c r="EL196" s="29" t="str">
        <f>IF(CD196=1,VLOOKUP(EA196,'EIA 2023'!$A$2:$J$213,4,0)*EH196,"")</f>
        <v/>
      </c>
      <c r="EM196" s="29" t="str">
        <f>IF(CD196=1,VLOOKUP(EA196,'EIA 2023'!$A$2:$J$213,7,0)*EH196,"")</f>
        <v/>
      </c>
      <c r="EN196" s="29" t="str">
        <f>IF(CD196=1,VLOOKUP(EA196,'EIA 2023'!$A$2:$J$213,10,0),"")</f>
        <v/>
      </c>
      <c r="EO196" s="28" t="str">
        <f>IF(CD196=1,VLOOKUP(EA196,'EIA 2023'!$A$2:$Z$213,26,0),"")</f>
        <v/>
      </c>
      <c r="EP196" s="23" t="str">
        <f t="shared" si="55"/>
        <v/>
      </c>
      <c r="EQ196" s="32" t="str">
        <f t="shared" si="56"/>
        <v/>
      </c>
      <c r="ER196" s="32" t="str">
        <f t="shared" si="57"/>
        <v/>
      </c>
      <c r="ES196" s="32"/>
      <c r="ET196" s="32"/>
    </row>
    <row r="197" spans="1:150" ht="15.75" customHeight="1">
      <c r="A197" s="7" t="s">
        <v>802</v>
      </c>
      <c r="B197" s="7" t="s">
        <v>803</v>
      </c>
      <c r="C197" s="32" t="s">
        <v>1282</v>
      </c>
      <c r="D197" s="42">
        <v>248142877</v>
      </c>
      <c r="E197" s="42">
        <v>72846884</v>
      </c>
      <c r="F197" s="42">
        <v>0</v>
      </c>
      <c r="G197" s="42">
        <v>259041424</v>
      </c>
      <c r="H197" s="42">
        <v>454288696</v>
      </c>
      <c r="I197" s="42">
        <v>19718466</v>
      </c>
      <c r="J197" s="42">
        <v>556532</v>
      </c>
      <c r="K197" s="42">
        <v>1365768</v>
      </c>
      <c r="L197" s="42">
        <v>1521041</v>
      </c>
      <c r="M197" s="42">
        <v>2696717</v>
      </c>
      <c r="N197" s="42">
        <v>1401554</v>
      </c>
      <c r="O197" s="42">
        <v>7444752</v>
      </c>
      <c r="P197" s="42">
        <v>1510228</v>
      </c>
      <c r="Q197" s="42">
        <v>3127807</v>
      </c>
      <c r="R197" s="42">
        <v>1621780</v>
      </c>
      <c r="S197" s="42">
        <v>2384864</v>
      </c>
      <c r="T197" s="42">
        <v>52546089</v>
      </c>
      <c r="U197" s="42">
        <v>3290877</v>
      </c>
      <c r="V197" s="42">
        <v>571154</v>
      </c>
      <c r="W197" s="42">
        <v>2720528</v>
      </c>
      <c r="X197" s="42">
        <f>IFERROR(VLOOKUP(A197,'Trans 21-23'!$A$2:$J$229,10,0),0)</f>
        <v>5203289</v>
      </c>
      <c r="Y197" s="42">
        <v>2018225</v>
      </c>
      <c r="Z197" s="42">
        <v>246116</v>
      </c>
      <c r="AA197" s="42">
        <v>38220592</v>
      </c>
      <c r="AB197" s="42">
        <v>70446152</v>
      </c>
      <c r="AC197" s="42">
        <v>4339692</v>
      </c>
      <c r="AD197" s="42">
        <v>212308608</v>
      </c>
      <c r="AE197" s="42">
        <v>0</v>
      </c>
      <c r="AF197" s="42">
        <v>1574814773</v>
      </c>
      <c r="AG197" s="42">
        <v>729558</v>
      </c>
      <c r="AH197" s="42">
        <v>1131955</v>
      </c>
      <c r="AI197" s="42">
        <v>31481619</v>
      </c>
      <c r="AJ197" s="42">
        <v>45351</v>
      </c>
      <c r="AK197" s="42">
        <v>0</v>
      </c>
      <c r="AL197" s="42">
        <v>7667957</v>
      </c>
      <c r="AM197" s="42">
        <v>5586011</v>
      </c>
      <c r="AN197" s="42">
        <v>9072048</v>
      </c>
      <c r="AO197" s="42">
        <v>80796</v>
      </c>
      <c r="AP197" s="42">
        <v>111791</v>
      </c>
      <c r="AQ197" s="42">
        <v>22518603</v>
      </c>
      <c r="AR197" s="42">
        <v>7785710</v>
      </c>
      <c r="AS197" s="42">
        <v>30304313</v>
      </c>
      <c r="AT197" s="42">
        <v>0</v>
      </c>
      <c r="AU197" s="42">
        <v>4795</v>
      </c>
      <c r="AV197" s="42">
        <v>0</v>
      </c>
      <c r="AW197" s="42">
        <v>879858765</v>
      </c>
      <c r="AX197" s="42">
        <v>144424994</v>
      </c>
      <c r="AY197" s="42">
        <v>215066447</v>
      </c>
      <c r="AZ197" s="42">
        <v>239654693</v>
      </c>
      <c r="BA197" s="42">
        <v>123006145</v>
      </c>
      <c r="BB197" s="42">
        <v>4836421874</v>
      </c>
      <c r="BC197" s="42">
        <v>14678356032</v>
      </c>
      <c r="BD197" s="42">
        <v>348542599</v>
      </c>
      <c r="BE197" s="42">
        <v>1278511276</v>
      </c>
      <c r="BF197" s="42">
        <v>124778201</v>
      </c>
      <c r="BG197" s="42">
        <v>0</v>
      </c>
      <c r="BH197" s="42">
        <v>24688512</v>
      </c>
      <c r="BI197" s="42">
        <v>1487648</v>
      </c>
      <c r="BJ197" s="42">
        <v>3702367</v>
      </c>
      <c r="BK197" s="42">
        <v>195398</v>
      </c>
      <c r="BL197" s="42">
        <v>0</v>
      </c>
      <c r="BM197" s="42">
        <v>4872378</v>
      </c>
      <c r="BN197" s="42">
        <v>54639683</v>
      </c>
      <c r="BO197" s="42">
        <v>0</v>
      </c>
      <c r="BP197" s="42">
        <v>29474230</v>
      </c>
      <c r="BQ197" s="42">
        <v>145064006</v>
      </c>
      <c r="BR197" s="42">
        <v>0</v>
      </c>
      <c r="BS197" s="42">
        <f>IFERROR(VLOOKUP(A197,'Trans 21-23'!$A$2:$J$229,9,0),0)</f>
        <v>512419917</v>
      </c>
      <c r="BT197" s="67"/>
      <c r="BU197" s="32">
        <f t="shared" si="0"/>
        <v>4836421874</v>
      </c>
      <c r="BV197" s="32">
        <f t="shared" si="1"/>
        <v>4795</v>
      </c>
      <c r="BW197" s="32">
        <f t="shared" si="2"/>
        <v>729558</v>
      </c>
      <c r="BX197" s="32">
        <f t="shared" si="3"/>
        <v>102478157</v>
      </c>
      <c r="BY197" s="32">
        <f t="shared" si="4"/>
        <v>115270777</v>
      </c>
      <c r="BZ197" s="32">
        <f t="shared" si="5"/>
        <v>239654693</v>
      </c>
      <c r="CA197" s="32">
        <f t="shared" si="6"/>
        <v>212308608</v>
      </c>
      <c r="CB197" s="32">
        <f t="shared" si="7"/>
        <v>1131955</v>
      </c>
      <c r="CC197" s="32">
        <f t="shared" si="8"/>
        <v>22518603</v>
      </c>
      <c r="CD197" s="41">
        <f t="shared" si="74"/>
        <v>1</v>
      </c>
      <c r="CE197" s="44">
        <f t="shared" si="10"/>
        <v>9</v>
      </c>
      <c r="CF197" s="27"/>
      <c r="CG197" s="28">
        <f t="shared" si="11"/>
        <v>1008.6385555787278</v>
      </c>
      <c r="CH197" s="28">
        <f t="shared" si="12"/>
        <v>6.5724726478223801</v>
      </c>
      <c r="CI197" s="28">
        <f t="shared" si="13"/>
        <v>140.46608631527582</v>
      </c>
      <c r="CJ197" s="28">
        <f t="shared" si="14"/>
        <v>328.49299575907605</v>
      </c>
      <c r="CK197" s="23">
        <f t="shared" si="15"/>
        <v>5.0267549900853088E-2</v>
      </c>
      <c r="CL197" s="29" t="str">
        <f t="shared" si="16"/>
        <v/>
      </c>
      <c r="CM197" s="29" t="str">
        <f t="shared" si="17"/>
        <v/>
      </c>
      <c r="CN197" s="29" t="str">
        <f t="shared" si="18"/>
        <v/>
      </c>
      <c r="CO197" s="29" t="str">
        <f t="shared" si="19"/>
        <v/>
      </c>
      <c r="CP197" s="29" t="str">
        <f t="shared" si="20"/>
        <v/>
      </c>
      <c r="CQ197" s="29">
        <f t="shared" si="21"/>
        <v>0</v>
      </c>
      <c r="CR197" s="13"/>
      <c r="CS197" s="7">
        <f>VLOOKUP(A197,'Empresas 21-23'!$A$2:$M$228,13,0)</f>
        <v>1</v>
      </c>
      <c r="CT197" s="30"/>
      <c r="CU197" s="6">
        <f t="shared" si="22"/>
        <v>4770486088.3999996</v>
      </c>
      <c r="CV197" s="6">
        <f t="shared" si="23"/>
        <v>239654693</v>
      </c>
      <c r="CW197" s="6">
        <f t="shared" si="24"/>
        <v>348542599</v>
      </c>
      <c r="CX197" s="23">
        <f t="shared" si="88"/>
        <v>0.33290636411316349</v>
      </c>
      <c r="CY197" s="23">
        <f t="shared" si="89"/>
        <v>1.6724201897011536E-2</v>
      </c>
      <c r="CZ197" s="6">
        <f t="shared" si="27"/>
        <v>4886518137.7716417</v>
      </c>
      <c r="DA197" s="6">
        <f t="shared" si="28"/>
        <v>245483789.79538512</v>
      </c>
      <c r="DB197" s="6">
        <f t="shared" si="29"/>
        <v>102478157</v>
      </c>
      <c r="DC197" s="6">
        <f t="shared" si="30"/>
        <v>107681446</v>
      </c>
      <c r="DD197" s="6">
        <f t="shared" si="31"/>
        <v>115270777</v>
      </c>
      <c r="DE197" s="6">
        <f t="shared" si="32"/>
        <v>212308608</v>
      </c>
      <c r="DF197" s="6">
        <f t="shared" si="86"/>
        <v>80607020.87244764</v>
      </c>
      <c r="DG197" s="30"/>
      <c r="DH197" s="32">
        <f>VLOOKUP(A197,'T_med_comp-USA'!$A$7:$Q$233,17,0)</f>
        <v>10.9618343296903</v>
      </c>
      <c r="DI197" s="6" t="str">
        <f t="shared" si="34"/>
        <v>1_2013</v>
      </c>
      <c r="DJ197" s="32">
        <f>IF(DI197="","",VLOOKUP(DI197,'CPI USA'!$T:$U,2,FALSE))</f>
        <v>230.28</v>
      </c>
      <c r="DK197" s="32">
        <f>IF(DI197="","",VLOOKUP(DI197,'PPI USA'!$S:$T,2,FALSE))</f>
        <v>166.2</v>
      </c>
      <c r="DL197" s="32">
        <f>IF(DI197="","",VLOOKUP(DI197,'CPI USA'!$T:$V,3,FALSE))</f>
        <v>0.67305131835944076</v>
      </c>
      <c r="DM197" s="32">
        <f>IF(DI197="","",VLOOKUP(DI197,'CPI USA'!$T:$X,5,FALSE))</f>
        <v>0.50163050295255052</v>
      </c>
      <c r="DN197" s="32">
        <f t="shared" si="35"/>
        <v>1.3963809315743387</v>
      </c>
      <c r="DO197" s="32">
        <f t="shared" si="36"/>
        <v>1.4131920249632246</v>
      </c>
      <c r="DP197" s="32">
        <f t="shared" si="37"/>
        <v>0.24091487125397854</v>
      </c>
      <c r="DQ197" s="32">
        <f>IF(DP197="","",DP197*$DO$1/'CPI USA'!$U$532+(1-DP197)*AVERAGE($DO$1,$DQ$1)/AVERAGE('CPI USA'!$U$532,'PPI USA'!$T$538))</f>
        <v>1.0417375692382929</v>
      </c>
      <c r="DR197" s="6">
        <f t="shared" si="38"/>
        <v>5385413</v>
      </c>
      <c r="DS197" s="32">
        <f t="shared" si="39"/>
        <v>0.2</v>
      </c>
      <c r="DT197" s="28">
        <f>IF(DS197="","",DS197*$DO$1/'CPI USA'!$U$532+(1-DS197)*AVERAGE($DO$1,$DQ$1)/AVERAGE('CPI USA'!$U$532,'PPI USA'!$T$538))</f>
        <v>1.0426818386380585</v>
      </c>
      <c r="DU197" s="6">
        <f t="shared" si="40"/>
        <v>4872378</v>
      </c>
      <c r="DV197" s="6">
        <f t="shared" si="87"/>
        <v>1242407.3719023387</v>
      </c>
      <c r="DW197" s="6">
        <f t="shared" si="42"/>
        <v>3365605.1164441793</v>
      </c>
      <c r="DX197" s="16">
        <f t="shared" si="43"/>
        <v>0.2</v>
      </c>
      <c r="DY197" s="28">
        <f>IF(DX197="","",DX197*$DO$1/'CPI USA'!$U$532+(1-DX197)*AVERAGE($DO$1,$DQ$1)/AVERAGE('CPI USA'!$U$532,'PPI USA'!$T$538))</f>
        <v>1.0426818386380585</v>
      </c>
      <c r="DZ197" s="30"/>
      <c r="EA197" s="29" t="str">
        <f t="shared" si="44"/>
        <v>C008998</v>
      </c>
      <c r="EB197" s="29">
        <f t="shared" si="45"/>
        <v>6823440749.3764677</v>
      </c>
      <c r="EC197" s="29">
        <f t="shared" si="46"/>
        <v>346915733.99658686</v>
      </c>
      <c r="ED197" s="29">
        <f t="shared" si="47"/>
        <v>112175807.8081045</v>
      </c>
      <c r="EE197" s="29">
        <f t="shared" si="48"/>
        <v>120190745.70359764</v>
      </c>
      <c r="EF197" s="29">
        <f t="shared" si="49"/>
        <v>84047476.730420068</v>
      </c>
      <c r="EG197" s="29">
        <f t="shared" si="50"/>
        <v>4795</v>
      </c>
      <c r="EH197" s="29">
        <f t="shared" si="51"/>
        <v>729558</v>
      </c>
      <c r="EI197" s="29">
        <f t="shared" si="52"/>
        <v>1131955</v>
      </c>
      <c r="EJ197" s="29">
        <f t="shared" si="53"/>
        <v>22518603</v>
      </c>
      <c r="EK197" s="29">
        <f t="shared" si="54"/>
        <v>23531993.888324872</v>
      </c>
      <c r="EL197" s="29">
        <f>IF(CD197=1,VLOOKUP(EA197,'EIA 2023'!$A$2:$J$213,4,0)*EH197,"")</f>
        <v>207705162.59999999</v>
      </c>
      <c r="EM197" s="29">
        <f>IF(CD197=1,VLOOKUP(EA197,'EIA 2023'!$A$2:$J$213,7,0)*EH197,"")</f>
        <v>1497782.574</v>
      </c>
      <c r="EN197" s="29">
        <f>IF(CD197=1,VLOOKUP(EA197,'EIA 2023'!$A$2:$J$213,10,0),"")</f>
        <v>832801</v>
      </c>
      <c r="EO197" s="28">
        <f>IF(CD197=1,VLOOKUP(EA197,'EIA 2023'!$A$2:$Z$213,26,0),"")</f>
        <v>0</v>
      </c>
      <c r="EP197" s="23">
        <f t="shared" si="55"/>
        <v>4.3064386857063347E-2</v>
      </c>
      <c r="EQ197" s="32">
        <f t="shared" si="56"/>
        <v>118564.11167512741</v>
      </c>
      <c r="ER197" s="32">
        <f t="shared" si="57"/>
        <v>1013390.8883248726</v>
      </c>
      <c r="ES197" s="32"/>
      <c r="ET197" s="32"/>
    </row>
    <row r="198" spans="1:150" ht="15.75" customHeight="1">
      <c r="A198" s="7" t="s">
        <v>805</v>
      </c>
      <c r="B198" s="7" t="s">
        <v>806</v>
      </c>
      <c r="C198" s="32" t="s">
        <v>1283</v>
      </c>
      <c r="D198" s="42">
        <v>288973711</v>
      </c>
      <c r="E198" s="42">
        <v>0</v>
      </c>
      <c r="F198" s="42">
        <v>0</v>
      </c>
      <c r="G198" s="42">
        <v>282228604</v>
      </c>
      <c r="H198" s="42">
        <v>557665436</v>
      </c>
      <c r="I198" s="42">
        <v>12707333</v>
      </c>
      <c r="J198" s="42">
        <v>219075</v>
      </c>
      <c r="K198" s="42">
        <v>142689</v>
      </c>
      <c r="L198" s="42">
        <v>1161145</v>
      </c>
      <c r="M198" s="42">
        <v>2286375</v>
      </c>
      <c r="N198" s="42">
        <v>954848</v>
      </c>
      <c r="O198" s="42">
        <v>4707241</v>
      </c>
      <c r="P198" s="42">
        <v>2865033</v>
      </c>
      <c r="Q198" s="42">
        <v>947483</v>
      </c>
      <c r="R198" s="42">
        <v>676168</v>
      </c>
      <c r="S198" s="42">
        <v>1431049</v>
      </c>
      <c r="T198" s="42">
        <v>32280902</v>
      </c>
      <c r="U198" s="42">
        <v>1691031</v>
      </c>
      <c r="V198" s="42">
        <v>122414</v>
      </c>
      <c r="W198" s="42">
        <v>1407551</v>
      </c>
      <c r="X198" s="42">
        <f>IFERROR(VLOOKUP(A198,'Trans 21-23'!$A$2:$J$229,10,0),0)</f>
        <v>7312509</v>
      </c>
      <c r="Y198" s="42">
        <v>2107155</v>
      </c>
      <c r="Z198" s="42">
        <v>118784</v>
      </c>
      <c r="AA198" s="42">
        <v>27734695</v>
      </c>
      <c r="AB198" s="42">
        <v>11457937</v>
      </c>
      <c r="AC198" s="42">
        <v>2796663</v>
      </c>
      <c r="AD198" s="42">
        <v>126322249</v>
      </c>
      <c r="AE198" s="42">
        <v>0</v>
      </c>
      <c r="AF198" s="42">
        <v>1169433977</v>
      </c>
      <c r="AG198" s="42">
        <v>460082</v>
      </c>
      <c r="AH198" s="42">
        <v>674405</v>
      </c>
      <c r="AI198" s="42">
        <v>18000360</v>
      </c>
      <c r="AJ198" s="42">
        <v>23726</v>
      </c>
      <c r="AK198" s="42">
        <v>0</v>
      </c>
      <c r="AL198" s="42">
        <v>5493694</v>
      </c>
      <c r="AM198" s="42">
        <v>4637290</v>
      </c>
      <c r="AN198" s="42">
        <v>2347363</v>
      </c>
      <c r="AO198" s="42">
        <v>74483</v>
      </c>
      <c r="AP198" s="42">
        <v>332402</v>
      </c>
      <c r="AQ198" s="42">
        <v>12885232</v>
      </c>
      <c r="AR198" s="42">
        <v>4416997</v>
      </c>
      <c r="AS198" s="42">
        <v>17302229</v>
      </c>
      <c r="AT198" s="42">
        <v>0</v>
      </c>
      <c r="AU198" s="42">
        <v>3127</v>
      </c>
      <c r="AV198" s="42">
        <v>0</v>
      </c>
      <c r="AW198" s="42">
        <v>582939650</v>
      </c>
      <c r="AX198" s="42">
        <v>61402109</v>
      </c>
      <c r="AY198" s="42">
        <v>123016254</v>
      </c>
      <c r="AZ198" s="42">
        <v>164263595</v>
      </c>
      <c r="BA198" s="42">
        <v>101585176</v>
      </c>
      <c r="BB198" s="42">
        <v>3071655890</v>
      </c>
      <c r="BC198" s="42">
        <v>7187005546</v>
      </c>
      <c r="BD198" s="42">
        <v>274160714</v>
      </c>
      <c r="BE198" s="42">
        <v>593792647</v>
      </c>
      <c r="BF198" s="42">
        <v>100916026</v>
      </c>
      <c r="BG198" s="42">
        <v>0</v>
      </c>
      <c r="BH198" s="42">
        <v>14852004</v>
      </c>
      <c r="BI198" s="42">
        <v>1997851</v>
      </c>
      <c r="BJ198" s="42">
        <v>2132997</v>
      </c>
      <c r="BK198" s="42">
        <v>135387</v>
      </c>
      <c r="BL198" s="42">
        <v>0</v>
      </c>
      <c r="BM198" s="42">
        <v>5270962</v>
      </c>
      <c r="BN198" s="42">
        <v>44903797</v>
      </c>
      <c r="BO198" s="42">
        <v>0</v>
      </c>
      <c r="BP198" s="42">
        <v>12663756</v>
      </c>
      <c r="BQ198" s="42">
        <v>102715005</v>
      </c>
      <c r="BR198" s="42">
        <v>0</v>
      </c>
      <c r="BS198" s="42">
        <f>IFERROR(VLOOKUP(A198,'Trans 21-23'!$A$2:$J$229,9,0),0)</f>
        <v>720135895</v>
      </c>
      <c r="BT198" s="67"/>
      <c r="BU198" s="32">
        <f t="shared" si="0"/>
        <v>3071655890</v>
      </c>
      <c r="BV198" s="32">
        <f t="shared" si="1"/>
        <v>3127</v>
      </c>
      <c r="BW198" s="32">
        <f t="shared" si="2"/>
        <v>460082</v>
      </c>
      <c r="BX198" s="32">
        <f t="shared" si="3"/>
        <v>63600337</v>
      </c>
      <c r="BY198" s="32">
        <f t="shared" si="4"/>
        <v>44215234</v>
      </c>
      <c r="BZ198" s="32">
        <f t="shared" si="5"/>
        <v>164263595</v>
      </c>
      <c r="CA198" s="32">
        <f t="shared" si="6"/>
        <v>126322249</v>
      </c>
      <c r="CB198" s="32">
        <f t="shared" si="7"/>
        <v>674405</v>
      </c>
      <c r="CC198" s="32">
        <f t="shared" si="8"/>
        <v>12885232</v>
      </c>
      <c r="CD198" s="41">
        <f t="shared" si="74"/>
        <v>1</v>
      </c>
      <c r="CE198" s="44">
        <f t="shared" si="10"/>
        <v>10</v>
      </c>
      <c r="CF198" s="27"/>
      <c r="CG198" s="28">
        <f t="shared" si="11"/>
        <v>982.30121202430439</v>
      </c>
      <c r="CH198" s="28">
        <f t="shared" si="12"/>
        <v>6.7966145165427037</v>
      </c>
      <c r="CI198" s="28">
        <f t="shared" si="13"/>
        <v>138.23695993322929</v>
      </c>
      <c r="CJ198" s="28">
        <f t="shared" si="14"/>
        <v>357.03112705995886</v>
      </c>
      <c r="CK198" s="23">
        <f t="shared" si="15"/>
        <v>5.2339375806349474E-2</v>
      </c>
      <c r="CL198" s="29" t="str">
        <f t="shared" si="16"/>
        <v/>
      </c>
      <c r="CM198" s="29" t="str">
        <f t="shared" si="17"/>
        <v/>
      </c>
      <c r="CN198" s="29" t="str">
        <f t="shared" si="18"/>
        <v/>
      </c>
      <c r="CO198" s="29" t="str">
        <f t="shared" si="19"/>
        <v/>
      </c>
      <c r="CP198" s="29" t="str">
        <f t="shared" si="20"/>
        <v/>
      </c>
      <c r="CQ198" s="29">
        <f t="shared" si="21"/>
        <v>0</v>
      </c>
      <c r="CR198" s="13"/>
      <c r="CS198" s="7">
        <f>VLOOKUP(A198,'Empresas 21-23'!$A$2:$M$228,13,0)</f>
        <v>1</v>
      </c>
      <c r="CT198" s="30"/>
      <c r="CU198" s="6">
        <f t="shared" si="22"/>
        <v>3415291996.1999998</v>
      </c>
      <c r="CV198" s="6">
        <f t="shared" si="23"/>
        <v>164263595</v>
      </c>
      <c r="CW198" s="6">
        <f t="shared" si="24"/>
        <v>274160714</v>
      </c>
      <c r="CX198" s="23">
        <f t="shared" si="88"/>
        <v>0.49405014566367744</v>
      </c>
      <c r="CY198" s="23">
        <f t="shared" si="89"/>
        <v>2.3762083337906463E-2</v>
      </c>
      <c r="CZ198" s="6">
        <f t="shared" si="27"/>
        <v>3550741136.8869576</v>
      </c>
      <c r="DA198" s="6">
        <f t="shared" si="28"/>
        <v>170778224.73404795</v>
      </c>
      <c r="DB198" s="6">
        <f t="shared" si="29"/>
        <v>63600337</v>
      </c>
      <c r="DC198" s="6">
        <f t="shared" si="30"/>
        <v>70912846</v>
      </c>
      <c r="DD198" s="6">
        <f t="shared" si="31"/>
        <v>44215234</v>
      </c>
      <c r="DE198" s="6">
        <f t="shared" si="32"/>
        <v>126322249</v>
      </c>
      <c r="DF198" s="6">
        <f t="shared" si="86"/>
        <v>74021718.015970483</v>
      </c>
      <c r="DG198" s="30"/>
      <c r="DH198" s="32">
        <f>VLOOKUP(A198,'T_med_comp-USA'!$A$7:$Q$233,17,0)</f>
        <v>6.1142899847478338</v>
      </c>
      <c r="DI198" s="6" t="str">
        <f t="shared" si="34"/>
        <v>11_2017</v>
      </c>
      <c r="DJ198" s="32">
        <f>IF(DI198="","",VLOOKUP(DI198,'CPI USA'!$T:$U,2,FALSE))</f>
        <v>246.66900000000001</v>
      </c>
      <c r="DK198" s="32">
        <f>IF(DI198="","",VLOOKUP(DI198,'PPI USA'!$S:$T,2,FALSE))</f>
        <v>197.9</v>
      </c>
      <c r="DL198" s="32">
        <f>IF(DI198="","",VLOOKUP(DI198,'CPI USA'!$T:$V,3,FALSE))</f>
        <v>0.66204311420409623</v>
      </c>
      <c r="DM198" s="32">
        <f>IF(DI198="","",VLOOKUP(DI198,'CPI USA'!$T:$X,5,FALSE))</f>
        <v>0.48923067262022524</v>
      </c>
      <c r="DN198" s="32">
        <f t="shared" si="35"/>
        <v>1.283988161852629</v>
      </c>
      <c r="DO198" s="32">
        <f t="shared" si="36"/>
        <v>1.2892641021366456</v>
      </c>
      <c r="DP198" s="32">
        <f t="shared" si="37"/>
        <v>0.23352083810499305</v>
      </c>
      <c r="DQ198" s="32">
        <f>IF(DP198="","",DP198*$DO$1/'CPI USA'!$U$532+(1-DP198)*AVERAGE($DO$1,$DQ$1)/AVERAGE('CPI USA'!$U$532,'PPI USA'!$T$538))</f>
        <v>1.0419082152413099</v>
      </c>
      <c r="DR198" s="6">
        <f t="shared" si="38"/>
        <v>4266235</v>
      </c>
      <c r="DS198" s="32">
        <f t="shared" si="39"/>
        <v>0.2</v>
      </c>
      <c r="DT198" s="28">
        <f>IF(DS198="","",DS198*$DO$1/'CPI USA'!$U$532+(1-DS198)*AVERAGE($DO$1,$DQ$1)/AVERAGE('CPI USA'!$U$532,'PPI USA'!$T$538))</f>
        <v>1.0426818386380585</v>
      </c>
      <c r="DU198" s="6">
        <f t="shared" si="40"/>
        <v>5270962</v>
      </c>
      <c r="DV198" s="6">
        <f t="shared" si="87"/>
        <v>741246.53899327933</v>
      </c>
      <c r="DW198" s="6">
        <f t="shared" si="42"/>
        <v>2559757.6919010733</v>
      </c>
      <c r="DX198" s="16">
        <f t="shared" si="43"/>
        <v>0.2</v>
      </c>
      <c r="DY198" s="28">
        <f>IF(DX198="","",DX198*$DO$1/'CPI USA'!$U$532+(1-DX198)*AVERAGE($DO$1,$DQ$1)/AVERAGE('CPI USA'!$U$532,'PPI USA'!$T$538))</f>
        <v>1.0426818386380585</v>
      </c>
      <c r="DZ198" s="30"/>
      <c r="EA198" s="29" t="str">
        <f t="shared" si="44"/>
        <v>C008999</v>
      </c>
      <c r="EB198" s="29">
        <f t="shared" si="45"/>
        <v>4559109585.565999</v>
      </c>
      <c r="EC198" s="29">
        <f t="shared" si="46"/>
        <v>220178234.57623261</v>
      </c>
      <c r="ED198" s="29">
        <f t="shared" si="47"/>
        <v>73884676.813541859</v>
      </c>
      <c r="EE198" s="29">
        <f t="shared" si="48"/>
        <v>46102421.482932001</v>
      </c>
      <c r="EF198" s="29">
        <f t="shared" si="49"/>
        <v>77181101.040040001</v>
      </c>
      <c r="EG198" s="29">
        <f t="shared" si="50"/>
        <v>3127</v>
      </c>
      <c r="EH198" s="29">
        <f t="shared" si="51"/>
        <v>460082</v>
      </c>
      <c r="EI198" s="29">
        <f t="shared" si="52"/>
        <v>674405</v>
      </c>
      <c r="EJ198" s="29">
        <f t="shared" si="53"/>
        <v>12885232</v>
      </c>
      <c r="EK198" s="29">
        <f t="shared" si="54"/>
        <v>13492373.086294416</v>
      </c>
      <c r="EL198" s="29">
        <f>IF(CD198=1,VLOOKUP(EA198,'EIA 2023'!$A$2:$J$213,4,0)*EH198,"")</f>
        <v>134067894.79999998</v>
      </c>
      <c r="EM198" s="29">
        <f>IF(CD198=1,VLOOKUP(EA198,'EIA 2023'!$A$2:$J$213,7,0)*EH198,"")</f>
        <v>985495.64399999997</v>
      </c>
      <c r="EN198" s="29">
        <f>IF(CD198=1,VLOOKUP(EA198,'EIA 2023'!$A$2:$J$213,10,0),"")</f>
        <v>526582</v>
      </c>
      <c r="EO198" s="28">
        <f>IF(CD198=1,VLOOKUP(EA198,'EIA 2023'!$A$2:$Z$213,26,0),"")</f>
        <v>0</v>
      </c>
      <c r="EP198" s="23">
        <f t="shared" si="55"/>
        <v>4.4998836187768308E-2</v>
      </c>
      <c r="EQ198" s="32">
        <f t="shared" si="56"/>
        <v>67263.913705583662</v>
      </c>
      <c r="ER198" s="32">
        <f t="shared" si="57"/>
        <v>607141.08629441634</v>
      </c>
      <c r="ES198" s="32"/>
      <c r="ET198" s="32"/>
    </row>
    <row r="199" spans="1:150" ht="15.75" customHeight="1">
      <c r="A199" s="7" t="s">
        <v>808</v>
      </c>
      <c r="B199" s="7" t="s">
        <v>809</v>
      </c>
      <c r="C199" s="32" t="s">
        <v>1284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f>IFERROR(VLOOKUP(A199,'Trans 21-23'!$A$2:$J$229,10,0),0)</f>
        <v>0</v>
      </c>
      <c r="Y199" s="42">
        <v>0</v>
      </c>
      <c r="Z199" s="42">
        <v>0</v>
      </c>
      <c r="AA199" s="42">
        <v>0</v>
      </c>
      <c r="AB199" s="42">
        <v>0</v>
      </c>
      <c r="AC199" s="42">
        <v>0</v>
      </c>
      <c r="AD199" s="42">
        <v>3601854</v>
      </c>
      <c r="AE199" s="42">
        <v>0</v>
      </c>
      <c r="AF199" s="42">
        <v>6096851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0</v>
      </c>
      <c r="AO199" s="42">
        <v>0</v>
      </c>
      <c r="AP199" s="42">
        <v>0</v>
      </c>
      <c r="AQ199" s="42">
        <v>0</v>
      </c>
      <c r="AR199" s="42">
        <v>0</v>
      </c>
      <c r="AS199" s="42">
        <v>0</v>
      </c>
      <c r="AT199" s="42">
        <v>0</v>
      </c>
      <c r="AU199" s="42">
        <v>0</v>
      </c>
      <c r="AV199" s="42">
        <v>0</v>
      </c>
      <c r="AW199" s="42">
        <v>0</v>
      </c>
      <c r="AX199" s="42">
        <v>0</v>
      </c>
      <c r="AY199" s="42">
        <v>0</v>
      </c>
      <c r="AZ199" s="42">
        <v>0</v>
      </c>
      <c r="BA199" s="42">
        <v>0</v>
      </c>
      <c r="BB199" s="42">
        <v>0</v>
      </c>
      <c r="BC199" s="42">
        <v>39228294</v>
      </c>
      <c r="BD199" s="42">
        <v>187702</v>
      </c>
      <c r="BE199" s="42">
        <v>0</v>
      </c>
      <c r="BF199" s="42">
        <v>0</v>
      </c>
      <c r="BG199" s="42">
        <v>0</v>
      </c>
      <c r="BH199" s="42">
        <v>0</v>
      </c>
      <c r="BI199" s="42">
        <v>0</v>
      </c>
      <c r="BJ199" s="42">
        <v>0</v>
      </c>
      <c r="BK199" s="42">
        <v>0</v>
      </c>
      <c r="BL199" s="42">
        <v>0</v>
      </c>
      <c r="BM199" s="42">
        <v>0</v>
      </c>
      <c r="BN199" s="42">
        <v>0</v>
      </c>
      <c r="BO199" s="42">
        <v>0</v>
      </c>
      <c r="BP199" s="42">
        <v>0</v>
      </c>
      <c r="BQ199" s="42">
        <v>0</v>
      </c>
      <c r="BR199" s="42">
        <v>0</v>
      </c>
      <c r="BS199" s="42">
        <f>IFERROR(VLOOKUP(A199,'Trans 21-23'!$A$2:$J$229,9,0),0)</f>
        <v>0</v>
      </c>
      <c r="BT199" s="67"/>
      <c r="BU199" s="32">
        <f t="shared" si="0"/>
        <v>0</v>
      </c>
      <c r="BV199" s="32">
        <f t="shared" si="1"/>
        <v>0</v>
      </c>
      <c r="BW199" s="32">
        <f t="shared" si="2"/>
        <v>0</v>
      </c>
      <c r="BX199" s="32">
        <f t="shared" si="3"/>
        <v>0</v>
      </c>
      <c r="BY199" s="32">
        <f t="shared" si="4"/>
        <v>0</v>
      </c>
      <c r="BZ199" s="32">
        <f t="shared" si="5"/>
        <v>0</v>
      </c>
      <c r="CA199" s="32">
        <f t="shared" si="6"/>
        <v>3601854</v>
      </c>
      <c r="CB199" s="32">
        <f t="shared" si="7"/>
        <v>0</v>
      </c>
      <c r="CC199" s="32">
        <f t="shared" si="8"/>
        <v>0</v>
      </c>
      <c r="CD199" s="41">
        <f t="shared" si="74"/>
        <v>0</v>
      </c>
      <c r="CE199" s="44">
        <f t="shared" si="10"/>
        <v>64</v>
      </c>
      <c r="CF199" s="27"/>
      <c r="CG199" s="28" t="str">
        <f t="shared" si="11"/>
        <v/>
      </c>
      <c r="CH199" s="28" t="str">
        <f t="shared" si="12"/>
        <v/>
      </c>
      <c r="CI199" s="28" t="str">
        <f t="shared" si="13"/>
        <v/>
      </c>
      <c r="CJ199" s="28" t="str">
        <f t="shared" si="14"/>
        <v/>
      </c>
      <c r="CK199" s="23" t="str">
        <f t="shared" si="15"/>
        <v/>
      </c>
      <c r="CL199" s="29" t="str">
        <f t="shared" si="16"/>
        <v/>
      </c>
      <c r="CM199" s="29" t="str">
        <f t="shared" si="17"/>
        <v/>
      </c>
      <c r="CN199" s="29" t="str">
        <f t="shared" si="18"/>
        <v/>
      </c>
      <c r="CO199" s="29" t="str">
        <f t="shared" si="19"/>
        <v/>
      </c>
      <c r="CP199" s="29" t="str">
        <f t="shared" si="20"/>
        <v/>
      </c>
      <c r="CQ199" s="29" t="str">
        <f t="shared" si="21"/>
        <v/>
      </c>
      <c r="CR199" s="13"/>
      <c r="CS199" s="7" t="str">
        <f>VLOOKUP(A199,'Empresas 21-23'!$A$2:$M$228,13,0)</f>
        <v/>
      </c>
      <c r="CT199" s="30"/>
      <c r="CU199" s="6">
        <f t="shared" si="22"/>
        <v>0</v>
      </c>
      <c r="CV199" s="6">
        <f t="shared" si="23"/>
        <v>0</v>
      </c>
      <c r="CW199" s="6">
        <f t="shared" si="24"/>
        <v>187702</v>
      </c>
      <c r="CX199" s="23">
        <f t="shared" si="88"/>
        <v>0</v>
      </c>
      <c r="CY199" s="23">
        <f t="shared" si="89"/>
        <v>0</v>
      </c>
      <c r="CZ199" s="6">
        <f t="shared" si="27"/>
        <v>0</v>
      </c>
      <c r="DA199" s="6">
        <f t="shared" si="28"/>
        <v>0</v>
      </c>
      <c r="DB199" s="6">
        <f t="shared" si="29"/>
        <v>0</v>
      </c>
      <c r="DC199" s="6">
        <f t="shared" si="30"/>
        <v>0</v>
      </c>
      <c r="DD199" s="6">
        <f t="shared" si="31"/>
        <v>0</v>
      </c>
      <c r="DE199" s="6">
        <f t="shared" si="32"/>
        <v>3601854</v>
      </c>
      <c r="DF199" s="6">
        <f t="shared" si="86"/>
        <v>0</v>
      </c>
      <c r="DG199" s="30"/>
      <c r="DH199" s="32" t="str">
        <f>VLOOKUP(A199,'T_med_comp-USA'!$A$7:$Q$233,17,0)</f>
        <v>-</v>
      </c>
      <c r="DI199" s="6" t="str">
        <f t="shared" si="34"/>
        <v/>
      </c>
      <c r="DJ199" s="32" t="str">
        <f>IF(DI199="","",VLOOKUP(DI199,'CPI USA'!$T:$U,2,FALSE))</f>
        <v/>
      </c>
      <c r="DK199" s="32" t="str">
        <f>IF(DI199="","",VLOOKUP(DI199,'PPI USA'!$S:$T,2,FALSE))</f>
        <v/>
      </c>
      <c r="DL199" s="32" t="str">
        <f>IF(DI199="","",VLOOKUP(DI199,'CPI USA'!$T:$V,3,FALSE))</f>
        <v/>
      </c>
      <c r="DM199" s="32" t="str">
        <f>IF(DI199="","",VLOOKUP(DI199,'CPI USA'!$T:$X,5,FALSE))</f>
        <v/>
      </c>
      <c r="DN199" s="32" t="str">
        <f t="shared" si="35"/>
        <v/>
      </c>
      <c r="DO199" s="32" t="str">
        <f t="shared" si="36"/>
        <v/>
      </c>
      <c r="DP199" s="32" t="str">
        <f t="shared" si="37"/>
        <v/>
      </c>
      <c r="DQ199" s="32" t="str">
        <f>IF(DP199="","",DP199*$DO$1/'CPI USA'!$U$532+(1-DP199)*AVERAGE($DO$1,$DQ$1)/AVERAGE('CPI USA'!$U$532,'PPI USA'!$T$538))</f>
        <v/>
      </c>
      <c r="DR199" s="6">
        <f t="shared" si="38"/>
        <v>0</v>
      </c>
      <c r="DS199" s="32" t="str">
        <f t="shared" si="39"/>
        <v/>
      </c>
      <c r="DT199" s="28" t="str">
        <f>IF(DS199="","",DS199*$DO$1/'CPI USA'!$U$532+(1-DS199)*AVERAGE($DO$1,$DQ$1)/AVERAGE('CPI USA'!$U$532,'PPI USA'!$T$538))</f>
        <v/>
      </c>
      <c r="DU199" s="6" t="str">
        <f t="shared" si="40"/>
        <v/>
      </c>
      <c r="DV199" s="6" t="str">
        <f t="shared" si="87"/>
        <v/>
      </c>
      <c r="DW199" s="6">
        <f t="shared" si="42"/>
        <v>0</v>
      </c>
      <c r="DX199" s="16" t="str">
        <f t="shared" si="43"/>
        <v/>
      </c>
      <c r="DY199" s="28" t="str">
        <f>IF(DX199="","",DX199*$DO$1/'CPI USA'!$U$532+(1-DX199)*AVERAGE($DO$1,$DQ$1)/AVERAGE('CPI USA'!$U$532,'PPI USA'!$T$538))</f>
        <v/>
      </c>
      <c r="DZ199" s="30"/>
      <c r="EA199" s="29" t="str">
        <f t="shared" si="44"/>
        <v>C009068</v>
      </c>
      <c r="EB199" s="29" t="str">
        <f t="shared" si="45"/>
        <v/>
      </c>
      <c r="EC199" s="29" t="str">
        <f t="shared" si="46"/>
        <v/>
      </c>
      <c r="ED199" s="29" t="str">
        <f t="shared" si="47"/>
        <v/>
      </c>
      <c r="EE199" s="29" t="str">
        <f t="shared" si="48"/>
        <v/>
      </c>
      <c r="EF199" s="29" t="str">
        <f t="shared" si="49"/>
        <v/>
      </c>
      <c r="EG199" s="29" t="str">
        <f t="shared" si="50"/>
        <v/>
      </c>
      <c r="EH199" s="29" t="str">
        <f t="shared" si="51"/>
        <v/>
      </c>
      <c r="EI199" s="29" t="str">
        <f t="shared" si="52"/>
        <v/>
      </c>
      <c r="EJ199" s="29" t="str">
        <f t="shared" si="53"/>
        <v/>
      </c>
      <c r="EK199" s="29" t="str">
        <f t="shared" si="54"/>
        <v/>
      </c>
      <c r="EL199" s="29" t="str">
        <f>IF(CD199=1,VLOOKUP(EA199,'EIA 2023'!$A$2:$J$213,4,0)*EH199,"")</f>
        <v/>
      </c>
      <c r="EM199" s="29" t="str">
        <f>IF(CD199=1,VLOOKUP(EA199,'EIA 2023'!$A$2:$J$213,7,0)*EH199,"")</f>
        <v/>
      </c>
      <c r="EN199" s="29" t="str">
        <f>IF(CD199=1,VLOOKUP(EA199,'EIA 2023'!$A$2:$J$213,10,0),"")</f>
        <v/>
      </c>
      <c r="EO199" s="28" t="str">
        <f>IF(CD199=1,VLOOKUP(EA199,'EIA 2023'!$A$2:$Z$213,26,0),"")</f>
        <v/>
      </c>
      <c r="EP199" s="23" t="str">
        <f t="shared" si="55"/>
        <v/>
      </c>
      <c r="EQ199" s="32" t="str">
        <f t="shared" si="56"/>
        <v/>
      </c>
      <c r="ER199" s="32" t="str">
        <f t="shared" si="57"/>
        <v/>
      </c>
      <c r="ES199" s="32"/>
      <c r="ET199" s="32"/>
    </row>
    <row r="200" spans="1:150" ht="15.75" customHeight="1">
      <c r="A200" s="7" t="s">
        <v>811</v>
      </c>
      <c r="B200" s="7" t="s">
        <v>812</v>
      </c>
      <c r="C200" s="32" t="s">
        <v>1285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f>IFERROR(VLOOKUP(A200,'Trans 21-23'!$A$2:$J$229,10,0),0)</f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924217</v>
      </c>
      <c r="AE200" s="42">
        <v>0</v>
      </c>
      <c r="AF200" s="42">
        <v>1355648</v>
      </c>
      <c r="AG200" s="42">
        <v>0</v>
      </c>
      <c r="AH200" s="42">
        <v>0</v>
      </c>
      <c r="AI200" s="42">
        <v>0</v>
      </c>
      <c r="AJ200" s="42">
        <v>0</v>
      </c>
      <c r="AK200" s="42">
        <v>0</v>
      </c>
      <c r="AL200" s="42">
        <v>0</v>
      </c>
      <c r="AM200" s="42">
        <v>0</v>
      </c>
      <c r="AN200" s="42">
        <v>0</v>
      </c>
      <c r="AO200" s="42">
        <v>0</v>
      </c>
      <c r="AP200" s="42">
        <v>0</v>
      </c>
      <c r="AQ200" s="42">
        <v>0</v>
      </c>
      <c r="AR200" s="42">
        <v>0</v>
      </c>
      <c r="AS200" s="42">
        <v>0</v>
      </c>
      <c r="AT200" s="42">
        <v>0</v>
      </c>
      <c r="AU200" s="42">
        <v>0</v>
      </c>
      <c r="AV200" s="42">
        <v>0</v>
      </c>
      <c r="AW200" s="42">
        <v>0</v>
      </c>
      <c r="AX200" s="42">
        <v>0</v>
      </c>
      <c r="AY200" s="42">
        <v>0</v>
      </c>
      <c r="AZ200" s="42">
        <v>0</v>
      </c>
      <c r="BA200" s="42">
        <v>0</v>
      </c>
      <c r="BB200" s="42">
        <v>0</v>
      </c>
      <c r="BC200" s="42">
        <v>50735993</v>
      </c>
      <c r="BD200" s="42">
        <v>0</v>
      </c>
      <c r="BE200" s="42">
        <v>0</v>
      </c>
      <c r="BF200" s="42">
        <v>0</v>
      </c>
      <c r="BG200" s="42">
        <v>0</v>
      </c>
      <c r="BH200" s="42">
        <v>0</v>
      </c>
      <c r="BI200" s="42">
        <v>0</v>
      </c>
      <c r="BJ200" s="42">
        <v>0</v>
      </c>
      <c r="BK200" s="42">
        <v>0</v>
      </c>
      <c r="BL200" s="42">
        <v>0</v>
      </c>
      <c r="BM200" s="42">
        <v>0</v>
      </c>
      <c r="BN200" s="42">
        <v>0</v>
      </c>
      <c r="BO200" s="42">
        <v>0</v>
      </c>
      <c r="BP200" s="42">
        <v>0</v>
      </c>
      <c r="BQ200" s="42">
        <v>0</v>
      </c>
      <c r="BR200" s="42">
        <v>0</v>
      </c>
      <c r="BS200" s="42">
        <f>IFERROR(VLOOKUP(A200,'Trans 21-23'!$A$2:$J$229,9,0),0)</f>
        <v>0</v>
      </c>
      <c r="BT200" s="67"/>
      <c r="BU200" s="32">
        <f t="shared" si="0"/>
        <v>0</v>
      </c>
      <c r="BV200" s="32">
        <f t="shared" si="1"/>
        <v>0</v>
      </c>
      <c r="BW200" s="32">
        <f t="shared" si="2"/>
        <v>0</v>
      </c>
      <c r="BX200" s="32">
        <f t="shared" si="3"/>
        <v>0</v>
      </c>
      <c r="BY200" s="32">
        <f t="shared" si="4"/>
        <v>0</v>
      </c>
      <c r="BZ200" s="32">
        <f t="shared" si="5"/>
        <v>0</v>
      </c>
      <c r="CA200" s="32">
        <f t="shared" si="6"/>
        <v>924217</v>
      </c>
      <c r="CB200" s="32">
        <f t="shared" si="7"/>
        <v>0</v>
      </c>
      <c r="CC200" s="32">
        <f t="shared" si="8"/>
        <v>0</v>
      </c>
      <c r="CD200" s="41">
        <f t="shared" si="74"/>
        <v>0</v>
      </c>
      <c r="CE200" s="44">
        <f t="shared" si="10"/>
        <v>65</v>
      </c>
      <c r="CF200" s="27"/>
      <c r="CG200" s="28" t="str">
        <f t="shared" si="11"/>
        <v/>
      </c>
      <c r="CH200" s="28" t="str">
        <f t="shared" si="12"/>
        <v/>
      </c>
      <c r="CI200" s="28" t="str">
        <f t="shared" si="13"/>
        <v/>
      </c>
      <c r="CJ200" s="28" t="str">
        <f t="shared" si="14"/>
        <v/>
      </c>
      <c r="CK200" s="23" t="str">
        <f t="shared" si="15"/>
        <v/>
      </c>
      <c r="CL200" s="29" t="str">
        <f t="shared" si="16"/>
        <v/>
      </c>
      <c r="CM200" s="29" t="str">
        <f t="shared" si="17"/>
        <v/>
      </c>
      <c r="CN200" s="29" t="str">
        <f t="shared" si="18"/>
        <v/>
      </c>
      <c r="CO200" s="29" t="str">
        <f t="shared" si="19"/>
        <v/>
      </c>
      <c r="CP200" s="29" t="str">
        <f t="shared" si="20"/>
        <v/>
      </c>
      <c r="CQ200" s="29" t="str">
        <f t="shared" si="21"/>
        <v/>
      </c>
      <c r="CR200" s="13"/>
      <c r="CS200" s="7" t="str">
        <f>VLOOKUP(A200,'Empresas 21-23'!$A$2:$M$228,13,0)</f>
        <v/>
      </c>
      <c r="CT200" s="30"/>
      <c r="CU200" s="6">
        <f t="shared" si="22"/>
        <v>0</v>
      </c>
      <c r="CV200" s="6">
        <f t="shared" si="23"/>
        <v>0</v>
      </c>
      <c r="CW200" s="6">
        <f t="shared" si="24"/>
        <v>0</v>
      </c>
      <c r="CX200" s="23">
        <f t="shared" si="88"/>
        <v>0</v>
      </c>
      <c r="CY200" s="23">
        <f t="shared" si="89"/>
        <v>0</v>
      </c>
      <c r="CZ200" s="6">
        <f t="shared" si="27"/>
        <v>0</v>
      </c>
      <c r="DA200" s="6">
        <f t="shared" si="28"/>
        <v>0</v>
      </c>
      <c r="DB200" s="6">
        <f t="shared" si="29"/>
        <v>0</v>
      </c>
      <c r="DC200" s="6">
        <f t="shared" si="30"/>
        <v>0</v>
      </c>
      <c r="DD200" s="6">
        <f t="shared" si="31"/>
        <v>0</v>
      </c>
      <c r="DE200" s="6">
        <f t="shared" si="32"/>
        <v>924217</v>
      </c>
      <c r="DF200" s="6">
        <f t="shared" si="86"/>
        <v>0</v>
      </c>
      <c r="DG200" s="30"/>
      <c r="DH200" s="32" t="str">
        <f>VLOOKUP(A200,'T_med_comp-USA'!$A$7:$Q$233,17,0)</f>
        <v>-</v>
      </c>
      <c r="DI200" s="6" t="str">
        <f t="shared" si="34"/>
        <v/>
      </c>
      <c r="DJ200" s="32" t="str">
        <f>IF(DI200="","",VLOOKUP(DI200,'CPI USA'!$T:$U,2,FALSE))</f>
        <v/>
      </c>
      <c r="DK200" s="32" t="str">
        <f>IF(DI200="","",VLOOKUP(DI200,'PPI USA'!$S:$T,2,FALSE))</f>
        <v/>
      </c>
      <c r="DL200" s="32" t="str">
        <f>IF(DI200="","",VLOOKUP(DI200,'CPI USA'!$T:$V,3,FALSE))</f>
        <v/>
      </c>
      <c r="DM200" s="32" t="str">
        <f>IF(DI200="","",VLOOKUP(DI200,'CPI USA'!$T:$X,5,FALSE))</f>
        <v/>
      </c>
      <c r="DN200" s="32" t="str">
        <f t="shared" si="35"/>
        <v/>
      </c>
      <c r="DO200" s="32" t="str">
        <f t="shared" si="36"/>
        <v/>
      </c>
      <c r="DP200" s="32" t="str">
        <f t="shared" si="37"/>
        <v/>
      </c>
      <c r="DQ200" s="32" t="str">
        <f>IF(DP200="","",DP200*$DO$1/'CPI USA'!$U$532+(1-DP200)*AVERAGE($DO$1,$DQ$1)/AVERAGE('CPI USA'!$U$532,'PPI USA'!$T$538))</f>
        <v/>
      </c>
      <c r="DR200" s="6">
        <f t="shared" si="38"/>
        <v>0</v>
      </c>
      <c r="DS200" s="32" t="str">
        <f t="shared" si="39"/>
        <v/>
      </c>
      <c r="DT200" s="28" t="str">
        <f>IF(DS200="","",DS200*$DO$1/'CPI USA'!$U$532+(1-DS200)*AVERAGE($DO$1,$DQ$1)/AVERAGE('CPI USA'!$U$532,'PPI USA'!$T$538))</f>
        <v/>
      </c>
      <c r="DU200" s="6" t="str">
        <f t="shared" si="40"/>
        <v/>
      </c>
      <c r="DV200" s="6" t="str">
        <f t="shared" si="87"/>
        <v/>
      </c>
      <c r="DW200" s="6">
        <f t="shared" si="42"/>
        <v>0</v>
      </c>
      <c r="DX200" s="16" t="str">
        <f t="shared" si="43"/>
        <v/>
      </c>
      <c r="DY200" s="28" t="str">
        <f>IF(DX200="","",DX200*$DO$1/'CPI USA'!$U$532+(1-DX200)*AVERAGE($DO$1,$DQ$1)/AVERAGE('CPI USA'!$U$532,'PPI USA'!$T$538))</f>
        <v/>
      </c>
      <c r="DZ200" s="30"/>
      <c r="EA200" s="29" t="str">
        <f t="shared" si="44"/>
        <v>C010151</v>
      </c>
      <c r="EB200" s="29" t="str">
        <f t="shared" si="45"/>
        <v/>
      </c>
      <c r="EC200" s="29" t="str">
        <f t="shared" si="46"/>
        <v/>
      </c>
      <c r="ED200" s="29" t="str">
        <f t="shared" si="47"/>
        <v/>
      </c>
      <c r="EE200" s="29" t="str">
        <f t="shared" si="48"/>
        <v/>
      </c>
      <c r="EF200" s="29" t="str">
        <f t="shared" si="49"/>
        <v/>
      </c>
      <c r="EG200" s="29" t="str">
        <f t="shared" si="50"/>
        <v/>
      </c>
      <c r="EH200" s="29" t="str">
        <f t="shared" si="51"/>
        <v/>
      </c>
      <c r="EI200" s="29" t="str">
        <f t="shared" si="52"/>
        <v/>
      </c>
      <c r="EJ200" s="29" t="str">
        <f t="shared" si="53"/>
        <v/>
      </c>
      <c r="EK200" s="29" t="str">
        <f t="shared" si="54"/>
        <v/>
      </c>
      <c r="EL200" s="29" t="str">
        <f>IF(CD200=1,VLOOKUP(EA200,'EIA 2023'!$A$2:$J$213,4,0)*EH200,"")</f>
        <v/>
      </c>
      <c r="EM200" s="29" t="str">
        <f>IF(CD200=1,VLOOKUP(EA200,'EIA 2023'!$A$2:$J$213,7,0)*EH200,"")</f>
        <v/>
      </c>
      <c r="EN200" s="29" t="str">
        <f>IF(CD200=1,VLOOKUP(EA200,'EIA 2023'!$A$2:$J$213,10,0),"")</f>
        <v/>
      </c>
      <c r="EO200" s="28" t="str">
        <f>IF(CD200=1,VLOOKUP(EA200,'EIA 2023'!$A$2:$Z$213,26,0),"")</f>
        <v/>
      </c>
      <c r="EP200" s="23" t="str">
        <f t="shared" si="55"/>
        <v/>
      </c>
      <c r="EQ200" s="32" t="str">
        <f t="shared" si="56"/>
        <v/>
      </c>
      <c r="ER200" s="32" t="str">
        <f t="shared" si="57"/>
        <v/>
      </c>
      <c r="ES200" s="32"/>
      <c r="ET200" s="32"/>
    </row>
    <row r="201" spans="1:150" ht="15.75" customHeight="1">
      <c r="A201" s="7" t="s">
        <v>814</v>
      </c>
      <c r="B201" s="7" t="s">
        <v>815</v>
      </c>
      <c r="C201" s="32" t="s">
        <v>1286</v>
      </c>
      <c r="D201" s="42">
        <v>0</v>
      </c>
      <c r="E201" s="42">
        <v>0</v>
      </c>
      <c r="F201" s="42">
        <v>0</v>
      </c>
      <c r="G201" s="42">
        <v>795336126</v>
      </c>
      <c r="H201" s="42">
        <v>795336126</v>
      </c>
      <c r="I201" s="42">
        <v>0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42">
        <v>0</v>
      </c>
      <c r="R201" s="42">
        <v>0</v>
      </c>
      <c r="S201" s="42">
        <v>0</v>
      </c>
      <c r="T201" s="42">
        <v>0</v>
      </c>
      <c r="U201" s="42">
        <v>0</v>
      </c>
      <c r="V201" s="42">
        <v>0</v>
      </c>
      <c r="W201" s="42">
        <v>0</v>
      </c>
      <c r="X201" s="42">
        <f>IFERROR(VLOOKUP(A201,'Trans 21-23'!$A$2:$J$229,10,0),0)</f>
        <v>1759</v>
      </c>
      <c r="Y201" s="42">
        <v>0</v>
      </c>
      <c r="Z201" s="42">
        <v>0</v>
      </c>
      <c r="AA201" s="42">
        <v>0</v>
      </c>
      <c r="AB201" s="42">
        <v>37570</v>
      </c>
      <c r="AC201" s="42">
        <v>0</v>
      </c>
      <c r="AD201" s="42">
        <v>3424027</v>
      </c>
      <c r="AE201" s="42">
        <v>0</v>
      </c>
      <c r="AF201" s="42">
        <v>800054507</v>
      </c>
      <c r="AG201" s="42">
        <v>0</v>
      </c>
      <c r="AH201" s="42">
        <v>0</v>
      </c>
      <c r="AI201" s="42">
        <v>13890115</v>
      </c>
      <c r="AJ201" s="42">
        <v>0</v>
      </c>
      <c r="AK201" s="42">
        <v>0</v>
      </c>
      <c r="AL201" s="42">
        <v>0</v>
      </c>
      <c r="AM201" s="42">
        <v>0</v>
      </c>
      <c r="AN201" s="42">
        <v>0</v>
      </c>
      <c r="AO201" s="42">
        <v>0</v>
      </c>
      <c r="AP201" s="42">
        <v>0</v>
      </c>
      <c r="AQ201" s="42">
        <v>0</v>
      </c>
      <c r="AR201" s="42">
        <v>13890115</v>
      </c>
      <c r="AS201" s="42">
        <v>13890115</v>
      </c>
      <c r="AT201" s="42">
        <v>0</v>
      </c>
      <c r="AU201" s="42">
        <v>0</v>
      </c>
      <c r="AV201" s="42">
        <v>0</v>
      </c>
      <c r="AW201" s="42">
        <v>0</v>
      </c>
      <c r="AX201" s="42">
        <v>0</v>
      </c>
      <c r="AY201" s="42">
        <v>0</v>
      </c>
      <c r="AZ201" s="42">
        <v>0</v>
      </c>
      <c r="BA201" s="42">
        <v>0</v>
      </c>
      <c r="BB201" s="42">
        <v>0</v>
      </c>
      <c r="BC201" s="42">
        <v>19839268</v>
      </c>
      <c r="BD201" s="42">
        <v>1159989</v>
      </c>
      <c r="BE201" s="42">
        <v>0</v>
      </c>
      <c r="BF201" s="42">
        <v>0</v>
      </c>
      <c r="BG201" s="42">
        <v>0</v>
      </c>
      <c r="BH201" s="42">
        <v>0</v>
      </c>
      <c r="BI201" s="42">
        <v>0</v>
      </c>
      <c r="BJ201" s="42">
        <v>0</v>
      </c>
      <c r="BK201" s="42">
        <v>0</v>
      </c>
      <c r="BL201" s="42">
        <v>0</v>
      </c>
      <c r="BM201" s="42">
        <v>653145</v>
      </c>
      <c r="BN201" s="42">
        <v>668611</v>
      </c>
      <c r="BO201" s="42">
        <v>0</v>
      </c>
      <c r="BP201" s="42">
        <v>0</v>
      </c>
      <c r="BQ201" s="42">
        <v>668611</v>
      </c>
      <c r="BR201" s="42">
        <v>0</v>
      </c>
      <c r="BS201" s="42">
        <f>IFERROR(VLOOKUP(A201,'Trans 21-23'!$A$2:$J$229,9,0),0)</f>
        <v>173180</v>
      </c>
      <c r="BT201" s="67"/>
      <c r="BU201" s="32">
        <f t="shared" si="0"/>
        <v>0</v>
      </c>
      <c r="BV201" s="32">
        <f t="shared" si="1"/>
        <v>0</v>
      </c>
      <c r="BW201" s="32">
        <f t="shared" si="2"/>
        <v>0</v>
      </c>
      <c r="BX201" s="32">
        <f t="shared" si="3"/>
        <v>0</v>
      </c>
      <c r="BY201" s="32">
        <f t="shared" si="4"/>
        <v>37570</v>
      </c>
      <c r="BZ201" s="32">
        <f t="shared" si="5"/>
        <v>0</v>
      </c>
      <c r="CA201" s="32">
        <f t="shared" si="6"/>
        <v>3424027</v>
      </c>
      <c r="CB201" s="32">
        <f t="shared" si="7"/>
        <v>0</v>
      </c>
      <c r="CC201" s="32">
        <f t="shared" si="8"/>
        <v>0</v>
      </c>
      <c r="CD201" s="41">
        <f t="shared" si="74"/>
        <v>0</v>
      </c>
      <c r="CE201" s="44">
        <f t="shared" si="10"/>
        <v>53</v>
      </c>
      <c r="CF201" s="27"/>
      <c r="CG201" s="28" t="str">
        <f t="shared" si="11"/>
        <v/>
      </c>
      <c r="CH201" s="28" t="str">
        <f t="shared" si="12"/>
        <v/>
      </c>
      <c r="CI201" s="28" t="str">
        <f t="shared" si="13"/>
        <v/>
      </c>
      <c r="CJ201" s="28" t="str">
        <f t="shared" si="14"/>
        <v/>
      </c>
      <c r="CK201" s="23" t="str">
        <f t="shared" si="15"/>
        <v/>
      </c>
      <c r="CL201" s="29" t="str">
        <f t="shared" si="16"/>
        <v/>
      </c>
      <c r="CM201" s="29" t="str">
        <f t="shared" si="17"/>
        <v/>
      </c>
      <c r="CN201" s="29" t="str">
        <f t="shared" si="18"/>
        <v/>
      </c>
      <c r="CO201" s="29" t="str">
        <f t="shared" si="19"/>
        <v/>
      </c>
      <c r="CP201" s="29" t="str">
        <f t="shared" si="20"/>
        <v/>
      </c>
      <c r="CQ201" s="29" t="str">
        <f t="shared" si="21"/>
        <v/>
      </c>
      <c r="CR201" s="13"/>
      <c r="CS201" s="7" t="str">
        <f>VLOOKUP(A201,'Empresas 21-23'!$A$2:$M$228,13,0)</f>
        <v/>
      </c>
      <c r="CT201" s="30"/>
      <c r="CU201" s="6">
        <f t="shared" si="22"/>
        <v>173180</v>
      </c>
      <c r="CV201" s="6">
        <f t="shared" si="23"/>
        <v>0</v>
      </c>
      <c r="CW201" s="6">
        <f t="shared" si="24"/>
        <v>1159989</v>
      </c>
      <c r="CX201" s="23">
        <f t="shared" si="88"/>
        <v>9.2712357902036795E-3</v>
      </c>
      <c r="CY201" s="23">
        <f t="shared" si="89"/>
        <v>0</v>
      </c>
      <c r="CZ201" s="6">
        <f t="shared" si="27"/>
        <v>183934.53153304258</v>
      </c>
      <c r="DA201" s="6">
        <f t="shared" si="28"/>
        <v>0</v>
      </c>
      <c r="DB201" s="6">
        <f t="shared" si="29"/>
        <v>0</v>
      </c>
      <c r="DC201" s="6">
        <f t="shared" si="30"/>
        <v>1759</v>
      </c>
      <c r="DD201" s="6">
        <f t="shared" si="31"/>
        <v>37570</v>
      </c>
      <c r="DE201" s="6">
        <f t="shared" si="32"/>
        <v>3424027</v>
      </c>
      <c r="DF201" s="6">
        <f t="shared" si="86"/>
        <v>104039.20247706577</v>
      </c>
      <c r="DG201" s="30"/>
      <c r="DH201" s="32" t="str">
        <f>VLOOKUP(A201,'T_med_comp-USA'!$A$7:$Q$233,17,0)</f>
        <v>-</v>
      </c>
      <c r="DI201" s="6" t="str">
        <f t="shared" si="34"/>
        <v/>
      </c>
      <c r="DJ201" s="32" t="str">
        <f>IF(DI201="","",VLOOKUP(DI201,'CPI USA'!$T:$U,2,FALSE))</f>
        <v/>
      </c>
      <c r="DK201" s="32" t="str">
        <f>IF(DI201="","",VLOOKUP(DI201,'PPI USA'!$S:$T,2,FALSE))</f>
        <v/>
      </c>
      <c r="DL201" s="32" t="str">
        <f>IF(DI201="","",VLOOKUP(DI201,'CPI USA'!$T:$V,3,FALSE))</f>
        <v/>
      </c>
      <c r="DM201" s="32" t="str">
        <f>IF(DI201="","",VLOOKUP(DI201,'CPI USA'!$T:$X,5,FALSE))</f>
        <v/>
      </c>
      <c r="DN201" s="32" t="str">
        <f t="shared" si="35"/>
        <v/>
      </c>
      <c r="DO201" s="32" t="str">
        <f t="shared" si="36"/>
        <v/>
      </c>
      <c r="DP201" s="32" t="str">
        <f t="shared" si="37"/>
        <v/>
      </c>
      <c r="DQ201" s="32" t="str">
        <f>IF(DP201="","",DP201*$DO$1/'CPI USA'!$U$532+(1-DP201)*AVERAGE($DO$1,$DQ$1)/AVERAGE('CPI USA'!$U$532,'PPI USA'!$T$538))</f>
        <v/>
      </c>
      <c r="DR201" s="6">
        <f t="shared" si="38"/>
        <v>0</v>
      </c>
      <c r="DS201" s="32">
        <f t="shared" si="39"/>
        <v>0.2</v>
      </c>
      <c r="DT201" s="28">
        <f>IF(DS201="","",DS201*$DO$1/'CPI USA'!$U$532+(1-DS201)*AVERAGE($DO$1,$DQ$1)/AVERAGE('CPI USA'!$U$532,'PPI USA'!$T$538))</f>
        <v>1.0426818386380585</v>
      </c>
      <c r="DU201" s="6" t="str">
        <f t="shared" si="40"/>
        <v/>
      </c>
      <c r="DV201" s="6">
        <f t="shared" si="87"/>
        <v>0</v>
      </c>
      <c r="DW201" s="6">
        <f t="shared" si="42"/>
        <v>0</v>
      </c>
      <c r="DX201" s="16" t="str">
        <f t="shared" si="43"/>
        <v/>
      </c>
      <c r="DY201" s="28" t="str">
        <f>IF(DX201="","",DX201*$DO$1/'CPI USA'!$U$532+(1-DX201)*AVERAGE($DO$1,$DQ$1)/AVERAGE('CPI USA'!$U$532,'PPI USA'!$T$538))</f>
        <v/>
      </c>
      <c r="DZ201" s="30"/>
      <c r="EA201" s="29" t="str">
        <f t="shared" si="44"/>
        <v>C010388</v>
      </c>
      <c r="EB201" s="29" t="str">
        <f t="shared" si="45"/>
        <v/>
      </c>
      <c r="EC201" s="29" t="str">
        <f t="shared" si="46"/>
        <v/>
      </c>
      <c r="ED201" s="29" t="str">
        <f t="shared" si="47"/>
        <v/>
      </c>
      <c r="EE201" s="29" t="str">
        <f t="shared" si="48"/>
        <v/>
      </c>
      <c r="EF201" s="29" t="str">
        <f t="shared" si="49"/>
        <v/>
      </c>
      <c r="EG201" s="29" t="str">
        <f t="shared" si="50"/>
        <v/>
      </c>
      <c r="EH201" s="29" t="str">
        <f t="shared" si="51"/>
        <v/>
      </c>
      <c r="EI201" s="29" t="str">
        <f t="shared" si="52"/>
        <v/>
      </c>
      <c r="EJ201" s="29" t="str">
        <f t="shared" si="53"/>
        <v/>
      </c>
      <c r="EK201" s="29" t="str">
        <f t="shared" si="54"/>
        <v/>
      </c>
      <c r="EL201" s="29" t="str">
        <f>IF(CD201=1,VLOOKUP(EA201,'EIA 2023'!$A$2:$J$213,4,0)*EH201,"")</f>
        <v/>
      </c>
      <c r="EM201" s="29" t="str">
        <f>IF(CD201=1,VLOOKUP(EA201,'EIA 2023'!$A$2:$J$213,7,0)*EH201,"")</f>
        <v/>
      </c>
      <c r="EN201" s="29" t="str">
        <f>IF(CD201=1,VLOOKUP(EA201,'EIA 2023'!$A$2:$J$213,10,0),"")</f>
        <v/>
      </c>
      <c r="EO201" s="28" t="str">
        <f>IF(CD201=1,VLOOKUP(EA201,'EIA 2023'!$A$2:$Z$213,26,0),"")</f>
        <v/>
      </c>
      <c r="EP201" s="23" t="str">
        <f t="shared" si="55"/>
        <v/>
      </c>
      <c r="EQ201" s="32" t="str">
        <f t="shared" si="56"/>
        <v/>
      </c>
      <c r="ER201" s="32" t="str">
        <f t="shared" si="57"/>
        <v/>
      </c>
      <c r="ES201" s="32"/>
      <c r="ET201" s="32"/>
    </row>
    <row r="202" spans="1:150" ht="15.75" customHeight="1">
      <c r="A202" s="7" t="s">
        <v>817</v>
      </c>
      <c r="B202" s="7" t="s">
        <v>818</v>
      </c>
      <c r="C202" s="32" t="s">
        <v>1287</v>
      </c>
      <c r="D202" s="42">
        <v>0</v>
      </c>
      <c r="E202" s="42">
        <v>0</v>
      </c>
      <c r="F202" s="42">
        <v>0</v>
      </c>
      <c r="G202" s="42">
        <v>352312123</v>
      </c>
      <c r="H202" s="42">
        <v>352312123</v>
      </c>
      <c r="I202" s="42">
        <v>2681155</v>
      </c>
      <c r="J202" s="42">
        <v>1328695</v>
      </c>
      <c r="K202" s="42">
        <v>0</v>
      </c>
      <c r="L202" s="42">
        <v>715982</v>
      </c>
      <c r="M202" s="42">
        <v>0</v>
      </c>
      <c r="N202" s="42">
        <v>0</v>
      </c>
      <c r="O202" s="42">
        <v>530256</v>
      </c>
      <c r="P202" s="42">
        <v>0</v>
      </c>
      <c r="Q202" s="42">
        <v>0</v>
      </c>
      <c r="R202" s="42">
        <v>0</v>
      </c>
      <c r="S202" s="42">
        <v>533459</v>
      </c>
      <c r="T202" s="42">
        <v>1711991</v>
      </c>
      <c r="U202" s="42">
        <v>1155462</v>
      </c>
      <c r="V202" s="42">
        <v>4263</v>
      </c>
      <c r="W202" s="42">
        <v>0</v>
      </c>
      <c r="X202" s="42">
        <f>IFERROR(VLOOKUP(A202,'Trans 21-23'!$A$2:$J$229,10,0),0)</f>
        <v>0</v>
      </c>
      <c r="Y202" s="42">
        <v>797469</v>
      </c>
      <c r="Z202" s="42">
        <v>0</v>
      </c>
      <c r="AA202" s="42">
        <v>389882</v>
      </c>
      <c r="AB202" s="42">
        <v>214463</v>
      </c>
      <c r="AC202" s="42">
        <v>0</v>
      </c>
      <c r="AD202" s="42">
        <v>16289551</v>
      </c>
      <c r="AE202" s="42">
        <v>0</v>
      </c>
      <c r="AF202" s="42">
        <v>379585912</v>
      </c>
      <c r="AG202" s="42">
        <v>13627</v>
      </c>
      <c r="AH202" s="42">
        <v>142366</v>
      </c>
      <c r="AI202" s="42">
        <v>6116064</v>
      </c>
      <c r="AJ202" s="42">
        <v>2852</v>
      </c>
      <c r="AK202" s="42">
        <v>0</v>
      </c>
      <c r="AL202" s="42">
        <v>169964</v>
      </c>
      <c r="AM202" s="42">
        <v>1798028</v>
      </c>
      <c r="AN202" s="42">
        <v>4002854</v>
      </c>
      <c r="AO202" s="42">
        <v>0</v>
      </c>
      <c r="AP202" s="42">
        <v>0</v>
      </c>
      <c r="AQ202" s="42">
        <v>5970846</v>
      </c>
      <c r="AR202" s="42">
        <v>0</v>
      </c>
      <c r="AS202" s="42">
        <v>5970846</v>
      </c>
      <c r="AT202" s="42">
        <v>0</v>
      </c>
      <c r="AU202" s="42">
        <v>804</v>
      </c>
      <c r="AV202" s="42">
        <v>0</v>
      </c>
      <c r="AW202" s="42">
        <v>28371367</v>
      </c>
      <c r="AX202" s="42">
        <v>0</v>
      </c>
      <c r="AY202" s="42">
        <v>41921778</v>
      </c>
      <c r="AZ202" s="42">
        <v>10951522</v>
      </c>
      <c r="BA202" s="42">
        <v>0</v>
      </c>
      <c r="BB202" s="42">
        <v>174254242</v>
      </c>
      <c r="BC202" s="42">
        <v>244295304</v>
      </c>
      <c r="BD202" s="42">
        <v>41133960</v>
      </c>
      <c r="BE202" s="42">
        <v>84626217</v>
      </c>
      <c r="BF202" s="42">
        <v>8670701</v>
      </c>
      <c r="BG202" s="42">
        <v>0</v>
      </c>
      <c r="BH202" s="42">
        <v>4035265</v>
      </c>
      <c r="BI202" s="42">
        <v>152830</v>
      </c>
      <c r="BJ202" s="42">
        <v>102516</v>
      </c>
      <c r="BK202" s="42">
        <v>0</v>
      </c>
      <c r="BL202" s="42">
        <v>0</v>
      </c>
      <c r="BM202" s="42">
        <v>1310487</v>
      </c>
      <c r="BN202" s="42">
        <v>5718933</v>
      </c>
      <c r="BO202" s="42">
        <v>0</v>
      </c>
      <c r="BP202" s="42">
        <v>43137</v>
      </c>
      <c r="BQ202" s="42">
        <v>6714965</v>
      </c>
      <c r="BR202" s="42">
        <v>0</v>
      </c>
      <c r="BS202" s="42">
        <f>IFERROR(VLOOKUP(A202,'Trans 21-23'!$A$2:$J$229,9,0),0)</f>
        <v>0</v>
      </c>
      <c r="BT202" s="67"/>
      <c r="BU202" s="32">
        <f t="shared" si="0"/>
        <v>174254242</v>
      </c>
      <c r="BV202" s="32">
        <f t="shared" si="1"/>
        <v>804</v>
      </c>
      <c r="BW202" s="32">
        <f t="shared" si="2"/>
        <v>13627</v>
      </c>
      <c r="BX202" s="32">
        <f t="shared" si="3"/>
        <v>8661263</v>
      </c>
      <c r="BY202" s="32">
        <f t="shared" si="4"/>
        <v>1401814</v>
      </c>
      <c r="BZ202" s="32">
        <f t="shared" si="5"/>
        <v>10951522</v>
      </c>
      <c r="CA202" s="32">
        <f t="shared" si="6"/>
        <v>16289551</v>
      </c>
      <c r="CB202" s="32">
        <f t="shared" si="7"/>
        <v>142366</v>
      </c>
      <c r="CC202" s="32">
        <f t="shared" si="8"/>
        <v>5970846</v>
      </c>
      <c r="CD202" s="41">
        <f t="shared" si="74"/>
        <v>1</v>
      </c>
      <c r="CE202" s="44">
        <f t="shared" si="10"/>
        <v>28</v>
      </c>
      <c r="CF202" s="27"/>
      <c r="CG202" s="28">
        <f t="shared" si="11"/>
        <v>216.73413184079601</v>
      </c>
      <c r="CH202" s="28">
        <f t="shared" si="12"/>
        <v>59.00051368606443</v>
      </c>
      <c r="CI202" s="28">
        <f t="shared" si="13"/>
        <v>635.59572906729284</v>
      </c>
      <c r="CJ202" s="28">
        <f t="shared" si="14"/>
        <v>803.66346224407425</v>
      </c>
      <c r="CK202" s="23">
        <f t="shared" si="15"/>
        <v>2.3843522341725109E-2</v>
      </c>
      <c r="CL202" s="29" t="str">
        <f t="shared" si="16"/>
        <v/>
      </c>
      <c r="CM202" s="29">
        <f t="shared" si="17"/>
        <v>1</v>
      </c>
      <c r="CN202" s="29" t="str">
        <f t="shared" si="18"/>
        <v/>
      </c>
      <c r="CO202" s="29">
        <f t="shared" si="19"/>
        <v>1</v>
      </c>
      <c r="CP202" s="29" t="str">
        <f t="shared" si="20"/>
        <v/>
      </c>
      <c r="CQ202" s="29">
        <f t="shared" si="21"/>
        <v>2</v>
      </c>
      <c r="CR202" s="13"/>
      <c r="CS202" s="7" t="str">
        <f>VLOOKUP(A202,'Empresas 21-23'!$A$2:$M$228,13,0)</f>
        <v/>
      </c>
      <c r="CT202" s="30"/>
      <c r="CU202" s="6">
        <f t="shared" si="22"/>
        <v>138149653.19999999</v>
      </c>
      <c r="CV202" s="6">
        <f t="shared" si="23"/>
        <v>10951522</v>
      </c>
      <c r="CW202" s="6">
        <f t="shared" si="24"/>
        <v>41133960</v>
      </c>
      <c r="CX202" s="23">
        <f t="shared" si="88"/>
        <v>0.67999970112424535</v>
      </c>
      <c r="CY202" s="23">
        <f t="shared" si="89"/>
        <v>5.3905540219304715E-2</v>
      </c>
      <c r="CZ202" s="6">
        <f t="shared" si="27"/>
        <v>166120733.70605665</v>
      </c>
      <c r="DA202" s="6">
        <f t="shared" si="28"/>
        <v>13168870.335159272</v>
      </c>
      <c r="DB202" s="6">
        <f t="shared" si="29"/>
        <v>8661263</v>
      </c>
      <c r="DC202" s="6">
        <f t="shared" si="30"/>
        <v>8661263</v>
      </c>
      <c r="DD202" s="6">
        <f t="shared" si="31"/>
        <v>1401814</v>
      </c>
      <c r="DE202" s="6">
        <f t="shared" si="32"/>
        <v>16289551</v>
      </c>
      <c r="DF202" s="6">
        <f t="shared" si="86"/>
        <v>14923475.438935956</v>
      </c>
      <c r="DG202" s="30"/>
      <c r="DH202" s="32">
        <f>VLOOKUP(A202,'T_med_comp-USA'!$A$7:$Q$233,17,0)</f>
        <v>9.3101134575488942</v>
      </c>
      <c r="DI202" s="6" t="str">
        <f t="shared" si="34"/>
        <v>9_2014</v>
      </c>
      <c r="DJ202" s="32">
        <f>IF(DI202="","",VLOOKUP(DI202,'CPI USA'!$T:$U,2,FALSE))</f>
        <v>238.03100000000001</v>
      </c>
      <c r="DK202" s="32">
        <f>IF(DI202="","",VLOOKUP(DI202,'PPI USA'!$S:$T,2,FALSE))</f>
        <v>187.8</v>
      </c>
      <c r="DL202" s="32">
        <f>IF(DI202="","",VLOOKUP(DI202,'CPI USA'!$T:$V,3,FALSE))</f>
        <v>0.66756601812039096</v>
      </c>
      <c r="DM202" s="32">
        <f>IF(DI202="","",VLOOKUP(DI202,'CPI USA'!$T:$X,5,FALSE))</f>
        <v>0.49542529667095003</v>
      </c>
      <c r="DN202" s="32">
        <f t="shared" si="35"/>
        <v>1.3337530552252315</v>
      </c>
      <c r="DO202" s="32">
        <f t="shared" si="36"/>
        <v>1.3409310393170211</v>
      </c>
      <c r="DP202" s="32">
        <f t="shared" si="37"/>
        <v>0.46589798739514088</v>
      </c>
      <c r="DQ202" s="32">
        <f>IF(DP202="","",DP202*$DO$1/'CPI USA'!$U$532+(1-DP202)*AVERAGE($DO$1,$DQ$1)/AVERAGE('CPI USA'!$U$532,'PPI USA'!$T$538))</f>
        <v>1.0365452109215034</v>
      </c>
      <c r="DR202" s="6">
        <f t="shared" si="38"/>
        <v>255346</v>
      </c>
      <c r="DS202" s="32">
        <f t="shared" si="39"/>
        <v>0.2</v>
      </c>
      <c r="DT202" s="28">
        <f>IF(DS202="","",DS202*$DO$1/'CPI USA'!$U$532+(1-DS202)*AVERAGE($DO$1,$DQ$1)/AVERAGE('CPI USA'!$U$532,'PPI USA'!$T$538))</f>
        <v>1.0426818386380585</v>
      </c>
      <c r="DU202" s="6">
        <f t="shared" si="40"/>
        <v>1310487</v>
      </c>
      <c r="DV202" s="6">
        <f t="shared" si="87"/>
        <v>8473.0118520741235</v>
      </c>
      <c r="DW202" s="6">
        <f t="shared" si="42"/>
        <v>989545.48609201051</v>
      </c>
      <c r="DX202" s="16">
        <f t="shared" si="43"/>
        <v>0.2</v>
      </c>
      <c r="DY202" s="28">
        <f>IF(DX202="","",DX202*$DO$1/'CPI USA'!$U$532+(1-DX202)*AVERAGE($DO$1,$DQ$1)/AVERAGE('CPI USA'!$U$532,'PPI USA'!$T$538))</f>
        <v>1.0426818386380585</v>
      </c>
      <c r="DZ202" s="30"/>
      <c r="EA202" s="29" t="str">
        <f t="shared" si="44"/>
        <v>C010432</v>
      </c>
      <c r="EB202" s="29">
        <f t="shared" si="45"/>
        <v>221564036.11671016</v>
      </c>
      <c r="EC202" s="29">
        <f t="shared" si="46"/>
        <v>17658546.985156208</v>
      </c>
      <c r="ED202" s="29">
        <f t="shared" si="47"/>
        <v>8977790.6831816137</v>
      </c>
      <c r="EE202" s="29">
        <f t="shared" si="48"/>
        <v>1461645.9989485713</v>
      </c>
      <c r="EF202" s="29">
        <f t="shared" si="49"/>
        <v>15560436.80953965</v>
      </c>
      <c r="EG202" s="29">
        <f t="shared" si="50"/>
        <v>804</v>
      </c>
      <c r="EH202" s="29">
        <f t="shared" si="51"/>
        <v>13627</v>
      </c>
      <c r="EI202" s="29">
        <f t="shared" si="52"/>
        <v>142366</v>
      </c>
      <c r="EJ202" s="29">
        <f t="shared" si="53"/>
        <v>5970846</v>
      </c>
      <c r="EK202" s="29">
        <f t="shared" si="54"/>
        <v>6113212</v>
      </c>
      <c r="EL202" s="29">
        <f>IF(CD202=1,VLOOKUP(EA202,'EIA 2023'!$A$2:$J$213,4,0)*EH202,"")</f>
        <v>1942256.31</v>
      </c>
      <c r="EM202" s="29">
        <f>IF(CD202=1,VLOOKUP(EA202,'EIA 2023'!$A$2:$J$213,7,0)*EH202,"")</f>
        <v>16897.48</v>
      </c>
      <c r="EN202" s="29">
        <f>IF(CD202=1,VLOOKUP(EA202,'EIA 2023'!$A$2:$J$213,10,0),"")</f>
        <v>116</v>
      </c>
      <c r="EO202" s="28">
        <f>IF(CD202=1,VLOOKUP(EA202,'EIA 2023'!$A$2:$Z$213,26,0),"")</f>
        <v>0</v>
      </c>
      <c r="EP202" s="23">
        <f t="shared" si="55"/>
        <v>2.3288248469053585E-2</v>
      </c>
      <c r="EQ202" s="32">
        <f t="shared" si="56"/>
        <v>0</v>
      </c>
      <c r="ER202" s="32">
        <f t="shared" si="57"/>
        <v>142366</v>
      </c>
      <c r="ES202" s="32"/>
      <c r="ET202" s="32"/>
    </row>
    <row r="203" spans="1:150" ht="15.75" customHeight="1">
      <c r="A203" s="7" t="s">
        <v>820</v>
      </c>
      <c r="B203" s="7" t="s">
        <v>821</v>
      </c>
      <c r="C203" s="32" t="s">
        <v>1288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  <c r="M203" s="42">
        <v>0</v>
      </c>
      <c r="N203" s="42">
        <v>0</v>
      </c>
      <c r="O203" s="42">
        <v>0</v>
      </c>
      <c r="P203" s="42">
        <v>0</v>
      </c>
      <c r="Q203" s="42">
        <v>0</v>
      </c>
      <c r="R203" s="42">
        <v>0</v>
      </c>
      <c r="S203" s="42">
        <v>0</v>
      </c>
      <c r="T203" s="42">
        <v>0</v>
      </c>
      <c r="U203" s="42">
        <v>0</v>
      </c>
      <c r="V203" s="42">
        <v>0</v>
      </c>
      <c r="W203" s="42">
        <v>0</v>
      </c>
      <c r="X203" s="42">
        <f>IFERROR(VLOOKUP(A203,'Trans 21-23'!$A$2:$J$229,10,0),0)</f>
        <v>0</v>
      </c>
      <c r="Y203" s="42">
        <v>0</v>
      </c>
      <c r="Z203" s="42">
        <v>0</v>
      </c>
      <c r="AA203" s="42">
        <v>0</v>
      </c>
      <c r="AB203" s="42">
        <v>0</v>
      </c>
      <c r="AC203" s="42">
        <v>0</v>
      </c>
      <c r="AD203" s="42">
        <v>71870</v>
      </c>
      <c r="AE203" s="42">
        <v>0</v>
      </c>
      <c r="AF203" s="42">
        <v>312947</v>
      </c>
      <c r="AG203" s="42">
        <v>0</v>
      </c>
      <c r="AH203" s="42">
        <v>0</v>
      </c>
      <c r="AI203" s="42">
        <v>0</v>
      </c>
      <c r="AJ203" s="42">
        <v>0</v>
      </c>
      <c r="AK203" s="42">
        <v>0</v>
      </c>
      <c r="AL203" s="42">
        <v>0</v>
      </c>
      <c r="AM203" s="42">
        <v>0</v>
      </c>
      <c r="AN203" s="42">
        <v>0</v>
      </c>
      <c r="AO203" s="42">
        <v>0</v>
      </c>
      <c r="AP203" s="42">
        <v>0</v>
      </c>
      <c r="AQ203" s="42">
        <v>0</v>
      </c>
      <c r="AR203" s="42">
        <v>0</v>
      </c>
      <c r="AS203" s="42">
        <v>0</v>
      </c>
      <c r="AT203" s="42">
        <v>0</v>
      </c>
      <c r="AU203" s="42">
        <v>58</v>
      </c>
      <c r="AV203" s="42">
        <v>0</v>
      </c>
      <c r="AW203" s="42">
        <v>0</v>
      </c>
      <c r="AX203" s="42">
        <v>0</v>
      </c>
      <c r="AY203" s="42">
        <v>0</v>
      </c>
      <c r="AZ203" s="42">
        <v>0</v>
      </c>
      <c r="BA203" s="42">
        <v>0</v>
      </c>
      <c r="BB203" s="42">
        <v>0</v>
      </c>
      <c r="BC203" s="42">
        <v>0</v>
      </c>
      <c r="BD203" s="42">
        <v>0</v>
      </c>
      <c r="BE203" s="42">
        <v>0</v>
      </c>
      <c r="BF203" s="42">
        <v>0</v>
      </c>
      <c r="BG203" s="42">
        <v>0</v>
      </c>
      <c r="BH203" s="42">
        <v>0</v>
      </c>
      <c r="BI203" s="42">
        <v>0</v>
      </c>
      <c r="BJ203" s="42">
        <v>0</v>
      </c>
      <c r="BK203" s="42">
        <v>0</v>
      </c>
      <c r="BL203" s="42">
        <v>0</v>
      </c>
      <c r="BM203" s="42">
        <v>0</v>
      </c>
      <c r="BN203" s="42">
        <v>0</v>
      </c>
      <c r="BO203" s="42">
        <v>0</v>
      </c>
      <c r="BP203" s="42">
        <v>0</v>
      </c>
      <c r="BQ203" s="42">
        <v>0</v>
      </c>
      <c r="BR203" s="42">
        <v>0</v>
      </c>
      <c r="BS203" s="42">
        <f>IFERROR(VLOOKUP(A203,'Trans 21-23'!$A$2:$J$229,9,0),0)</f>
        <v>0</v>
      </c>
      <c r="BT203" s="67"/>
      <c r="BU203" s="32">
        <f t="shared" si="0"/>
        <v>0</v>
      </c>
      <c r="BV203" s="32">
        <f t="shared" si="1"/>
        <v>58</v>
      </c>
      <c r="BW203" s="32">
        <f t="shared" si="2"/>
        <v>0</v>
      </c>
      <c r="BX203" s="32">
        <f t="shared" si="3"/>
        <v>0</v>
      </c>
      <c r="BY203" s="32">
        <f t="shared" si="4"/>
        <v>0</v>
      </c>
      <c r="BZ203" s="32">
        <f t="shared" si="5"/>
        <v>0</v>
      </c>
      <c r="CA203" s="32">
        <f t="shared" si="6"/>
        <v>71870</v>
      </c>
      <c r="CB203" s="32">
        <f t="shared" si="7"/>
        <v>0</v>
      </c>
      <c r="CC203" s="32">
        <f t="shared" si="8"/>
        <v>0</v>
      </c>
      <c r="CD203" s="41">
        <f t="shared" si="74"/>
        <v>0</v>
      </c>
      <c r="CE203" s="44">
        <f t="shared" si="10"/>
        <v>65</v>
      </c>
      <c r="CF203" s="27"/>
      <c r="CG203" s="28" t="str">
        <f t="shared" si="11"/>
        <v/>
      </c>
      <c r="CH203" s="28" t="str">
        <f t="shared" si="12"/>
        <v/>
      </c>
      <c r="CI203" s="28" t="str">
        <f t="shared" si="13"/>
        <v/>
      </c>
      <c r="CJ203" s="28" t="str">
        <f t="shared" si="14"/>
        <v/>
      </c>
      <c r="CK203" s="23" t="str">
        <f t="shared" si="15"/>
        <v/>
      </c>
      <c r="CL203" s="29" t="str">
        <f t="shared" si="16"/>
        <v/>
      </c>
      <c r="CM203" s="29" t="str">
        <f t="shared" si="17"/>
        <v/>
      </c>
      <c r="CN203" s="29" t="str">
        <f t="shared" si="18"/>
        <v/>
      </c>
      <c r="CO203" s="29" t="str">
        <f t="shared" si="19"/>
        <v/>
      </c>
      <c r="CP203" s="29" t="str">
        <f t="shared" si="20"/>
        <v/>
      </c>
      <c r="CQ203" s="29" t="str">
        <f t="shared" si="21"/>
        <v/>
      </c>
      <c r="CR203" s="13"/>
      <c r="CS203" s="7" t="str">
        <f>VLOOKUP(A203,'Empresas 21-23'!$A$2:$M$228,13,0)</f>
        <v/>
      </c>
      <c r="CT203" s="30"/>
      <c r="CU203" s="6">
        <f t="shared" si="22"/>
        <v>0</v>
      </c>
      <c r="CV203" s="6">
        <f t="shared" si="23"/>
        <v>0</v>
      </c>
      <c r="CW203" s="6">
        <f t="shared" si="24"/>
        <v>0</v>
      </c>
      <c r="CX203" s="23" t="str">
        <f>IFERROR(CU203/(BC203-BD203),"")</f>
        <v/>
      </c>
      <c r="CY203" s="23" t="str">
        <f>IFERROR(CV203/(BC203-BD203),"")</f>
        <v/>
      </c>
      <c r="CZ203" s="6" t="e">
        <f t="shared" si="27"/>
        <v>#VALUE!</v>
      </c>
      <c r="DA203" s="6" t="e">
        <f t="shared" si="28"/>
        <v>#VALUE!</v>
      </c>
      <c r="DB203" s="6">
        <f t="shared" si="29"/>
        <v>0</v>
      </c>
      <c r="DC203" s="6">
        <f t="shared" si="30"/>
        <v>0</v>
      </c>
      <c r="DD203" s="6">
        <f t="shared" si="31"/>
        <v>0</v>
      </c>
      <c r="DE203" s="6">
        <f t="shared" si="32"/>
        <v>71870</v>
      </c>
      <c r="DF203" s="6">
        <f t="shared" si="86"/>
        <v>0</v>
      </c>
      <c r="DG203" s="30"/>
      <c r="DH203" s="32" t="str">
        <f>VLOOKUP(A203,'T_med_comp-USA'!$A$7:$Q$233,17,0)</f>
        <v>-</v>
      </c>
      <c r="DI203" s="6" t="str">
        <f t="shared" si="34"/>
        <v/>
      </c>
      <c r="DJ203" s="32" t="str">
        <f>IF(DI203="","",VLOOKUP(DI203,'CPI USA'!$T:$U,2,FALSE))</f>
        <v/>
      </c>
      <c r="DK203" s="32" t="str">
        <f>IF(DI203="","",VLOOKUP(DI203,'PPI USA'!$S:$T,2,FALSE))</f>
        <v/>
      </c>
      <c r="DL203" s="32" t="str">
        <f>IF(DI203="","",VLOOKUP(DI203,'CPI USA'!$T:$V,3,FALSE))</f>
        <v/>
      </c>
      <c r="DM203" s="32" t="str">
        <f>IF(DI203="","",VLOOKUP(DI203,'CPI USA'!$T:$X,5,FALSE))</f>
        <v/>
      </c>
      <c r="DN203" s="32" t="str">
        <f t="shared" si="35"/>
        <v/>
      </c>
      <c r="DO203" s="32" t="str">
        <f t="shared" si="36"/>
        <v/>
      </c>
      <c r="DP203" s="32" t="str">
        <f t="shared" si="37"/>
        <v/>
      </c>
      <c r="DQ203" s="32" t="str">
        <f>IF(DP203="","",DP203*$DO$1/'CPI USA'!$U$532+(1-DP203)*AVERAGE($DO$1,$DQ$1)/AVERAGE('CPI USA'!$U$532,'PPI USA'!$T$538))</f>
        <v/>
      </c>
      <c r="DR203" s="6">
        <f t="shared" si="38"/>
        <v>0</v>
      </c>
      <c r="DS203" s="32" t="str">
        <f t="shared" si="39"/>
        <v/>
      </c>
      <c r="DT203" s="28" t="str">
        <f>IF(DS203="","",DS203*$DO$1/'CPI USA'!$U$532+(1-DS203)*AVERAGE($DO$1,$DQ$1)/AVERAGE('CPI USA'!$U$532,'PPI USA'!$T$538))</f>
        <v/>
      </c>
      <c r="DU203" s="6" t="str">
        <f t="shared" si="40"/>
        <v/>
      </c>
      <c r="DV203" s="6" t="str">
        <f t="shared" si="87"/>
        <v/>
      </c>
      <c r="DW203" s="6">
        <f t="shared" si="42"/>
        <v>0</v>
      </c>
      <c r="DX203" s="16" t="e">
        <f t="shared" si="43"/>
        <v>#VALUE!</v>
      </c>
      <c r="DY203" s="28" t="e">
        <f>IF(DX203="","",DX203*$DO$1/'CPI USA'!$U$532+(1-DX203)*AVERAGE($DO$1,$DQ$1)/AVERAGE('CPI USA'!$U$532,'PPI USA'!$T$538))</f>
        <v>#VALUE!</v>
      </c>
      <c r="DZ203" s="30"/>
      <c r="EA203" s="29" t="str">
        <f t="shared" si="44"/>
        <v>C010446</v>
      </c>
      <c r="EB203" s="29" t="str">
        <f t="shared" si="45"/>
        <v/>
      </c>
      <c r="EC203" s="29" t="str">
        <f t="shared" si="46"/>
        <v/>
      </c>
      <c r="ED203" s="29" t="str">
        <f t="shared" si="47"/>
        <v/>
      </c>
      <c r="EE203" s="29" t="str">
        <f t="shared" si="48"/>
        <v/>
      </c>
      <c r="EF203" s="29" t="str">
        <f t="shared" si="49"/>
        <v/>
      </c>
      <c r="EG203" s="29" t="str">
        <f t="shared" si="50"/>
        <v/>
      </c>
      <c r="EH203" s="29" t="str">
        <f t="shared" si="51"/>
        <v/>
      </c>
      <c r="EI203" s="29" t="str">
        <f t="shared" si="52"/>
        <v/>
      </c>
      <c r="EJ203" s="29" t="str">
        <f t="shared" si="53"/>
        <v/>
      </c>
      <c r="EK203" s="29" t="str">
        <f t="shared" si="54"/>
        <v/>
      </c>
      <c r="EL203" s="29" t="str">
        <f>IF(CD203=1,VLOOKUP(EA203,'EIA 2023'!$A$2:$J$213,4,0)*EH203,"")</f>
        <v/>
      </c>
      <c r="EM203" s="29" t="str">
        <f>IF(CD203=1,VLOOKUP(EA203,'EIA 2023'!$A$2:$J$213,7,0)*EH203,"")</f>
        <v/>
      </c>
      <c r="EN203" s="29" t="str">
        <f>IF(CD203=1,VLOOKUP(EA203,'EIA 2023'!$A$2:$J$213,10,0),"")</f>
        <v/>
      </c>
      <c r="EO203" s="28" t="str">
        <f>IF(CD203=1,VLOOKUP(EA203,'EIA 2023'!$A$2:$Z$213,26,0),"")</f>
        <v/>
      </c>
      <c r="EP203" s="23" t="str">
        <f t="shared" si="55"/>
        <v/>
      </c>
      <c r="EQ203" s="32" t="str">
        <f t="shared" si="56"/>
        <v/>
      </c>
      <c r="ER203" s="32" t="str">
        <f t="shared" si="57"/>
        <v/>
      </c>
      <c r="ES203" s="32"/>
      <c r="ET203" s="32"/>
    </row>
    <row r="204" spans="1:150" ht="15.75" customHeight="1">
      <c r="A204" s="7" t="s">
        <v>823</v>
      </c>
      <c r="B204" s="7" t="s">
        <v>824</v>
      </c>
      <c r="C204" s="32" t="s">
        <v>1289</v>
      </c>
      <c r="D204" s="42">
        <v>0</v>
      </c>
      <c r="E204" s="42">
        <v>0</v>
      </c>
      <c r="F204" s="42">
        <v>0</v>
      </c>
      <c r="G204" s="42">
        <v>13274800</v>
      </c>
      <c r="H204" s="42">
        <v>13274800</v>
      </c>
      <c r="I204" s="42">
        <v>552100</v>
      </c>
      <c r="J204" s="42">
        <v>11800</v>
      </c>
      <c r="K204" s="42">
        <v>0</v>
      </c>
      <c r="L204" s="42">
        <v>540900</v>
      </c>
      <c r="M204" s="42">
        <v>199800</v>
      </c>
      <c r="N204" s="42">
        <v>66700</v>
      </c>
      <c r="O204" s="42">
        <v>1361000</v>
      </c>
      <c r="P204" s="42">
        <v>0</v>
      </c>
      <c r="Q204" s="42">
        <v>0</v>
      </c>
      <c r="R204" s="42">
        <v>0</v>
      </c>
      <c r="S204" s="42">
        <v>6700</v>
      </c>
      <c r="T204" s="42">
        <v>0</v>
      </c>
      <c r="U204" s="42">
        <v>19600</v>
      </c>
      <c r="V204" s="42">
        <v>9300</v>
      </c>
      <c r="W204" s="42">
        <v>856200</v>
      </c>
      <c r="X204" s="42">
        <f>IFERROR(VLOOKUP(A204,'Trans 21-23'!$A$2:$J$229,10,0),0)</f>
        <v>0</v>
      </c>
      <c r="Y204" s="42">
        <v>116600</v>
      </c>
      <c r="Z204" s="42">
        <v>3200</v>
      </c>
      <c r="AA204" s="42">
        <v>822200</v>
      </c>
      <c r="AB204" s="42">
        <v>0</v>
      </c>
      <c r="AC204" s="42">
        <v>20900</v>
      </c>
      <c r="AD204" s="42">
        <v>8191900</v>
      </c>
      <c r="AE204" s="42">
        <v>0</v>
      </c>
      <c r="AF204" s="42">
        <v>26393000</v>
      </c>
      <c r="AG204" s="42">
        <v>24728</v>
      </c>
      <c r="AH204" s="42">
        <v>27772</v>
      </c>
      <c r="AI204" s="42">
        <v>166626</v>
      </c>
      <c r="AJ204" s="42">
        <v>583</v>
      </c>
      <c r="AK204" s="42">
        <v>0</v>
      </c>
      <c r="AL204" s="42">
        <v>87570</v>
      </c>
      <c r="AM204" s="42">
        <v>33927</v>
      </c>
      <c r="AN204" s="42">
        <v>16686</v>
      </c>
      <c r="AO204" s="42">
        <v>88</v>
      </c>
      <c r="AP204" s="42">
        <v>0</v>
      </c>
      <c r="AQ204" s="42">
        <v>138271</v>
      </c>
      <c r="AR204" s="42">
        <v>0</v>
      </c>
      <c r="AS204" s="42">
        <v>138271</v>
      </c>
      <c r="AT204" s="42">
        <v>0</v>
      </c>
      <c r="AU204" s="42">
        <v>40</v>
      </c>
      <c r="AV204" s="42">
        <v>0</v>
      </c>
      <c r="AW204" s="42">
        <v>27702700</v>
      </c>
      <c r="AX204" s="42">
        <v>8868900</v>
      </c>
      <c r="AY204" s="42">
        <v>12267000</v>
      </c>
      <c r="AZ204" s="42">
        <v>6641400</v>
      </c>
      <c r="BA204" s="42">
        <v>540700</v>
      </c>
      <c r="BB204" s="42">
        <v>112319800</v>
      </c>
      <c r="BC204" s="42">
        <v>156471000</v>
      </c>
      <c r="BD204" s="42">
        <v>17375200</v>
      </c>
      <c r="BE204" s="42">
        <v>34809000</v>
      </c>
      <c r="BF204" s="42">
        <v>2355000</v>
      </c>
      <c r="BG204" s="42">
        <v>0</v>
      </c>
      <c r="BH204" s="42">
        <v>1592000</v>
      </c>
      <c r="BI204" s="42">
        <v>111000</v>
      </c>
      <c r="BJ204" s="42">
        <v>99000</v>
      </c>
      <c r="BK204" s="42">
        <v>254000</v>
      </c>
      <c r="BL204" s="42">
        <v>0</v>
      </c>
      <c r="BM204" s="42">
        <v>1659000</v>
      </c>
      <c r="BN204" s="42">
        <v>3745000</v>
      </c>
      <c r="BO204" s="42">
        <v>0</v>
      </c>
      <c r="BP204" s="42">
        <v>0</v>
      </c>
      <c r="BQ204" s="42">
        <v>6480000</v>
      </c>
      <c r="BR204" s="42">
        <v>0</v>
      </c>
      <c r="BS204" s="42">
        <f>IFERROR(VLOOKUP(A204,'Trans 21-23'!$A$2:$J$229,9,0),0)</f>
        <v>0</v>
      </c>
      <c r="BT204" s="67"/>
      <c r="BU204" s="32">
        <f t="shared" si="0"/>
        <v>112319800</v>
      </c>
      <c r="BV204" s="32">
        <f t="shared" si="1"/>
        <v>40</v>
      </c>
      <c r="BW204" s="32">
        <f t="shared" si="2"/>
        <v>24728</v>
      </c>
      <c r="BX204" s="32">
        <f t="shared" si="3"/>
        <v>3624100</v>
      </c>
      <c r="BY204" s="32">
        <f t="shared" si="4"/>
        <v>962900</v>
      </c>
      <c r="BZ204" s="32">
        <f t="shared" si="5"/>
        <v>6641400</v>
      </c>
      <c r="CA204" s="32">
        <f t="shared" si="6"/>
        <v>8191900</v>
      </c>
      <c r="CB204" s="32">
        <f t="shared" si="7"/>
        <v>27772</v>
      </c>
      <c r="CC204" s="32">
        <f t="shared" si="8"/>
        <v>138271</v>
      </c>
      <c r="CD204" s="41">
        <f t="shared" si="74"/>
        <v>1</v>
      </c>
      <c r="CE204" s="44">
        <f t="shared" si="10"/>
        <v>22</v>
      </c>
      <c r="CF204" s="27"/>
      <c r="CG204" s="28">
        <f t="shared" si="11"/>
        <v>2807.9949999999999</v>
      </c>
      <c r="CH204" s="28">
        <f t="shared" si="12"/>
        <v>1.6175994823681656</v>
      </c>
      <c r="CI204" s="28">
        <f t="shared" si="13"/>
        <v>146.55855710126173</v>
      </c>
      <c r="CJ204" s="28">
        <f t="shared" si="14"/>
        <v>268.57813005499838</v>
      </c>
      <c r="CK204" s="23">
        <f t="shared" si="15"/>
        <v>0.20085195015585336</v>
      </c>
      <c r="CL204" s="29" t="str">
        <f t="shared" si="16"/>
        <v/>
      </c>
      <c r="CM204" s="29" t="str">
        <f t="shared" si="17"/>
        <v/>
      </c>
      <c r="CN204" s="29" t="str">
        <f t="shared" si="18"/>
        <v/>
      </c>
      <c r="CO204" s="29" t="str">
        <f t="shared" si="19"/>
        <v/>
      </c>
      <c r="CP204" s="29" t="str">
        <f t="shared" si="20"/>
        <v/>
      </c>
      <c r="CQ204" s="29">
        <f t="shared" si="21"/>
        <v>0</v>
      </c>
      <c r="CR204" s="13"/>
      <c r="CS204" s="7" t="str">
        <f>VLOOKUP(A204,'Empresas 21-23'!$A$2:$M$228,13,0)</f>
        <v/>
      </c>
      <c r="CT204" s="30"/>
      <c r="CU204" s="6">
        <f t="shared" si="22"/>
        <v>92456160</v>
      </c>
      <c r="CV204" s="6">
        <f t="shared" si="23"/>
        <v>6641400</v>
      </c>
      <c r="CW204" s="6">
        <f t="shared" si="24"/>
        <v>17375200</v>
      </c>
      <c r="CX204" s="23">
        <f t="shared" ref="CX204:CX208" si="90">CU204/(BC204-BD204)</f>
        <v>0.66469411729182337</v>
      </c>
      <c r="CY204" s="23">
        <f t="shared" ref="CY204:CY208" si="91">CV204/(BC204-BD204)</f>
        <v>4.774694850599371E-2</v>
      </c>
      <c r="CZ204" s="6">
        <f t="shared" si="27"/>
        <v>104005353.22676888</v>
      </c>
      <c r="DA204" s="6">
        <f t="shared" si="28"/>
        <v>7471012.7796813417</v>
      </c>
      <c r="DB204" s="6">
        <f t="shared" si="29"/>
        <v>3624100</v>
      </c>
      <c r="DC204" s="6">
        <f t="shared" si="30"/>
        <v>3624100</v>
      </c>
      <c r="DD204" s="6">
        <f t="shared" si="31"/>
        <v>962900</v>
      </c>
      <c r="DE204" s="6">
        <f t="shared" si="32"/>
        <v>8191900</v>
      </c>
      <c r="DF204" s="6">
        <f t="shared" si="86"/>
        <v>7627681.0791060226</v>
      </c>
      <c r="DG204" s="30"/>
      <c r="DH204" s="32">
        <f>VLOOKUP(A204,'T_med_comp-USA'!$A$7:$Q$233,17,0)</f>
        <v>17.21004292946968</v>
      </c>
      <c r="DI204" s="6" t="str">
        <f t="shared" si="34"/>
        <v>10_2006</v>
      </c>
      <c r="DJ204" s="32">
        <f>IF(DI204="","",VLOOKUP(DI204,'CPI USA'!$T:$U,2,FALSE))</f>
        <v>201.6</v>
      </c>
      <c r="DK204" s="32">
        <f>IF(DI204="","",VLOOKUP(DI204,'PPI USA'!$S:$T,2,FALSE))</f>
        <v>145.30000000000001</v>
      </c>
      <c r="DL204" s="32">
        <f>IF(DI204="","",VLOOKUP(DI204,'CPI USA'!$T:$V,3,FALSE))</f>
        <v>0.67263024008352756</v>
      </c>
      <c r="DM204" s="32">
        <f>IF(DI204="","",VLOOKUP(DI204,'CPI USA'!$T:$X,5,FALSE))</f>
        <v>0.50115228263529643</v>
      </c>
      <c r="DN204" s="32">
        <f t="shared" si="35"/>
        <v>1.595396421204319</v>
      </c>
      <c r="DO204" s="32">
        <f t="shared" si="36"/>
        <v>1.6147712829199015</v>
      </c>
      <c r="DP204" s="32">
        <f t="shared" si="37"/>
        <v>0.43928147678044205</v>
      </c>
      <c r="DQ204" s="32">
        <f>IF(DP204="","",DP204*$DO$1/'CPI USA'!$U$532+(1-DP204)*AVERAGE($DO$1,$DQ$1)/AVERAGE('CPI USA'!$U$532,'PPI USA'!$T$538))</f>
        <v>1.0371594901733181</v>
      </c>
      <c r="DR204" s="6">
        <f t="shared" si="38"/>
        <v>464000</v>
      </c>
      <c r="DS204" s="32">
        <f t="shared" si="39"/>
        <v>0.4818776612316959</v>
      </c>
      <c r="DT204" s="28">
        <f>IF(DS204="","",DS204*$DO$1/'CPI USA'!$U$532+(1-DS204)*AVERAGE($DO$1,$DQ$1)/AVERAGE('CPI USA'!$U$532,'PPI USA'!$T$538))</f>
        <v>1.0361764179481996</v>
      </c>
      <c r="DU204" s="6">
        <f t="shared" si="40"/>
        <v>1659000</v>
      </c>
      <c r="DV204" s="6">
        <f t="shared" si="87"/>
        <v>0</v>
      </c>
      <c r="DW204" s="6">
        <f t="shared" si="42"/>
        <v>910788.78504672891</v>
      </c>
      <c r="DX204" s="16">
        <f t="shared" si="43"/>
        <v>0.2</v>
      </c>
      <c r="DY204" s="28">
        <f>IF(DX204="","",DX204*$DO$1/'CPI USA'!$U$532+(1-DX204)*AVERAGE($DO$1,$DQ$1)/AVERAGE('CPI USA'!$U$532,'PPI USA'!$T$538))</f>
        <v>1.0426818386380585</v>
      </c>
      <c r="DZ204" s="30"/>
      <c r="EA204" s="29" t="str">
        <f t="shared" si="44"/>
        <v>C010464</v>
      </c>
      <c r="EB204" s="29">
        <f t="shared" si="45"/>
        <v>165929768.32407814</v>
      </c>
      <c r="EC204" s="29">
        <f t="shared" si="46"/>
        <v>12063976.89095702</v>
      </c>
      <c r="ED204" s="29">
        <f t="shared" si="47"/>
        <v>3758769.7083371221</v>
      </c>
      <c r="EE204" s="29">
        <f t="shared" si="48"/>
        <v>997734.27284232143</v>
      </c>
      <c r="EF204" s="29">
        <f t="shared" si="49"/>
        <v>7953244.5321069984</v>
      </c>
      <c r="EG204" s="29">
        <f t="shared" si="50"/>
        <v>40</v>
      </c>
      <c r="EH204" s="29">
        <f t="shared" si="51"/>
        <v>24728</v>
      </c>
      <c r="EI204" s="29">
        <f t="shared" si="52"/>
        <v>27772</v>
      </c>
      <c r="EJ204" s="29">
        <f t="shared" si="53"/>
        <v>138271</v>
      </c>
      <c r="EK204" s="29">
        <f t="shared" si="54"/>
        <v>166043</v>
      </c>
      <c r="EL204" s="29">
        <f>IF(CD204=1,VLOOKUP(EA204,'EIA 2023'!$A$2:$J$213,4,0)*EH204,"")</f>
        <v>2831454.912</v>
      </c>
      <c r="EM204" s="29">
        <f>IF(CD204=1,VLOOKUP(EA204,'EIA 2023'!$A$2:$J$213,7,0)*EH204,"")</f>
        <v>81874.407999999996</v>
      </c>
      <c r="EN204" s="29">
        <f>IF(CD204=1,VLOOKUP(EA204,'EIA 2023'!$A$2:$J$213,10,0),"")</f>
        <v>24994</v>
      </c>
      <c r="EO204" s="28">
        <f>IF(CD204=1,VLOOKUP(EA204,'EIA 2023'!$A$2:$Z$213,26,0),"")</f>
        <v>0</v>
      </c>
      <c r="EP204" s="23">
        <f t="shared" si="55"/>
        <v>0.16725787898315497</v>
      </c>
      <c r="EQ204" s="32">
        <f t="shared" si="56"/>
        <v>0</v>
      </c>
      <c r="ER204" s="32">
        <f t="shared" si="57"/>
        <v>27772</v>
      </c>
      <c r="ES204" s="32"/>
      <c r="ET204" s="32"/>
    </row>
    <row r="205" spans="1:150" ht="15.75" customHeight="1">
      <c r="A205" s="7" t="s">
        <v>826</v>
      </c>
      <c r="B205" s="7" t="s">
        <v>827</v>
      </c>
      <c r="C205" s="32" t="s">
        <v>1290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f>IFERROR(VLOOKUP(A205,'Trans 21-23'!$A$2:$J$229,10,0),0)</f>
        <v>0</v>
      </c>
      <c r="Y205" s="42">
        <v>0</v>
      </c>
      <c r="Z205" s="42">
        <v>0</v>
      </c>
      <c r="AA205" s="42">
        <v>0</v>
      </c>
      <c r="AB205" s="42">
        <v>0</v>
      </c>
      <c r="AC205" s="42">
        <v>0</v>
      </c>
      <c r="AD205" s="42">
        <v>4375397</v>
      </c>
      <c r="AE205" s="42">
        <v>0</v>
      </c>
      <c r="AF205" s="42">
        <v>13434046</v>
      </c>
      <c r="AG205" s="42">
        <v>0</v>
      </c>
      <c r="AH205" s="42">
        <v>0</v>
      </c>
      <c r="AI205" s="42">
        <v>0</v>
      </c>
      <c r="AJ205" s="42">
        <v>0</v>
      </c>
      <c r="AK205" s="42">
        <v>0</v>
      </c>
      <c r="AL205" s="42">
        <v>0</v>
      </c>
      <c r="AM205" s="42">
        <v>0</v>
      </c>
      <c r="AN205" s="42">
        <v>0</v>
      </c>
      <c r="AO205" s="42">
        <v>0</v>
      </c>
      <c r="AP205" s="42">
        <v>0</v>
      </c>
      <c r="AQ205" s="42">
        <v>0</v>
      </c>
      <c r="AR205" s="42">
        <v>0</v>
      </c>
      <c r="AS205" s="42">
        <v>0</v>
      </c>
      <c r="AT205" s="42">
        <v>0</v>
      </c>
      <c r="AU205" s="42">
        <v>0</v>
      </c>
      <c r="AV205" s="42">
        <v>0</v>
      </c>
      <c r="AW205" s="42">
        <v>0</v>
      </c>
      <c r="AX205" s="42">
        <v>0</v>
      </c>
      <c r="AY205" s="42">
        <v>0</v>
      </c>
      <c r="AZ205" s="42">
        <v>0</v>
      </c>
      <c r="BA205" s="42">
        <v>0</v>
      </c>
      <c r="BB205" s="42">
        <v>0</v>
      </c>
      <c r="BC205" s="42">
        <v>450220123</v>
      </c>
      <c r="BD205" s="42">
        <v>12373870</v>
      </c>
      <c r="BE205" s="42">
        <v>0</v>
      </c>
      <c r="BF205" s="42">
        <v>0</v>
      </c>
      <c r="BG205" s="42">
        <v>0</v>
      </c>
      <c r="BH205" s="42">
        <v>0</v>
      </c>
      <c r="BI205" s="42">
        <v>0</v>
      </c>
      <c r="BJ205" s="42">
        <v>0</v>
      </c>
      <c r="BK205" s="42">
        <v>0</v>
      </c>
      <c r="BL205" s="42">
        <v>0</v>
      </c>
      <c r="BM205" s="42">
        <v>0</v>
      </c>
      <c r="BN205" s="42">
        <v>0</v>
      </c>
      <c r="BO205" s="42">
        <v>0</v>
      </c>
      <c r="BP205" s="42">
        <v>0</v>
      </c>
      <c r="BQ205" s="42">
        <v>0</v>
      </c>
      <c r="BR205" s="42">
        <v>0</v>
      </c>
      <c r="BS205" s="42">
        <f>IFERROR(VLOOKUP(A205,'Trans 21-23'!$A$2:$J$229,9,0),0)</f>
        <v>0</v>
      </c>
      <c r="BT205" s="67"/>
      <c r="BU205" s="32">
        <f t="shared" si="0"/>
        <v>0</v>
      </c>
      <c r="BV205" s="32">
        <f t="shared" si="1"/>
        <v>0</v>
      </c>
      <c r="BW205" s="32">
        <f t="shared" si="2"/>
        <v>0</v>
      </c>
      <c r="BX205" s="32">
        <f t="shared" si="3"/>
        <v>0</v>
      </c>
      <c r="BY205" s="32">
        <f t="shared" si="4"/>
        <v>0</v>
      </c>
      <c r="BZ205" s="32">
        <f t="shared" si="5"/>
        <v>0</v>
      </c>
      <c r="CA205" s="32">
        <f t="shared" si="6"/>
        <v>4375397</v>
      </c>
      <c r="CB205" s="32">
        <f t="shared" si="7"/>
        <v>0</v>
      </c>
      <c r="CC205" s="32">
        <f t="shared" si="8"/>
        <v>0</v>
      </c>
      <c r="CD205" s="41">
        <f t="shared" si="74"/>
        <v>0</v>
      </c>
      <c r="CE205" s="44">
        <f t="shared" si="10"/>
        <v>64</v>
      </c>
      <c r="CF205" s="27"/>
      <c r="CG205" s="28" t="str">
        <f t="shared" si="11"/>
        <v/>
      </c>
      <c r="CH205" s="28" t="str">
        <f t="shared" si="12"/>
        <v/>
      </c>
      <c r="CI205" s="28" t="str">
        <f t="shared" si="13"/>
        <v/>
      </c>
      <c r="CJ205" s="28" t="str">
        <f t="shared" si="14"/>
        <v/>
      </c>
      <c r="CK205" s="23" t="str">
        <f t="shared" si="15"/>
        <v/>
      </c>
      <c r="CL205" s="29" t="str">
        <f t="shared" si="16"/>
        <v/>
      </c>
      <c r="CM205" s="29" t="str">
        <f t="shared" si="17"/>
        <v/>
      </c>
      <c r="CN205" s="29" t="str">
        <f t="shared" si="18"/>
        <v/>
      </c>
      <c r="CO205" s="29" t="str">
        <f t="shared" si="19"/>
        <v/>
      </c>
      <c r="CP205" s="29" t="str">
        <f t="shared" si="20"/>
        <v/>
      </c>
      <c r="CQ205" s="29" t="str">
        <f t="shared" si="21"/>
        <v/>
      </c>
      <c r="CR205" s="13"/>
      <c r="CS205" s="7" t="str">
        <f>VLOOKUP(A205,'Empresas 21-23'!$A$2:$M$228,13,0)</f>
        <v/>
      </c>
      <c r="CT205" s="30"/>
      <c r="CU205" s="6">
        <f t="shared" si="22"/>
        <v>0</v>
      </c>
      <c r="CV205" s="6">
        <f t="shared" si="23"/>
        <v>0</v>
      </c>
      <c r="CW205" s="6">
        <f t="shared" si="24"/>
        <v>12373870</v>
      </c>
      <c r="CX205" s="23">
        <f t="shared" si="90"/>
        <v>0</v>
      </c>
      <c r="CY205" s="23">
        <f t="shared" si="91"/>
        <v>0</v>
      </c>
      <c r="CZ205" s="6">
        <f t="shared" si="27"/>
        <v>0</v>
      </c>
      <c r="DA205" s="6">
        <f t="shared" si="28"/>
        <v>0</v>
      </c>
      <c r="DB205" s="6">
        <f t="shared" si="29"/>
        <v>0</v>
      </c>
      <c r="DC205" s="6">
        <f t="shared" si="30"/>
        <v>0</v>
      </c>
      <c r="DD205" s="6">
        <f t="shared" si="31"/>
        <v>0</v>
      </c>
      <c r="DE205" s="6">
        <f t="shared" si="32"/>
        <v>4375397</v>
      </c>
      <c r="DF205" s="6">
        <f t="shared" si="86"/>
        <v>0</v>
      </c>
      <c r="DG205" s="30"/>
      <c r="DH205" s="32" t="str">
        <f>VLOOKUP(A205,'T_med_comp-USA'!$A$7:$Q$233,17,0)</f>
        <v>-</v>
      </c>
      <c r="DI205" s="6" t="str">
        <f t="shared" si="34"/>
        <v/>
      </c>
      <c r="DJ205" s="32" t="str">
        <f>IF(DI205="","",VLOOKUP(DI205,'CPI USA'!$T:$U,2,FALSE))</f>
        <v/>
      </c>
      <c r="DK205" s="32" t="str">
        <f>IF(DI205="","",VLOOKUP(DI205,'PPI USA'!$S:$T,2,FALSE))</f>
        <v/>
      </c>
      <c r="DL205" s="32" t="str">
        <f>IF(DI205="","",VLOOKUP(DI205,'CPI USA'!$T:$V,3,FALSE))</f>
        <v/>
      </c>
      <c r="DM205" s="32" t="str">
        <f>IF(DI205="","",VLOOKUP(DI205,'CPI USA'!$T:$X,5,FALSE))</f>
        <v/>
      </c>
      <c r="DN205" s="32" t="str">
        <f t="shared" si="35"/>
        <v/>
      </c>
      <c r="DO205" s="32" t="str">
        <f t="shared" si="36"/>
        <v/>
      </c>
      <c r="DP205" s="32" t="str">
        <f t="shared" si="37"/>
        <v/>
      </c>
      <c r="DQ205" s="32" t="str">
        <f>IF(DP205="","",DP205*$DO$1/'CPI USA'!$U$532+(1-DP205)*AVERAGE($DO$1,$DQ$1)/AVERAGE('CPI USA'!$U$532,'PPI USA'!$T$538))</f>
        <v/>
      </c>
      <c r="DR205" s="6">
        <f t="shared" si="38"/>
        <v>0</v>
      </c>
      <c r="DS205" s="32" t="str">
        <f t="shared" si="39"/>
        <v/>
      </c>
      <c r="DT205" s="28" t="str">
        <f>IF(DS205="","",DS205*$DO$1/'CPI USA'!$U$532+(1-DS205)*AVERAGE($DO$1,$DQ$1)/AVERAGE('CPI USA'!$U$532,'PPI USA'!$T$538))</f>
        <v/>
      </c>
      <c r="DU205" s="6" t="str">
        <f t="shared" si="40"/>
        <v/>
      </c>
      <c r="DV205" s="6" t="str">
        <f t="shared" si="87"/>
        <v/>
      </c>
      <c r="DW205" s="6">
        <f t="shared" si="42"/>
        <v>0</v>
      </c>
      <c r="DX205" s="16" t="str">
        <f t="shared" si="43"/>
        <v/>
      </c>
      <c r="DY205" s="28" t="str">
        <f>IF(DX205="","",DX205*$DO$1/'CPI USA'!$U$532+(1-DX205)*AVERAGE($DO$1,$DQ$1)/AVERAGE('CPI USA'!$U$532,'PPI USA'!$T$538))</f>
        <v/>
      </c>
      <c r="DZ205" s="30"/>
      <c r="EA205" s="29" t="str">
        <f t="shared" si="44"/>
        <v>C010473</v>
      </c>
      <c r="EB205" s="29" t="str">
        <f t="shared" si="45"/>
        <v/>
      </c>
      <c r="EC205" s="29" t="str">
        <f t="shared" si="46"/>
        <v/>
      </c>
      <c r="ED205" s="29" t="str">
        <f t="shared" si="47"/>
        <v/>
      </c>
      <c r="EE205" s="29" t="str">
        <f t="shared" si="48"/>
        <v/>
      </c>
      <c r="EF205" s="29" t="str">
        <f t="shared" si="49"/>
        <v/>
      </c>
      <c r="EG205" s="29" t="str">
        <f t="shared" si="50"/>
        <v/>
      </c>
      <c r="EH205" s="29" t="str">
        <f t="shared" si="51"/>
        <v/>
      </c>
      <c r="EI205" s="29" t="str">
        <f t="shared" si="52"/>
        <v/>
      </c>
      <c r="EJ205" s="29" t="str">
        <f t="shared" si="53"/>
        <v/>
      </c>
      <c r="EK205" s="29" t="str">
        <f t="shared" si="54"/>
        <v/>
      </c>
      <c r="EL205" s="29" t="str">
        <f>IF(CD205=1,VLOOKUP(EA205,'EIA 2023'!$A$2:$J$213,4,0)*EH205,"")</f>
        <v/>
      </c>
      <c r="EM205" s="29" t="str">
        <f>IF(CD205=1,VLOOKUP(EA205,'EIA 2023'!$A$2:$J$213,7,0)*EH205,"")</f>
        <v/>
      </c>
      <c r="EN205" s="29" t="str">
        <f>IF(CD205=1,VLOOKUP(EA205,'EIA 2023'!$A$2:$J$213,10,0),"")</f>
        <v/>
      </c>
      <c r="EO205" s="28" t="str">
        <f>IF(CD205=1,VLOOKUP(EA205,'EIA 2023'!$A$2:$Z$213,26,0),"")</f>
        <v/>
      </c>
      <c r="EP205" s="23" t="str">
        <f t="shared" si="55"/>
        <v/>
      </c>
      <c r="EQ205" s="32" t="str">
        <f t="shared" si="56"/>
        <v/>
      </c>
      <c r="ER205" s="32" t="str">
        <f t="shared" si="57"/>
        <v/>
      </c>
      <c r="ES205" s="32"/>
      <c r="ET205" s="32"/>
    </row>
    <row r="206" spans="1:150" ht="15.75" customHeight="1">
      <c r="A206" s="7" t="s">
        <v>829</v>
      </c>
      <c r="B206" s="7" t="s">
        <v>830</v>
      </c>
      <c r="C206" s="32" t="s">
        <v>1291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0</v>
      </c>
      <c r="U206" s="42">
        <v>0</v>
      </c>
      <c r="V206" s="42">
        <v>0</v>
      </c>
      <c r="W206" s="42">
        <v>0</v>
      </c>
      <c r="X206" s="42">
        <f>IFERROR(VLOOKUP(A206,'Trans 21-23'!$A$2:$J$229,10,0),0)</f>
        <v>0</v>
      </c>
      <c r="Y206" s="42">
        <v>0</v>
      </c>
      <c r="Z206" s="42">
        <v>0</v>
      </c>
      <c r="AA206" s="42">
        <v>0</v>
      </c>
      <c r="AB206" s="42">
        <v>0</v>
      </c>
      <c r="AC206" s="42">
        <v>0</v>
      </c>
      <c r="AD206" s="42">
        <v>45441849</v>
      </c>
      <c r="AE206" s="42">
        <v>0</v>
      </c>
      <c r="AF206" s="42">
        <v>166652557</v>
      </c>
      <c r="AG206" s="42">
        <v>0</v>
      </c>
      <c r="AH206" s="42">
        <v>0</v>
      </c>
      <c r="AI206" s="42">
        <v>0</v>
      </c>
      <c r="AJ206" s="42">
        <v>0</v>
      </c>
      <c r="AK206" s="42">
        <v>0</v>
      </c>
      <c r="AL206" s="42">
        <v>0</v>
      </c>
      <c r="AM206" s="42">
        <v>0</v>
      </c>
      <c r="AN206" s="42">
        <v>0</v>
      </c>
      <c r="AO206" s="42">
        <v>0</v>
      </c>
      <c r="AP206" s="42">
        <v>0</v>
      </c>
      <c r="AQ206" s="42">
        <v>0</v>
      </c>
      <c r="AR206" s="42">
        <v>0</v>
      </c>
      <c r="AS206" s="42">
        <v>0</v>
      </c>
      <c r="AT206" s="42">
        <v>0</v>
      </c>
      <c r="AU206" s="42">
        <v>0</v>
      </c>
      <c r="AV206" s="42">
        <v>0</v>
      </c>
      <c r="AW206" s="42">
        <v>0</v>
      </c>
      <c r="AX206" s="42">
        <v>0</v>
      </c>
      <c r="AY206" s="42">
        <v>0</v>
      </c>
      <c r="AZ206" s="42">
        <v>0</v>
      </c>
      <c r="BA206" s="42">
        <v>0</v>
      </c>
      <c r="BB206" s="42">
        <v>0</v>
      </c>
      <c r="BC206" s="42">
        <v>7803001885</v>
      </c>
      <c r="BD206" s="42">
        <v>362464009</v>
      </c>
      <c r="BE206" s="42">
        <v>0</v>
      </c>
      <c r="BF206" s="42">
        <v>0</v>
      </c>
      <c r="BG206" s="42">
        <v>0</v>
      </c>
      <c r="BH206" s="42">
        <v>0</v>
      </c>
      <c r="BI206" s="42">
        <v>0</v>
      </c>
      <c r="BJ206" s="42">
        <v>0</v>
      </c>
      <c r="BK206" s="42">
        <v>0</v>
      </c>
      <c r="BL206" s="42">
        <v>0</v>
      </c>
      <c r="BM206" s="42">
        <v>41484615</v>
      </c>
      <c r="BN206" s="42">
        <v>104736588</v>
      </c>
      <c r="BO206" s="42">
        <v>35370988</v>
      </c>
      <c r="BP206" s="42">
        <v>0</v>
      </c>
      <c r="BQ206" s="42">
        <v>104736588</v>
      </c>
      <c r="BR206" s="42">
        <v>0</v>
      </c>
      <c r="BS206" s="42">
        <f>IFERROR(VLOOKUP(A206,'Trans 21-23'!$A$2:$J$229,9,0),0)</f>
        <v>0</v>
      </c>
      <c r="BT206" s="67"/>
      <c r="BU206" s="32">
        <f t="shared" si="0"/>
        <v>0</v>
      </c>
      <c r="BV206" s="32">
        <f t="shared" si="1"/>
        <v>0</v>
      </c>
      <c r="BW206" s="32">
        <f t="shared" si="2"/>
        <v>0</v>
      </c>
      <c r="BX206" s="32">
        <f t="shared" si="3"/>
        <v>0</v>
      </c>
      <c r="BY206" s="32">
        <f t="shared" si="4"/>
        <v>0</v>
      </c>
      <c r="BZ206" s="32">
        <f t="shared" si="5"/>
        <v>0</v>
      </c>
      <c r="CA206" s="32">
        <f t="shared" si="6"/>
        <v>45441849</v>
      </c>
      <c r="CB206" s="32">
        <f t="shared" si="7"/>
        <v>0</v>
      </c>
      <c r="CC206" s="32">
        <f t="shared" si="8"/>
        <v>0</v>
      </c>
      <c r="CD206" s="41">
        <f t="shared" si="74"/>
        <v>0</v>
      </c>
      <c r="CE206" s="44">
        <f t="shared" si="10"/>
        <v>60</v>
      </c>
      <c r="CF206" s="27"/>
      <c r="CG206" s="28" t="str">
        <f t="shared" si="11"/>
        <v/>
      </c>
      <c r="CH206" s="28" t="str">
        <f t="shared" si="12"/>
        <v/>
      </c>
      <c r="CI206" s="28" t="str">
        <f t="shared" si="13"/>
        <v/>
      </c>
      <c r="CJ206" s="28" t="str">
        <f t="shared" si="14"/>
        <v/>
      </c>
      <c r="CK206" s="23" t="str">
        <f t="shared" si="15"/>
        <v/>
      </c>
      <c r="CL206" s="29" t="str">
        <f t="shared" si="16"/>
        <v/>
      </c>
      <c r="CM206" s="29" t="str">
        <f t="shared" si="17"/>
        <v/>
      </c>
      <c r="CN206" s="29" t="str">
        <f t="shared" si="18"/>
        <v/>
      </c>
      <c r="CO206" s="29" t="str">
        <f t="shared" si="19"/>
        <v/>
      </c>
      <c r="CP206" s="29" t="str">
        <f t="shared" si="20"/>
        <v/>
      </c>
      <c r="CQ206" s="29" t="str">
        <f t="shared" si="21"/>
        <v/>
      </c>
      <c r="CR206" s="13"/>
      <c r="CS206" s="7" t="str">
        <f>VLOOKUP(A206,'Empresas 21-23'!$A$2:$M$228,13,0)</f>
        <v/>
      </c>
      <c r="CT206" s="30"/>
      <c r="CU206" s="6">
        <f t="shared" si="22"/>
        <v>0</v>
      </c>
      <c r="CV206" s="6">
        <f t="shared" si="23"/>
        <v>0</v>
      </c>
      <c r="CW206" s="6">
        <f t="shared" si="24"/>
        <v>362464009</v>
      </c>
      <c r="CX206" s="23">
        <f t="shared" si="90"/>
        <v>0</v>
      </c>
      <c r="CY206" s="23">
        <f t="shared" si="91"/>
        <v>0</v>
      </c>
      <c r="CZ206" s="6">
        <f t="shared" si="27"/>
        <v>0</v>
      </c>
      <c r="DA206" s="6">
        <f t="shared" si="28"/>
        <v>0</v>
      </c>
      <c r="DB206" s="6">
        <f t="shared" si="29"/>
        <v>0</v>
      </c>
      <c r="DC206" s="6">
        <f t="shared" si="30"/>
        <v>0</v>
      </c>
      <c r="DD206" s="6">
        <f t="shared" si="31"/>
        <v>0</v>
      </c>
      <c r="DE206" s="6">
        <f t="shared" si="32"/>
        <v>45441849</v>
      </c>
      <c r="DF206" s="6">
        <f t="shared" si="86"/>
        <v>0</v>
      </c>
      <c r="DG206" s="30"/>
      <c r="DH206" s="32" t="str">
        <f>VLOOKUP(A206,'T_med_comp-USA'!$A$7:$Q$233,17,0)</f>
        <v>-</v>
      </c>
      <c r="DI206" s="6" t="str">
        <f t="shared" si="34"/>
        <v/>
      </c>
      <c r="DJ206" s="32" t="str">
        <f>IF(DI206="","",VLOOKUP(DI206,'CPI USA'!$T:$U,2,FALSE))</f>
        <v/>
      </c>
      <c r="DK206" s="32" t="str">
        <f>IF(DI206="","",VLOOKUP(DI206,'PPI USA'!$S:$T,2,FALSE))</f>
        <v/>
      </c>
      <c r="DL206" s="32" t="str">
        <f>IF(DI206="","",VLOOKUP(DI206,'CPI USA'!$T:$V,3,FALSE))</f>
        <v/>
      </c>
      <c r="DM206" s="32" t="str">
        <f>IF(DI206="","",VLOOKUP(DI206,'CPI USA'!$T:$X,5,FALSE))</f>
        <v/>
      </c>
      <c r="DN206" s="32" t="str">
        <f t="shared" si="35"/>
        <v/>
      </c>
      <c r="DO206" s="32" t="str">
        <f t="shared" si="36"/>
        <v/>
      </c>
      <c r="DP206" s="32" t="str">
        <f t="shared" si="37"/>
        <v/>
      </c>
      <c r="DQ206" s="32" t="str">
        <f>IF(DP206="","",DP206*$DO$1/'CPI USA'!$U$532+(1-DP206)*AVERAGE($DO$1,$DQ$1)/AVERAGE('CPI USA'!$U$532,'PPI USA'!$T$538))</f>
        <v/>
      </c>
      <c r="DR206" s="6">
        <f t="shared" si="38"/>
        <v>0</v>
      </c>
      <c r="DS206" s="32" t="str">
        <f t="shared" si="39"/>
        <v/>
      </c>
      <c r="DT206" s="28" t="str">
        <f>IF(DS206="","",DS206*$DO$1/'CPI USA'!$U$532+(1-DS206)*AVERAGE($DO$1,$DQ$1)/AVERAGE('CPI USA'!$U$532,'PPI USA'!$T$538))</f>
        <v/>
      </c>
      <c r="DU206" s="6" t="str">
        <f t="shared" si="40"/>
        <v/>
      </c>
      <c r="DV206" s="6">
        <f t="shared" si="87"/>
        <v>0</v>
      </c>
      <c r="DW206" s="6">
        <f t="shared" si="42"/>
        <v>0</v>
      </c>
      <c r="DX206" s="16" t="str">
        <f t="shared" si="43"/>
        <v/>
      </c>
      <c r="DY206" s="28" t="str">
        <f>IF(DX206="","",DX206*$DO$1/'CPI USA'!$U$532+(1-DX206)*AVERAGE($DO$1,$DQ$1)/AVERAGE('CPI USA'!$U$532,'PPI USA'!$T$538))</f>
        <v/>
      </c>
      <c r="DZ206" s="30"/>
      <c r="EA206" s="29" t="str">
        <f t="shared" si="44"/>
        <v>C010474</v>
      </c>
      <c r="EB206" s="29" t="str">
        <f t="shared" si="45"/>
        <v/>
      </c>
      <c r="EC206" s="29" t="str">
        <f t="shared" si="46"/>
        <v/>
      </c>
      <c r="ED206" s="29" t="str">
        <f t="shared" si="47"/>
        <v/>
      </c>
      <c r="EE206" s="29" t="str">
        <f t="shared" si="48"/>
        <v/>
      </c>
      <c r="EF206" s="29" t="str">
        <f t="shared" si="49"/>
        <v/>
      </c>
      <c r="EG206" s="29" t="str">
        <f t="shared" si="50"/>
        <v/>
      </c>
      <c r="EH206" s="29" t="str">
        <f t="shared" si="51"/>
        <v/>
      </c>
      <c r="EI206" s="29" t="str">
        <f t="shared" si="52"/>
        <v/>
      </c>
      <c r="EJ206" s="29" t="str">
        <f t="shared" si="53"/>
        <v/>
      </c>
      <c r="EK206" s="29" t="str">
        <f t="shared" si="54"/>
        <v/>
      </c>
      <c r="EL206" s="29" t="str">
        <f>IF(CD206=1,VLOOKUP(EA206,'EIA 2023'!$A$2:$J$213,4,0)*EH206,"")</f>
        <v/>
      </c>
      <c r="EM206" s="29" t="str">
        <f>IF(CD206=1,VLOOKUP(EA206,'EIA 2023'!$A$2:$J$213,7,0)*EH206,"")</f>
        <v/>
      </c>
      <c r="EN206" s="29" t="str">
        <f>IF(CD206=1,VLOOKUP(EA206,'EIA 2023'!$A$2:$J$213,10,0),"")</f>
        <v/>
      </c>
      <c r="EO206" s="28" t="str">
        <f>IF(CD206=1,VLOOKUP(EA206,'EIA 2023'!$A$2:$Z$213,26,0),"")</f>
        <v/>
      </c>
      <c r="EP206" s="23" t="str">
        <f t="shared" si="55"/>
        <v/>
      </c>
      <c r="EQ206" s="32" t="str">
        <f t="shared" si="56"/>
        <v/>
      </c>
      <c r="ER206" s="32" t="str">
        <f t="shared" si="57"/>
        <v/>
      </c>
      <c r="ES206" s="32"/>
      <c r="ET206" s="32"/>
    </row>
    <row r="207" spans="1:150" ht="15.75" customHeight="1">
      <c r="A207" s="7" t="s">
        <v>832</v>
      </c>
      <c r="B207" s="7" t="s">
        <v>833</v>
      </c>
      <c r="C207" s="32" t="s">
        <v>1292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f>IFERROR(VLOOKUP(A207,'Trans 21-23'!$A$2:$J$229,10,0),0)</f>
        <v>0</v>
      </c>
      <c r="Y207" s="42">
        <v>0</v>
      </c>
      <c r="Z207" s="42">
        <v>0</v>
      </c>
      <c r="AA207" s="42">
        <v>0</v>
      </c>
      <c r="AB207" s="42">
        <v>0</v>
      </c>
      <c r="AC207" s="42">
        <v>0</v>
      </c>
      <c r="AD207" s="42">
        <v>158671</v>
      </c>
      <c r="AE207" s="42">
        <v>0</v>
      </c>
      <c r="AF207" s="42">
        <v>828108</v>
      </c>
      <c r="AG207" s="42">
        <v>0</v>
      </c>
      <c r="AH207" s="42">
        <v>0</v>
      </c>
      <c r="AI207" s="42">
        <v>0</v>
      </c>
      <c r="AJ207" s="42">
        <v>0</v>
      </c>
      <c r="AK207" s="42">
        <v>0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2">
        <v>0</v>
      </c>
      <c r="AR207" s="42">
        <v>0</v>
      </c>
      <c r="AS207" s="42">
        <v>0</v>
      </c>
      <c r="AT207" s="42">
        <v>0</v>
      </c>
      <c r="AU207" s="42">
        <v>0</v>
      </c>
      <c r="AV207" s="42">
        <v>0</v>
      </c>
      <c r="AW207" s="42">
        <v>0</v>
      </c>
      <c r="AX207" s="42">
        <v>0</v>
      </c>
      <c r="AY207" s="42">
        <v>0</v>
      </c>
      <c r="AZ207" s="42">
        <v>0</v>
      </c>
      <c r="BA207" s="42">
        <v>0</v>
      </c>
      <c r="BB207" s="42">
        <v>0</v>
      </c>
      <c r="BC207" s="42">
        <v>47336445</v>
      </c>
      <c r="BD207" s="42">
        <v>274567</v>
      </c>
      <c r="BE207" s="42">
        <v>0</v>
      </c>
      <c r="BF207" s="42">
        <v>0</v>
      </c>
      <c r="BG207" s="42">
        <v>0</v>
      </c>
      <c r="BH207" s="42">
        <v>0</v>
      </c>
      <c r="BI207" s="42">
        <v>0</v>
      </c>
      <c r="BJ207" s="42">
        <v>0</v>
      </c>
      <c r="BK207" s="42">
        <v>0</v>
      </c>
      <c r="BL207" s="42">
        <v>0</v>
      </c>
      <c r="BM207" s="42">
        <v>0</v>
      </c>
      <c r="BN207" s="42">
        <v>0</v>
      </c>
      <c r="BO207" s="42">
        <v>0</v>
      </c>
      <c r="BP207" s="42">
        <v>0</v>
      </c>
      <c r="BQ207" s="42">
        <v>0</v>
      </c>
      <c r="BR207" s="42">
        <v>0</v>
      </c>
      <c r="BS207" s="42">
        <f>IFERROR(VLOOKUP(A207,'Trans 21-23'!$A$2:$J$229,9,0),0)</f>
        <v>0</v>
      </c>
      <c r="BT207" s="67"/>
      <c r="BU207" s="32">
        <f t="shared" si="0"/>
        <v>0</v>
      </c>
      <c r="BV207" s="32">
        <f t="shared" si="1"/>
        <v>0</v>
      </c>
      <c r="BW207" s="32">
        <f t="shared" si="2"/>
        <v>0</v>
      </c>
      <c r="BX207" s="32">
        <f t="shared" si="3"/>
        <v>0</v>
      </c>
      <c r="BY207" s="32">
        <f t="shared" si="4"/>
        <v>0</v>
      </c>
      <c r="BZ207" s="32">
        <f t="shared" si="5"/>
        <v>0</v>
      </c>
      <c r="CA207" s="32">
        <f t="shared" si="6"/>
        <v>158671</v>
      </c>
      <c r="CB207" s="32">
        <f t="shared" si="7"/>
        <v>0</v>
      </c>
      <c r="CC207" s="32">
        <f t="shared" si="8"/>
        <v>0</v>
      </c>
      <c r="CD207" s="41">
        <f t="shared" si="74"/>
        <v>0</v>
      </c>
      <c r="CE207" s="44">
        <f t="shared" si="10"/>
        <v>64</v>
      </c>
      <c r="CF207" s="27"/>
      <c r="CG207" s="28" t="str">
        <f t="shared" si="11"/>
        <v/>
      </c>
      <c r="CH207" s="28" t="str">
        <f t="shared" si="12"/>
        <v/>
      </c>
      <c r="CI207" s="28" t="str">
        <f t="shared" si="13"/>
        <v/>
      </c>
      <c r="CJ207" s="28" t="str">
        <f t="shared" si="14"/>
        <v/>
      </c>
      <c r="CK207" s="23" t="str">
        <f t="shared" si="15"/>
        <v/>
      </c>
      <c r="CL207" s="29" t="str">
        <f t="shared" si="16"/>
        <v/>
      </c>
      <c r="CM207" s="29" t="str">
        <f t="shared" si="17"/>
        <v/>
      </c>
      <c r="CN207" s="29" t="str">
        <f t="shared" si="18"/>
        <v/>
      </c>
      <c r="CO207" s="29" t="str">
        <f t="shared" si="19"/>
        <v/>
      </c>
      <c r="CP207" s="29" t="str">
        <f t="shared" si="20"/>
        <v/>
      </c>
      <c r="CQ207" s="29" t="str">
        <f t="shared" si="21"/>
        <v/>
      </c>
      <c r="CR207" s="13"/>
      <c r="CS207" s="7" t="str">
        <f>VLOOKUP(A207,'Empresas 21-23'!$A$2:$M$228,13,0)</f>
        <v/>
      </c>
      <c r="CT207" s="30"/>
      <c r="CU207" s="6">
        <f t="shared" si="22"/>
        <v>0</v>
      </c>
      <c r="CV207" s="6">
        <f t="shared" si="23"/>
        <v>0</v>
      </c>
      <c r="CW207" s="6">
        <f t="shared" si="24"/>
        <v>274567</v>
      </c>
      <c r="CX207" s="23">
        <f t="shared" si="90"/>
        <v>0</v>
      </c>
      <c r="CY207" s="23">
        <f t="shared" si="91"/>
        <v>0</v>
      </c>
      <c r="CZ207" s="6">
        <f t="shared" si="27"/>
        <v>0</v>
      </c>
      <c r="DA207" s="6">
        <f t="shared" si="28"/>
        <v>0</v>
      </c>
      <c r="DB207" s="6">
        <f t="shared" si="29"/>
        <v>0</v>
      </c>
      <c r="DC207" s="6">
        <f t="shared" si="30"/>
        <v>0</v>
      </c>
      <c r="DD207" s="6">
        <f t="shared" si="31"/>
        <v>0</v>
      </c>
      <c r="DE207" s="6">
        <f t="shared" si="32"/>
        <v>158671</v>
      </c>
      <c r="DF207" s="6">
        <f t="shared" si="86"/>
        <v>0</v>
      </c>
      <c r="DG207" s="30"/>
      <c r="DH207" s="32" t="str">
        <f>VLOOKUP(A207,'T_med_comp-USA'!$A$7:$Q$233,17,0)</f>
        <v>-</v>
      </c>
      <c r="DI207" s="6" t="str">
        <f t="shared" si="34"/>
        <v/>
      </c>
      <c r="DJ207" s="32" t="str">
        <f>IF(DI207="","",VLOOKUP(DI207,'CPI USA'!$T:$U,2,FALSE))</f>
        <v/>
      </c>
      <c r="DK207" s="32" t="str">
        <f>IF(DI207="","",VLOOKUP(DI207,'PPI USA'!$S:$T,2,FALSE))</f>
        <v/>
      </c>
      <c r="DL207" s="32" t="str">
        <f>IF(DI207="","",VLOOKUP(DI207,'CPI USA'!$T:$V,3,FALSE))</f>
        <v/>
      </c>
      <c r="DM207" s="32" t="str">
        <f>IF(DI207="","",VLOOKUP(DI207,'CPI USA'!$T:$X,5,FALSE))</f>
        <v/>
      </c>
      <c r="DN207" s="32" t="str">
        <f t="shared" si="35"/>
        <v/>
      </c>
      <c r="DO207" s="32" t="str">
        <f t="shared" si="36"/>
        <v/>
      </c>
      <c r="DP207" s="32" t="str">
        <f t="shared" si="37"/>
        <v/>
      </c>
      <c r="DQ207" s="32" t="str">
        <f>IF(DP207="","",DP207*$DO$1/'CPI USA'!$U$532+(1-DP207)*AVERAGE($DO$1,$DQ$1)/AVERAGE('CPI USA'!$U$532,'PPI USA'!$T$538))</f>
        <v/>
      </c>
      <c r="DR207" s="6">
        <f t="shared" si="38"/>
        <v>0</v>
      </c>
      <c r="DS207" s="32" t="str">
        <f t="shared" si="39"/>
        <v/>
      </c>
      <c r="DT207" s="28" t="str">
        <f>IF(DS207="","",DS207*$DO$1/'CPI USA'!$U$532+(1-DS207)*AVERAGE($DO$1,$DQ$1)/AVERAGE('CPI USA'!$U$532,'PPI USA'!$T$538))</f>
        <v/>
      </c>
      <c r="DU207" s="6" t="str">
        <f t="shared" si="40"/>
        <v/>
      </c>
      <c r="DV207" s="6" t="str">
        <f t="shared" si="87"/>
        <v/>
      </c>
      <c r="DW207" s="6">
        <f t="shared" si="42"/>
        <v>0</v>
      </c>
      <c r="DX207" s="16" t="str">
        <f t="shared" si="43"/>
        <v/>
      </c>
      <c r="DY207" s="28" t="str">
        <f>IF(DX207="","",DX207*$DO$1/'CPI USA'!$U$532+(1-DX207)*AVERAGE($DO$1,$DQ$1)/AVERAGE('CPI USA'!$U$532,'PPI USA'!$T$538))</f>
        <v/>
      </c>
      <c r="DZ207" s="30"/>
      <c r="EA207" s="29" t="str">
        <f t="shared" si="44"/>
        <v>C010523</v>
      </c>
      <c r="EB207" s="29" t="str">
        <f t="shared" si="45"/>
        <v/>
      </c>
      <c r="EC207" s="29" t="str">
        <f t="shared" si="46"/>
        <v/>
      </c>
      <c r="ED207" s="29" t="str">
        <f t="shared" si="47"/>
        <v/>
      </c>
      <c r="EE207" s="29" t="str">
        <f t="shared" si="48"/>
        <v/>
      </c>
      <c r="EF207" s="29" t="str">
        <f t="shared" si="49"/>
        <v/>
      </c>
      <c r="EG207" s="29" t="str">
        <f t="shared" si="50"/>
        <v/>
      </c>
      <c r="EH207" s="29" t="str">
        <f t="shared" si="51"/>
        <v/>
      </c>
      <c r="EI207" s="29" t="str">
        <f t="shared" si="52"/>
        <v/>
      </c>
      <c r="EJ207" s="29" t="str">
        <f t="shared" si="53"/>
        <v/>
      </c>
      <c r="EK207" s="29" t="str">
        <f t="shared" si="54"/>
        <v/>
      </c>
      <c r="EL207" s="29" t="str">
        <f>IF(CD207=1,VLOOKUP(EA207,'EIA 2023'!$A$2:$J$213,4,0)*EH207,"")</f>
        <v/>
      </c>
      <c r="EM207" s="29" t="str">
        <f>IF(CD207=1,VLOOKUP(EA207,'EIA 2023'!$A$2:$J$213,7,0)*EH207,"")</f>
        <v/>
      </c>
      <c r="EN207" s="29" t="str">
        <f>IF(CD207=1,VLOOKUP(EA207,'EIA 2023'!$A$2:$J$213,10,0),"")</f>
        <v/>
      </c>
      <c r="EO207" s="28" t="str">
        <f>IF(CD207=1,VLOOKUP(EA207,'EIA 2023'!$A$2:$Z$213,26,0),"")</f>
        <v/>
      </c>
      <c r="EP207" s="23" t="str">
        <f t="shared" si="55"/>
        <v/>
      </c>
      <c r="EQ207" s="32" t="str">
        <f t="shared" si="56"/>
        <v/>
      </c>
      <c r="ER207" s="32" t="str">
        <f t="shared" si="57"/>
        <v/>
      </c>
      <c r="ES207" s="32"/>
      <c r="ET207" s="32"/>
    </row>
    <row r="208" spans="1:150" ht="15.75" customHeight="1">
      <c r="A208" s="7" t="s">
        <v>835</v>
      </c>
      <c r="B208" s="7" t="s">
        <v>836</v>
      </c>
      <c r="C208" s="32" t="s">
        <v>1293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f>IFERROR(VLOOKUP(A208,'Trans 21-23'!$A$2:$J$229,10,0),0)</f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2313883</v>
      </c>
      <c r="AE208" s="42">
        <v>0</v>
      </c>
      <c r="AF208" s="42">
        <v>27147553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2">
        <v>0</v>
      </c>
      <c r="AR208" s="42">
        <v>0</v>
      </c>
      <c r="AS208" s="42">
        <v>0</v>
      </c>
      <c r="AT208" s="42">
        <v>0</v>
      </c>
      <c r="AU208" s="42">
        <v>0</v>
      </c>
      <c r="AV208" s="42">
        <v>0</v>
      </c>
      <c r="AW208" s="42">
        <v>0</v>
      </c>
      <c r="AX208" s="42">
        <v>0</v>
      </c>
      <c r="AY208" s="42">
        <v>0</v>
      </c>
      <c r="AZ208" s="42">
        <v>0</v>
      </c>
      <c r="BA208" s="42">
        <v>0</v>
      </c>
      <c r="BB208" s="42">
        <v>0</v>
      </c>
      <c r="BC208" s="42">
        <v>6033582</v>
      </c>
      <c r="BD208" s="42">
        <v>0</v>
      </c>
      <c r="BE208" s="42">
        <v>0</v>
      </c>
      <c r="BF208" s="42">
        <v>0</v>
      </c>
      <c r="BG208" s="42">
        <v>0</v>
      </c>
      <c r="BH208" s="42">
        <v>0</v>
      </c>
      <c r="BI208" s="42">
        <v>0</v>
      </c>
      <c r="BJ208" s="42">
        <v>0</v>
      </c>
      <c r="BK208" s="42">
        <v>0</v>
      </c>
      <c r="BL208" s="42">
        <v>0</v>
      </c>
      <c r="BM208" s="42">
        <v>0</v>
      </c>
      <c r="BN208" s="42">
        <v>0</v>
      </c>
      <c r="BO208" s="42">
        <v>0</v>
      </c>
      <c r="BP208" s="42">
        <v>0</v>
      </c>
      <c r="BQ208" s="42">
        <v>0</v>
      </c>
      <c r="BR208" s="42">
        <v>0</v>
      </c>
      <c r="BS208" s="42">
        <f>IFERROR(VLOOKUP(A208,'Trans 21-23'!$A$2:$J$229,9,0),0)</f>
        <v>0</v>
      </c>
      <c r="BT208" s="67"/>
      <c r="BU208" s="32">
        <f t="shared" si="0"/>
        <v>0</v>
      </c>
      <c r="BV208" s="32">
        <f t="shared" si="1"/>
        <v>0</v>
      </c>
      <c r="BW208" s="32">
        <f t="shared" si="2"/>
        <v>0</v>
      </c>
      <c r="BX208" s="32">
        <f t="shared" si="3"/>
        <v>0</v>
      </c>
      <c r="BY208" s="32">
        <f t="shared" si="4"/>
        <v>0</v>
      </c>
      <c r="BZ208" s="32">
        <f t="shared" si="5"/>
        <v>0</v>
      </c>
      <c r="CA208" s="32">
        <f t="shared" si="6"/>
        <v>2313883</v>
      </c>
      <c r="CB208" s="32">
        <f t="shared" si="7"/>
        <v>0</v>
      </c>
      <c r="CC208" s="32">
        <f t="shared" si="8"/>
        <v>0</v>
      </c>
      <c r="CD208" s="41">
        <f t="shared" si="74"/>
        <v>0</v>
      </c>
      <c r="CE208" s="44">
        <f t="shared" si="10"/>
        <v>65</v>
      </c>
      <c r="CF208" s="27"/>
      <c r="CG208" s="28" t="str">
        <f t="shared" si="11"/>
        <v/>
      </c>
      <c r="CH208" s="28" t="str">
        <f t="shared" si="12"/>
        <v/>
      </c>
      <c r="CI208" s="28" t="str">
        <f t="shared" si="13"/>
        <v/>
      </c>
      <c r="CJ208" s="28" t="str">
        <f t="shared" si="14"/>
        <v/>
      </c>
      <c r="CK208" s="23" t="str">
        <f t="shared" si="15"/>
        <v/>
      </c>
      <c r="CL208" s="29" t="str">
        <f t="shared" si="16"/>
        <v/>
      </c>
      <c r="CM208" s="29" t="str">
        <f t="shared" si="17"/>
        <v/>
      </c>
      <c r="CN208" s="29" t="str">
        <f t="shared" si="18"/>
        <v/>
      </c>
      <c r="CO208" s="29" t="str">
        <f t="shared" si="19"/>
        <v/>
      </c>
      <c r="CP208" s="29" t="str">
        <f t="shared" si="20"/>
        <v/>
      </c>
      <c r="CQ208" s="29" t="str">
        <f t="shared" si="21"/>
        <v/>
      </c>
      <c r="CR208" s="13"/>
      <c r="CS208" s="7" t="str">
        <f>VLOOKUP(A208,'Empresas 21-23'!$A$2:$M$228,13,0)</f>
        <v/>
      </c>
      <c r="CT208" s="30"/>
      <c r="CU208" s="6">
        <f t="shared" si="22"/>
        <v>0</v>
      </c>
      <c r="CV208" s="6">
        <f t="shared" si="23"/>
        <v>0</v>
      </c>
      <c r="CW208" s="6">
        <f t="shared" si="24"/>
        <v>0</v>
      </c>
      <c r="CX208" s="23">
        <f t="shared" si="90"/>
        <v>0</v>
      </c>
      <c r="CY208" s="23">
        <f t="shared" si="91"/>
        <v>0</v>
      </c>
      <c r="CZ208" s="6">
        <f t="shared" si="27"/>
        <v>0</v>
      </c>
      <c r="DA208" s="6">
        <f t="shared" si="28"/>
        <v>0</v>
      </c>
      <c r="DB208" s="6">
        <f t="shared" si="29"/>
        <v>0</v>
      </c>
      <c r="DC208" s="6">
        <f t="shared" si="30"/>
        <v>0</v>
      </c>
      <c r="DD208" s="6">
        <f t="shared" si="31"/>
        <v>0</v>
      </c>
      <c r="DE208" s="6">
        <f t="shared" si="32"/>
        <v>2313883</v>
      </c>
      <c r="DF208" s="6">
        <f t="shared" si="86"/>
        <v>0</v>
      </c>
      <c r="DG208" s="30"/>
      <c r="DH208" s="32" t="str">
        <f>VLOOKUP(A208,'T_med_comp-USA'!$A$7:$Q$233,17,0)</f>
        <v>-</v>
      </c>
      <c r="DI208" s="6" t="str">
        <f t="shared" si="34"/>
        <v/>
      </c>
      <c r="DJ208" s="32" t="str">
        <f>IF(DI208="","",VLOOKUP(DI208,'CPI USA'!$T:$U,2,FALSE))</f>
        <v/>
      </c>
      <c r="DK208" s="32" t="str">
        <f>IF(DI208="","",VLOOKUP(DI208,'PPI USA'!$S:$T,2,FALSE))</f>
        <v/>
      </c>
      <c r="DL208" s="32" t="str">
        <f>IF(DI208="","",VLOOKUP(DI208,'CPI USA'!$T:$V,3,FALSE))</f>
        <v/>
      </c>
      <c r="DM208" s="32" t="str">
        <f>IF(DI208="","",VLOOKUP(DI208,'CPI USA'!$T:$X,5,FALSE))</f>
        <v/>
      </c>
      <c r="DN208" s="32" t="str">
        <f t="shared" si="35"/>
        <v/>
      </c>
      <c r="DO208" s="32" t="str">
        <f t="shared" si="36"/>
        <v/>
      </c>
      <c r="DP208" s="32" t="str">
        <f t="shared" si="37"/>
        <v/>
      </c>
      <c r="DQ208" s="32" t="str">
        <f>IF(DP208="","",DP208*$DO$1/'CPI USA'!$U$532+(1-DP208)*AVERAGE($DO$1,$DQ$1)/AVERAGE('CPI USA'!$U$532,'PPI USA'!$T$538))</f>
        <v/>
      </c>
      <c r="DR208" s="6">
        <f t="shared" si="38"/>
        <v>0</v>
      </c>
      <c r="DS208" s="32" t="str">
        <f t="shared" si="39"/>
        <v/>
      </c>
      <c r="DT208" s="28" t="str">
        <f>IF(DS208="","",DS208*$DO$1/'CPI USA'!$U$532+(1-DS208)*AVERAGE($DO$1,$DQ$1)/AVERAGE('CPI USA'!$U$532,'PPI USA'!$T$538))</f>
        <v/>
      </c>
      <c r="DU208" s="6" t="str">
        <f t="shared" si="40"/>
        <v/>
      </c>
      <c r="DV208" s="6" t="str">
        <f t="shared" si="87"/>
        <v/>
      </c>
      <c r="DW208" s="6">
        <f t="shared" si="42"/>
        <v>0</v>
      </c>
      <c r="DX208" s="16" t="str">
        <f t="shared" si="43"/>
        <v/>
      </c>
      <c r="DY208" s="28" t="str">
        <f>IF(DX208="","",DX208*$DO$1/'CPI USA'!$U$532+(1-DX208)*AVERAGE($DO$1,$DQ$1)/AVERAGE('CPI USA'!$U$532,'PPI USA'!$T$538))</f>
        <v/>
      </c>
      <c r="DZ208" s="30"/>
      <c r="EA208" s="29" t="str">
        <f t="shared" si="44"/>
        <v>C010845</v>
      </c>
      <c r="EB208" s="29" t="str">
        <f t="shared" si="45"/>
        <v/>
      </c>
      <c r="EC208" s="29" t="str">
        <f t="shared" si="46"/>
        <v/>
      </c>
      <c r="ED208" s="29" t="str">
        <f t="shared" si="47"/>
        <v/>
      </c>
      <c r="EE208" s="29" t="str">
        <f t="shared" si="48"/>
        <v/>
      </c>
      <c r="EF208" s="29" t="str">
        <f t="shared" si="49"/>
        <v/>
      </c>
      <c r="EG208" s="29" t="str">
        <f t="shared" si="50"/>
        <v/>
      </c>
      <c r="EH208" s="29" t="str">
        <f t="shared" si="51"/>
        <v/>
      </c>
      <c r="EI208" s="29" t="str">
        <f t="shared" si="52"/>
        <v/>
      </c>
      <c r="EJ208" s="29" t="str">
        <f t="shared" si="53"/>
        <v/>
      </c>
      <c r="EK208" s="29" t="str">
        <f t="shared" si="54"/>
        <v/>
      </c>
      <c r="EL208" s="29" t="str">
        <f>IF(CD208=1,VLOOKUP(EA208,'EIA 2023'!$A$2:$J$213,4,0)*EH208,"")</f>
        <v/>
      </c>
      <c r="EM208" s="29" t="str">
        <f>IF(CD208=1,VLOOKUP(EA208,'EIA 2023'!$A$2:$J$213,7,0)*EH208,"")</f>
        <v/>
      </c>
      <c r="EN208" s="29" t="str">
        <f>IF(CD208=1,VLOOKUP(EA208,'EIA 2023'!$A$2:$J$213,10,0),"")</f>
        <v/>
      </c>
      <c r="EO208" s="28" t="str">
        <f>IF(CD208=1,VLOOKUP(EA208,'EIA 2023'!$A$2:$Z$213,26,0),"")</f>
        <v/>
      </c>
      <c r="EP208" s="23" t="str">
        <f t="shared" si="55"/>
        <v/>
      </c>
      <c r="EQ208" s="32" t="str">
        <f t="shared" si="56"/>
        <v/>
      </c>
      <c r="ER208" s="32" t="str">
        <f t="shared" si="57"/>
        <v/>
      </c>
      <c r="ES208" s="32"/>
      <c r="ET208" s="32"/>
    </row>
    <row r="209" spans="1:150" ht="15.75" customHeight="1">
      <c r="A209" s="7" t="s">
        <v>838</v>
      </c>
      <c r="B209" s="7" t="s">
        <v>839</v>
      </c>
      <c r="C209" s="32" t="s">
        <v>1294</v>
      </c>
      <c r="D209" s="42">
        <v>0</v>
      </c>
      <c r="E209" s="42">
        <v>0</v>
      </c>
      <c r="F209" s="42">
        <v>79987493</v>
      </c>
      <c r="G209" s="42">
        <v>25731019</v>
      </c>
      <c r="H209" s="42">
        <v>31643099</v>
      </c>
      <c r="I209" s="42">
        <v>2152655</v>
      </c>
      <c r="J209" s="42">
        <v>344873</v>
      </c>
      <c r="K209" s="42">
        <v>1520711</v>
      </c>
      <c r="L209" s="42">
        <v>765970</v>
      </c>
      <c r="M209" s="42">
        <v>1583647</v>
      </c>
      <c r="N209" s="42">
        <v>236008</v>
      </c>
      <c r="O209" s="42">
        <v>3975692</v>
      </c>
      <c r="P209" s="42">
        <v>577496</v>
      </c>
      <c r="Q209" s="42">
        <v>1701796</v>
      </c>
      <c r="R209" s="42">
        <v>0</v>
      </c>
      <c r="S209" s="42">
        <v>1805407</v>
      </c>
      <c r="T209" s="42">
        <v>5850774</v>
      </c>
      <c r="U209" s="42">
        <v>2706577</v>
      </c>
      <c r="V209" s="42">
        <v>36902</v>
      </c>
      <c r="W209" s="42">
        <v>2793923</v>
      </c>
      <c r="X209" s="42">
        <f>IFERROR(VLOOKUP(A209,'Trans 21-23'!$A$2:$J$229,10,0),0)</f>
        <v>0</v>
      </c>
      <c r="Y209" s="42">
        <v>893232</v>
      </c>
      <c r="Z209" s="42">
        <v>0</v>
      </c>
      <c r="AA209" s="42">
        <v>9433486</v>
      </c>
      <c r="AB209" s="42">
        <v>1157414</v>
      </c>
      <c r="AC209" s="42">
        <v>0</v>
      </c>
      <c r="AD209" s="42">
        <v>41892105</v>
      </c>
      <c r="AE209" s="42">
        <v>0</v>
      </c>
      <c r="AF209" s="42">
        <v>240704952</v>
      </c>
      <c r="AG209" s="42">
        <v>113257</v>
      </c>
      <c r="AH209" s="42">
        <v>92521</v>
      </c>
      <c r="AI209" s="42">
        <v>2378239</v>
      </c>
      <c r="AJ209" s="42">
        <v>6973</v>
      </c>
      <c r="AK209" s="42">
        <v>0</v>
      </c>
      <c r="AL209" s="42">
        <v>588386</v>
      </c>
      <c r="AM209" s="42">
        <v>177474</v>
      </c>
      <c r="AN209" s="42">
        <v>1119005</v>
      </c>
      <c r="AO209" s="42">
        <v>6223</v>
      </c>
      <c r="AP209" s="42">
        <v>0</v>
      </c>
      <c r="AQ209" s="42">
        <v>1891088</v>
      </c>
      <c r="AR209" s="42">
        <v>387657</v>
      </c>
      <c r="AS209" s="42">
        <v>2278745</v>
      </c>
      <c r="AT209" s="42">
        <v>0</v>
      </c>
      <c r="AU209" s="42">
        <v>323</v>
      </c>
      <c r="AV209" s="42">
        <v>0</v>
      </c>
      <c r="AW209" s="42">
        <v>26654883</v>
      </c>
      <c r="AX209" s="42">
        <v>122057226</v>
      </c>
      <c r="AY209" s="42">
        <v>199261942</v>
      </c>
      <c r="AZ209" s="42">
        <v>30065822</v>
      </c>
      <c r="BA209" s="42">
        <v>19471391</v>
      </c>
      <c r="BB209" s="42">
        <v>709813911</v>
      </c>
      <c r="BC209" s="42">
        <v>0</v>
      </c>
      <c r="BD209" s="42">
        <v>117823150</v>
      </c>
      <c r="BE209" s="42">
        <v>280935939</v>
      </c>
      <c r="BF209" s="42">
        <v>16310938</v>
      </c>
      <c r="BG209" s="42">
        <v>0</v>
      </c>
      <c r="BH209" s="42">
        <v>10989551</v>
      </c>
      <c r="BI209" s="42">
        <v>3309276</v>
      </c>
      <c r="BJ209" s="42">
        <v>496577</v>
      </c>
      <c r="BK209" s="42">
        <v>0</v>
      </c>
      <c r="BL209" s="42">
        <v>0</v>
      </c>
      <c r="BM209" s="42">
        <v>10066642</v>
      </c>
      <c r="BN209" s="42">
        <v>42504448</v>
      </c>
      <c r="BO209" s="42">
        <v>4402045</v>
      </c>
      <c r="BP209" s="42">
        <v>7078787</v>
      </c>
      <c r="BQ209" s="42">
        <v>58526530</v>
      </c>
      <c r="BR209" s="42">
        <v>0</v>
      </c>
      <c r="BS209" s="42">
        <f>IFERROR(VLOOKUP(A209,'Trans 21-23'!$A$2:$J$229,9,0),0)</f>
        <v>0</v>
      </c>
      <c r="BT209" s="67"/>
      <c r="BU209" s="32">
        <f t="shared" si="0"/>
        <v>709813911</v>
      </c>
      <c r="BV209" s="32">
        <f t="shared" si="1"/>
        <v>323</v>
      </c>
      <c r="BW209" s="32">
        <f t="shared" si="2"/>
        <v>113257</v>
      </c>
      <c r="BX209" s="32">
        <f t="shared" si="3"/>
        <v>26052431</v>
      </c>
      <c r="BY209" s="32">
        <f t="shared" si="4"/>
        <v>11484132</v>
      </c>
      <c r="BZ209" s="32">
        <f t="shared" si="5"/>
        <v>30065822</v>
      </c>
      <c r="CA209" s="32">
        <f t="shared" si="6"/>
        <v>41892105</v>
      </c>
      <c r="CB209" s="32">
        <f t="shared" si="7"/>
        <v>92521</v>
      </c>
      <c r="CC209" s="32">
        <f t="shared" si="8"/>
        <v>1891088</v>
      </c>
      <c r="CD209" s="41">
        <f t="shared" si="74"/>
        <v>1</v>
      </c>
      <c r="CE209" s="44">
        <f t="shared" si="10"/>
        <v>17</v>
      </c>
      <c r="CF209" s="27"/>
      <c r="CG209" s="28">
        <f t="shared" si="11"/>
        <v>2197.5662879256965</v>
      </c>
      <c r="CH209" s="28">
        <f t="shared" si="12"/>
        <v>2.8519208525742337</v>
      </c>
      <c r="CI209" s="28">
        <f t="shared" si="13"/>
        <v>230.0293226908712</v>
      </c>
      <c r="CJ209" s="28">
        <f t="shared" si="14"/>
        <v>265.46546350335962</v>
      </c>
      <c r="CK209" s="23">
        <f t="shared" si="15"/>
        <v>4.8924745966343185E-2</v>
      </c>
      <c r="CL209" s="29" t="str">
        <f t="shared" si="16"/>
        <v/>
      </c>
      <c r="CM209" s="29" t="str">
        <f t="shared" si="17"/>
        <v/>
      </c>
      <c r="CN209" s="29" t="str">
        <f t="shared" si="18"/>
        <v/>
      </c>
      <c r="CO209" s="29" t="str">
        <f t="shared" si="19"/>
        <v/>
      </c>
      <c r="CP209" s="29" t="str">
        <f t="shared" si="20"/>
        <v/>
      </c>
      <c r="CQ209" s="29">
        <f t="shared" si="21"/>
        <v>0</v>
      </c>
      <c r="CR209" s="13"/>
      <c r="CS209" s="7" t="str">
        <f>VLOOKUP(A209,'Empresas 21-23'!$A$2:$M$228,13,0)</f>
        <v/>
      </c>
      <c r="CT209" s="30"/>
      <c r="CU209" s="6">
        <f t="shared" si="22"/>
        <v>467485197.20000005</v>
      </c>
      <c r="CV209" s="6">
        <f t="shared" si="23"/>
        <v>30065822</v>
      </c>
      <c r="CW209" s="6">
        <f t="shared" si="24"/>
        <v>117823150</v>
      </c>
      <c r="CX209" s="23">
        <f>CU209/(BB209-BD209)</f>
        <v>0.78968326534406852</v>
      </c>
      <c r="CY209" s="23">
        <f>CV209/(BB209-BD209)</f>
        <v>5.0787654099892277E-2</v>
      </c>
      <c r="CZ209" s="6">
        <f t="shared" si="27"/>
        <v>560528167.02512407</v>
      </c>
      <c r="DA209" s="6">
        <f t="shared" si="28"/>
        <v>36049783.38715972</v>
      </c>
      <c r="DB209" s="6">
        <f t="shared" si="29"/>
        <v>26052431</v>
      </c>
      <c r="DC209" s="6">
        <f t="shared" si="30"/>
        <v>26052431</v>
      </c>
      <c r="DD209" s="6">
        <f t="shared" si="31"/>
        <v>11484132</v>
      </c>
      <c r="DE209" s="6">
        <f t="shared" si="32"/>
        <v>41892105</v>
      </c>
      <c r="DF209" s="6">
        <f t="shared" si="86"/>
        <v>18036762.624861158</v>
      </c>
      <c r="DG209" s="30"/>
      <c r="DH209" s="32">
        <f>VLOOKUP(A209,'T_med_comp-USA'!$A$7:$Q$233,17,0)</f>
        <v>16.254313668397732</v>
      </c>
      <c r="DI209" s="6" t="str">
        <f t="shared" si="34"/>
        <v>10_2007</v>
      </c>
      <c r="DJ209" s="32">
        <f>IF(DI209="","",VLOOKUP(DI209,'CPI USA'!$T:$U,2,FALSE))</f>
        <v>207.34200000000001</v>
      </c>
      <c r="DK209" s="32">
        <f>IF(DI209="","",VLOOKUP(DI209,'PPI USA'!$S:$T,2,FALSE))</f>
        <v>151.69999999999999</v>
      </c>
      <c r="DL209" s="32">
        <f>IF(DI209="","",VLOOKUP(DI209,'CPI USA'!$T:$V,3,FALSE))</f>
        <v>0.67123734379962852</v>
      </c>
      <c r="DM209" s="32">
        <f>IF(DI209="","",VLOOKUP(DI209,'CPI USA'!$T:$X,5,FALSE))</f>
        <v>0.49957259686190569</v>
      </c>
      <c r="DN209" s="32">
        <f t="shared" si="35"/>
        <v>1.5480022216582647</v>
      </c>
      <c r="DO209" s="32">
        <f t="shared" si="36"/>
        <v>1.5651038394149617</v>
      </c>
      <c r="DP209" s="32">
        <f t="shared" si="37"/>
        <v>0.46551135379019021</v>
      </c>
      <c r="DQ209" s="32">
        <f>IF(DP209="","",DP209*$DO$1/'CPI USA'!$U$532+(1-DP209)*AVERAGE($DO$1,$DQ$1)/AVERAGE('CPI USA'!$U$532,'PPI USA'!$T$538))</f>
        <v>1.036554133992037</v>
      </c>
      <c r="DR209" s="6">
        <f t="shared" si="38"/>
        <v>3805853</v>
      </c>
      <c r="DS209" s="32">
        <f t="shared" si="39"/>
        <v>0.36572312115225281</v>
      </c>
      <c r="DT209" s="28">
        <f>IF(DS209="","",DS209*$DO$1/'CPI USA'!$U$532+(1-DS209)*AVERAGE($DO$1,$DQ$1)/AVERAGE('CPI USA'!$U$532,'PPI USA'!$T$538))</f>
        <v>1.0388571346284503</v>
      </c>
      <c r="DU209" s="6">
        <f t="shared" si="40"/>
        <v>11109210.793809297</v>
      </c>
      <c r="DV209" s="6">
        <f t="shared" si="87"/>
        <v>1385087.282123416</v>
      </c>
      <c r="DW209" s="6">
        <f t="shared" si="42"/>
        <v>4349149.2403300283</v>
      </c>
      <c r="DX209" s="16">
        <f t="shared" si="43"/>
        <v>0.24112693229855636</v>
      </c>
      <c r="DY209" s="28">
        <f>IF(DX209="","",DX209*$DO$1/'CPI USA'!$U$532+(1-DX209)*AVERAGE($DO$1,$DQ$1)/AVERAGE('CPI USA'!$U$532,'PPI USA'!$T$538))</f>
        <v>1.041732675106914</v>
      </c>
      <c r="DZ209" s="30"/>
      <c r="EA209" s="29" t="str">
        <f t="shared" si="44"/>
        <v>C011100</v>
      </c>
      <c r="EB209" s="29">
        <f t="shared" si="45"/>
        <v>867698847.85692692</v>
      </c>
      <c r="EC209" s="29">
        <f t="shared" si="46"/>
        <v>56421654.389321379</v>
      </c>
      <c r="ED209" s="29">
        <f t="shared" si="47"/>
        <v>27004755.053592298</v>
      </c>
      <c r="EE209" s="29">
        <f t="shared" si="48"/>
        <v>11930372.463214895</v>
      </c>
      <c r="EF209" s="29">
        <f t="shared" si="49"/>
        <v>18789484.979465019</v>
      </c>
      <c r="EG209" s="29">
        <f t="shared" si="50"/>
        <v>323</v>
      </c>
      <c r="EH209" s="29">
        <f t="shared" si="51"/>
        <v>113257</v>
      </c>
      <c r="EI209" s="29">
        <f t="shared" si="52"/>
        <v>92521</v>
      </c>
      <c r="EJ209" s="29">
        <f t="shared" si="53"/>
        <v>1891088</v>
      </c>
      <c r="EK209" s="29">
        <f t="shared" si="54"/>
        <v>1977705.5939086294</v>
      </c>
      <c r="EL209" s="29" t="e">
        <f>IF(CD209=1,VLOOKUP(EA209,'EIA 2023'!$A$2:$J$213,4,0)*EH209,"")</f>
        <v>#VALUE!</v>
      </c>
      <c r="EM209" s="29">
        <f>IF(CD209=1,VLOOKUP(EA209,'EIA 2023'!$A$2:$J$213,7,0)*EH209,"")</f>
        <v>169885.5</v>
      </c>
      <c r="EN209" s="29">
        <f>IF(CD209=1,VLOOKUP(EA209,'EIA 2023'!$A$2:$J$213,10,0),"")</f>
        <v>115458</v>
      </c>
      <c r="EO209" s="28">
        <f>IF(CD209=1,VLOOKUP(EA209,'EIA 2023'!$A$2:$Z$213,26,0),"")</f>
        <v>0</v>
      </c>
      <c r="EP209" s="23">
        <f t="shared" si="55"/>
        <v>4.3797011130176942E-2</v>
      </c>
      <c r="EQ209" s="32">
        <f t="shared" si="56"/>
        <v>5903.4060913705616</v>
      </c>
      <c r="ER209" s="32">
        <f t="shared" si="57"/>
        <v>86617.593908629438</v>
      </c>
      <c r="ES209" s="32"/>
      <c r="ET209" s="32"/>
    </row>
    <row r="210" spans="1:150" ht="15.75" customHeight="1">
      <c r="A210" s="7" t="s">
        <v>841</v>
      </c>
      <c r="B210" s="7" t="s">
        <v>842</v>
      </c>
      <c r="C210" s="32" t="s">
        <v>1295</v>
      </c>
      <c r="D210" s="42">
        <v>0</v>
      </c>
      <c r="E210" s="42">
        <v>0</v>
      </c>
      <c r="F210" s="42">
        <v>248518</v>
      </c>
      <c r="G210" s="42">
        <v>9883122</v>
      </c>
      <c r="H210" s="42">
        <v>9883122</v>
      </c>
      <c r="I210" s="42">
        <v>702628</v>
      </c>
      <c r="J210" s="42">
        <v>18664</v>
      </c>
      <c r="K210" s="42">
        <v>0</v>
      </c>
      <c r="L210" s="42">
        <v>0</v>
      </c>
      <c r="M210" s="42">
        <v>0</v>
      </c>
      <c r="N210" s="42">
        <v>0</v>
      </c>
      <c r="O210" s="42">
        <v>377053</v>
      </c>
      <c r="P210" s="42">
        <v>0</v>
      </c>
      <c r="Q210" s="42">
        <v>0</v>
      </c>
      <c r="R210" s="42">
        <v>116440</v>
      </c>
      <c r="S210" s="42">
        <v>117095</v>
      </c>
      <c r="T210" s="42">
        <v>1125666</v>
      </c>
      <c r="U210" s="42">
        <v>473431</v>
      </c>
      <c r="V210" s="42">
        <v>57596</v>
      </c>
      <c r="W210" s="42">
        <v>41891</v>
      </c>
      <c r="X210" s="42">
        <f>IFERROR(VLOOKUP(A210,'Trans 21-23'!$A$2:$J$229,10,0),0)</f>
        <v>1443666</v>
      </c>
      <c r="Y210" s="42">
        <v>481353</v>
      </c>
      <c r="Z210" s="42">
        <v>90484</v>
      </c>
      <c r="AA210" s="42">
        <v>1436148</v>
      </c>
      <c r="AB210" s="42">
        <v>18227</v>
      </c>
      <c r="AC210" s="42">
        <v>0</v>
      </c>
      <c r="AD210" s="42">
        <v>6275155</v>
      </c>
      <c r="AE210" s="42">
        <v>0</v>
      </c>
      <c r="AF210" s="42">
        <v>25416911</v>
      </c>
      <c r="AG210" s="42">
        <v>17869</v>
      </c>
      <c r="AH210" s="42">
        <v>17575</v>
      </c>
      <c r="AI210" s="42">
        <v>433798</v>
      </c>
      <c r="AJ210" s="42">
        <v>4533</v>
      </c>
      <c r="AK210" s="42">
        <v>0</v>
      </c>
      <c r="AL210" s="42">
        <v>161849</v>
      </c>
      <c r="AM210" s="42">
        <v>50991</v>
      </c>
      <c r="AN210" s="42">
        <v>124527</v>
      </c>
      <c r="AO210" s="42">
        <v>943</v>
      </c>
      <c r="AP210" s="42">
        <v>73380</v>
      </c>
      <c r="AQ210" s="42">
        <v>411690</v>
      </c>
      <c r="AR210" s="42">
        <v>0</v>
      </c>
      <c r="AS210" s="42">
        <v>411690</v>
      </c>
      <c r="AT210" s="42">
        <v>0</v>
      </c>
      <c r="AU210" s="42">
        <v>76</v>
      </c>
      <c r="AV210" s="42">
        <v>0</v>
      </c>
      <c r="AW210" s="42">
        <v>10159855</v>
      </c>
      <c r="AX210" s="42">
        <v>2773653</v>
      </c>
      <c r="AY210" s="42">
        <v>8011773</v>
      </c>
      <c r="AZ210" s="42">
        <v>11160672</v>
      </c>
      <c r="BA210" s="42">
        <v>479815</v>
      </c>
      <c r="BB210" s="42">
        <v>62466230</v>
      </c>
      <c r="BC210" s="42">
        <v>280016384</v>
      </c>
      <c r="BD210" s="42">
        <v>19495412</v>
      </c>
      <c r="BE210" s="42">
        <v>40727858</v>
      </c>
      <c r="BF210" s="42">
        <v>1662402</v>
      </c>
      <c r="BG210" s="42">
        <v>0</v>
      </c>
      <c r="BH210" s="42">
        <v>925894</v>
      </c>
      <c r="BI210" s="42">
        <v>731467</v>
      </c>
      <c r="BJ210" s="42">
        <v>0</v>
      </c>
      <c r="BK210" s="42">
        <v>0</v>
      </c>
      <c r="BL210" s="42">
        <v>0</v>
      </c>
      <c r="BM210" s="42">
        <v>2067088</v>
      </c>
      <c r="BN210" s="42">
        <v>6697483</v>
      </c>
      <c r="BO210" s="42">
        <v>4815701</v>
      </c>
      <c r="BP210" s="42">
        <v>1175230</v>
      </c>
      <c r="BQ210" s="42">
        <v>8527485</v>
      </c>
      <c r="BR210" s="42">
        <v>0</v>
      </c>
      <c r="BS210" s="42">
        <f>IFERROR(VLOOKUP(A210,'Trans 21-23'!$A$2:$J$229,9,0),0)</f>
        <v>32909484</v>
      </c>
      <c r="BT210" s="67"/>
      <c r="BU210" s="32">
        <f t="shared" si="0"/>
        <v>62466230</v>
      </c>
      <c r="BV210" s="32">
        <f t="shared" si="1"/>
        <v>76</v>
      </c>
      <c r="BW210" s="32">
        <f t="shared" si="2"/>
        <v>17869</v>
      </c>
      <c r="BX210" s="32">
        <f t="shared" si="3"/>
        <v>3030464</v>
      </c>
      <c r="BY210" s="32">
        <f t="shared" si="4"/>
        <v>2026212</v>
      </c>
      <c r="BZ210" s="32">
        <f t="shared" si="5"/>
        <v>11160672</v>
      </c>
      <c r="CA210" s="32">
        <f t="shared" si="6"/>
        <v>6275155</v>
      </c>
      <c r="CB210" s="32">
        <f t="shared" si="7"/>
        <v>17575</v>
      </c>
      <c r="CC210" s="32">
        <f t="shared" si="8"/>
        <v>411690</v>
      </c>
      <c r="CD210" s="41">
        <f t="shared" si="74"/>
        <v>1</v>
      </c>
      <c r="CE210" s="44">
        <f t="shared" si="10"/>
        <v>19</v>
      </c>
      <c r="CF210" s="27"/>
      <c r="CG210" s="28">
        <f t="shared" si="11"/>
        <v>821.92407894736846</v>
      </c>
      <c r="CH210" s="28">
        <f t="shared" si="12"/>
        <v>4.2531758912082376</v>
      </c>
      <c r="CI210" s="28">
        <f t="shared" si="13"/>
        <v>169.59337399966421</v>
      </c>
      <c r="CJ210" s="28">
        <f t="shared" si="14"/>
        <v>624.58290894845823</v>
      </c>
      <c r="CK210" s="23">
        <f t="shared" si="15"/>
        <v>4.2689888022541235E-2</v>
      </c>
      <c r="CL210" s="29" t="str">
        <f t="shared" si="16"/>
        <v/>
      </c>
      <c r="CM210" s="29" t="str">
        <f t="shared" si="17"/>
        <v/>
      </c>
      <c r="CN210" s="29" t="str">
        <f t="shared" si="18"/>
        <v/>
      </c>
      <c r="CO210" s="29" t="str">
        <f t="shared" si="19"/>
        <v/>
      </c>
      <c r="CP210" s="29" t="str">
        <f t="shared" si="20"/>
        <v/>
      </c>
      <c r="CQ210" s="29">
        <f t="shared" si="21"/>
        <v>0</v>
      </c>
      <c r="CR210" s="13"/>
      <c r="CS210" s="7">
        <f>VLOOKUP(A210,'Empresas 21-23'!$A$2:$M$228,13,0)</f>
        <v>1</v>
      </c>
      <c r="CT210" s="30"/>
      <c r="CU210" s="6">
        <f t="shared" si="22"/>
        <v>77263971.400000006</v>
      </c>
      <c r="CV210" s="6">
        <f t="shared" si="23"/>
        <v>11160672</v>
      </c>
      <c r="CW210" s="6">
        <f t="shared" si="24"/>
        <v>19495412</v>
      </c>
      <c r="CX210" s="23">
        <f t="shared" ref="CX210:CX216" si="92">CU210/(BC210-BD210)</f>
        <v>0.29657486231089297</v>
      </c>
      <c r="CY210" s="23">
        <f t="shared" ref="CY210:CY216" si="93">CV210/(BC210-BD210)</f>
        <v>4.2839821739955736E-2</v>
      </c>
      <c r="CZ210" s="6">
        <f t="shared" si="27"/>
        <v>83045820.529594138</v>
      </c>
      <c r="DA210" s="6">
        <f t="shared" si="28"/>
        <v>11995851.974826993</v>
      </c>
      <c r="DB210" s="6">
        <f t="shared" si="29"/>
        <v>3030464</v>
      </c>
      <c r="DC210" s="6">
        <f t="shared" si="30"/>
        <v>4474130</v>
      </c>
      <c r="DD210" s="6">
        <f t="shared" si="31"/>
        <v>2026212</v>
      </c>
      <c r="DE210" s="6">
        <f t="shared" si="32"/>
        <v>6275155</v>
      </c>
      <c r="DF210" s="6">
        <f t="shared" si="86"/>
        <v>4527206.2649371</v>
      </c>
      <c r="DG210" s="30"/>
      <c r="DH210" s="32">
        <f>VLOOKUP(A210,'T_med_comp-USA'!$A$7:$Q$233,17,0)</f>
        <v>24.540016693502423</v>
      </c>
      <c r="DI210" s="6" t="str">
        <f t="shared" si="34"/>
        <v>6_1999</v>
      </c>
      <c r="DJ210" s="32">
        <f>IF(DI210="","",VLOOKUP(DI210,'CPI USA'!$T:$U,2,FALSE))</f>
        <v>166.6</v>
      </c>
      <c r="DK210" s="32">
        <f>IF(DI210="","",VLOOKUP(DI210,'PPI USA'!$S:$T,2,FALSE))</f>
        <v>108.4</v>
      </c>
      <c r="DL210" s="32">
        <f>IF(DI210="","",VLOOKUP(DI210,'CPI USA'!$T:$V,3,FALSE))</f>
        <v>0.68171861002498191</v>
      </c>
      <c r="DM210" s="32">
        <f>IF(DI210="","",VLOOKUP(DI210,'CPI USA'!$T:$X,5,FALSE))</f>
        <v>0.51154414520416192</v>
      </c>
      <c r="DN210" s="32">
        <f t="shared" si="35"/>
        <v>1.9566489114506975</v>
      </c>
      <c r="DO210" s="32">
        <f t="shared" si="36"/>
        <v>1.994527155423238</v>
      </c>
      <c r="DP210" s="32">
        <f t="shared" si="37"/>
        <v>0.52521360340056578</v>
      </c>
      <c r="DQ210" s="32">
        <f>IF(DP210="","",DP210*$DO$1/'CPI USA'!$U$532+(1-DP210)*AVERAGE($DO$1,$DQ$1)/AVERAGE('CPI USA'!$U$532,'PPI USA'!$T$538))</f>
        <v>1.0351762729435618</v>
      </c>
      <c r="DR210" s="6">
        <f t="shared" si="38"/>
        <v>731467</v>
      </c>
      <c r="DS210" s="32">
        <f t="shared" si="39"/>
        <v>0.62057414878418915</v>
      </c>
      <c r="DT210" s="28">
        <f>IF(DS210="","",DS210*$DO$1/'CPI USA'!$U$532+(1-DS210)*AVERAGE($DO$1,$DQ$1)/AVERAGE('CPI USA'!$U$532,'PPI USA'!$T$538))</f>
        <v>1.0329754583695225</v>
      </c>
      <c r="DU210" s="6">
        <f t="shared" si="40"/>
        <v>3553389.3088182532</v>
      </c>
      <c r="DV210" s="6">
        <f t="shared" si="87"/>
        <v>330416.1553482571</v>
      </c>
      <c r="DW210" s="6">
        <f t="shared" si="42"/>
        <v>961087.57691456215</v>
      </c>
      <c r="DX210" s="16">
        <f t="shared" si="43"/>
        <v>0.2122915371358533</v>
      </c>
      <c r="DY210" s="28">
        <f>IF(DX210="","",DX210*$DO$1/'CPI USA'!$U$532+(1-DX210)*AVERAGE($DO$1,$DQ$1)/AVERAGE('CPI USA'!$U$532,'PPI USA'!$T$538))</f>
        <v>1.0423981637287223</v>
      </c>
      <c r="DZ210" s="30"/>
      <c r="EA210" s="29" t="str">
        <f t="shared" si="44"/>
        <v>C011150</v>
      </c>
      <c r="EB210" s="29">
        <f t="shared" si="45"/>
        <v>162491514.33976036</v>
      </c>
      <c r="EC210" s="29">
        <f t="shared" si="46"/>
        <v>23926052.516229916</v>
      </c>
      <c r="ED210" s="29">
        <f t="shared" si="47"/>
        <v>4631513.2180649787</v>
      </c>
      <c r="EE210" s="29">
        <f t="shared" si="48"/>
        <v>2093027.2694538271</v>
      </c>
      <c r="EF210" s="29">
        <f t="shared" si="49"/>
        <v>4719151.4973916002</v>
      </c>
      <c r="EG210" s="29">
        <f t="shared" si="50"/>
        <v>76</v>
      </c>
      <c r="EH210" s="29">
        <f t="shared" si="51"/>
        <v>17869</v>
      </c>
      <c r="EI210" s="29">
        <f t="shared" si="52"/>
        <v>17575</v>
      </c>
      <c r="EJ210" s="29">
        <f t="shared" si="53"/>
        <v>411690</v>
      </c>
      <c r="EK210" s="29">
        <f t="shared" si="54"/>
        <v>429265</v>
      </c>
      <c r="EL210" s="29">
        <f>IF(CD210=1,VLOOKUP(EA210,'EIA 2023'!$A$2:$J$213,4,0)*EH210,"")</f>
        <v>1322306</v>
      </c>
      <c r="EM210" s="29">
        <f>IF(CD210=1,VLOOKUP(EA210,'EIA 2023'!$A$2:$J$213,7,0)*EH210,"")</f>
        <v>34665.86</v>
      </c>
      <c r="EN210" s="29">
        <f>IF(CD210=1,VLOOKUP(EA210,'EIA 2023'!$A$2:$J$213,10,0),"")</f>
        <v>18020</v>
      </c>
      <c r="EO210" s="28">
        <f>IF(CD210=1,VLOOKUP(EA210,'EIA 2023'!$A$2:$Z$213,26,0),"")</f>
        <v>0</v>
      </c>
      <c r="EP210" s="23">
        <f t="shared" si="55"/>
        <v>4.0942075407964774E-2</v>
      </c>
      <c r="EQ210" s="32">
        <f t="shared" si="56"/>
        <v>0</v>
      </c>
      <c r="ER210" s="32">
        <f t="shared" si="57"/>
        <v>17575</v>
      </c>
      <c r="ES210" s="32"/>
      <c r="ET210" s="32"/>
    </row>
    <row r="211" spans="1:150" ht="15.75" customHeight="1">
      <c r="A211" s="7" t="s">
        <v>844</v>
      </c>
      <c r="B211" s="7" t="s">
        <v>845</v>
      </c>
      <c r="C211" s="32" t="s">
        <v>1296</v>
      </c>
      <c r="D211" s="42">
        <v>0</v>
      </c>
      <c r="E211" s="42">
        <v>0</v>
      </c>
      <c r="F211" s="42">
        <v>0</v>
      </c>
      <c r="G211" s="42">
        <v>72691805</v>
      </c>
      <c r="H211" s="42">
        <v>72695754</v>
      </c>
      <c r="I211" s="42">
        <v>42776</v>
      </c>
      <c r="J211" s="42">
        <v>11570</v>
      </c>
      <c r="K211" s="42">
        <v>43965</v>
      </c>
      <c r="L211" s="42">
        <v>76767</v>
      </c>
      <c r="M211" s="42">
        <v>63391</v>
      </c>
      <c r="N211" s="42">
        <v>0</v>
      </c>
      <c r="O211" s="42">
        <v>247007</v>
      </c>
      <c r="P211" s="42">
        <v>4544</v>
      </c>
      <c r="Q211" s="42">
        <v>0</v>
      </c>
      <c r="R211" s="42">
        <v>0</v>
      </c>
      <c r="S211" s="42">
        <v>4616</v>
      </c>
      <c r="T211" s="42">
        <v>756741</v>
      </c>
      <c r="U211" s="42">
        <v>32044</v>
      </c>
      <c r="V211" s="42">
        <v>4513</v>
      </c>
      <c r="W211" s="42">
        <v>0</v>
      </c>
      <c r="X211" s="42">
        <f>IFERROR(VLOOKUP(A211,'Trans 21-23'!$A$2:$J$229,10,0),0)</f>
        <v>41856</v>
      </c>
      <c r="Y211" s="42">
        <v>235599</v>
      </c>
      <c r="Z211" s="42">
        <v>16534</v>
      </c>
      <c r="AA211" s="42">
        <v>793775</v>
      </c>
      <c r="AB211" s="42">
        <v>1079933</v>
      </c>
      <c r="AC211" s="42">
        <v>0</v>
      </c>
      <c r="AD211" s="42">
        <v>3901332</v>
      </c>
      <c r="AE211" s="42">
        <v>0</v>
      </c>
      <c r="AF211" s="42">
        <v>80314646</v>
      </c>
      <c r="AG211" s="42">
        <v>15315</v>
      </c>
      <c r="AH211" s="42">
        <v>9541</v>
      </c>
      <c r="AI211" s="42">
        <v>1012448</v>
      </c>
      <c r="AJ211" s="42">
        <v>0</v>
      </c>
      <c r="AK211" s="42">
        <v>0</v>
      </c>
      <c r="AL211" s="42">
        <v>85036</v>
      </c>
      <c r="AM211" s="42">
        <v>114540</v>
      </c>
      <c r="AN211" s="42">
        <v>799455</v>
      </c>
      <c r="AO211" s="42">
        <v>1932</v>
      </c>
      <c r="AP211" s="42">
        <v>0</v>
      </c>
      <c r="AQ211" s="42">
        <v>1002907</v>
      </c>
      <c r="AR211" s="42">
        <v>0</v>
      </c>
      <c r="AS211" s="42">
        <v>1002907</v>
      </c>
      <c r="AT211" s="42">
        <v>0</v>
      </c>
      <c r="AU211" s="42">
        <v>139</v>
      </c>
      <c r="AV211" s="42">
        <v>0</v>
      </c>
      <c r="AW211" s="42">
        <v>7342303</v>
      </c>
      <c r="AX211" s="42">
        <v>34822</v>
      </c>
      <c r="AY211" s="42">
        <v>6492309</v>
      </c>
      <c r="AZ211" s="42">
        <v>3776993</v>
      </c>
      <c r="BA211" s="42">
        <v>514740</v>
      </c>
      <c r="BB211" s="42">
        <v>46826826</v>
      </c>
      <c r="BC211" s="42">
        <v>84615187</v>
      </c>
      <c r="BD211" s="42">
        <v>3602954</v>
      </c>
      <c r="BE211" s="42">
        <v>27526364</v>
      </c>
      <c r="BF211" s="42">
        <v>1771047</v>
      </c>
      <c r="BG211" s="42">
        <v>0</v>
      </c>
      <c r="BH211" s="42">
        <v>708256</v>
      </c>
      <c r="BI211" s="42">
        <v>291193</v>
      </c>
      <c r="BJ211" s="42">
        <v>160901</v>
      </c>
      <c r="BK211" s="42">
        <v>0</v>
      </c>
      <c r="BL211" s="42">
        <v>0</v>
      </c>
      <c r="BM211" s="42">
        <v>1053014</v>
      </c>
      <c r="BN211" s="42">
        <v>2227390</v>
      </c>
      <c r="BO211" s="42">
        <v>82945</v>
      </c>
      <c r="BP211" s="42">
        <v>578060</v>
      </c>
      <c r="BQ211" s="42">
        <v>8227123</v>
      </c>
      <c r="BR211" s="42">
        <v>1944</v>
      </c>
      <c r="BS211" s="42">
        <f>IFERROR(VLOOKUP(A211,'Trans 21-23'!$A$2:$J$229,9,0),0)</f>
        <v>4121988</v>
      </c>
      <c r="BT211" s="67"/>
      <c r="BU211" s="32">
        <f t="shared" si="0"/>
        <v>46826826</v>
      </c>
      <c r="BV211" s="32">
        <f t="shared" si="1"/>
        <v>139</v>
      </c>
      <c r="BW211" s="32">
        <f t="shared" si="2"/>
        <v>15315</v>
      </c>
      <c r="BX211" s="32">
        <f t="shared" si="3"/>
        <v>1287934</v>
      </c>
      <c r="BY211" s="32">
        <f t="shared" si="4"/>
        <v>2125841</v>
      </c>
      <c r="BZ211" s="32">
        <f t="shared" si="5"/>
        <v>3776993</v>
      </c>
      <c r="CA211" s="32">
        <f t="shared" si="6"/>
        <v>3901332</v>
      </c>
      <c r="CB211" s="32">
        <f t="shared" si="7"/>
        <v>9541</v>
      </c>
      <c r="CC211" s="32">
        <f t="shared" si="8"/>
        <v>1002907</v>
      </c>
      <c r="CD211" s="41">
        <f t="shared" si="74"/>
        <v>1</v>
      </c>
      <c r="CE211" s="44">
        <f t="shared" si="10"/>
        <v>18</v>
      </c>
      <c r="CF211" s="27"/>
      <c r="CG211" s="28">
        <f t="shared" si="11"/>
        <v>336.88364028776977</v>
      </c>
      <c r="CH211" s="28">
        <f t="shared" si="12"/>
        <v>9.0760692131896832</v>
      </c>
      <c r="CI211" s="28">
        <f t="shared" si="13"/>
        <v>84.096245510936996</v>
      </c>
      <c r="CJ211" s="28">
        <f t="shared" si="14"/>
        <v>246.62050277505713</v>
      </c>
      <c r="CK211" s="23">
        <f t="shared" si="15"/>
        <v>9.5133447069369343E-3</v>
      </c>
      <c r="CL211" s="29" t="str">
        <f t="shared" si="16"/>
        <v/>
      </c>
      <c r="CM211" s="29" t="str">
        <f t="shared" si="17"/>
        <v/>
      </c>
      <c r="CN211" s="29" t="str">
        <f t="shared" si="18"/>
        <v/>
      </c>
      <c r="CO211" s="29" t="str">
        <f t="shared" si="19"/>
        <v/>
      </c>
      <c r="CP211" s="29" t="str">
        <f t="shared" si="20"/>
        <v/>
      </c>
      <c r="CQ211" s="29">
        <f t="shared" si="21"/>
        <v>0</v>
      </c>
      <c r="CR211" s="13"/>
      <c r="CS211" s="7">
        <f>VLOOKUP(A211,'Empresas 21-23'!$A$2:$M$228,13,0)</f>
        <v>1</v>
      </c>
      <c r="CT211" s="30"/>
      <c r="CU211" s="6">
        <f t="shared" si="22"/>
        <v>42740802.399999999</v>
      </c>
      <c r="CV211" s="6">
        <f t="shared" si="23"/>
        <v>3776993</v>
      </c>
      <c r="CW211" s="6">
        <f t="shared" si="24"/>
        <v>3602954</v>
      </c>
      <c r="CX211" s="23">
        <f t="shared" si="92"/>
        <v>0.52758454886683592</v>
      </c>
      <c r="CY211" s="23">
        <f t="shared" si="93"/>
        <v>4.6622502060892461E-2</v>
      </c>
      <c r="CZ211" s="6">
        <f t="shared" si="27"/>
        <v>44641665.260677963</v>
      </c>
      <c r="DA211" s="6">
        <f t="shared" si="28"/>
        <v>3944971.7302903007</v>
      </c>
      <c r="DB211" s="6">
        <f t="shared" si="29"/>
        <v>1287934</v>
      </c>
      <c r="DC211" s="6">
        <f t="shared" si="30"/>
        <v>1329790</v>
      </c>
      <c r="DD211" s="6">
        <f t="shared" si="31"/>
        <v>2125841</v>
      </c>
      <c r="DE211" s="6">
        <f t="shared" si="32"/>
        <v>3901332</v>
      </c>
      <c r="DF211" s="6">
        <f t="shared" si="86"/>
        <v>3626454.9329377334</v>
      </c>
      <c r="DG211" s="30"/>
      <c r="DH211" s="32">
        <f>VLOOKUP(A211,'T_med_comp-USA'!$A$7:$Q$233,17,0)</f>
        <v>15.229845418198073</v>
      </c>
      <c r="DI211" s="6" t="str">
        <f t="shared" si="34"/>
        <v>10_2008</v>
      </c>
      <c r="DJ211" s="32">
        <f>IF(DI211="","",VLOOKUP(DI211,'CPI USA'!$T:$U,2,FALSE))</f>
        <v>215.303</v>
      </c>
      <c r="DK211" s="32">
        <f>IF(DI211="","",VLOOKUP(DI211,'PPI USA'!$S:$T,2,FALSE))</f>
        <v>159.30000000000001</v>
      </c>
      <c r="DL211" s="32">
        <f>IF(DI211="","",VLOOKUP(DI211,'CPI USA'!$T:$V,3,FALSE))</f>
        <v>0.67018812038291731</v>
      </c>
      <c r="DM211" s="32">
        <f>IF(DI211="","",VLOOKUP(DI211,'CPI USA'!$T:$X,5,FALSE))</f>
        <v>0.49838492968660258</v>
      </c>
      <c r="DN211" s="32">
        <f t="shared" si="35"/>
        <v>1.4884333659448254</v>
      </c>
      <c r="DO211" s="32">
        <f t="shared" si="36"/>
        <v>1.5036496327119213</v>
      </c>
      <c r="DP211" s="32">
        <f t="shared" si="37"/>
        <v>0.57039452205473662</v>
      </c>
      <c r="DQ211" s="32">
        <f>IF(DP211="","",DP211*$DO$1/'CPI USA'!$U$532+(1-DP211)*AVERAGE($DO$1,$DQ$1)/AVERAGE('CPI USA'!$U$532,'PPI USA'!$T$538))</f>
        <v>1.0341335479482028</v>
      </c>
      <c r="DR211" s="6">
        <f t="shared" si="38"/>
        <v>452094</v>
      </c>
      <c r="DS211" s="32">
        <f t="shared" si="39"/>
        <v>0.22058534524380194</v>
      </c>
      <c r="DT211" s="28">
        <f>IF(DS211="","",DS211*$DO$1/'CPI USA'!$U$532+(1-DS211)*AVERAGE($DO$1,$DQ$1)/AVERAGE('CPI USA'!$U$532,'PPI USA'!$T$538))</f>
        <v>1.0422067519274913</v>
      </c>
      <c r="DU211" s="6">
        <f t="shared" si="40"/>
        <v>1092226.8213873636</v>
      </c>
      <c r="DV211" s="6">
        <f t="shared" si="87"/>
        <v>79579.063846120771</v>
      </c>
      <c r="DW211" s="6">
        <f t="shared" si="42"/>
        <v>610447.63554234942</v>
      </c>
      <c r="DX211" s="16">
        <f t="shared" si="43"/>
        <v>0.2</v>
      </c>
      <c r="DY211" s="28">
        <f>IF(DX211="","",DX211*$DO$1/'CPI USA'!$U$532+(1-DX211)*AVERAGE($DO$1,$DQ$1)/AVERAGE('CPI USA'!$U$532,'PPI USA'!$T$538))</f>
        <v>1.0426818386380585</v>
      </c>
      <c r="DZ211" s="30"/>
      <c r="EA211" s="29" t="str">
        <f t="shared" si="44"/>
        <v>C011163</v>
      </c>
      <c r="EB211" s="29">
        <f t="shared" si="45"/>
        <v>66446144.085333087</v>
      </c>
      <c r="EC211" s="29">
        <f t="shared" si="46"/>
        <v>5931855.2933099233</v>
      </c>
      <c r="ED211" s="29">
        <f t="shared" si="47"/>
        <v>1375180.4507260406</v>
      </c>
      <c r="EE211" s="29">
        <f t="shared" si="48"/>
        <v>2215565.8437242899</v>
      </c>
      <c r="EF211" s="29">
        <f t="shared" si="49"/>
        <v>3781238.6972135729</v>
      </c>
      <c r="EG211" s="29">
        <f t="shared" si="50"/>
        <v>139</v>
      </c>
      <c r="EH211" s="29">
        <f t="shared" si="51"/>
        <v>15315</v>
      </c>
      <c r="EI211" s="29">
        <f t="shared" si="52"/>
        <v>9541</v>
      </c>
      <c r="EJ211" s="29">
        <f t="shared" si="53"/>
        <v>1002907</v>
      </c>
      <c r="EK211" s="29">
        <f t="shared" si="54"/>
        <v>1012448</v>
      </c>
      <c r="EL211" s="29">
        <f>IF(CD211=1,VLOOKUP(EA211,'EIA 2023'!$A$2:$J$213,4,0)*EH211,"")</f>
        <v>260355</v>
      </c>
      <c r="EM211" s="29">
        <f>IF(CD211=1,VLOOKUP(EA211,'EIA 2023'!$A$2:$J$213,7,0)*EH211,"")</f>
        <v>18990.599999999999</v>
      </c>
      <c r="EN211" s="29">
        <f>IF(CD211=1,VLOOKUP(EA211,'EIA 2023'!$A$2:$J$213,10,0),"")</f>
        <v>15016</v>
      </c>
      <c r="EO211" s="28">
        <f>IF(CD211=1,VLOOKUP(EA211,'EIA 2023'!$A$2:$Z$213,26,0),"")</f>
        <v>0</v>
      </c>
      <c r="EP211" s="23">
        <f t="shared" si="55"/>
        <v>9.4236938588450961E-3</v>
      </c>
      <c r="EQ211" s="32">
        <f t="shared" si="56"/>
        <v>0</v>
      </c>
      <c r="ER211" s="32">
        <f t="shared" si="57"/>
        <v>9541</v>
      </c>
      <c r="ES211" s="32"/>
      <c r="ET211" s="32"/>
    </row>
    <row r="212" spans="1:150" ht="15.75" customHeight="1">
      <c r="A212" s="7" t="s">
        <v>850</v>
      </c>
      <c r="B212" s="7" t="s">
        <v>851</v>
      </c>
      <c r="C212" s="32" t="s">
        <v>1297</v>
      </c>
      <c r="D212" s="42">
        <v>0</v>
      </c>
      <c r="E212" s="42">
        <v>0</v>
      </c>
      <c r="F212" s="42">
        <v>0</v>
      </c>
      <c r="G212" s="42">
        <v>5914750</v>
      </c>
      <c r="H212" s="42">
        <v>5914750</v>
      </c>
      <c r="I212" s="42">
        <v>921</v>
      </c>
      <c r="J212" s="42">
        <v>85660</v>
      </c>
      <c r="K212" s="42">
        <v>9499</v>
      </c>
      <c r="L212" s="42">
        <v>72050</v>
      </c>
      <c r="M212" s="42">
        <v>16779</v>
      </c>
      <c r="N212" s="42">
        <v>14114</v>
      </c>
      <c r="O212" s="42">
        <v>160875</v>
      </c>
      <c r="P212" s="42">
        <v>0</v>
      </c>
      <c r="Q212" s="42">
        <v>0</v>
      </c>
      <c r="R212" s="42">
        <v>0</v>
      </c>
      <c r="S212" s="42">
        <v>7408</v>
      </c>
      <c r="T212" s="42">
        <v>1239100</v>
      </c>
      <c r="U212" s="42">
        <v>736</v>
      </c>
      <c r="V212" s="42">
        <v>0</v>
      </c>
      <c r="W212" s="42">
        <v>0</v>
      </c>
      <c r="X212" s="42">
        <f>IFERROR(VLOOKUP(A212,'Trans 21-23'!$A$2:$J$229,10,0),0)</f>
        <v>0</v>
      </c>
      <c r="Y212" s="42">
        <v>88418</v>
      </c>
      <c r="Z212" s="42">
        <v>94238</v>
      </c>
      <c r="AA212" s="42">
        <v>645109</v>
      </c>
      <c r="AB212" s="42">
        <v>7423</v>
      </c>
      <c r="AC212" s="42">
        <v>3149</v>
      </c>
      <c r="AD212" s="42">
        <v>2451656</v>
      </c>
      <c r="AE212" s="42">
        <v>0</v>
      </c>
      <c r="AF212" s="42">
        <v>12231273</v>
      </c>
      <c r="AG212" s="42">
        <v>5237</v>
      </c>
      <c r="AH212" s="42">
        <v>5792</v>
      </c>
      <c r="AI212" s="42">
        <v>92351</v>
      </c>
      <c r="AJ212" s="42">
        <v>320</v>
      </c>
      <c r="AK212" s="42">
        <v>329</v>
      </c>
      <c r="AL212" s="42">
        <v>44729</v>
      </c>
      <c r="AM212" s="42">
        <v>14409</v>
      </c>
      <c r="AN212" s="42">
        <v>22958</v>
      </c>
      <c r="AO212" s="42">
        <v>0</v>
      </c>
      <c r="AP212" s="42">
        <v>503</v>
      </c>
      <c r="AQ212" s="42">
        <v>82599</v>
      </c>
      <c r="AR212" s="42">
        <v>3311</v>
      </c>
      <c r="AS212" s="42">
        <v>85910</v>
      </c>
      <c r="AT212" s="42">
        <v>0</v>
      </c>
      <c r="AU212" s="42">
        <v>24</v>
      </c>
      <c r="AV212" s="42">
        <v>0</v>
      </c>
      <c r="AW212" s="42">
        <v>8513381</v>
      </c>
      <c r="AX212" s="42">
        <v>153762</v>
      </c>
      <c r="AY212" s="42">
        <v>922857</v>
      </c>
      <c r="AZ212" s="42">
        <v>1503696</v>
      </c>
      <c r="BA212" s="42">
        <v>231989</v>
      </c>
      <c r="BB212" s="42">
        <v>28319682</v>
      </c>
      <c r="BC212" s="42">
        <v>43373121</v>
      </c>
      <c r="BD212" s="42">
        <v>6575568</v>
      </c>
      <c r="BE212" s="42">
        <v>13255999</v>
      </c>
      <c r="BF212" s="42">
        <v>981426</v>
      </c>
      <c r="BG212" s="42">
        <v>0</v>
      </c>
      <c r="BH212" s="42">
        <v>734963</v>
      </c>
      <c r="BI212" s="42">
        <v>222799</v>
      </c>
      <c r="BJ212" s="42">
        <v>0</v>
      </c>
      <c r="BK212" s="42">
        <v>0</v>
      </c>
      <c r="BL212" s="42">
        <v>0</v>
      </c>
      <c r="BM212" s="42">
        <v>962910</v>
      </c>
      <c r="BN212" s="42">
        <v>1925151</v>
      </c>
      <c r="BO212" s="42">
        <v>25553</v>
      </c>
      <c r="BP212" s="42">
        <v>0</v>
      </c>
      <c r="BQ212" s="42">
        <v>3263985</v>
      </c>
      <c r="BR212" s="42">
        <v>0</v>
      </c>
      <c r="BS212" s="42">
        <f>IFERROR(VLOOKUP(A212,'Trans 21-23'!$A$2:$J$229,9,0),0)</f>
        <v>0</v>
      </c>
      <c r="BT212" s="67"/>
      <c r="BU212" s="32">
        <f t="shared" si="0"/>
        <v>28319682</v>
      </c>
      <c r="BV212" s="32">
        <f t="shared" si="1"/>
        <v>24</v>
      </c>
      <c r="BW212" s="32">
        <f t="shared" si="2"/>
        <v>5237</v>
      </c>
      <c r="BX212" s="32">
        <f t="shared" si="3"/>
        <v>1607142</v>
      </c>
      <c r="BY212" s="32">
        <f t="shared" si="4"/>
        <v>838337</v>
      </c>
      <c r="BZ212" s="32">
        <f t="shared" si="5"/>
        <v>1503696</v>
      </c>
      <c r="CA212" s="32">
        <f t="shared" si="6"/>
        <v>2451656</v>
      </c>
      <c r="CB212" s="32">
        <f t="shared" si="7"/>
        <v>5792</v>
      </c>
      <c r="CC212" s="32">
        <f t="shared" si="8"/>
        <v>82599</v>
      </c>
      <c r="CD212" s="41">
        <f t="shared" si="74"/>
        <v>1</v>
      </c>
      <c r="CE212" s="44">
        <f t="shared" si="10"/>
        <v>20</v>
      </c>
      <c r="CF212" s="27"/>
      <c r="CG212" s="28">
        <f t="shared" si="11"/>
        <v>1179.98675</v>
      </c>
      <c r="CH212" s="28">
        <f t="shared" si="12"/>
        <v>4.5827763987015464</v>
      </c>
      <c r="CI212" s="28">
        <f t="shared" si="13"/>
        <v>306.88218445675005</v>
      </c>
      <c r="CJ212" s="28">
        <f t="shared" si="14"/>
        <v>287.12927248424671</v>
      </c>
      <c r="CK212" s="23">
        <f t="shared" si="15"/>
        <v>7.0121914308889935E-2</v>
      </c>
      <c r="CL212" s="29" t="str">
        <f t="shared" si="16"/>
        <v/>
      </c>
      <c r="CM212" s="29" t="str">
        <f t="shared" si="17"/>
        <v/>
      </c>
      <c r="CN212" s="29" t="str">
        <f t="shared" si="18"/>
        <v/>
      </c>
      <c r="CO212" s="29" t="str">
        <f t="shared" si="19"/>
        <v/>
      </c>
      <c r="CP212" s="29" t="str">
        <f t="shared" si="20"/>
        <v/>
      </c>
      <c r="CQ212" s="29">
        <f t="shared" si="21"/>
        <v>0</v>
      </c>
      <c r="CR212" s="13"/>
      <c r="CS212" s="7" t="str">
        <f>VLOOKUP(A212,'Empresas 21-23'!$A$2:$M$228,13,0)</f>
        <v/>
      </c>
      <c r="CT212" s="30"/>
      <c r="CU212" s="6">
        <f t="shared" si="22"/>
        <v>25938025.600000001</v>
      </c>
      <c r="CV212" s="6">
        <f t="shared" si="23"/>
        <v>1503696</v>
      </c>
      <c r="CW212" s="6">
        <f t="shared" si="24"/>
        <v>6575568</v>
      </c>
      <c r="CX212" s="23">
        <f t="shared" si="92"/>
        <v>0.70488452316380934</v>
      </c>
      <c r="CY212" s="23">
        <f t="shared" si="93"/>
        <v>4.0864021583174294E-2</v>
      </c>
      <c r="CZ212" s="6">
        <f t="shared" si="27"/>
        <v>30573041.714211203</v>
      </c>
      <c r="DA212" s="6">
        <f t="shared" si="28"/>
        <v>1772400.1526736303</v>
      </c>
      <c r="DB212" s="6">
        <f t="shared" si="29"/>
        <v>1607142</v>
      </c>
      <c r="DC212" s="6">
        <f t="shared" si="30"/>
        <v>1607142</v>
      </c>
      <c r="DD212" s="6">
        <f t="shared" si="31"/>
        <v>838337</v>
      </c>
      <c r="DE212" s="6">
        <f t="shared" si="32"/>
        <v>2451656</v>
      </c>
      <c r="DF212" s="6">
        <f t="shared" si="86"/>
        <v>1551275.4418778189</v>
      </c>
      <c r="DG212" s="30"/>
      <c r="DH212" s="32">
        <f>VLOOKUP(A212,'T_med_comp-USA'!$A$7:$Q$233,17,0)</f>
        <v>15.923258841579615</v>
      </c>
      <c r="DI212" s="6" t="str">
        <f t="shared" si="34"/>
        <v>2_2008</v>
      </c>
      <c r="DJ212" s="32">
        <f>IF(DI212="","",VLOOKUP(DI212,'CPI USA'!$T:$U,2,FALSE))</f>
        <v>215.303</v>
      </c>
      <c r="DK212" s="32">
        <f>IF(DI212="","",VLOOKUP(DI212,'PPI USA'!$S:$T,2,FALSE))</f>
        <v>159.30000000000001</v>
      </c>
      <c r="DL212" s="32">
        <f>IF(DI212="","",VLOOKUP(DI212,'CPI USA'!$T:$V,3,FALSE))</f>
        <v>0.67018812038291731</v>
      </c>
      <c r="DM212" s="32">
        <f>IF(DI212="","",VLOOKUP(DI212,'CPI USA'!$T:$X,5,FALSE))</f>
        <v>0.49838492968660258</v>
      </c>
      <c r="DN212" s="32">
        <f t="shared" si="35"/>
        <v>1.4884333659448254</v>
      </c>
      <c r="DO212" s="32">
        <f t="shared" si="36"/>
        <v>1.5036496327119213</v>
      </c>
      <c r="DP212" s="32">
        <f t="shared" si="37"/>
        <v>0.46338054983758209</v>
      </c>
      <c r="DQ212" s="32">
        <f>IF(DP212="","",DP212*$DO$1/'CPI USA'!$U$532+(1-DP212)*AVERAGE($DO$1,$DQ$1)/AVERAGE('CPI USA'!$U$532,'PPI USA'!$T$538))</f>
        <v>1.0366033105605483</v>
      </c>
      <c r="DR212" s="6">
        <f t="shared" si="38"/>
        <v>222799</v>
      </c>
      <c r="DS212" s="32">
        <f t="shared" si="39"/>
        <v>0.26929059031193175</v>
      </c>
      <c r="DT212" s="28">
        <f>IF(DS212="","",DS212*$DO$1/'CPI USA'!$U$532+(1-DS212)*AVERAGE($DO$1,$DQ$1)/AVERAGE('CPI USA'!$U$532,'PPI USA'!$T$538))</f>
        <v>1.0410826894260985</v>
      </c>
      <c r="DU212" s="6">
        <f t="shared" si="40"/>
        <v>975690.93990029872</v>
      </c>
      <c r="DV212" s="6">
        <f t="shared" si="87"/>
        <v>0</v>
      </c>
      <c r="DW212" s="6">
        <f t="shared" si="42"/>
        <v>485405.92710950464</v>
      </c>
      <c r="DX212" s="16">
        <f t="shared" si="43"/>
        <v>0.31290763329684429</v>
      </c>
      <c r="DY212" s="28">
        <f>IF(DX212="","",DX212*$DO$1/'CPI USA'!$U$532+(1-DX212)*AVERAGE($DO$1,$DQ$1)/AVERAGE('CPI USA'!$U$532,'PPI USA'!$T$538))</f>
        <v>1.0400760569294876</v>
      </c>
      <c r="DZ212" s="30"/>
      <c r="EA212" s="29" t="str">
        <f t="shared" si="44"/>
        <v>C011301</v>
      </c>
      <c r="EB212" s="29">
        <f t="shared" si="45"/>
        <v>45505935.385854937</v>
      </c>
      <c r="EC212" s="29">
        <f t="shared" si="46"/>
        <v>2665068.8385862573</v>
      </c>
      <c r="ED212" s="29">
        <f t="shared" si="47"/>
        <v>1665968.7177409008</v>
      </c>
      <c r="EE212" s="29">
        <f t="shared" si="48"/>
        <v>872778.13860540709</v>
      </c>
      <c r="EF212" s="29">
        <f t="shared" si="49"/>
        <v>1613444.4447998304</v>
      </c>
      <c r="EG212" s="29">
        <f t="shared" si="50"/>
        <v>24</v>
      </c>
      <c r="EH212" s="29">
        <f t="shared" si="51"/>
        <v>5237</v>
      </c>
      <c r="EI212" s="29">
        <f t="shared" si="52"/>
        <v>5792</v>
      </c>
      <c r="EJ212" s="29">
        <f t="shared" si="53"/>
        <v>82599</v>
      </c>
      <c r="EK212" s="29">
        <f t="shared" si="54"/>
        <v>88340.578680203049</v>
      </c>
      <c r="EL212" s="29">
        <f>IF(CD212=1,VLOOKUP(EA212,'EIA 2023'!$A$2:$J$213,4,0)*EH212,"")</f>
        <v>391203.9</v>
      </c>
      <c r="EM212" s="29">
        <f>IF(CD212=1,VLOOKUP(EA212,'EIA 2023'!$A$2:$J$213,7,0)*EH212,"")</f>
        <v>16967.88</v>
      </c>
      <c r="EN212" s="29">
        <f>IF(CD212=1,VLOOKUP(EA212,'EIA 2023'!$A$2:$J$213,10,0),"")</f>
        <v>0</v>
      </c>
      <c r="EO212" s="28">
        <f>IF(CD212=1,VLOOKUP(EA212,'EIA 2023'!$A$2:$Z$213,26,0),"")</f>
        <v>0</v>
      </c>
      <c r="EP212" s="23">
        <f t="shared" si="55"/>
        <v>6.4993672964129251E-2</v>
      </c>
      <c r="EQ212" s="32">
        <f t="shared" si="56"/>
        <v>50.421319796954322</v>
      </c>
      <c r="ER212" s="32">
        <f t="shared" si="57"/>
        <v>5741.5786802030452</v>
      </c>
      <c r="ES212" s="32"/>
      <c r="ET212" s="32"/>
    </row>
    <row r="213" spans="1:150" ht="15.75" customHeight="1">
      <c r="A213" s="7" t="s">
        <v>856</v>
      </c>
      <c r="B213" s="7" t="s">
        <v>857</v>
      </c>
      <c r="C213" s="32" t="s">
        <v>1298</v>
      </c>
      <c r="D213" s="42">
        <v>172236049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  <c r="M213" s="42">
        <v>0</v>
      </c>
      <c r="N213" s="42">
        <v>0</v>
      </c>
      <c r="O213" s="42">
        <v>0</v>
      </c>
      <c r="P213" s="42">
        <v>0</v>
      </c>
      <c r="Q213" s="42">
        <v>0</v>
      </c>
      <c r="R213" s="42">
        <v>0</v>
      </c>
      <c r="S213" s="42">
        <v>0</v>
      </c>
      <c r="T213" s="42">
        <v>0</v>
      </c>
      <c r="U213" s="42">
        <v>0</v>
      </c>
      <c r="V213" s="42">
        <v>0</v>
      </c>
      <c r="W213" s="42">
        <v>0</v>
      </c>
      <c r="X213" s="42">
        <f>IFERROR(VLOOKUP(A213,'Trans 21-23'!$A$2:$J$229,10,0),0)</f>
        <v>0</v>
      </c>
      <c r="Y213" s="42">
        <v>0</v>
      </c>
      <c r="Z213" s="42">
        <v>0</v>
      </c>
      <c r="AA213" s="42">
        <v>0</v>
      </c>
      <c r="AB213" s="42">
        <v>0</v>
      </c>
      <c r="AC213" s="42">
        <v>0</v>
      </c>
      <c r="AD213" s="42">
        <v>5725942</v>
      </c>
      <c r="AE213" s="42">
        <v>0</v>
      </c>
      <c r="AF213" s="42">
        <v>256791012</v>
      </c>
      <c r="AG213" s="42">
        <v>1</v>
      </c>
      <c r="AH213" s="42">
        <v>0</v>
      </c>
      <c r="AI213" s="42">
        <v>4979432</v>
      </c>
      <c r="AJ213" s="42">
        <v>0</v>
      </c>
      <c r="AK213" s="42">
        <v>0</v>
      </c>
      <c r="AL213" s="42">
        <v>0</v>
      </c>
      <c r="AM213" s="42">
        <v>0</v>
      </c>
      <c r="AN213" s="42">
        <v>0</v>
      </c>
      <c r="AO213" s="42">
        <v>0</v>
      </c>
      <c r="AP213" s="42">
        <v>0</v>
      </c>
      <c r="AQ213" s="42">
        <v>0</v>
      </c>
      <c r="AR213" s="42">
        <v>4979432</v>
      </c>
      <c r="AS213" s="42">
        <v>4979432</v>
      </c>
      <c r="AT213" s="42">
        <v>0</v>
      </c>
      <c r="AU213" s="42">
        <v>1171</v>
      </c>
      <c r="AV213" s="42">
        <v>0</v>
      </c>
      <c r="AW213" s="42">
        <v>0</v>
      </c>
      <c r="AX213" s="42">
        <v>0</v>
      </c>
      <c r="AY213" s="42">
        <v>0</v>
      </c>
      <c r="AZ213" s="42">
        <v>0</v>
      </c>
      <c r="BA213" s="42">
        <v>0</v>
      </c>
      <c r="BB213" s="42">
        <v>0</v>
      </c>
      <c r="BC213" s="42">
        <v>1614602836</v>
      </c>
      <c r="BD213" s="42">
        <v>1011382</v>
      </c>
      <c r="BE213" s="42">
        <v>0</v>
      </c>
      <c r="BF213" s="42">
        <v>0</v>
      </c>
      <c r="BG213" s="42">
        <v>0</v>
      </c>
      <c r="BH213" s="42">
        <v>0</v>
      </c>
      <c r="BI213" s="42">
        <v>0</v>
      </c>
      <c r="BJ213" s="42">
        <v>0</v>
      </c>
      <c r="BK213" s="42">
        <v>0</v>
      </c>
      <c r="BL213" s="42">
        <v>0</v>
      </c>
      <c r="BM213" s="42">
        <v>426862</v>
      </c>
      <c r="BN213" s="42">
        <v>27227991</v>
      </c>
      <c r="BO213" s="42">
        <v>0</v>
      </c>
      <c r="BP213" s="42">
        <v>0</v>
      </c>
      <c r="BQ213" s="42">
        <v>27261391</v>
      </c>
      <c r="BR213" s="42">
        <v>0</v>
      </c>
      <c r="BS213" s="42">
        <f>IFERROR(VLOOKUP(A213,'Trans 21-23'!$A$2:$J$229,9,0),0)</f>
        <v>0</v>
      </c>
      <c r="BT213" s="67"/>
      <c r="BU213" s="32">
        <f t="shared" si="0"/>
        <v>0</v>
      </c>
      <c r="BV213" s="32">
        <f t="shared" si="1"/>
        <v>1171</v>
      </c>
      <c r="BW213" s="32">
        <f t="shared" si="2"/>
        <v>1</v>
      </c>
      <c r="BX213" s="32">
        <f t="shared" si="3"/>
        <v>0</v>
      </c>
      <c r="BY213" s="32">
        <f t="shared" si="4"/>
        <v>0</v>
      </c>
      <c r="BZ213" s="32">
        <f t="shared" si="5"/>
        <v>0</v>
      </c>
      <c r="CA213" s="32">
        <f t="shared" si="6"/>
        <v>5725942</v>
      </c>
      <c r="CB213" s="32">
        <f t="shared" si="7"/>
        <v>0</v>
      </c>
      <c r="CC213" s="32">
        <f t="shared" si="8"/>
        <v>0</v>
      </c>
      <c r="CD213" s="41">
        <f t="shared" si="74"/>
        <v>0</v>
      </c>
      <c r="CE213" s="44">
        <f t="shared" si="10"/>
        <v>55</v>
      </c>
      <c r="CF213" s="27"/>
      <c r="CG213" s="28" t="str">
        <f t="shared" si="11"/>
        <v/>
      </c>
      <c r="CH213" s="28" t="str">
        <f t="shared" si="12"/>
        <v/>
      </c>
      <c r="CI213" s="28" t="str">
        <f t="shared" si="13"/>
        <v/>
      </c>
      <c r="CJ213" s="28" t="str">
        <f t="shared" si="14"/>
        <v/>
      </c>
      <c r="CK213" s="23" t="str">
        <f t="shared" si="15"/>
        <v/>
      </c>
      <c r="CL213" s="29" t="str">
        <f t="shared" si="16"/>
        <v/>
      </c>
      <c r="CM213" s="29" t="str">
        <f t="shared" si="17"/>
        <v/>
      </c>
      <c r="CN213" s="29" t="str">
        <f t="shared" si="18"/>
        <v/>
      </c>
      <c r="CO213" s="29" t="str">
        <f t="shared" si="19"/>
        <v/>
      </c>
      <c r="CP213" s="29" t="str">
        <f t="shared" si="20"/>
        <v/>
      </c>
      <c r="CQ213" s="29" t="str">
        <f t="shared" si="21"/>
        <v/>
      </c>
      <c r="CR213" s="13"/>
      <c r="CS213" s="7" t="str">
        <f>VLOOKUP(A213,'Empresas 21-23'!$A$2:$M$228,13,0)</f>
        <v/>
      </c>
      <c r="CT213" s="30"/>
      <c r="CU213" s="6">
        <f t="shared" si="22"/>
        <v>0</v>
      </c>
      <c r="CV213" s="6">
        <f t="shared" si="23"/>
        <v>0</v>
      </c>
      <c r="CW213" s="6">
        <f t="shared" si="24"/>
        <v>1011382</v>
      </c>
      <c r="CX213" s="23">
        <f t="shared" si="92"/>
        <v>0</v>
      </c>
      <c r="CY213" s="23">
        <f t="shared" si="93"/>
        <v>0</v>
      </c>
      <c r="CZ213" s="6">
        <f t="shared" si="27"/>
        <v>0</v>
      </c>
      <c r="DA213" s="6">
        <f t="shared" si="28"/>
        <v>0</v>
      </c>
      <c r="DB213" s="6">
        <f t="shared" si="29"/>
        <v>0</v>
      </c>
      <c r="DC213" s="6">
        <f t="shared" si="30"/>
        <v>0</v>
      </c>
      <c r="DD213" s="6">
        <f t="shared" si="31"/>
        <v>0</v>
      </c>
      <c r="DE213" s="6">
        <f t="shared" si="32"/>
        <v>5725942</v>
      </c>
      <c r="DF213" s="6">
        <f t="shared" si="86"/>
        <v>0</v>
      </c>
      <c r="DG213" s="30"/>
      <c r="DH213" s="32" t="str">
        <f>VLOOKUP(A213,'T_med_comp-USA'!$A$7:$Q$233,17,0)</f>
        <v>-</v>
      </c>
      <c r="DI213" s="6" t="str">
        <f t="shared" si="34"/>
        <v/>
      </c>
      <c r="DJ213" s="32" t="str">
        <f>IF(DI213="","",VLOOKUP(DI213,'CPI USA'!$T:$U,2,FALSE))</f>
        <v/>
      </c>
      <c r="DK213" s="32" t="str">
        <f>IF(DI213="","",VLOOKUP(DI213,'PPI USA'!$S:$T,2,FALSE))</f>
        <v/>
      </c>
      <c r="DL213" s="32" t="str">
        <f>IF(DI213="","",VLOOKUP(DI213,'CPI USA'!$T:$V,3,FALSE))</f>
        <v/>
      </c>
      <c r="DM213" s="32" t="str">
        <f>IF(DI213="","",VLOOKUP(DI213,'CPI USA'!$T:$X,5,FALSE))</f>
        <v/>
      </c>
      <c r="DN213" s="32" t="str">
        <f t="shared" si="35"/>
        <v/>
      </c>
      <c r="DO213" s="32" t="str">
        <f t="shared" si="36"/>
        <v/>
      </c>
      <c r="DP213" s="32" t="str">
        <f t="shared" si="37"/>
        <v/>
      </c>
      <c r="DQ213" s="32" t="str">
        <f>IF(DP213="","",DP213*$DO$1/'CPI USA'!$U$532+(1-DP213)*AVERAGE($DO$1,$DQ$1)/AVERAGE('CPI USA'!$U$532,'PPI USA'!$T$538))</f>
        <v/>
      </c>
      <c r="DR213" s="6">
        <f t="shared" si="38"/>
        <v>0</v>
      </c>
      <c r="DS213" s="32" t="str">
        <f t="shared" si="39"/>
        <v/>
      </c>
      <c r="DT213" s="28" t="str">
        <f>IF(DS213="","",DS213*$DO$1/'CPI USA'!$U$532+(1-DS213)*AVERAGE($DO$1,$DQ$1)/AVERAGE('CPI USA'!$U$532,'PPI USA'!$T$538))</f>
        <v/>
      </c>
      <c r="DU213" s="6" t="str">
        <f t="shared" si="40"/>
        <v/>
      </c>
      <c r="DV213" s="6">
        <f t="shared" si="87"/>
        <v>0</v>
      </c>
      <c r="DW213" s="6">
        <f t="shared" si="42"/>
        <v>0</v>
      </c>
      <c r="DX213" s="16" t="str">
        <f t="shared" si="43"/>
        <v/>
      </c>
      <c r="DY213" s="28" t="str">
        <f>IF(DX213="","",DX213*$DO$1/'CPI USA'!$U$532+(1-DX213)*AVERAGE($DO$1,$DQ$1)/AVERAGE('CPI USA'!$U$532,'PPI USA'!$T$538))</f>
        <v/>
      </c>
      <c r="DZ213" s="30"/>
      <c r="EA213" s="29" t="str">
        <f t="shared" si="44"/>
        <v>C011304</v>
      </c>
      <c r="EB213" s="29" t="str">
        <f t="shared" si="45"/>
        <v/>
      </c>
      <c r="EC213" s="29" t="str">
        <f t="shared" si="46"/>
        <v/>
      </c>
      <c r="ED213" s="29" t="str">
        <f t="shared" si="47"/>
        <v/>
      </c>
      <c r="EE213" s="29" t="str">
        <f t="shared" si="48"/>
        <v/>
      </c>
      <c r="EF213" s="29" t="str">
        <f t="shared" si="49"/>
        <v/>
      </c>
      <c r="EG213" s="29" t="str">
        <f t="shared" si="50"/>
        <v/>
      </c>
      <c r="EH213" s="29" t="str">
        <f t="shared" si="51"/>
        <v/>
      </c>
      <c r="EI213" s="29" t="str">
        <f t="shared" si="52"/>
        <v/>
      </c>
      <c r="EJ213" s="29" t="str">
        <f t="shared" si="53"/>
        <v/>
      </c>
      <c r="EK213" s="29" t="str">
        <f t="shared" si="54"/>
        <v/>
      </c>
      <c r="EL213" s="29" t="str">
        <f>IF(CD213=1,VLOOKUP(EA213,'EIA 2023'!$A$2:$J$213,4,0)*EH213,"")</f>
        <v/>
      </c>
      <c r="EM213" s="29" t="str">
        <f>IF(CD213=1,VLOOKUP(EA213,'EIA 2023'!$A$2:$J$213,7,0)*EH213,"")</f>
        <v/>
      </c>
      <c r="EN213" s="29" t="str">
        <f>IF(CD213=1,VLOOKUP(EA213,'EIA 2023'!$A$2:$J$213,10,0),"")</f>
        <v/>
      </c>
      <c r="EO213" s="28" t="str">
        <f>IF(CD213=1,VLOOKUP(EA213,'EIA 2023'!$A$2:$Z$213,26,0),"")</f>
        <v/>
      </c>
      <c r="EP213" s="23" t="str">
        <f t="shared" si="55"/>
        <v/>
      </c>
      <c r="EQ213" s="32" t="str">
        <f t="shared" si="56"/>
        <v/>
      </c>
      <c r="ER213" s="32" t="str">
        <f t="shared" si="57"/>
        <v/>
      </c>
      <c r="ES213" s="32"/>
      <c r="ET213" s="32"/>
    </row>
    <row r="214" spans="1:150" ht="15.75" customHeight="1">
      <c r="A214" s="7" t="s">
        <v>859</v>
      </c>
      <c r="B214" s="7" t="s">
        <v>860</v>
      </c>
      <c r="C214" s="32" t="s">
        <v>1299</v>
      </c>
      <c r="D214" s="42">
        <v>0</v>
      </c>
      <c r="E214" s="42">
        <v>0</v>
      </c>
      <c r="F214" s="42">
        <v>5282</v>
      </c>
      <c r="G214" s="42">
        <v>10663530</v>
      </c>
      <c r="H214" s="42">
        <v>10683055</v>
      </c>
      <c r="I214" s="42">
        <v>42537</v>
      </c>
      <c r="J214" s="42">
        <v>8859</v>
      </c>
      <c r="K214" s="42">
        <v>0</v>
      </c>
      <c r="L214" s="42">
        <v>322851</v>
      </c>
      <c r="M214" s="42">
        <v>49455</v>
      </c>
      <c r="N214" s="42">
        <v>6809</v>
      </c>
      <c r="O214" s="42">
        <v>408997</v>
      </c>
      <c r="P214" s="42">
        <v>0</v>
      </c>
      <c r="Q214" s="42">
        <v>4478</v>
      </c>
      <c r="R214" s="42">
        <v>2391</v>
      </c>
      <c r="S214" s="42">
        <v>28668</v>
      </c>
      <c r="T214" s="42">
        <v>834272</v>
      </c>
      <c r="U214" s="42">
        <v>127351</v>
      </c>
      <c r="V214" s="42">
        <v>17786</v>
      </c>
      <c r="W214" s="42">
        <v>0</v>
      </c>
      <c r="X214" s="42">
        <f>IFERROR(VLOOKUP(A214,'Trans 21-23'!$A$2:$J$229,10,0),0)</f>
        <v>86938</v>
      </c>
      <c r="Y214" s="42">
        <v>64742</v>
      </c>
      <c r="Z214" s="42">
        <v>707</v>
      </c>
      <c r="AA214" s="42">
        <v>503030</v>
      </c>
      <c r="AB214" s="42">
        <v>234232</v>
      </c>
      <c r="AC214" s="42">
        <v>321</v>
      </c>
      <c r="AD214" s="42">
        <v>1834022</v>
      </c>
      <c r="AE214" s="42">
        <v>0</v>
      </c>
      <c r="AF214" s="42">
        <v>15408051</v>
      </c>
      <c r="AG214" s="42">
        <v>15020</v>
      </c>
      <c r="AH214" s="42">
        <v>14401.271000000001</v>
      </c>
      <c r="AI214" s="42">
        <v>193900.155</v>
      </c>
      <c r="AJ214" s="42">
        <v>999.91399999999999</v>
      </c>
      <c r="AK214" s="42">
        <v>0</v>
      </c>
      <c r="AL214" s="42">
        <v>87294.539000000004</v>
      </c>
      <c r="AM214" s="42">
        <v>51492.67</v>
      </c>
      <c r="AN214" s="42">
        <v>38650.18</v>
      </c>
      <c r="AO214" s="42">
        <v>1061.5809999999999</v>
      </c>
      <c r="AP214" s="42">
        <v>0</v>
      </c>
      <c r="AQ214" s="42">
        <v>178498.97</v>
      </c>
      <c r="AR214" s="42">
        <v>0</v>
      </c>
      <c r="AS214" s="42">
        <v>178498.97</v>
      </c>
      <c r="AT214" s="42">
        <v>0</v>
      </c>
      <c r="AU214" s="42">
        <v>40.713000000000001</v>
      </c>
      <c r="AV214" s="42">
        <v>0</v>
      </c>
      <c r="AW214" s="42">
        <v>10294382</v>
      </c>
      <c r="AX214" s="42">
        <v>0</v>
      </c>
      <c r="AY214" s="42">
        <v>12268487</v>
      </c>
      <c r="AZ214" s="42">
        <v>2116383</v>
      </c>
      <c r="BA214" s="42">
        <v>1291496</v>
      </c>
      <c r="BB214" s="42">
        <v>52956888</v>
      </c>
      <c r="BC214" s="42">
        <v>86362968</v>
      </c>
      <c r="BD214" s="42">
        <v>6554948</v>
      </c>
      <c r="BE214" s="42">
        <v>24968530</v>
      </c>
      <c r="BF214" s="42">
        <v>1920099</v>
      </c>
      <c r="BG214" s="42">
        <v>0</v>
      </c>
      <c r="BH214" s="42">
        <v>1081938</v>
      </c>
      <c r="BI214" s="42">
        <v>281520</v>
      </c>
      <c r="BJ214" s="42">
        <v>14563</v>
      </c>
      <c r="BK214" s="42">
        <v>0</v>
      </c>
      <c r="BL214" s="42">
        <v>0</v>
      </c>
      <c r="BM214" s="42">
        <v>699259</v>
      </c>
      <c r="BN214" s="42">
        <v>2184878</v>
      </c>
      <c r="BO214" s="42">
        <v>104747</v>
      </c>
      <c r="BP214" s="42">
        <v>28605</v>
      </c>
      <c r="BQ214" s="42">
        <v>3235080</v>
      </c>
      <c r="BR214" s="42">
        <v>0</v>
      </c>
      <c r="BS214" s="42">
        <f>IFERROR(VLOOKUP(A214,'Trans 21-23'!$A$2:$J$229,9,0),0)</f>
        <v>13021557</v>
      </c>
      <c r="BT214" s="67"/>
      <c r="BU214" s="32">
        <f t="shared" si="0"/>
        <v>52956888</v>
      </c>
      <c r="BV214" s="32">
        <f t="shared" si="1"/>
        <v>40.713000000000001</v>
      </c>
      <c r="BW214" s="32">
        <f t="shared" si="2"/>
        <v>15020</v>
      </c>
      <c r="BX214" s="32">
        <f t="shared" si="3"/>
        <v>1854454</v>
      </c>
      <c r="BY214" s="32">
        <f t="shared" si="4"/>
        <v>803032</v>
      </c>
      <c r="BZ214" s="32">
        <f t="shared" si="5"/>
        <v>2116383</v>
      </c>
      <c r="CA214" s="32">
        <f t="shared" si="6"/>
        <v>1834022</v>
      </c>
      <c r="CB214" s="32">
        <f t="shared" si="7"/>
        <v>14401.271000000001</v>
      </c>
      <c r="CC214" s="32">
        <f t="shared" si="8"/>
        <v>178498.97</v>
      </c>
      <c r="CD214" s="41">
        <f t="shared" si="74"/>
        <v>1</v>
      </c>
      <c r="CE214" s="44">
        <f t="shared" si="10"/>
        <v>16</v>
      </c>
      <c r="CF214" s="27"/>
      <c r="CG214" s="28">
        <f t="shared" si="11"/>
        <v>1300.7365706285461</v>
      </c>
      <c r="CH214" s="28">
        <f t="shared" si="12"/>
        <v>2.7105858854860188</v>
      </c>
      <c r="CI214" s="28">
        <f t="shared" si="13"/>
        <v>123.46564580559254</v>
      </c>
      <c r="CJ214" s="28">
        <f t="shared" si="14"/>
        <v>140.90432756324901</v>
      </c>
      <c r="CK214" s="23">
        <f t="shared" si="15"/>
        <v>8.0679854903364434E-2</v>
      </c>
      <c r="CL214" s="29" t="str">
        <f t="shared" si="16"/>
        <v/>
      </c>
      <c r="CM214" s="29" t="str">
        <f t="shared" si="17"/>
        <v/>
      </c>
      <c r="CN214" s="29" t="str">
        <f t="shared" si="18"/>
        <v/>
      </c>
      <c r="CO214" s="29" t="str">
        <f t="shared" si="19"/>
        <v/>
      </c>
      <c r="CP214" s="29" t="str">
        <f t="shared" si="20"/>
        <v/>
      </c>
      <c r="CQ214" s="29">
        <f t="shared" si="21"/>
        <v>0</v>
      </c>
      <c r="CR214" s="13"/>
      <c r="CS214" s="7" t="str">
        <f>VLOOKUP(A214,'Empresas 21-23'!$A$2:$M$228,13,0)</f>
        <v/>
      </c>
      <c r="CT214" s="30"/>
      <c r="CU214" s="6">
        <f t="shared" si="22"/>
        <v>55209473.799999997</v>
      </c>
      <c r="CV214" s="6">
        <f t="shared" si="23"/>
        <v>2116383</v>
      </c>
      <c r="CW214" s="6">
        <f t="shared" si="24"/>
        <v>6554948</v>
      </c>
      <c r="CX214" s="23">
        <f t="shared" si="92"/>
        <v>0.69177851799856704</v>
      </c>
      <c r="CY214" s="23">
        <f t="shared" si="93"/>
        <v>2.6518425090611194E-2</v>
      </c>
      <c r="CZ214" s="6">
        <f t="shared" si="27"/>
        <v>59744046.012997672</v>
      </c>
      <c r="DA214" s="6">
        <f t="shared" si="28"/>
        <v>2290209.8975108517</v>
      </c>
      <c r="DB214" s="6">
        <f t="shared" si="29"/>
        <v>1854454</v>
      </c>
      <c r="DC214" s="6">
        <f t="shared" si="30"/>
        <v>1941392</v>
      </c>
      <c r="DD214" s="6">
        <f t="shared" si="31"/>
        <v>803032</v>
      </c>
      <c r="DE214" s="6">
        <f t="shared" si="32"/>
        <v>1834022</v>
      </c>
      <c r="DF214" s="6">
        <f t="shared" si="86"/>
        <v>1744238.121507077</v>
      </c>
      <c r="DG214" s="30"/>
      <c r="DH214" s="32">
        <f>VLOOKUP(A214,'T_med_comp-USA'!$A$7:$Q$233,17,0)</f>
        <v>12.81397272746903</v>
      </c>
      <c r="DI214" s="6" t="str">
        <f t="shared" si="34"/>
        <v>3_2011</v>
      </c>
      <c r="DJ214" s="32">
        <f>IF(DI214="","",VLOOKUP(DI214,'CPI USA'!$T:$U,2,FALSE))</f>
        <v>224.93899999999999</v>
      </c>
      <c r="DK214" s="32">
        <f>IF(DI214="","",VLOOKUP(DI214,'PPI USA'!$S:$T,2,FALSE))</f>
        <v>169.6</v>
      </c>
      <c r="DL214" s="32">
        <f>IF(DI214="","",VLOOKUP(DI214,'CPI USA'!$T:$V,3,FALSE))</f>
        <v>0.6684022975047168</v>
      </c>
      <c r="DM214" s="32">
        <f>IF(DI214="","",VLOOKUP(DI214,'CPI USA'!$T:$X,5,FALSE))</f>
        <v>0.49636791791307899</v>
      </c>
      <c r="DN214" s="32">
        <f t="shared" si="35"/>
        <v>1.4208751760332547</v>
      </c>
      <c r="DO214" s="32">
        <f t="shared" si="36"/>
        <v>1.4334111417560953</v>
      </c>
      <c r="DP214" s="32">
        <f t="shared" si="37"/>
        <v>0.61139724311402877</v>
      </c>
      <c r="DQ214" s="32">
        <f>IF(DP214="","",DP214*$DO$1/'CPI USA'!$U$532+(1-DP214)*AVERAGE($DO$1,$DQ$1)/AVERAGE('CPI USA'!$U$532,'PPI USA'!$T$538))</f>
        <v>1.0331872510733311</v>
      </c>
      <c r="DR214" s="6">
        <f t="shared" si="38"/>
        <v>296083</v>
      </c>
      <c r="DS214" s="32">
        <f t="shared" si="39"/>
        <v>0.38638280183607737</v>
      </c>
      <c r="DT214" s="28">
        <f>IF(DS214="","",DS214*$DO$1/'CPI USA'!$U$532+(1-DS214)*AVERAGE($DO$1,$DQ$1)/AVERAGE('CPI USA'!$U$532,'PPI USA'!$T$538))</f>
        <v>1.0383803323391907</v>
      </c>
      <c r="DU214" s="6">
        <f t="shared" si="40"/>
        <v>732782.74021478544</v>
      </c>
      <c r="DV214" s="6">
        <f t="shared" si="87"/>
        <v>6238.097504268706</v>
      </c>
      <c r="DW214" s="6">
        <f t="shared" si="42"/>
        <v>466106.68138653453</v>
      </c>
      <c r="DX214" s="16">
        <f t="shared" si="43"/>
        <v>0.26722651892495253</v>
      </c>
      <c r="DY214" s="28">
        <f>IF(DX214="","",DX214*$DO$1/'CPI USA'!$U$532+(1-DX214)*AVERAGE($DO$1,$DQ$1)/AVERAGE('CPI USA'!$U$532,'PPI USA'!$T$538))</f>
        <v>1.0411303258817421</v>
      </c>
      <c r="DZ214" s="30"/>
      <c r="EA214" s="29" t="str">
        <f t="shared" si="44"/>
        <v>C011318</v>
      </c>
      <c r="EB214" s="29">
        <f t="shared" si="45"/>
        <v>84888831.895656943</v>
      </c>
      <c r="EC214" s="29">
        <f t="shared" si="46"/>
        <v>3282812.3840521402</v>
      </c>
      <c r="ED214" s="29">
        <f t="shared" si="47"/>
        <v>2005821.4637357565</v>
      </c>
      <c r="EE214" s="29">
        <f t="shared" si="48"/>
        <v>833852.63503900496</v>
      </c>
      <c r="EF214" s="29">
        <f t="shared" si="49"/>
        <v>1815979.2038600207</v>
      </c>
      <c r="EG214" s="29">
        <f t="shared" si="50"/>
        <v>40.713000000000001</v>
      </c>
      <c r="EH214" s="29">
        <f t="shared" si="51"/>
        <v>15020</v>
      </c>
      <c r="EI214" s="29">
        <f t="shared" si="52"/>
        <v>14401.271000000001</v>
      </c>
      <c r="EJ214" s="29">
        <f t="shared" si="53"/>
        <v>178498.97</v>
      </c>
      <c r="EK214" s="29">
        <f t="shared" si="54"/>
        <v>192900.24100000001</v>
      </c>
      <c r="EL214" s="29" t="e">
        <f>IF(CD214=1,VLOOKUP(EA214,'EIA 2023'!$A$2:$J$220,4,0)*EH214,"")</f>
        <v>#VALUE!</v>
      </c>
      <c r="EM214" s="29" t="e">
        <f>IF(CD214=1,VLOOKUP(EA214,'EIA 2023'!$A$2:$J$220,7,0)*EH214,"")</f>
        <v>#VALUE!</v>
      </c>
      <c r="EN214" s="29">
        <f>IF(CD214=1,VLOOKUP(EA214,'EIA 2023'!$A$2:$J$213,10,0),"")</f>
        <v>96</v>
      </c>
      <c r="EO214" s="28">
        <f>IF(CD214=1,VLOOKUP(EA214,'EIA 2023'!$A$2:$Z$213,26,0),"")</f>
        <v>0</v>
      </c>
      <c r="EP214" s="23">
        <f t="shared" si="55"/>
        <v>7.4656573394327699E-2</v>
      </c>
      <c r="EQ214" s="32">
        <f t="shared" si="56"/>
        <v>0</v>
      </c>
      <c r="ER214" s="32">
        <f t="shared" si="57"/>
        <v>14401.271000000001</v>
      </c>
      <c r="ES214" s="32"/>
      <c r="ET214" s="32"/>
    </row>
    <row r="215" spans="1:150" ht="15.75" customHeight="1">
      <c r="A215" s="7" t="s">
        <v>862</v>
      </c>
      <c r="B215" s="7" t="s">
        <v>863</v>
      </c>
      <c r="C215" s="32" t="s">
        <v>1300</v>
      </c>
      <c r="D215" s="42">
        <v>0</v>
      </c>
      <c r="E215" s="42">
        <v>0</v>
      </c>
      <c r="F215" s="42">
        <v>4315096</v>
      </c>
      <c r="G215" s="42">
        <v>77441579</v>
      </c>
      <c r="H215" s="42">
        <v>79785677</v>
      </c>
      <c r="I215" s="42">
        <v>410337</v>
      </c>
      <c r="J215" s="42">
        <v>162715</v>
      </c>
      <c r="K215" s="42">
        <v>175688</v>
      </c>
      <c r="L215" s="42">
        <v>267566</v>
      </c>
      <c r="M215" s="42">
        <v>0</v>
      </c>
      <c r="N215" s="42">
        <v>66218</v>
      </c>
      <c r="O215" s="42">
        <v>1803906</v>
      </c>
      <c r="P215" s="42">
        <v>12429</v>
      </c>
      <c r="Q215" s="42">
        <v>245729</v>
      </c>
      <c r="R215" s="42">
        <v>0</v>
      </c>
      <c r="S215" s="42">
        <v>704741</v>
      </c>
      <c r="T215" s="42">
        <v>4012678</v>
      </c>
      <c r="U215" s="42">
        <v>79628</v>
      </c>
      <c r="V215" s="42">
        <v>294</v>
      </c>
      <c r="W215" s="42">
        <v>5766</v>
      </c>
      <c r="X215" s="42">
        <f>IFERROR(VLOOKUP(A215,'Trans 21-23'!$A$2:$J$229,10,0),0)</f>
        <v>0</v>
      </c>
      <c r="Y215" s="42">
        <v>143401</v>
      </c>
      <c r="Z215" s="42">
        <v>475597</v>
      </c>
      <c r="AA215" s="42">
        <v>1790962</v>
      </c>
      <c r="AB215" s="42">
        <v>707069</v>
      </c>
      <c r="AC215" s="42">
        <v>116374</v>
      </c>
      <c r="AD215" s="42">
        <v>10415023</v>
      </c>
      <c r="AE215" s="42">
        <v>0</v>
      </c>
      <c r="AF215" s="42">
        <v>113346774</v>
      </c>
      <c r="AG215" s="42">
        <v>50292</v>
      </c>
      <c r="AH215" s="42">
        <v>194878</v>
      </c>
      <c r="AI215" s="42">
        <v>1824009</v>
      </c>
      <c r="AJ215" s="42">
        <v>4270</v>
      </c>
      <c r="AK215" s="42">
        <v>0</v>
      </c>
      <c r="AL215" s="42">
        <v>317832</v>
      </c>
      <c r="AM215" s="42">
        <v>756913</v>
      </c>
      <c r="AN215" s="42">
        <v>400476</v>
      </c>
      <c r="AO215" s="42">
        <v>9679</v>
      </c>
      <c r="AP215" s="42">
        <v>0</v>
      </c>
      <c r="AQ215" s="42">
        <v>1485011</v>
      </c>
      <c r="AR215" s="42">
        <v>139850</v>
      </c>
      <c r="AS215" s="42">
        <v>1624861</v>
      </c>
      <c r="AT215" s="42">
        <v>0</v>
      </c>
      <c r="AU215" s="42">
        <v>375</v>
      </c>
      <c r="AV215" s="42">
        <v>0</v>
      </c>
      <c r="AW215" s="42">
        <v>73080611</v>
      </c>
      <c r="AX215" s="42">
        <v>4056481</v>
      </c>
      <c r="AY215" s="42">
        <v>24927009</v>
      </c>
      <c r="AZ215" s="42">
        <v>20827162</v>
      </c>
      <c r="BA215" s="42">
        <v>3994241</v>
      </c>
      <c r="BB215" s="42">
        <v>362949156</v>
      </c>
      <c r="BC215" s="42">
        <v>685022058</v>
      </c>
      <c r="BD215" s="42">
        <v>31173362</v>
      </c>
      <c r="BE215" s="42">
        <v>146817288</v>
      </c>
      <c r="BF215" s="42">
        <v>9072778</v>
      </c>
      <c r="BG215" s="42">
        <v>0</v>
      </c>
      <c r="BH215" s="42">
        <v>2949584</v>
      </c>
      <c r="BI215" s="42">
        <v>635709</v>
      </c>
      <c r="BJ215" s="42">
        <v>280890</v>
      </c>
      <c r="BK215" s="42">
        <v>7564</v>
      </c>
      <c r="BL215" s="42">
        <v>0</v>
      </c>
      <c r="BM215" s="42">
        <v>3134022</v>
      </c>
      <c r="BN215" s="42">
        <v>8624125</v>
      </c>
      <c r="BO215" s="42">
        <v>2222854</v>
      </c>
      <c r="BP215" s="42">
        <v>127195</v>
      </c>
      <c r="BQ215" s="42">
        <v>20813808</v>
      </c>
      <c r="BR215" s="42">
        <v>111</v>
      </c>
      <c r="BS215" s="42">
        <f>IFERROR(VLOOKUP(A215,'Trans 21-23'!$A$2:$J$229,9,0),0)</f>
        <v>0</v>
      </c>
      <c r="BT215" s="67"/>
      <c r="BU215" s="32">
        <f t="shared" si="0"/>
        <v>362949156</v>
      </c>
      <c r="BV215" s="32">
        <f t="shared" si="1"/>
        <v>375</v>
      </c>
      <c r="BW215" s="32">
        <f t="shared" si="2"/>
        <v>50292</v>
      </c>
      <c r="BX215" s="32">
        <f t="shared" si="3"/>
        <v>7947695</v>
      </c>
      <c r="BY215" s="32">
        <f t="shared" si="4"/>
        <v>3233403</v>
      </c>
      <c r="BZ215" s="32">
        <f t="shared" si="5"/>
        <v>20827162</v>
      </c>
      <c r="CA215" s="32">
        <f t="shared" si="6"/>
        <v>10415023</v>
      </c>
      <c r="CB215" s="32">
        <f t="shared" si="7"/>
        <v>194878</v>
      </c>
      <c r="CC215" s="32">
        <f t="shared" si="8"/>
        <v>1485011</v>
      </c>
      <c r="CD215" s="41">
        <f t="shared" si="74"/>
        <v>1</v>
      </c>
      <c r="CE215" s="44">
        <f t="shared" si="10"/>
        <v>13</v>
      </c>
      <c r="CF215" s="27"/>
      <c r="CG215" s="28">
        <f t="shared" si="11"/>
        <v>967.86441600000001</v>
      </c>
      <c r="CH215" s="28">
        <f t="shared" si="12"/>
        <v>7.4564543068480074</v>
      </c>
      <c r="CI215" s="28">
        <f t="shared" si="13"/>
        <v>158.03099896603834</v>
      </c>
      <c r="CJ215" s="28">
        <f t="shared" si="14"/>
        <v>414.12475145152308</v>
      </c>
      <c r="CK215" s="23">
        <f t="shared" si="15"/>
        <v>0.13123000435687007</v>
      </c>
      <c r="CL215" s="29" t="str">
        <f t="shared" si="16"/>
        <v/>
      </c>
      <c r="CM215" s="29" t="str">
        <f t="shared" si="17"/>
        <v/>
      </c>
      <c r="CN215" s="29" t="str">
        <f t="shared" si="18"/>
        <v/>
      </c>
      <c r="CO215" s="29" t="str">
        <f t="shared" si="19"/>
        <v/>
      </c>
      <c r="CP215" s="29" t="str">
        <f t="shared" si="20"/>
        <v/>
      </c>
      <c r="CQ215" s="29">
        <f t="shared" si="21"/>
        <v>0</v>
      </c>
      <c r="CR215" s="13"/>
      <c r="CS215" s="7">
        <f>VLOOKUP(A215,'Empresas 21-23'!$A$2:$M$228,13,0)</f>
        <v>1</v>
      </c>
      <c r="CT215" s="30"/>
      <c r="CU215" s="6">
        <f t="shared" si="22"/>
        <v>320737659</v>
      </c>
      <c r="CV215" s="6">
        <f t="shared" si="23"/>
        <v>20827162</v>
      </c>
      <c r="CW215" s="6">
        <f t="shared" si="24"/>
        <v>31173362</v>
      </c>
      <c r="CX215" s="23">
        <f t="shared" si="92"/>
        <v>0.49053804184691685</v>
      </c>
      <c r="CY215" s="23">
        <f t="shared" si="93"/>
        <v>3.1853182743060787E-2</v>
      </c>
      <c r="CZ215" s="6">
        <f t="shared" si="27"/>
        <v>336029378.95326507</v>
      </c>
      <c r="DA215" s="6">
        <f t="shared" si="28"/>
        <v>21820132.796501588</v>
      </c>
      <c r="DB215" s="6">
        <f t="shared" si="29"/>
        <v>7947695</v>
      </c>
      <c r="DC215" s="6">
        <f t="shared" si="30"/>
        <v>7947695</v>
      </c>
      <c r="DD215" s="6">
        <f t="shared" si="31"/>
        <v>3233403</v>
      </c>
      <c r="DE215" s="6">
        <f t="shared" si="32"/>
        <v>10415023</v>
      </c>
      <c r="DF215" s="6">
        <f t="shared" si="86"/>
        <v>6184033.1837918349</v>
      </c>
      <c r="DG215" s="30"/>
      <c r="DH215" s="32">
        <f>VLOOKUP(A215,'T_med_comp-USA'!$A$7:$Q$233,17,0)</f>
        <v>15.922062365091072</v>
      </c>
      <c r="DI215" s="6" t="str">
        <f t="shared" si="34"/>
        <v>2_2008</v>
      </c>
      <c r="DJ215" s="32">
        <f>IF(DI215="","",VLOOKUP(DI215,'CPI USA'!$T:$U,2,FALSE))</f>
        <v>215.303</v>
      </c>
      <c r="DK215" s="32">
        <f>IF(DI215="","",VLOOKUP(DI215,'PPI USA'!$S:$T,2,FALSE))</f>
        <v>159.30000000000001</v>
      </c>
      <c r="DL215" s="32">
        <f>IF(DI215="","",VLOOKUP(DI215,'CPI USA'!$T:$V,3,FALSE))</f>
        <v>0.67018812038291731</v>
      </c>
      <c r="DM215" s="32">
        <f>IF(DI215="","",VLOOKUP(DI215,'CPI USA'!$T:$X,5,FALSE))</f>
        <v>0.49838492968660258</v>
      </c>
      <c r="DN215" s="32">
        <f t="shared" si="35"/>
        <v>1.4884333659448254</v>
      </c>
      <c r="DO215" s="32">
        <f t="shared" si="36"/>
        <v>1.5036496327119213</v>
      </c>
      <c r="DP215" s="32">
        <f t="shared" si="37"/>
        <v>0.46678117529268659</v>
      </c>
      <c r="DQ215" s="32">
        <f>IF(DP215="","",DP215*$DO$1/'CPI USA'!$U$532+(1-DP215)*AVERAGE($DO$1,$DQ$1)/AVERAGE('CPI USA'!$U$532,'PPI USA'!$T$538))</f>
        <v>1.0365248279340875</v>
      </c>
      <c r="DR215" s="6">
        <f t="shared" si="38"/>
        <v>924163</v>
      </c>
      <c r="DS215" s="32">
        <f t="shared" si="39"/>
        <v>0.35948642639529932</v>
      </c>
      <c r="DT215" s="28">
        <f>IF(DS215="","",DS215*$DO$1/'CPI USA'!$U$532+(1-DS215)*AVERAGE($DO$1,$DQ$1)/AVERAGE('CPI USA'!$U$532,'PPI USA'!$T$538))</f>
        <v>1.0390010705577146</v>
      </c>
      <c r="DU215" s="6">
        <f t="shared" si="40"/>
        <v>3941811.0033815606</v>
      </c>
      <c r="DV215" s="6">
        <f t="shared" si="87"/>
        <v>19270.043302400445</v>
      </c>
      <c r="DW215" s="6">
        <f t="shared" si="42"/>
        <v>1779221.1756379753</v>
      </c>
      <c r="DX215" s="16">
        <f t="shared" si="43"/>
        <v>0.28771210030070027</v>
      </c>
      <c r="DY215" s="28">
        <f>IF(DX215="","",DX215*$DO$1/'CPI USA'!$U$532+(1-DX215)*AVERAGE($DO$1,$DQ$1)/AVERAGE('CPI USA'!$U$532,'PPI USA'!$T$538))</f>
        <v>1.0406575416095041</v>
      </c>
      <c r="DZ215" s="30"/>
      <c r="EA215" s="29" t="str">
        <f t="shared" si="44"/>
        <v>C011423</v>
      </c>
      <c r="EB215" s="29">
        <f t="shared" si="45"/>
        <v>500157339.57175761</v>
      </c>
      <c r="EC215" s="29">
        <f t="shared" si="46"/>
        <v>32809834.66518496</v>
      </c>
      <c r="ED215" s="29">
        <f t="shared" si="47"/>
        <v>8237983.1923476076</v>
      </c>
      <c r="EE215" s="29">
        <f t="shared" si="48"/>
        <v>3359509.178544526</v>
      </c>
      <c r="EF215" s="29">
        <f t="shared" si="49"/>
        <v>6435460.7702764049</v>
      </c>
      <c r="EG215" s="29">
        <f t="shared" si="50"/>
        <v>375</v>
      </c>
      <c r="EH215" s="29">
        <f t="shared" si="51"/>
        <v>50292</v>
      </c>
      <c r="EI215" s="29">
        <f t="shared" si="52"/>
        <v>194878</v>
      </c>
      <c r="EJ215" s="29">
        <f t="shared" si="53"/>
        <v>1485011</v>
      </c>
      <c r="EK215" s="29">
        <f t="shared" si="54"/>
        <v>1677759.304568528</v>
      </c>
      <c r="EL215" s="29">
        <f>IF(CD215=1,VLOOKUP(EA215,'EIA 2023'!$A$2:$J$220,4,0)*EH215,"")</f>
        <v>8177479.1999999993</v>
      </c>
      <c r="EM215" s="29">
        <f>IF(CD215=1,VLOOKUP(EA215,'EIA 2023'!$A$2:$J$220,7,0)*EH215,"")</f>
        <v>75940.92</v>
      </c>
      <c r="EN215" s="29">
        <f>IF(CD215=1,VLOOKUP(EA215,'EIA 2023'!$A$2:$J$220,10,0),"")</f>
        <v>50335</v>
      </c>
      <c r="EO215" s="28">
        <f>IF(CD215=1,VLOOKUP(EA215,'EIA 2023'!$A$2:$Z$220,26,0),"")</f>
        <v>0</v>
      </c>
      <c r="EP215" s="23">
        <f t="shared" si="55"/>
        <v>0.11488436037498079</v>
      </c>
      <c r="EQ215" s="32">
        <f t="shared" si="56"/>
        <v>2129.6954314720933</v>
      </c>
      <c r="ER215" s="32">
        <f t="shared" si="57"/>
        <v>192748.30456852791</v>
      </c>
      <c r="ES215" s="32"/>
      <c r="ET215" s="32"/>
    </row>
    <row r="216" spans="1:150" ht="15.75" customHeight="1">
      <c r="A216" s="7" t="s">
        <v>865</v>
      </c>
      <c r="B216" s="7" t="s">
        <v>866</v>
      </c>
      <c r="C216" s="32" t="s">
        <v>1301</v>
      </c>
      <c r="D216" s="42">
        <v>0</v>
      </c>
      <c r="E216" s="42">
        <v>0</v>
      </c>
      <c r="F216" s="42">
        <v>0</v>
      </c>
      <c r="G216" s="42">
        <v>3312895</v>
      </c>
      <c r="H216" s="42">
        <v>3312895</v>
      </c>
      <c r="I216" s="42">
        <v>46311</v>
      </c>
      <c r="J216" s="42">
        <v>0</v>
      </c>
      <c r="K216" s="42">
        <v>318105</v>
      </c>
      <c r="L216" s="42">
        <v>0</v>
      </c>
      <c r="M216" s="42">
        <v>0</v>
      </c>
      <c r="N216" s="42">
        <v>0</v>
      </c>
      <c r="O216" s="42">
        <v>7497</v>
      </c>
      <c r="P216" s="42">
        <v>0</v>
      </c>
      <c r="Q216" s="42">
        <v>0</v>
      </c>
      <c r="R216" s="42">
        <v>0</v>
      </c>
      <c r="S216" s="42">
        <v>6504</v>
      </c>
      <c r="T216" s="42">
        <v>187763</v>
      </c>
      <c r="U216" s="42">
        <v>0</v>
      </c>
      <c r="V216" s="42">
        <v>0</v>
      </c>
      <c r="W216" s="42">
        <v>2111</v>
      </c>
      <c r="X216" s="42">
        <f>IFERROR(VLOOKUP(A216,'Trans 21-23'!$A$2:$J$229,10,0),0)</f>
        <v>0</v>
      </c>
      <c r="Y216" s="42">
        <v>2315</v>
      </c>
      <c r="Z216" s="42">
        <v>0</v>
      </c>
      <c r="AA216" s="42">
        <v>109065</v>
      </c>
      <c r="AB216" s="42">
        <v>31375</v>
      </c>
      <c r="AC216" s="42">
        <v>0</v>
      </c>
      <c r="AD216" s="42">
        <v>649126</v>
      </c>
      <c r="AE216" s="42">
        <v>0</v>
      </c>
      <c r="AF216" s="42">
        <v>4673699</v>
      </c>
      <c r="AG216" s="42">
        <v>2464</v>
      </c>
      <c r="AH216" s="42">
        <v>1943</v>
      </c>
      <c r="AI216" s="42">
        <v>33411</v>
      </c>
      <c r="AJ216" s="42">
        <v>0</v>
      </c>
      <c r="AK216" s="42">
        <v>0</v>
      </c>
      <c r="AL216" s="42">
        <v>12037</v>
      </c>
      <c r="AM216" s="42">
        <v>3712</v>
      </c>
      <c r="AN216" s="42">
        <v>2679</v>
      </c>
      <c r="AO216" s="42">
        <v>187</v>
      </c>
      <c r="AP216" s="42">
        <v>0</v>
      </c>
      <c r="AQ216" s="42">
        <v>18615</v>
      </c>
      <c r="AR216" s="42">
        <v>12853</v>
      </c>
      <c r="AS216" s="42">
        <v>31468</v>
      </c>
      <c r="AT216" s="42">
        <v>0</v>
      </c>
      <c r="AU216" s="42">
        <v>8474</v>
      </c>
      <c r="AV216" s="42">
        <v>0</v>
      </c>
      <c r="AW216" s="42">
        <v>227516</v>
      </c>
      <c r="AX216" s="42">
        <v>17205</v>
      </c>
      <c r="AY216" s="42">
        <v>1917350</v>
      </c>
      <c r="AZ216" s="42">
        <v>320237</v>
      </c>
      <c r="BA216" s="42">
        <v>30963</v>
      </c>
      <c r="BB216" s="42">
        <v>6715706</v>
      </c>
      <c r="BC216" s="42">
        <v>7992354</v>
      </c>
      <c r="BD216" s="42">
        <v>1276581</v>
      </c>
      <c r="BE216" s="42">
        <v>6302504</v>
      </c>
      <c r="BF216" s="42">
        <v>216179</v>
      </c>
      <c r="BG216" s="42">
        <v>0</v>
      </c>
      <c r="BH216" s="42">
        <v>227495</v>
      </c>
      <c r="BI216" s="42">
        <v>61213</v>
      </c>
      <c r="BJ216" s="42">
        <v>0</v>
      </c>
      <c r="BK216" s="42">
        <v>0</v>
      </c>
      <c r="BL216" s="42">
        <v>0</v>
      </c>
      <c r="BM216" s="42">
        <v>76390</v>
      </c>
      <c r="BN216" s="42">
        <v>365098</v>
      </c>
      <c r="BO216" s="42">
        <v>0</v>
      </c>
      <c r="BP216" s="42">
        <v>0</v>
      </c>
      <c r="BQ216" s="42">
        <v>365098</v>
      </c>
      <c r="BR216" s="42">
        <v>0</v>
      </c>
      <c r="BS216" s="42">
        <f>IFERROR(VLOOKUP(A216,'Trans 21-23'!$A$2:$J$229,9,0),0)</f>
        <v>0</v>
      </c>
      <c r="BT216" s="67"/>
      <c r="BU216" s="32">
        <f t="shared" si="0"/>
        <v>6715706</v>
      </c>
      <c r="BV216" s="32">
        <f t="shared" si="1"/>
        <v>8474</v>
      </c>
      <c r="BW216" s="32">
        <f t="shared" si="2"/>
        <v>2464</v>
      </c>
      <c r="BX216" s="32">
        <f t="shared" si="3"/>
        <v>568291</v>
      </c>
      <c r="BY216" s="32">
        <f t="shared" si="4"/>
        <v>142755</v>
      </c>
      <c r="BZ216" s="32">
        <f t="shared" si="5"/>
        <v>320237</v>
      </c>
      <c r="CA216" s="32">
        <f t="shared" si="6"/>
        <v>649126</v>
      </c>
      <c r="CB216" s="32">
        <f t="shared" si="7"/>
        <v>1943</v>
      </c>
      <c r="CC216" s="32">
        <f t="shared" si="8"/>
        <v>18615</v>
      </c>
      <c r="CD216" s="41">
        <v>0</v>
      </c>
      <c r="CE216" s="44">
        <f t="shared" si="10"/>
        <v>29</v>
      </c>
      <c r="CF216" s="27"/>
      <c r="CG216" s="28" t="str">
        <f t="shared" si="11"/>
        <v/>
      </c>
      <c r="CH216" s="28" t="str">
        <f t="shared" si="12"/>
        <v/>
      </c>
      <c r="CI216" s="28" t="str">
        <f t="shared" si="13"/>
        <v/>
      </c>
      <c r="CJ216" s="28" t="str">
        <f t="shared" si="14"/>
        <v/>
      </c>
      <c r="CK216" s="23" t="str">
        <f t="shared" si="15"/>
        <v/>
      </c>
      <c r="CL216" s="29" t="str">
        <f t="shared" si="16"/>
        <v/>
      </c>
      <c r="CM216" s="29" t="str">
        <f t="shared" si="17"/>
        <v/>
      </c>
      <c r="CN216" s="29" t="str">
        <f t="shared" si="18"/>
        <v/>
      </c>
      <c r="CO216" s="29" t="str">
        <f t="shared" si="19"/>
        <v/>
      </c>
      <c r="CP216" s="29" t="str">
        <f t="shared" si="20"/>
        <v/>
      </c>
      <c r="CQ216" s="29" t="str">
        <f t="shared" si="21"/>
        <v/>
      </c>
      <c r="CR216" s="13"/>
      <c r="CS216" s="7" t="str">
        <f>VLOOKUP(A216,'Empresas 21-23'!$A$2:$M$228,13,0)</f>
        <v/>
      </c>
      <c r="CT216" s="30"/>
      <c r="CU216" s="6">
        <f t="shared" si="22"/>
        <v>5203773</v>
      </c>
      <c r="CV216" s="6">
        <f t="shared" si="23"/>
        <v>320237</v>
      </c>
      <c r="CW216" s="6">
        <f t="shared" si="24"/>
        <v>1276581</v>
      </c>
      <c r="CX216" s="23">
        <f t="shared" si="92"/>
        <v>0.77485838190183021</v>
      </c>
      <c r="CY216" s="23">
        <f t="shared" si="93"/>
        <v>4.7684309758534126E-2</v>
      </c>
      <c r="CZ216" s="6">
        <f t="shared" si="27"/>
        <v>6192942.4880266208</v>
      </c>
      <c r="DA216" s="6">
        <f t="shared" si="28"/>
        <v>381109.88383585925</v>
      </c>
      <c r="DB216" s="6">
        <f t="shared" si="29"/>
        <v>568291</v>
      </c>
      <c r="DC216" s="6">
        <f t="shared" si="30"/>
        <v>568291</v>
      </c>
      <c r="DD216" s="6">
        <f t="shared" si="31"/>
        <v>142755</v>
      </c>
      <c r="DE216" s="6">
        <f t="shared" si="32"/>
        <v>649126</v>
      </c>
      <c r="DF216" s="6">
        <f t="shared" si="86"/>
        <v>648549.54880718526</v>
      </c>
      <c r="DG216" s="30"/>
      <c r="DH216" s="32">
        <f>VLOOKUP(A216,'T_med_comp-USA'!$A$7:$Q$233,17,0)</f>
        <v>29.557805268552546</v>
      </c>
      <c r="DI216" s="6" t="str">
        <f t="shared" si="34"/>
        <v>6_1994</v>
      </c>
      <c r="DJ216" s="32">
        <f>IF(DI216="","",VLOOKUP(DI216,'CPI USA'!$T:$U,2,FALSE))</f>
        <v>148.19999999999999</v>
      </c>
      <c r="DK216" s="32">
        <f>IF(DI216="","",VLOOKUP(DI216,'PPI USA'!$S:$T,2,FALSE))</f>
        <v>108.6</v>
      </c>
      <c r="DL216" s="32">
        <f>IF(DI216="","",VLOOKUP(DI216,'CPI USA'!$T:$V,3,FALSE))</f>
        <v>0.67109055661737993</v>
      </c>
      <c r="DM216" s="32">
        <f>IF(DI216="","",VLOOKUP(DI216,'CPI USA'!$T:$X,5,FALSE))</f>
        <v>0.49940632466039137</v>
      </c>
      <c r="DN216" s="32">
        <f t="shared" si="35"/>
        <v>2.1652880387789333</v>
      </c>
      <c r="DO216" s="32">
        <f t="shared" si="36"/>
        <v>2.1889591995776678</v>
      </c>
      <c r="DP216" s="32">
        <f t="shared" si="37"/>
        <v>0.40031427560879901</v>
      </c>
      <c r="DQ216" s="32">
        <f>IF(DP216="","",DP216*$DO$1/'CPI USA'!$U$532+(1-DP216)*AVERAGE($DO$1,$DQ$1)/AVERAGE('CPI USA'!$U$532,'PPI USA'!$T$538))</f>
        <v>1.0380588095291698</v>
      </c>
      <c r="DR216" s="6">
        <f t="shared" si="38"/>
        <v>61213</v>
      </c>
      <c r="DS216" s="32">
        <f t="shared" si="39"/>
        <v>0.42879759027704811</v>
      </c>
      <c r="DT216" s="28">
        <f>IF(DS216="","",DS216*$DO$1/'CPI USA'!$U$532+(1-DS216)*AVERAGE($DO$1,$DQ$1)/AVERAGE('CPI USA'!$U$532,'PPI USA'!$T$538))</f>
        <v>1.0374014465308079</v>
      </c>
      <c r="DU216" s="6">
        <f t="shared" si="40"/>
        <v>76390</v>
      </c>
      <c r="DV216" s="6">
        <f t="shared" si="87"/>
        <v>0</v>
      </c>
      <c r="DW216" s="6">
        <f t="shared" si="42"/>
        <v>60406.806172589277</v>
      </c>
      <c r="DX216" s="16">
        <f t="shared" si="43"/>
        <v>0.2</v>
      </c>
      <c r="DY216" s="28">
        <f>IF(DX216="","",DX216*$DO$1/'CPI USA'!$U$532+(1-DX216)*AVERAGE($DO$1,$DQ$1)/AVERAGE('CPI USA'!$U$532,'PPI USA'!$T$538))</f>
        <v>1.0426818386380585</v>
      </c>
      <c r="DZ216" s="30"/>
      <c r="EA216" s="29" t="str">
        <f t="shared" si="44"/>
        <v>C011644</v>
      </c>
      <c r="EB216" s="29" t="str">
        <f t="shared" si="45"/>
        <v/>
      </c>
      <c r="EC216" s="29" t="str">
        <f t="shared" si="46"/>
        <v/>
      </c>
      <c r="ED216" s="29" t="str">
        <f t="shared" si="47"/>
        <v/>
      </c>
      <c r="EE216" s="29" t="str">
        <f t="shared" si="48"/>
        <v/>
      </c>
      <c r="EF216" s="29" t="str">
        <f t="shared" si="49"/>
        <v/>
      </c>
      <c r="EG216" s="29" t="str">
        <f t="shared" si="50"/>
        <v/>
      </c>
      <c r="EH216" s="29" t="str">
        <f t="shared" si="51"/>
        <v/>
      </c>
      <c r="EI216" s="29" t="str">
        <f t="shared" si="52"/>
        <v/>
      </c>
      <c r="EJ216" s="29" t="str">
        <f t="shared" si="53"/>
        <v/>
      </c>
      <c r="EK216" s="29" t="str">
        <f t="shared" si="54"/>
        <v/>
      </c>
      <c r="EL216" s="29" t="str">
        <f>IF(CD216=1,VLOOKUP(EA216,'EIA 2023'!$A$2:$J$220,4,0)*EH216,"")</f>
        <v/>
      </c>
      <c r="EM216" s="29" t="str">
        <f>IF(CD216=1,VLOOKUP(EA216,'EIA 2023'!$A$2:$J$220,7,0)*EH216,"")</f>
        <v/>
      </c>
      <c r="EN216" s="29" t="str">
        <f>IF(CD216=1,VLOOKUP(EA216,'EIA 2023'!$A$2:$J$220,10,0),"")</f>
        <v/>
      </c>
      <c r="EO216" s="28" t="str">
        <f>IF(CD216=1,VLOOKUP(EA216,'EIA 2023'!$A$2:$Z$220,26,0),"")</f>
        <v/>
      </c>
      <c r="EP216" s="23" t="str">
        <f t="shared" si="55"/>
        <v/>
      </c>
      <c r="EQ216" s="32" t="str">
        <f t="shared" si="56"/>
        <v/>
      </c>
      <c r="ER216" s="32" t="str">
        <f t="shared" si="57"/>
        <v/>
      </c>
      <c r="ES216" s="32"/>
      <c r="ET216" s="32"/>
    </row>
    <row r="217" spans="1:150" ht="15.75" customHeight="1">
      <c r="A217" s="7" t="s">
        <v>1302</v>
      </c>
      <c r="B217" s="7" t="s">
        <v>1303</v>
      </c>
      <c r="C217" s="32" t="s">
        <v>1304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0</v>
      </c>
      <c r="K217" s="42">
        <v>0</v>
      </c>
      <c r="L217" s="42">
        <v>0</v>
      </c>
      <c r="M217" s="42">
        <v>0</v>
      </c>
      <c r="N217" s="42">
        <v>0</v>
      </c>
      <c r="O217" s="42">
        <v>0</v>
      </c>
      <c r="P217" s="42">
        <v>0</v>
      </c>
      <c r="Q217" s="42">
        <v>0</v>
      </c>
      <c r="R217" s="42">
        <v>0</v>
      </c>
      <c r="S217" s="42">
        <v>0</v>
      </c>
      <c r="T217" s="42">
        <v>0</v>
      </c>
      <c r="U217" s="42">
        <v>0</v>
      </c>
      <c r="V217" s="42">
        <v>0</v>
      </c>
      <c r="W217" s="42">
        <v>0</v>
      </c>
      <c r="X217" s="42">
        <f>IFERROR(VLOOKUP(A217,'Trans 21-23'!$A$2:$J$229,10,0),0)</f>
        <v>0</v>
      </c>
      <c r="Y217" s="42">
        <v>0</v>
      </c>
      <c r="Z217" s="42">
        <v>0</v>
      </c>
      <c r="AA217" s="42">
        <v>16183509</v>
      </c>
      <c r="AB217" s="42">
        <v>0</v>
      </c>
      <c r="AC217" s="42">
        <v>0</v>
      </c>
      <c r="AD217" s="42">
        <v>0</v>
      </c>
      <c r="AE217" s="42">
        <v>0</v>
      </c>
      <c r="AF217" s="42">
        <v>16183509</v>
      </c>
      <c r="AG217" s="42">
        <v>0</v>
      </c>
      <c r="AH217" s="42">
        <v>0</v>
      </c>
      <c r="AI217" s="42">
        <v>0</v>
      </c>
      <c r="AJ217" s="42">
        <v>0</v>
      </c>
      <c r="AK217" s="42">
        <v>0</v>
      </c>
      <c r="AL217" s="42">
        <v>0</v>
      </c>
      <c r="AM217" s="42">
        <v>0</v>
      </c>
      <c r="AN217" s="42">
        <v>0</v>
      </c>
      <c r="AO217" s="42">
        <v>0</v>
      </c>
      <c r="AP217" s="42">
        <v>0</v>
      </c>
      <c r="AQ217" s="42">
        <v>0</v>
      </c>
      <c r="AR217" s="42">
        <v>0</v>
      </c>
      <c r="AS217" s="42">
        <v>0</v>
      </c>
      <c r="AT217" s="42">
        <v>0</v>
      </c>
      <c r="AU217" s="42">
        <v>0</v>
      </c>
      <c r="AV217" s="42">
        <v>0</v>
      </c>
      <c r="AW217" s="42">
        <v>0</v>
      </c>
      <c r="AX217" s="42">
        <v>0</v>
      </c>
      <c r="AY217" s="42">
        <v>0</v>
      </c>
      <c r="AZ217" s="42">
        <v>0</v>
      </c>
      <c r="BA217" s="42">
        <v>0</v>
      </c>
      <c r="BB217" s="42">
        <v>0</v>
      </c>
      <c r="BC217" s="42">
        <v>0</v>
      </c>
      <c r="BD217" s="42">
        <v>0</v>
      </c>
      <c r="BE217" s="42">
        <v>0</v>
      </c>
      <c r="BF217" s="42">
        <v>0</v>
      </c>
      <c r="BG217" s="42">
        <v>0</v>
      </c>
      <c r="BH217" s="42">
        <v>0</v>
      </c>
      <c r="BI217" s="42">
        <v>0</v>
      </c>
      <c r="BJ217" s="42">
        <v>0</v>
      </c>
      <c r="BK217" s="42">
        <v>0</v>
      </c>
      <c r="BL217" s="42">
        <v>0</v>
      </c>
      <c r="BM217" s="42">
        <v>0</v>
      </c>
      <c r="BN217" s="42">
        <v>0</v>
      </c>
      <c r="BO217" s="42">
        <v>0</v>
      </c>
      <c r="BP217" s="42">
        <v>0</v>
      </c>
      <c r="BQ217" s="42">
        <v>0</v>
      </c>
      <c r="BR217" s="42">
        <v>0</v>
      </c>
      <c r="BS217" s="42">
        <f>IFERROR(VLOOKUP(A217,'Trans 21-23'!$A$2:$J$229,9,0),0)</f>
        <v>0</v>
      </c>
      <c r="BT217" s="67"/>
      <c r="BU217" s="32">
        <f t="shared" si="0"/>
        <v>0</v>
      </c>
      <c r="BV217" s="32">
        <f t="shared" si="1"/>
        <v>0</v>
      </c>
      <c r="BW217" s="32">
        <f t="shared" si="2"/>
        <v>0</v>
      </c>
      <c r="BX217" s="32">
        <f t="shared" si="3"/>
        <v>0</v>
      </c>
      <c r="BY217" s="32">
        <f t="shared" si="4"/>
        <v>16183509</v>
      </c>
      <c r="BZ217" s="32">
        <f t="shared" si="5"/>
        <v>0</v>
      </c>
      <c r="CA217" s="32">
        <f t="shared" si="6"/>
        <v>0</v>
      </c>
      <c r="CB217" s="32">
        <f t="shared" si="7"/>
        <v>0</v>
      </c>
      <c r="CC217" s="32">
        <f t="shared" si="8"/>
        <v>0</v>
      </c>
      <c r="CD217" s="41">
        <f t="shared" ref="CD217:CD218" si="94">IF(OR(BU217&lt;=0,BV217&lt;=0,BW217&lt;=0,BX217&lt;=0,BY217&lt;=0,BZ217&lt;=0,CA217&lt;=0,CB217&lt;=0,CC217&lt;=0,DH217="-"),0,1)</f>
        <v>0</v>
      </c>
      <c r="CE217" s="44">
        <f t="shared" si="10"/>
        <v>66</v>
      </c>
      <c r="CF217" s="27"/>
      <c r="CG217" s="28" t="str">
        <f t="shared" si="11"/>
        <v/>
      </c>
      <c r="CH217" s="28" t="str">
        <f t="shared" si="12"/>
        <v/>
      </c>
      <c r="CI217" s="28" t="str">
        <f t="shared" si="13"/>
        <v/>
      </c>
      <c r="CJ217" s="28" t="str">
        <f t="shared" si="14"/>
        <v/>
      </c>
      <c r="CK217" s="23" t="str">
        <f t="shared" si="15"/>
        <v/>
      </c>
      <c r="CL217" s="29" t="str">
        <f t="shared" si="16"/>
        <v/>
      </c>
      <c r="CM217" s="29" t="str">
        <f t="shared" si="17"/>
        <v/>
      </c>
      <c r="CN217" s="29" t="str">
        <f t="shared" si="18"/>
        <v/>
      </c>
      <c r="CO217" s="29" t="str">
        <f t="shared" si="19"/>
        <v/>
      </c>
      <c r="CP217" s="29" t="str">
        <f t="shared" si="20"/>
        <v/>
      </c>
      <c r="CQ217" s="29" t="str">
        <f t="shared" si="21"/>
        <v/>
      </c>
      <c r="CR217" s="13"/>
      <c r="CS217" s="7" t="str">
        <f>VLOOKUP(A217,'Empresas 21-23'!$A$2:$M$228,13,0)</f>
        <v/>
      </c>
      <c r="CT217" s="30"/>
      <c r="CU217" s="6">
        <f t="shared" si="22"/>
        <v>0</v>
      </c>
      <c r="CV217" s="6">
        <f t="shared" si="23"/>
        <v>0</v>
      </c>
      <c r="CW217" s="6">
        <f t="shared" si="24"/>
        <v>0</v>
      </c>
      <c r="CX217" s="23" t="str">
        <f>IFERROR(CU217/(BC217-BD217),"")</f>
        <v/>
      </c>
      <c r="CY217" s="23" t="str">
        <f>IFERROR(CV217/(BC217-BD217),"")</f>
        <v/>
      </c>
      <c r="CZ217" s="6" t="e">
        <f t="shared" si="27"/>
        <v>#VALUE!</v>
      </c>
      <c r="DA217" s="6" t="e">
        <f t="shared" si="28"/>
        <v>#VALUE!</v>
      </c>
      <c r="DB217" s="6">
        <f t="shared" si="29"/>
        <v>0</v>
      </c>
      <c r="DC217" s="6">
        <f t="shared" si="30"/>
        <v>0</v>
      </c>
      <c r="DD217" s="6">
        <f t="shared" si="31"/>
        <v>16183509</v>
      </c>
      <c r="DE217" s="6">
        <f t="shared" si="32"/>
        <v>0</v>
      </c>
      <c r="DF217" s="6">
        <f t="shared" si="86"/>
        <v>0</v>
      </c>
      <c r="DG217" s="30"/>
      <c r="DH217" s="32" t="str">
        <f>VLOOKUP(A217,'T_med_comp-USA'!$A$7:$Q$233,17,0)</f>
        <v>-</v>
      </c>
      <c r="DI217" s="6" t="str">
        <f t="shared" si="34"/>
        <v/>
      </c>
      <c r="DJ217" s="32" t="str">
        <f>IF(DI217="","",VLOOKUP(DI217,'CPI USA'!$T:$U,2,FALSE))</f>
        <v/>
      </c>
      <c r="DK217" s="32" t="str">
        <f>IF(DI217="","",VLOOKUP(DI217,'PPI USA'!$S:$T,2,FALSE))</f>
        <v/>
      </c>
      <c r="DL217" s="32" t="str">
        <f>IF(DI217="","",VLOOKUP(DI217,'CPI USA'!$T:$V,3,FALSE))</f>
        <v/>
      </c>
      <c r="DM217" s="32" t="str">
        <f>IF(DI217="","",VLOOKUP(DI217,'CPI USA'!$T:$X,5,FALSE))</f>
        <v/>
      </c>
      <c r="DN217" s="32" t="str">
        <f t="shared" si="35"/>
        <v/>
      </c>
      <c r="DO217" s="32" t="str">
        <f t="shared" si="36"/>
        <v/>
      </c>
      <c r="DP217" s="32" t="str">
        <f t="shared" si="37"/>
        <v/>
      </c>
      <c r="DQ217" s="32" t="str">
        <f>IF(DP217="","",DP217*$DO$1/'CPI USA'!$U$532+(1-DP217)*AVERAGE($DO$1,$DQ$1)/AVERAGE('CPI USA'!$U$532,'PPI USA'!$T$538))</f>
        <v/>
      </c>
      <c r="DR217" s="6">
        <f t="shared" si="38"/>
        <v>0</v>
      </c>
      <c r="DS217" s="32">
        <f t="shared" si="39"/>
        <v>0.2</v>
      </c>
      <c r="DT217" s="28">
        <f>IF(DS217="","",DS217*$DO$1/'CPI USA'!$U$532+(1-DS217)*AVERAGE($DO$1,$DQ$1)/AVERAGE('CPI USA'!$U$532,'PPI USA'!$T$538))</f>
        <v>1.0426818386380585</v>
      </c>
      <c r="DU217" s="6" t="str">
        <f t="shared" si="40"/>
        <v/>
      </c>
      <c r="DV217" s="6" t="str">
        <f t="shared" si="87"/>
        <v/>
      </c>
      <c r="DW217" s="6">
        <f t="shared" si="42"/>
        <v>0</v>
      </c>
      <c r="DX217" s="16" t="e">
        <f t="shared" si="43"/>
        <v>#VALUE!</v>
      </c>
      <c r="DY217" s="28" t="e">
        <f>IF(DX217="","",DX217*$DO$1/'CPI USA'!$U$532+(1-DX217)*AVERAGE($DO$1,$DQ$1)/AVERAGE('CPI USA'!$U$532,'PPI USA'!$T$538))</f>
        <v>#VALUE!</v>
      </c>
      <c r="DZ217" s="30"/>
      <c r="EA217" s="29" t="str">
        <f t="shared" si="44"/>
        <v>C011745</v>
      </c>
      <c r="EB217" s="29" t="str">
        <f t="shared" si="45"/>
        <v/>
      </c>
      <c r="EC217" s="29" t="str">
        <f t="shared" si="46"/>
        <v/>
      </c>
      <c r="ED217" s="29" t="str">
        <f t="shared" si="47"/>
        <v/>
      </c>
      <c r="EE217" s="29" t="str">
        <f t="shared" si="48"/>
        <v/>
      </c>
      <c r="EF217" s="29" t="str">
        <f t="shared" si="49"/>
        <v/>
      </c>
      <c r="EG217" s="29" t="str">
        <f t="shared" si="50"/>
        <v/>
      </c>
      <c r="EH217" s="29" t="str">
        <f t="shared" si="51"/>
        <v/>
      </c>
      <c r="EI217" s="29" t="str">
        <f t="shared" si="52"/>
        <v/>
      </c>
      <c r="EJ217" s="29" t="str">
        <f t="shared" si="53"/>
        <v/>
      </c>
      <c r="EK217" s="29" t="str">
        <f t="shared" si="54"/>
        <v/>
      </c>
      <c r="EL217" s="29" t="str">
        <f>IF(CD217=1,VLOOKUP(EA217,'EIA 2023'!$A$2:$J$220,4,0)*EH217,"")</f>
        <v/>
      </c>
      <c r="EM217" s="29" t="str">
        <f>IF(CD217=1,VLOOKUP(EA217,'EIA 2023'!$A$2:$J$220,7,0)*EH217,"")</f>
        <v/>
      </c>
      <c r="EN217" s="29" t="str">
        <f>IF(CD217=1,VLOOKUP(EA217,'EIA 2023'!$A$2:$J$220,10,0),"")</f>
        <v/>
      </c>
      <c r="EO217" s="28" t="str">
        <f>IF(CD217=1,VLOOKUP(EA217,'EIA 2023'!$A$2:$Z$220,26,0),"")</f>
        <v/>
      </c>
      <c r="EP217" s="23" t="str">
        <f t="shared" si="55"/>
        <v/>
      </c>
      <c r="EQ217" s="32" t="str">
        <f t="shared" si="56"/>
        <v/>
      </c>
      <c r="ER217" s="32" t="str">
        <f t="shared" si="57"/>
        <v/>
      </c>
      <c r="ES217" s="32"/>
      <c r="ET217" s="32"/>
    </row>
    <row r="218" spans="1:150" ht="15.75" customHeight="1">
      <c r="A218" s="7" t="s">
        <v>1083</v>
      </c>
      <c r="B218" s="7" t="s">
        <v>1084</v>
      </c>
      <c r="C218" s="32" t="s">
        <v>1305</v>
      </c>
      <c r="D218" s="42">
        <v>0</v>
      </c>
      <c r="E218" s="42">
        <v>0</v>
      </c>
      <c r="F218" s="42">
        <v>0</v>
      </c>
      <c r="G218" s="42">
        <v>333857478</v>
      </c>
      <c r="H218" s="42">
        <v>333583505</v>
      </c>
      <c r="I218" s="42">
        <v>1744931</v>
      </c>
      <c r="J218" s="42">
        <v>1212445</v>
      </c>
      <c r="K218" s="42">
        <v>1526393</v>
      </c>
      <c r="L218" s="42">
        <v>3120418</v>
      </c>
      <c r="M218" s="42">
        <v>943846</v>
      </c>
      <c r="N218" s="42">
        <v>233645</v>
      </c>
      <c r="O218" s="42">
        <v>2224325</v>
      </c>
      <c r="P218" s="42">
        <v>0</v>
      </c>
      <c r="Q218" s="42">
        <v>0</v>
      </c>
      <c r="R218" s="42">
        <v>0</v>
      </c>
      <c r="S218" s="42">
        <v>21055</v>
      </c>
      <c r="T218" s="42">
        <v>6838583</v>
      </c>
      <c r="U218" s="42">
        <v>595869</v>
      </c>
      <c r="V218" s="42">
        <v>80681</v>
      </c>
      <c r="W218" s="42">
        <v>0</v>
      </c>
      <c r="X218" s="42">
        <f>IFERROR(VLOOKUP(A218,'Trans 21-23'!$A$2:$J$229,10,0),0)</f>
        <v>2259069</v>
      </c>
      <c r="Y218" s="42">
        <v>797575</v>
      </c>
      <c r="Z218" s="42">
        <v>47355</v>
      </c>
      <c r="AA218" s="42">
        <v>1769519</v>
      </c>
      <c r="AB218" s="42">
        <v>265617</v>
      </c>
      <c r="AC218" s="42">
        <v>63442</v>
      </c>
      <c r="AD218" s="42">
        <v>6745946</v>
      </c>
      <c r="AE218" s="42">
        <v>0</v>
      </c>
      <c r="AF218" s="42">
        <v>364057725</v>
      </c>
      <c r="AG218" s="42">
        <v>21124</v>
      </c>
      <c r="AH218" s="42">
        <v>98206</v>
      </c>
      <c r="AI218" s="42">
        <v>5769749</v>
      </c>
      <c r="AJ218" s="42">
        <v>5842</v>
      </c>
      <c r="AK218" s="42">
        <v>0</v>
      </c>
      <c r="AL218" s="42">
        <v>196463</v>
      </c>
      <c r="AM218" s="42">
        <v>1011266</v>
      </c>
      <c r="AN218" s="42">
        <v>4450784</v>
      </c>
      <c r="AO218" s="42">
        <v>100</v>
      </c>
      <c r="AP218" s="42">
        <v>7088</v>
      </c>
      <c r="AQ218" s="42">
        <v>5665701</v>
      </c>
      <c r="AR218" s="42">
        <v>0</v>
      </c>
      <c r="AS218" s="42">
        <v>5665701</v>
      </c>
      <c r="AT218" s="42">
        <v>0</v>
      </c>
      <c r="AU218" s="42">
        <v>818</v>
      </c>
      <c r="AV218" s="42">
        <v>0</v>
      </c>
      <c r="AW218" s="42">
        <v>46880505</v>
      </c>
      <c r="AX218" s="42">
        <v>0</v>
      </c>
      <c r="AY218" s="42">
        <v>67080125</v>
      </c>
      <c r="AZ218" s="42">
        <v>15736191</v>
      </c>
      <c r="BA218" s="42">
        <v>1814769</v>
      </c>
      <c r="BB218" s="42">
        <v>373047001</v>
      </c>
      <c r="BC218" s="42">
        <v>696816634</v>
      </c>
      <c r="BD218" s="42">
        <v>98771004</v>
      </c>
      <c r="BE218" s="42">
        <v>101421009</v>
      </c>
      <c r="BF218" s="42">
        <v>12193538</v>
      </c>
      <c r="BG218" s="42">
        <v>0</v>
      </c>
      <c r="BH218" s="42">
        <v>13133662</v>
      </c>
      <c r="BI218" s="42">
        <v>1497561</v>
      </c>
      <c r="BJ218" s="42">
        <v>172251</v>
      </c>
      <c r="BK218" s="42">
        <v>0</v>
      </c>
      <c r="BL218" s="42">
        <v>0</v>
      </c>
      <c r="BM218" s="42">
        <v>3582593</v>
      </c>
      <c r="BN218" s="42">
        <v>19632872</v>
      </c>
      <c r="BO218" s="42">
        <v>0</v>
      </c>
      <c r="BP218" s="42">
        <v>34133</v>
      </c>
      <c r="BQ218" s="42">
        <v>24051070</v>
      </c>
      <c r="BR218" s="42">
        <v>0</v>
      </c>
      <c r="BS218" s="42">
        <f>IFERROR(VLOOKUP(A218,'Trans 21-23'!$A$2:$J$229,9,0),0)</f>
        <v>157220542</v>
      </c>
      <c r="BT218" s="67"/>
      <c r="BU218" s="32">
        <f t="shared" si="0"/>
        <v>373047001</v>
      </c>
      <c r="BV218" s="32">
        <f t="shared" si="1"/>
        <v>818</v>
      </c>
      <c r="BW218" s="32">
        <f t="shared" si="2"/>
        <v>21124</v>
      </c>
      <c r="BX218" s="32">
        <f t="shared" si="3"/>
        <v>18542191</v>
      </c>
      <c r="BY218" s="32">
        <f t="shared" si="4"/>
        <v>2943508</v>
      </c>
      <c r="BZ218" s="32">
        <f t="shared" si="5"/>
        <v>15736191</v>
      </c>
      <c r="CA218" s="32">
        <f t="shared" si="6"/>
        <v>6745946</v>
      </c>
      <c r="CB218" s="32">
        <f t="shared" si="7"/>
        <v>98206</v>
      </c>
      <c r="CC218" s="32">
        <f t="shared" si="8"/>
        <v>5665701</v>
      </c>
      <c r="CD218" s="41">
        <f t="shared" si="94"/>
        <v>1</v>
      </c>
      <c r="CE218" s="44">
        <f t="shared" si="10"/>
        <v>18</v>
      </c>
      <c r="CF218" s="27"/>
      <c r="CG218" s="28">
        <f t="shared" si="11"/>
        <v>456.04767848410762</v>
      </c>
      <c r="CH218" s="28">
        <f t="shared" si="12"/>
        <v>38.723726566938083</v>
      </c>
      <c r="CI218" s="28">
        <f t="shared" si="13"/>
        <v>877.77840371141826</v>
      </c>
      <c r="CJ218" s="28">
        <f t="shared" si="14"/>
        <v>744.94371331187278</v>
      </c>
      <c r="CK218" s="23">
        <f t="shared" si="15"/>
        <v>1.7333424407677003E-2</v>
      </c>
      <c r="CL218" s="29" t="str">
        <f t="shared" si="16"/>
        <v/>
      </c>
      <c r="CM218" s="29">
        <f t="shared" si="17"/>
        <v>1</v>
      </c>
      <c r="CN218" s="29">
        <f t="shared" si="18"/>
        <v>1</v>
      </c>
      <c r="CO218" s="29" t="str">
        <f t="shared" si="19"/>
        <v/>
      </c>
      <c r="CP218" s="29" t="str">
        <f t="shared" si="20"/>
        <v/>
      </c>
      <c r="CQ218" s="29">
        <f t="shared" si="21"/>
        <v>2</v>
      </c>
      <c r="CR218" s="13"/>
      <c r="CS218" s="7" t="str">
        <f>VLOOKUP(A218,'Empresas 21-23'!$A$2:$M$228,13,0)</f>
        <v/>
      </c>
      <c r="CT218" s="30"/>
      <c r="CU218" s="6">
        <f t="shared" si="22"/>
        <v>472468508</v>
      </c>
      <c r="CV218" s="6">
        <f t="shared" si="23"/>
        <v>15736191</v>
      </c>
      <c r="CW218" s="6">
        <f t="shared" si="24"/>
        <v>98771004</v>
      </c>
      <c r="CX218" s="23">
        <f>CU218/(BC218-BD218)</f>
        <v>0.79002083503227005</v>
      </c>
      <c r="CY218" s="23">
        <f>CV218/(BC218-BD218)</f>
        <v>2.6312692896025343E-2</v>
      </c>
      <c r="CZ218" s="6">
        <f t="shared" si="27"/>
        <v>550499659.05705571</v>
      </c>
      <c r="DA218" s="6">
        <f t="shared" si="28"/>
        <v>18335122.095284089</v>
      </c>
      <c r="DB218" s="6">
        <f t="shared" si="29"/>
        <v>18542191</v>
      </c>
      <c r="DC218" s="6">
        <f t="shared" si="30"/>
        <v>20801260</v>
      </c>
      <c r="DD218" s="6">
        <f t="shared" si="31"/>
        <v>2943508</v>
      </c>
      <c r="DE218" s="6">
        <f t="shared" si="32"/>
        <v>6745946</v>
      </c>
      <c r="DF218" s="6">
        <f t="shared" si="86"/>
        <v>6750635.242602475</v>
      </c>
      <c r="DG218" s="30"/>
      <c r="DH218" s="32">
        <f>VLOOKUP(A218,'T_med_comp-USA'!$A$7:$Q$233,17,0)</f>
        <v>6.1790239512252469</v>
      </c>
      <c r="DI218" s="6" t="str">
        <f t="shared" si="34"/>
        <v>10_2017</v>
      </c>
      <c r="DJ218" s="32">
        <f>IF(DI218="","",VLOOKUP(DI218,'CPI USA'!$T:$U,2,FALSE))</f>
        <v>246.66300000000001</v>
      </c>
      <c r="DK218" s="32">
        <f>IF(DI218="","",VLOOKUP(DI218,'PPI USA'!$S:$T,2,FALSE))</f>
        <v>199.6</v>
      </c>
      <c r="DL218" s="32">
        <f>IF(DI218="","",VLOOKUP(DI218,'CPI USA'!$T:$V,3,FALSE))</f>
        <v>0.66204311420409623</v>
      </c>
      <c r="DM218" s="32">
        <f>IF(DI218="","",VLOOKUP(DI218,'CPI USA'!$T:$X,5,FALSE))</f>
        <v>0.48923067262022524</v>
      </c>
      <c r="DN218" s="32">
        <f t="shared" si="35"/>
        <v>1.282335549127724</v>
      </c>
      <c r="DO218" s="32">
        <f t="shared" si="36"/>
        <v>1.2867505924639646</v>
      </c>
      <c r="DP218" s="32">
        <f t="shared" si="37"/>
        <v>0.70831230246738375</v>
      </c>
      <c r="DQ218" s="32">
        <f>IF(DP218="","",DP218*$DO$1/'CPI USA'!$U$532+(1-DP218)*AVERAGE($DO$1,$DQ$1)/AVERAGE('CPI USA'!$U$532,'PPI USA'!$T$538))</f>
        <v>1.0309505600580826</v>
      </c>
      <c r="DR218" s="6">
        <f t="shared" si="38"/>
        <v>1669812</v>
      </c>
      <c r="DS218" s="32">
        <f t="shared" si="39"/>
        <v>0.56728638074025961</v>
      </c>
      <c r="DT218" s="28">
        <f>IF(DS218="","",DS218*$DO$1/'CPI USA'!$U$532+(1-DS218)*AVERAGE($DO$1,$DQ$1)/AVERAGE('CPI USA'!$U$532,'PPI USA'!$T$538))</f>
        <v>1.0342052803683095</v>
      </c>
      <c r="DU218" s="6">
        <f t="shared" si="40"/>
        <v>3582593</v>
      </c>
      <c r="DV218" s="6">
        <f t="shared" si="87"/>
        <v>5091.6004346849058</v>
      </c>
      <c r="DW218" s="6">
        <f t="shared" si="42"/>
        <v>2705166.911022251</v>
      </c>
      <c r="DX218" s="16">
        <f t="shared" si="43"/>
        <v>0.40072775580441033</v>
      </c>
      <c r="DY218" s="28">
        <f>IF(DX218="","",DX218*$DO$1/'CPI USA'!$U$532+(1-DX218)*AVERAGE($DO$1,$DQ$1)/AVERAGE('CPI USA'!$U$532,'PPI USA'!$T$538))</f>
        <v>1.0380492668693946</v>
      </c>
      <c r="DZ218" s="30"/>
      <c r="EA218" s="29" t="str">
        <f t="shared" si="44"/>
        <v>C011785</v>
      </c>
      <c r="EB218" s="29">
        <f t="shared" si="45"/>
        <v>705925282.5915544</v>
      </c>
      <c r="EC218" s="29">
        <f t="shared" si="46"/>
        <v>23592729.219005931</v>
      </c>
      <c r="ED218" s="29">
        <f t="shared" si="47"/>
        <v>21445070.646913793</v>
      </c>
      <c r="EE218" s="29">
        <f t="shared" si="48"/>
        <v>3044191.5164063619</v>
      </c>
      <c r="EF218" s="29">
        <f t="shared" si="49"/>
        <v>7007491.9644861966</v>
      </c>
      <c r="EG218" s="29">
        <f t="shared" si="50"/>
        <v>818</v>
      </c>
      <c r="EH218" s="29">
        <f t="shared" si="51"/>
        <v>21124</v>
      </c>
      <c r="EI218" s="29">
        <f t="shared" si="52"/>
        <v>98206</v>
      </c>
      <c r="EJ218" s="29">
        <f t="shared" si="53"/>
        <v>5665701</v>
      </c>
      <c r="EK218" s="29">
        <f t="shared" si="54"/>
        <v>5763907</v>
      </c>
      <c r="EL218" s="29" t="e">
        <f>IF(CD218=1,VLOOKUP(EA218,'EIA 2023'!$A$2:$J$220,4,0)*EH218,"")</f>
        <v>#VALUE!</v>
      </c>
      <c r="EM218" s="29" t="e">
        <f>IF(CD218=1,VLOOKUP(EA218,'EIA 2023'!$A$2:$J$220,7,0)*EH218,"")</f>
        <v>#VALUE!</v>
      </c>
      <c r="EN218" s="29">
        <f>IF(CD218=1,VLOOKUP(EA218,'EIA 2023'!$A$2:$J$220,10,0),"")</f>
        <v>0</v>
      </c>
      <c r="EO218" s="28">
        <f>IF(CD218=1,VLOOKUP(EA218,'EIA 2023'!$A$2:$Z$220,26,0),"")</f>
        <v>0</v>
      </c>
      <c r="EP218" s="23">
        <f t="shared" si="55"/>
        <v>1.7038095861019269E-2</v>
      </c>
      <c r="EQ218" s="32">
        <f t="shared" si="56"/>
        <v>0</v>
      </c>
      <c r="ER218" s="32">
        <f t="shared" si="57"/>
        <v>98206</v>
      </c>
      <c r="ES218" s="32"/>
      <c r="ET218" s="32"/>
    </row>
    <row r="219" spans="1:150" ht="15.75" customHeight="1">
      <c r="A219" s="7"/>
      <c r="B219" s="7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67"/>
      <c r="CE219" s="7" t="str">
        <f>+'Empresas 21-23'!M218</f>
        <v/>
      </c>
      <c r="CF219" s="27"/>
      <c r="CG219" s="28"/>
      <c r="CH219" s="28"/>
      <c r="CI219" s="28"/>
      <c r="CJ219" s="28"/>
      <c r="CL219" s="29" t="str">
        <f t="shared" si="16"/>
        <v/>
      </c>
      <c r="CM219" s="29" t="str">
        <f t="shared" si="17"/>
        <v/>
      </c>
      <c r="CN219" s="29" t="str">
        <f t="shared" si="18"/>
        <v/>
      </c>
      <c r="CO219" s="29" t="str">
        <f t="shared" si="19"/>
        <v/>
      </c>
      <c r="CP219" s="29" t="str">
        <f t="shared" si="20"/>
        <v/>
      </c>
      <c r="CQ219" s="29" t="str">
        <f t="shared" si="21"/>
        <v/>
      </c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3"/>
      <c r="EQ219" s="23"/>
      <c r="ER219" s="23"/>
      <c r="ES219" s="23"/>
      <c r="ET219" s="23"/>
    </row>
    <row r="220" spans="1:150" ht="15.75" customHeight="1">
      <c r="A220" s="7"/>
      <c r="B220" s="7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67"/>
      <c r="CE220" s="7" t="str">
        <f>+'Empresas 21-23'!M219</f>
        <v/>
      </c>
      <c r="CF220" s="27"/>
      <c r="CG220" s="28"/>
      <c r="CH220" s="28"/>
      <c r="CI220" s="28"/>
      <c r="CJ220" s="28"/>
      <c r="CL220" s="29" t="str">
        <f t="shared" si="16"/>
        <v/>
      </c>
      <c r="CM220" s="29" t="str">
        <f t="shared" si="17"/>
        <v/>
      </c>
      <c r="CN220" s="29" t="str">
        <f t="shared" si="18"/>
        <v/>
      </c>
      <c r="CO220" s="29" t="str">
        <f t="shared" si="19"/>
        <v/>
      </c>
      <c r="CP220" s="29" t="str">
        <f t="shared" si="20"/>
        <v/>
      </c>
      <c r="CQ220" s="29" t="str">
        <f t="shared" si="21"/>
        <v/>
      </c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3"/>
      <c r="EQ220" s="23"/>
      <c r="ER220" s="23"/>
      <c r="ES220" s="23"/>
      <c r="ET220" s="23"/>
    </row>
    <row r="221" spans="1:150" ht="15.75" customHeight="1">
      <c r="A221" s="7"/>
      <c r="B221" s="7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67"/>
      <c r="CE221" s="7" t="str">
        <f>+'Empresas 21-23'!M220</f>
        <v/>
      </c>
      <c r="CF221" s="27"/>
      <c r="CG221" s="28"/>
      <c r="CH221" s="28"/>
      <c r="CI221" s="28"/>
      <c r="CJ221" s="28"/>
      <c r="CL221" s="29" t="str">
        <f t="shared" si="16"/>
        <v/>
      </c>
      <c r="CM221" s="29" t="str">
        <f t="shared" si="17"/>
        <v/>
      </c>
      <c r="CN221" s="29" t="str">
        <f t="shared" si="18"/>
        <v/>
      </c>
      <c r="CO221" s="29" t="str">
        <f t="shared" si="19"/>
        <v/>
      </c>
      <c r="CP221" s="29" t="str">
        <f t="shared" si="20"/>
        <v/>
      </c>
      <c r="CQ221" s="29" t="str">
        <f t="shared" si="21"/>
        <v/>
      </c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3"/>
      <c r="EQ221" s="23"/>
      <c r="ER221" s="23"/>
      <c r="ES221" s="23"/>
      <c r="ET221" s="23"/>
    </row>
    <row r="222" spans="1:150" ht="15.75" customHeight="1">
      <c r="A222" s="7"/>
      <c r="B222" s="7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67"/>
      <c r="CF222" s="27"/>
      <c r="CG222" s="28"/>
      <c r="CH222" s="28"/>
      <c r="CI222" s="28"/>
      <c r="CJ222" s="28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56"/>
      <c r="EQ222" s="56"/>
      <c r="ER222" s="56"/>
      <c r="ES222" s="56"/>
      <c r="ET222" s="56"/>
    </row>
    <row r="223" spans="1:150" ht="15.75" customHeight="1">
      <c r="A223" s="7"/>
      <c r="B223" s="7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67"/>
      <c r="CF223" s="27"/>
      <c r="CG223" s="28"/>
      <c r="CH223" s="28"/>
      <c r="CI223" s="28"/>
      <c r="CJ223" s="28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17"/>
      <c r="EQ223" s="17"/>
      <c r="ER223" s="17"/>
      <c r="ES223" s="17"/>
      <c r="ET223" s="17"/>
    </row>
    <row r="224" spans="1:150" ht="15.75" customHeight="1">
      <c r="A224" s="7"/>
      <c r="B224" s="7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67"/>
      <c r="CF224" s="27"/>
      <c r="CG224" s="28"/>
      <c r="CH224" s="28"/>
      <c r="CI224" s="28"/>
      <c r="CJ224" s="28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17"/>
      <c r="EQ224" s="17"/>
      <c r="ER224" s="17"/>
      <c r="ES224" s="17"/>
      <c r="ET224" s="17"/>
    </row>
    <row r="225" spans="1:150" ht="15.75" customHeight="1">
      <c r="A225" s="7"/>
      <c r="B225" s="7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67"/>
      <c r="CF225" s="27"/>
      <c r="CG225" s="28"/>
      <c r="CH225" s="28"/>
      <c r="CI225" s="28"/>
      <c r="CJ225" s="28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17"/>
      <c r="EQ225" s="17"/>
      <c r="ER225" s="17"/>
      <c r="ES225" s="17"/>
      <c r="ET225" s="17"/>
    </row>
    <row r="226" spans="1:150" ht="15.75" customHeight="1">
      <c r="A226" s="7"/>
      <c r="B226" s="7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67"/>
      <c r="CF226" s="27"/>
      <c r="CG226" s="28"/>
      <c r="CH226" s="28"/>
      <c r="CI226" s="28"/>
      <c r="CJ226" s="28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17"/>
      <c r="EQ226" s="17"/>
      <c r="ER226" s="17"/>
      <c r="ES226" s="17"/>
      <c r="ET226" s="17"/>
    </row>
    <row r="227" spans="1:150" ht="15.75" customHeight="1">
      <c r="A227" s="7"/>
      <c r="B227" s="7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67"/>
      <c r="CF227" s="27"/>
      <c r="CG227" s="28"/>
      <c r="CH227" s="28"/>
      <c r="CI227" s="28"/>
      <c r="CJ227" s="28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17"/>
      <c r="EQ227" s="17"/>
      <c r="ER227" s="17"/>
      <c r="ES227" s="17"/>
      <c r="ET227" s="17"/>
    </row>
    <row r="228" spans="1:150" ht="15.75" customHeight="1">
      <c r="A228" s="7"/>
      <c r="B228" s="7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67"/>
      <c r="CF228" s="27"/>
      <c r="CG228" s="28"/>
      <c r="CH228" s="28"/>
      <c r="CI228" s="28"/>
      <c r="CJ228" s="28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17"/>
      <c r="EQ228" s="17"/>
      <c r="ER228" s="17"/>
      <c r="ES228" s="17"/>
      <c r="ET228" s="17"/>
    </row>
    <row r="229" spans="1:150" ht="15.75" customHeight="1">
      <c r="A229" s="7"/>
      <c r="B229" s="7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67"/>
      <c r="CF229" s="27"/>
      <c r="CG229" s="28"/>
      <c r="CH229" s="28"/>
      <c r="CI229" s="28"/>
      <c r="CJ229" s="28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17"/>
      <c r="EQ229" s="17"/>
      <c r="ER229" s="17"/>
      <c r="ES229" s="17"/>
      <c r="ET229" s="17"/>
    </row>
    <row r="230" spans="1:150" ht="15.75" customHeight="1">
      <c r="A230" s="7"/>
      <c r="B230" s="7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67"/>
      <c r="CF230" s="27"/>
      <c r="CG230" s="28"/>
      <c r="CH230" s="28"/>
      <c r="CI230" s="28"/>
      <c r="CJ230" s="28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17"/>
      <c r="EQ230" s="17"/>
      <c r="ER230" s="17"/>
      <c r="ES230" s="17"/>
      <c r="ET230" s="17"/>
    </row>
    <row r="231" spans="1:150" ht="15.75" customHeight="1">
      <c r="A231" s="7"/>
      <c r="B231" s="7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67"/>
      <c r="CF231" s="27"/>
      <c r="CG231" s="28"/>
      <c r="CH231" s="28"/>
      <c r="CI231" s="28"/>
      <c r="CJ231" s="28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17"/>
      <c r="EQ231" s="17"/>
      <c r="ER231" s="17"/>
      <c r="ES231" s="17"/>
      <c r="ET231" s="17"/>
    </row>
    <row r="232" spans="1:150" ht="15.75" customHeight="1">
      <c r="A232" s="7"/>
      <c r="B232" s="7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67"/>
      <c r="CF232" s="27"/>
      <c r="CG232" s="28"/>
      <c r="CH232" s="28"/>
      <c r="CI232" s="28"/>
      <c r="CJ232" s="28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17"/>
      <c r="EQ232" s="17"/>
      <c r="ER232" s="17"/>
      <c r="ES232" s="17"/>
      <c r="ET232" s="17"/>
    </row>
    <row r="233" spans="1:150" ht="15.75" customHeight="1">
      <c r="A233" s="7"/>
      <c r="B233" s="7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67"/>
      <c r="CF233" s="27"/>
      <c r="CG233" s="28"/>
      <c r="CH233" s="28"/>
      <c r="CI233" s="28"/>
      <c r="CJ233" s="28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17"/>
      <c r="EQ233" s="17"/>
      <c r="ER233" s="17"/>
      <c r="ES233" s="17"/>
      <c r="ET233" s="17"/>
    </row>
    <row r="234" spans="1:150" ht="15.75" customHeight="1">
      <c r="A234" s="7"/>
      <c r="B234" s="7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67"/>
      <c r="CF234" s="27"/>
      <c r="CG234" s="28"/>
      <c r="CH234" s="28"/>
      <c r="CI234" s="28"/>
      <c r="CJ234" s="28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17"/>
      <c r="EQ234" s="17"/>
      <c r="ER234" s="17"/>
      <c r="ES234" s="17"/>
      <c r="ET234" s="17"/>
    </row>
    <row r="235" spans="1:150" ht="15.75" customHeight="1">
      <c r="A235" s="7"/>
      <c r="B235" s="7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67"/>
      <c r="CF235" s="27"/>
      <c r="CG235" s="28"/>
      <c r="CH235" s="28"/>
      <c r="CI235" s="28"/>
      <c r="CJ235" s="28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17"/>
      <c r="EQ235" s="17"/>
      <c r="ER235" s="17"/>
      <c r="ES235" s="17"/>
      <c r="ET235" s="17"/>
    </row>
    <row r="236" spans="1:150" ht="15.75" customHeight="1">
      <c r="A236" s="7"/>
      <c r="B236" s="7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67"/>
      <c r="CF236" s="27"/>
      <c r="CG236" s="28"/>
      <c r="CH236" s="28"/>
      <c r="CI236" s="28"/>
      <c r="CJ236" s="28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17"/>
      <c r="EQ236" s="17"/>
      <c r="ER236" s="17"/>
      <c r="ES236" s="17"/>
      <c r="ET236" s="17"/>
    </row>
    <row r="237" spans="1:150" ht="15.75" customHeight="1">
      <c r="A237" s="7"/>
      <c r="B237" s="7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67"/>
      <c r="CF237" s="27"/>
      <c r="CG237" s="28"/>
      <c r="CH237" s="28"/>
      <c r="CI237" s="28"/>
      <c r="CJ237" s="28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17"/>
      <c r="EQ237" s="17"/>
      <c r="ER237" s="17"/>
      <c r="ES237" s="17"/>
      <c r="ET237" s="17"/>
    </row>
    <row r="238" spans="1:150" ht="15.75" customHeight="1">
      <c r="A238" s="7"/>
      <c r="B238" s="7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67"/>
      <c r="CF238" s="27"/>
      <c r="CG238" s="28"/>
      <c r="CH238" s="28"/>
      <c r="CI238" s="28"/>
      <c r="CJ238" s="28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17"/>
      <c r="EQ238" s="17"/>
      <c r="ER238" s="17"/>
      <c r="ES238" s="17"/>
      <c r="ET238" s="17"/>
    </row>
    <row r="239" spans="1:150" ht="15.75" customHeight="1">
      <c r="A239" s="7"/>
      <c r="B239" s="7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67"/>
      <c r="CF239" s="27"/>
      <c r="CG239" s="28"/>
      <c r="CH239" s="28"/>
      <c r="CI239" s="28"/>
      <c r="CJ239" s="28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17"/>
      <c r="EQ239" s="17"/>
      <c r="ER239" s="17"/>
      <c r="ES239" s="17"/>
      <c r="ET239" s="17"/>
    </row>
    <row r="240" spans="1:150" ht="15.75" customHeight="1">
      <c r="A240" s="7"/>
      <c r="B240" s="7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67"/>
      <c r="CF240" s="27"/>
      <c r="CG240" s="28"/>
      <c r="CH240" s="28"/>
      <c r="CI240" s="28"/>
      <c r="CJ240" s="28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17"/>
      <c r="EQ240" s="17"/>
      <c r="ER240" s="17"/>
      <c r="ES240" s="17"/>
      <c r="ET240" s="17"/>
    </row>
    <row r="241" spans="1:150" ht="15.75" customHeight="1">
      <c r="A241" s="7"/>
      <c r="B241" s="7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67"/>
      <c r="CF241" s="27"/>
      <c r="CG241" s="28"/>
      <c r="CH241" s="28"/>
      <c r="CI241" s="28"/>
      <c r="CJ241" s="28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17"/>
      <c r="EQ241" s="17"/>
      <c r="ER241" s="17"/>
      <c r="ES241" s="17"/>
      <c r="ET241" s="17"/>
    </row>
    <row r="242" spans="1:150" ht="15.75" customHeight="1">
      <c r="A242" s="7"/>
      <c r="B242" s="7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67"/>
      <c r="CF242" s="27"/>
      <c r="CG242" s="28"/>
      <c r="CH242" s="28"/>
      <c r="CI242" s="28"/>
      <c r="CJ242" s="28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17"/>
      <c r="EQ242" s="17"/>
      <c r="ER242" s="17"/>
      <c r="ES242" s="17"/>
      <c r="ET242" s="17"/>
    </row>
    <row r="243" spans="1:150" ht="15.75" customHeight="1">
      <c r="A243" s="7"/>
      <c r="B243" s="7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67"/>
      <c r="CF243" s="27"/>
      <c r="CG243" s="28"/>
      <c r="CH243" s="28"/>
      <c r="CI243" s="28"/>
      <c r="CJ243" s="28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17"/>
      <c r="EQ243" s="17"/>
      <c r="ER243" s="17"/>
      <c r="ES243" s="17"/>
      <c r="ET243" s="17"/>
    </row>
    <row r="244" spans="1:150" ht="15.75" customHeight="1">
      <c r="A244" s="7"/>
      <c r="B244" s="7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67"/>
      <c r="CF244" s="27"/>
      <c r="CG244" s="28"/>
      <c r="CH244" s="28"/>
      <c r="CI244" s="28"/>
      <c r="CJ244" s="28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17"/>
      <c r="EQ244" s="17"/>
      <c r="ER244" s="17"/>
      <c r="ES244" s="17"/>
      <c r="ET244" s="17"/>
    </row>
    <row r="245" spans="1:150" ht="15.75" customHeight="1">
      <c r="A245" s="7"/>
      <c r="B245" s="7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67"/>
      <c r="CF245" s="27"/>
      <c r="CG245" s="28"/>
      <c r="CH245" s="28"/>
      <c r="CI245" s="28"/>
      <c r="CJ245" s="28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17"/>
      <c r="EQ245" s="17"/>
      <c r="ER245" s="17"/>
      <c r="ES245" s="17"/>
      <c r="ET245" s="17"/>
    </row>
    <row r="246" spans="1:150" ht="15.75" customHeight="1">
      <c r="A246" s="7"/>
      <c r="B246" s="7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67"/>
      <c r="CF246" s="27"/>
      <c r="CG246" s="28"/>
      <c r="CH246" s="28"/>
      <c r="CI246" s="28"/>
      <c r="CJ246" s="28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17"/>
      <c r="EQ246" s="17"/>
      <c r="ER246" s="17"/>
      <c r="ES246" s="17"/>
      <c r="ET246" s="17"/>
    </row>
    <row r="247" spans="1:150" ht="15.75" customHeight="1">
      <c r="A247" s="7"/>
      <c r="B247" s="7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67"/>
      <c r="CF247" s="27"/>
      <c r="CG247" s="28"/>
      <c r="CH247" s="28"/>
      <c r="CI247" s="28"/>
      <c r="CJ247" s="28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17"/>
      <c r="EQ247" s="17"/>
      <c r="ER247" s="17"/>
      <c r="ES247" s="17"/>
      <c r="ET247" s="17"/>
    </row>
    <row r="248" spans="1:150" ht="15.75" customHeight="1">
      <c r="A248" s="7"/>
      <c r="B248" s="7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67"/>
      <c r="CF248" s="27"/>
      <c r="CG248" s="28"/>
      <c r="CH248" s="28"/>
      <c r="CI248" s="28"/>
      <c r="CJ248" s="28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17"/>
      <c r="EQ248" s="17"/>
      <c r="ER248" s="17"/>
      <c r="ES248" s="17"/>
      <c r="ET248" s="17"/>
    </row>
    <row r="249" spans="1:150" ht="15.75" customHeight="1">
      <c r="A249" s="7"/>
      <c r="B249" s="7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67"/>
      <c r="CF249" s="27"/>
      <c r="CG249" s="28"/>
      <c r="CH249" s="28"/>
      <c r="CI249" s="28"/>
      <c r="CJ249" s="28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17"/>
      <c r="EQ249" s="17"/>
      <c r="ER249" s="17"/>
      <c r="ES249" s="17"/>
      <c r="ET249" s="17"/>
    </row>
    <row r="250" spans="1:150" ht="15.75" customHeight="1">
      <c r="A250" s="7"/>
      <c r="B250" s="7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67"/>
      <c r="CF250" s="27"/>
      <c r="CG250" s="28"/>
      <c r="CH250" s="28"/>
      <c r="CI250" s="28"/>
      <c r="CJ250" s="28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17"/>
      <c r="EQ250" s="17"/>
      <c r="ER250" s="17"/>
      <c r="ES250" s="17"/>
      <c r="ET250" s="17"/>
    </row>
    <row r="251" spans="1:150" ht="15.75" customHeight="1">
      <c r="A251" s="7"/>
      <c r="B251" s="7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67"/>
      <c r="CF251" s="27"/>
      <c r="CG251" s="28"/>
      <c r="CH251" s="28"/>
      <c r="CI251" s="28"/>
      <c r="CJ251" s="28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17"/>
      <c r="EQ251" s="17"/>
      <c r="ER251" s="17"/>
      <c r="ES251" s="17"/>
      <c r="ET251" s="17"/>
    </row>
    <row r="252" spans="1:150" ht="15.75" customHeight="1">
      <c r="A252" s="7"/>
      <c r="B252" s="7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67"/>
      <c r="CF252" s="27"/>
      <c r="CG252" s="28"/>
      <c r="CH252" s="28"/>
      <c r="CI252" s="28"/>
      <c r="CJ252" s="28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17"/>
      <c r="EQ252" s="17"/>
      <c r="ER252" s="17"/>
      <c r="ES252" s="17"/>
      <c r="ET252" s="17"/>
    </row>
    <row r="253" spans="1:150" ht="15.75" customHeight="1">
      <c r="BT253" s="67"/>
      <c r="CF253" s="27"/>
      <c r="CG253" s="28"/>
      <c r="CH253" s="28"/>
      <c r="CI253" s="28"/>
      <c r="CJ253" s="28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17"/>
      <c r="EQ253" s="17"/>
      <c r="ER253" s="17"/>
      <c r="ES253" s="17"/>
      <c r="ET253" s="17"/>
    </row>
    <row r="254" spans="1:150" ht="15.75" customHeight="1">
      <c r="BT254" s="67"/>
      <c r="CF254" s="27"/>
      <c r="CG254" s="28"/>
      <c r="CH254" s="28"/>
      <c r="CI254" s="28"/>
      <c r="CJ254" s="28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17"/>
      <c r="EQ254" s="17"/>
      <c r="ER254" s="17"/>
      <c r="ES254" s="17"/>
      <c r="ET254" s="17"/>
    </row>
    <row r="255" spans="1:150" ht="15.75" customHeight="1">
      <c r="BT255" s="67"/>
      <c r="CF255" s="27"/>
      <c r="CG255" s="28"/>
      <c r="CH255" s="28"/>
      <c r="CI255" s="28"/>
      <c r="CJ255" s="28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17"/>
      <c r="EQ255" s="17"/>
      <c r="ER255" s="17"/>
      <c r="ES255" s="17"/>
      <c r="ET255" s="17"/>
    </row>
    <row r="256" spans="1:150" ht="15.75" customHeight="1">
      <c r="BT256" s="67"/>
      <c r="CF256" s="27"/>
      <c r="CG256" s="28"/>
      <c r="CH256" s="28"/>
      <c r="CI256" s="28"/>
      <c r="CJ256" s="28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17"/>
      <c r="EQ256" s="17"/>
      <c r="ER256" s="17"/>
      <c r="ES256" s="17"/>
      <c r="ET256" s="17"/>
    </row>
    <row r="257" spans="72:150" ht="15.75" customHeight="1">
      <c r="BT257" s="67"/>
      <c r="CF257" s="27"/>
      <c r="CG257" s="28"/>
      <c r="CH257" s="28"/>
      <c r="CI257" s="28"/>
      <c r="CJ257" s="28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17"/>
      <c r="EQ257" s="17"/>
      <c r="ER257" s="17"/>
      <c r="ES257" s="17"/>
      <c r="ET257" s="17"/>
    </row>
    <row r="258" spans="72:150" ht="15.75" customHeight="1">
      <c r="BT258" s="67"/>
      <c r="CF258" s="27"/>
      <c r="CG258" s="28"/>
      <c r="CH258" s="28"/>
      <c r="CI258" s="28"/>
      <c r="CJ258" s="28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17"/>
      <c r="EQ258" s="17"/>
      <c r="ER258" s="17"/>
      <c r="ES258" s="17"/>
      <c r="ET258" s="17"/>
    </row>
    <row r="259" spans="72:150" ht="15.75" customHeight="1">
      <c r="BT259" s="67"/>
      <c r="CF259" s="27"/>
      <c r="CG259" s="28"/>
      <c r="CH259" s="28"/>
      <c r="CI259" s="28"/>
      <c r="CJ259" s="28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17"/>
      <c r="EQ259" s="17"/>
      <c r="ER259" s="17"/>
      <c r="ES259" s="17"/>
      <c r="ET259" s="17"/>
    </row>
    <row r="260" spans="72:150" ht="15.75" customHeight="1">
      <c r="BT260" s="67"/>
      <c r="CF260" s="27"/>
      <c r="CG260" s="28"/>
      <c r="CH260" s="28"/>
      <c r="CI260" s="28"/>
      <c r="CJ260" s="28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17"/>
      <c r="EQ260" s="17"/>
      <c r="ER260" s="17"/>
      <c r="ES260" s="17"/>
      <c r="ET260" s="17"/>
    </row>
    <row r="261" spans="72:150" ht="15.75" customHeight="1">
      <c r="BT261" s="67"/>
      <c r="CF261" s="27"/>
      <c r="CG261" s="28"/>
      <c r="CH261" s="28"/>
      <c r="CI261" s="28"/>
      <c r="CJ261" s="28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17"/>
      <c r="EQ261" s="17"/>
      <c r="ER261" s="17"/>
      <c r="ES261" s="17"/>
      <c r="ET261" s="17"/>
    </row>
    <row r="262" spans="72:150" ht="15.75" customHeight="1">
      <c r="BT262" s="67"/>
      <c r="CF262" s="27"/>
      <c r="CG262" s="28"/>
      <c r="CH262" s="28"/>
      <c r="CI262" s="28"/>
      <c r="CJ262" s="28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17"/>
      <c r="EQ262" s="17"/>
      <c r="ER262" s="17"/>
      <c r="ES262" s="17"/>
      <c r="ET262" s="17"/>
    </row>
    <row r="263" spans="72:150" ht="15.75" customHeight="1">
      <c r="BT263" s="67"/>
      <c r="CF263" s="27"/>
      <c r="CG263" s="28"/>
      <c r="CH263" s="28"/>
      <c r="CI263" s="28"/>
      <c r="CJ263" s="28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17"/>
      <c r="EQ263" s="17"/>
      <c r="ER263" s="17"/>
      <c r="ES263" s="17"/>
      <c r="ET263" s="17"/>
    </row>
    <row r="264" spans="72:150" ht="15.75" customHeight="1">
      <c r="BT264" s="67"/>
      <c r="CF264" s="27"/>
      <c r="CG264" s="28"/>
      <c r="CH264" s="28"/>
      <c r="CI264" s="28"/>
      <c r="CJ264" s="28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17"/>
      <c r="EQ264" s="17"/>
      <c r="ER264" s="17"/>
      <c r="ES264" s="17"/>
      <c r="ET264" s="17"/>
    </row>
    <row r="265" spans="72:150" ht="15.75" customHeight="1">
      <c r="BT265" s="67"/>
      <c r="CF265" s="27"/>
      <c r="CG265" s="28"/>
      <c r="CH265" s="28"/>
      <c r="CI265" s="28"/>
      <c r="CJ265" s="28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17"/>
      <c r="EQ265" s="17"/>
      <c r="ER265" s="17"/>
      <c r="ES265" s="17"/>
      <c r="ET265" s="17"/>
    </row>
    <row r="266" spans="72:150" ht="15.75" customHeight="1">
      <c r="BT266" s="67"/>
      <c r="CF266" s="27"/>
      <c r="CG266" s="28"/>
      <c r="CH266" s="28"/>
      <c r="CI266" s="28"/>
      <c r="CJ266" s="28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17"/>
      <c r="EQ266" s="17"/>
      <c r="ER266" s="17"/>
      <c r="ES266" s="17"/>
      <c r="ET266" s="17"/>
    </row>
    <row r="267" spans="72:150" ht="15.75" customHeight="1">
      <c r="BT267" s="67"/>
      <c r="CF267" s="27"/>
      <c r="CG267" s="28"/>
      <c r="CH267" s="28"/>
      <c r="CI267" s="28"/>
      <c r="CJ267" s="28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17"/>
      <c r="EQ267" s="17"/>
      <c r="ER267" s="17"/>
      <c r="ES267" s="17"/>
      <c r="ET267" s="17"/>
    </row>
    <row r="268" spans="72:150" ht="15.75" customHeight="1">
      <c r="BT268" s="67"/>
      <c r="CF268" s="27"/>
      <c r="CG268" s="28"/>
      <c r="CH268" s="28"/>
      <c r="CI268" s="28"/>
      <c r="CJ268" s="28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17"/>
      <c r="EQ268" s="17"/>
      <c r="ER268" s="17"/>
      <c r="ES268" s="17"/>
      <c r="ET268" s="17"/>
    </row>
    <row r="269" spans="72:150" ht="15.75" customHeight="1">
      <c r="BT269" s="67"/>
      <c r="CF269" s="27"/>
      <c r="CG269" s="28"/>
      <c r="CH269" s="28"/>
      <c r="CI269" s="28"/>
      <c r="CJ269" s="28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17"/>
      <c r="EQ269" s="17"/>
      <c r="ER269" s="17"/>
      <c r="ES269" s="17"/>
      <c r="ET269" s="17"/>
    </row>
    <row r="270" spans="72:150" ht="15.75" customHeight="1">
      <c r="BT270" s="67"/>
      <c r="CF270" s="27"/>
      <c r="CG270" s="28"/>
      <c r="CH270" s="28"/>
      <c r="CI270" s="28"/>
      <c r="CJ270" s="28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17"/>
      <c r="EQ270" s="17"/>
      <c r="ER270" s="17"/>
      <c r="ES270" s="17"/>
      <c r="ET270" s="17"/>
    </row>
    <row r="271" spans="72:150" ht="15.75" customHeight="1">
      <c r="BT271" s="67"/>
      <c r="CF271" s="27"/>
      <c r="CG271" s="28"/>
      <c r="CH271" s="28"/>
      <c r="CI271" s="28"/>
      <c r="CJ271" s="28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17"/>
      <c r="EQ271" s="17"/>
      <c r="ER271" s="17"/>
      <c r="ES271" s="17"/>
      <c r="ET271" s="17"/>
    </row>
    <row r="272" spans="72:150" ht="15.75" customHeight="1">
      <c r="BT272" s="67"/>
      <c r="CF272" s="27"/>
      <c r="CG272" s="28"/>
      <c r="CH272" s="28"/>
      <c r="CI272" s="28"/>
      <c r="CJ272" s="28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17"/>
      <c r="EQ272" s="17"/>
      <c r="ER272" s="17"/>
      <c r="ES272" s="17"/>
      <c r="ET272" s="17"/>
    </row>
    <row r="273" spans="72:150" ht="15.75" customHeight="1">
      <c r="BT273" s="67"/>
      <c r="CF273" s="27"/>
      <c r="CG273" s="28"/>
      <c r="CH273" s="28"/>
      <c r="CI273" s="28"/>
      <c r="CJ273" s="28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17"/>
      <c r="EQ273" s="17"/>
      <c r="ER273" s="17"/>
      <c r="ES273" s="17"/>
      <c r="ET273" s="17"/>
    </row>
    <row r="274" spans="72:150" ht="15.75" customHeight="1">
      <c r="BT274" s="67"/>
      <c r="CF274" s="27"/>
      <c r="CG274" s="28"/>
      <c r="CH274" s="28"/>
      <c r="CI274" s="28"/>
      <c r="CJ274" s="28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17"/>
      <c r="EQ274" s="17"/>
      <c r="ER274" s="17"/>
      <c r="ES274" s="17"/>
      <c r="ET274" s="17"/>
    </row>
    <row r="275" spans="72:150" ht="15.75" customHeight="1">
      <c r="BT275" s="67"/>
      <c r="CF275" s="27"/>
      <c r="CG275" s="28"/>
      <c r="CH275" s="28"/>
      <c r="CI275" s="28"/>
      <c r="CJ275" s="28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17"/>
      <c r="EQ275" s="17"/>
      <c r="ER275" s="17"/>
      <c r="ES275" s="17"/>
      <c r="ET275" s="17"/>
    </row>
    <row r="276" spans="72:150" ht="15.75" customHeight="1">
      <c r="BT276" s="67"/>
      <c r="CF276" s="27"/>
      <c r="CG276" s="28"/>
      <c r="CH276" s="28"/>
      <c r="CI276" s="28"/>
      <c r="CJ276" s="28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17"/>
      <c r="EQ276" s="17"/>
      <c r="ER276" s="17"/>
      <c r="ES276" s="17"/>
      <c r="ET276" s="17"/>
    </row>
    <row r="277" spans="72:150" ht="15.75" customHeight="1">
      <c r="BT277" s="67"/>
      <c r="CF277" s="27"/>
      <c r="CG277" s="28"/>
      <c r="CH277" s="28"/>
      <c r="CI277" s="28"/>
      <c r="CJ277" s="28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17"/>
      <c r="EQ277" s="17"/>
      <c r="ER277" s="17"/>
      <c r="ES277" s="17"/>
      <c r="ET277" s="17"/>
    </row>
    <row r="278" spans="72:150" ht="15.75" customHeight="1">
      <c r="BT278" s="67"/>
      <c r="CF278" s="27"/>
      <c r="CG278" s="28"/>
      <c r="CH278" s="28"/>
      <c r="CI278" s="28"/>
      <c r="CJ278" s="28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17"/>
      <c r="EQ278" s="17"/>
      <c r="ER278" s="17"/>
      <c r="ES278" s="17"/>
      <c r="ET278" s="17"/>
    </row>
    <row r="279" spans="72:150" ht="15.75" customHeight="1">
      <c r="BT279" s="67"/>
      <c r="CF279" s="27"/>
      <c r="CG279" s="28"/>
      <c r="CH279" s="28"/>
      <c r="CI279" s="28"/>
      <c r="CJ279" s="28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17"/>
      <c r="EQ279" s="17"/>
      <c r="ER279" s="17"/>
      <c r="ES279" s="17"/>
      <c r="ET279" s="17"/>
    </row>
    <row r="280" spans="72:150" ht="15.75" customHeight="1">
      <c r="BT280" s="67"/>
      <c r="CF280" s="27"/>
      <c r="CG280" s="28"/>
      <c r="CH280" s="28"/>
      <c r="CI280" s="28"/>
      <c r="CJ280" s="28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17"/>
      <c r="EQ280" s="17"/>
      <c r="ER280" s="17"/>
      <c r="ES280" s="17"/>
      <c r="ET280" s="17"/>
    </row>
    <row r="281" spans="72:150" ht="15.75" customHeight="1">
      <c r="BT281" s="67"/>
      <c r="CF281" s="27"/>
      <c r="CG281" s="28"/>
      <c r="CH281" s="28"/>
      <c r="CI281" s="28"/>
      <c r="CJ281" s="28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17"/>
      <c r="EQ281" s="17"/>
      <c r="ER281" s="17"/>
      <c r="ES281" s="17"/>
      <c r="ET281" s="17"/>
    </row>
    <row r="282" spans="72:150" ht="15.75" customHeight="1">
      <c r="BT282" s="67"/>
      <c r="CF282" s="27"/>
      <c r="CG282" s="28"/>
      <c r="CH282" s="28"/>
      <c r="CI282" s="28"/>
      <c r="CJ282" s="28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17"/>
      <c r="EQ282" s="17"/>
      <c r="ER282" s="17"/>
      <c r="ES282" s="17"/>
      <c r="ET282" s="17"/>
    </row>
    <row r="283" spans="72:150" ht="15.75" customHeight="1">
      <c r="BT283" s="67"/>
      <c r="CF283" s="27"/>
      <c r="CG283" s="28"/>
      <c r="CH283" s="28"/>
      <c r="CI283" s="28"/>
      <c r="CJ283" s="28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17"/>
      <c r="EQ283" s="17"/>
      <c r="ER283" s="17"/>
      <c r="ES283" s="17"/>
      <c r="ET283" s="17"/>
    </row>
    <row r="284" spans="72:150" ht="15.75" customHeight="1">
      <c r="BT284" s="67"/>
      <c r="CF284" s="27"/>
      <c r="CG284" s="28"/>
      <c r="CH284" s="28"/>
      <c r="CI284" s="28"/>
      <c r="CJ284" s="28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17"/>
      <c r="EQ284" s="17"/>
      <c r="ER284" s="17"/>
      <c r="ES284" s="17"/>
      <c r="ET284" s="17"/>
    </row>
    <row r="285" spans="72:150" ht="15.75" customHeight="1">
      <c r="BT285" s="67"/>
      <c r="CF285" s="27"/>
      <c r="CG285" s="28"/>
      <c r="CH285" s="28"/>
      <c r="CI285" s="28"/>
      <c r="CJ285" s="28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17"/>
      <c r="EQ285" s="17"/>
      <c r="ER285" s="17"/>
      <c r="ES285" s="17"/>
      <c r="ET285" s="17"/>
    </row>
    <row r="286" spans="72:150" ht="15.75" customHeight="1">
      <c r="BT286" s="67"/>
      <c r="CF286" s="27"/>
      <c r="CG286" s="28"/>
      <c r="CH286" s="28"/>
      <c r="CI286" s="28"/>
      <c r="CJ286" s="28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17"/>
      <c r="EQ286" s="17"/>
      <c r="ER286" s="17"/>
      <c r="ES286" s="17"/>
      <c r="ET286" s="17"/>
    </row>
    <row r="287" spans="72:150" ht="15.75" customHeight="1">
      <c r="BT287" s="67"/>
      <c r="CF287" s="27"/>
      <c r="CG287" s="28"/>
      <c r="CH287" s="28"/>
      <c r="CI287" s="28"/>
      <c r="CJ287" s="28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17"/>
      <c r="EQ287" s="17"/>
      <c r="ER287" s="17"/>
      <c r="ES287" s="17"/>
      <c r="ET287" s="17"/>
    </row>
    <row r="288" spans="72:150" ht="15.75" customHeight="1">
      <c r="BT288" s="67"/>
      <c r="CF288" s="27"/>
      <c r="CG288" s="28"/>
      <c r="CH288" s="28"/>
      <c r="CI288" s="28"/>
      <c r="CJ288" s="28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17"/>
      <c r="EQ288" s="17"/>
      <c r="ER288" s="17"/>
      <c r="ES288" s="17"/>
      <c r="ET288" s="17"/>
    </row>
    <row r="289" spans="72:150" ht="15.75" customHeight="1">
      <c r="BT289" s="67"/>
      <c r="CF289" s="27"/>
      <c r="CG289" s="28"/>
      <c r="CH289" s="28"/>
      <c r="CI289" s="28"/>
      <c r="CJ289" s="28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17"/>
      <c r="EQ289" s="17"/>
      <c r="ER289" s="17"/>
      <c r="ES289" s="17"/>
      <c r="ET289" s="17"/>
    </row>
    <row r="290" spans="72:150" ht="15.75" customHeight="1">
      <c r="BT290" s="67"/>
      <c r="CF290" s="27"/>
      <c r="CG290" s="28"/>
      <c r="CH290" s="28"/>
      <c r="CI290" s="28"/>
      <c r="CJ290" s="28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17"/>
      <c r="EQ290" s="17"/>
      <c r="ER290" s="17"/>
      <c r="ES290" s="17"/>
      <c r="ET290" s="17"/>
    </row>
    <row r="291" spans="72:150" ht="15.75" customHeight="1">
      <c r="BT291" s="67"/>
      <c r="CF291" s="27"/>
      <c r="CG291" s="28"/>
      <c r="CH291" s="28"/>
      <c r="CI291" s="28"/>
      <c r="CJ291" s="28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17"/>
      <c r="EQ291" s="17"/>
      <c r="ER291" s="17"/>
      <c r="ES291" s="17"/>
      <c r="ET291" s="17"/>
    </row>
    <row r="292" spans="72:150" ht="15.75" customHeight="1">
      <c r="BT292" s="67"/>
      <c r="CF292" s="27"/>
      <c r="CG292" s="28"/>
      <c r="CH292" s="28"/>
      <c r="CI292" s="28"/>
      <c r="CJ292" s="28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17"/>
      <c r="EQ292" s="17"/>
      <c r="ER292" s="17"/>
      <c r="ES292" s="17"/>
      <c r="ET292" s="17"/>
    </row>
    <row r="293" spans="72:150" ht="15.75" customHeight="1">
      <c r="BT293" s="67"/>
      <c r="CF293" s="27"/>
      <c r="CG293" s="28"/>
      <c r="CH293" s="28"/>
      <c r="CI293" s="28"/>
      <c r="CJ293" s="28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17"/>
      <c r="EQ293" s="17"/>
      <c r="ER293" s="17"/>
      <c r="ES293" s="17"/>
      <c r="ET293" s="17"/>
    </row>
    <row r="294" spans="72:150" ht="15.75" customHeight="1">
      <c r="BT294" s="67"/>
      <c r="CF294" s="27"/>
      <c r="CG294" s="28"/>
      <c r="CH294" s="28"/>
      <c r="CI294" s="28"/>
      <c r="CJ294" s="28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17"/>
      <c r="EQ294" s="17"/>
      <c r="ER294" s="17"/>
      <c r="ES294" s="17"/>
      <c r="ET294" s="17"/>
    </row>
    <row r="295" spans="72:150" ht="15.75" customHeight="1">
      <c r="BT295" s="67"/>
      <c r="CF295" s="27"/>
      <c r="CG295" s="28"/>
      <c r="CH295" s="28"/>
      <c r="CI295" s="28"/>
      <c r="CJ295" s="28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17"/>
      <c r="EQ295" s="17"/>
      <c r="ER295" s="17"/>
      <c r="ES295" s="17"/>
      <c r="ET295" s="17"/>
    </row>
    <row r="296" spans="72:150" ht="15.75" customHeight="1">
      <c r="BT296" s="67"/>
      <c r="CF296" s="27"/>
      <c r="CG296" s="28"/>
      <c r="CH296" s="28"/>
      <c r="CI296" s="28"/>
      <c r="CJ296" s="28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17"/>
      <c r="EQ296" s="17"/>
      <c r="ER296" s="17"/>
      <c r="ES296" s="17"/>
      <c r="ET296" s="17"/>
    </row>
    <row r="297" spans="72:150" ht="15.75" customHeight="1">
      <c r="BT297" s="67"/>
      <c r="CF297" s="27"/>
      <c r="CG297" s="28"/>
      <c r="CH297" s="28"/>
      <c r="CI297" s="28"/>
      <c r="CJ297" s="28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17"/>
      <c r="EQ297" s="17"/>
      <c r="ER297" s="17"/>
      <c r="ES297" s="17"/>
      <c r="ET297" s="17"/>
    </row>
    <row r="298" spans="72:150" ht="15.75" customHeight="1">
      <c r="BT298" s="67"/>
      <c r="CF298" s="27"/>
      <c r="CG298" s="28"/>
      <c r="CH298" s="28"/>
      <c r="CI298" s="28"/>
      <c r="CJ298" s="28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17"/>
      <c r="EQ298" s="17"/>
      <c r="ER298" s="17"/>
      <c r="ES298" s="17"/>
      <c r="ET298" s="17"/>
    </row>
    <row r="299" spans="72:150" ht="15.75" customHeight="1">
      <c r="BT299" s="67"/>
      <c r="CF299" s="27"/>
      <c r="CG299" s="28"/>
      <c r="CH299" s="28"/>
      <c r="CI299" s="28"/>
      <c r="CJ299" s="28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17"/>
      <c r="EQ299" s="17"/>
      <c r="ER299" s="17"/>
      <c r="ES299" s="17"/>
      <c r="ET299" s="17"/>
    </row>
    <row r="300" spans="72:150" ht="15.75" customHeight="1">
      <c r="BT300" s="67"/>
      <c r="CF300" s="27"/>
      <c r="CG300" s="28"/>
      <c r="CH300" s="28"/>
      <c r="CI300" s="28"/>
      <c r="CJ300" s="28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17"/>
      <c r="EQ300" s="17"/>
      <c r="ER300" s="17"/>
      <c r="ES300" s="17"/>
      <c r="ET300" s="17"/>
    </row>
    <row r="301" spans="72:150" ht="15.75" customHeight="1">
      <c r="BT301" s="67"/>
      <c r="CF301" s="27"/>
      <c r="CG301" s="28"/>
      <c r="CH301" s="28"/>
      <c r="CI301" s="28"/>
      <c r="CJ301" s="28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17"/>
      <c r="EQ301" s="17"/>
      <c r="ER301" s="17"/>
      <c r="ES301" s="17"/>
      <c r="ET301" s="17"/>
    </row>
    <row r="302" spans="72:150" ht="15.75" customHeight="1">
      <c r="BT302" s="67"/>
      <c r="CF302" s="27"/>
      <c r="CG302" s="28"/>
      <c r="CH302" s="28"/>
      <c r="CI302" s="28"/>
      <c r="CJ302" s="28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17"/>
      <c r="EQ302" s="17"/>
      <c r="ER302" s="17"/>
      <c r="ES302" s="17"/>
      <c r="ET302" s="17"/>
    </row>
    <row r="303" spans="72:150" ht="15.75" customHeight="1">
      <c r="BT303" s="67"/>
      <c r="CF303" s="27"/>
      <c r="CG303" s="28"/>
      <c r="CH303" s="28"/>
      <c r="CI303" s="28"/>
      <c r="CJ303" s="28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17"/>
      <c r="EQ303" s="17"/>
      <c r="ER303" s="17"/>
      <c r="ES303" s="17"/>
      <c r="ET303" s="17"/>
    </row>
    <row r="304" spans="72:150" ht="15.75" customHeight="1">
      <c r="BT304" s="67"/>
      <c r="CF304" s="27"/>
      <c r="CG304" s="28"/>
      <c r="CH304" s="28"/>
      <c r="CI304" s="28"/>
      <c r="CJ304" s="28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17"/>
      <c r="EQ304" s="17"/>
      <c r="ER304" s="17"/>
      <c r="ES304" s="17"/>
      <c r="ET304" s="17"/>
    </row>
    <row r="305" spans="72:150" ht="15.75" customHeight="1">
      <c r="BT305" s="67"/>
      <c r="CF305" s="27"/>
      <c r="CG305" s="28"/>
      <c r="CH305" s="28"/>
      <c r="CI305" s="28"/>
      <c r="CJ305" s="28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17"/>
      <c r="EQ305" s="17"/>
      <c r="ER305" s="17"/>
      <c r="ES305" s="17"/>
      <c r="ET305" s="17"/>
    </row>
    <row r="306" spans="72:150" ht="15.75" customHeight="1">
      <c r="BT306" s="67"/>
      <c r="CF306" s="27"/>
      <c r="CG306" s="28"/>
      <c r="CH306" s="28"/>
      <c r="CI306" s="28"/>
      <c r="CJ306" s="28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17"/>
      <c r="EQ306" s="17"/>
      <c r="ER306" s="17"/>
      <c r="ES306" s="17"/>
      <c r="ET306" s="17"/>
    </row>
    <row r="307" spans="72:150" ht="15.75" customHeight="1">
      <c r="BT307" s="67"/>
      <c r="CF307" s="27"/>
      <c r="CG307" s="28"/>
      <c r="CH307" s="28"/>
      <c r="CI307" s="28"/>
      <c r="CJ307" s="28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17"/>
      <c r="EQ307" s="17"/>
      <c r="ER307" s="17"/>
      <c r="ES307" s="17"/>
      <c r="ET307" s="17"/>
    </row>
    <row r="308" spans="72:150" ht="15.75" customHeight="1">
      <c r="BT308" s="67"/>
      <c r="CF308" s="27"/>
      <c r="CG308" s="28"/>
      <c r="CH308" s="28"/>
      <c r="CI308" s="28"/>
      <c r="CJ308" s="28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17"/>
      <c r="EQ308" s="17"/>
      <c r="ER308" s="17"/>
      <c r="ES308" s="17"/>
      <c r="ET308" s="17"/>
    </row>
    <row r="309" spans="72:150" ht="15.75" customHeight="1">
      <c r="BT309" s="67"/>
      <c r="CF309" s="27"/>
      <c r="CG309" s="28"/>
      <c r="CH309" s="28"/>
      <c r="CI309" s="28"/>
      <c r="CJ309" s="28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17"/>
      <c r="EQ309" s="17"/>
      <c r="ER309" s="17"/>
      <c r="ES309" s="17"/>
      <c r="ET309" s="17"/>
    </row>
    <row r="310" spans="72:150" ht="15.75" customHeight="1">
      <c r="BT310" s="67"/>
      <c r="CF310" s="27"/>
      <c r="CG310" s="28"/>
      <c r="CH310" s="28"/>
      <c r="CI310" s="28"/>
      <c r="CJ310" s="28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17"/>
      <c r="EQ310" s="17"/>
      <c r="ER310" s="17"/>
      <c r="ES310" s="17"/>
      <c r="ET310" s="17"/>
    </row>
    <row r="311" spans="72:150" ht="15.75" customHeight="1">
      <c r="BT311" s="67"/>
      <c r="CF311" s="27"/>
      <c r="CG311" s="28"/>
      <c r="CH311" s="28"/>
      <c r="CI311" s="28"/>
      <c r="CJ311" s="28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17"/>
      <c r="EQ311" s="17"/>
      <c r="ER311" s="17"/>
      <c r="ES311" s="17"/>
      <c r="ET311" s="17"/>
    </row>
    <row r="312" spans="72:150" ht="15.75" customHeight="1">
      <c r="BT312" s="67"/>
      <c r="CF312" s="27"/>
      <c r="CG312" s="28"/>
      <c r="CH312" s="28"/>
      <c r="CI312" s="28"/>
      <c r="CJ312" s="28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17"/>
      <c r="EQ312" s="17"/>
      <c r="ER312" s="17"/>
      <c r="ES312" s="17"/>
      <c r="ET312" s="17"/>
    </row>
    <row r="313" spans="72:150" ht="15.75" customHeight="1">
      <c r="BT313" s="67"/>
      <c r="CF313" s="27"/>
      <c r="CG313" s="28"/>
      <c r="CH313" s="28"/>
      <c r="CI313" s="28"/>
      <c r="CJ313" s="28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17"/>
      <c r="EQ313" s="17"/>
      <c r="ER313" s="17"/>
      <c r="ES313" s="17"/>
      <c r="ET313" s="17"/>
    </row>
    <row r="314" spans="72:150" ht="15.75" customHeight="1">
      <c r="BT314" s="67"/>
      <c r="CF314" s="27"/>
      <c r="CG314" s="28"/>
      <c r="CH314" s="28"/>
      <c r="CI314" s="28"/>
      <c r="CJ314" s="28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17"/>
      <c r="EQ314" s="17"/>
      <c r="ER314" s="17"/>
      <c r="ES314" s="17"/>
      <c r="ET314" s="17"/>
    </row>
    <row r="315" spans="72:150" ht="15.75" customHeight="1">
      <c r="BT315" s="67"/>
      <c r="CF315" s="27"/>
      <c r="CG315" s="28"/>
      <c r="CH315" s="28"/>
      <c r="CI315" s="28"/>
      <c r="CJ315" s="28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17"/>
      <c r="EQ315" s="17"/>
      <c r="ER315" s="17"/>
      <c r="ES315" s="17"/>
      <c r="ET315" s="17"/>
    </row>
    <row r="316" spans="72:150" ht="15.75" customHeight="1">
      <c r="BT316" s="67"/>
      <c r="CF316" s="27"/>
      <c r="CG316" s="28"/>
      <c r="CH316" s="28"/>
      <c r="CI316" s="28"/>
      <c r="CJ316" s="28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17"/>
      <c r="EQ316" s="17"/>
      <c r="ER316" s="17"/>
      <c r="ES316" s="17"/>
      <c r="ET316" s="17"/>
    </row>
    <row r="317" spans="72:150" ht="15.75" customHeight="1">
      <c r="BT317" s="67"/>
      <c r="CF317" s="27"/>
      <c r="CG317" s="28"/>
      <c r="CH317" s="28"/>
      <c r="CI317" s="28"/>
      <c r="CJ317" s="28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17"/>
      <c r="EQ317" s="17"/>
      <c r="ER317" s="17"/>
      <c r="ES317" s="17"/>
      <c r="ET317" s="17"/>
    </row>
    <row r="318" spans="72:150" ht="15.75" customHeight="1">
      <c r="BT318" s="67"/>
      <c r="CF318" s="27"/>
      <c r="CG318" s="28"/>
      <c r="CH318" s="28"/>
      <c r="CI318" s="28"/>
      <c r="CJ318" s="28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17"/>
      <c r="EQ318" s="17"/>
      <c r="ER318" s="17"/>
      <c r="ES318" s="17"/>
      <c r="ET318" s="17"/>
    </row>
    <row r="319" spans="72:150" ht="15.75" customHeight="1">
      <c r="BT319" s="67"/>
      <c r="CF319" s="27"/>
      <c r="CG319" s="28"/>
      <c r="CH319" s="28"/>
      <c r="CI319" s="28"/>
      <c r="CJ319" s="28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17"/>
      <c r="EQ319" s="17"/>
      <c r="ER319" s="17"/>
      <c r="ES319" s="17"/>
      <c r="ET319" s="17"/>
    </row>
    <row r="320" spans="72:150" ht="15.75" customHeight="1">
      <c r="BT320" s="67"/>
      <c r="CF320" s="27"/>
      <c r="CG320" s="28"/>
      <c r="CH320" s="28"/>
      <c r="CI320" s="28"/>
      <c r="CJ320" s="28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17"/>
      <c r="EQ320" s="17"/>
      <c r="ER320" s="17"/>
      <c r="ES320" s="17"/>
      <c r="ET320" s="17"/>
    </row>
    <row r="321" spans="72:150" ht="15.75" customHeight="1">
      <c r="BT321" s="67"/>
      <c r="CF321" s="27"/>
      <c r="CG321" s="28"/>
      <c r="CH321" s="28"/>
      <c r="CI321" s="28"/>
      <c r="CJ321" s="28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17"/>
      <c r="EQ321" s="17"/>
      <c r="ER321" s="17"/>
      <c r="ES321" s="17"/>
      <c r="ET321" s="17"/>
    </row>
    <row r="322" spans="72:150" ht="15.75" customHeight="1">
      <c r="BT322" s="67"/>
      <c r="CF322" s="27"/>
      <c r="CG322" s="28"/>
      <c r="CH322" s="28"/>
      <c r="CI322" s="28"/>
      <c r="CJ322" s="28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17"/>
      <c r="EQ322" s="17"/>
      <c r="ER322" s="17"/>
      <c r="ES322" s="17"/>
      <c r="ET322" s="17"/>
    </row>
    <row r="323" spans="72:150" ht="15.75" customHeight="1">
      <c r="BT323" s="67"/>
      <c r="CF323" s="27"/>
      <c r="CG323" s="28"/>
      <c r="CH323" s="28"/>
      <c r="CI323" s="28"/>
      <c r="CJ323" s="28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17"/>
      <c r="EQ323" s="17"/>
      <c r="ER323" s="17"/>
      <c r="ES323" s="17"/>
      <c r="ET323" s="17"/>
    </row>
    <row r="324" spans="72:150" ht="15.75" customHeight="1">
      <c r="BT324" s="67"/>
      <c r="CF324" s="27"/>
      <c r="CG324" s="28"/>
      <c r="CH324" s="28"/>
      <c r="CI324" s="28"/>
      <c r="CJ324" s="28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17"/>
      <c r="EQ324" s="17"/>
      <c r="ER324" s="17"/>
      <c r="ES324" s="17"/>
      <c r="ET324" s="17"/>
    </row>
    <row r="325" spans="72:150" ht="15.75" customHeight="1">
      <c r="BT325" s="67"/>
      <c r="CF325" s="27"/>
      <c r="CG325" s="28"/>
      <c r="CH325" s="28"/>
      <c r="CI325" s="28"/>
      <c r="CJ325" s="28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17"/>
      <c r="EQ325" s="17"/>
      <c r="ER325" s="17"/>
      <c r="ES325" s="17"/>
      <c r="ET325" s="17"/>
    </row>
    <row r="326" spans="72:150" ht="15.75" customHeight="1">
      <c r="BT326" s="67"/>
      <c r="CF326" s="27"/>
      <c r="CG326" s="28"/>
      <c r="CH326" s="28"/>
      <c r="CI326" s="28"/>
      <c r="CJ326" s="28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17"/>
      <c r="EQ326" s="17"/>
      <c r="ER326" s="17"/>
      <c r="ES326" s="17"/>
      <c r="ET326" s="17"/>
    </row>
    <row r="327" spans="72:150" ht="15.75" customHeight="1">
      <c r="BT327" s="67"/>
      <c r="CF327" s="27"/>
      <c r="CG327" s="28"/>
      <c r="CH327" s="28"/>
      <c r="CI327" s="28"/>
      <c r="CJ327" s="28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17"/>
      <c r="EQ327" s="17"/>
      <c r="ER327" s="17"/>
      <c r="ES327" s="17"/>
      <c r="ET327" s="17"/>
    </row>
    <row r="328" spans="72:150" ht="15.75" customHeight="1">
      <c r="BT328" s="67"/>
      <c r="CF328" s="27"/>
      <c r="CG328" s="28"/>
      <c r="CH328" s="28"/>
      <c r="CI328" s="28"/>
      <c r="CJ328" s="28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17"/>
      <c r="EQ328" s="17"/>
      <c r="ER328" s="17"/>
      <c r="ES328" s="17"/>
      <c r="ET328" s="17"/>
    </row>
    <row r="329" spans="72:150" ht="15.75" customHeight="1">
      <c r="BT329" s="67"/>
      <c r="CF329" s="27"/>
      <c r="CG329" s="28"/>
      <c r="CH329" s="28"/>
      <c r="CI329" s="28"/>
      <c r="CJ329" s="28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17"/>
      <c r="EQ329" s="17"/>
      <c r="ER329" s="17"/>
      <c r="ES329" s="17"/>
      <c r="ET329" s="17"/>
    </row>
    <row r="330" spans="72:150" ht="15.75" customHeight="1">
      <c r="BT330" s="67"/>
      <c r="CF330" s="27"/>
      <c r="CG330" s="28"/>
      <c r="CH330" s="28"/>
      <c r="CI330" s="28"/>
      <c r="CJ330" s="28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17"/>
      <c r="EQ330" s="17"/>
      <c r="ER330" s="17"/>
      <c r="ES330" s="17"/>
      <c r="ET330" s="17"/>
    </row>
    <row r="331" spans="72:150" ht="15.75" customHeight="1">
      <c r="BT331" s="67"/>
      <c r="CF331" s="27"/>
      <c r="CG331" s="28"/>
      <c r="CH331" s="28"/>
      <c r="CI331" s="28"/>
      <c r="CJ331" s="28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17"/>
      <c r="EQ331" s="17"/>
      <c r="ER331" s="17"/>
      <c r="ES331" s="17"/>
      <c r="ET331" s="17"/>
    </row>
    <row r="332" spans="72:150" ht="15.75" customHeight="1">
      <c r="BT332" s="67"/>
      <c r="CF332" s="27"/>
      <c r="CG332" s="28"/>
      <c r="CH332" s="28"/>
      <c r="CI332" s="28"/>
      <c r="CJ332" s="28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17"/>
      <c r="EQ332" s="17"/>
      <c r="ER332" s="17"/>
      <c r="ES332" s="17"/>
      <c r="ET332" s="17"/>
    </row>
    <row r="333" spans="72:150" ht="15.75" customHeight="1">
      <c r="BT333" s="67"/>
      <c r="CF333" s="27"/>
      <c r="CG333" s="28"/>
      <c r="CH333" s="28"/>
      <c r="CI333" s="28"/>
      <c r="CJ333" s="28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17"/>
      <c r="EQ333" s="17"/>
      <c r="ER333" s="17"/>
      <c r="ES333" s="17"/>
      <c r="ET333" s="17"/>
    </row>
    <row r="334" spans="72:150" ht="15.75" customHeight="1">
      <c r="BT334" s="67"/>
      <c r="CF334" s="27"/>
      <c r="CG334" s="28"/>
      <c r="CH334" s="28"/>
      <c r="CI334" s="28"/>
      <c r="CJ334" s="28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17"/>
      <c r="EQ334" s="17"/>
      <c r="ER334" s="17"/>
      <c r="ES334" s="17"/>
      <c r="ET334" s="17"/>
    </row>
    <row r="335" spans="72:150" ht="15.75" customHeight="1">
      <c r="BT335" s="67"/>
      <c r="CF335" s="27"/>
      <c r="CG335" s="28"/>
      <c r="CH335" s="28"/>
      <c r="CI335" s="28"/>
      <c r="CJ335" s="28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17"/>
      <c r="EQ335" s="17"/>
      <c r="ER335" s="17"/>
      <c r="ES335" s="17"/>
      <c r="ET335" s="17"/>
    </row>
    <row r="336" spans="72:150" ht="15.75" customHeight="1">
      <c r="BT336" s="67"/>
      <c r="CF336" s="27"/>
      <c r="CG336" s="28"/>
      <c r="CH336" s="28"/>
      <c r="CI336" s="28"/>
      <c r="CJ336" s="28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17"/>
      <c r="EQ336" s="17"/>
      <c r="ER336" s="17"/>
      <c r="ES336" s="17"/>
      <c r="ET336" s="17"/>
    </row>
    <row r="337" spans="72:150" ht="15.75" customHeight="1">
      <c r="BT337" s="67"/>
      <c r="CF337" s="27"/>
      <c r="CG337" s="28"/>
      <c r="CH337" s="28"/>
      <c r="CI337" s="28"/>
      <c r="CJ337" s="28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17"/>
      <c r="EQ337" s="17"/>
      <c r="ER337" s="17"/>
      <c r="ES337" s="17"/>
      <c r="ET337" s="17"/>
    </row>
    <row r="338" spans="72:150" ht="15.75" customHeight="1">
      <c r="BT338" s="67"/>
      <c r="CF338" s="27"/>
      <c r="CG338" s="28"/>
      <c r="CH338" s="28"/>
      <c r="CI338" s="28"/>
      <c r="CJ338" s="28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17"/>
      <c r="EQ338" s="17"/>
      <c r="ER338" s="17"/>
      <c r="ES338" s="17"/>
      <c r="ET338" s="17"/>
    </row>
    <row r="339" spans="72:150" ht="15.75" customHeight="1">
      <c r="BT339" s="67"/>
      <c r="CF339" s="27"/>
      <c r="CG339" s="28"/>
      <c r="CH339" s="28"/>
      <c r="CI339" s="28"/>
      <c r="CJ339" s="28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17"/>
      <c r="EQ339" s="17"/>
      <c r="ER339" s="17"/>
      <c r="ES339" s="17"/>
      <c r="ET339" s="17"/>
    </row>
    <row r="340" spans="72:150" ht="15.75" customHeight="1">
      <c r="BT340" s="67"/>
      <c r="CF340" s="27"/>
      <c r="CG340" s="28"/>
      <c r="CH340" s="28"/>
      <c r="CI340" s="28"/>
      <c r="CJ340" s="28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17"/>
      <c r="EQ340" s="17"/>
      <c r="ER340" s="17"/>
      <c r="ES340" s="17"/>
      <c r="ET340" s="17"/>
    </row>
    <row r="341" spans="72:150" ht="15.75" customHeight="1">
      <c r="BT341" s="67"/>
      <c r="CF341" s="27"/>
      <c r="CG341" s="28"/>
      <c r="CH341" s="28"/>
      <c r="CI341" s="28"/>
      <c r="CJ341" s="28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17"/>
      <c r="EQ341" s="17"/>
      <c r="ER341" s="17"/>
      <c r="ES341" s="17"/>
      <c r="ET341" s="17"/>
    </row>
    <row r="342" spans="72:150" ht="15.75" customHeight="1">
      <c r="BT342" s="67"/>
      <c r="CF342" s="27"/>
      <c r="CG342" s="28"/>
      <c r="CH342" s="28"/>
      <c r="CI342" s="28"/>
      <c r="CJ342" s="28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17"/>
      <c r="EQ342" s="17"/>
      <c r="ER342" s="17"/>
      <c r="ES342" s="17"/>
      <c r="ET342" s="17"/>
    </row>
    <row r="343" spans="72:150" ht="15.75" customHeight="1">
      <c r="BT343" s="67"/>
      <c r="CF343" s="27"/>
      <c r="CG343" s="28"/>
      <c r="CH343" s="28"/>
      <c r="CI343" s="28"/>
      <c r="CJ343" s="28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17"/>
      <c r="EQ343" s="17"/>
      <c r="ER343" s="17"/>
      <c r="ES343" s="17"/>
      <c r="ET343" s="17"/>
    </row>
    <row r="344" spans="72:150" ht="15.75" customHeight="1">
      <c r="BT344" s="67"/>
      <c r="CF344" s="27"/>
      <c r="CG344" s="28"/>
      <c r="CH344" s="28"/>
      <c r="CI344" s="28"/>
      <c r="CJ344" s="28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17"/>
      <c r="EQ344" s="17"/>
      <c r="ER344" s="17"/>
      <c r="ES344" s="17"/>
      <c r="ET344" s="17"/>
    </row>
    <row r="345" spans="72:150" ht="15.75" customHeight="1">
      <c r="BT345" s="67"/>
      <c r="CF345" s="27"/>
      <c r="CG345" s="28"/>
      <c r="CH345" s="28"/>
      <c r="CI345" s="28"/>
      <c r="CJ345" s="28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17"/>
      <c r="EQ345" s="17"/>
      <c r="ER345" s="17"/>
      <c r="ES345" s="17"/>
      <c r="ET345" s="17"/>
    </row>
    <row r="346" spans="72:150" ht="15.75" customHeight="1">
      <c r="BT346" s="67"/>
      <c r="CF346" s="27"/>
      <c r="CG346" s="28"/>
      <c r="CH346" s="28"/>
      <c r="CI346" s="28"/>
      <c r="CJ346" s="28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17"/>
      <c r="EQ346" s="17"/>
      <c r="ER346" s="17"/>
      <c r="ES346" s="17"/>
      <c r="ET346" s="17"/>
    </row>
    <row r="347" spans="72:150" ht="15.75" customHeight="1">
      <c r="BT347" s="67"/>
      <c r="CF347" s="27"/>
      <c r="CG347" s="28"/>
      <c r="CH347" s="28"/>
      <c r="CI347" s="28"/>
      <c r="CJ347" s="28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17"/>
      <c r="EQ347" s="17"/>
      <c r="ER347" s="17"/>
      <c r="ES347" s="17"/>
      <c r="ET347" s="17"/>
    </row>
    <row r="348" spans="72:150" ht="15.75" customHeight="1">
      <c r="BT348" s="67"/>
      <c r="CF348" s="27"/>
      <c r="CG348" s="28"/>
      <c r="CH348" s="28"/>
      <c r="CI348" s="28"/>
      <c r="CJ348" s="28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17"/>
      <c r="EQ348" s="17"/>
      <c r="ER348" s="17"/>
      <c r="ES348" s="17"/>
      <c r="ET348" s="17"/>
    </row>
    <row r="349" spans="72:150" ht="15.75" customHeight="1">
      <c r="BT349" s="67"/>
      <c r="CF349" s="27"/>
      <c r="CG349" s="28"/>
      <c r="CH349" s="28"/>
      <c r="CI349" s="28"/>
      <c r="CJ349" s="28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17"/>
      <c r="EQ349" s="17"/>
      <c r="ER349" s="17"/>
      <c r="ES349" s="17"/>
      <c r="ET349" s="17"/>
    </row>
    <row r="350" spans="72:150" ht="15.75" customHeight="1">
      <c r="BT350" s="67"/>
      <c r="CF350" s="27"/>
      <c r="CG350" s="28"/>
      <c r="CH350" s="28"/>
      <c r="CI350" s="28"/>
      <c r="CJ350" s="28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17"/>
      <c r="EQ350" s="17"/>
      <c r="ER350" s="17"/>
      <c r="ES350" s="17"/>
      <c r="ET350" s="17"/>
    </row>
    <row r="351" spans="72:150" ht="15.75" customHeight="1">
      <c r="BT351" s="67"/>
      <c r="CF351" s="27"/>
      <c r="CG351" s="28"/>
      <c r="CH351" s="28"/>
      <c r="CI351" s="28"/>
      <c r="CJ351" s="28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17"/>
      <c r="EQ351" s="17"/>
      <c r="ER351" s="17"/>
      <c r="ES351" s="17"/>
      <c r="ET351" s="17"/>
    </row>
    <row r="352" spans="72:150" ht="15.75" customHeight="1">
      <c r="BT352" s="67"/>
      <c r="CF352" s="27"/>
      <c r="CG352" s="28"/>
      <c r="CH352" s="28"/>
      <c r="CI352" s="28"/>
      <c r="CJ352" s="28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17"/>
      <c r="EQ352" s="17"/>
      <c r="ER352" s="17"/>
      <c r="ES352" s="17"/>
      <c r="ET352" s="17"/>
    </row>
    <row r="353" spans="72:150" ht="15.75" customHeight="1">
      <c r="BT353" s="67"/>
      <c r="CF353" s="27"/>
      <c r="CG353" s="28"/>
      <c r="CH353" s="28"/>
      <c r="CI353" s="28"/>
      <c r="CJ353" s="28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17"/>
      <c r="EQ353" s="17"/>
      <c r="ER353" s="17"/>
      <c r="ES353" s="17"/>
      <c r="ET353" s="17"/>
    </row>
    <row r="354" spans="72:150" ht="15.75" customHeight="1">
      <c r="BT354" s="67"/>
      <c r="CF354" s="27"/>
      <c r="CG354" s="28"/>
      <c r="CH354" s="28"/>
      <c r="CI354" s="28"/>
      <c r="CJ354" s="28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17"/>
      <c r="EQ354" s="17"/>
      <c r="ER354" s="17"/>
      <c r="ES354" s="17"/>
      <c r="ET354" s="17"/>
    </row>
    <row r="355" spans="72:150" ht="15.75" customHeight="1">
      <c r="BT355" s="67"/>
      <c r="CF355" s="27"/>
      <c r="CG355" s="28"/>
      <c r="CH355" s="28"/>
      <c r="CI355" s="28"/>
      <c r="CJ355" s="28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17"/>
      <c r="EQ355" s="17"/>
      <c r="ER355" s="17"/>
      <c r="ES355" s="17"/>
      <c r="ET355" s="17"/>
    </row>
    <row r="356" spans="72:150" ht="15.75" customHeight="1">
      <c r="BT356" s="67"/>
      <c r="CF356" s="27"/>
      <c r="CG356" s="28"/>
      <c r="CH356" s="28"/>
      <c r="CI356" s="28"/>
      <c r="CJ356" s="28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17"/>
      <c r="EQ356" s="17"/>
      <c r="ER356" s="17"/>
      <c r="ES356" s="17"/>
      <c r="ET356" s="17"/>
    </row>
    <row r="357" spans="72:150" ht="15.75" customHeight="1">
      <c r="BT357" s="67"/>
      <c r="CF357" s="27"/>
      <c r="CG357" s="28"/>
      <c r="CH357" s="28"/>
      <c r="CI357" s="28"/>
      <c r="CJ357" s="28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17"/>
      <c r="EQ357" s="17"/>
      <c r="ER357" s="17"/>
      <c r="ES357" s="17"/>
      <c r="ET357" s="17"/>
    </row>
    <row r="358" spans="72:150" ht="15.75" customHeight="1">
      <c r="BT358" s="67"/>
      <c r="CF358" s="27"/>
      <c r="CG358" s="28"/>
      <c r="CH358" s="28"/>
      <c r="CI358" s="28"/>
      <c r="CJ358" s="28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17"/>
      <c r="EQ358" s="17"/>
      <c r="ER358" s="17"/>
      <c r="ES358" s="17"/>
      <c r="ET358" s="17"/>
    </row>
    <row r="359" spans="72:150" ht="15.75" customHeight="1">
      <c r="BT359" s="67"/>
      <c r="CF359" s="27"/>
      <c r="CG359" s="28"/>
      <c r="CH359" s="28"/>
      <c r="CI359" s="28"/>
      <c r="CJ359" s="28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17"/>
      <c r="EQ359" s="17"/>
      <c r="ER359" s="17"/>
      <c r="ES359" s="17"/>
      <c r="ET359" s="17"/>
    </row>
    <row r="360" spans="72:150" ht="15.75" customHeight="1">
      <c r="BT360" s="67"/>
      <c r="CF360" s="27"/>
      <c r="CG360" s="28"/>
      <c r="CH360" s="28"/>
      <c r="CI360" s="28"/>
      <c r="CJ360" s="28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17"/>
      <c r="EQ360" s="17"/>
      <c r="ER360" s="17"/>
      <c r="ES360" s="17"/>
      <c r="ET360" s="17"/>
    </row>
    <row r="361" spans="72:150" ht="15.75" customHeight="1">
      <c r="BT361" s="67"/>
      <c r="CF361" s="27"/>
      <c r="CG361" s="28"/>
      <c r="CH361" s="28"/>
      <c r="CI361" s="28"/>
      <c r="CJ361" s="28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17"/>
      <c r="EQ361" s="17"/>
      <c r="ER361" s="17"/>
      <c r="ES361" s="17"/>
      <c r="ET361" s="17"/>
    </row>
    <row r="362" spans="72:150" ht="15.75" customHeight="1">
      <c r="BT362" s="67"/>
      <c r="CF362" s="27"/>
      <c r="CG362" s="28"/>
      <c r="CH362" s="28"/>
      <c r="CI362" s="28"/>
      <c r="CJ362" s="28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17"/>
      <c r="EQ362" s="17"/>
      <c r="ER362" s="17"/>
      <c r="ES362" s="17"/>
      <c r="ET362" s="17"/>
    </row>
    <row r="363" spans="72:150" ht="15.75" customHeight="1">
      <c r="BT363" s="67"/>
      <c r="CF363" s="27"/>
      <c r="CG363" s="28"/>
      <c r="CH363" s="28"/>
      <c r="CI363" s="28"/>
      <c r="CJ363" s="28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17"/>
      <c r="EQ363" s="17"/>
      <c r="ER363" s="17"/>
      <c r="ES363" s="17"/>
      <c r="ET363" s="17"/>
    </row>
    <row r="364" spans="72:150" ht="15.75" customHeight="1">
      <c r="BT364" s="67"/>
      <c r="CF364" s="27"/>
      <c r="CG364" s="28"/>
      <c r="CH364" s="28"/>
      <c r="CI364" s="28"/>
      <c r="CJ364" s="28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17"/>
      <c r="EQ364" s="17"/>
      <c r="ER364" s="17"/>
      <c r="ES364" s="17"/>
      <c r="ET364" s="17"/>
    </row>
    <row r="365" spans="72:150" ht="15.75" customHeight="1">
      <c r="BT365" s="67"/>
      <c r="CF365" s="27"/>
      <c r="CG365" s="28"/>
      <c r="CH365" s="28"/>
      <c r="CI365" s="28"/>
      <c r="CJ365" s="28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17"/>
      <c r="EQ365" s="17"/>
      <c r="ER365" s="17"/>
      <c r="ES365" s="17"/>
      <c r="ET365" s="17"/>
    </row>
    <row r="366" spans="72:150" ht="15.75" customHeight="1">
      <c r="BT366" s="67"/>
      <c r="CF366" s="27"/>
      <c r="CG366" s="28"/>
      <c r="CH366" s="28"/>
      <c r="CI366" s="28"/>
      <c r="CJ366" s="28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17"/>
      <c r="EQ366" s="17"/>
      <c r="ER366" s="17"/>
      <c r="ES366" s="17"/>
      <c r="ET366" s="17"/>
    </row>
    <row r="367" spans="72:150" ht="15.75" customHeight="1">
      <c r="BT367" s="67"/>
      <c r="CF367" s="27"/>
      <c r="CG367" s="28"/>
      <c r="CH367" s="28"/>
      <c r="CI367" s="28"/>
      <c r="CJ367" s="28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17"/>
      <c r="EQ367" s="17"/>
      <c r="ER367" s="17"/>
      <c r="ES367" s="17"/>
      <c r="ET367" s="17"/>
    </row>
    <row r="368" spans="72:150" ht="15.75" customHeight="1">
      <c r="BT368" s="67"/>
      <c r="CF368" s="27"/>
      <c r="CG368" s="28"/>
      <c r="CH368" s="28"/>
      <c r="CI368" s="28"/>
      <c r="CJ368" s="28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17"/>
      <c r="EQ368" s="17"/>
      <c r="ER368" s="17"/>
      <c r="ES368" s="17"/>
      <c r="ET368" s="17"/>
    </row>
    <row r="369" spans="72:150" ht="15.75" customHeight="1">
      <c r="BT369" s="67"/>
      <c r="CF369" s="27"/>
      <c r="CG369" s="28"/>
      <c r="CH369" s="28"/>
      <c r="CI369" s="28"/>
      <c r="CJ369" s="28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17"/>
      <c r="EQ369" s="17"/>
      <c r="ER369" s="17"/>
      <c r="ES369" s="17"/>
      <c r="ET369" s="17"/>
    </row>
    <row r="370" spans="72:150" ht="15.75" customHeight="1">
      <c r="BT370" s="67"/>
      <c r="CF370" s="27"/>
      <c r="CG370" s="28"/>
      <c r="CH370" s="28"/>
      <c r="CI370" s="28"/>
      <c r="CJ370" s="28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17"/>
      <c r="EQ370" s="17"/>
      <c r="ER370" s="17"/>
      <c r="ES370" s="17"/>
      <c r="ET370" s="17"/>
    </row>
    <row r="371" spans="72:150" ht="15.75" customHeight="1">
      <c r="BT371" s="67"/>
      <c r="CF371" s="27"/>
      <c r="CG371" s="28"/>
      <c r="CH371" s="28"/>
      <c r="CI371" s="28"/>
      <c r="CJ371" s="28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17"/>
      <c r="EQ371" s="17"/>
      <c r="ER371" s="17"/>
      <c r="ES371" s="17"/>
      <c r="ET371" s="17"/>
    </row>
    <row r="372" spans="72:150" ht="15.75" customHeight="1">
      <c r="BT372" s="67"/>
      <c r="CF372" s="27"/>
      <c r="CG372" s="28"/>
      <c r="CH372" s="28"/>
      <c r="CI372" s="28"/>
      <c r="CJ372" s="28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17"/>
      <c r="EQ372" s="17"/>
      <c r="ER372" s="17"/>
      <c r="ES372" s="17"/>
      <c r="ET372" s="17"/>
    </row>
    <row r="373" spans="72:150" ht="15.75" customHeight="1">
      <c r="BT373" s="67"/>
      <c r="CF373" s="27"/>
      <c r="CG373" s="28"/>
      <c r="CH373" s="28"/>
      <c r="CI373" s="28"/>
      <c r="CJ373" s="28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17"/>
      <c r="EQ373" s="17"/>
      <c r="ER373" s="17"/>
      <c r="ES373" s="17"/>
      <c r="ET373" s="17"/>
    </row>
    <row r="374" spans="72:150" ht="15.75" customHeight="1">
      <c r="BT374" s="67"/>
      <c r="CF374" s="27"/>
      <c r="CG374" s="28"/>
      <c r="CH374" s="28"/>
      <c r="CI374" s="28"/>
      <c r="CJ374" s="28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17"/>
      <c r="EQ374" s="17"/>
      <c r="ER374" s="17"/>
      <c r="ES374" s="17"/>
      <c r="ET374" s="17"/>
    </row>
    <row r="375" spans="72:150" ht="15.75" customHeight="1">
      <c r="BT375" s="67"/>
      <c r="CF375" s="27"/>
      <c r="CG375" s="28"/>
      <c r="CH375" s="28"/>
      <c r="CI375" s="28"/>
      <c r="CJ375" s="28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17"/>
      <c r="EQ375" s="17"/>
      <c r="ER375" s="17"/>
      <c r="ES375" s="17"/>
      <c r="ET375" s="17"/>
    </row>
    <row r="376" spans="72:150" ht="15.75" customHeight="1">
      <c r="BT376" s="67"/>
      <c r="CF376" s="27"/>
      <c r="CG376" s="28"/>
      <c r="CH376" s="28"/>
      <c r="CI376" s="28"/>
      <c r="CJ376" s="28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17"/>
      <c r="EQ376" s="17"/>
      <c r="ER376" s="17"/>
      <c r="ES376" s="17"/>
      <c r="ET376" s="17"/>
    </row>
    <row r="377" spans="72:150" ht="15.75" customHeight="1">
      <c r="BT377" s="67"/>
      <c r="CF377" s="27"/>
      <c r="CG377" s="28"/>
      <c r="CH377" s="28"/>
      <c r="CI377" s="28"/>
      <c r="CJ377" s="28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17"/>
      <c r="EQ377" s="17"/>
      <c r="ER377" s="17"/>
      <c r="ES377" s="17"/>
      <c r="ET377" s="17"/>
    </row>
    <row r="378" spans="72:150" ht="15.75" customHeight="1">
      <c r="BT378" s="67"/>
      <c r="CF378" s="27"/>
      <c r="CG378" s="28"/>
      <c r="CH378" s="28"/>
      <c r="CI378" s="28"/>
      <c r="CJ378" s="28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17"/>
      <c r="EQ378" s="17"/>
      <c r="ER378" s="17"/>
      <c r="ES378" s="17"/>
      <c r="ET378" s="17"/>
    </row>
    <row r="379" spans="72:150" ht="15.75" customHeight="1">
      <c r="BT379" s="67"/>
      <c r="CF379" s="27"/>
      <c r="CG379" s="28"/>
      <c r="CH379" s="28"/>
      <c r="CI379" s="28"/>
      <c r="CJ379" s="28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17"/>
      <c r="EQ379" s="17"/>
      <c r="ER379" s="17"/>
      <c r="ES379" s="17"/>
      <c r="ET379" s="17"/>
    </row>
    <row r="380" spans="72:150" ht="15.75" customHeight="1">
      <c r="BT380" s="67"/>
      <c r="CF380" s="27"/>
      <c r="CG380" s="28"/>
      <c r="CH380" s="28"/>
      <c r="CI380" s="28"/>
      <c r="CJ380" s="28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17"/>
      <c r="EQ380" s="17"/>
      <c r="ER380" s="17"/>
      <c r="ES380" s="17"/>
      <c r="ET380" s="17"/>
    </row>
    <row r="381" spans="72:150" ht="15.75" customHeight="1">
      <c r="BT381" s="67"/>
      <c r="CF381" s="27"/>
      <c r="CG381" s="28"/>
      <c r="CH381" s="28"/>
      <c r="CI381" s="28"/>
      <c r="CJ381" s="28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17"/>
      <c r="EQ381" s="17"/>
      <c r="ER381" s="17"/>
      <c r="ES381" s="17"/>
      <c r="ET381" s="17"/>
    </row>
    <row r="382" spans="72:150" ht="15.75" customHeight="1">
      <c r="BT382" s="67"/>
      <c r="CF382" s="27"/>
      <c r="CG382" s="28"/>
      <c r="CH382" s="28"/>
      <c r="CI382" s="28"/>
      <c r="CJ382" s="28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17"/>
      <c r="EQ382" s="17"/>
      <c r="ER382" s="17"/>
      <c r="ES382" s="17"/>
      <c r="ET382" s="17"/>
    </row>
    <row r="383" spans="72:150" ht="15.75" customHeight="1">
      <c r="BT383" s="67"/>
      <c r="CF383" s="27"/>
      <c r="CG383" s="28"/>
      <c r="CH383" s="28"/>
      <c r="CI383" s="28"/>
      <c r="CJ383" s="28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17"/>
      <c r="EQ383" s="17"/>
      <c r="ER383" s="17"/>
      <c r="ES383" s="17"/>
      <c r="ET383" s="17"/>
    </row>
    <row r="384" spans="72:150" ht="15.75" customHeight="1">
      <c r="BT384" s="67"/>
      <c r="CF384" s="27"/>
      <c r="CG384" s="28"/>
      <c r="CH384" s="28"/>
      <c r="CI384" s="28"/>
      <c r="CJ384" s="28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17"/>
      <c r="EQ384" s="17"/>
      <c r="ER384" s="17"/>
      <c r="ES384" s="17"/>
      <c r="ET384" s="17"/>
    </row>
    <row r="385" spans="72:150" ht="15.75" customHeight="1">
      <c r="BT385" s="67"/>
      <c r="CF385" s="27"/>
      <c r="CG385" s="28"/>
      <c r="CH385" s="28"/>
      <c r="CI385" s="28"/>
      <c r="CJ385" s="28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17"/>
      <c r="EQ385" s="17"/>
      <c r="ER385" s="17"/>
      <c r="ES385" s="17"/>
      <c r="ET385" s="17"/>
    </row>
    <row r="386" spans="72:150" ht="15.75" customHeight="1">
      <c r="BT386" s="67"/>
      <c r="CF386" s="27"/>
      <c r="CG386" s="28"/>
      <c r="CH386" s="28"/>
      <c r="CI386" s="28"/>
      <c r="CJ386" s="28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17"/>
      <c r="EQ386" s="17"/>
      <c r="ER386" s="17"/>
      <c r="ES386" s="17"/>
      <c r="ET386" s="17"/>
    </row>
    <row r="387" spans="72:150" ht="15.75" customHeight="1">
      <c r="BT387" s="67"/>
      <c r="CF387" s="27"/>
      <c r="CG387" s="28"/>
      <c r="CH387" s="28"/>
      <c r="CI387" s="28"/>
      <c r="CJ387" s="28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17"/>
      <c r="EQ387" s="17"/>
      <c r="ER387" s="17"/>
      <c r="ES387" s="17"/>
      <c r="ET387" s="17"/>
    </row>
    <row r="388" spans="72:150" ht="15.75" customHeight="1">
      <c r="BT388" s="67"/>
      <c r="CF388" s="27"/>
      <c r="CG388" s="28"/>
      <c r="CH388" s="28"/>
      <c r="CI388" s="28"/>
      <c r="CJ388" s="28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17"/>
      <c r="EQ388" s="17"/>
      <c r="ER388" s="17"/>
      <c r="ES388" s="17"/>
      <c r="ET388" s="17"/>
    </row>
    <row r="389" spans="72:150" ht="15.75" customHeight="1">
      <c r="BT389" s="67"/>
      <c r="CF389" s="27"/>
      <c r="CG389" s="28"/>
      <c r="CH389" s="28"/>
      <c r="CI389" s="28"/>
      <c r="CJ389" s="28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17"/>
      <c r="EQ389" s="17"/>
      <c r="ER389" s="17"/>
      <c r="ES389" s="17"/>
      <c r="ET389" s="17"/>
    </row>
    <row r="390" spans="72:150" ht="15.75" customHeight="1">
      <c r="BT390" s="67"/>
      <c r="CF390" s="27"/>
      <c r="CG390" s="28"/>
      <c r="CH390" s="28"/>
      <c r="CI390" s="28"/>
      <c r="CJ390" s="28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17"/>
      <c r="EQ390" s="17"/>
      <c r="ER390" s="17"/>
      <c r="ES390" s="17"/>
      <c r="ET390" s="17"/>
    </row>
    <row r="391" spans="72:150" ht="15.75" customHeight="1">
      <c r="BT391" s="67"/>
      <c r="CF391" s="27"/>
      <c r="CG391" s="28"/>
      <c r="CH391" s="28"/>
      <c r="CI391" s="28"/>
      <c r="CJ391" s="28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17"/>
      <c r="EQ391" s="17"/>
      <c r="ER391" s="17"/>
      <c r="ES391" s="17"/>
      <c r="ET391" s="17"/>
    </row>
    <row r="392" spans="72:150" ht="15.75" customHeight="1">
      <c r="BT392" s="67"/>
      <c r="CF392" s="27"/>
      <c r="CG392" s="28"/>
      <c r="CH392" s="28"/>
      <c r="CI392" s="28"/>
      <c r="CJ392" s="28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17"/>
      <c r="EQ392" s="17"/>
      <c r="ER392" s="17"/>
      <c r="ES392" s="17"/>
      <c r="ET392" s="17"/>
    </row>
    <row r="393" spans="72:150" ht="15.75" customHeight="1">
      <c r="BT393" s="67"/>
      <c r="CF393" s="27"/>
      <c r="CG393" s="28"/>
      <c r="CH393" s="28"/>
      <c r="CI393" s="28"/>
      <c r="CJ393" s="28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17"/>
      <c r="EQ393" s="17"/>
      <c r="ER393" s="17"/>
      <c r="ES393" s="17"/>
      <c r="ET393" s="17"/>
    </row>
    <row r="394" spans="72:150" ht="15.75" customHeight="1">
      <c r="BT394" s="67"/>
      <c r="CF394" s="27"/>
      <c r="CG394" s="28"/>
      <c r="CH394" s="28"/>
      <c r="CI394" s="28"/>
      <c r="CJ394" s="28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17"/>
      <c r="EQ394" s="17"/>
      <c r="ER394" s="17"/>
      <c r="ES394" s="17"/>
      <c r="ET394" s="17"/>
    </row>
    <row r="395" spans="72:150" ht="15.75" customHeight="1">
      <c r="BT395" s="67"/>
      <c r="CF395" s="27"/>
      <c r="CG395" s="28"/>
      <c r="CH395" s="28"/>
      <c r="CI395" s="28"/>
      <c r="CJ395" s="28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17"/>
      <c r="EQ395" s="17"/>
      <c r="ER395" s="17"/>
      <c r="ES395" s="17"/>
      <c r="ET395" s="17"/>
    </row>
    <row r="396" spans="72:150" ht="15.75" customHeight="1">
      <c r="BT396" s="67"/>
      <c r="CF396" s="27"/>
      <c r="CG396" s="28"/>
      <c r="CH396" s="28"/>
      <c r="CI396" s="28"/>
      <c r="CJ396" s="28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17"/>
      <c r="EQ396" s="17"/>
      <c r="ER396" s="17"/>
      <c r="ES396" s="17"/>
      <c r="ET396" s="17"/>
    </row>
    <row r="397" spans="72:150" ht="15.75" customHeight="1">
      <c r="BT397" s="67"/>
      <c r="CF397" s="27"/>
      <c r="CG397" s="28"/>
      <c r="CH397" s="28"/>
      <c r="CI397" s="28"/>
      <c r="CJ397" s="28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17"/>
      <c r="EQ397" s="17"/>
      <c r="ER397" s="17"/>
      <c r="ES397" s="17"/>
      <c r="ET397" s="17"/>
    </row>
    <row r="398" spans="72:150" ht="15.75" customHeight="1">
      <c r="BT398" s="67"/>
      <c r="CF398" s="27"/>
      <c r="CG398" s="28"/>
      <c r="CH398" s="28"/>
      <c r="CI398" s="28"/>
      <c r="CJ398" s="28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17"/>
      <c r="EQ398" s="17"/>
      <c r="ER398" s="17"/>
      <c r="ES398" s="17"/>
      <c r="ET398" s="17"/>
    </row>
    <row r="399" spans="72:150" ht="15.75" customHeight="1">
      <c r="BT399" s="67"/>
      <c r="CF399" s="27"/>
      <c r="CG399" s="28"/>
      <c r="CH399" s="28"/>
      <c r="CI399" s="28"/>
      <c r="CJ399" s="28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17"/>
      <c r="EQ399" s="17"/>
      <c r="ER399" s="17"/>
      <c r="ES399" s="17"/>
      <c r="ET399" s="17"/>
    </row>
    <row r="400" spans="72:150" ht="15.75" customHeight="1">
      <c r="BT400" s="67"/>
      <c r="CF400" s="27"/>
      <c r="CG400" s="28"/>
      <c r="CH400" s="28"/>
      <c r="CI400" s="28"/>
      <c r="CJ400" s="28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17"/>
      <c r="EQ400" s="17"/>
      <c r="ER400" s="17"/>
      <c r="ES400" s="17"/>
      <c r="ET400" s="17"/>
    </row>
    <row r="401" spans="72:150" ht="15.75" customHeight="1">
      <c r="BT401" s="67"/>
      <c r="CF401" s="27"/>
      <c r="CG401" s="28"/>
      <c r="CH401" s="28"/>
      <c r="CI401" s="28"/>
      <c r="CJ401" s="28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17"/>
      <c r="EQ401" s="17"/>
      <c r="ER401" s="17"/>
      <c r="ES401" s="17"/>
      <c r="ET401" s="17"/>
    </row>
    <row r="402" spans="72:150" ht="15.75" customHeight="1">
      <c r="BT402" s="67"/>
      <c r="CF402" s="27"/>
      <c r="CG402" s="28"/>
      <c r="CH402" s="28"/>
      <c r="CI402" s="28"/>
      <c r="CJ402" s="28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17"/>
      <c r="EQ402" s="17"/>
      <c r="ER402" s="17"/>
      <c r="ES402" s="17"/>
      <c r="ET402" s="17"/>
    </row>
    <row r="403" spans="72:150" ht="15.75" customHeight="1">
      <c r="BT403" s="67"/>
      <c r="CF403" s="27"/>
      <c r="CG403" s="28"/>
      <c r="CH403" s="28"/>
      <c r="CI403" s="28"/>
      <c r="CJ403" s="28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17"/>
      <c r="EQ403" s="17"/>
      <c r="ER403" s="17"/>
      <c r="ES403" s="17"/>
      <c r="ET403" s="17"/>
    </row>
    <row r="404" spans="72:150" ht="15.75" customHeight="1">
      <c r="BT404" s="67"/>
      <c r="CF404" s="27"/>
      <c r="CG404" s="28"/>
      <c r="CH404" s="28"/>
      <c r="CI404" s="28"/>
      <c r="CJ404" s="28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17"/>
      <c r="EQ404" s="17"/>
      <c r="ER404" s="17"/>
      <c r="ES404" s="17"/>
      <c r="ET404" s="17"/>
    </row>
    <row r="405" spans="72:150" ht="15.75" customHeight="1">
      <c r="BT405" s="67"/>
      <c r="CF405" s="27"/>
      <c r="CG405" s="28"/>
      <c r="CH405" s="28"/>
      <c r="CI405" s="28"/>
      <c r="CJ405" s="28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17"/>
      <c r="EQ405" s="17"/>
      <c r="ER405" s="17"/>
      <c r="ES405" s="17"/>
      <c r="ET405" s="17"/>
    </row>
    <row r="406" spans="72:150" ht="15.75" customHeight="1">
      <c r="BT406" s="67"/>
      <c r="CF406" s="27"/>
      <c r="CG406" s="28"/>
      <c r="CH406" s="28"/>
      <c r="CI406" s="28"/>
      <c r="CJ406" s="28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17"/>
      <c r="EQ406" s="17"/>
      <c r="ER406" s="17"/>
      <c r="ES406" s="17"/>
      <c r="ET406" s="17"/>
    </row>
    <row r="407" spans="72:150" ht="15.75" customHeight="1">
      <c r="BT407" s="67"/>
      <c r="CF407" s="27"/>
      <c r="CG407" s="28"/>
      <c r="CH407" s="28"/>
      <c r="CI407" s="28"/>
      <c r="CJ407" s="28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17"/>
      <c r="EQ407" s="17"/>
      <c r="ER407" s="17"/>
      <c r="ES407" s="17"/>
      <c r="ET407" s="17"/>
    </row>
    <row r="408" spans="72:150" ht="15.75" customHeight="1">
      <c r="BT408" s="67"/>
      <c r="CF408" s="27"/>
      <c r="CG408" s="28"/>
      <c r="CH408" s="28"/>
      <c r="CI408" s="28"/>
      <c r="CJ408" s="28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17"/>
      <c r="EQ408" s="17"/>
      <c r="ER408" s="17"/>
      <c r="ES408" s="17"/>
      <c r="ET408" s="17"/>
    </row>
    <row r="409" spans="72:150" ht="15.75" customHeight="1">
      <c r="BT409" s="67"/>
      <c r="CF409" s="27"/>
      <c r="CG409" s="28"/>
      <c r="CH409" s="28"/>
      <c r="CI409" s="28"/>
      <c r="CJ409" s="28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17"/>
      <c r="EQ409" s="17"/>
      <c r="ER409" s="17"/>
      <c r="ES409" s="17"/>
      <c r="ET409" s="17"/>
    </row>
    <row r="410" spans="72:150" ht="15.75" customHeight="1">
      <c r="BT410" s="67"/>
      <c r="CF410" s="27"/>
      <c r="CG410" s="28"/>
      <c r="CH410" s="28"/>
      <c r="CI410" s="28"/>
      <c r="CJ410" s="28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17"/>
      <c r="EQ410" s="17"/>
      <c r="ER410" s="17"/>
      <c r="ES410" s="17"/>
      <c r="ET410" s="17"/>
    </row>
    <row r="411" spans="72:150" ht="15.75" customHeight="1">
      <c r="BT411" s="67"/>
      <c r="CF411" s="27"/>
      <c r="CG411" s="28"/>
      <c r="CH411" s="28"/>
      <c r="CI411" s="28"/>
      <c r="CJ411" s="28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17"/>
      <c r="EQ411" s="17"/>
      <c r="ER411" s="17"/>
      <c r="ES411" s="17"/>
      <c r="ET411" s="17"/>
    </row>
    <row r="412" spans="72:150" ht="15.75" customHeight="1">
      <c r="BT412" s="67"/>
      <c r="CF412" s="27"/>
      <c r="CG412" s="28"/>
      <c r="CH412" s="28"/>
      <c r="CI412" s="28"/>
      <c r="CJ412" s="28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17"/>
      <c r="EQ412" s="17"/>
      <c r="ER412" s="17"/>
      <c r="ES412" s="17"/>
      <c r="ET412" s="17"/>
    </row>
    <row r="413" spans="72:150" ht="15.75" customHeight="1">
      <c r="BT413" s="67"/>
      <c r="CF413" s="27"/>
      <c r="CG413" s="28"/>
      <c r="CH413" s="28"/>
      <c r="CI413" s="28"/>
      <c r="CJ413" s="28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17"/>
      <c r="EQ413" s="17"/>
      <c r="ER413" s="17"/>
      <c r="ES413" s="17"/>
      <c r="ET413" s="17"/>
    </row>
    <row r="414" spans="72:150" ht="15.75" customHeight="1">
      <c r="BT414" s="67"/>
      <c r="CF414" s="27"/>
      <c r="CG414" s="28"/>
      <c r="CH414" s="28"/>
      <c r="CI414" s="28"/>
      <c r="CJ414" s="28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17"/>
      <c r="EQ414" s="17"/>
      <c r="ER414" s="17"/>
      <c r="ES414" s="17"/>
      <c r="ET414" s="17"/>
    </row>
    <row r="415" spans="72:150" ht="15.75" customHeight="1">
      <c r="BT415" s="67"/>
      <c r="CF415" s="27"/>
      <c r="CG415" s="28"/>
      <c r="CH415" s="28"/>
      <c r="CI415" s="28"/>
      <c r="CJ415" s="28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17"/>
      <c r="EQ415" s="17"/>
      <c r="ER415" s="17"/>
      <c r="ES415" s="17"/>
      <c r="ET415" s="17"/>
    </row>
    <row r="416" spans="72:150" ht="15.75" customHeight="1">
      <c r="BT416" s="67"/>
      <c r="CF416" s="27"/>
      <c r="CG416" s="28"/>
      <c r="CH416" s="28"/>
      <c r="CI416" s="28"/>
      <c r="CJ416" s="28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17"/>
      <c r="EQ416" s="17"/>
      <c r="ER416" s="17"/>
      <c r="ES416" s="17"/>
      <c r="ET416" s="17"/>
    </row>
    <row r="417" spans="72:150" ht="15.75" customHeight="1">
      <c r="BT417" s="67"/>
      <c r="CF417" s="27"/>
      <c r="CG417" s="28"/>
      <c r="CH417" s="28"/>
      <c r="CI417" s="28"/>
      <c r="CJ417" s="28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17"/>
      <c r="EQ417" s="17"/>
      <c r="ER417" s="17"/>
      <c r="ES417" s="17"/>
      <c r="ET417" s="17"/>
    </row>
    <row r="418" spans="72:150" ht="15.75" customHeight="1">
      <c r="BT418" s="67"/>
      <c r="CF418" s="27"/>
      <c r="CG418" s="28"/>
      <c r="CH418" s="28"/>
      <c r="CI418" s="28"/>
      <c r="CJ418" s="28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17"/>
      <c r="EQ418" s="17"/>
      <c r="ER418" s="17"/>
      <c r="ES418" s="17"/>
      <c r="ET418" s="17"/>
    </row>
    <row r="419" spans="72:150" ht="15.75" customHeight="1">
      <c r="BT419" s="67"/>
      <c r="CF419" s="27"/>
      <c r="CG419" s="28"/>
      <c r="CH419" s="28"/>
      <c r="CI419" s="28"/>
      <c r="CJ419" s="28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17"/>
      <c r="EQ419" s="17"/>
      <c r="ER419" s="17"/>
      <c r="ES419" s="17"/>
      <c r="ET419" s="17"/>
    </row>
    <row r="420" spans="72:150" ht="15.75" customHeight="1">
      <c r="BT420" s="67"/>
      <c r="CF420" s="27"/>
      <c r="CG420" s="28"/>
      <c r="CH420" s="28"/>
      <c r="CI420" s="28"/>
      <c r="CJ420" s="28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17"/>
      <c r="EQ420" s="17"/>
      <c r="ER420" s="17"/>
      <c r="ES420" s="17"/>
      <c r="ET420" s="17"/>
    </row>
    <row r="421" spans="72:150" ht="15.75" customHeight="1">
      <c r="BT421" s="67"/>
      <c r="CF421" s="27"/>
      <c r="CG421" s="28"/>
      <c r="CH421" s="28"/>
      <c r="CI421" s="28"/>
      <c r="CJ421" s="28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17"/>
      <c r="EQ421" s="17"/>
      <c r="ER421" s="17"/>
      <c r="ES421" s="17"/>
      <c r="ET421" s="17"/>
    </row>
  </sheetData>
  <conditionalFormatting sqref="CH3:CH218">
    <cfRule type="cellIs" dxfId="4" priority="1" operator="greaterThan">
      <formula>$CM$1</formula>
    </cfRule>
  </conditionalFormatting>
  <conditionalFormatting sqref="CI3:CI218">
    <cfRule type="cellIs" dxfId="3" priority="2" operator="greaterThan">
      <formula>$CN$1</formula>
    </cfRule>
  </conditionalFormatting>
  <conditionalFormatting sqref="CJ3:CJ218">
    <cfRule type="cellIs" dxfId="2" priority="3" operator="greaterThan">
      <formula>$CO$1</formula>
    </cfRule>
  </conditionalFormatting>
  <conditionalFormatting sqref="CK3:CK218">
    <cfRule type="cellIs" dxfId="1" priority="4" operator="greaterThanOrEqual">
      <formula>$CP$1</formula>
    </cfRule>
  </conditionalFormatting>
  <conditionalFormatting sqref="ET1:ET421">
    <cfRule type="cellIs" dxfId="0" priority="5" operator="greaterThan">
      <formula>$ET$1</formula>
    </cfRule>
  </conditionalFormatting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J22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baseColWidth="10" defaultColWidth="14.453125" defaultRowHeight="15" customHeight="1"/>
  <cols>
    <col min="1" max="1" width="11.08984375" customWidth="1"/>
    <col min="2" max="2" width="22.7265625" customWidth="1"/>
    <col min="3" max="3" width="9" customWidth="1"/>
    <col min="4" max="4" width="8.7265625" customWidth="1"/>
  </cols>
  <sheetData>
    <row r="1" spans="1:10">
      <c r="A1" s="44" t="s">
        <v>1306</v>
      </c>
      <c r="E1" s="70" t="s">
        <v>1307</v>
      </c>
      <c r="F1" s="71">
        <v>1.5699999999999999E-2</v>
      </c>
      <c r="G1" s="70" t="s">
        <v>1307</v>
      </c>
      <c r="H1" s="71">
        <v>1.0999999999999999E-2</v>
      </c>
      <c r="I1" s="70" t="s">
        <v>1307</v>
      </c>
      <c r="J1" s="71">
        <v>1.0200000000000001E-2</v>
      </c>
    </row>
    <row r="2" spans="1:10">
      <c r="A2" s="44" t="s">
        <v>0</v>
      </c>
      <c r="B2" s="44" t="s">
        <v>1</v>
      </c>
      <c r="C2" s="44" t="s">
        <v>1308</v>
      </c>
      <c r="D2" s="44" t="s">
        <v>1309</v>
      </c>
      <c r="E2" s="44" t="s">
        <v>1310</v>
      </c>
      <c r="F2" s="44" t="s">
        <v>1311</v>
      </c>
      <c r="G2" s="44" t="s">
        <v>1312</v>
      </c>
      <c r="H2" s="44" t="s">
        <v>1313</v>
      </c>
      <c r="I2" s="44" t="s">
        <v>1314</v>
      </c>
      <c r="J2" s="44" t="s">
        <v>1315</v>
      </c>
    </row>
    <row r="3" spans="1:10">
      <c r="A3" s="44" t="s">
        <v>210</v>
      </c>
      <c r="B3" s="44" t="s">
        <v>211</v>
      </c>
      <c r="E3" s="44">
        <v>0</v>
      </c>
      <c r="F3" s="44">
        <v>0</v>
      </c>
      <c r="G3" s="44">
        <v>0</v>
      </c>
      <c r="H3" s="44">
        <v>0</v>
      </c>
      <c r="I3" s="44">
        <v>0</v>
      </c>
      <c r="J3" s="44">
        <v>0</v>
      </c>
    </row>
    <row r="4" spans="1:10">
      <c r="A4" s="44" t="s">
        <v>213</v>
      </c>
      <c r="B4" s="44" t="s">
        <v>214</v>
      </c>
      <c r="E4" s="44">
        <v>0</v>
      </c>
      <c r="F4" s="44">
        <v>0</v>
      </c>
      <c r="G4" s="44">
        <v>0</v>
      </c>
      <c r="H4" s="44">
        <v>0</v>
      </c>
      <c r="I4" s="44">
        <v>0</v>
      </c>
      <c r="J4" s="44">
        <v>0</v>
      </c>
    </row>
    <row r="5" spans="1:10">
      <c r="A5" s="44" t="s">
        <v>216</v>
      </c>
      <c r="B5" s="44" t="s">
        <v>217</v>
      </c>
      <c r="E5" s="44">
        <v>0</v>
      </c>
      <c r="F5" s="44">
        <v>0</v>
      </c>
      <c r="G5" s="44">
        <v>0</v>
      </c>
      <c r="H5" s="44">
        <v>0</v>
      </c>
      <c r="I5" s="44">
        <v>0</v>
      </c>
      <c r="J5" s="44">
        <v>0</v>
      </c>
    </row>
    <row r="6" spans="1:10">
      <c r="A6" s="44" t="s">
        <v>219</v>
      </c>
      <c r="B6" s="44" t="s">
        <v>220</v>
      </c>
      <c r="C6" s="44">
        <v>161</v>
      </c>
      <c r="D6" s="44">
        <v>1</v>
      </c>
      <c r="E6" s="72">
        <v>3205809496</v>
      </c>
      <c r="F6" s="72">
        <v>50314340</v>
      </c>
      <c r="G6" s="72">
        <v>3450949395</v>
      </c>
      <c r="H6" s="72">
        <v>38105253</v>
      </c>
      <c r="I6" s="72">
        <v>3507932738</v>
      </c>
      <c r="J6" s="72">
        <v>35620763</v>
      </c>
    </row>
    <row r="7" spans="1:10">
      <c r="A7" s="44" t="s">
        <v>222</v>
      </c>
      <c r="B7" s="44" t="s">
        <v>223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</row>
    <row r="8" spans="1:10">
      <c r="A8" s="44" t="s">
        <v>225</v>
      </c>
      <c r="B8" s="44" t="s">
        <v>226</v>
      </c>
      <c r="C8" s="44">
        <v>170</v>
      </c>
      <c r="D8" s="44">
        <v>1</v>
      </c>
      <c r="E8" s="44">
        <v>0</v>
      </c>
      <c r="F8" s="44">
        <v>0</v>
      </c>
      <c r="G8" s="44">
        <v>0</v>
      </c>
      <c r="H8" s="44">
        <v>0</v>
      </c>
      <c r="I8" s="44">
        <v>0</v>
      </c>
      <c r="J8" s="44">
        <v>0</v>
      </c>
    </row>
    <row r="9" spans="1:10">
      <c r="A9" s="44" t="s">
        <v>228</v>
      </c>
      <c r="B9" s="44" t="s">
        <v>229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</row>
    <row r="10" spans="1:10">
      <c r="A10" s="44" t="s">
        <v>231</v>
      </c>
      <c r="B10" s="44" t="s">
        <v>232</v>
      </c>
      <c r="D10" s="44">
        <v>1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</row>
    <row r="11" spans="1:10">
      <c r="A11" s="44" t="s">
        <v>234</v>
      </c>
      <c r="B11" s="44" t="s">
        <v>235</v>
      </c>
      <c r="C11" s="44">
        <v>17</v>
      </c>
      <c r="D11" s="44">
        <v>1</v>
      </c>
      <c r="E11" s="72">
        <v>715099957</v>
      </c>
      <c r="F11" s="72">
        <v>11223306</v>
      </c>
      <c r="G11" s="72">
        <v>786018134</v>
      </c>
      <c r="H11" s="72">
        <v>8679183</v>
      </c>
      <c r="I11" s="72">
        <v>911254372</v>
      </c>
      <c r="J11" s="72">
        <v>9253192</v>
      </c>
    </row>
    <row r="12" spans="1:10">
      <c r="A12" s="44" t="s">
        <v>237</v>
      </c>
      <c r="B12" s="44" t="s">
        <v>238</v>
      </c>
      <c r="C12" s="44">
        <v>55</v>
      </c>
      <c r="D12" s="44">
        <v>1</v>
      </c>
      <c r="E12" s="72">
        <v>1760445792</v>
      </c>
      <c r="F12" s="72">
        <v>27629735</v>
      </c>
      <c r="G12" s="72">
        <v>1911169622</v>
      </c>
      <c r="H12" s="72">
        <v>21103063</v>
      </c>
      <c r="I12" s="72">
        <v>2120254080</v>
      </c>
      <c r="J12" s="72">
        <v>21529794</v>
      </c>
    </row>
    <row r="13" spans="1:10">
      <c r="A13" s="44" t="s">
        <v>240</v>
      </c>
      <c r="B13" s="44" t="s">
        <v>241</v>
      </c>
      <c r="C13" s="44">
        <v>150</v>
      </c>
      <c r="D13" s="44">
        <v>1</v>
      </c>
      <c r="E13" s="72">
        <v>556223545</v>
      </c>
      <c r="F13" s="72">
        <v>8729783</v>
      </c>
      <c r="G13" s="72">
        <v>565807833</v>
      </c>
      <c r="H13" s="72">
        <v>6247629</v>
      </c>
      <c r="I13" s="72">
        <v>718054895</v>
      </c>
      <c r="J13" s="72">
        <v>7291378</v>
      </c>
    </row>
    <row r="14" spans="1:10">
      <c r="A14" s="44" t="s">
        <v>243</v>
      </c>
      <c r="B14" s="44" t="s">
        <v>244</v>
      </c>
      <c r="C14" s="44">
        <v>41</v>
      </c>
      <c r="D14" s="44">
        <v>1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</row>
    <row r="15" spans="1:10">
      <c r="A15" s="44" t="s">
        <v>246</v>
      </c>
      <c r="B15" s="44" t="s">
        <v>247</v>
      </c>
      <c r="E15" s="72">
        <v>1700840533</v>
      </c>
      <c r="F15" s="72">
        <v>17592879</v>
      </c>
      <c r="G15" s="72">
        <v>1794696907</v>
      </c>
      <c r="H15" s="72">
        <v>16587143</v>
      </c>
      <c r="I15" s="72">
        <v>1901035735</v>
      </c>
      <c r="J15" s="72">
        <v>20262740</v>
      </c>
    </row>
    <row r="16" spans="1:10">
      <c r="A16" s="44" t="s">
        <v>249</v>
      </c>
      <c r="B16" s="44" t="s">
        <v>250</v>
      </c>
      <c r="C16" s="44">
        <v>32</v>
      </c>
      <c r="D16" s="44">
        <v>1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</row>
    <row r="17" spans="1:10">
      <c r="A17" s="44" t="s">
        <v>252</v>
      </c>
      <c r="B17" s="44" t="s">
        <v>253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</row>
    <row r="18" spans="1:10">
      <c r="A18" s="44" t="s">
        <v>255</v>
      </c>
      <c r="B18" s="44" t="s">
        <v>256</v>
      </c>
      <c r="C18" s="44">
        <v>135</v>
      </c>
      <c r="D18" s="44">
        <v>1</v>
      </c>
      <c r="E18" s="72">
        <v>86501890</v>
      </c>
      <c r="F18" s="72">
        <v>1357624</v>
      </c>
      <c r="G18" s="72">
        <v>86501890</v>
      </c>
      <c r="H18" s="72">
        <v>955151</v>
      </c>
      <c r="I18" s="72">
        <v>86501890</v>
      </c>
      <c r="J18" s="72">
        <v>878370</v>
      </c>
    </row>
    <row r="19" spans="1:10">
      <c r="A19" s="44" t="s">
        <v>258</v>
      </c>
      <c r="B19" s="44" t="s">
        <v>259</v>
      </c>
      <c r="D19" s="44">
        <v>1</v>
      </c>
      <c r="E19" s="72">
        <v>645831577</v>
      </c>
      <c r="F19" s="72">
        <v>10136157</v>
      </c>
      <c r="G19" s="72">
        <v>778849291</v>
      </c>
      <c r="H19" s="72">
        <v>8600024</v>
      </c>
      <c r="I19" s="72">
        <v>993562012</v>
      </c>
      <c r="J19" s="72">
        <v>10088973</v>
      </c>
    </row>
    <row r="20" spans="1:10">
      <c r="A20" s="44" t="s">
        <v>261</v>
      </c>
      <c r="B20" s="44" t="s">
        <v>262</v>
      </c>
      <c r="C20" s="44">
        <v>144</v>
      </c>
      <c r="D20" s="44">
        <v>1</v>
      </c>
      <c r="E20" s="72">
        <v>594345376</v>
      </c>
      <c r="F20" s="72">
        <v>9328095</v>
      </c>
      <c r="G20" s="72">
        <v>677456736</v>
      </c>
      <c r="H20" s="72">
        <v>7480452</v>
      </c>
      <c r="I20" s="72">
        <v>777842454</v>
      </c>
      <c r="J20" s="72">
        <v>7898482</v>
      </c>
    </row>
    <row r="21" spans="1:10">
      <c r="A21" s="44" t="s">
        <v>264</v>
      </c>
      <c r="B21" s="44" t="s">
        <v>265</v>
      </c>
      <c r="C21" s="44">
        <v>45</v>
      </c>
      <c r="D21" s="44">
        <v>1</v>
      </c>
      <c r="E21" s="72">
        <v>1817338978</v>
      </c>
      <c r="F21" s="72">
        <v>28522659</v>
      </c>
      <c r="G21" s="72">
        <v>1990175853</v>
      </c>
      <c r="H21" s="72">
        <v>21975447</v>
      </c>
      <c r="I21" s="72">
        <v>2187027884</v>
      </c>
      <c r="J21" s="72">
        <v>22207838</v>
      </c>
    </row>
    <row r="22" spans="1:10">
      <c r="A22" s="44" t="s">
        <v>267</v>
      </c>
      <c r="B22" s="44" t="s">
        <v>268</v>
      </c>
      <c r="C22" s="44">
        <v>178</v>
      </c>
      <c r="D22" s="44">
        <v>1</v>
      </c>
      <c r="E22" s="72">
        <v>27573225</v>
      </c>
      <c r="F22" s="72">
        <v>432755</v>
      </c>
      <c r="G22" s="72">
        <v>31853458</v>
      </c>
      <c r="H22" s="72">
        <v>351725</v>
      </c>
      <c r="I22" s="72">
        <v>48978521</v>
      </c>
      <c r="J22" s="72">
        <v>497345</v>
      </c>
    </row>
    <row r="23" spans="1:10">
      <c r="A23" s="44" t="s">
        <v>270</v>
      </c>
      <c r="B23" s="44" t="s">
        <v>271</v>
      </c>
      <c r="C23" s="44">
        <v>27</v>
      </c>
      <c r="D23" s="44">
        <v>1</v>
      </c>
      <c r="E23" s="72">
        <v>242065841</v>
      </c>
      <c r="F23" s="72">
        <v>3799160</v>
      </c>
      <c r="G23" s="72">
        <v>255902779</v>
      </c>
      <c r="H23" s="72">
        <v>2825669</v>
      </c>
      <c r="I23" s="72">
        <v>265612968</v>
      </c>
      <c r="J23" s="72">
        <v>2697126</v>
      </c>
    </row>
    <row r="24" spans="1:10">
      <c r="A24" s="44" t="s">
        <v>273</v>
      </c>
      <c r="B24" s="44" t="s">
        <v>274</v>
      </c>
      <c r="C24" s="44">
        <v>77</v>
      </c>
      <c r="D24" s="44">
        <v>1</v>
      </c>
      <c r="E24" s="72">
        <v>500344006</v>
      </c>
      <c r="F24" s="72">
        <v>7852768</v>
      </c>
      <c r="G24" s="72">
        <v>506004378</v>
      </c>
      <c r="H24" s="72">
        <v>5587281</v>
      </c>
      <c r="I24" s="72">
        <v>589362197</v>
      </c>
      <c r="J24" s="72">
        <v>5984588</v>
      </c>
    </row>
    <row r="25" spans="1:10">
      <c r="A25" s="44" t="s">
        <v>276</v>
      </c>
      <c r="B25" s="44" t="s">
        <v>277</v>
      </c>
      <c r="C25" s="44">
        <v>126</v>
      </c>
      <c r="D25" s="44">
        <v>1</v>
      </c>
      <c r="E25" s="72">
        <v>99816693</v>
      </c>
      <c r="F25" s="72">
        <v>1566597</v>
      </c>
      <c r="G25" s="72">
        <v>99430056</v>
      </c>
      <c r="H25" s="72">
        <v>1097903</v>
      </c>
      <c r="I25" s="72">
        <v>102297747</v>
      </c>
      <c r="J25" s="72">
        <v>1038767</v>
      </c>
    </row>
    <row r="26" spans="1:10">
      <c r="A26" s="44" t="s">
        <v>279</v>
      </c>
      <c r="B26" s="44" t="s">
        <v>280</v>
      </c>
      <c r="C26" s="44">
        <v>30</v>
      </c>
      <c r="D26" s="44">
        <v>1</v>
      </c>
      <c r="E26" s="72">
        <v>248133690</v>
      </c>
      <c r="F26" s="72">
        <v>3894393</v>
      </c>
      <c r="G26" s="72">
        <v>250812648</v>
      </c>
      <c r="H26" s="72">
        <v>2769464</v>
      </c>
      <c r="I26" s="72">
        <v>252374205</v>
      </c>
      <c r="J26" s="72">
        <v>2562695</v>
      </c>
    </row>
    <row r="27" spans="1:10">
      <c r="A27" s="44" t="s">
        <v>282</v>
      </c>
      <c r="B27" s="44" t="s">
        <v>283</v>
      </c>
      <c r="C27" s="44">
        <v>175</v>
      </c>
      <c r="D27" s="44">
        <v>1</v>
      </c>
      <c r="E27" s="72">
        <v>11847613</v>
      </c>
      <c r="F27" s="72">
        <v>185945</v>
      </c>
      <c r="G27" s="72">
        <v>12662695</v>
      </c>
      <c r="H27" s="72">
        <v>139821</v>
      </c>
      <c r="I27" s="72">
        <v>12072693</v>
      </c>
      <c r="J27" s="72">
        <v>122590</v>
      </c>
    </row>
    <row r="28" spans="1:10">
      <c r="A28" s="44" t="s">
        <v>285</v>
      </c>
      <c r="B28" s="44" t="s">
        <v>286</v>
      </c>
      <c r="C28" s="44">
        <v>137</v>
      </c>
      <c r="E28" s="72">
        <v>9219559</v>
      </c>
      <c r="F28" s="72">
        <v>144699</v>
      </c>
      <c r="G28" s="72">
        <v>9198394</v>
      </c>
      <c r="H28" s="72">
        <v>101568</v>
      </c>
      <c r="I28" s="72">
        <v>9391725</v>
      </c>
      <c r="J28" s="72">
        <v>95367</v>
      </c>
    </row>
    <row r="29" spans="1:10">
      <c r="A29" s="44" t="s">
        <v>288</v>
      </c>
      <c r="B29" s="44" t="s">
        <v>289</v>
      </c>
      <c r="C29" s="44">
        <v>136</v>
      </c>
      <c r="E29" s="72">
        <v>10967749</v>
      </c>
      <c r="F29" s="72">
        <v>172136</v>
      </c>
      <c r="G29" s="72">
        <v>9902432</v>
      </c>
      <c r="H29" s="72">
        <v>109342</v>
      </c>
      <c r="I29" s="72">
        <v>10291796</v>
      </c>
      <c r="J29" s="72">
        <v>104506</v>
      </c>
    </row>
    <row r="30" spans="1:10">
      <c r="A30" s="44" t="s">
        <v>291</v>
      </c>
      <c r="B30" s="44" t="s">
        <v>292</v>
      </c>
      <c r="C30" s="44">
        <v>96</v>
      </c>
      <c r="E30" s="72">
        <v>18585192</v>
      </c>
      <c r="F30" s="72">
        <v>291690</v>
      </c>
      <c r="G30" s="72">
        <v>17661215</v>
      </c>
      <c r="H30" s="72">
        <v>195014</v>
      </c>
      <c r="I30" s="72">
        <v>19397798</v>
      </c>
      <c r="J30" s="72">
        <v>196972</v>
      </c>
    </row>
    <row r="31" spans="1:10">
      <c r="A31" s="44" t="s">
        <v>294</v>
      </c>
      <c r="B31" s="44" t="s">
        <v>295</v>
      </c>
      <c r="E31" s="72">
        <v>881762751</v>
      </c>
      <c r="F31" s="72">
        <v>13839035</v>
      </c>
      <c r="G31" s="72">
        <v>918431914</v>
      </c>
      <c r="H31" s="72">
        <v>10141291</v>
      </c>
      <c r="I31" s="72">
        <v>1010586841</v>
      </c>
      <c r="J31" s="72">
        <v>10261849</v>
      </c>
    </row>
    <row r="32" spans="1:10">
      <c r="A32" s="44" t="s">
        <v>297</v>
      </c>
      <c r="B32" s="44" t="s">
        <v>298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</row>
    <row r="33" spans="1:10">
      <c r="A33" s="44" t="s">
        <v>300</v>
      </c>
      <c r="B33" s="44" t="s">
        <v>301</v>
      </c>
      <c r="C33" s="44">
        <v>187</v>
      </c>
      <c r="D33" s="44">
        <v>1</v>
      </c>
      <c r="E33" s="72">
        <v>319993663</v>
      </c>
      <c r="F33" s="72">
        <v>1936351</v>
      </c>
      <c r="G33" s="72">
        <v>347936788</v>
      </c>
      <c r="H33" s="72">
        <v>2773724</v>
      </c>
      <c r="I33" s="72">
        <v>372200953</v>
      </c>
      <c r="J33" s="72">
        <v>2887281</v>
      </c>
    </row>
    <row r="34" spans="1:10">
      <c r="A34" s="44" t="s">
        <v>303</v>
      </c>
      <c r="B34" s="44" t="s">
        <v>304</v>
      </c>
      <c r="E34" s="44">
        <v>0</v>
      </c>
      <c r="F34" s="44">
        <v>0</v>
      </c>
      <c r="G34" s="44">
        <v>0</v>
      </c>
      <c r="H34" s="44">
        <v>0</v>
      </c>
      <c r="I34" s="44">
        <v>0</v>
      </c>
      <c r="J34" s="44">
        <v>0</v>
      </c>
    </row>
    <row r="35" spans="1:10">
      <c r="A35" s="44" t="s">
        <v>306</v>
      </c>
      <c r="B35" s="44" t="s">
        <v>307</v>
      </c>
      <c r="C35" s="44">
        <v>44</v>
      </c>
      <c r="D35" s="44">
        <v>1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</row>
    <row r="36" spans="1:10">
      <c r="A36" s="44" t="s">
        <v>309</v>
      </c>
      <c r="B36" s="44" t="s">
        <v>310</v>
      </c>
      <c r="C36" s="44">
        <v>22</v>
      </c>
      <c r="D36" s="44">
        <v>1</v>
      </c>
      <c r="E36" s="72">
        <v>12123990</v>
      </c>
      <c r="F36" s="72">
        <v>190283</v>
      </c>
      <c r="G36" s="72">
        <v>11948161</v>
      </c>
      <c r="H36" s="72">
        <v>131931</v>
      </c>
      <c r="I36" s="72">
        <v>11978149</v>
      </c>
      <c r="J36" s="72">
        <v>121630</v>
      </c>
    </row>
    <row r="37" spans="1:10">
      <c r="A37" s="44" t="s">
        <v>312</v>
      </c>
      <c r="B37" s="44" t="s">
        <v>313</v>
      </c>
      <c r="C37" s="44">
        <v>49</v>
      </c>
      <c r="D37" s="44">
        <v>1</v>
      </c>
      <c r="E37" s="72">
        <v>169467586</v>
      </c>
      <c r="F37" s="72">
        <v>2659749</v>
      </c>
      <c r="G37" s="72">
        <v>168417685</v>
      </c>
      <c r="H37" s="72">
        <v>1859662</v>
      </c>
      <c r="I37" s="72">
        <v>183865581</v>
      </c>
      <c r="J37" s="72">
        <v>1867035</v>
      </c>
    </row>
    <row r="38" spans="1:10">
      <c r="A38" s="44" t="s">
        <v>315</v>
      </c>
      <c r="B38" s="44" t="s">
        <v>316</v>
      </c>
      <c r="C38" s="44">
        <v>195</v>
      </c>
      <c r="D38" s="44">
        <v>1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</row>
    <row r="39" spans="1:10">
      <c r="A39" s="44" t="s">
        <v>318</v>
      </c>
      <c r="B39" s="44" t="s">
        <v>319</v>
      </c>
      <c r="C39" s="44">
        <v>181</v>
      </c>
      <c r="D39" s="44">
        <v>1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</row>
    <row r="40" spans="1:10">
      <c r="A40" s="44" t="s">
        <v>321</v>
      </c>
      <c r="B40" s="44" t="s">
        <v>322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</row>
    <row r="41" spans="1:10">
      <c r="A41" s="44" t="s">
        <v>324</v>
      </c>
      <c r="B41" s="44" t="s">
        <v>325</v>
      </c>
      <c r="C41" s="44">
        <v>131</v>
      </c>
      <c r="D41" s="44">
        <v>1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</row>
    <row r="42" spans="1:10">
      <c r="A42" s="44" t="s">
        <v>327</v>
      </c>
      <c r="B42" s="44" t="s">
        <v>328</v>
      </c>
      <c r="C42" s="44">
        <v>152</v>
      </c>
      <c r="D42" s="44">
        <v>1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</row>
    <row r="43" spans="1:10">
      <c r="A43" s="44" t="s">
        <v>330</v>
      </c>
      <c r="B43" s="44" t="s">
        <v>331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</row>
    <row r="44" spans="1:10">
      <c r="A44" s="44" t="s">
        <v>333</v>
      </c>
      <c r="B44" s="44" t="s">
        <v>334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</row>
    <row r="45" spans="1:10">
      <c r="A45" s="44" t="s">
        <v>336</v>
      </c>
      <c r="B45" s="44" t="s">
        <v>337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</row>
    <row r="46" spans="1:10">
      <c r="A46" s="44" t="s">
        <v>339</v>
      </c>
      <c r="B46" s="44" t="s">
        <v>340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</row>
    <row r="47" spans="1:10">
      <c r="A47" s="44" t="s">
        <v>342</v>
      </c>
      <c r="B47" s="44" t="s">
        <v>343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</row>
    <row r="48" spans="1:10">
      <c r="A48" s="44" t="s">
        <v>345</v>
      </c>
      <c r="B48" s="44" t="s">
        <v>346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</row>
    <row r="49" spans="1:10">
      <c r="A49" s="44" t="s">
        <v>348</v>
      </c>
      <c r="B49" s="44" t="s">
        <v>349</v>
      </c>
      <c r="C49" s="44">
        <v>6</v>
      </c>
      <c r="D49" s="44">
        <v>1</v>
      </c>
      <c r="E49" s="72">
        <v>294392672</v>
      </c>
      <c r="F49" s="72">
        <v>4620416</v>
      </c>
      <c r="G49" s="72">
        <v>312272505</v>
      </c>
      <c r="H49" s="72">
        <v>3448101</v>
      </c>
      <c r="I49" s="72">
        <v>327927983</v>
      </c>
      <c r="J49" s="72">
        <v>3329894</v>
      </c>
    </row>
    <row r="50" spans="1:10">
      <c r="A50" s="44" t="s">
        <v>351</v>
      </c>
      <c r="B50" s="44" t="s">
        <v>352</v>
      </c>
      <c r="C50" s="44">
        <v>73</v>
      </c>
      <c r="D50" s="44">
        <v>1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</row>
    <row r="51" spans="1:10">
      <c r="A51" s="44" t="s">
        <v>354</v>
      </c>
      <c r="B51" s="44" t="s">
        <v>355</v>
      </c>
      <c r="C51" s="44">
        <v>81</v>
      </c>
      <c r="D51" s="44">
        <v>1</v>
      </c>
      <c r="E51" s="72">
        <v>92559491</v>
      </c>
      <c r="F51" s="72">
        <v>1452697</v>
      </c>
      <c r="G51" s="72">
        <v>96265820</v>
      </c>
      <c r="H51" s="72">
        <v>1062964</v>
      </c>
      <c r="I51" s="72">
        <v>99664118</v>
      </c>
      <c r="J51" s="72">
        <v>1012024</v>
      </c>
    </row>
    <row r="52" spans="1:10">
      <c r="A52" s="44" t="s">
        <v>357</v>
      </c>
      <c r="B52" s="44" t="s">
        <v>358</v>
      </c>
      <c r="C52" s="44">
        <v>83</v>
      </c>
      <c r="D52" s="44">
        <v>1</v>
      </c>
      <c r="E52" s="72">
        <v>6438855</v>
      </c>
      <c r="F52" s="72">
        <v>63199</v>
      </c>
      <c r="G52" s="72">
        <v>9136005</v>
      </c>
      <c r="H52" s="72">
        <v>100879</v>
      </c>
      <c r="I52" s="72">
        <v>11120260</v>
      </c>
      <c r="J52" s="72">
        <v>112919</v>
      </c>
    </row>
    <row r="53" spans="1:10">
      <c r="A53" s="44" t="s">
        <v>360</v>
      </c>
      <c r="B53" s="44" t="s">
        <v>361</v>
      </c>
      <c r="C53" s="44">
        <v>127</v>
      </c>
      <c r="D53" s="44">
        <v>1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</row>
    <row r="54" spans="1:10">
      <c r="A54" s="44" t="s">
        <v>363</v>
      </c>
      <c r="B54" s="44" t="s">
        <v>364</v>
      </c>
      <c r="C54" s="44">
        <v>148</v>
      </c>
      <c r="D54" s="44">
        <v>1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</row>
    <row r="55" spans="1:10">
      <c r="A55" s="44" t="s">
        <v>366</v>
      </c>
      <c r="B55" s="44" t="s">
        <v>367</v>
      </c>
      <c r="C55" s="44">
        <v>164</v>
      </c>
      <c r="D55" s="44">
        <v>1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</row>
    <row r="56" spans="1:10">
      <c r="A56" s="44" t="s">
        <v>369</v>
      </c>
      <c r="B56" s="44" t="s">
        <v>370</v>
      </c>
      <c r="C56" s="44">
        <v>192</v>
      </c>
      <c r="D56" s="44">
        <v>1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</row>
    <row r="57" spans="1:10">
      <c r="A57" s="44" t="s">
        <v>372</v>
      </c>
      <c r="B57" s="44" t="s">
        <v>373</v>
      </c>
      <c r="C57" s="44">
        <v>119</v>
      </c>
      <c r="D57" s="44">
        <v>1</v>
      </c>
      <c r="E57" s="72">
        <v>275275302</v>
      </c>
      <c r="F57" s="72">
        <v>4320374</v>
      </c>
      <c r="G57" s="72">
        <v>334664256</v>
      </c>
      <c r="H57" s="72">
        <v>3695350</v>
      </c>
      <c r="I57" s="72">
        <v>395903501</v>
      </c>
      <c r="J57" s="72">
        <v>4020141</v>
      </c>
    </row>
    <row r="58" spans="1:10">
      <c r="A58" s="44" t="s">
        <v>375</v>
      </c>
      <c r="B58" s="44" t="s">
        <v>376</v>
      </c>
      <c r="C58" s="44">
        <v>88</v>
      </c>
      <c r="D58" s="44">
        <v>1</v>
      </c>
      <c r="E58" s="72">
        <v>110022710</v>
      </c>
      <c r="F58" s="72">
        <v>1726778</v>
      </c>
      <c r="G58" s="72">
        <v>122512548</v>
      </c>
      <c r="H58" s="72">
        <v>1352779</v>
      </c>
      <c r="I58" s="72">
        <v>127851341</v>
      </c>
      <c r="J58" s="72">
        <v>1298247</v>
      </c>
    </row>
    <row r="59" spans="1:10">
      <c r="A59" s="44" t="s">
        <v>378</v>
      </c>
      <c r="B59" s="44" t="s">
        <v>379</v>
      </c>
      <c r="C59" s="44">
        <v>82</v>
      </c>
      <c r="D59" s="44">
        <v>1</v>
      </c>
      <c r="E59" s="72">
        <v>558432069</v>
      </c>
      <c r="F59" s="72">
        <v>8764445</v>
      </c>
      <c r="G59" s="72">
        <v>590878491</v>
      </c>
      <c r="H59" s="72">
        <v>6524458</v>
      </c>
      <c r="I59" s="72">
        <v>645811657</v>
      </c>
      <c r="J59" s="72">
        <v>6557795</v>
      </c>
    </row>
    <row r="60" spans="1:10">
      <c r="A60" s="44" t="s">
        <v>381</v>
      </c>
      <c r="B60" s="44" t="s">
        <v>382</v>
      </c>
      <c r="C60" s="44">
        <v>42</v>
      </c>
      <c r="D60" s="44">
        <v>1</v>
      </c>
      <c r="E60" s="72">
        <v>135768754</v>
      </c>
      <c r="F60" s="72">
        <v>1438459</v>
      </c>
      <c r="G60" s="72">
        <v>157748225</v>
      </c>
      <c r="H60" s="72">
        <v>1741850</v>
      </c>
      <c r="I60" s="72">
        <v>198309669</v>
      </c>
      <c r="J60" s="72">
        <v>2013705</v>
      </c>
    </row>
    <row r="61" spans="1:10">
      <c r="A61" s="44" t="s">
        <v>384</v>
      </c>
      <c r="B61" s="44" t="s">
        <v>385</v>
      </c>
      <c r="E61" s="72">
        <v>965809900</v>
      </c>
      <c r="F61" s="72">
        <v>15158133</v>
      </c>
      <c r="G61" s="72">
        <v>1018632397</v>
      </c>
      <c r="H61" s="72">
        <v>11247700</v>
      </c>
      <c r="I61" s="72">
        <v>1038289817</v>
      </c>
      <c r="J61" s="72">
        <v>10543154</v>
      </c>
    </row>
    <row r="62" spans="1:10">
      <c r="A62" s="44" t="s">
        <v>387</v>
      </c>
      <c r="B62" s="44" t="s">
        <v>388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</row>
    <row r="63" spans="1:10">
      <c r="A63" s="44" t="s">
        <v>390</v>
      </c>
      <c r="B63" s="44" t="s">
        <v>391</v>
      </c>
      <c r="C63" s="44">
        <v>151</v>
      </c>
      <c r="D63" s="44">
        <v>1</v>
      </c>
      <c r="E63" s="72">
        <v>456643286</v>
      </c>
      <c r="F63" s="72">
        <v>7166897</v>
      </c>
      <c r="G63" s="44">
        <v>0</v>
      </c>
      <c r="H63" s="44">
        <v>0</v>
      </c>
      <c r="I63" s="72">
        <v>506407473</v>
      </c>
      <c r="J63" s="72">
        <v>5142237</v>
      </c>
    </row>
    <row r="64" spans="1:10">
      <c r="A64" s="44" t="s">
        <v>393</v>
      </c>
      <c r="B64" s="44" t="s">
        <v>394</v>
      </c>
      <c r="C64" s="44">
        <v>115</v>
      </c>
      <c r="D64" s="44">
        <v>1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</row>
    <row r="65" spans="1:10">
      <c r="A65" s="44" t="s">
        <v>396</v>
      </c>
      <c r="B65" s="44" t="s">
        <v>397</v>
      </c>
      <c r="C65" s="44">
        <v>70</v>
      </c>
      <c r="D65" s="44">
        <v>1</v>
      </c>
      <c r="E65" s="72">
        <v>129388640</v>
      </c>
      <c r="F65" s="72">
        <v>2030721</v>
      </c>
      <c r="G65" s="72">
        <v>133222814</v>
      </c>
      <c r="H65" s="72">
        <v>1471041</v>
      </c>
      <c r="I65" s="72">
        <v>145558436</v>
      </c>
      <c r="J65" s="72">
        <v>1478051</v>
      </c>
    </row>
    <row r="66" spans="1:10">
      <c r="A66" s="44" t="s">
        <v>399</v>
      </c>
      <c r="B66" s="44" t="s">
        <v>400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</row>
    <row r="67" spans="1:10">
      <c r="A67" s="44" t="s">
        <v>402</v>
      </c>
      <c r="B67" s="44" t="s">
        <v>403</v>
      </c>
      <c r="C67" s="44">
        <v>155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</row>
    <row r="68" spans="1:10">
      <c r="A68" s="44" t="s">
        <v>405</v>
      </c>
      <c r="B68" s="44" t="s">
        <v>406</v>
      </c>
      <c r="C68" s="44">
        <v>194</v>
      </c>
      <c r="D68" s="44">
        <v>1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</row>
    <row r="69" spans="1:10">
      <c r="A69" s="44" t="s">
        <v>408</v>
      </c>
      <c r="B69" s="44" t="s">
        <v>409</v>
      </c>
      <c r="C69" s="44">
        <v>281</v>
      </c>
      <c r="D69" s="44">
        <v>1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</row>
    <row r="70" spans="1:10">
      <c r="A70" s="44" t="s">
        <v>411</v>
      </c>
      <c r="B70" s="44" t="s">
        <v>412</v>
      </c>
      <c r="C70" s="44">
        <v>177</v>
      </c>
      <c r="D70" s="44">
        <v>1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</row>
    <row r="71" spans="1:10">
      <c r="A71" s="44" t="s">
        <v>414</v>
      </c>
      <c r="B71" s="44" t="s">
        <v>415</v>
      </c>
      <c r="C71" s="44">
        <v>443</v>
      </c>
      <c r="D71" s="44">
        <v>1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</row>
    <row r="72" spans="1:10">
      <c r="A72" s="44" t="s">
        <v>417</v>
      </c>
      <c r="B72" s="44" t="s">
        <v>418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</row>
    <row r="73" spans="1:10">
      <c r="A73" s="44" t="s">
        <v>420</v>
      </c>
      <c r="B73" s="44" t="s">
        <v>421</v>
      </c>
      <c r="D73" s="44">
        <v>1</v>
      </c>
      <c r="E73" s="72">
        <v>184200033</v>
      </c>
      <c r="F73" s="72">
        <v>2890971</v>
      </c>
      <c r="G73" s="72">
        <v>560600088</v>
      </c>
      <c r="H73" s="72">
        <v>6190125</v>
      </c>
      <c r="I73" s="72">
        <v>791457094</v>
      </c>
      <c r="J73" s="72">
        <v>8036729</v>
      </c>
    </row>
    <row r="74" spans="1:10">
      <c r="A74" s="44" t="s">
        <v>423</v>
      </c>
      <c r="B74" s="44" t="s">
        <v>424</v>
      </c>
      <c r="C74" s="44">
        <v>145</v>
      </c>
      <c r="D74" s="44">
        <v>1</v>
      </c>
      <c r="E74" s="72">
        <v>462817710</v>
      </c>
      <c r="F74" s="72">
        <v>7263803</v>
      </c>
      <c r="G74" s="72">
        <v>504815871</v>
      </c>
      <c r="H74" s="72">
        <v>5574158</v>
      </c>
      <c r="I74" s="72">
        <v>582325384</v>
      </c>
      <c r="J74" s="72">
        <v>5913134</v>
      </c>
    </row>
    <row r="75" spans="1:10">
      <c r="A75" s="44" t="s">
        <v>426</v>
      </c>
      <c r="B75" s="44" t="s">
        <v>427</v>
      </c>
      <c r="C75" s="44">
        <v>121</v>
      </c>
      <c r="D75" s="44">
        <v>1</v>
      </c>
      <c r="E75" s="72">
        <v>485622406</v>
      </c>
      <c r="F75" s="72">
        <v>7621716</v>
      </c>
      <c r="G75" s="72">
        <v>556098042</v>
      </c>
      <c r="H75" s="72">
        <v>6140414</v>
      </c>
      <c r="I75" s="72">
        <v>586334566</v>
      </c>
      <c r="J75" s="72">
        <v>5953844</v>
      </c>
    </row>
    <row r="76" spans="1:10">
      <c r="A76" s="44" t="s">
        <v>429</v>
      </c>
      <c r="B76" s="44" t="s">
        <v>430</v>
      </c>
      <c r="C76" s="44">
        <v>120</v>
      </c>
      <c r="D76" s="44">
        <v>1</v>
      </c>
      <c r="E76" s="72">
        <v>1097842089</v>
      </c>
      <c r="F76" s="72">
        <v>7910153</v>
      </c>
      <c r="G76" s="72">
        <v>1151348915</v>
      </c>
      <c r="H76" s="72">
        <v>12713151</v>
      </c>
      <c r="I76" s="72">
        <v>1297477152</v>
      </c>
      <c r="J76" s="72">
        <v>13175032</v>
      </c>
    </row>
    <row r="77" spans="1:10">
      <c r="A77" s="44" t="s">
        <v>432</v>
      </c>
      <c r="B77" s="44" t="s">
        <v>433</v>
      </c>
      <c r="C77" s="44">
        <v>166</v>
      </c>
      <c r="D77" s="44">
        <v>1</v>
      </c>
      <c r="E77" s="72">
        <v>1055282997</v>
      </c>
      <c r="F77" s="72">
        <v>16562390</v>
      </c>
      <c r="G77" s="72">
        <v>1162199055</v>
      </c>
      <c r="H77" s="72">
        <v>12832958</v>
      </c>
      <c r="I77" s="72">
        <v>1261244583</v>
      </c>
      <c r="J77" s="72">
        <v>12807114</v>
      </c>
    </row>
    <row r="78" spans="1:10">
      <c r="A78" s="44" t="s">
        <v>435</v>
      </c>
      <c r="B78" s="44" t="s">
        <v>436</v>
      </c>
      <c r="C78" s="44">
        <v>315</v>
      </c>
      <c r="D78" s="44">
        <v>1</v>
      </c>
      <c r="E78" s="72">
        <v>163918110</v>
      </c>
      <c r="F78" s="72">
        <v>2572652</v>
      </c>
      <c r="G78" s="72">
        <v>172087048</v>
      </c>
      <c r="H78" s="72">
        <v>1900179</v>
      </c>
      <c r="I78" s="72">
        <v>117413529</v>
      </c>
      <c r="J78" s="72">
        <v>1192258</v>
      </c>
    </row>
    <row r="79" spans="1:10">
      <c r="A79" s="44" t="s">
        <v>438</v>
      </c>
      <c r="B79" s="44" t="s">
        <v>439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</row>
    <row r="80" spans="1:10">
      <c r="A80" s="44" t="s">
        <v>441</v>
      </c>
      <c r="B80" s="44" t="s">
        <v>442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</row>
    <row r="81" spans="1:10">
      <c r="A81" s="44" t="s">
        <v>444</v>
      </c>
      <c r="B81" s="44" t="s">
        <v>445</v>
      </c>
      <c r="C81" s="44">
        <v>188</v>
      </c>
      <c r="E81" s="72">
        <v>168117622</v>
      </c>
      <c r="F81" s="72">
        <v>2638562</v>
      </c>
      <c r="G81" s="72">
        <v>153497615</v>
      </c>
      <c r="H81" s="72">
        <v>1694915</v>
      </c>
      <c r="I81" s="72">
        <v>174594161</v>
      </c>
      <c r="J81" s="72">
        <v>1772890</v>
      </c>
    </row>
    <row r="82" spans="1:10">
      <c r="A82" s="44" t="s">
        <v>447</v>
      </c>
      <c r="B82" s="44" t="s">
        <v>448</v>
      </c>
      <c r="C82" s="44">
        <v>101</v>
      </c>
      <c r="D82" s="44">
        <v>1</v>
      </c>
      <c r="E82" s="72">
        <v>18354880</v>
      </c>
      <c r="F82" s="72">
        <v>288075</v>
      </c>
      <c r="G82" s="44">
        <v>0</v>
      </c>
      <c r="H82" s="44">
        <v>0</v>
      </c>
      <c r="I82" s="44">
        <v>0</v>
      </c>
      <c r="J82" s="44">
        <v>0</v>
      </c>
    </row>
    <row r="83" spans="1:10">
      <c r="A83" s="44" t="s">
        <v>450</v>
      </c>
      <c r="B83" s="44" t="s">
        <v>451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</row>
    <row r="84" spans="1:10">
      <c r="A84" s="44" t="s">
        <v>453</v>
      </c>
      <c r="B84" s="44" t="s">
        <v>454</v>
      </c>
      <c r="C84" s="44">
        <v>142</v>
      </c>
      <c r="D84" s="44">
        <v>1</v>
      </c>
      <c r="E84" s="72">
        <v>29447917</v>
      </c>
      <c r="F84" s="72">
        <v>462177</v>
      </c>
      <c r="G84" s="72">
        <v>31278501</v>
      </c>
      <c r="H84" s="72">
        <v>345376</v>
      </c>
      <c r="I84" s="72">
        <v>40709995</v>
      </c>
      <c r="J84" s="72">
        <v>413383</v>
      </c>
    </row>
    <row r="85" spans="1:10">
      <c r="A85" s="44" t="s">
        <v>456</v>
      </c>
      <c r="B85" s="44" t="s">
        <v>457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</row>
    <row r="86" spans="1:10">
      <c r="A86" s="44" t="s">
        <v>459</v>
      </c>
      <c r="B86" s="44" t="s">
        <v>460</v>
      </c>
      <c r="C86" s="44">
        <v>163</v>
      </c>
      <c r="D86" s="44">
        <v>1</v>
      </c>
      <c r="E86" s="72">
        <v>149530504</v>
      </c>
      <c r="F86" s="72">
        <v>2346842</v>
      </c>
      <c r="G86" s="72">
        <v>157248505</v>
      </c>
      <c r="H86" s="72">
        <v>1736332</v>
      </c>
      <c r="I86" s="72">
        <v>170731421</v>
      </c>
      <c r="J86" s="72">
        <v>1733666</v>
      </c>
    </row>
    <row r="87" spans="1:10">
      <c r="A87" s="44" t="s">
        <v>462</v>
      </c>
      <c r="B87" s="44" t="s">
        <v>463</v>
      </c>
      <c r="C87" s="44">
        <v>39</v>
      </c>
      <c r="D87" s="44">
        <v>1</v>
      </c>
      <c r="E87" s="72">
        <v>1704132194</v>
      </c>
      <c r="F87" s="72">
        <v>26745908</v>
      </c>
      <c r="G87" s="72">
        <v>1831971939</v>
      </c>
      <c r="H87" s="72">
        <v>20228565</v>
      </c>
      <c r="I87" s="72">
        <v>3680574438</v>
      </c>
      <c r="J87" s="72">
        <v>37373827</v>
      </c>
    </row>
    <row r="88" spans="1:10">
      <c r="A88" s="44" t="s">
        <v>465</v>
      </c>
      <c r="B88" s="44" t="s">
        <v>466</v>
      </c>
      <c r="D88" s="44">
        <v>1</v>
      </c>
      <c r="E88" s="72">
        <v>760560726</v>
      </c>
      <c r="F88" s="72">
        <v>11936801</v>
      </c>
      <c r="G88" s="72">
        <v>915186460</v>
      </c>
      <c r="H88" s="72">
        <v>10105454</v>
      </c>
      <c r="I88" s="72">
        <v>1110062155</v>
      </c>
      <c r="J88" s="72">
        <v>11271955</v>
      </c>
    </row>
    <row r="89" spans="1:10">
      <c r="A89" s="44" t="s">
        <v>468</v>
      </c>
      <c r="B89" s="44" t="s">
        <v>469</v>
      </c>
      <c r="D89" s="44">
        <v>1</v>
      </c>
      <c r="E89" s="72">
        <v>245656453</v>
      </c>
      <c r="F89" s="72">
        <v>3855514</v>
      </c>
      <c r="G89" s="72">
        <v>262178970</v>
      </c>
      <c r="H89" s="72">
        <v>2894970</v>
      </c>
      <c r="I89" s="72">
        <v>270908228</v>
      </c>
      <c r="J89" s="72">
        <v>2750896</v>
      </c>
    </row>
    <row r="90" spans="1:10">
      <c r="A90" s="44" t="s">
        <v>471</v>
      </c>
      <c r="B90" s="44" t="s">
        <v>472</v>
      </c>
      <c r="C90" s="44">
        <v>56</v>
      </c>
      <c r="D90" s="44">
        <v>1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</row>
    <row r="91" spans="1:10">
      <c r="A91" s="44" t="s">
        <v>474</v>
      </c>
      <c r="B91" s="44" t="s">
        <v>475</v>
      </c>
      <c r="C91" s="44">
        <v>10</v>
      </c>
      <c r="D91" s="44">
        <v>1</v>
      </c>
      <c r="E91" s="72">
        <v>410256551</v>
      </c>
      <c r="F91" s="72">
        <v>6438869</v>
      </c>
      <c r="G91" s="72">
        <v>494695639</v>
      </c>
      <c r="H91" s="72">
        <v>5462411</v>
      </c>
      <c r="I91" s="72">
        <v>539003871</v>
      </c>
      <c r="J91" s="72">
        <v>5473232</v>
      </c>
    </row>
    <row r="92" spans="1:10">
      <c r="A92" s="44" t="s">
        <v>477</v>
      </c>
      <c r="B92" s="44" t="s">
        <v>478</v>
      </c>
      <c r="C92" s="44">
        <v>51</v>
      </c>
      <c r="D92" s="44">
        <v>1</v>
      </c>
      <c r="E92" s="72">
        <v>149784101</v>
      </c>
      <c r="F92" s="72">
        <v>2456770</v>
      </c>
      <c r="G92" s="72">
        <v>163279261</v>
      </c>
      <c r="H92" s="72">
        <v>2520546</v>
      </c>
      <c r="I92" s="72">
        <v>168360220</v>
      </c>
      <c r="J92" s="72">
        <v>1629272</v>
      </c>
    </row>
    <row r="93" spans="1:10">
      <c r="A93" s="44" t="s">
        <v>480</v>
      </c>
      <c r="B93" s="44" t="s">
        <v>481</v>
      </c>
      <c r="C93" s="44">
        <v>141</v>
      </c>
      <c r="D93" s="44">
        <v>1</v>
      </c>
      <c r="E93" s="72">
        <v>170769695</v>
      </c>
      <c r="F93" s="72">
        <v>3009807</v>
      </c>
      <c r="G93" s="72">
        <v>222528698</v>
      </c>
      <c r="H93" s="72">
        <v>6182522</v>
      </c>
      <c r="I93" s="72">
        <v>236229167</v>
      </c>
      <c r="J93" s="72">
        <v>286997</v>
      </c>
    </row>
    <row r="94" spans="1:10">
      <c r="A94" s="44" t="s">
        <v>483</v>
      </c>
      <c r="B94" s="44" t="s">
        <v>484</v>
      </c>
      <c r="C94" s="44">
        <v>210</v>
      </c>
      <c r="D94" s="44">
        <v>1</v>
      </c>
      <c r="E94" s="72">
        <v>237880001</v>
      </c>
      <c r="F94" s="72">
        <v>7874516</v>
      </c>
      <c r="G94" s="72">
        <v>254005275</v>
      </c>
      <c r="H94" s="72">
        <v>7873872</v>
      </c>
      <c r="I94" s="72">
        <v>296165672</v>
      </c>
      <c r="J94" s="72">
        <v>4684898</v>
      </c>
    </row>
    <row r="95" spans="1:10">
      <c r="A95" s="44" t="s">
        <v>486</v>
      </c>
      <c r="B95" s="44" t="s">
        <v>487</v>
      </c>
      <c r="E95" s="72">
        <v>14403710</v>
      </c>
      <c r="F95" s="72">
        <v>323588</v>
      </c>
      <c r="G95" s="72">
        <v>14702800</v>
      </c>
      <c r="H95" s="72">
        <v>324570</v>
      </c>
      <c r="I95" s="72">
        <v>16893941</v>
      </c>
      <c r="J95" s="72">
        <v>313696</v>
      </c>
    </row>
    <row r="96" spans="1:10">
      <c r="A96" s="44" t="s">
        <v>490</v>
      </c>
      <c r="B96" s="44" t="s">
        <v>491</v>
      </c>
      <c r="D96" s="44">
        <v>1</v>
      </c>
      <c r="E96" s="72">
        <v>58836502</v>
      </c>
      <c r="F96" s="72">
        <v>923423</v>
      </c>
      <c r="G96" s="72">
        <v>61176689</v>
      </c>
      <c r="H96" s="72">
        <v>675511</v>
      </c>
      <c r="I96" s="72">
        <v>64243464</v>
      </c>
      <c r="J96" s="72">
        <v>652350</v>
      </c>
    </row>
    <row r="97" spans="1:10">
      <c r="A97" s="44" t="s">
        <v>493</v>
      </c>
      <c r="B97" s="44" t="s">
        <v>494</v>
      </c>
      <c r="D97" s="44">
        <v>1</v>
      </c>
      <c r="E97" s="72">
        <v>186382213</v>
      </c>
      <c r="F97" s="72">
        <v>2925220</v>
      </c>
      <c r="G97" s="72">
        <v>244905164</v>
      </c>
      <c r="H97" s="72">
        <v>2704234</v>
      </c>
      <c r="I97" s="72">
        <v>263862890</v>
      </c>
      <c r="J97" s="72">
        <v>2679355</v>
      </c>
    </row>
    <row r="98" spans="1:10">
      <c r="A98" s="44" t="s">
        <v>496</v>
      </c>
      <c r="B98" s="44" t="s">
        <v>497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</row>
    <row r="99" spans="1:10">
      <c r="A99" s="44" t="s">
        <v>499</v>
      </c>
      <c r="B99" s="44" t="s">
        <v>500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</row>
    <row r="100" spans="1:10">
      <c r="A100" s="44" t="s">
        <v>502</v>
      </c>
      <c r="B100" s="44" t="s">
        <v>503</v>
      </c>
      <c r="C100" s="44">
        <v>288</v>
      </c>
      <c r="D100" s="44">
        <v>1</v>
      </c>
      <c r="E100" s="72">
        <v>65353499</v>
      </c>
      <c r="F100" s="72">
        <v>26862</v>
      </c>
      <c r="G100" s="72">
        <v>69167839</v>
      </c>
      <c r="H100" s="72">
        <v>26619</v>
      </c>
      <c r="I100" s="72">
        <v>70250235</v>
      </c>
      <c r="J100" s="72">
        <v>42860</v>
      </c>
    </row>
    <row r="101" spans="1:10">
      <c r="A101" s="44" t="s">
        <v>505</v>
      </c>
      <c r="B101" s="44" t="s">
        <v>506</v>
      </c>
      <c r="E101" s="72">
        <v>311833221</v>
      </c>
      <c r="F101" s="72">
        <v>4894141</v>
      </c>
      <c r="G101" s="72">
        <v>334924613</v>
      </c>
      <c r="H101" s="72">
        <v>3698225</v>
      </c>
      <c r="I101" s="72">
        <v>419793795</v>
      </c>
      <c r="J101" s="72">
        <v>4262732</v>
      </c>
    </row>
    <row r="102" spans="1:10">
      <c r="A102" s="44" t="s">
        <v>508</v>
      </c>
      <c r="B102" s="44" t="s">
        <v>509</v>
      </c>
      <c r="C102" s="44">
        <v>149</v>
      </c>
      <c r="D102" s="44">
        <v>1</v>
      </c>
      <c r="E102" s="72">
        <v>1060151956</v>
      </c>
      <c r="F102" s="72">
        <v>16225332</v>
      </c>
      <c r="G102" s="72">
        <v>1217802206</v>
      </c>
      <c r="H102" s="72">
        <v>15802667</v>
      </c>
      <c r="I102" s="72">
        <v>1312996317</v>
      </c>
      <c r="J102" s="72">
        <v>13304438</v>
      </c>
    </row>
    <row r="103" spans="1:10">
      <c r="A103" s="44" t="s">
        <v>511</v>
      </c>
      <c r="B103" s="44" t="s">
        <v>512</v>
      </c>
      <c r="C103" s="44">
        <v>147</v>
      </c>
      <c r="E103" s="72">
        <v>238689210</v>
      </c>
      <c r="F103" s="72">
        <v>3746165</v>
      </c>
      <c r="G103" s="72">
        <v>237338713</v>
      </c>
      <c r="H103" s="72">
        <v>2620685</v>
      </c>
      <c r="I103" s="72">
        <v>241716467</v>
      </c>
      <c r="J103" s="72">
        <v>2454473</v>
      </c>
    </row>
    <row r="104" spans="1:10">
      <c r="A104" s="44" t="s">
        <v>514</v>
      </c>
      <c r="B104" s="44" t="s">
        <v>515</v>
      </c>
      <c r="C104" s="44">
        <v>54</v>
      </c>
      <c r="E104" s="72">
        <v>1855249</v>
      </c>
      <c r="F104" s="72">
        <v>49501</v>
      </c>
      <c r="G104" s="72">
        <v>1855249</v>
      </c>
      <c r="H104" s="72">
        <v>49501</v>
      </c>
      <c r="I104" s="72">
        <v>1855249</v>
      </c>
      <c r="J104" s="72">
        <v>49501</v>
      </c>
    </row>
    <row r="105" spans="1:10">
      <c r="A105" s="44" t="s">
        <v>517</v>
      </c>
      <c r="B105" s="44" t="s">
        <v>518</v>
      </c>
      <c r="C105" s="44">
        <v>290</v>
      </c>
      <c r="D105" s="44">
        <v>1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</row>
    <row r="106" spans="1:10">
      <c r="A106" s="44" t="s">
        <v>520</v>
      </c>
      <c r="B106" s="44" t="s">
        <v>521</v>
      </c>
      <c r="C106" s="44">
        <v>138</v>
      </c>
      <c r="D106" s="44">
        <v>1</v>
      </c>
      <c r="E106" s="72">
        <v>2789292579</v>
      </c>
      <c r="F106" s="72">
        <v>43777216</v>
      </c>
      <c r="G106" s="72">
        <v>3010701107</v>
      </c>
      <c r="H106" s="72">
        <v>33244048</v>
      </c>
      <c r="I106" s="72">
        <v>3253980618</v>
      </c>
      <c r="J106" s="72">
        <v>33042046</v>
      </c>
    </row>
    <row r="107" spans="1:10">
      <c r="A107" s="44" t="s">
        <v>523</v>
      </c>
      <c r="B107" s="44" t="s">
        <v>524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</row>
    <row r="108" spans="1:10">
      <c r="A108" s="44" t="s">
        <v>526</v>
      </c>
      <c r="B108" s="44" t="s">
        <v>527</v>
      </c>
      <c r="E108" s="72">
        <v>350519044</v>
      </c>
      <c r="F108" s="72">
        <v>5501305</v>
      </c>
      <c r="G108" s="72">
        <v>409075535</v>
      </c>
      <c r="H108" s="72">
        <v>4516997</v>
      </c>
      <c r="I108" s="72">
        <v>430996330</v>
      </c>
      <c r="J108" s="72">
        <v>4376486</v>
      </c>
    </row>
    <row r="109" spans="1:10">
      <c r="A109" s="44" t="s">
        <v>529</v>
      </c>
      <c r="B109" s="44" t="s">
        <v>530</v>
      </c>
      <c r="C109" s="44">
        <v>309</v>
      </c>
      <c r="D109" s="44">
        <v>1</v>
      </c>
      <c r="E109" s="72">
        <v>1395056959</v>
      </c>
      <c r="F109" s="72">
        <v>21895053</v>
      </c>
      <c r="G109" s="72">
        <v>1522243855</v>
      </c>
      <c r="H109" s="72">
        <v>16808559</v>
      </c>
      <c r="I109" s="72">
        <v>1652952925</v>
      </c>
      <c r="J109" s="72">
        <v>16784656</v>
      </c>
    </row>
    <row r="110" spans="1:10">
      <c r="A110" s="44" t="s">
        <v>532</v>
      </c>
      <c r="B110" s="44" t="s">
        <v>533</v>
      </c>
      <c r="C110" s="44">
        <v>132</v>
      </c>
      <c r="D110" s="44">
        <v>1</v>
      </c>
      <c r="E110" s="72">
        <v>166224042</v>
      </c>
      <c r="F110" s="72">
        <v>2608843</v>
      </c>
      <c r="G110" s="72">
        <v>188633537</v>
      </c>
      <c r="H110" s="72">
        <v>2082884</v>
      </c>
      <c r="I110" s="72">
        <v>186668400</v>
      </c>
      <c r="J110" s="72">
        <v>1895496</v>
      </c>
    </row>
    <row r="111" spans="1:10">
      <c r="A111" s="44" t="s">
        <v>535</v>
      </c>
      <c r="B111" s="44" t="s">
        <v>536</v>
      </c>
      <c r="E111" s="72">
        <v>12125031</v>
      </c>
      <c r="F111" s="72">
        <v>190299</v>
      </c>
      <c r="G111" s="72">
        <v>12125031</v>
      </c>
      <c r="H111" s="72">
        <v>133884</v>
      </c>
      <c r="I111" s="72">
        <v>12125031</v>
      </c>
      <c r="J111" s="72">
        <v>123122</v>
      </c>
    </row>
    <row r="112" spans="1:10">
      <c r="A112" s="44" t="s">
        <v>538</v>
      </c>
      <c r="B112" s="44" t="s">
        <v>539</v>
      </c>
      <c r="E112" s="72">
        <v>722132623</v>
      </c>
      <c r="F112" s="72">
        <v>11333682</v>
      </c>
      <c r="G112" s="72">
        <v>895703723</v>
      </c>
      <c r="H112" s="72">
        <v>9890327</v>
      </c>
      <c r="I112" s="72">
        <v>1047240228</v>
      </c>
      <c r="J112" s="72">
        <v>10634040</v>
      </c>
    </row>
    <row r="113" spans="1:10">
      <c r="A113" s="44" t="s">
        <v>541</v>
      </c>
      <c r="B113" s="44" t="s">
        <v>542</v>
      </c>
      <c r="C113" s="44">
        <v>117</v>
      </c>
      <c r="E113" s="72">
        <v>113661407</v>
      </c>
      <c r="F113" s="72">
        <v>1783886</v>
      </c>
      <c r="G113" s="72">
        <v>133082321</v>
      </c>
      <c r="H113" s="72">
        <v>1469490</v>
      </c>
      <c r="I113" s="72">
        <v>166432474</v>
      </c>
      <c r="J113" s="72">
        <v>1690013</v>
      </c>
    </row>
    <row r="114" spans="1:10">
      <c r="A114" s="44" t="s">
        <v>544</v>
      </c>
      <c r="B114" s="44" t="s">
        <v>545</v>
      </c>
      <c r="C114" s="44">
        <v>59</v>
      </c>
      <c r="D114" s="44">
        <v>1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</row>
    <row r="115" spans="1:10">
      <c r="A115" s="44" t="s">
        <v>547</v>
      </c>
      <c r="B115" s="44" t="s">
        <v>548</v>
      </c>
      <c r="C115" s="44">
        <v>93</v>
      </c>
      <c r="E115" s="72">
        <v>86321734</v>
      </c>
      <c r="F115" s="72">
        <v>2373796</v>
      </c>
      <c r="G115" s="72">
        <v>57113304</v>
      </c>
      <c r="H115" s="72">
        <v>1118192</v>
      </c>
      <c r="I115" s="72">
        <v>64917967</v>
      </c>
      <c r="J115" s="72">
        <v>1118192</v>
      </c>
    </row>
    <row r="116" spans="1:10">
      <c r="A116" s="44" t="s">
        <v>550</v>
      </c>
      <c r="B116" s="44" t="s">
        <v>551</v>
      </c>
      <c r="C116" s="44">
        <v>107</v>
      </c>
      <c r="D116" s="44">
        <v>1</v>
      </c>
      <c r="E116" s="72">
        <v>160707737</v>
      </c>
      <c r="F116" s="72">
        <v>2889560</v>
      </c>
      <c r="G116" s="72">
        <v>163196495</v>
      </c>
      <c r="H116" s="72">
        <v>2571531</v>
      </c>
      <c r="I116" s="72">
        <v>246880889</v>
      </c>
      <c r="J116" s="72">
        <v>3433820</v>
      </c>
    </row>
    <row r="117" spans="1:10">
      <c r="A117" s="44" t="s">
        <v>553</v>
      </c>
      <c r="B117" s="44" t="s">
        <v>554</v>
      </c>
      <c r="C117" s="44">
        <v>74</v>
      </c>
      <c r="D117" s="44">
        <v>1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</row>
    <row r="118" spans="1:10">
      <c r="A118" s="44" t="s">
        <v>556</v>
      </c>
      <c r="B118" s="44" t="s">
        <v>557</v>
      </c>
      <c r="C118" s="44">
        <v>193</v>
      </c>
      <c r="D118" s="44">
        <v>1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</row>
    <row r="119" spans="1:10">
      <c r="A119" s="44" t="s">
        <v>559</v>
      </c>
      <c r="B119" s="44" t="s">
        <v>560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</row>
    <row r="120" spans="1:10">
      <c r="A120" s="44" t="s">
        <v>562</v>
      </c>
      <c r="B120" s="44" t="s">
        <v>563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</row>
    <row r="121" spans="1:10">
      <c r="A121" s="44" t="s">
        <v>565</v>
      </c>
      <c r="B121" s="44" t="s">
        <v>566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</row>
    <row r="122" spans="1:10">
      <c r="A122" s="44" t="s">
        <v>568</v>
      </c>
      <c r="B122" s="44" t="s">
        <v>569</v>
      </c>
      <c r="C122" s="44">
        <v>46</v>
      </c>
      <c r="E122" s="72">
        <v>63952775</v>
      </c>
      <c r="F122" s="72">
        <v>1003722</v>
      </c>
      <c r="G122" s="72">
        <v>63952775</v>
      </c>
      <c r="H122" s="72">
        <v>706164</v>
      </c>
      <c r="I122" s="72">
        <v>143512805</v>
      </c>
      <c r="J122" s="72">
        <v>1457279</v>
      </c>
    </row>
    <row r="123" spans="1:10">
      <c r="A123" s="44" t="s">
        <v>571</v>
      </c>
      <c r="B123" s="44" t="s">
        <v>572</v>
      </c>
      <c r="E123" s="72">
        <v>929234</v>
      </c>
      <c r="F123" s="72">
        <v>14584</v>
      </c>
      <c r="G123" s="72">
        <v>5395802</v>
      </c>
      <c r="H123" s="72">
        <v>59580</v>
      </c>
      <c r="I123" s="72">
        <v>5051791</v>
      </c>
      <c r="J123" s="72">
        <v>51298</v>
      </c>
    </row>
    <row r="124" spans="1:10">
      <c r="A124" s="44" t="s">
        <v>574</v>
      </c>
      <c r="B124" s="44" t="s">
        <v>575</v>
      </c>
      <c r="C124" s="44">
        <v>7</v>
      </c>
      <c r="D124" s="44">
        <v>1</v>
      </c>
      <c r="E124" s="72">
        <v>787457654</v>
      </c>
      <c r="F124" s="72">
        <v>12358941</v>
      </c>
      <c r="G124" s="72">
        <v>842706410</v>
      </c>
      <c r="H124" s="72">
        <v>9305132</v>
      </c>
      <c r="I124" s="72">
        <v>899748486</v>
      </c>
      <c r="J124" s="72">
        <v>9136358</v>
      </c>
    </row>
    <row r="125" spans="1:10">
      <c r="A125" s="44" t="s">
        <v>577</v>
      </c>
      <c r="B125" s="44" t="s">
        <v>578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</row>
    <row r="126" spans="1:10">
      <c r="A126" s="44" t="s">
        <v>580</v>
      </c>
      <c r="B126" s="44" t="s">
        <v>581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</row>
    <row r="127" spans="1:10">
      <c r="A127" s="44" t="s">
        <v>583</v>
      </c>
      <c r="B127" s="44" t="s">
        <v>584</v>
      </c>
      <c r="C127" s="44">
        <v>403</v>
      </c>
      <c r="D127" s="44">
        <v>1</v>
      </c>
      <c r="E127" s="72">
        <v>22667267</v>
      </c>
      <c r="F127" s="72">
        <v>355757</v>
      </c>
      <c r="G127" s="72">
        <v>22882563</v>
      </c>
      <c r="H127" s="72">
        <v>252668</v>
      </c>
      <c r="I127" s="72">
        <v>45399879</v>
      </c>
      <c r="J127" s="72">
        <v>461006</v>
      </c>
    </row>
    <row r="128" spans="1:10">
      <c r="A128" s="44" t="s">
        <v>586</v>
      </c>
      <c r="B128" s="44" t="s">
        <v>587</v>
      </c>
      <c r="C128" s="44">
        <v>143</v>
      </c>
      <c r="D128" s="44">
        <v>1</v>
      </c>
      <c r="E128" s="72">
        <v>14049890</v>
      </c>
      <c r="F128" s="72">
        <v>220509</v>
      </c>
      <c r="G128" s="72">
        <v>15617261</v>
      </c>
      <c r="H128" s="72">
        <v>172445</v>
      </c>
      <c r="I128" s="72">
        <v>15603978</v>
      </c>
      <c r="J128" s="72">
        <v>158448</v>
      </c>
    </row>
    <row r="129" spans="1:10">
      <c r="A129" s="44" t="s">
        <v>589</v>
      </c>
      <c r="B129" s="44" t="s">
        <v>590</v>
      </c>
      <c r="C129" s="44">
        <v>43</v>
      </c>
      <c r="D129" s="44">
        <v>1</v>
      </c>
      <c r="E129" s="72">
        <v>273883112</v>
      </c>
      <c r="F129" s="72">
        <v>4298524</v>
      </c>
      <c r="G129" s="72">
        <v>277890543</v>
      </c>
      <c r="H129" s="72">
        <v>3068457</v>
      </c>
      <c r="I129" s="72">
        <v>363866830</v>
      </c>
      <c r="J129" s="72">
        <v>3694830</v>
      </c>
    </row>
    <row r="130" spans="1:10">
      <c r="A130" s="44" t="s">
        <v>592</v>
      </c>
      <c r="B130" s="44" t="s">
        <v>593</v>
      </c>
      <c r="C130" s="44">
        <v>9</v>
      </c>
      <c r="D130" s="44">
        <v>1</v>
      </c>
      <c r="E130" s="72">
        <v>548511553</v>
      </c>
      <c r="F130" s="72">
        <v>9678189</v>
      </c>
      <c r="G130" s="72">
        <v>636349852</v>
      </c>
      <c r="H130" s="72">
        <v>9297957</v>
      </c>
      <c r="I130" s="72">
        <v>703562103</v>
      </c>
      <c r="J130" s="72">
        <v>8951764</v>
      </c>
    </row>
    <row r="131" spans="1:10">
      <c r="A131" s="44" t="s">
        <v>595</v>
      </c>
      <c r="B131" s="44" t="s">
        <v>596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</row>
    <row r="132" spans="1:10">
      <c r="A132" s="44" t="s">
        <v>598</v>
      </c>
      <c r="B132" s="44" t="s">
        <v>599</v>
      </c>
      <c r="C132" s="44">
        <v>2</v>
      </c>
      <c r="D132" s="44">
        <v>1</v>
      </c>
      <c r="E132" s="72">
        <v>2571821578</v>
      </c>
      <c r="F132" s="72">
        <v>47875222</v>
      </c>
      <c r="G132" s="72">
        <v>2691972276</v>
      </c>
      <c r="H132" s="72">
        <v>16386731</v>
      </c>
      <c r="I132" s="72">
        <v>2935931728</v>
      </c>
      <c r="J132" s="72">
        <v>28147242</v>
      </c>
    </row>
    <row r="133" spans="1:10">
      <c r="A133" s="44" t="s">
        <v>601</v>
      </c>
      <c r="B133" s="44" t="s">
        <v>602</v>
      </c>
      <c r="C133" s="44">
        <v>57</v>
      </c>
      <c r="D133" s="44">
        <v>1</v>
      </c>
      <c r="E133" s="72">
        <v>2443022652</v>
      </c>
      <c r="F133" s="72">
        <v>38342600</v>
      </c>
      <c r="G133" s="72">
        <v>2529867151</v>
      </c>
      <c r="H133" s="72">
        <v>27934698</v>
      </c>
      <c r="I133" s="72">
        <v>2873334936</v>
      </c>
      <c r="J133" s="72">
        <v>29176838</v>
      </c>
    </row>
    <row r="134" spans="1:10">
      <c r="A134" s="44" t="s">
        <v>604</v>
      </c>
      <c r="B134" s="44" t="s">
        <v>605</v>
      </c>
      <c r="C134" s="44">
        <v>62</v>
      </c>
      <c r="E134" s="72">
        <v>501476807</v>
      </c>
      <c r="F134" s="72">
        <v>24046383</v>
      </c>
      <c r="G134" s="44">
        <v>0</v>
      </c>
      <c r="H134" s="44">
        <v>0</v>
      </c>
      <c r="I134" s="44">
        <v>0</v>
      </c>
      <c r="J134" s="44">
        <v>0</v>
      </c>
    </row>
    <row r="135" spans="1:10">
      <c r="A135" s="44" t="s">
        <v>607</v>
      </c>
      <c r="B135" s="44" t="s">
        <v>608</v>
      </c>
      <c r="D135" s="44">
        <v>1</v>
      </c>
      <c r="E135" s="72">
        <v>334145123</v>
      </c>
      <c r="F135" s="72">
        <v>2943031</v>
      </c>
      <c r="G135" s="72">
        <v>346203756</v>
      </c>
      <c r="H135" s="72">
        <v>3576903</v>
      </c>
      <c r="I135" s="72">
        <v>370702273</v>
      </c>
      <c r="J135" s="72">
        <v>4140166</v>
      </c>
    </row>
    <row r="136" spans="1:10">
      <c r="A136" s="44" t="s">
        <v>610</v>
      </c>
      <c r="B136" s="44" t="s">
        <v>611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</row>
    <row r="137" spans="1:10">
      <c r="A137" s="44" t="s">
        <v>613</v>
      </c>
      <c r="B137" s="44" t="s">
        <v>614</v>
      </c>
      <c r="C137" s="44">
        <v>179</v>
      </c>
      <c r="D137" s="44">
        <v>1</v>
      </c>
      <c r="E137" s="72">
        <v>152877726</v>
      </c>
      <c r="F137" s="72">
        <v>2399376</v>
      </c>
      <c r="G137" s="72">
        <v>240585077</v>
      </c>
      <c r="H137" s="72">
        <v>2656531</v>
      </c>
      <c r="I137" s="72">
        <v>257228359</v>
      </c>
      <c r="J137" s="72">
        <v>2611986</v>
      </c>
    </row>
    <row r="138" spans="1:10">
      <c r="A138" s="44" t="s">
        <v>616</v>
      </c>
      <c r="B138" s="44" t="s">
        <v>617</v>
      </c>
      <c r="C138" s="44">
        <v>157</v>
      </c>
      <c r="D138" s="44">
        <v>1</v>
      </c>
      <c r="E138" s="72">
        <v>43380312</v>
      </c>
      <c r="F138" s="72">
        <v>606303</v>
      </c>
      <c r="G138" s="72">
        <v>26662430</v>
      </c>
      <c r="H138" s="72">
        <v>681115</v>
      </c>
      <c r="I138" s="72">
        <v>41925699</v>
      </c>
      <c r="J138" s="72">
        <v>613485</v>
      </c>
    </row>
    <row r="139" spans="1:10">
      <c r="A139" s="44" t="s">
        <v>619</v>
      </c>
      <c r="B139" s="44" t="s">
        <v>620</v>
      </c>
      <c r="C139" s="44">
        <v>108</v>
      </c>
      <c r="D139" s="44">
        <v>1</v>
      </c>
      <c r="E139" s="72">
        <v>69906608</v>
      </c>
      <c r="F139" s="72">
        <v>2952900</v>
      </c>
      <c r="G139" s="72">
        <v>70213676</v>
      </c>
      <c r="H139" s="72">
        <v>2935365</v>
      </c>
      <c r="I139" s="72">
        <v>72285667</v>
      </c>
      <c r="J139" s="72">
        <v>2668580</v>
      </c>
    </row>
    <row r="140" spans="1:10">
      <c r="A140" s="44" t="s">
        <v>622</v>
      </c>
      <c r="B140" s="44" t="s">
        <v>623</v>
      </c>
      <c r="C140" s="44">
        <v>134</v>
      </c>
      <c r="D140" s="44">
        <v>1</v>
      </c>
      <c r="E140" s="72">
        <v>1049810791</v>
      </c>
      <c r="F140" s="72">
        <v>10509175</v>
      </c>
      <c r="G140" s="72">
        <v>1084564682</v>
      </c>
      <c r="H140" s="72">
        <v>7025318</v>
      </c>
      <c r="I140" s="72">
        <v>1128164300</v>
      </c>
      <c r="J140" s="72">
        <v>19472159</v>
      </c>
    </row>
    <row r="141" spans="1:10">
      <c r="A141" s="44" t="s">
        <v>625</v>
      </c>
      <c r="B141" s="44" t="s">
        <v>626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</row>
    <row r="142" spans="1:10">
      <c r="A142" s="44" t="s">
        <v>628</v>
      </c>
      <c r="B142" s="44" t="s">
        <v>629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</row>
    <row r="143" spans="1:10">
      <c r="A143" s="44" t="s">
        <v>631</v>
      </c>
      <c r="B143" s="44" t="s">
        <v>632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</row>
    <row r="144" spans="1:10">
      <c r="A144" s="44" t="s">
        <v>634</v>
      </c>
      <c r="B144" s="44" t="s">
        <v>635</v>
      </c>
      <c r="C144" s="44">
        <v>98</v>
      </c>
      <c r="D144" s="44">
        <v>1</v>
      </c>
      <c r="E144" s="72">
        <v>181711836</v>
      </c>
      <c r="F144" s="72">
        <v>2851920</v>
      </c>
      <c r="G144" s="72">
        <v>199274591</v>
      </c>
      <c r="H144" s="72">
        <v>2200383</v>
      </c>
      <c r="I144" s="72">
        <v>200175697</v>
      </c>
      <c r="J144" s="72">
        <v>2032653</v>
      </c>
    </row>
    <row r="145" spans="1:10">
      <c r="A145" s="44" t="s">
        <v>637</v>
      </c>
      <c r="B145" s="44" t="s">
        <v>638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</row>
    <row r="146" spans="1:10">
      <c r="A146" s="44" t="s">
        <v>640</v>
      </c>
      <c r="B146" s="44" t="s">
        <v>641</v>
      </c>
      <c r="C146" s="44">
        <v>432</v>
      </c>
      <c r="D146" s="44">
        <v>1</v>
      </c>
      <c r="E146" s="72">
        <v>112735227</v>
      </c>
      <c r="F146" s="72">
        <v>1769350</v>
      </c>
      <c r="G146" s="72">
        <v>115682954</v>
      </c>
      <c r="H146" s="72">
        <v>1277367</v>
      </c>
      <c r="I146" s="72">
        <v>115626437</v>
      </c>
      <c r="J146" s="72">
        <v>1174111</v>
      </c>
    </row>
    <row r="147" spans="1:10">
      <c r="A147" s="44" t="s">
        <v>643</v>
      </c>
      <c r="B147" s="44" t="s">
        <v>644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</row>
    <row r="148" spans="1:10">
      <c r="A148" s="44" t="s">
        <v>646</v>
      </c>
      <c r="B148" s="44" t="s">
        <v>647</v>
      </c>
      <c r="E148" s="72">
        <v>5096007</v>
      </c>
      <c r="F148" s="72">
        <v>861380</v>
      </c>
      <c r="G148" s="72">
        <v>5096007</v>
      </c>
      <c r="H148" s="72">
        <v>861380</v>
      </c>
      <c r="I148" s="72">
        <v>5066044</v>
      </c>
      <c r="J148" s="72">
        <v>1004999</v>
      </c>
    </row>
    <row r="149" spans="1:10">
      <c r="A149" s="44" t="s">
        <v>649</v>
      </c>
      <c r="B149" s="44" t="s">
        <v>650</v>
      </c>
      <c r="C149" s="44">
        <v>61</v>
      </c>
      <c r="D149" s="44">
        <v>1</v>
      </c>
      <c r="E149" s="72">
        <v>109787764</v>
      </c>
      <c r="F149" s="72">
        <v>1723090</v>
      </c>
      <c r="G149" s="72">
        <v>114500877</v>
      </c>
      <c r="H149" s="72">
        <v>1264314</v>
      </c>
      <c r="I149" s="72">
        <v>120333588</v>
      </c>
      <c r="J149" s="72">
        <v>1221909</v>
      </c>
    </row>
    <row r="150" spans="1:10">
      <c r="A150" s="44" t="s">
        <v>652</v>
      </c>
      <c r="B150" s="44" t="s">
        <v>653</v>
      </c>
      <c r="C150" s="44">
        <v>130</v>
      </c>
      <c r="D150" s="44">
        <v>1</v>
      </c>
      <c r="E150" s="72">
        <v>180777826</v>
      </c>
      <c r="F150" s="72">
        <v>10336525</v>
      </c>
      <c r="G150" s="72">
        <v>189786805</v>
      </c>
      <c r="H150" s="72">
        <v>8697377</v>
      </c>
      <c r="I150" s="72">
        <v>201507095</v>
      </c>
      <c r="J150" s="72">
        <v>5808494</v>
      </c>
    </row>
    <row r="151" spans="1:10">
      <c r="A151" s="44" t="s">
        <v>655</v>
      </c>
      <c r="B151" s="44" t="s">
        <v>656</v>
      </c>
      <c r="D151" s="44">
        <v>1</v>
      </c>
      <c r="E151" s="72">
        <v>503799170</v>
      </c>
      <c r="F151" s="72">
        <v>4572709</v>
      </c>
      <c r="G151" s="72">
        <v>534236578</v>
      </c>
      <c r="H151" s="72">
        <v>3236931</v>
      </c>
      <c r="I151" s="72">
        <v>252558052</v>
      </c>
      <c r="J151" s="72">
        <v>1057400</v>
      </c>
    </row>
    <row r="152" spans="1:10">
      <c r="A152" s="44" t="s">
        <v>658</v>
      </c>
      <c r="B152" s="44" t="s">
        <v>659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</row>
    <row r="153" spans="1:10">
      <c r="A153" s="44" t="s">
        <v>661</v>
      </c>
      <c r="B153" s="44" t="s">
        <v>662</v>
      </c>
      <c r="C153" s="44">
        <v>95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</row>
    <row r="154" spans="1:10">
      <c r="A154" s="44" t="s">
        <v>664</v>
      </c>
      <c r="B154" s="44" t="s">
        <v>665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</row>
    <row r="155" spans="1:10">
      <c r="A155" s="44" t="s">
        <v>667</v>
      </c>
      <c r="B155" s="44" t="s">
        <v>668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</row>
    <row r="156" spans="1:10">
      <c r="A156" s="44" t="s">
        <v>670</v>
      </c>
      <c r="B156" s="44" t="s">
        <v>671</v>
      </c>
      <c r="C156" s="44">
        <v>428</v>
      </c>
      <c r="D156" s="44">
        <v>1</v>
      </c>
      <c r="E156" s="72">
        <v>25482098</v>
      </c>
      <c r="F156" s="72">
        <v>528791</v>
      </c>
      <c r="G156" s="72">
        <v>27516347</v>
      </c>
      <c r="H156" s="72">
        <v>923024</v>
      </c>
      <c r="I156" s="72">
        <v>30739316</v>
      </c>
      <c r="J156" s="72">
        <v>1052699</v>
      </c>
    </row>
    <row r="157" spans="1:10">
      <c r="A157" s="44" t="s">
        <v>673</v>
      </c>
      <c r="B157" s="44" t="s">
        <v>674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</row>
    <row r="158" spans="1:10">
      <c r="A158" s="44" t="s">
        <v>676</v>
      </c>
      <c r="B158" s="44" t="s">
        <v>677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</row>
    <row r="159" spans="1:10">
      <c r="A159" s="44" t="s">
        <v>679</v>
      </c>
      <c r="B159" s="44" t="s">
        <v>680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</row>
    <row r="160" spans="1:10">
      <c r="A160" s="44" t="s">
        <v>682</v>
      </c>
      <c r="B160" s="44" t="s">
        <v>683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</row>
    <row r="161" spans="1:10">
      <c r="A161" s="44" t="s">
        <v>685</v>
      </c>
      <c r="B161" s="44" t="s">
        <v>686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</row>
    <row r="162" spans="1:10">
      <c r="A162" s="44" t="s">
        <v>688</v>
      </c>
      <c r="B162" s="44" t="s">
        <v>689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</row>
    <row r="163" spans="1:10">
      <c r="A163" s="44" t="s">
        <v>691</v>
      </c>
      <c r="B163" s="44" t="s">
        <v>692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</row>
    <row r="164" spans="1:10">
      <c r="A164" s="44" t="s">
        <v>694</v>
      </c>
      <c r="B164" s="44" t="s">
        <v>695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</row>
    <row r="165" spans="1:10">
      <c r="A165" s="44" t="s">
        <v>697</v>
      </c>
      <c r="B165" s="44" t="s">
        <v>698</v>
      </c>
      <c r="D165" s="44">
        <v>1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</row>
    <row r="166" spans="1:10">
      <c r="A166" s="44" t="s">
        <v>700</v>
      </c>
      <c r="B166" s="44" t="s">
        <v>701</v>
      </c>
      <c r="E166" s="72">
        <v>1302886140</v>
      </c>
      <c r="F166" s="72">
        <v>20448456</v>
      </c>
      <c r="G166" s="72">
        <v>1362330425</v>
      </c>
      <c r="H166" s="72">
        <v>15042801</v>
      </c>
      <c r="I166" s="72">
        <v>1457862019</v>
      </c>
      <c r="J166" s="72">
        <v>14803636</v>
      </c>
    </row>
    <row r="167" spans="1:10">
      <c r="A167" s="44" t="s">
        <v>703</v>
      </c>
      <c r="B167" s="44" t="s">
        <v>704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</row>
    <row r="168" spans="1:10">
      <c r="A168" s="44" t="s">
        <v>706</v>
      </c>
      <c r="B168" s="44" t="s">
        <v>707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</row>
    <row r="169" spans="1:10">
      <c r="A169" s="44" t="s">
        <v>709</v>
      </c>
      <c r="B169" s="44" t="s">
        <v>710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</row>
    <row r="170" spans="1:10">
      <c r="A170" s="44" t="s">
        <v>712</v>
      </c>
      <c r="B170" s="44" t="s">
        <v>713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</row>
    <row r="171" spans="1:10">
      <c r="A171" s="44" t="s">
        <v>715</v>
      </c>
      <c r="B171" s="44" t="s">
        <v>716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</row>
    <row r="172" spans="1:10">
      <c r="A172" s="44" t="s">
        <v>718</v>
      </c>
      <c r="B172" s="44" t="s">
        <v>719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</row>
    <row r="173" spans="1:10">
      <c r="A173" s="44" t="s">
        <v>721</v>
      </c>
      <c r="B173" s="44" t="s">
        <v>722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</row>
    <row r="174" spans="1:10">
      <c r="A174" s="44" t="s">
        <v>724</v>
      </c>
      <c r="B174" s="44" t="s">
        <v>725</v>
      </c>
      <c r="C174" s="44">
        <v>159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</row>
    <row r="175" spans="1:10">
      <c r="A175" s="44" t="s">
        <v>727</v>
      </c>
      <c r="B175" s="44" t="s">
        <v>728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</row>
    <row r="176" spans="1:10">
      <c r="A176" s="44" t="s">
        <v>730</v>
      </c>
      <c r="B176" s="44" t="s">
        <v>731</v>
      </c>
      <c r="E176" s="72">
        <v>366014301</v>
      </c>
      <c r="F176" s="72">
        <v>5744499</v>
      </c>
      <c r="G176" s="72">
        <v>366014301</v>
      </c>
      <c r="H176" s="72">
        <v>4041516</v>
      </c>
      <c r="I176" s="72">
        <v>374625036</v>
      </c>
      <c r="J176" s="72">
        <v>3870143</v>
      </c>
    </row>
    <row r="177" spans="1:10">
      <c r="A177" s="44" t="s">
        <v>733</v>
      </c>
      <c r="B177" s="44" t="s">
        <v>734</v>
      </c>
      <c r="E177" s="72">
        <v>34454576</v>
      </c>
      <c r="F177" s="72">
        <v>540756</v>
      </c>
      <c r="G177" s="72">
        <v>33523713</v>
      </c>
      <c r="H177" s="72">
        <v>370168</v>
      </c>
      <c r="I177" s="72">
        <v>32913247</v>
      </c>
      <c r="J177" s="72">
        <v>334213</v>
      </c>
    </row>
    <row r="178" spans="1:10">
      <c r="A178" s="44" t="s">
        <v>736</v>
      </c>
      <c r="B178" s="44" t="s">
        <v>737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</row>
    <row r="179" spans="1:10">
      <c r="A179" s="44" t="s">
        <v>739</v>
      </c>
      <c r="B179" s="44" t="s">
        <v>740</v>
      </c>
      <c r="D179" s="44">
        <v>1</v>
      </c>
      <c r="E179" s="72">
        <v>435546026</v>
      </c>
      <c r="F179" s="72">
        <v>6835781</v>
      </c>
      <c r="G179" s="72">
        <v>457966546</v>
      </c>
      <c r="H179" s="72">
        <v>5056849</v>
      </c>
      <c r="I179" s="44">
        <v>0</v>
      </c>
      <c r="J179" s="44">
        <v>0</v>
      </c>
    </row>
    <row r="180" spans="1:10">
      <c r="A180" s="44" t="s">
        <v>1048</v>
      </c>
      <c r="B180" s="44" t="s">
        <v>1049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</row>
    <row r="181" spans="1:10">
      <c r="A181" s="44" t="s">
        <v>742</v>
      </c>
      <c r="B181" s="44" t="s">
        <v>743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</row>
    <row r="182" spans="1:10">
      <c r="A182" s="44" t="s">
        <v>745</v>
      </c>
      <c r="B182" s="44" t="s">
        <v>746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</row>
    <row r="183" spans="1:10">
      <c r="A183" s="44" t="s">
        <v>748</v>
      </c>
      <c r="B183" s="44" t="s">
        <v>749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</row>
    <row r="184" spans="1:10">
      <c r="A184" s="44" t="s">
        <v>751</v>
      </c>
      <c r="B184" s="44" t="s">
        <v>752</v>
      </c>
      <c r="C184" s="44">
        <v>454</v>
      </c>
      <c r="D184" s="44">
        <v>1</v>
      </c>
      <c r="E184" s="72">
        <v>1194011124</v>
      </c>
      <c r="F184" s="72">
        <v>18739692</v>
      </c>
      <c r="G184" s="72">
        <v>1327187650</v>
      </c>
      <c r="H184" s="72">
        <v>14654756</v>
      </c>
      <c r="I184" s="72">
        <v>778272895</v>
      </c>
      <c r="J184" s="72">
        <v>7902852</v>
      </c>
    </row>
    <row r="185" spans="1:10">
      <c r="A185" s="44" t="s">
        <v>754</v>
      </c>
      <c r="B185" s="44" t="s">
        <v>755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</row>
    <row r="186" spans="1:10">
      <c r="A186" s="44" t="s">
        <v>757</v>
      </c>
      <c r="B186" s="44" t="s">
        <v>758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</row>
    <row r="187" spans="1:10">
      <c r="A187" s="44" t="s">
        <v>760</v>
      </c>
      <c r="B187" s="44" t="s">
        <v>761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</row>
    <row r="188" spans="1:10">
      <c r="A188" s="44" t="s">
        <v>763</v>
      </c>
      <c r="B188" s="44" t="s">
        <v>764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</row>
    <row r="189" spans="1:10">
      <c r="A189" s="44" t="s">
        <v>766</v>
      </c>
      <c r="B189" s="44" t="s">
        <v>767</v>
      </c>
      <c r="D189" s="44">
        <v>1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</row>
    <row r="190" spans="1:10">
      <c r="A190" s="44" t="s">
        <v>769</v>
      </c>
      <c r="B190" s="44" t="s">
        <v>770</v>
      </c>
      <c r="E190" s="44">
        <v>0</v>
      </c>
      <c r="F190" s="44">
        <v>0</v>
      </c>
      <c r="G190" s="44">
        <v>0</v>
      </c>
      <c r="H190" s="44">
        <v>0</v>
      </c>
      <c r="I190" s="44">
        <v>0</v>
      </c>
      <c r="J190" s="44">
        <v>0</v>
      </c>
    </row>
    <row r="191" spans="1:10">
      <c r="A191" s="44" t="s">
        <v>772</v>
      </c>
      <c r="B191" s="44" t="s">
        <v>773</v>
      </c>
      <c r="E191" s="72">
        <v>723833326</v>
      </c>
      <c r="F191" s="72">
        <v>11360374</v>
      </c>
      <c r="G191" s="72">
        <v>792110004</v>
      </c>
      <c r="H191" s="72">
        <v>8746449</v>
      </c>
      <c r="I191" s="72">
        <v>925952028</v>
      </c>
      <c r="J191" s="72">
        <v>9402437</v>
      </c>
    </row>
    <row r="192" spans="1:10">
      <c r="A192" s="44" t="s">
        <v>775</v>
      </c>
      <c r="B192" s="44" t="s">
        <v>776</v>
      </c>
      <c r="E192" s="44">
        <v>0</v>
      </c>
      <c r="F192" s="44">
        <v>0</v>
      </c>
      <c r="G192" s="44">
        <v>0</v>
      </c>
      <c r="H192" s="44">
        <v>0</v>
      </c>
      <c r="I192" s="44">
        <v>0</v>
      </c>
      <c r="J192" s="44">
        <v>0</v>
      </c>
    </row>
    <row r="193" spans="1:10">
      <c r="A193" s="44" t="s">
        <v>778</v>
      </c>
      <c r="B193" s="44" t="s">
        <v>779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</row>
    <row r="194" spans="1:10">
      <c r="A194" s="44" t="s">
        <v>781</v>
      </c>
      <c r="B194" s="44" t="s">
        <v>782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</row>
    <row r="195" spans="1:10">
      <c r="A195" s="44" t="s">
        <v>784</v>
      </c>
      <c r="B195" s="44" t="s">
        <v>785</v>
      </c>
      <c r="E195" s="44">
        <v>0</v>
      </c>
      <c r="F195" s="44">
        <v>0</v>
      </c>
      <c r="G195" s="44">
        <v>0</v>
      </c>
      <c r="H195" s="44">
        <v>0</v>
      </c>
      <c r="I195" s="44">
        <v>0</v>
      </c>
      <c r="J195" s="44">
        <v>0</v>
      </c>
    </row>
    <row r="196" spans="1:10">
      <c r="A196" s="44" t="s">
        <v>787</v>
      </c>
      <c r="B196" s="44" t="s">
        <v>788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</row>
    <row r="197" spans="1:10">
      <c r="A197" s="44" t="s">
        <v>790</v>
      </c>
      <c r="B197" s="44" t="s">
        <v>791</v>
      </c>
      <c r="E197" s="44">
        <v>0</v>
      </c>
      <c r="F197" s="44">
        <v>0</v>
      </c>
      <c r="G197" s="72">
        <v>201810619</v>
      </c>
      <c r="H197" s="72">
        <v>505353</v>
      </c>
      <c r="I197" s="72">
        <v>65970702</v>
      </c>
      <c r="J197" s="72">
        <v>386077</v>
      </c>
    </row>
    <row r="198" spans="1:10">
      <c r="A198" s="44" t="s">
        <v>793</v>
      </c>
      <c r="B198" s="44" t="s">
        <v>794</v>
      </c>
      <c r="C198" s="44">
        <v>114</v>
      </c>
      <c r="D198" s="44">
        <v>1</v>
      </c>
      <c r="E198" s="72">
        <v>43231189</v>
      </c>
      <c r="F198" s="72">
        <v>678502</v>
      </c>
      <c r="G198" s="72">
        <v>45596395</v>
      </c>
      <c r="H198" s="72">
        <v>503474</v>
      </c>
      <c r="I198" s="72">
        <v>47229217</v>
      </c>
      <c r="J198" s="72">
        <v>479582</v>
      </c>
    </row>
    <row r="199" spans="1:10">
      <c r="A199" s="44" t="s">
        <v>796</v>
      </c>
      <c r="B199" s="44" t="s">
        <v>797</v>
      </c>
      <c r="E199" s="44">
        <v>0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</row>
    <row r="200" spans="1:10">
      <c r="A200" s="44" t="s">
        <v>799</v>
      </c>
      <c r="B200" s="44" t="s">
        <v>800</v>
      </c>
      <c r="E200" s="44">
        <v>0</v>
      </c>
      <c r="F200" s="44">
        <v>0</v>
      </c>
      <c r="G200" s="44">
        <v>0</v>
      </c>
      <c r="H200" s="44">
        <v>0</v>
      </c>
      <c r="I200" s="44">
        <v>0</v>
      </c>
      <c r="J200" s="44">
        <v>0</v>
      </c>
    </row>
    <row r="201" spans="1:10">
      <c r="A201" s="44" t="s">
        <v>802</v>
      </c>
      <c r="B201" s="44" t="s">
        <v>803</v>
      </c>
      <c r="C201" s="44">
        <v>8</v>
      </c>
      <c r="D201" s="44">
        <v>1</v>
      </c>
      <c r="E201" s="72">
        <v>500693666</v>
      </c>
      <c r="F201" s="72">
        <v>7858256</v>
      </c>
      <c r="G201" s="72">
        <v>501304364</v>
      </c>
      <c r="H201" s="72">
        <v>5535384</v>
      </c>
      <c r="I201" s="72">
        <v>512419917</v>
      </c>
      <c r="J201" s="72">
        <v>5203289</v>
      </c>
    </row>
    <row r="202" spans="1:10">
      <c r="A202" s="44" t="s">
        <v>805</v>
      </c>
      <c r="B202" s="44" t="s">
        <v>806</v>
      </c>
      <c r="C202" s="44">
        <v>100</v>
      </c>
      <c r="D202" s="44">
        <v>1</v>
      </c>
      <c r="E202" s="72">
        <v>652031551</v>
      </c>
      <c r="F202" s="72">
        <v>10233464</v>
      </c>
      <c r="G202" s="72">
        <v>666106244</v>
      </c>
      <c r="H202" s="72">
        <v>7355120</v>
      </c>
      <c r="I202" s="72">
        <v>720135895</v>
      </c>
      <c r="J202" s="72">
        <v>7312509</v>
      </c>
    </row>
    <row r="203" spans="1:10">
      <c r="A203" s="44" t="s">
        <v>808</v>
      </c>
      <c r="B203" s="44" t="s">
        <v>809</v>
      </c>
      <c r="E203" s="44">
        <v>0</v>
      </c>
      <c r="F203" s="44">
        <v>0</v>
      </c>
      <c r="G203" s="44">
        <v>0</v>
      </c>
      <c r="H203" s="44">
        <v>0</v>
      </c>
      <c r="I203" s="44">
        <v>0</v>
      </c>
      <c r="J203" s="44">
        <v>0</v>
      </c>
    </row>
    <row r="204" spans="1:10">
      <c r="A204" s="44" t="s">
        <v>811</v>
      </c>
      <c r="B204" s="44" t="s">
        <v>812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</row>
    <row r="205" spans="1:10">
      <c r="A205" s="44" t="s">
        <v>814</v>
      </c>
      <c r="B205" s="44" t="s">
        <v>815</v>
      </c>
      <c r="E205" s="72">
        <v>173180</v>
      </c>
      <c r="F205" s="72">
        <v>2718</v>
      </c>
      <c r="G205" s="44">
        <v>0</v>
      </c>
      <c r="H205" s="44">
        <v>0</v>
      </c>
      <c r="I205" s="72">
        <v>173180</v>
      </c>
      <c r="J205" s="72">
        <v>1759</v>
      </c>
    </row>
    <row r="206" spans="1:10">
      <c r="A206" s="44" t="s">
        <v>817</v>
      </c>
      <c r="B206" s="44" t="s">
        <v>818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</row>
    <row r="207" spans="1:10">
      <c r="A207" s="44" t="s">
        <v>820</v>
      </c>
      <c r="B207" s="44" t="s">
        <v>821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</row>
    <row r="208" spans="1:10">
      <c r="A208" s="44" t="s">
        <v>823</v>
      </c>
      <c r="B208" s="44" t="s">
        <v>824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4">
        <v>0</v>
      </c>
    </row>
    <row r="209" spans="1:10">
      <c r="A209" s="44" t="s">
        <v>826</v>
      </c>
      <c r="B209" s="44" t="s">
        <v>827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</row>
    <row r="210" spans="1:10">
      <c r="A210" s="44" t="s">
        <v>829</v>
      </c>
      <c r="B210" s="44" t="s">
        <v>830</v>
      </c>
      <c r="E210" s="44">
        <v>0</v>
      </c>
      <c r="F210" s="44">
        <v>0</v>
      </c>
      <c r="G210" s="44">
        <v>0</v>
      </c>
      <c r="H210" s="44">
        <v>0</v>
      </c>
      <c r="I210" s="44">
        <v>0</v>
      </c>
      <c r="J210" s="44">
        <v>0</v>
      </c>
    </row>
    <row r="211" spans="1:10">
      <c r="A211" s="44" t="s">
        <v>832</v>
      </c>
      <c r="B211" s="44" t="s">
        <v>833</v>
      </c>
      <c r="E211" s="44"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</row>
    <row r="212" spans="1:10">
      <c r="A212" s="44" t="s">
        <v>835</v>
      </c>
      <c r="B212" s="44" t="s">
        <v>836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</row>
    <row r="213" spans="1:10">
      <c r="A213" s="44" t="s">
        <v>1316</v>
      </c>
      <c r="B213" s="44" t="s">
        <v>1317</v>
      </c>
      <c r="E213" s="44">
        <v>0</v>
      </c>
      <c r="F213" s="44">
        <v>0</v>
      </c>
      <c r="G213" s="44">
        <v>0</v>
      </c>
      <c r="H213" s="44">
        <v>0</v>
      </c>
      <c r="I213" s="44">
        <v>0</v>
      </c>
      <c r="J213" s="44">
        <v>0</v>
      </c>
    </row>
    <row r="214" spans="1:10">
      <c r="A214" s="44" t="s">
        <v>838</v>
      </c>
      <c r="B214" s="44" t="s">
        <v>839</v>
      </c>
      <c r="E214" s="44">
        <v>0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</row>
    <row r="215" spans="1:10">
      <c r="A215" s="44" t="s">
        <v>841</v>
      </c>
      <c r="B215" s="44" t="s">
        <v>842</v>
      </c>
      <c r="C215" s="44">
        <v>3</v>
      </c>
      <c r="D215" s="44">
        <v>1</v>
      </c>
      <c r="E215" s="72">
        <v>32516371</v>
      </c>
      <c r="F215" s="72">
        <v>510336</v>
      </c>
      <c r="G215" s="72">
        <v>32718956</v>
      </c>
      <c r="H215" s="72">
        <v>361281</v>
      </c>
      <c r="I215" s="72">
        <v>32909484</v>
      </c>
      <c r="J215" s="72">
        <v>1443666</v>
      </c>
    </row>
    <row r="216" spans="1:10">
      <c r="A216" s="44" t="s">
        <v>844</v>
      </c>
      <c r="B216" s="44" t="s">
        <v>845</v>
      </c>
      <c r="C216" s="44">
        <v>167</v>
      </c>
      <c r="D216" s="44">
        <v>1</v>
      </c>
      <c r="E216" s="72">
        <v>3951355</v>
      </c>
      <c r="F216" s="72">
        <v>62015</v>
      </c>
      <c r="G216" s="72">
        <v>4121988</v>
      </c>
      <c r="H216" s="72">
        <v>45515</v>
      </c>
      <c r="I216" s="72">
        <v>4121988</v>
      </c>
      <c r="J216" s="72">
        <v>41856</v>
      </c>
    </row>
    <row r="217" spans="1:10">
      <c r="A217" s="44" t="s">
        <v>847</v>
      </c>
      <c r="B217" s="44" t="s">
        <v>848</v>
      </c>
      <c r="C217" s="44">
        <v>19</v>
      </c>
      <c r="E217" s="72">
        <v>245656453</v>
      </c>
      <c r="F217" s="72">
        <v>3855514</v>
      </c>
      <c r="G217" s="44">
        <v>0</v>
      </c>
      <c r="H217" s="44">
        <v>0</v>
      </c>
      <c r="I217" s="44">
        <v>0</v>
      </c>
      <c r="J217" s="44">
        <v>0</v>
      </c>
    </row>
    <row r="218" spans="1:10">
      <c r="A218" s="44" t="s">
        <v>850</v>
      </c>
      <c r="B218" s="44" t="s">
        <v>851</v>
      </c>
      <c r="C218" s="44">
        <v>105</v>
      </c>
      <c r="D218" s="44">
        <v>1</v>
      </c>
      <c r="E218" s="44">
        <v>0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</row>
    <row r="219" spans="1:10">
      <c r="A219" s="44" t="s">
        <v>853</v>
      </c>
      <c r="B219" s="44" t="s">
        <v>854</v>
      </c>
      <c r="D219" s="44">
        <v>0</v>
      </c>
      <c r="E219" s="44">
        <v>0</v>
      </c>
      <c r="F219" s="44">
        <v>0</v>
      </c>
      <c r="G219" s="44">
        <v>0</v>
      </c>
      <c r="H219" s="44">
        <v>0</v>
      </c>
      <c r="I219" s="44">
        <v>0</v>
      </c>
      <c r="J219" s="44">
        <v>0</v>
      </c>
    </row>
    <row r="220" spans="1:10">
      <c r="A220" s="44" t="s">
        <v>856</v>
      </c>
      <c r="B220" s="44" t="s">
        <v>857</v>
      </c>
      <c r="D220" s="44">
        <v>1</v>
      </c>
      <c r="E220" s="44">
        <v>0</v>
      </c>
      <c r="F220" s="44">
        <v>0</v>
      </c>
      <c r="G220" s="44">
        <v>0</v>
      </c>
      <c r="H220" s="44">
        <v>0</v>
      </c>
      <c r="I220" s="44">
        <v>0</v>
      </c>
      <c r="J220" s="44">
        <v>0</v>
      </c>
    </row>
    <row r="221" spans="1:10">
      <c r="A221" s="44" t="s">
        <v>859</v>
      </c>
      <c r="B221" s="44" t="s">
        <v>860</v>
      </c>
      <c r="C221" s="44">
        <v>123</v>
      </c>
      <c r="D221" s="44">
        <v>0</v>
      </c>
      <c r="E221" s="72">
        <v>12477584</v>
      </c>
      <c r="F221" s="72">
        <v>64441</v>
      </c>
      <c r="G221" s="72">
        <v>12505269</v>
      </c>
      <c r="H221" s="72">
        <v>50432</v>
      </c>
      <c r="I221" s="72">
        <v>13021557</v>
      </c>
      <c r="J221" s="72">
        <v>86938</v>
      </c>
    </row>
    <row r="222" spans="1:10">
      <c r="A222" s="44" t="s">
        <v>862</v>
      </c>
      <c r="B222" s="44" t="s">
        <v>863</v>
      </c>
      <c r="E222" s="44">
        <v>0</v>
      </c>
      <c r="F222" s="44">
        <v>0</v>
      </c>
      <c r="G222" s="44">
        <v>0</v>
      </c>
      <c r="H222" s="44">
        <v>0</v>
      </c>
      <c r="I222" s="44">
        <v>0</v>
      </c>
      <c r="J222" s="44">
        <v>0</v>
      </c>
    </row>
    <row r="223" spans="1:10">
      <c r="A223" s="44" t="s">
        <v>865</v>
      </c>
      <c r="B223" s="44" t="s">
        <v>866</v>
      </c>
      <c r="E223" s="44">
        <v>0</v>
      </c>
      <c r="F223" s="44">
        <v>0</v>
      </c>
      <c r="G223" s="44">
        <v>0</v>
      </c>
      <c r="H223" s="44">
        <v>0</v>
      </c>
      <c r="I223" s="44">
        <v>0</v>
      </c>
      <c r="J223" s="44">
        <v>0</v>
      </c>
    </row>
    <row r="224" spans="1:10">
      <c r="A224" s="44" t="s">
        <v>1302</v>
      </c>
      <c r="B224" s="44" t="s">
        <v>1303</v>
      </c>
      <c r="E224" s="44">
        <v>0</v>
      </c>
      <c r="F224" s="44">
        <v>0</v>
      </c>
      <c r="G224" s="44">
        <v>0</v>
      </c>
      <c r="H224" s="44">
        <v>0</v>
      </c>
      <c r="I224" s="44">
        <v>0</v>
      </c>
      <c r="J224" s="44">
        <v>0</v>
      </c>
    </row>
    <row r="225" spans="1:10">
      <c r="A225" s="44" t="s">
        <v>1083</v>
      </c>
      <c r="B225" s="44" t="s">
        <v>1084</v>
      </c>
      <c r="E225" s="44">
        <v>0</v>
      </c>
      <c r="F225" s="44">
        <v>0</v>
      </c>
      <c r="G225" s="72">
        <v>146970331</v>
      </c>
      <c r="H225" s="72">
        <v>2809043</v>
      </c>
      <c r="I225" s="72">
        <v>157220542</v>
      </c>
      <c r="J225" s="72">
        <v>2259069</v>
      </c>
    </row>
    <row r="226" spans="1:10">
      <c r="A226" s="44" t="s">
        <v>1318</v>
      </c>
      <c r="B226" s="44" t="s">
        <v>1319</v>
      </c>
      <c r="E226" s="44">
        <v>0</v>
      </c>
      <c r="F226" s="44">
        <v>0</v>
      </c>
      <c r="G226" s="44">
        <v>0</v>
      </c>
      <c r="H226" s="44">
        <v>0</v>
      </c>
      <c r="I226" s="44">
        <v>0</v>
      </c>
      <c r="J226" s="44">
        <v>0</v>
      </c>
    </row>
    <row r="227" spans="1:10">
      <c r="A227" s="44" t="s">
        <v>1320</v>
      </c>
      <c r="B227" s="44" t="s">
        <v>1321</v>
      </c>
      <c r="E227" s="44">
        <v>0</v>
      </c>
      <c r="F227" s="44">
        <v>0</v>
      </c>
      <c r="G227" s="44">
        <v>0</v>
      </c>
      <c r="H227" s="44">
        <v>0</v>
      </c>
      <c r="I227" s="44">
        <v>0</v>
      </c>
      <c r="J227" s="44">
        <v>0</v>
      </c>
    </row>
    <row r="228" spans="1:10">
      <c r="A228" s="44" t="s">
        <v>1322</v>
      </c>
      <c r="B228" s="44" t="s">
        <v>1323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</row>
    <row r="229" spans="1:10">
      <c r="A229" s="44" t="s">
        <v>1324</v>
      </c>
      <c r="B229" s="44" t="s">
        <v>1325</v>
      </c>
      <c r="E229" s="44">
        <v>0</v>
      </c>
      <c r="F229" s="44">
        <v>0</v>
      </c>
      <c r="G229" s="44">
        <v>0</v>
      </c>
      <c r="H229" s="44">
        <v>0</v>
      </c>
      <c r="I229" s="44">
        <v>0</v>
      </c>
      <c r="J229" s="4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4.453125" defaultRowHeight="15" customHeight="1"/>
  <cols>
    <col min="1" max="30" width="10.7265625" customWidth="1"/>
  </cols>
  <sheetData>
    <row r="1" spans="1:31" ht="14.5">
      <c r="A1" s="73" t="s">
        <v>1326</v>
      </c>
      <c r="B1" s="73" t="s">
        <v>1327</v>
      </c>
      <c r="C1" s="73" t="s">
        <v>1328</v>
      </c>
      <c r="D1" s="74" t="s">
        <v>1329</v>
      </c>
      <c r="E1" s="73" t="s">
        <v>1330</v>
      </c>
      <c r="F1" s="73" t="s">
        <v>1331</v>
      </c>
      <c r="G1" s="75" t="s">
        <v>1332</v>
      </c>
      <c r="H1" s="73" t="s">
        <v>1333</v>
      </c>
      <c r="I1" s="73" t="s">
        <v>1334</v>
      </c>
      <c r="J1" s="75" t="s">
        <v>1335</v>
      </c>
      <c r="K1" s="75" t="s">
        <v>1336</v>
      </c>
      <c r="L1" s="76" t="s">
        <v>1337</v>
      </c>
      <c r="M1" s="73" t="s">
        <v>1338</v>
      </c>
      <c r="N1" s="73" t="s">
        <v>1339</v>
      </c>
      <c r="O1" s="73" t="s">
        <v>1340</v>
      </c>
      <c r="P1" s="73" t="s">
        <v>1341</v>
      </c>
      <c r="Q1" s="73" t="s">
        <v>1342</v>
      </c>
      <c r="R1" s="73" t="s">
        <v>1343</v>
      </c>
      <c r="S1" s="73" t="s">
        <v>1344</v>
      </c>
      <c r="T1" s="73" t="s">
        <v>1345</v>
      </c>
      <c r="U1" s="73" t="s">
        <v>1346</v>
      </c>
      <c r="V1" s="73" t="s">
        <v>55</v>
      </c>
      <c r="W1" s="73" t="s">
        <v>1347</v>
      </c>
      <c r="X1" s="73" t="s">
        <v>1348</v>
      </c>
      <c r="Y1" s="73" t="s">
        <v>1349</v>
      </c>
      <c r="Z1" s="73"/>
      <c r="AA1" s="73" t="s">
        <v>155</v>
      </c>
      <c r="AB1" s="73" t="s">
        <v>1350</v>
      </c>
      <c r="AC1" s="73" t="s">
        <v>1351</v>
      </c>
      <c r="AD1" s="73"/>
      <c r="AE1" s="73" t="s">
        <v>1352</v>
      </c>
    </row>
    <row r="2" spans="1:31" ht="14.5">
      <c r="A2" s="77" t="s">
        <v>210</v>
      </c>
      <c r="B2" s="78">
        <v>0</v>
      </c>
      <c r="C2" s="78">
        <v>0</v>
      </c>
      <c r="D2" s="42" t="str">
        <f t="shared" ref="D2:D220" si="0">+IF(B2+C2=0,"",B2+C2)</f>
        <v/>
      </c>
      <c r="E2" s="78">
        <v>0</v>
      </c>
      <c r="F2" s="78">
        <v>0</v>
      </c>
      <c r="G2" s="42" t="str">
        <f t="shared" ref="G2:G220" si="1">+IF(E2+F2=0,"",E2+F2)</f>
        <v/>
      </c>
      <c r="H2" s="41">
        <v>0</v>
      </c>
      <c r="I2" s="41">
        <v>0</v>
      </c>
      <c r="J2" s="41">
        <f t="shared" ref="J2:J220" si="2">H2+I2</f>
        <v>0</v>
      </c>
      <c r="K2" s="41">
        <v>0</v>
      </c>
      <c r="L2" s="79" t="str">
        <f t="shared" ref="L2:L220" si="3">IF(K2&gt;0,+J2/K2,"")</f>
        <v/>
      </c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1"/>
      <c r="AA2" s="32">
        <f t="shared" ref="AA2:AA220" si="4">+IF(AND(D2&lt;&gt;"",G2&lt;&gt;""),IF(J2&gt;0,2,1),0)</f>
        <v>0</v>
      </c>
      <c r="AB2" s="80" t="str">
        <f>+IF(AND(D2&gt;'Indices y Outliers'!$I$144,D2&lt;&gt;""),1,"")</f>
        <v/>
      </c>
      <c r="AC2" s="80" t="str">
        <f>+IF(AND(G2&gt;'Indices y Outliers'!$I$153,G2&lt;&gt;""),1,"")</f>
        <v/>
      </c>
      <c r="AD2" s="7"/>
      <c r="AE2" s="7">
        <f t="shared" ref="AE2:AE220" si="5">SUM(AB2:AD2)</f>
        <v>0</v>
      </c>
    </row>
    <row r="3" spans="1:31" ht="14.5">
      <c r="A3" s="77" t="s">
        <v>213</v>
      </c>
      <c r="B3" s="78">
        <v>0</v>
      </c>
      <c r="C3" s="78">
        <v>0</v>
      </c>
      <c r="D3" s="42" t="str">
        <f t="shared" si="0"/>
        <v/>
      </c>
      <c r="E3" s="78">
        <v>0</v>
      </c>
      <c r="F3" s="78">
        <v>0</v>
      </c>
      <c r="G3" s="42" t="str">
        <f t="shared" si="1"/>
        <v/>
      </c>
      <c r="H3" s="41">
        <v>0</v>
      </c>
      <c r="I3" s="41">
        <v>0</v>
      </c>
      <c r="J3" s="41">
        <f t="shared" si="2"/>
        <v>0</v>
      </c>
      <c r="K3" s="41">
        <v>0</v>
      </c>
      <c r="L3" s="79" t="str">
        <f t="shared" si="3"/>
        <v/>
      </c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  <c r="AA3" s="6">
        <f t="shared" si="4"/>
        <v>0</v>
      </c>
      <c r="AB3" s="80" t="str">
        <f>+IF(AND(D3&gt;'Indices y Outliers'!$I$144,D3&lt;&gt;""),1,"")</f>
        <v/>
      </c>
      <c r="AC3" s="80" t="str">
        <f>+IF(AND(G3&gt;'Indices y Outliers'!$I$153,G3&lt;&gt;""),1,"")</f>
        <v/>
      </c>
      <c r="AD3" s="7"/>
      <c r="AE3" s="7">
        <f t="shared" si="5"/>
        <v>0</v>
      </c>
    </row>
    <row r="4" spans="1:31" ht="14.5">
      <c r="A4" s="77" t="s">
        <v>216</v>
      </c>
      <c r="B4" s="78">
        <v>0</v>
      </c>
      <c r="C4" s="78">
        <v>0</v>
      </c>
      <c r="D4" s="42" t="str">
        <f t="shared" si="0"/>
        <v/>
      </c>
      <c r="E4" s="78">
        <v>0</v>
      </c>
      <c r="F4" s="78">
        <v>0</v>
      </c>
      <c r="G4" s="42" t="str">
        <f t="shared" si="1"/>
        <v/>
      </c>
      <c r="H4" s="41">
        <v>0</v>
      </c>
      <c r="I4" s="41">
        <v>0</v>
      </c>
      <c r="J4" s="41">
        <f t="shared" si="2"/>
        <v>0</v>
      </c>
      <c r="K4" s="41">
        <v>0</v>
      </c>
      <c r="L4" s="79" t="str">
        <f t="shared" si="3"/>
        <v/>
      </c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1"/>
      <c r="AA4" s="6">
        <f t="shared" si="4"/>
        <v>0</v>
      </c>
      <c r="AB4" s="80" t="str">
        <f>+IF(AND(D4&gt;'Indices y Outliers'!$I$144,D4&lt;&gt;""),1,"")</f>
        <v/>
      </c>
      <c r="AC4" s="80" t="str">
        <f>+IF(AND(G4&gt;'Indices y Outliers'!$I$153,G4&lt;&gt;""),1,"")</f>
        <v/>
      </c>
      <c r="AD4" s="7"/>
      <c r="AE4" s="7">
        <f t="shared" si="5"/>
        <v>0</v>
      </c>
    </row>
    <row r="5" spans="1:31" ht="14.5">
      <c r="A5" s="77" t="s">
        <v>219</v>
      </c>
      <c r="B5" s="78">
        <v>103.76900000000001</v>
      </c>
      <c r="C5" s="78">
        <v>0</v>
      </c>
      <c r="D5" s="42">
        <f t="shared" si="0"/>
        <v>103.76900000000001</v>
      </c>
      <c r="E5" s="78">
        <v>1.111</v>
      </c>
      <c r="F5" s="78">
        <v>0</v>
      </c>
      <c r="G5" s="42">
        <f t="shared" si="1"/>
        <v>1.111</v>
      </c>
      <c r="H5" s="41">
        <v>22139</v>
      </c>
      <c r="I5" s="41">
        <v>5116437</v>
      </c>
      <c r="J5" s="41">
        <f t="shared" si="2"/>
        <v>5138576</v>
      </c>
      <c r="K5" s="41">
        <v>5156862</v>
      </c>
      <c r="L5" s="79">
        <f t="shared" si="3"/>
        <v>0.9964540451150331</v>
      </c>
      <c r="M5" s="82">
        <v>1</v>
      </c>
      <c r="N5" s="82">
        <v>1</v>
      </c>
      <c r="O5" s="82">
        <v>1</v>
      </c>
      <c r="P5" s="82">
        <v>1</v>
      </c>
      <c r="Q5" s="82">
        <v>1</v>
      </c>
      <c r="R5" s="82">
        <v>1</v>
      </c>
      <c r="S5" s="82" t="s">
        <v>1353</v>
      </c>
      <c r="T5" s="82" t="s">
        <v>1353</v>
      </c>
      <c r="U5" s="82" t="s">
        <v>1353</v>
      </c>
      <c r="V5" s="82" t="s">
        <v>1353</v>
      </c>
      <c r="W5" s="82" t="s">
        <v>1353</v>
      </c>
      <c r="X5" s="82" t="s">
        <v>1353</v>
      </c>
      <c r="Y5" s="82" t="s">
        <v>1353</v>
      </c>
      <c r="Z5" s="81"/>
      <c r="AA5" s="6">
        <f t="shared" si="4"/>
        <v>2</v>
      </c>
      <c r="AB5" s="80" t="str">
        <f>+IF(AND(D5&gt;'Indices y Outliers'!$I$144,D5&lt;&gt;""),1,"")</f>
        <v/>
      </c>
      <c r="AC5" s="80" t="str">
        <f>+IF(AND(G5&gt;'Indices y Outliers'!$I$153,G5&lt;&gt;""),1,"")</f>
        <v/>
      </c>
      <c r="AD5" s="7"/>
      <c r="AE5" s="7">
        <f t="shared" si="5"/>
        <v>0</v>
      </c>
    </row>
    <row r="6" spans="1:31" ht="14.5">
      <c r="A6" s="77" t="s">
        <v>222</v>
      </c>
      <c r="B6" s="78">
        <v>0</v>
      </c>
      <c r="C6" s="78">
        <v>0</v>
      </c>
      <c r="D6" s="42" t="str">
        <f t="shared" si="0"/>
        <v/>
      </c>
      <c r="E6" s="78">
        <v>0</v>
      </c>
      <c r="F6" s="78">
        <v>0</v>
      </c>
      <c r="G6" s="42" t="str">
        <f t="shared" si="1"/>
        <v/>
      </c>
      <c r="H6" s="41">
        <v>0</v>
      </c>
      <c r="I6" s="41">
        <v>0</v>
      </c>
      <c r="J6" s="41">
        <f t="shared" si="2"/>
        <v>0</v>
      </c>
      <c r="K6" s="41">
        <v>0</v>
      </c>
      <c r="L6" s="79" t="str">
        <f t="shared" si="3"/>
        <v/>
      </c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1"/>
      <c r="AA6" s="6">
        <f t="shared" si="4"/>
        <v>0</v>
      </c>
      <c r="AB6" s="80" t="str">
        <f>+IF(AND(D6&gt;'Indices y Outliers'!$I$144,D6&lt;&gt;""),1,"")</f>
        <v/>
      </c>
      <c r="AC6" s="80" t="str">
        <f>+IF(AND(G6&gt;'Indices y Outliers'!$I$153,G6&lt;&gt;""),1,"")</f>
        <v/>
      </c>
      <c r="AD6" s="7"/>
      <c r="AE6" s="7">
        <f t="shared" si="5"/>
        <v>0</v>
      </c>
    </row>
    <row r="7" spans="1:31" ht="14.5">
      <c r="A7" s="77" t="s">
        <v>225</v>
      </c>
      <c r="B7" s="78">
        <v>65.61</v>
      </c>
      <c r="C7" s="78">
        <v>0</v>
      </c>
      <c r="D7" s="42">
        <f t="shared" si="0"/>
        <v>65.61</v>
      </c>
      <c r="E7" s="78">
        <v>1.38</v>
      </c>
      <c r="F7" s="78">
        <v>0</v>
      </c>
      <c r="G7" s="42">
        <f t="shared" si="1"/>
        <v>1.38</v>
      </c>
      <c r="H7" s="41">
        <v>865</v>
      </c>
      <c r="I7" s="41">
        <v>805306</v>
      </c>
      <c r="J7" s="41">
        <f t="shared" si="2"/>
        <v>806171</v>
      </c>
      <c r="K7" s="41">
        <v>811087</v>
      </c>
      <c r="L7" s="79">
        <f t="shared" si="3"/>
        <v>0.9939389979126777</v>
      </c>
      <c r="M7" s="82">
        <v>1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 t="s">
        <v>1353</v>
      </c>
      <c r="T7" s="82" t="s">
        <v>1353</v>
      </c>
      <c r="U7" s="82" t="s">
        <v>1353</v>
      </c>
      <c r="V7" s="82" t="s">
        <v>1353</v>
      </c>
      <c r="W7" s="80"/>
      <c r="X7" s="82" t="s">
        <v>1353</v>
      </c>
      <c r="Y7" s="80"/>
      <c r="Z7" s="81"/>
      <c r="AA7" s="6">
        <f t="shared" si="4"/>
        <v>2</v>
      </c>
      <c r="AB7" s="80" t="str">
        <f>+IF(AND(D7&gt;'Indices y Outliers'!$I$144,D7&lt;&gt;""),1,"")</f>
        <v/>
      </c>
      <c r="AC7" s="80" t="str">
        <f>+IF(AND(G7&gt;'Indices y Outliers'!$I$153,G7&lt;&gt;""),1,"")</f>
        <v/>
      </c>
      <c r="AD7" s="7"/>
      <c r="AE7" s="7">
        <f t="shared" si="5"/>
        <v>0</v>
      </c>
    </row>
    <row r="8" spans="1:31" ht="14.5">
      <c r="A8" s="77" t="s">
        <v>228</v>
      </c>
      <c r="B8" s="78">
        <v>218</v>
      </c>
      <c r="C8" s="78">
        <v>0</v>
      </c>
      <c r="D8" s="42">
        <f t="shared" si="0"/>
        <v>218</v>
      </c>
      <c r="E8" s="78">
        <v>2.3490000000000002</v>
      </c>
      <c r="F8" s="78">
        <v>0</v>
      </c>
      <c r="G8" s="42">
        <f t="shared" si="1"/>
        <v>2.3490000000000002</v>
      </c>
      <c r="H8" s="41">
        <v>34812</v>
      </c>
      <c r="I8" s="41">
        <v>0</v>
      </c>
      <c r="J8" s="41">
        <f t="shared" si="2"/>
        <v>34812</v>
      </c>
      <c r="K8" s="41">
        <v>36274</v>
      </c>
      <c r="L8" s="79">
        <f t="shared" si="3"/>
        <v>0.95969564977669952</v>
      </c>
      <c r="M8" s="82">
        <v>1</v>
      </c>
      <c r="N8" s="80"/>
      <c r="O8" s="82">
        <v>1</v>
      </c>
      <c r="P8" s="80"/>
      <c r="Q8" s="80"/>
      <c r="R8" s="82">
        <v>1</v>
      </c>
      <c r="S8" s="82" t="s">
        <v>1354</v>
      </c>
      <c r="T8" s="82" t="s">
        <v>1353</v>
      </c>
      <c r="U8" s="80"/>
      <c r="V8" s="82" t="s">
        <v>1353</v>
      </c>
      <c r="W8" s="80"/>
      <c r="X8" s="80"/>
      <c r="Y8" s="80"/>
      <c r="Z8" s="81"/>
      <c r="AA8" s="6">
        <f t="shared" si="4"/>
        <v>2</v>
      </c>
      <c r="AB8" s="80" t="str">
        <f>+IF(AND(D8&gt;'Indices y Outliers'!$I$144,D8&lt;&gt;""),1,"")</f>
        <v/>
      </c>
      <c r="AC8" s="80" t="str">
        <f>+IF(AND(G8&gt;'Indices y Outliers'!$I$153,G8&lt;&gt;""),1,"")</f>
        <v/>
      </c>
      <c r="AD8" s="7"/>
      <c r="AE8" s="7">
        <f t="shared" si="5"/>
        <v>0</v>
      </c>
    </row>
    <row r="9" spans="1:31" ht="14.5">
      <c r="A9" s="77" t="s">
        <v>231</v>
      </c>
      <c r="B9" s="78">
        <v>0</v>
      </c>
      <c r="C9" s="78">
        <v>19.600000000000001</v>
      </c>
      <c r="D9" s="42">
        <f t="shared" si="0"/>
        <v>19.600000000000001</v>
      </c>
      <c r="E9" s="78">
        <v>0</v>
      </c>
      <c r="F9" s="78">
        <v>0.16400000000000001</v>
      </c>
      <c r="G9" s="42">
        <f t="shared" si="1"/>
        <v>0.16400000000000001</v>
      </c>
      <c r="H9" s="41">
        <v>0</v>
      </c>
      <c r="I9" s="41">
        <v>0</v>
      </c>
      <c r="J9" s="41">
        <f t="shared" si="2"/>
        <v>0</v>
      </c>
      <c r="K9" s="41">
        <v>3563455</v>
      </c>
      <c r="L9" s="79">
        <f t="shared" si="3"/>
        <v>0</v>
      </c>
      <c r="M9" s="82">
        <v>1</v>
      </c>
      <c r="N9" s="82">
        <v>1</v>
      </c>
      <c r="O9" s="82">
        <v>1</v>
      </c>
      <c r="P9" s="80"/>
      <c r="Q9" s="82">
        <v>1</v>
      </c>
      <c r="R9" s="82">
        <v>1</v>
      </c>
      <c r="S9" s="82" t="s">
        <v>1353</v>
      </c>
      <c r="T9" s="82" t="s">
        <v>1353</v>
      </c>
      <c r="U9" s="82" t="s">
        <v>1353</v>
      </c>
      <c r="V9" s="82" t="s">
        <v>1353</v>
      </c>
      <c r="W9" s="80"/>
      <c r="X9" s="82" t="s">
        <v>1353</v>
      </c>
      <c r="Y9" s="80"/>
      <c r="Z9" s="81"/>
      <c r="AA9" s="6">
        <f t="shared" si="4"/>
        <v>1</v>
      </c>
      <c r="AB9" s="80" t="str">
        <f>+IF(AND(D9&gt;'Indices y Outliers'!$I$144,D9&lt;&gt;""),1,"")</f>
        <v/>
      </c>
      <c r="AC9" s="80" t="str">
        <f>+IF(AND(G9&gt;'Indices y Outliers'!$I$153,G9&lt;&gt;""),1,"")</f>
        <v/>
      </c>
      <c r="AD9" s="7"/>
      <c r="AE9" s="7">
        <f t="shared" si="5"/>
        <v>0</v>
      </c>
    </row>
    <row r="10" spans="1:31" ht="14.5">
      <c r="A10" s="77" t="s">
        <v>234</v>
      </c>
      <c r="B10" s="78">
        <v>125.36</v>
      </c>
      <c r="C10" s="78">
        <v>0</v>
      </c>
      <c r="D10" s="42">
        <f t="shared" si="0"/>
        <v>125.36</v>
      </c>
      <c r="E10" s="78">
        <v>1.272</v>
      </c>
      <c r="F10" s="78">
        <v>0</v>
      </c>
      <c r="G10" s="42">
        <f t="shared" si="1"/>
        <v>1.272</v>
      </c>
      <c r="H10" s="41">
        <v>9437</v>
      </c>
      <c r="I10" s="41">
        <v>0</v>
      </c>
      <c r="J10" s="41">
        <f t="shared" si="2"/>
        <v>9437</v>
      </c>
      <c r="K10" s="41">
        <v>1474181</v>
      </c>
      <c r="L10" s="79">
        <f t="shared" si="3"/>
        <v>6.4015205731182264E-3</v>
      </c>
      <c r="M10" s="82">
        <v>1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 t="s">
        <v>1353</v>
      </c>
      <c r="T10" s="82" t="s">
        <v>1353</v>
      </c>
      <c r="U10" s="82" t="s">
        <v>1353</v>
      </c>
      <c r="V10" s="82" t="s">
        <v>1353</v>
      </c>
      <c r="W10" s="80"/>
      <c r="X10" s="82" t="s">
        <v>1353</v>
      </c>
      <c r="Y10" s="80"/>
      <c r="Z10" s="81"/>
      <c r="AA10" s="6">
        <f t="shared" si="4"/>
        <v>2</v>
      </c>
      <c r="AB10" s="80" t="str">
        <f>+IF(AND(D10&gt;'Indices y Outliers'!$I$144,D10&lt;&gt;""),1,"")</f>
        <v/>
      </c>
      <c r="AC10" s="80" t="str">
        <f>+IF(AND(G10&gt;'Indices y Outliers'!$I$153,G10&lt;&gt;""),1,"")</f>
        <v/>
      </c>
      <c r="AD10" s="7"/>
      <c r="AE10" s="7">
        <f t="shared" si="5"/>
        <v>0</v>
      </c>
    </row>
    <row r="11" spans="1:31" ht="14.5">
      <c r="A11" s="77" t="s">
        <v>237</v>
      </c>
      <c r="B11" s="78">
        <v>89.66</v>
      </c>
      <c r="C11" s="78">
        <v>0</v>
      </c>
      <c r="D11" s="42">
        <f t="shared" si="0"/>
        <v>89.66</v>
      </c>
      <c r="E11" s="78">
        <v>1.0449999999999999</v>
      </c>
      <c r="F11" s="78">
        <v>0</v>
      </c>
      <c r="G11" s="42">
        <f t="shared" si="1"/>
        <v>1.0449999999999999</v>
      </c>
      <c r="H11" s="41">
        <v>1049</v>
      </c>
      <c r="I11" s="41">
        <v>1899931</v>
      </c>
      <c r="J11" s="41">
        <f t="shared" si="2"/>
        <v>1900980</v>
      </c>
      <c r="K11" s="41">
        <v>1905035</v>
      </c>
      <c r="L11" s="79">
        <f t="shared" si="3"/>
        <v>0.99787143018369739</v>
      </c>
      <c r="M11" s="82">
        <v>1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 t="s">
        <v>1353</v>
      </c>
      <c r="T11" s="82" t="s">
        <v>1353</v>
      </c>
      <c r="U11" s="82" t="s">
        <v>1353</v>
      </c>
      <c r="V11" s="82" t="s">
        <v>1353</v>
      </c>
      <c r="W11" s="80"/>
      <c r="X11" s="82" t="s">
        <v>1353</v>
      </c>
      <c r="Y11" s="80"/>
      <c r="Z11" s="81"/>
      <c r="AA11" s="6">
        <f t="shared" si="4"/>
        <v>2</v>
      </c>
      <c r="AB11" s="80" t="str">
        <f>+IF(AND(D11&gt;'Indices y Outliers'!$I$144,D11&lt;&gt;""),1,"")</f>
        <v/>
      </c>
      <c r="AC11" s="80" t="str">
        <f>+IF(AND(G11&gt;'Indices y Outliers'!$I$153,G11&lt;&gt;""),1,"")</f>
        <v/>
      </c>
      <c r="AD11" s="7"/>
      <c r="AE11" s="7">
        <f t="shared" si="5"/>
        <v>0</v>
      </c>
    </row>
    <row r="12" spans="1:31" ht="14.5">
      <c r="A12" s="77" t="s">
        <v>240</v>
      </c>
      <c r="B12" s="78">
        <v>207</v>
      </c>
      <c r="C12" s="78">
        <v>0</v>
      </c>
      <c r="D12" s="42">
        <f t="shared" si="0"/>
        <v>207</v>
      </c>
      <c r="E12" s="78">
        <v>2.27</v>
      </c>
      <c r="F12" s="78">
        <v>0</v>
      </c>
      <c r="G12" s="42">
        <f t="shared" si="1"/>
        <v>2.27</v>
      </c>
      <c r="H12" s="41">
        <v>359500</v>
      </c>
      <c r="I12" s="41">
        <v>863997</v>
      </c>
      <c r="J12" s="41">
        <f t="shared" si="2"/>
        <v>1223497</v>
      </c>
      <c r="K12" s="41">
        <v>1224643</v>
      </c>
      <c r="L12" s="79">
        <f t="shared" si="3"/>
        <v>0.99906421708203941</v>
      </c>
      <c r="M12" s="82">
        <v>1</v>
      </c>
      <c r="N12" s="80"/>
      <c r="O12" s="82">
        <v>1</v>
      </c>
      <c r="P12" s="80"/>
      <c r="Q12" s="82">
        <v>1</v>
      </c>
      <c r="R12" s="82">
        <v>1</v>
      </c>
      <c r="S12" s="82" t="s">
        <v>1353</v>
      </c>
      <c r="T12" s="82" t="s">
        <v>1353</v>
      </c>
      <c r="U12" s="82" t="s">
        <v>1353</v>
      </c>
      <c r="V12" s="82" t="s">
        <v>1353</v>
      </c>
      <c r="W12" s="80"/>
      <c r="X12" s="82" t="s">
        <v>1353</v>
      </c>
      <c r="Y12" s="82" t="s">
        <v>1354</v>
      </c>
      <c r="Z12" s="81"/>
      <c r="AA12" s="6">
        <f t="shared" si="4"/>
        <v>2</v>
      </c>
      <c r="AB12" s="80" t="str">
        <f>+IF(AND(D12&gt;'Indices y Outliers'!$I$144,D12&lt;&gt;""),1,"")</f>
        <v/>
      </c>
      <c r="AC12" s="80" t="str">
        <f>+IF(AND(G12&gt;'Indices y Outliers'!$I$153,G12&lt;&gt;""),1,"")</f>
        <v/>
      </c>
      <c r="AD12" s="7"/>
      <c r="AE12" s="7">
        <f t="shared" si="5"/>
        <v>0</v>
      </c>
    </row>
    <row r="13" spans="1:31" ht="14.5">
      <c r="A13" s="77" t="s">
        <v>243</v>
      </c>
      <c r="B13" s="78">
        <v>227.9</v>
      </c>
      <c r="C13" s="78">
        <v>0</v>
      </c>
      <c r="D13" s="42">
        <f t="shared" si="0"/>
        <v>227.9</v>
      </c>
      <c r="E13" s="78">
        <v>1.601</v>
      </c>
      <c r="F13" s="78">
        <v>0</v>
      </c>
      <c r="G13" s="42">
        <f t="shared" si="1"/>
        <v>1.601</v>
      </c>
      <c r="H13" s="41">
        <v>0</v>
      </c>
      <c r="I13" s="41">
        <v>1858185</v>
      </c>
      <c r="J13" s="41">
        <f t="shared" si="2"/>
        <v>1858185</v>
      </c>
      <c r="K13" s="41">
        <v>1872609</v>
      </c>
      <c r="L13" s="79">
        <f t="shared" si="3"/>
        <v>0.99229737761593584</v>
      </c>
      <c r="M13" s="82">
        <v>1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 t="s">
        <v>1353</v>
      </c>
      <c r="T13" s="82" t="s">
        <v>1354</v>
      </c>
      <c r="U13" s="82" t="s">
        <v>1353</v>
      </c>
      <c r="V13" s="82" t="s">
        <v>1353</v>
      </c>
      <c r="W13" s="80"/>
      <c r="X13" s="80"/>
      <c r="Y13" s="80"/>
      <c r="Z13" s="81"/>
      <c r="AA13" s="6">
        <f t="shared" si="4"/>
        <v>2</v>
      </c>
      <c r="AB13" s="80" t="str">
        <f>+IF(AND(D13&gt;'Indices y Outliers'!$I$144,D13&lt;&gt;""),1,"")</f>
        <v/>
      </c>
      <c r="AC13" s="80" t="str">
        <f>+IF(AND(G13&gt;'Indices y Outliers'!$I$153,G13&lt;&gt;""),1,"")</f>
        <v/>
      </c>
      <c r="AD13" s="7"/>
      <c r="AE13" s="7">
        <f t="shared" si="5"/>
        <v>0</v>
      </c>
    </row>
    <row r="14" spans="1:31" ht="14.5">
      <c r="A14" s="77" t="s">
        <v>246</v>
      </c>
      <c r="B14" s="78">
        <v>0</v>
      </c>
      <c r="C14" s="78">
        <v>101.57</v>
      </c>
      <c r="D14" s="42">
        <f t="shared" si="0"/>
        <v>101.57</v>
      </c>
      <c r="E14" s="78">
        <v>0</v>
      </c>
      <c r="F14" s="78">
        <v>1.129</v>
      </c>
      <c r="G14" s="42">
        <f t="shared" si="1"/>
        <v>1.129</v>
      </c>
      <c r="H14" s="41">
        <v>111281</v>
      </c>
      <c r="I14" s="41">
        <v>5159</v>
      </c>
      <c r="J14" s="41">
        <f t="shared" si="2"/>
        <v>116440</v>
      </c>
      <c r="K14" s="41">
        <v>125974</v>
      </c>
      <c r="L14" s="79">
        <f t="shared" si="3"/>
        <v>0.92431771635416837</v>
      </c>
      <c r="M14" s="82">
        <v>1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 t="s">
        <v>1353</v>
      </c>
      <c r="T14" s="82" t="s">
        <v>1353</v>
      </c>
      <c r="U14" s="80"/>
      <c r="V14" s="82" t="s">
        <v>1353</v>
      </c>
      <c r="W14" s="80"/>
      <c r="X14" s="80"/>
      <c r="Y14" s="80"/>
      <c r="Z14" s="81"/>
      <c r="AA14" s="6">
        <f t="shared" si="4"/>
        <v>2</v>
      </c>
      <c r="AB14" s="80" t="str">
        <f>+IF(AND(D14&gt;'Indices y Outliers'!$I$144,D14&lt;&gt;""),1,"")</f>
        <v/>
      </c>
      <c r="AC14" s="80" t="str">
        <f>+IF(AND(G14&gt;'Indices y Outliers'!$I$153,G14&lt;&gt;""),1,"")</f>
        <v/>
      </c>
      <c r="AD14" s="7"/>
      <c r="AE14" s="7">
        <f t="shared" si="5"/>
        <v>0</v>
      </c>
    </row>
    <row r="15" spans="1:31" ht="14.5">
      <c r="A15" s="77" t="s">
        <v>249</v>
      </c>
      <c r="B15" s="78">
        <v>43.46</v>
      </c>
      <c r="C15" s="78">
        <v>0</v>
      </c>
      <c r="D15" s="42">
        <f t="shared" si="0"/>
        <v>43.46</v>
      </c>
      <c r="E15" s="78">
        <v>0.77</v>
      </c>
      <c r="F15" s="78">
        <v>0</v>
      </c>
      <c r="G15" s="42">
        <f t="shared" si="1"/>
        <v>0.77</v>
      </c>
      <c r="H15" s="41">
        <v>10</v>
      </c>
      <c r="I15" s="41">
        <v>4193201</v>
      </c>
      <c r="J15" s="41">
        <f t="shared" si="2"/>
        <v>4193211</v>
      </c>
      <c r="K15" s="41">
        <v>4199078</v>
      </c>
      <c r="L15" s="79">
        <f t="shared" si="3"/>
        <v>0.99860278851690776</v>
      </c>
      <c r="M15" s="82">
        <v>1</v>
      </c>
      <c r="N15" s="82">
        <v>1</v>
      </c>
      <c r="O15" s="82">
        <v>1</v>
      </c>
      <c r="P15" s="82">
        <v>1</v>
      </c>
      <c r="Q15" s="82">
        <v>1</v>
      </c>
      <c r="R15" s="80">
        <v>1</v>
      </c>
      <c r="S15" s="80"/>
      <c r="T15" s="82" t="s">
        <v>1353</v>
      </c>
      <c r="U15" s="82" t="s">
        <v>1353</v>
      </c>
      <c r="V15" s="82" t="s">
        <v>1353</v>
      </c>
      <c r="W15" s="80"/>
      <c r="X15" s="80"/>
      <c r="Y15" s="80"/>
      <c r="Z15" s="81"/>
      <c r="AA15" s="6">
        <f t="shared" si="4"/>
        <v>2</v>
      </c>
      <c r="AB15" s="80" t="str">
        <f>+IF(AND(D15&gt;'Indices y Outliers'!$I$144,D15&lt;&gt;""),1,"")</f>
        <v/>
      </c>
      <c r="AC15" s="80" t="str">
        <f>+IF(AND(G15&gt;'Indices y Outliers'!$I$153,G15&lt;&gt;""),1,"")</f>
        <v/>
      </c>
      <c r="AD15" s="7"/>
      <c r="AE15" s="7">
        <f t="shared" si="5"/>
        <v>0</v>
      </c>
    </row>
    <row r="16" spans="1:31" ht="14.5">
      <c r="A16" s="77" t="s">
        <v>252</v>
      </c>
      <c r="B16" s="78">
        <v>0</v>
      </c>
      <c r="C16" s="78">
        <v>0</v>
      </c>
      <c r="D16" s="42" t="str">
        <f t="shared" si="0"/>
        <v/>
      </c>
      <c r="E16" s="78">
        <v>0</v>
      </c>
      <c r="F16" s="78">
        <v>0</v>
      </c>
      <c r="G16" s="42" t="str">
        <f t="shared" si="1"/>
        <v/>
      </c>
      <c r="H16" s="41">
        <v>0</v>
      </c>
      <c r="I16" s="41">
        <v>0</v>
      </c>
      <c r="J16" s="41">
        <f t="shared" si="2"/>
        <v>0</v>
      </c>
      <c r="K16" s="41">
        <v>0</v>
      </c>
      <c r="L16" s="79" t="str">
        <f t="shared" si="3"/>
        <v/>
      </c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1"/>
      <c r="AA16" s="6">
        <f t="shared" si="4"/>
        <v>0</v>
      </c>
      <c r="AB16" s="80" t="str">
        <f>+IF(AND(D16&gt;'Indices y Outliers'!$I$144,D16&lt;&gt;""),1,"")</f>
        <v/>
      </c>
      <c r="AC16" s="80" t="str">
        <f>+IF(AND(G16&gt;'Indices y Outliers'!$I$153,G16&lt;&gt;""),1,"")</f>
        <v/>
      </c>
      <c r="AD16" s="7"/>
      <c r="AE16" s="7">
        <f t="shared" si="5"/>
        <v>0</v>
      </c>
    </row>
    <row r="17" spans="1:31" ht="14.5">
      <c r="A17" s="77" t="s">
        <v>255</v>
      </c>
      <c r="B17" s="78">
        <v>88</v>
      </c>
      <c r="C17" s="78">
        <v>0</v>
      </c>
      <c r="D17" s="42">
        <f t="shared" si="0"/>
        <v>88</v>
      </c>
      <c r="E17" s="78">
        <v>1.01</v>
      </c>
      <c r="F17" s="78">
        <v>0</v>
      </c>
      <c r="G17" s="42">
        <f t="shared" si="1"/>
        <v>1.01</v>
      </c>
      <c r="H17" s="41">
        <v>370</v>
      </c>
      <c r="I17" s="41">
        <v>1722849</v>
      </c>
      <c r="J17" s="41">
        <f t="shared" si="2"/>
        <v>1723219</v>
      </c>
      <c r="K17" s="41">
        <v>1723219</v>
      </c>
      <c r="L17" s="79">
        <f t="shared" si="3"/>
        <v>1</v>
      </c>
      <c r="M17" s="82">
        <v>1</v>
      </c>
      <c r="N17" s="80"/>
      <c r="O17" s="82">
        <v>1</v>
      </c>
      <c r="P17" s="82">
        <v>1</v>
      </c>
      <c r="Q17" s="82">
        <v>1</v>
      </c>
      <c r="R17" s="80">
        <v>1</v>
      </c>
      <c r="S17" s="80"/>
      <c r="T17" s="82" t="s">
        <v>1353</v>
      </c>
      <c r="U17" s="80"/>
      <c r="V17" s="82" t="s">
        <v>1353</v>
      </c>
      <c r="W17" s="80"/>
      <c r="X17" s="80"/>
      <c r="Y17" s="80"/>
      <c r="Z17" s="81"/>
      <c r="AA17" s="6">
        <f t="shared" si="4"/>
        <v>2</v>
      </c>
      <c r="AB17" s="80" t="str">
        <f>+IF(AND(D17&gt;'Indices y Outliers'!$I$144,D17&lt;&gt;""),1,"")</f>
        <v/>
      </c>
      <c r="AC17" s="80" t="str">
        <f>+IF(AND(G17&gt;'Indices y Outliers'!$I$153,G17&lt;&gt;""),1,"")</f>
        <v/>
      </c>
      <c r="AD17" s="7"/>
      <c r="AE17" s="7">
        <f t="shared" si="5"/>
        <v>0</v>
      </c>
    </row>
    <row r="18" spans="1:31" ht="14.5">
      <c r="A18" s="77" t="s">
        <v>258</v>
      </c>
      <c r="B18" s="78">
        <v>78.89</v>
      </c>
      <c r="C18" s="78">
        <v>0</v>
      </c>
      <c r="D18" s="42">
        <f t="shared" si="0"/>
        <v>78.89</v>
      </c>
      <c r="E18" s="78">
        <v>1.1000000000000001</v>
      </c>
      <c r="F18" s="78">
        <v>0</v>
      </c>
      <c r="G18" s="42">
        <f t="shared" si="1"/>
        <v>1.1000000000000001</v>
      </c>
      <c r="H18" s="41">
        <v>422350</v>
      </c>
      <c r="I18" s="41">
        <v>349257</v>
      </c>
      <c r="J18" s="41">
        <f t="shared" si="2"/>
        <v>771607</v>
      </c>
      <c r="K18" s="41">
        <v>771620</v>
      </c>
      <c r="L18" s="79">
        <f t="shared" si="3"/>
        <v>0.99998315232886659</v>
      </c>
      <c r="M18" s="82">
        <v>1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 t="s">
        <v>1353</v>
      </c>
      <c r="T18" s="82" t="s">
        <v>1353</v>
      </c>
      <c r="U18" s="82" t="s">
        <v>1353</v>
      </c>
      <c r="V18" s="82" t="s">
        <v>1353</v>
      </c>
      <c r="W18" s="80"/>
      <c r="X18" s="82" t="s">
        <v>1353</v>
      </c>
      <c r="Y18" s="80"/>
      <c r="Z18" s="81"/>
      <c r="AA18" s="6">
        <f t="shared" si="4"/>
        <v>2</v>
      </c>
      <c r="AB18" s="80" t="str">
        <f>+IF(AND(D18&gt;'Indices y Outliers'!$I$144,D18&lt;&gt;""),1,"")</f>
        <v/>
      </c>
      <c r="AC18" s="80" t="str">
        <f>+IF(AND(G18&gt;'Indices y Outliers'!$I$153,G18&lt;&gt;""),1,"")</f>
        <v/>
      </c>
      <c r="AD18" s="7"/>
      <c r="AE18" s="7">
        <f t="shared" si="5"/>
        <v>0</v>
      </c>
    </row>
    <row r="19" spans="1:31" ht="14.5">
      <c r="A19" s="77" t="s">
        <v>261</v>
      </c>
      <c r="B19" s="78">
        <v>127.12</v>
      </c>
      <c r="C19" s="78">
        <v>0</v>
      </c>
      <c r="D19" s="42">
        <f t="shared" si="0"/>
        <v>127.12</v>
      </c>
      <c r="E19" s="78">
        <v>1.1140000000000001</v>
      </c>
      <c r="F19" s="78">
        <v>0</v>
      </c>
      <c r="G19" s="42">
        <f t="shared" si="1"/>
        <v>1.1140000000000001</v>
      </c>
      <c r="H19" s="41">
        <v>4361</v>
      </c>
      <c r="I19" s="41">
        <v>875296</v>
      </c>
      <c r="J19" s="41">
        <f t="shared" si="2"/>
        <v>879657</v>
      </c>
      <c r="K19" s="41">
        <v>880128</v>
      </c>
      <c r="L19" s="79">
        <f t="shared" si="3"/>
        <v>0.99946485056719025</v>
      </c>
      <c r="M19" s="82">
        <v>1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 t="s">
        <v>1353</v>
      </c>
      <c r="T19" s="82" t="s">
        <v>1353</v>
      </c>
      <c r="U19" s="82" t="s">
        <v>1353</v>
      </c>
      <c r="V19" s="82" t="s">
        <v>1353</v>
      </c>
      <c r="W19" s="80"/>
      <c r="X19" s="82" t="s">
        <v>1353</v>
      </c>
      <c r="Y19" s="82" t="s">
        <v>1354</v>
      </c>
      <c r="Z19" s="81"/>
      <c r="AA19" s="6">
        <f t="shared" si="4"/>
        <v>2</v>
      </c>
      <c r="AB19" s="80" t="str">
        <f>+IF(AND(D19&gt;'Indices y Outliers'!$I$144,D19&lt;&gt;""),1,"")</f>
        <v/>
      </c>
      <c r="AC19" s="80" t="str">
        <f>+IF(AND(G19&gt;'Indices y Outliers'!$I$153,G19&lt;&gt;""),1,"")</f>
        <v/>
      </c>
      <c r="AD19" s="7"/>
      <c r="AE19" s="7">
        <f t="shared" si="5"/>
        <v>0</v>
      </c>
    </row>
    <row r="20" spans="1:31" ht="14.5">
      <c r="A20" s="77" t="s">
        <v>264</v>
      </c>
      <c r="B20" s="78">
        <v>153.58000000000001</v>
      </c>
      <c r="C20" s="78">
        <v>0</v>
      </c>
      <c r="D20" s="42">
        <f t="shared" si="0"/>
        <v>153.58000000000001</v>
      </c>
      <c r="E20" s="78">
        <v>1.252</v>
      </c>
      <c r="F20" s="78">
        <v>0</v>
      </c>
      <c r="G20" s="42">
        <f t="shared" si="1"/>
        <v>1.252</v>
      </c>
      <c r="H20" s="41">
        <v>15107</v>
      </c>
      <c r="I20" s="41">
        <v>2104763</v>
      </c>
      <c r="J20" s="41">
        <f t="shared" si="2"/>
        <v>2119870</v>
      </c>
      <c r="K20" s="41">
        <v>2119870</v>
      </c>
      <c r="L20" s="79">
        <f t="shared" si="3"/>
        <v>1</v>
      </c>
      <c r="M20" s="82">
        <v>1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 t="s">
        <v>1353</v>
      </c>
      <c r="T20" s="82" t="s">
        <v>1353</v>
      </c>
      <c r="U20" s="82" t="s">
        <v>1353</v>
      </c>
      <c r="V20" s="82" t="s">
        <v>1353</v>
      </c>
      <c r="W20" s="80"/>
      <c r="X20" s="82" t="s">
        <v>1353</v>
      </c>
      <c r="Y20" s="80"/>
      <c r="Z20" s="81"/>
      <c r="AA20" s="6">
        <f t="shared" si="4"/>
        <v>2</v>
      </c>
      <c r="AB20" s="80" t="str">
        <f>+IF(AND(D20&gt;'Indices y Outliers'!$I$144,D20&lt;&gt;""),1,"")</f>
        <v/>
      </c>
      <c r="AC20" s="80" t="str">
        <f>+IF(AND(G20&gt;'Indices y Outliers'!$I$153,G20&lt;&gt;""),1,"")</f>
        <v/>
      </c>
      <c r="AD20" s="7"/>
      <c r="AE20" s="7">
        <f t="shared" si="5"/>
        <v>0</v>
      </c>
    </row>
    <row r="21" spans="1:31" ht="15.75" customHeight="1">
      <c r="A21" s="77" t="s">
        <v>267</v>
      </c>
      <c r="B21" s="78">
        <v>63.69</v>
      </c>
      <c r="C21" s="78">
        <v>0</v>
      </c>
      <c r="D21" s="42">
        <f t="shared" si="0"/>
        <v>63.69</v>
      </c>
      <c r="E21" s="78">
        <v>0.72099999999999997</v>
      </c>
      <c r="F21" s="78">
        <v>0</v>
      </c>
      <c r="G21" s="42">
        <f t="shared" si="1"/>
        <v>0.72099999999999997</v>
      </c>
      <c r="H21" s="41">
        <v>697</v>
      </c>
      <c r="I21" s="41">
        <v>148476</v>
      </c>
      <c r="J21" s="41">
        <f t="shared" si="2"/>
        <v>149173</v>
      </c>
      <c r="K21" s="41">
        <v>149329</v>
      </c>
      <c r="L21" s="79">
        <f t="shared" si="3"/>
        <v>0.99895532682868027</v>
      </c>
      <c r="M21" s="82">
        <v>1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 t="s">
        <v>1353</v>
      </c>
      <c r="T21" s="82" t="s">
        <v>1353</v>
      </c>
      <c r="U21" s="82" t="s">
        <v>1353</v>
      </c>
      <c r="V21" s="82" t="s">
        <v>1353</v>
      </c>
      <c r="W21" s="80"/>
      <c r="X21" s="82" t="s">
        <v>1353</v>
      </c>
      <c r="Y21" s="80"/>
      <c r="Z21" s="81"/>
      <c r="AA21" s="6">
        <f t="shared" si="4"/>
        <v>2</v>
      </c>
      <c r="AB21" s="80" t="str">
        <f>+IF(AND(D21&gt;'Indices y Outliers'!$I$144,D21&lt;&gt;""),1,"")</f>
        <v/>
      </c>
      <c r="AC21" s="80" t="str">
        <f>+IF(AND(G21&gt;'Indices y Outliers'!$I$153,G21&lt;&gt;""),1,"")</f>
        <v/>
      </c>
      <c r="AD21" s="7"/>
      <c r="AE21" s="7">
        <f t="shared" si="5"/>
        <v>0</v>
      </c>
    </row>
    <row r="22" spans="1:31" ht="15.75" customHeight="1">
      <c r="A22" s="77" t="s">
        <v>270</v>
      </c>
      <c r="B22" s="78">
        <v>124.88</v>
      </c>
      <c r="C22" s="78">
        <v>0</v>
      </c>
      <c r="D22" s="42">
        <f t="shared" si="0"/>
        <v>124.88</v>
      </c>
      <c r="E22" s="78">
        <v>1.0249999999999999</v>
      </c>
      <c r="F22" s="78">
        <v>0</v>
      </c>
      <c r="G22" s="42">
        <f t="shared" si="1"/>
        <v>1.0249999999999999</v>
      </c>
      <c r="H22" s="41">
        <v>5937</v>
      </c>
      <c r="I22" s="41">
        <v>741566</v>
      </c>
      <c r="J22" s="41">
        <f t="shared" si="2"/>
        <v>747503</v>
      </c>
      <c r="K22" s="41">
        <v>748298</v>
      </c>
      <c r="L22" s="79">
        <f t="shared" si="3"/>
        <v>0.99893758903538432</v>
      </c>
      <c r="M22" s="82">
        <v>1</v>
      </c>
      <c r="N22" s="80"/>
      <c r="O22" s="82">
        <v>1</v>
      </c>
      <c r="P22" s="82">
        <v>1</v>
      </c>
      <c r="Q22" s="82">
        <v>1</v>
      </c>
      <c r="R22" s="82">
        <v>1</v>
      </c>
      <c r="S22" s="82" t="s">
        <v>1354</v>
      </c>
      <c r="T22" s="82" t="s">
        <v>1354</v>
      </c>
      <c r="U22" s="82" t="s">
        <v>1353</v>
      </c>
      <c r="V22" s="82" t="s">
        <v>1354</v>
      </c>
      <c r="W22" s="80"/>
      <c r="X22" s="82" t="s">
        <v>1353</v>
      </c>
      <c r="Y22" s="80"/>
      <c r="Z22" s="81"/>
      <c r="AA22" s="6">
        <f t="shared" si="4"/>
        <v>2</v>
      </c>
      <c r="AB22" s="80" t="str">
        <f>+IF(AND(D22&gt;'Indices y Outliers'!$I$144,D22&lt;&gt;""),1,"")</f>
        <v/>
      </c>
      <c r="AC22" s="80" t="str">
        <f>+IF(AND(G22&gt;'Indices y Outliers'!$I$153,G22&lt;&gt;""),1,"")</f>
        <v/>
      </c>
      <c r="AD22" s="7"/>
      <c r="AE22" s="7">
        <f t="shared" si="5"/>
        <v>0</v>
      </c>
    </row>
    <row r="23" spans="1:31" ht="15.75" customHeight="1">
      <c r="A23" s="77" t="s">
        <v>273</v>
      </c>
      <c r="B23" s="78">
        <v>192.36</v>
      </c>
      <c r="C23" s="78">
        <v>0</v>
      </c>
      <c r="D23" s="42">
        <f t="shared" si="0"/>
        <v>192.36</v>
      </c>
      <c r="E23" s="78">
        <v>1.889</v>
      </c>
      <c r="F23" s="78">
        <v>0</v>
      </c>
      <c r="G23" s="42">
        <f t="shared" si="1"/>
        <v>1.889</v>
      </c>
      <c r="H23" s="41">
        <v>9089</v>
      </c>
      <c r="I23" s="41">
        <v>16625</v>
      </c>
      <c r="J23" s="41">
        <f t="shared" si="2"/>
        <v>25714</v>
      </c>
      <c r="K23" s="41">
        <v>1163061</v>
      </c>
      <c r="L23" s="79">
        <f t="shared" si="3"/>
        <v>2.2108900564974665E-2</v>
      </c>
      <c r="M23" s="82">
        <v>1</v>
      </c>
      <c r="N23" s="80"/>
      <c r="O23" s="82">
        <v>1</v>
      </c>
      <c r="P23" s="82">
        <v>1</v>
      </c>
      <c r="Q23" s="82">
        <v>1</v>
      </c>
      <c r="R23" s="82">
        <v>1</v>
      </c>
      <c r="S23" s="82" t="s">
        <v>1353</v>
      </c>
      <c r="T23" s="82" t="s">
        <v>1353</v>
      </c>
      <c r="U23" s="82" t="s">
        <v>1354</v>
      </c>
      <c r="V23" s="82" t="s">
        <v>1353</v>
      </c>
      <c r="W23" s="80"/>
      <c r="X23" s="82" t="s">
        <v>1353</v>
      </c>
      <c r="Y23" s="82" t="s">
        <v>1353</v>
      </c>
      <c r="Z23" s="81"/>
      <c r="AA23" s="6">
        <f t="shared" si="4"/>
        <v>2</v>
      </c>
      <c r="AB23" s="80" t="str">
        <f>+IF(AND(D23&gt;'Indices y Outliers'!$I$144,D23&lt;&gt;""),1,"")</f>
        <v/>
      </c>
      <c r="AC23" s="80" t="str">
        <f>+IF(AND(G23&gt;'Indices y Outliers'!$I$153,G23&lt;&gt;""),1,"")</f>
        <v/>
      </c>
      <c r="AD23" s="7"/>
      <c r="AE23" s="7">
        <f t="shared" si="5"/>
        <v>0</v>
      </c>
    </row>
    <row r="24" spans="1:31" ht="15.75" customHeight="1">
      <c r="A24" s="77" t="s">
        <v>276</v>
      </c>
      <c r="B24" s="78">
        <v>114.438</v>
      </c>
      <c r="C24" s="78">
        <v>0</v>
      </c>
      <c r="D24" s="42">
        <f t="shared" si="0"/>
        <v>114.438</v>
      </c>
      <c r="E24" s="78">
        <v>1.4039999999999999</v>
      </c>
      <c r="F24" s="78">
        <v>0</v>
      </c>
      <c r="G24" s="42">
        <f t="shared" si="1"/>
        <v>1.4039999999999999</v>
      </c>
      <c r="H24" s="41">
        <v>65527</v>
      </c>
      <c r="I24" s="41">
        <v>260875</v>
      </c>
      <c r="J24" s="41">
        <f t="shared" si="2"/>
        <v>326402</v>
      </c>
      <c r="K24" s="41">
        <v>1081974</v>
      </c>
      <c r="L24" s="79">
        <f t="shared" si="3"/>
        <v>0.30167268344710685</v>
      </c>
      <c r="M24" s="82">
        <v>1</v>
      </c>
      <c r="N24" s="82">
        <v>1</v>
      </c>
      <c r="O24" s="82">
        <v>1</v>
      </c>
      <c r="P24" s="80"/>
      <c r="Q24" s="82">
        <v>1</v>
      </c>
      <c r="R24" s="82">
        <v>1</v>
      </c>
      <c r="S24" s="82" t="s">
        <v>1354</v>
      </c>
      <c r="T24" s="82" t="s">
        <v>1354</v>
      </c>
      <c r="U24" s="80"/>
      <c r="V24" s="82" t="s">
        <v>1353</v>
      </c>
      <c r="W24" s="80"/>
      <c r="X24" s="82" t="s">
        <v>1353</v>
      </c>
      <c r="Y24" s="82" t="s">
        <v>1354</v>
      </c>
      <c r="Z24" s="81"/>
      <c r="AA24" s="6">
        <f t="shared" si="4"/>
        <v>2</v>
      </c>
      <c r="AB24" s="80" t="str">
        <f>+IF(AND(D24&gt;'Indices y Outliers'!$I$144,D24&lt;&gt;""),1,"")</f>
        <v/>
      </c>
      <c r="AC24" s="80" t="str">
        <f>+IF(AND(G24&gt;'Indices y Outliers'!$I$153,G24&lt;&gt;""),1,"")</f>
        <v/>
      </c>
      <c r="AD24" s="7"/>
      <c r="AE24" s="7">
        <f t="shared" si="5"/>
        <v>0</v>
      </c>
    </row>
    <row r="25" spans="1:31" ht="15.75" customHeight="1">
      <c r="A25" s="77" t="s">
        <v>279</v>
      </c>
      <c r="B25" s="78">
        <v>135.69200000000001</v>
      </c>
      <c r="C25" s="78">
        <v>0</v>
      </c>
      <c r="D25" s="42">
        <f t="shared" si="0"/>
        <v>135.69200000000001</v>
      </c>
      <c r="E25" s="78">
        <v>1.5640000000000001</v>
      </c>
      <c r="F25" s="78">
        <v>0</v>
      </c>
      <c r="G25" s="42">
        <f t="shared" si="1"/>
        <v>1.5640000000000001</v>
      </c>
      <c r="H25" s="41">
        <v>25578</v>
      </c>
      <c r="I25" s="41">
        <v>313147</v>
      </c>
      <c r="J25" s="41">
        <f t="shared" si="2"/>
        <v>338725</v>
      </c>
      <c r="K25" s="41">
        <v>772694</v>
      </c>
      <c r="L25" s="79">
        <f t="shared" si="3"/>
        <v>0.43836887564805732</v>
      </c>
      <c r="M25" s="82">
        <v>1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 t="s">
        <v>1354</v>
      </c>
      <c r="T25" s="82" t="s">
        <v>1354</v>
      </c>
      <c r="U25" s="82" t="s">
        <v>1354</v>
      </c>
      <c r="V25" s="82" t="s">
        <v>1353</v>
      </c>
      <c r="W25" s="80"/>
      <c r="X25" s="82" t="s">
        <v>1353</v>
      </c>
      <c r="Y25" s="82" t="s">
        <v>1354</v>
      </c>
      <c r="Z25" s="81"/>
      <c r="AA25" s="6">
        <f t="shared" si="4"/>
        <v>2</v>
      </c>
      <c r="AB25" s="80" t="str">
        <f>+IF(AND(D25&gt;'Indices y Outliers'!$I$144,D25&lt;&gt;""),1,"")</f>
        <v/>
      </c>
      <c r="AC25" s="80" t="str">
        <f>+IF(AND(G25&gt;'Indices y Outliers'!$I$153,G25&lt;&gt;""),1,"")</f>
        <v/>
      </c>
      <c r="AD25" s="7"/>
      <c r="AE25" s="7">
        <f t="shared" si="5"/>
        <v>0</v>
      </c>
    </row>
    <row r="26" spans="1:31" ht="15.75" customHeight="1">
      <c r="A26" s="77" t="s">
        <v>282</v>
      </c>
      <c r="B26" s="78">
        <v>68.602999999999994</v>
      </c>
      <c r="C26" s="78">
        <v>0</v>
      </c>
      <c r="D26" s="42">
        <f t="shared" si="0"/>
        <v>68.602999999999994</v>
      </c>
      <c r="E26" s="78">
        <v>1.119</v>
      </c>
      <c r="F26" s="78">
        <v>0</v>
      </c>
      <c r="G26" s="42">
        <f t="shared" si="1"/>
        <v>1.119</v>
      </c>
      <c r="H26" s="41">
        <v>1291</v>
      </c>
      <c r="I26" s="41">
        <v>124295</v>
      </c>
      <c r="J26" s="41">
        <f t="shared" si="2"/>
        <v>125586</v>
      </c>
      <c r="K26" s="41">
        <v>321139</v>
      </c>
      <c r="L26" s="79">
        <f t="shared" si="3"/>
        <v>0.39106430548765486</v>
      </c>
      <c r="M26" s="82">
        <v>1</v>
      </c>
      <c r="N26" s="82">
        <v>1</v>
      </c>
      <c r="O26" s="82">
        <v>1</v>
      </c>
      <c r="P26" s="80"/>
      <c r="Q26" s="82">
        <v>1</v>
      </c>
      <c r="R26" s="82">
        <v>1</v>
      </c>
      <c r="S26" s="82" t="s">
        <v>1354</v>
      </c>
      <c r="T26" s="82" t="s">
        <v>1354</v>
      </c>
      <c r="U26" s="82" t="s">
        <v>1354</v>
      </c>
      <c r="V26" s="82" t="s">
        <v>1353</v>
      </c>
      <c r="W26" s="80"/>
      <c r="X26" s="82" t="s">
        <v>1353</v>
      </c>
      <c r="Y26" s="82" t="s">
        <v>1354</v>
      </c>
      <c r="Z26" s="81"/>
      <c r="AA26" s="6">
        <f t="shared" si="4"/>
        <v>2</v>
      </c>
      <c r="AB26" s="80" t="str">
        <f>+IF(AND(D26&gt;'Indices y Outliers'!$I$144,D26&lt;&gt;""),1,"")</f>
        <v/>
      </c>
      <c r="AC26" s="80" t="str">
        <f>+IF(AND(G26&gt;'Indices y Outliers'!$I$153,G26&lt;&gt;""),1,"")</f>
        <v/>
      </c>
      <c r="AD26" s="7"/>
      <c r="AE26" s="7">
        <f t="shared" si="5"/>
        <v>0</v>
      </c>
    </row>
    <row r="27" spans="1:31" ht="15.75" customHeight="1">
      <c r="A27" s="77" t="s">
        <v>285</v>
      </c>
      <c r="B27" s="78">
        <v>103.227</v>
      </c>
      <c r="C27" s="78">
        <v>0</v>
      </c>
      <c r="D27" s="42">
        <f t="shared" si="0"/>
        <v>103.227</v>
      </c>
      <c r="E27" s="78">
        <v>1.1279999999999999</v>
      </c>
      <c r="F27" s="78">
        <v>0</v>
      </c>
      <c r="G27" s="42">
        <f t="shared" si="1"/>
        <v>1.1279999999999999</v>
      </c>
      <c r="H27" s="41">
        <v>34</v>
      </c>
      <c r="I27" s="41">
        <v>172801</v>
      </c>
      <c r="J27" s="41">
        <f t="shared" si="2"/>
        <v>172835</v>
      </c>
      <c r="K27" s="41">
        <v>172836</v>
      </c>
      <c r="L27" s="79">
        <f t="shared" si="3"/>
        <v>0.99999421416834455</v>
      </c>
      <c r="M27" s="82">
        <v>1</v>
      </c>
      <c r="N27" s="80"/>
      <c r="O27" s="82">
        <v>1</v>
      </c>
      <c r="P27" s="82">
        <v>1</v>
      </c>
      <c r="Q27" s="82">
        <v>1</v>
      </c>
      <c r="R27" s="80">
        <v>1</v>
      </c>
      <c r="S27" s="80"/>
      <c r="T27" s="82" t="s">
        <v>1354</v>
      </c>
      <c r="U27" s="80"/>
      <c r="V27" s="82" t="s">
        <v>1353</v>
      </c>
      <c r="W27" s="80"/>
      <c r="X27" s="82" t="s">
        <v>1353</v>
      </c>
      <c r="Y27" s="82" t="s">
        <v>1354</v>
      </c>
      <c r="Z27" s="81"/>
      <c r="AA27" s="6">
        <f t="shared" si="4"/>
        <v>2</v>
      </c>
      <c r="AB27" s="80" t="str">
        <f>+IF(AND(D27&gt;'Indices y Outliers'!$I$144,D27&lt;&gt;""),1,"")</f>
        <v/>
      </c>
      <c r="AC27" s="80" t="str">
        <f>+IF(AND(G27&gt;'Indices y Outliers'!$I$153,G27&lt;&gt;""),1,"")</f>
        <v/>
      </c>
      <c r="AD27" s="7"/>
      <c r="AE27" s="7">
        <f t="shared" si="5"/>
        <v>0</v>
      </c>
    </row>
    <row r="28" spans="1:31" ht="15.75" customHeight="1">
      <c r="A28" s="77" t="s">
        <v>288</v>
      </c>
      <c r="B28" s="78">
        <v>254.274</v>
      </c>
      <c r="C28" s="78">
        <v>0</v>
      </c>
      <c r="D28" s="42">
        <f t="shared" si="0"/>
        <v>254.274</v>
      </c>
      <c r="E28" s="78">
        <v>2.1669999999999998</v>
      </c>
      <c r="F28" s="78">
        <v>0</v>
      </c>
      <c r="G28" s="42">
        <f t="shared" si="1"/>
        <v>2.1669999999999998</v>
      </c>
      <c r="H28" s="41">
        <v>20</v>
      </c>
      <c r="I28" s="41">
        <v>9</v>
      </c>
      <c r="J28" s="41">
        <f t="shared" si="2"/>
        <v>29</v>
      </c>
      <c r="K28" s="41">
        <v>3983</v>
      </c>
      <c r="L28" s="79">
        <f t="shared" si="3"/>
        <v>7.2809440120512178E-3</v>
      </c>
      <c r="M28" s="82">
        <v>1</v>
      </c>
      <c r="N28" s="80"/>
      <c r="O28" s="82">
        <v>1</v>
      </c>
      <c r="P28" s="82">
        <v>1</v>
      </c>
      <c r="Q28" s="82">
        <v>1</v>
      </c>
      <c r="R28" s="82">
        <v>1</v>
      </c>
      <c r="S28" s="82" t="s">
        <v>1354</v>
      </c>
      <c r="T28" s="82" t="s">
        <v>1353</v>
      </c>
      <c r="U28" s="82" t="s">
        <v>1354</v>
      </c>
      <c r="V28" s="82" t="s">
        <v>1353</v>
      </c>
      <c r="W28" s="80"/>
      <c r="X28" s="82" t="s">
        <v>1353</v>
      </c>
      <c r="Y28" s="82" t="s">
        <v>1354</v>
      </c>
      <c r="Z28" s="81"/>
      <c r="AA28" s="6">
        <f t="shared" si="4"/>
        <v>2</v>
      </c>
      <c r="AB28" s="80" t="str">
        <f>+IF(AND(D28&gt;'Indices y Outliers'!$I$144,D28&lt;&gt;""),1,"")</f>
        <v/>
      </c>
      <c r="AC28" s="80" t="str">
        <f>+IF(AND(G28&gt;'Indices y Outliers'!$I$153,G28&lt;&gt;""),1,"")</f>
        <v/>
      </c>
      <c r="AD28" s="7"/>
      <c r="AE28" s="7">
        <f t="shared" si="5"/>
        <v>0</v>
      </c>
    </row>
    <row r="29" spans="1:31" ht="15.75" customHeight="1">
      <c r="A29" s="77" t="s">
        <v>291</v>
      </c>
      <c r="B29" s="78">
        <v>184.46899999999999</v>
      </c>
      <c r="C29" s="78">
        <v>0</v>
      </c>
      <c r="D29" s="42">
        <f t="shared" si="0"/>
        <v>184.46899999999999</v>
      </c>
      <c r="E29" s="78">
        <v>1.5189999999999999</v>
      </c>
      <c r="F29" s="78">
        <v>0</v>
      </c>
      <c r="G29" s="42">
        <f t="shared" si="1"/>
        <v>1.5189999999999999</v>
      </c>
      <c r="H29" s="41">
        <v>270</v>
      </c>
      <c r="I29" s="41">
        <v>591306</v>
      </c>
      <c r="J29" s="41">
        <f t="shared" si="2"/>
        <v>591576</v>
      </c>
      <c r="K29" s="41">
        <v>591828</v>
      </c>
      <c r="L29" s="79">
        <f t="shared" si="3"/>
        <v>0.99957420061234004</v>
      </c>
      <c r="M29" s="82">
        <v>1</v>
      </c>
      <c r="N29" s="80"/>
      <c r="O29" s="82">
        <v>1</v>
      </c>
      <c r="P29" s="82">
        <v>1</v>
      </c>
      <c r="Q29" s="82">
        <v>1</v>
      </c>
      <c r="R29" s="82">
        <v>1</v>
      </c>
      <c r="S29" s="82" t="s">
        <v>1354</v>
      </c>
      <c r="T29" s="82" t="s">
        <v>1353</v>
      </c>
      <c r="U29" s="82" t="s">
        <v>1354</v>
      </c>
      <c r="V29" s="82" t="s">
        <v>1353</v>
      </c>
      <c r="W29" s="80"/>
      <c r="X29" s="82" t="s">
        <v>1353</v>
      </c>
      <c r="Y29" s="82" t="s">
        <v>1354</v>
      </c>
      <c r="Z29" s="81"/>
      <c r="AA29" s="6">
        <f t="shared" si="4"/>
        <v>2</v>
      </c>
      <c r="AB29" s="80" t="str">
        <f>+IF(AND(D29&gt;'Indices y Outliers'!$I$144,D29&lt;&gt;""),1,"")</f>
        <v/>
      </c>
      <c r="AC29" s="80" t="str">
        <f>+IF(AND(G29&gt;'Indices y Outliers'!$I$153,G29&lt;&gt;""),1,"")</f>
        <v/>
      </c>
      <c r="AD29" s="7"/>
      <c r="AE29" s="7">
        <f t="shared" si="5"/>
        <v>0</v>
      </c>
    </row>
    <row r="30" spans="1:31" ht="15.75" customHeight="1">
      <c r="A30" s="77" t="s">
        <v>294</v>
      </c>
      <c r="B30" s="78">
        <v>0</v>
      </c>
      <c r="C30" s="78">
        <v>0</v>
      </c>
      <c r="D30" s="42" t="str">
        <f t="shared" si="0"/>
        <v/>
      </c>
      <c r="E30" s="78">
        <v>0</v>
      </c>
      <c r="F30" s="78">
        <v>0</v>
      </c>
      <c r="G30" s="42" t="str">
        <f t="shared" si="1"/>
        <v/>
      </c>
      <c r="H30" s="41">
        <v>0</v>
      </c>
      <c r="I30" s="41">
        <v>0</v>
      </c>
      <c r="J30" s="41">
        <f t="shared" si="2"/>
        <v>0</v>
      </c>
      <c r="K30" s="41">
        <v>0</v>
      </c>
      <c r="L30" s="79" t="str">
        <f t="shared" si="3"/>
        <v/>
      </c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1"/>
      <c r="AA30" s="6">
        <f t="shared" si="4"/>
        <v>0</v>
      </c>
      <c r="AB30" s="80" t="str">
        <f>+IF(AND(D30&gt;'Indices y Outliers'!$I$144,D30&lt;&gt;""),1,"")</f>
        <v/>
      </c>
      <c r="AC30" s="80" t="str">
        <f>+IF(AND(G30&gt;'Indices y Outliers'!$I$153,G30&lt;&gt;""),1,"")</f>
        <v/>
      </c>
      <c r="AD30" s="7"/>
      <c r="AE30" s="7">
        <f t="shared" si="5"/>
        <v>0</v>
      </c>
    </row>
    <row r="31" spans="1:31" ht="15.75" customHeight="1">
      <c r="A31" s="77" t="s">
        <v>297</v>
      </c>
      <c r="B31" s="78">
        <v>0</v>
      </c>
      <c r="C31" s="78">
        <v>0</v>
      </c>
      <c r="D31" s="42" t="str">
        <f t="shared" si="0"/>
        <v/>
      </c>
      <c r="E31" s="78">
        <v>0</v>
      </c>
      <c r="F31" s="78">
        <v>0</v>
      </c>
      <c r="G31" s="42" t="str">
        <f t="shared" si="1"/>
        <v/>
      </c>
      <c r="H31" s="41">
        <v>0</v>
      </c>
      <c r="I31" s="41">
        <v>0</v>
      </c>
      <c r="J31" s="41">
        <f t="shared" si="2"/>
        <v>0</v>
      </c>
      <c r="K31" s="41">
        <v>0</v>
      </c>
      <c r="L31" s="79" t="str">
        <f t="shared" si="3"/>
        <v/>
      </c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1"/>
      <c r="AA31" s="6">
        <f t="shared" si="4"/>
        <v>0</v>
      </c>
      <c r="AB31" s="80" t="str">
        <f>+IF(AND(D31&gt;'Indices y Outliers'!$I$144,D31&lt;&gt;""),1,"")</f>
        <v/>
      </c>
      <c r="AC31" s="80" t="str">
        <f>+IF(AND(G31&gt;'Indices y Outliers'!$I$153,G31&lt;&gt;""),1,"")</f>
        <v/>
      </c>
      <c r="AD31" s="7"/>
      <c r="AE31" s="7">
        <f t="shared" si="5"/>
        <v>0</v>
      </c>
    </row>
    <row r="32" spans="1:31" ht="15.75" customHeight="1">
      <c r="A32" s="77" t="s">
        <v>300</v>
      </c>
      <c r="B32" s="78">
        <v>198</v>
      </c>
      <c r="C32" s="78">
        <v>0</v>
      </c>
      <c r="D32" s="42">
        <f t="shared" si="0"/>
        <v>198</v>
      </c>
      <c r="E32" s="78">
        <v>2.97</v>
      </c>
      <c r="F32" s="78">
        <v>0</v>
      </c>
      <c r="G32" s="42">
        <f t="shared" si="1"/>
        <v>2.97</v>
      </c>
      <c r="H32" s="41">
        <v>141412</v>
      </c>
      <c r="I32" s="41">
        <v>0</v>
      </c>
      <c r="J32" s="41">
        <f t="shared" si="2"/>
        <v>141412</v>
      </c>
      <c r="K32" s="41">
        <v>141463</v>
      </c>
      <c r="L32" s="79">
        <f t="shared" si="3"/>
        <v>0.99963948170192918</v>
      </c>
      <c r="M32" s="82">
        <v>1</v>
      </c>
      <c r="N32" s="80"/>
      <c r="O32" s="82">
        <v>1</v>
      </c>
      <c r="P32" s="80"/>
      <c r="Q32" s="82">
        <v>1</v>
      </c>
      <c r="R32" s="82">
        <v>1</v>
      </c>
      <c r="S32" s="82" t="s">
        <v>1353</v>
      </c>
      <c r="T32" s="82" t="s">
        <v>1353</v>
      </c>
      <c r="U32" s="82" t="s">
        <v>1353</v>
      </c>
      <c r="V32" s="82" t="s">
        <v>1353</v>
      </c>
      <c r="W32" s="80"/>
      <c r="X32" s="82" t="s">
        <v>1353</v>
      </c>
      <c r="Y32" s="80"/>
      <c r="Z32" s="81"/>
      <c r="AA32" s="6">
        <f t="shared" si="4"/>
        <v>2</v>
      </c>
      <c r="AB32" s="80" t="str">
        <f>+IF(AND(D32&gt;'Indices y Outliers'!$I$144,D32&lt;&gt;""),1,"")</f>
        <v/>
      </c>
      <c r="AC32" s="80" t="str">
        <f>+IF(AND(G32&gt;'Indices y Outliers'!$I$153,G32&lt;&gt;""),1,"")</f>
        <v/>
      </c>
      <c r="AD32" s="7"/>
      <c r="AE32" s="7">
        <f t="shared" si="5"/>
        <v>0</v>
      </c>
    </row>
    <row r="33" spans="1:31" ht="15.75" customHeight="1">
      <c r="A33" s="77" t="s">
        <v>303</v>
      </c>
      <c r="B33" s="78">
        <v>218.2</v>
      </c>
      <c r="C33" s="78">
        <v>0</v>
      </c>
      <c r="D33" s="42">
        <f t="shared" si="0"/>
        <v>218.2</v>
      </c>
      <c r="E33" s="78">
        <v>1.837</v>
      </c>
      <c r="F33" s="78">
        <v>0</v>
      </c>
      <c r="G33" s="42">
        <f t="shared" si="1"/>
        <v>1.837</v>
      </c>
      <c r="H33" s="41">
        <v>0</v>
      </c>
      <c r="I33" s="41">
        <v>5571340</v>
      </c>
      <c r="J33" s="41">
        <f t="shared" si="2"/>
        <v>5571340</v>
      </c>
      <c r="K33" s="41">
        <v>5628169</v>
      </c>
      <c r="L33" s="79">
        <f t="shared" si="3"/>
        <v>0.98990275522998683</v>
      </c>
      <c r="M33" s="82">
        <v>1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 t="s">
        <v>1353</v>
      </c>
      <c r="T33" s="82" t="s">
        <v>1353</v>
      </c>
      <c r="U33" s="82" t="s">
        <v>1353</v>
      </c>
      <c r="V33" s="82" t="s">
        <v>1353</v>
      </c>
      <c r="W33" s="82" t="s">
        <v>1354</v>
      </c>
      <c r="X33" s="82" t="s">
        <v>1354</v>
      </c>
      <c r="Y33" s="82" t="s">
        <v>1354</v>
      </c>
      <c r="Z33" s="81"/>
      <c r="AA33" s="6">
        <f t="shared" si="4"/>
        <v>2</v>
      </c>
      <c r="AB33" s="80" t="str">
        <f>+IF(AND(D33&gt;'Indices y Outliers'!$I$144,D33&lt;&gt;""),1,"")</f>
        <v/>
      </c>
      <c r="AC33" s="80" t="str">
        <f>+IF(AND(G33&gt;'Indices y Outliers'!$I$153,G33&lt;&gt;""),1,"")</f>
        <v/>
      </c>
      <c r="AD33" s="7"/>
      <c r="AE33" s="7">
        <f t="shared" si="5"/>
        <v>0</v>
      </c>
    </row>
    <row r="34" spans="1:31" ht="15.75" customHeight="1">
      <c r="A34" s="77" t="s">
        <v>306</v>
      </c>
      <c r="B34" s="78">
        <v>135.601</v>
      </c>
      <c r="C34" s="78">
        <v>0</v>
      </c>
      <c r="D34" s="42">
        <f t="shared" si="0"/>
        <v>135.601</v>
      </c>
      <c r="E34" s="78">
        <v>1.581</v>
      </c>
      <c r="F34" s="78">
        <v>0</v>
      </c>
      <c r="G34" s="42">
        <f t="shared" si="1"/>
        <v>1.581</v>
      </c>
      <c r="H34" s="41">
        <v>0</v>
      </c>
      <c r="I34" s="41">
        <v>2568600</v>
      </c>
      <c r="J34" s="41">
        <f t="shared" si="2"/>
        <v>2568600</v>
      </c>
      <c r="K34" s="41">
        <v>2582725</v>
      </c>
      <c r="L34" s="79">
        <f t="shared" si="3"/>
        <v>0.99453097019620751</v>
      </c>
      <c r="M34" s="82">
        <v>1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 t="s">
        <v>1353</v>
      </c>
      <c r="T34" s="80"/>
      <c r="U34" s="82" t="s">
        <v>1353</v>
      </c>
      <c r="V34" s="82" t="s">
        <v>1353</v>
      </c>
      <c r="W34" s="80"/>
      <c r="X34" s="82" t="s">
        <v>1353</v>
      </c>
      <c r="Y34" s="82" t="s">
        <v>1353</v>
      </c>
      <c r="Z34" s="81"/>
      <c r="AA34" s="6">
        <f t="shared" si="4"/>
        <v>2</v>
      </c>
      <c r="AB34" s="80" t="str">
        <f>+IF(AND(D34&gt;'Indices y Outliers'!$I$144,D34&lt;&gt;""),1,"")</f>
        <v/>
      </c>
      <c r="AC34" s="80" t="str">
        <f>+IF(AND(G34&gt;'Indices y Outliers'!$I$153,G34&lt;&gt;""),1,"")</f>
        <v/>
      </c>
      <c r="AD34" s="7"/>
      <c r="AE34" s="7">
        <f t="shared" si="5"/>
        <v>0</v>
      </c>
    </row>
    <row r="35" spans="1:31" ht="15.75" customHeight="1">
      <c r="A35" s="77" t="s">
        <v>309</v>
      </c>
      <c r="B35" s="78">
        <v>0</v>
      </c>
      <c r="C35" s="78">
        <v>2.76</v>
      </c>
      <c r="D35" s="42">
        <f t="shared" si="0"/>
        <v>2.76</v>
      </c>
      <c r="E35" s="78">
        <v>0</v>
      </c>
      <c r="F35" s="78">
        <v>3.15</v>
      </c>
      <c r="G35" s="42">
        <f t="shared" si="1"/>
        <v>3.15</v>
      </c>
      <c r="H35" s="41">
        <v>0</v>
      </c>
      <c r="I35" s="41">
        <v>291376</v>
      </c>
      <c r="J35" s="41">
        <f t="shared" si="2"/>
        <v>291376</v>
      </c>
      <c r="K35" s="41">
        <v>291476</v>
      </c>
      <c r="L35" s="79">
        <f t="shared" si="3"/>
        <v>0.99965691857991734</v>
      </c>
      <c r="M35" s="82">
        <v>1</v>
      </c>
      <c r="N35" s="80"/>
      <c r="O35" s="82">
        <v>1</v>
      </c>
      <c r="P35" s="80"/>
      <c r="Q35" s="80"/>
      <c r="R35" s="82">
        <v>1</v>
      </c>
      <c r="S35" s="82" t="s">
        <v>1353</v>
      </c>
      <c r="T35" s="82" t="s">
        <v>1353</v>
      </c>
      <c r="U35" s="82" t="s">
        <v>1353</v>
      </c>
      <c r="V35" s="82" t="s">
        <v>1353</v>
      </c>
      <c r="W35" s="80"/>
      <c r="X35" s="82" t="s">
        <v>1353</v>
      </c>
      <c r="Y35" s="82" t="s">
        <v>1353</v>
      </c>
      <c r="Z35" s="81"/>
      <c r="AA35" s="6">
        <f t="shared" si="4"/>
        <v>2</v>
      </c>
      <c r="AB35" s="80" t="str">
        <f>+IF(AND(D35&gt;'Indices y Outliers'!$I$144,D35&lt;&gt;""),1,"")</f>
        <v/>
      </c>
      <c r="AC35" s="80" t="str">
        <f>+IF(AND(G35&gt;'Indices y Outliers'!$I$153,G35&lt;&gt;""),1,"")</f>
        <v/>
      </c>
      <c r="AD35" s="7"/>
      <c r="AE35" s="7">
        <f t="shared" si="5"/>
        <v>0</v>
      </c>
    </row>
    <row r="36" spans="1:31" ht="15.75" customHeight="1">
      <c r="A36" s="77" t="s">
        <v>312</v>
      </c>
      <c r="B36" s="78">
        <v>156.23699999999999</v>
      </c>
      <c r="C36" s="78">
        <v>0</v>
      </c>
      <c r="D36" s="42">
        <f t="shared" si="0"/>
        <v>156.23699999999999</v>
      </c>
      <c r="E36" s="78">
        <v>1.294</v>
      </c>
      <c r="F36" s="78">
        <v>0</v>
      </c>
      <c r="G36" s="42">
        <f t="shared" si="1"/>
        <v>1.294</v>
      </c>
      <c r="H36" s="41">
        <v>118000</v>
      </c>
      <c r="I36" s="41">
        <v>0</v>
      </c>
      <c r="J36" s="41">
        <f t="shared" si="2"/>
        <v>118000</v>
      </c>
      <c r="K36" s="41">
        <v>118975</v>
      </c>
      <c r="L36" s="79">
        <f t="shared" si="3"/>
        <v>0.99180500105064084</v>
      </c>
      <c r="M36" s="82">
        <v>1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 t="s">
        <v>1353</v>
      </c>
      <c r="T36" s="82" t="s">
        <v>1353</v>
      </c>
      <c r="U36" s="82" t="s">
        <v>1353</v>
      </c>
      <c r="V36" s="82" t="s">
        <v>1353</v>
      </c>
      <c r="W36" s="80"/>
      <c r="X36" s="82" t="s">
        <v>1353</v>
      </c>
      <c r="Y36" s="80"/>
      <c r="Z36" s="81"/>
      <c r="AA36" s="6">
        <f t="shared" si="4"/>
        <v>2</v>
      </c>
      <c r="AB36" s="80" t="str">
        <f>+IF(AND(D36&gt;'Indices y Outliers'!$I$144,D36&lt;&gt;""),1,"")</f>
        <v/>
      </c>
      <c r="AC36" s="80" t="str">
        <f>+IF(AND(G36&gt;'Indices y Outliers'!$I$153,G36&lt;&gt;""),1,"")</f>
        <v/>
      </c>
      <c r="AD36" s="7"/>
      <c r="AE36" s="7">
        <f t="shared" si="5"/>
        <v>0</v>
      </c>
    </row>
    <row r="37" spans="1:31" ht="15.75" customHeight="1">
      <c r="A37" s="77" t="s">
        <v>315</v>
      </c>
      <c r="B37" s="78">
        <v>95</v>
      </c>
      <c r="C37" s="78">
        <v>0</v>
      </c>
      <c r="D37" s="42">
        <f t="shared" si="0"/>
        <v>95</v>
      </c>
      <c r="E37" s="78">
        <v>1.46</v>
      </c>
      <c r="F37" s="78">
        <v>0</v>
      </c>
      <c r="G37" s="42">
        <f t="shared" si="1"/>
        <v>1.46</v>
      </c>
      <c r="H37" s="41">
        <v>394</v>
      </c>
      <c r="I37" s="41">
        <v>461154</v>
      </c>
      <c r="J37" s="41">
        <f t="shared" si="2"/>
        <v>461548</v>
      </c>
      <c r="K37" s="41">
        <v>461928</v>
      </c>
      <c r="L37" s="79">
        <f t="shared" si="3"/>
        <v>0.99917736097400456</v>
      </c>
      <c r="M37" s="82">
        <v>1</v>
      </c>
      <c r="N37" s="80"/>
      <c r="O37" s="82">
        <v>1</v>
      </c>
      <c r="P37" s="82">
        <v>1</v>
      </c>
      <c r="Q37" s="80"/>
      <c r="R37" s="82">
        <v>1</v>
      </c>
      <c r="S37" s="82" t="s">
        <v>1353</v>
      </c>
      <c r="T37" s="80"/>
      <c r="U37" s="82" t="s">
        <v>1353</v>
      </c>
      <c r="V37" s="82" t="s">
        <v>1353</v>
      </c>
      <c r="W37" s="82" t="s">
        <v>1353</v>
      </c>
      <c r="X37" s="82" t="s">
        <v>1353</v>
      </c>
      <c r="Y37" s="82" t="s">
        <v>1354</v>
      </c>
      <c r="Z37" s="81"/>
      <c r="AA37" s="6">
        <f t="shared" si="4"/>
        <v>2</v>
      </c>
      <c r="AB37" s="80" t="str">
        <f>+IF(AND(D37&gt;'Indices y Outliers'!$I$144,D37&lt;&gt;""),1,"")</f>
        <v/>
      </c>
      <c r="AC37" s="80" t="str">
        <f>+IF(AND(G37&gt;'Indices y Outliers'!$I$153,G37&lt;&gt;""),1,"")</f>
        <v/>
      </c>
      <c r="AD37" s="7"/>
      <c r="AE37" s="7">
        <f t="shared" si="5"/>
        <v>0</v>
      </c>
    </row>
    <row r="38" spans="1:31" ht="15.75" customHeight="1">
      <c r="A38" s="77" t="s">
        <v>318</v>
      </c>
      <c r="B38" s="78">
        <v>148.69999999999999</v>
      </c>
      <c r="C38" s="78">
        <v>0</v>
      </c>
      <c r="D38" s="42">
        <f t="shared" si="0"/>
        <v>148.69999999999999</v>
      </c>
      <c r="E38" s="78">
        <v>1.48</v>
      </c>
      <c r="F38" s="78">
        <v>0</v>
      </c>
      <c r="G38" s="42">
        <f t="shared" si="1"/>
        <v>1.48</v>
      </c>
      <c r="H38" s="41">
        <v>132</v>
      </c>
      <c r="I38" s="41">
        <v>58062</v>
      </c>
      <c r="J38" s="41">
        <f t="shared" si="2"/>
        <v>58194</v>
      </c>
      <c r="K38" s="41">
        <v>58971</v>
      </c>
      <c r="L38" s="79">
        <f t="shared" si="3"/>
        <v>0.98682403215139647</v>
      </c>
      <c r="M38" s="82">
        <v>1</v>
      </c>
      <c r="N38" s="80"/>
      <c r="O38" s="82">
        <v>1</v>
      </c>
      <c r="P38" s="82">
        <v>1</v>
      </c>
      <c r="Q38" s="82">
        <v>1</v>
      </c>
      <c r="R38" s="82">
        <v>1</v>
      </c>
      <c r="S38" s="82" t="s">
        <v>1353</v>
      </c>
      <c r="T38" s="80"/>
      <c r="U38" s="82" t="s">
        <v>1353</v>
      </c>
      <c r="V38" s="82" t="s">
        <v>1353</v>
      </c>
      <c r="W38" s="80"/>
      <c r="X38" s="82" t="s">
        <v>1353</v>
      </c>
      <c r="Y38" s="80"/>
      <c r="Z38" s="81"/>
      <c r="AA38" s="6">
        <f t="shared" si="4"/>
        <v>2</v>
      </c>
      <c r="AB38" s="80" t="str">
        <f>+IF(AND(D38&gt;'Indices y Outliers'!$I$144,D38&lt;&gt;""),1,"")</f>
        <v/>
      </c>
      <c r="AC38" s="80" t="str">
        <f>+IF(AND(G38&gt;'Indices y Outliers'!$I$153,G38&lt;&gt;""),1,"")</f>
        <v/>
      </c>
      <c r="AD38" s="7"/>
      <c r="AE38" s="7">
        <f t="shared" si="5"/>
        <v>0</v>
      </c>
    </row>
    <row r="39" spans="1:31" ht="15.75" customHeight="1">
      <c r="A39" s="77" t="s">
        <v>321</v>
      </c>
      <c r="B39" s="78">
        <v>0</v>
      </c>
      <c r="C39" s="78">
        <v>0</v>
      </c>
      <c r="D39" s="42" t="str">
        <f t="shared" si="0"/>
        <v/>
      </c>
      <c r="E39" s="78">
        <v>0</v>
      </c>
      <c r="F39" s="78">
        <v>0</v>
      </c>
      <c r="G39" s="42" t="str">
        <f t="shared" si="1"/>
        <v/>
      </c>
      <c r="H39" s="41">
        <v>0</v>
      </c>
      <c r="I39" s="41">
        <v>0</v>
      </c>
      <c r="J39" s="41">
        <f t="shared" si="2"/>
        <v>0</v>
      </c>
      <c r="K39" s="41">
        <v>0</v>
      </c>
      <c r="L39" s="79" t="str">
        <f t="shared" si="3"/>
        <v/>
      </c>
      <c r="M39" s="80"/>
      <c r="N39" s="80"/>
      <c r="O39" s="80"/>
      <c r="P39" s="80"/>
      <c r="Q39" s="80"/>
      <c r="R39" s="82"/>
      <c r="S39" s="82" t="s">
        <v>1353</v>
      </c>
      <c r="T39" s="80"/>
      <c r="U39" s="80"/>
      <c r="V39" s="80"/>
      <c r="W39" s="80"/>
      <c r="X39" s="80"/>
      <c r="Y39" s="80"/>
      <c r="Z39" s="81"/>
      <c r="AA39" s="6">
        <f t="shared" si="4"/>
        <v>0</v>
      </c>
      <c r="AB39" s="80" t="str">
        <f>+IF(AND(D39&gt;'Indices y Outliers'!$I$144,D39&lt;&gt;""),1,"")</f>
        <v/>
      </c>
      <c r="AC39" s="80" t="str">
        <f>+IF(AND(G39&gt;'Indices y Outliers'!$I$153,G39&lt;&gt;""),1,"")</f>
        <v/>
      </c>
      <c r="AD39" s="7"/>
      <c r="AE39" s="7">
        <f t="shared" si="5"/>
        <v>0</v>
      </c>
    </row>
    <row r="40" spans="1:31" ht="15.75" customHeight="1">
      <c r="A40" s="77" t="s">
        <v>324</v>
      </c>
      <c r="B40" s="78">
        <v>0</v>
      </c>
      <c r="C40" s="78">
        <v>107.45</v>
      </c>
      <c r="D40" s="42">
        <f t="shared" si="0"/>
        <v>107.45</v>
      </c>
      <c r="E40" s="78">
        <v>0</v>
      </c>
      <c r="F40" s="78">
        <v>1.2829999999999999</v>
      </c>
      <c r="G40" s="42">
        <f t="shared" si="1"/>
        <v>1.2829999999999999</v>
      </c>
      <c r="H40" s="41">
        <v>666</v>
      </c>
      <c r="I40" s="41">
        <v>230585</v>
      </c>
      <c r="J40" s="41">
        <f t="shared" si="2"/>
        <v>231251</v>
      </c>
      <c r="K40" s="41">
        <v>239048</v>
      </c>
      <c r="L40" s="79">
        <f t="shared" si="3"/>
        <v>0.96738311970817581</v>
      </c>
      <c r="M40" s="82">
        <v>1</v>
      </c>
      <c r="N40" s="82">
        <v>1</v>
      </c>
      <c r="O40" s="82">
        <v>1</v>
      </c>
      <c r="P40" s="80"/>
      <c r="Q40" s="82">
        <v>1</v>
      </c>
      <c r="R40" s="80">
        <v>1</v>
      </c>
      <c r="S40" s="80"/>
      <c r="T40" s="82" t="s">
        <v>1354</v>
      </c>
      <c r="U40" s="80"/>
      <c r="V40" s="82" t="s">
        <v>1353</v>
      </c>
      <c r="W40" s="80"/>
      <c r="X40" s="80"/>
      <c r="Y40" s="80"/>
      <c r="Z40" s="81"/>
      <c r="AA40" s="6">
        <f t="shared" si="4"/>
        <v>2</v>
      </c>
      <c r="AB40" s="80" t="str">
        <f>+IF(AND(D40&gt;'Indices y Outliers'!$I$144,D40&lt;&gt;""),1,"")</f>
        <v/>
      </c>
      <c r="AC40" s="80" t="str">
        <f>+IF(AND(G40&gt;'Indices y Outliers'!$I$153,G40&lt;&gt;""),1,"")</f>
        <v/>
      </c>
      <c r="AD40" s="7"/>
      <c r="AE40" s="7">
        <f t="shared" si="5"/>
        <v>0</v>
      </c>
    </row>
    <row r="41" spans="1:31" ht="15.75" customHeight="1">
      <c r="A41" s="77" t="s">
        <v>327</v>
      </c>
      <c r="B41" s="78">
        <v>0</v>
      </c>
      <c r="C41" s="78">
        <v>107.85</v>
      </c>
      <c r="D41" s="42">
        <f t="shared" si="0"/>
        <v>107.85</v>
      </c>
      <c r="E41" s="78">
        <v>0</v>
      </c>
      <c r="F41" s="78">
        <v>0.89900000000000002</v>
      </c>
      <c r="G41" s="42">
        <f t="shared" si="1"/>
        <v>0.89900000000000002</v>
      </c>
      <c r="H41" s="41">
        <v>132</v>
      </c>
      <c r="I41" s="41">
        <v>71310</v>
      </c>
      <c r="J41" s="41">
        <f t="shared" si="2"/>
        <v>71442</v>
      </c>
      <c r="K41" s="41">
        <v>73661</v>
      </c>
      <c r="L41" s="79">
        <f t="shared" si="3"/>
        <v>0.96987551078589751</v>
      </c>
      <c r="M41" s="82">
        <v>1</v>
      </c>
      <c r="N41" s="80"/>
      <c r="O41" s="82">
        <v>1</v>
      </c>
      <c r="P41" s="80"/>
      <c r="Q41" s="82">
        <v>1</v>
      </c>
      <c r="R41" s="80">
        <v>1</v>
      </c>
      <c r="S41" s="80"/>
      <c r="T41" s="82" t="s">
        <v>1353</v>
      </c>
      <c r="U41" s="80"/>
      <c r="V41" s="82" t="s">
        <v>1353</v>
      </c>
      <c r="W41" s="80"/>
      <c r="X41" s="80"/>
      <c r="Y41" s="80"/>
      <c r="Z41" s="81"/>
      <c r="AA41" s="6">
        <f t="shared" si="4"/>
        <v>2</v>
      </c>
      <c r="AB41" s="80" t="str">
        <f>+IF(AND(D41&gt;'Indices y Outliers'!$I$144,D41&lt;&gt;""),1,"")</f>
        <v/>
      </c>
      <c r="AC41" s="80" t="str">
        <f>+IF(AND(G41&gt;'Indices y Outliers'!$I$153,G41&lt;&gt;""),1,"")</f>
        <v/>
      </c>
      <c r="AD41" s="7"/>
      <c r="AE41" s="7">
        <f t="shared" si="5"/>
        <v>0</v>
      </c>
    </row>
    <row r="42" spans="1:31" ht="15.75" customHeight="1">
      <c r="A42" s="77" t="s">
        <v>330</v>
      </c>
      <c r="B42" s="78">
        <v>0</v>
      </c>
      <c r="C42" s="78">
        <v>0</v>
      </c>
      <c r="D42" s="42" t="str">
        <f t="shared" si="0"/>
        <v/>
      </c>
      <c r="E42" s="78">
        <v>0</v>
      </c>
      <c r="F42" s="78">
        <v>0</v>
      </c>
      <c r="G42" s="42" t="str">
        <f t="shared" si="1"/>
        <v/>
      </c>
      <c r="H42" s="41">
        <v>0</v>
      </c>
      <c r="I42" s="41">
        <v>0</v>
      </c>
      <c r="J42" s="41">
        <f t="shared" si="2"/>
        <v>0</v>
      </c>
      <c r="K42" s="41">
        <v>0</v>
      </c>
      <c r="L42" s="79" t="str">
        <f t="shared" si="3"/>
        <v/>
      </c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1"/>
      <c r="AA42" s="6">
        <f t="shared" si="4"/>
        <v>0</v>
      </c>
      <c r="AB42" s="80" t="str">
        <f>+IF(AND(D42&gt;'Indices y Outliers'!$I$144,D42&lt;&gt;""),1,"")</f>
        <v/>
      </c>
      <c r="AC42" s="80" t="str">
        <f>+IF(AND(G42&gt;'Indices y Outliers'!$I$153,G42&lt;&gt;""),1,"")</f>
        <v/>
      </c>
      <c r="AD42" s="7"/>
      <c r="AE42" s="7">
        <f t="shared" si="5"/>
        <v>0</v>
      </c>
    </row>
    <row r="43" spans="1:31" ht="15.75" customHeight="1">
      <c r="A43" s="77" t="s">
        <v>333</v>
      </c>
      <c r="B43" s="78">
        <v>0</v>
      </c>
      <c r="C43" s="78">
        <v>0</v>
      </c>
      <c r="D43" s="42" t="str">
        <f t="shared" si="0"/>
        <v/>
      </c>
      <c r="E43" s="78">
        <v>0</v>
      </c>
      <c r="F43" s="78">
        <v>0</v>
      </c>
      <c r="G43" s="42" t="str">
        <f t="shared" si="1"/>
        <v/>
      </c>
      <c r="H43" s="41">
        <v>0</v>
      </c>
      <c r="I43" s="41">
        <v>0</v>
      </c>
      <c r="J43" s="41">
        <f t="shared" si="2"/>
        <v>0</v>
      </c>
      <c r="K43" s="41">
        <v>0</v>
      </c>
      <c r="L43" s="79" t="str">
        <f t="shared" si="3"/>
        <v/>
      </c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1"/>
      <c r="AA43" s="6">
        <f t="shared" si="4"/>
        <v>0</v>
      </c>
      <c r="AB43" s="80" t="str">
        <f>+IF(AND(D43&gt;'Indices y Outliers'!$I$144,D43&lt;&gt;""),1,"")</f>
        <v/>
      </c>
      <c r="AC43" s="80" t="str">
        <f>+IF(AND(G43&gt;'Indices y Outliers'!$I$153,G43&lt;&gt;""),1,"")</f>
        <v/>
      </c>
      <c r="AD43" s="7"/>
      <c r="AE43" s="7">
        <f t="shared" si="5"/>
        <v>0</v>
      </c>
    </row>
    <row r="44" spans="1:31" ht="15.75" customHeight="1">
      <c r="A44" s="77" t="s">
        <v>336</v>
      </c>
      <c r="B44" s="78">
        <v>0</v>
      </c>
      <c r="C44" s="78">
        <v>0</v>
      </c>
      <c r="D44" s="42" t="str">
        <f t="shared" si="0"/>
        <v/>
      </c>
      <c r="E44" s="78">
        <v>0</v>
      </c>
      <c r="F44" s="78">
        <v>0</v>
      </c>
      <c r="G44" s="42" t="str">
        <f t="shared" si="1"/>
        <v/>
      </c>
      <c r="H44" s="41">
        <v>0</v>
      </c>
      <c r="I44" s="41">
        <v>0</v>
      </c>
      <c r="J44" s="41">
        <f t="shared" si="2"/>
        <v>0</v>
      </c>
      <c r="K44" s="41">
        <v>0</v>
      </c>
      <c r="L44" s="79" t="str">
        <f t="shared" si="3"/>
        <v/>
      </c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1"/>
      <c r="AA44" s="6">
        <f t="shared" si="4"/>
        <v>0</v>
      </c>
      <c r="AB44" s="80" t="str">
        <f>+IF(AND(D44&gt;'Indices y Outliers'!$I$144,D44&lt;&gt;""),1,"")</f>
        <v/>
      </c>
      <c r="AC44" s="80" t="str">
        <f>+IF(AND(G44&gt;'Indices y Outliers'!$I$153,G44&lt;&gt;""),1,"")</f>
        <v/>
      </c>
      <c r="AD44" s="7"/>
      <c r="AE44" s="7">
        <f t="shared" si="5"/>
        <v>0</v>
      </c>
    </row>
    <row r="45" spans="1:31" ht="15.75" customHeight="1">
      <c r="A45" s="77" t="s">
        <v>339</v>
      </c>
      <c r="B45" s="78">
        <v>0</v>
      </c>
      <c r="C45" s="78">
        <v>0</v>
      </c>
      <c r="D45" s="42" t="str">
        <f t="shared" si="0"/>
        <v/>
      </c>
      <c r="E45" s="78">
        <v>0</v>
      </c>
      <c r="F45" s="78">
        <v>0</v>
      </c>
      <c r="G45" s="42" t="str">
        <f t="shared" si="1"/>
        <v/>
      </c>
      <c r="H45" s="41">
        <v>0</v>
      </c>
      <c r="I45" s="41">
        <v>0</v>
      </c>
      <c r="J45" s="41">
        <f t="shared" si="2"/>
        <v>0</v>
      </c>
      <c r="K45" s="41">
        <v>0</v>
      </c>
      <c r="L45" s="79" t="str">
        <f t="shared" si="3"/>
        <v/>
      </c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1"/>
      <c r="AA45" s="6">
        <f t="shared" si="4"/>
        <v>0</v>
      </c>
      <c r="AB45" s="80" t="str">
        <f>+IF(AND(D45&gt;'Indices y Outliers'!$I$144,D45&lt;&gt;""),1,"")</f>
        <v/>
      </c>
      <c r="AC45" s="80" t="str">
        <f>+IF(AND(G45&gt;'Indices y Outliers'!$I$153,G45&lt;&gt;""),1,"")</f>
        <v/>
      </c>
      <c r="AD45" s="7"/>
      <c r="AE45" s="7">
        <f t="shared" si="5"/>
        <v>0</v>
      </c>
    </row>
    <row r="46" spans="1:31" ht="15.75" customHeight="1">
      <c r="A46" s="77" t="s">
        <v>342</v>
      </c>
      <c r="B46" s="78">
        <v>0</v>
      </c>
      <c r="C46" s="78">
        <v>0</v>
      </c>
      <c r="D46" s="42" t="str">
        <f t="shared" si="0"/>
        <v/>
      </c>
      <c r="E46" s="78">
        <v>0</v>
      </c>
      <c r="F46" s="78">
        <v>0</v>
      </c>
      <c r="G46" s="42" t="str">
        <f t="shared" si="1"/>
        <v/>
      </c>
      <c r="H46" s="41">
        <v>0</v>
      </c>
      <c r="I46" s="41">
        <v>0</v>
      </c>
      <c r="J46" s="41">
        <f t="shared" si="2"/>
        <v>0</v>
      </c>
      <c r="K46" s="41">
        <v>0</v>
      </c>
      <c r="L46" s="79" t="str">
        <f t="shared" si="3"/>
        <v/>
      </c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1"/>
      <c r="AA46" s="6">
        <f t="shared" si="4"/>
        <v>0</v>
      </c>
      <c r="AB46" s="80" t="str">
        <f>+IF(AND(D46&gt;'Indices y Outliers'!$I$144,D46&lt;&gt;""),1,"")</f>
        <v/>
      </c>
      <c r="AC46" s="80" t="str">
        <f>+IF(AND(G46&gt;'Indices y Outliers'!$I$153,G46&lt;&gt;""),1,"")</f>
        <v/>
      </c>
      <c r="AD46" s="7"/>
      <c r="AE46" s="7">
        <f t="shared" si="5"/>
        <v>0</v>
      </c>
    </row>
    <row r="47" spans="1:31" ht="15.75" customHeight="1">
      <c r="A47" s="77" t="s">
        <v>345</v>
      </c>
      <c r="B47" s="78">
        <v>0</v>
      </c>
      <c r="C47" s="78">
        <v>0</v>
      </c>
      <c r="D47" s="42" t="str">
        <f t="shared" si="0"/>
        <v/>
      </c>
      <c r="E47" s="78">
        <v>0</v>
      </c>
      <c r="F47" s="78">
        <v>0</v>
      </c>
      <c r="G47" s="42" t="str">
        <f t="shared" si="1"/>
        <v/>
      </c>
      <c r="H47" s="41">
        <v>0</v>
      </c>
      <c r="I47" s="41">
        <v>0</v>
      </c>
      <c r="J47" s="41">
        <f t="shared" si="2"/>
        <v>0</v>
      </c>
      <c r="K47" s="41">
        <v>0</v>
      </c>
      <c r="L47" s="79" t="str">
        <f t="shared" si="3"/>
        <v/>
      </c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1"/>
      <c r="AA47" s="6">
        <f t="shared" si="4"/>
        <v>0</v>
      </c>
      <c r="AB47" s="80" t="str">
        <f>+IF(AND(D47&gt;'Indices y Outliers'!$I$144,D47&lt;&gt;""),1,"")</f>
        <v/>
      </c>
      <c r="AC47" s="80" t="str">
        <f>+IF(AND(G47&gt;'Indices y Outliers'!$I$153,G47&lt;&gt;""),1,"")</f>
        <v/>
      </c>
      <c r="AD47" s="7"/>
      <c r="AE47" s="7">
        <f t="shared" si="5"/>
        <v>0</v>
      </c>
    </row>
    <row r="48" spans="1:31" ht="15.75" customHeight="1">
      <c r="A48" s="77" t="s">
        <v>348</v>
      </c>
      <c r="B48" s="78">
        <v>351.3</v>
      </c>
      <c r="C48" s="78">
        <v>0</v>
      </c>
      <c r="D48" s="42">
        <f t="shared" si="0"/>
        <v>351.3</v>
      </c>
      <c r="E48" s="78">
        <v>1.6970000000000001</v>
      </c>
      <c r="F48" s="78">
        <v>0</v>
      </c>
      <c r="G48" s="42">
        <f t="shared" si="1"/>
        <v>1.6970000000000001</v>
      </c>
      <c r="H48" s="41">
        <v>81923</v>
      </c>
      <c r="I48" s="41">
        <v>460728</v>
      </c>
      <c r="J48" s="41">
        <f t="shared" si="2"/>
        <v>542651</v>
      </c>
      <c r="K48" s="41">
        <v>543928</v>
      </c>
      <c r="L48" s="79">
        <f t="shared" si="3"/>
        <v>0.99765226279948815</v>
      </c>
      <c r="M48" s="82">
        <v>1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 t="s">
        <v>1353</v>
      </c>
      <c r="T48" s="82" t="s">
        <v>1353</v>
      </c>
      <c r="U48" s="82" t="s">
        <v>1353</v>
      </c>
      <c r="V48" s="82" t="s">
        <v>1353</v>
      </c>
      <c r="W48" s="82" t="s">
        <v>1354</v>
      </c>
      <c r="X48" s="82" t="s">
        <v>1353</v>
      </c>
      <c r="Y48" s="80"/>
      <c r="Z48" s="81"/>
      <c r="AA48" s="6">
        <f t="shared" si="4"/>
        <v>2</v>
      </c>
      <c r="AB48" s="80" t="str">
        <f>+IF(AND(D48&gt;'Indices y Outliers'!$I$144,D48&lt;&gt;""),1,"")</f>
        <v/>
      </c>
      <c r="AC48" s="80" t="str">
        <f>+IF(AND(G48&gt;'Indices y Outliers'!$I$153,G48&lt;&gt;""),1,"")</f>
        <v/>
      </c>
      <c r="AD48" s="7"/>
      <c r="AE48" s="7">
        <f t="shared" si="5"/>
        <v>0</v>
      </c>
    </row>
    <row r="49" spans="1:31" ht="15.75" customHeight="1">
      <c r="A49" s="77" t="s">
        <v>351</v>
      </c>
      <c r="B49" s="78">
        <v>148.4</v>
      </c>
      <c r="C49" s="78">
        <v>0</v>
      </c>
      <c r="D49" s="42">
        <f t="shared" si="0"/>
        <v>148.4</v>
      </c>
      <c r="E49" s="78">
        <v>1.1279999999999999</v>
      </c>
      <c r="F49" s="78">
        <v>0</v>
      </c>
      <c r="G49" s="42">
        <f t="shared" si="1"/>
        <v>1.1279999999999999</v>
      </c>
      <c r="H49" s="41">
        <v>371249</v>
      </c>
      <c r="I49" s="41">
        <v>109671</v>
      </c>
      <c r="J49" s="41">
        <f t="shared" si="2"/>
        <v>480920</v>
      </c>
      <c r="K49" s="41">
        <v>481751</v>
      </c>
      <c r="L49" s="79">
        <f t="shared" si="3"/>
        <v>0.99827504250120913</v>
      </c>
      <c r="M49" s="82">
        <v>1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 t="s">
        <v>1353</v>
      </c>
      <c r="T49" s="82" t="s">
        <v>1353</v>
      </c>
      <c r="U49" s="82" t="s">
        <v>1353</v>
      </c>
      <c r="V49" s="82" t="s">
        <v>1353</v>
      </c>
      <c r="W49" s="80"/>
      <c r="X49" s="82" t="s">
        <v>1353</v>
      </c>
      <c r="Y49" s="80"/>
      <c r="Z49" s="81"/>
      <c r="AA49" s="6">
        <f t="shared" si="4"/>
        <v>2</v>
      </c>
      <c r="AB49" s="80" t="str">
        <f>+IF(AND(D49&gt;'Indices y Outliers'!$I$144,D49&lt;&gt;""),1,"")</f>
        <v/>
      </c>
      <c r="AC49" s="80" t="str">
        <f>+IF(AND(G49&gt;'Indices y Outliers'!$I$153,G49&lt;&gt;""),1,"")</f>
        <v/>
      </c>
      <c r="AD49" s="7"/>
      <c r="AE49" s="7">
        <f t="shared" si="5"/>
        <v>0</v>
      </c>
    </row>
    <row r="50" spans="1:31" ht="15.75" customHeight="1">
      <c r="A50" s="77" t="s">
        <v>354</v>
      </c>
      <c r="B50" s="78">
        <v>405.2</v>
      </c>
      <c r="C50" s="78">
        <v>0</v>
      </c>
      <c r="D50" s="42">
        <f t="shared" si="0"/>
        <v>405.2</v>
      </c>
      <c r="E50" s="78">
        <v>2.6480000000000001</v>
      </c>
      <c r="F50" s="78">
        <v>0</v>
      </c>
      <c r="G50" s="42">
        <f t="shared" si="1"/>
        <v>2.6480000000000001</v>
      </c>
      <c r="H50" s="41">
        <v>167676</v>
      </c>
      <c r="I50" s="41">
        <v>0</v>
      </c>
      <c r="J50" s="41">
        <f t="shared" si="2"/>
        <v>167676</v>
      </c>
      <c r="K50" s="41">
        <v>168117</v>
      </c>
      <c r="L50" s="79">
        <f t="shared" si="3"/>
        <v>0.99737682685272755</v>
      </c>
      <c r="M50" s="82">
        <v>1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 t="s">
        <v>1353</v>
      </c>
      <c r="T50" s="82" t="s">
        <v>1353</v>
      </c>
      <c r="U50" s="82" t="s">
        <v>1353</v>
      </c>
      <c r="V50" s="82" t="s">
        <v>1353</v>
      </c>
      <c r="W50" s="80"/>
      <c r="X50" s="82" t="s">
        <v>1353</v>
      </c>
      <c r="Y50" s="80"/>
      <c r="Z50" s="81"/>
      <c r="AA50" s="6">
        <f t="shared" si="4"/>
        <v>2</v>
      </c>
      <c r="AB50" s="80" t="str">
        <f>+IF(AND(D50&gt;'Indices y Outliers'!$I$144,D50&lt;&gt;""),1,"")</f>
        <v/>
      </c>
      <c r="AC50" s="80" t="str">
        <f>+IF(AND(G50&gt;'Indices y Outliers'!$I$153,G50&lt;&gt;""),1,"")</f>
        <v/>
      </c>
      <c r="AD50" s="7"/>
      <c r="AE50" s="7">
        <f t="shared" si="5"/>
        <v>0</v>
      </c>
    </row>
    <row r="51" spans="1:31" ht="15.75" customHeight="1">
      <c r="A51" s="77" t="s">
        <v>357</v>
      </c>
      <c r="B51" s="78">
        <v>225.6</v>
      </c>
      <c r="C51" s="78">
        <v>0</v>
      </c>
      <c r="D51" s="42">
        <f t="shared" si="0"/>
        <v>225.6</v>
      </c>
      <c r="E51" s="78">
        <v>1.288</v>
      </c>
      <c r="F51" s="78">
        <v>0</v>
      </c>
      <c r="G51" s="42">
        <f t="shared" si="1"/>
        <v>1.288</v>
      </c>
      <c r="H51" s="41">
        <v>383</v>
      </c>
      <c r="I51" s="41">
        <v>48495</v>
      </c>
      <c r="J51" s="41">
        <f t="shared" si="2"/>
        <v>48878</v>
      </c>
      <c r="K51" s="41">
        <v>48896</v>
      </c>
      <c r="L51" s="79">
        <f t="shared" si="3"/>
        <v>0.9996318717277487</v>
      </c>
      <c r="M51" s="82">
        <v>1</v>
      </c>
      <c r="N51" s="80"/>
      <c r="O51" s="82">
        <v>1</v>
      </c>
      <c r="P51" s="82">
        <v>1</v>
      </c>
      <c r="Q51" s="80"/>
      <c r="R51" s="80">
        <v>1</v>
      </c>
      <c r="S51" s="80"/>
      <c r="T51" s="82" t="s">
        <v>1353</v>
      </c>
      <c r="U51" s="80"/>
      <c r="V51" s="82" t="s">
        <v>1353</v>
      </c>
      <c r="W51" s="82" t="s">
        <v>1354</v>
      </c>
      <c r="X51" s="80"/>
      <c r="Y51" s="80"/>
      <c r="Z51" s="81"/>
      <c r="AA51" s="6">
        <f t="shared" si="4"/>
        <v>2</v>
      </c>
      <c r="AB51" s="80" t="str">
        <f>+IF(AND(D51&gt;'Indices y Outliers'!$I$144,D51&lt;&gt;""),1,"")</f>
        <v/>
      </c>
      <c r="AC51" s="80" t="str">
        <f>+IF(AND(G51&gt;'Indices y Outliers'!$I$153,G51&lt;&gt;""),1,"")</f>
        <v/>
      </c>
      <c r="AD51" s="7"/>
      <c r="AE51" s="7">
        <f t="shared" si="5"/>
        <v>0</v>
      </c>
    </row>
    <row r="52" spans="1:31" ht="15.75" customHeight="1">
      <c r="A52" s="77" t="s">
        <v>360</v>
      </c>
      <c r="B52" s="78">
        <v>171.4</v>
      </c>
      <c r="C52" s="78">
        <v>0</v>
      </c>
      <c r="D52" s="42">
        <f t="shared" si="0"/>
        <v>171.4</v>
      </c>
      <c r="E52" s="78">
        <v>1.3640000000000001</v>
      </c>
      <c r="F52" s="78">
        <v>0</v>
      </c>
      <c r="G52" s="42">
        <f t="shared" si="1"/>
        <v>1.3640000000000001</v>
      </c>
      <c r="H52" s="41">
        <v>467233</v>
      </c>
      <c r="I52" s="41">
        <v>1056602</v>
      </c>
      <c r="J52" s="41">
        <f t="shared" si="2"/>
        <v>1523835</v>
      </c>
      <c r="K52" s="41">
        <v>1527112</v>
      </c>
      <c r="L52" s="79">
        <f t="shared" si="3"/>
        <v>0.99785411940970936</v>
      </c>
      <c r="M52" s="82">
        <v>1</v>
      </c>
      <c r="N52" s="80"/>
      <c r="O52" s="82">
        <v>1</v>
      </c>
      <c r="P52" s="82">
        <v>1</v>
      </c>
      <c r="Q52" s="80"/>
      <c r="R52" s="82">
        <v>1</v>
      </c>
      <c r="S52" s="82" t="s">
        <v>1354</v>
      </c>
      <c r="T52" s="82" t="s">
        <v>1353</v>
      </c>
      <c r="U52" s="82" t="s">
        <v>1353</v>
      </c>
      <c r="V52" s="82" t="s">
        <v>1353</v>
      </c>
      <c r="W52" s="80"/>
      <c r="X52" s="82" t="s">
        <v>1353</v>
      </c>
      <c r="Y52" s="80"/>
      <c r="Z52" s="81"/>
      <c r="AA52" s="6">
        <f t="shared" si="4"/>
        <v>2</v>
      </c>
      <c r="AB52" s="80" t="str">
        <f>+IF(AND(D52&gt;'Indices y Outliers'!$I$144,D52&lt;&gt;""),1,"")</f>
        <v/>
      </c>
      <c r="AC52" s="80" t="str">
        <f>+IF(AND(G52&gt;'Indices y Outliers'!$I$153,G52&lt;&gt;""),1,"")</f>
        <v/>
      </c>
      <c r="AD52" s="7"/>
      <c r="AE52" s="7">
        <f t="shared" si="5"/>
        <v>0</v>
      </c>
    </row>
    <row r="53" spans="1:31" ht="15.75" customHeight="1">
      <c r="A53" s="77" t="s">
        <v>363</v>
      </c>
      <c r="B53" s="78">
        <v>113.1</v>
      </c>
      <c r="C53" s="78">
        <v>0</v>
      </c>
      <c r="D53" s="42">
        <f t="shared" si="0"/>
        <v>113.1</v>
      </c>
      <c r="E53" s="78">
        <v>1.393</v>
      </c>
      <c r="F53" s="78">
        <v>0</v>
      </c>
      <c r="G53" s="42">
        <f t="shared" si="1"/>
        <v>1.393</v>
      </c>
      <c r="H53" s="41">
        <v>305</v>
      </c>
      <c r="I53" s="41">
        <v>572478</v>
      </c>
      <c r="J53" s="41">
        <f t="shared" si="2"/>
        <v>572783</v>
      </c>
      <c r="K53" s="41">
        <v>572918</v>
      </c>
      <c r="L53" s="79">
        <f t="shared" si="3"/>
        <v>0.99976436418475245</v>
      </c>
      <c r="M53" s="82">
        <v>1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 t="s">
        <v>1353</v>
      </c>
      <c r="T53" s="82" t="s">
        <v>1353</v>
      </c>
      <c r="U53" s="82" t="s">
        <v>1353</v>
      </c>
      <c r="V53" s="82" t="s">
        <v>1353</v>
      </c>
      <c r="W53" s="82" t="s">
        <v>1354</v>
      </c>
      <c r="X53" s="82" t="s">
        <v>1353</v>
      </c>
      <c r="Y53" s="80"/>
      <c r="Z53" s="81"/>
      <c r="AA53" s="6">
        <f t="shared" si="4"/>
        <v>2</v>
      </c>
      <c r="AB53" s="80" t="str">
        <f>+IF(AND(D53&gt;'Indices y Outliers'!$I$144,D53&lt;&gt;""),1,"")</f>
        <v/>
      </c>
      <c r="AC53" s="80" t="str">
        <f>+IF(AND(G53&gt;'Indices y Outliers'!$I$153,G53&lt;&gt;""),1,"")</f>
        <v/>
      </c>
      <c r="AD53" s="7"/>
      <c r="AE53" s="7">
        <f t="shared" si="5"/>
        <v>0</v>
      </c>
    </row>
    <row r="54" spans="1:31" ht="15.75" customHeight="1">
      <c r="A54" s="77" t="s">
        <v>366</v>
      </c>
      <c r="B54" s="78">
        <v>144</v>
      </c>
      <c r="C54" s="78">
        <v>0</v>
      </c>
      <c r="D54" s="42">
        <f t="shared" si="0"/>
        <v>144</v>
      </c>
      <c r="E54" s="78">
        <v>1.7190000000000001</v>
      </c>
      <c r="F54" s="78">
        <v>0</v>
      </c>
      <c r="G54" s="42">
        <f t="shared" si="1"/>
        <v>1.7190000000000001</v>
      </c>
      <c r="H54" s="41">
        <v>112828</v>
      </c>
      <c r="I54" s="41">
        <v>1810</v>
      </c>
      <c r="J54" s="41">
        <f t="shared" si="2"/>
        <v>114638</v>
      </c>
      <c r="K54" s="41">
        <v>124719</v>
      </c>
      <c r="L54" s="79">
        <f t="shared" si="3"/>
        <v>0.91917029482276158</v>
      </c>
      <c r="M54" s="82">
        <v>1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 t="s">
        <v>1353</v>
      </c>
      <c r="T54" s="82" t="s">
        <v>1353</v>
      </c>
      <c r="U54" s="82" t="s">
        <v>1353</v>
      </c>
      <c r="V54" s="82" t="s">
        <v>1353</v>
      </c>
      <c r="W54" s="82" t="s">
        <v>1354</v>
      </c>
      <c r="X54" s="82" t="s">
        <v>1353</v>
      </c>
      <c r="Y54" s="80"/>
      <c r="Z54" s="81"/>
      <c r="AA54" s="6">
        <f t="shared" si="4"/>
        <v>2</v>
      </c>
      <c r="AB54" s="80" t="str">
        <f>+IF(AND(D54&gt;'Indices y Outliers'!$I$144,D54&lt;&gt;""),1,"")</f>
        <v/>
      </c>
      <c r="AC54" s="80" t="str">
        <f>+IF(AND(G54&gt;'Indices y Outliers'!$I$153,G54&lt;&gt;""),1,"")</f>
        <v/>
      </c>
      <c r="AD54" s="7"/>
      <c r="AE54" s="7">
        <f t="shared" si="5"/>
        <v>0</v>
      </c>
    </row>
    <row r="55" spans="1:31" ht="15.75" customHeight="1">
      <c r="A55" s="77" t="s">
        <v>369</v>
      </c>
      <c r="B55" s="78">
        <v>862.5</v>
      </c>
      <c r="C55" s="78">
        <v>0</v>
      </c>
      <c r="D55" s="42">
        <f t="shared" si="0"/>
        <v>862.5</v>
      </c>
      <c r="E55" s="78">
        <v>2.548</v>
      </c>
      <c r="F55" s="78">
        <v>0</v>
      </c>
      <c r="G55" s="42">
        <f t="shared" si="1"/>
        <v>2.548</v>
      </c>
      <c r="H55" s="41">
        <v>40686</v>
      </c>
      <c r="I55" s="41">
        <v>1343</v>
      </c>
      <c r="J55" s="41">
        <f t="shared" si="2"/>
        <v>42029</v>
      </c>
      <c r="K55" s="41">
        <v>42549</v>
      </c>
      <c r="L55" s="79">
        <f t="shared" si="3"/>
        <v>0.98777879621142683</v>
      </c>
      <c r="M55" s="82">
        <v>1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 t="s">
        <v>1353</v>
      </c>
      <c r="T55" s="82" t="s">
        <v>1353</v>
      </c>
      <c r="U55" s="80"/>
      <c r="V55" s="82" t="s">
        <v>1353</v>
      </c>
      <c r="W55" s="80"/>
      <c r="X55" s="82" t="s">
        <v>1353</v>
      </c>
      <c r="Y55" s="80"/>
      <c r="Z55" s="81"/>
      <c r="AA55" s="6">
        <f t="shared" si="4"/>
        <v>2</v>
      </c>
      <c r="AB55" s="80">
        <f>+IF(AND(D55&gt;'Indices y Outliers'!$I$144,D55&lt;&gt;""),1,"")</f>
        <v>1</v>
      </c>
      <c r="AC55" s="80" t="str">
        <f>+IF(AND(G55&gt;'Indices y Outliers'!$I$153,G55&lt;&gt;""),1,"")</f>
        <v/>
      </c>
      <c r="AD55" s="7"/>
      <c r="AE55" s="7">
        <f t="shared" si="5"/>
        <v>1</v>
      </c>
    </row>
    <row r="56" spans="1:31" ht="15.75" customHeight="1">
      <c r="A56" s="77" t="s">
        <v>372</v>
      </c>
      <c r="B56" s="78">
        <v>175</v>
      </c>
      <c r="C56" s="78">
        <v>0</v>
      </c>
      <c r="D56" s="42">
        <f t="shared" si="0"/>
        <v>175</v>
      </c>
      <c r="E56" s="78">
        <v>1.552</v>
      </c>
      <c r="F56" s="78">
        <v>0</v>
      </c>
      <c r="G56" s="42">
        <f t="shared" si="1"/>
        <v>1.552</v>
      </c>
      <c r="H56" s="41">
        <v>481658</v>
      </c>
      <c r="I56" s="41">
        <v>0</v>
      </c>
      <c r="J56" s="41">
        <f t="shared" si="2"/>
        <v>481658</v>
      </c>
      <c r="K56" s="41">
        <v>483297</v>
      </c>
      <c r="L56" s="79">
        <f t="shared" si="3"/>
        <v>0.99660871058583023</v>
      </c>
      <c r="M56" s="82">
        <v>1</v>
      </c>
      <c r="N56" s="80"/>
      <c r="O56" s="82">
        <v>1</v>
      </c>
      <c r="P56" s="80"/>
      <c r="Q56" s="82">
        <v>1</v>
      </c>
      <c r="R56" s="82">
        <v>1</v>
      </c>
      <c r="S56" s="82" t="s">
        <v>1353</v>
      </c>
      <c r="T56" s="82" t="s">
        <v>1353</v>
      </c>
      <c r="U56" s="82" t="s">
        <v>1353</v>
      </c>
      <c r="V56" s="82" t="s">
        <v>1353</v>
      </c>
      <c r="W56" s="80"/>
      <c r="X56" s="82" t="s">
        <v>1353</v>
      </c>
      <c r="Y56" s="80"/>
      <c r="Z56" s="81"/>
      <c r="AA56" s="6">
        <f t="shared" si="4"/>
        <v>2</v>
      </c>
      <c r="AB56" s="80" t="str">
        <f>+IF(AND(D56&gt;'Indices y Outliers'!$I$144,D56&lt;&gt;""),1,"")</f>
        <v/>
      </c>
      <c r="AC56" s="80" t="str">
        <f>+IF(AND(G56&gt;'Indices y Outliers'!$I$153,G56&lt;&gt;""),1,"")</f>
        <v/>
      </c>
      <c r="AD56" s="7"/>
      <c r="AE56" s="7">
        <f t="shared" si="5"/>
        <v>0</v>
      </c>
    </row>
    <row r="57" spans="1:31" ht="15.75" customHeight="1">
      <c r="A57" s="77" t="s">
        <v>375</v>
      </c>
      <c r="B57" s="78">
        <v>78.97</v>
      </c>
      <c r="C57" s="78">
        <v>0</v>
      </c>
      <c r="D57" s="42">
        <f t="shared" si="0"/>
        <v>78.97</v>
      </c>
      <c r="E57" s="78">
        <v>0.94799999999999995</v>
      </c>
      <c r="F57" s="78">
        <v>0</v>
      </c>
      <c r="G57" s="42">
        <f t="shared" si="1"/>
        <v>0.94799999999999995</v>
      </c>
      <c r="H57" s="41">
        <v>34076</v>
      </c>
      <c r="I57" s="41">
        <v>13182</v>
      </c>
      <c r="J57" s="41">
        <f t="shared" si="2"/>
        <v>47258</v>
      </c>
      <c r="K57" s="41">
        <v>434429</v>
      </c>
      <c r="L57" s="79">
        <f t="shared" si="3"/>
        <v>0.10878187229673894</v>
      </c>
      <c r="M57" s="82">
        <v>1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 t="s">
        <v>1353</v>
      </c>
      <c r="T57" s="82" t="s">
        <v>1353</v>
      </c>
      <c r="U57" s="82" t="s">
        <v>1353</v>
      </c>
      <c r="V57" s="82" t="s">
        <v>1353</v>
      </c>
      <c r="W57" s="80"/>
      <c r="X57" s="82" t="s">
        <v>1353</v>
      </c>
      <c r="Y57" s="82" t="s">
        <v>1354</v>
      </c>
      <c r="Z57" s="81"/>
      <c r="AA57" s="6">
        <f t="shared" si="4"/>
        <v>2</v>
      </c>
      <c r="AB57" s="80" t="str">
        <f>+IF(AND(D57&gt;'Indices y Outliers'!$I$144,D57&lt;&gt;""),1,"")</f>
        <v/>
      </c>
      <c r="AC57" s="80" t="str">
        <f>+IF(AND(G57&gt;'Indices y Outliers'!$I$153,G57&lt;&gt;""),1,"")</f>
        <v/>
      </c>
      <c r="AD57" s="7"/>
      <c r="AE57" s="7">
        <f t="shared" si="5"/>
        <v>0</v>
      </c>
    </row>
    <row r="58" spans="1:31" ht="15.75" customHeight="1">
      <c r="A58" s="77" t="s">
        <v>378</v>
      </c>
      <c r="B58" s="78">
        <v>79.260000000000005</v>
      </c>
      <c r="C58" s="78">
        <v>0</v>
      </c>
      <c r="D58" s="42">
        <f t="shared" si="0"/>
        <v>79.260000000000005</v>
      </c>
      <c r="E58" s="78">
        <v>0.90600000000000003</v>
      </c>
      <c r="F58" s="78">
        <v>0</v>
      </c>
      <c r="G58" s="42">
        <f t="shared" si="1"/>
        <v>0.90600000000000003</v>
      </c>
      <c r="H58" s="41">
        <v>28694</v>
      </c>
      <c r="I58" s="41">
        <v>12127</v>
      </c>
      <c r="J58" s="41">
        <f t="shared" si="2"/>
        <v>40821</v>
      </c>
      <c r="K58" s="41">
        <v>536234</v>
      </c>
      <c r="L58" s="79">
        <f t="shared" si="3"/>
        <v>7.6125348262139292E-2</v>
      </c>
      <c r="M58" s="82">
        <v>1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 t="s">
        <v>1353</v>
      </c>
      <c r="T58" s="82" t="s">
        <v>1353</v>
      </c>
      <c r="U58" s="82" t="s">
        <v>1353</v>
      </c>
      <c r="V58" s="82" t="s">
        <v>1353</v>
      </c>
      <c r="W58" s="80"/>
      <c r="X58" s="82" t="s">
        <v>1353</v>
      </c>
      <c r="Y58" s="80"/>
      <c r="Z58" s="81"/>
      <c r="AA58" s="6">
        <f t="shared" si="4"/>
        <v>2</v>
      </c>
      <c r="AB58" s="80" t="str">
        <f>+IF(AND(D58&gt;'Indices y Outliers'!$I$144,D58&lt;&gt;""),1,"")</f>
        <v/>
      </c>
      <c r="AC58" s="80" t="str">
        <f>+IF(AND(G58&gt;'Indices y Outliers'!$I$153,G58&lt;&gt;""),1,"")</f>
        <v/>
      </c>
      <c r="AD58" s="7"/>
      <c r="AE58" s="7">
        <f t="shared" si="5"/>
        <v>0</v>
      </c>
    </row>
    <row r="59" spans="1:31" ht="15.75" customHeight="1">
      <c r="A59" s="77" t="s">
        <v>381</v>
      </c>
      <c r="B59" s="78">
        <v>107.99</v>
      </c>
      <c r="C59" s="78">
        <v>0</v>
      </c>
      <c r="D59" s="42">
        <f t="shared" si="0"/>
        <v>107.99</v>
      </c>
      <c r="E59" s="78">
        <v>0.99</v>
      </c>
      <c r="F59" s="78">
        <v>0</v>
      </c>
      <c r="G59" s="42">
        <f t="shared" si="1"/>
        <v>0.99</v>
      </c>
      <c r="H59" s="41">
        <v>342852</v>
      </c>
      <c r="I59" s="41">
        <v>0</v>
      </c>
      <c r="J59" s="41">
        <f t="shared" si="2"/>
        <v>342852</v>
      </c>
      <c r="K59" s="41">
        <v>534192</v>
      </c>
      <c r="L59" s="79">
        <f t="shared" si="3"/>
        <v>0.64181417917153383</v>
      </c>
      <c r="M59" s="82">
        <v>1</v>
      </c>
      <c r="N59" s="80"/>
      <c r="O59" s="82">
        <v>1</v>
      </c>
      <c r="P59" s="80"/>
      <c r="Q59" s="80"/>
      <c r="R59" s="82">
        <v>1</v>
      </c>
      <c r="S59" s="82" t="s">
        <v>1354</v>
      </c>
      <c r="T59" s="82" t="s">
        <v>1353</v>
      </c>
      <c r="U59" s="82" t="s">
        <v>1353</v>
      </c>
      <c r="V59" s="82" t="s">
        <v>1353</v>
      </c>
      <c r="W59" s="80"/>
      <c r="X59" s="82" t="s">
        <v>1353</v>
      </c>
      <c r="Y59" s="80"/>
      <c r="Z59" s="81"/>
      <c r="AA59" s="6">
        <f t="shared" si="4"/>
        <v>2</v>
      </c>
      <c r="AB59" s="80" t="str">
        <f>+IF(AND(D59&gt;'Indices y Outliers'!$I$144,D59&lt;&gt;""),1,"")</f>
        <v/>
      </c>
      <c r="AC59" s="80" t="str">
        <f>+IF(AND(G59&gt;'Indices y Outliers'!$I$153,G59&lt;&gt;""),1,"")</f>
        <v/>
      </c>
      <c r="AD59" s="7"/>
      <c r="AE59" s="7">
        <f t="shared" si="5"/>
        <v>0</v>
      </c>
    </row>
    <row r="60" spans="1:31" ht="15.75" customHeight="1">
      <c r="A60" s="77" t="s">
        <v>384</v>
      </c>
      <c r="B60" s="78">
        <v>219.6</v>
      </c>
      <c r="C60" s="78">
        <v>0</v>
      </c>
      <c r="D60" s="42">
        <f t="shared" si="0"/>
        <v>219.6</v>
      </c>
      <c r="E60" s="78">
        <v>2.48</v>
      </c>
      <c r="F60" s="78">
        <v>0</v>
      </c>
      <c r="G60" s="42">
        <f t="shared" si="1"/>
        <v>2.48</v>
      </c>
      <c r="H60" s="41">
        <v>0</v>
      </c>
      <c r="I60" s="41">
        <v>649361</v>
      </c>
      <c r="J60" s="41">
        <f t="shared" si="2"/>
        <v>649361</v>
      </c>
      <c r="K60" s="41">
        <v>654489</v>
      </c>
      <c r="L60" s="79">
        <f t="shared" si="3"/>
        <v>0.9921648797764363</v>
      </c>
      <c r="M60" s="82">
        <v>1</v>
      </c>
      <c r="N60" s="80"/>
      <c r="O60" s="82">
        <v>1</v>
      </c>
      <c r="P60" s="82">
        <v>1</v>
      </c>
      <c r="Q60" s="80"/>
      <c r="R60" s="80">
        <v>1</v>
      </c>
      <c r="S60" s="80"/>
      <c r="T60" s="82" t="s">
        <v>1353</v>
      </c>
      <c r="U60" s="82" t="s">
        <v>1353</v>
      </c>
      <c r="V60" s="82" t="s">
        <v>1353</v>
      </c>
      <c r="W60" s="80"/>
      <c r="X60" s="80"/>
      <c r="Y60" s="80"/>
      <c r="Z60" s="81"/>
      <c r="AA60" s="6">
        <f t="shared" si="4"/>
        <v>2</v>
      </c>
      <c r="AB60" s="80" t="str">
        <f>+IF(AND(D60&gt;'Indices y Outliers'!$I$144,D60&lt;&gt;""),1,"")</f>
        <v/>
      </c>
      <c r="AC60" s="80" t="str">
        <f>+IF(AND(G60&gt;'Indices y Outliers'!$I$153,G60&lt;&gt;""),1,"")</f>
        <v/>
      </c>
      <c r="AD60" s="7"/>
      <c r="AE60" s="7">
        <f t="shared" si="5"/>
        <v>0</v>
      </c>
    </row>
    <row r="61" spans="1:31" ht="15.75" customHeight="1">
      <c r="A61" s="77" t="s">
        <v>387</v>
      </c>
      <c r="B61" s="78">
        <v>0</v>
      </c>
      <c r="C61" s="78">
        <v>0</v>
      </c>
      <c r="D61" s="42" t="str">
        <f t="shared" si="0"/>
        <v/>
      </c>
      <c r="E61" s="78">
        <v>0</v>
      </c>
      <c r="F61" s="78">
        <v>0</v>
      </c>
      <c r="G61" s="42" t="str">
        <f t="shared" si="1"/>
        <v/>
      </c>
      <c r="H61" s="41">
        <v>0</v>
      </c>
      <c r="I61" s="41">
        <v>0</v>
      </c>
      <c r="J61" s="41">
        <f t="shared" si="2"/>
        <v>0</v>
      </c>
      <c r="K61" s="41">
        <v>0</v>
      </c>
      <c r="L61" s="79" t="str">
        <f t="shared" si="3"/>
        <v/>
      </c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1"/>
      <c r="AA61" s="6">
        <f t="shared" si="4"/>
        <v>0</v>
      </c>
      <c r="AB61" s="80" t="str">
        <f>+IF(AND(D61&gt;'Indices y Outliers'!$I$144,D61&lt;&gt;""),1,"")</f>
        <v/>
      </c>
      <c r="AC61" s="80" t="str">
        <f>+IF(AND(G61&gt;'Indices y Outliers'!$I$153,G61&lt;&gt;""),1,"")</f>
        <v/>
      </c>
      <c r="AD61" s="7"/>
      <c r="AE61" s="7">
        <f t="shared" si="5"/>
        <v>0</v>
      </c>
    </row>
    <row r="62" spans="1:31" ht="15.75" customHeight="1">
      <c r="A62" s="77" t="s">
        <v>390</v>
      </c>
      <c r="B62" s="78">
        <v>0</v>
      </c>
      <c r="C62" s="78">
        <v>121.8</v>
      </c>
      <c r="D62" s="42">
        <f t="shared" si="0"/>
        <v>121.8</v>
      </c>
      <c r="E62" s="78">
        <v>0</v>
      </c>
      <c r="F62" s="78">
        <v>1.37</v>
      </c>
      <c r="G62" s="42">
        <f t="shared" si="1"/>
        <v>1.37</v>
      </c>
      <c r="H62" s="41">
        <v>677</v>
      </c>
      <c r="I62" s="41">
        <v>0</v>
      </c>
      <c r="J62" s="41">
        <f t="shared" si="2"/>
        <v>677</v>
      </c>
      <c r="K62" s="41">
        <v>388685</v>
      </c>
      <c r="L62" s="79">
        <f t="shared" si="3"/>
        <v>1.7417703281577628E-3</v>
      </c>
      <c r="M62" s="82">
        <v>1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 t="s">
        <v>1353</v>
      </c>
      <c r="T62" s="82" t="s">
        <v>1353</v>
      </c>
      <c r="U62" s="82" t="s">
        <v>1353</v>
      </c>
      <c r="V62" s="82" t="s">
        <v>1353</v>
      </c>
      <c r="W62" s="82" t="s">
        <v>1353</v>
      </c>
      <c r="X62" s="82" t="s">
        <v>1353</v>
      </c>
      <c r="Y62" s="82" t="s">
        <v>1353</v>
      </c>
      <c r="Z62" s="81"/>
      <c r="AA62" s="6">
        <f t="shared" si="4"/>
        <v>2</v>
      </c>
      <c r="AB62" s="80" t="str">
        <f>+IF(AND(D62&gt;'Indices y Outliers'!$I$144,D62&lt;&gt;""),1,"")</f>
        <v/>
      </c>
      <c r="AC62" s="80" t="str">
        <f>+IF(AND(G62&gt;'Indices y Outliers'!$I$153,G62&lt;&gt;""),1,"")</f>
        <v/>
      </c>
      <c r="AD62" s="7"/>
      <c r="AE62" s="7">
        <f t="shared" si="5"/>
        <v>0</v>
      </c>
    </row>
    <row r="63" spans="1:31" ht="15.75" customHeight="1">
      <c r="A63" s="77" t="s">
        <v>393</v>
      </c>
      <c r="B63" s="78">
        <v>0</v>
      </c>
      <c r="C63" s="78">
        <v>176.4</v>
      </c>
      <c r="D63" s="42">
        <f t="shared" si="0"/>
        <v>176.4</v>
      </c>
      <c r="E63" s="78">
        <v>0</v>
      </c>
      <c r="F63" s="78">
        <v>2.16</v>
      </c>
      <c r="G63" s="42">
        <f t="shared" si="1"/>
        <v>2.16</v>
      </c>
      <c r="H63" s="41">
        <v>960</v>
      </c>
      <c r="I63" s="41">
        <v>0</v>
      </c>
      <c r="J63" s="41">
        <f t="shared" si="2"/>
        <v>960</v>
      </c>
      <c r="K63" s="41">
        <v>913613</v>
      </c>
      <c r="L63" s="79">
        <f t="shared" si="3"/>
        <v>1.0507731391738077E-3</v>
      </c>
      <c r="M63" s="82">
        <v>1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 t="s">
        <v>1353</v>
      </c>
      <c r="T63" s="82" t="s">
        <v>1353</v>
      </c>
      <c r="U63" s="82" t="s">
        <v>1353</v>
      </c>
      <c r="V63" s="82" t="s">
        <v>1353</v>
      </c>
      <c r="W63" s="82" t="s">
        <v>1353</v>
      </c>
      <c r="X63" s="82" t="s">
        <v>1353</v>
      </c>
      <c r="Y63" s="80"/>
      <c r="Z63" s="81"/>
      <c r="AA63" s="6">
        <f t="shared" si="4"/>
        <v>2</v>
      </c>
      <c r="AB63" s="80" t="str">
        <f>+IF(AND(D63&gt;'Indices y Outliers'!$I$144,D63&lt;&gt;""),1,"")</f>
        <v/>
      </c>
      <c r="AC63" s="80" t="str">
        <f>+IF(AND(G63&gt;'Indices y Outliers'!$I$153,G63&lt;&gt;""),1,"")</f>
        <v/>
      </c>
      <c r="AD63" s="7"/>
      <c r="AE63" s="7">
        <f t="shared" si="5"/>
        <v>0</v>
      </c>
    </row>
    <row r="64" spans="1:31" ht="15.75" customHeight="1">
      <c r="A64" s="77" t="s">
        <v>396</v>
      </c>
      <c r="B64" s="78">
        <v>119.76</v>
      </c>
      <c r="C64" s="78">
        <v>0</v>
      </c>
      <c r="D64" s="42">
        <f t="shared" si="0"/>
        <v>119.76</v>
      </c>
      <c r="E64" s="78">
        <v>1.36</v>
      </c>
      <c r="F64" s="78">
        <v>0</v>
      </c>
      <c r="G64" s="42">
        <f t="shared" si="1"/>
        <v>1.36</v>
      </c>
      <c r="H64" s="41">
        <v>715</v>
      </c>
      <c r="I64" s="41">
        <v>575501</v>
      </c>
      <c r="J64" s="41">
        <f t="shared" si="2"/>
        <v>576216</v>
      </c>
      <c r="K64" s="41">
        <v>576808</v>
      </c>
      <c r="L64" s="79">
        <f t="shared" si="3"/>
        <v>0.99897366194643622</v>
      </c>
      <c r="M64" s="82">
        <v>1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 t="s">
        <v>1353</v>
      </c>
      <c r="T64" s="82" t="s">
        <v>1353</v>
      </c>
      <c r="U64" s="82" t="s">
        <v>1353</v>
      </c>
      <c r="V64" s="82" t="s">
        <v>1353</v>
      </c>
      <c r="W64" s="80"/>
      <c r="X64" s="82" t="s">
        <v>1353</v>
      </c>
      <c r="Y64" s="80"/>
      <c r="Z64" s="81"/>
      <c r="AA64" s="6">
        <f t="shared" si="4"/>
        <v>2</v>
      </c>
      <c r="AB64" s="80" t="str">
        <f>+IF(AND(D64&gt;'Indices y Outliers'!$I$144,D64&lt;&gt;""),1,"")</f>
        <v/>
      </c>
      <c r="AC64" s="80" t="str">
        <f>+IF(AND(G64&gt;'Indices y Outliers'!$I$153,G64&lt;&gt;""),1,"")</f>
        <v/>
      </c>
      <c r="AD64" s="7"/>
      <c r="AE64" s="7">
        <f t="shared" si="5"/>
        <v>0</v>
      </c>
    </row>
    <row r="65" spans="1:31" ht="15.75" customHeight="1">
      <c r="A65" s="77" t="s">
        <v>399</v>
      </c>
      <c r="B65" s="78">
        <v>0</v>
      </c>
      <c r="C65" s="78">
        <v>0</v>
      </c>
      <c r="D65" s="42" t="str">
        <f t="shared" si="0"/>
        <v/>
      </c>
      <c r="E65" s="78">
        <v>0</v>
      </c>
      <c r="F65" s="78">
        <v>0</v>
      </c>
      <c r="G65" s="42" t="str">
        <f t="shared" si="1"/>
        <v/>
      </c>
      <c r="H65" s="41">
        <v>1</v>
      </c>
      <c r="I65" s="41">
        <v>0</v>
      </c>
      <c r="J65" s="41">
        <f t="shared" si="2"/>
        <v>1</v>
      </c>
      <c r="K65" s="41">
        <v>1</v>
      </c>
      <c r="L65" s="79">
        <f t="shared" si="3"/>
        <v>1</v>
      </c>
      <c r="M65" s="82">
        <v>1</v>
      </c>
      <c r="N65" s="80"/>
      <c r="O65" s="80"/>
      <c r="P65" s="80"/>
      <c r="Q65" s="80"/>
      <c r="R65" s="82"/>
      <c r="S65" s="82" t="s">
        <v>1353</v>
      </c>
      <c r="T65" s="80"/>
      <c r="U65" s="80"/>
      <c r="V65" s="80"/>
      <c r="W65" s="80"/>
      <c r="X65" s="80"/>
      <c r="Y65" s="80"/>
      <c r="Z65" s="81"/>
      <c r="AA65" s="6">
        <f t="shared" si="4"/>
        <v>0</v>
      </c>
      <c r="AB65" s="80" t="str">
        <f>+IF(AND(D65&gt;'Indices y Outliers'!$I$144,D65&lt;&gt;""),1,"")</f>
        <v/>
      </c>
      <c r="AC65" s="80" t="str">
        <f>+IF(AND(G65&gt;'Indices y Outliers'!$I$153,G65&lt;&gt;""),1,"")</f>
        <v/>
      </c>
      <c r="AD65" s="7"/>
      <c r="AE65" s="7">
        <f t="shared" si="5"/>
        <v>0</v>
      </c>
    </row>
    <row r="66" spans="1:31" ht="15.75" customHeight="1">
      <c r="A66" s="77" t="s">
        <v>402</v>
      </c>
      <c r="B66" s="78">
        <v>71.64</v>
      </c>
      <c r="C66" s="78">
        <v>0</v>
      </c>
      <c r="D66" s="42">
        <f t="shared" si="0"/>
        <v>71.64</v>
      </c>
      <c r="E66" s="78">
        <v>0.67</v>
      </c>
      <c r="F66" s="78">
        <v>0</v>
      </c>
      <c r="G66" s="42">
        <f t="shared" si="1"/>
        <v>0.67</v>
      </c>
      <c r="H66" s="41">
        <v>340</v>
      </c>
      <c r="I66" s="41">
        <v>1500080</v>
      </c>
      <c r="J66" s="41">
        <f t="shared" si="2"/>
        <v>1500420</v>
      </c>
      <c r="K66" s="41">
        <v>1503305</v>
      </c>
      <c r="L66" s="79">
        <f t="shared" si="3"/>
        <v>0.99808089509447517</v>
      </c>
      <c r="M66" s="82">
        <v>1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 t="s">
        <v>1353</v>
      </c>
      <c r="T66" s="82" t="s">
        <v>1353</v>
      </c>
      <c r="U66" s="82" t="s">
        <v>1353</v>
      </c>
      <c r="V66" s="82" t="s">
        <v>1353</v>
      </c>
      <c r="W66" s="80"/>
      <c r="X66" s="80"/>
      <c r="Y66" s="80"/>
      <c r="Z66" s="81"/>
      <c r="AA66" s="6">
        <f t="shared" si="4"/>
        <v>2</v>
      </c>
      <c r="AB66" s="80" t="str">
        <f>+IF(AND(D66&gt;'Indices y Outliers'!$I$144,D66&lt;&gt;""),1,"")</f>
        <v/>
      </c>
      <c r="AC66" s="80" t="str">
        <f>+IF(AND(G66&gt;'Indices y Outliers'!$I$153,G66&lt;&gt;""),1,"")</f>
        <v/>
      </c>
      <c r="AD66" s="7"/>
      <c r="AE66" s="7">
        <f t="shared" si="5"/>
        <v>0</v>
      </c>
    </row>
    <row r="67" spans="1:31" ht="15.75" customHeight="1">
      <c r="A67" s="77" t="s">
        <v>405</v>
      </c>
      <c r="B67" s="78">
        <v>0</v>
      </c>
      <c r="C67" s="78">
        <v>80.8</v>
      </c>
      <c r="D67" s="42">
        <f t="shared" si="0"/>
        <v>80.8</v>
      </c>
      <c r="E67" s="78">
        <v>0</v>
      </c>
      <c r="F67" s="78">
        <v>0.74</v>
      </c>
      <c r="G67" s="42">
        <f t="shared" si="1"/>
        <v>0.74</v>
      </c>
      <c r="H67" s="41">
        <v>47</v>
      </c>
      <c r="I67" s="41">
        <v>487914</v>
      </c>
      <c r="J67" s="41">
        <f t="shared" si="2"/>
        <v>487961</v>
      </c>
      <c r="K67" s="41">
        <v>491178</v>
      </c>
      <c r="L67" s="79">
        <f t="shared" si="3"/>
        <v>0.99345043955551759</v>
      </c>
      <c r="M67" s="82">
        <v>1</v>
      </c>
      <c r="N67" s="82">
        <v>1</v>
      </c>
      <c r="O67" s="82">
        <v>1</v>
      </c>
      <c r="P67" s="82">
        <v>1</v>
      </c>
      <c r="Q67" s="80"/>
      <c r="R67" s="82">
        <v>1</v>
      </c>
      <c r="S67" s="82" t="s">
        <v>1353</v>
      </c>
      <c r="T67" s="80"/>
      <c r="U67" s="82" t="s">
        <v>1353</v>
      </c>
      <c r="V67" s="82" t="s">
        <v>1353</v>
      </c>
      <c r="W67" s="82" t="s">
        <v>1353</v>
      </c>
      <c r="X67" s="82" t="s">
        <v>1353</v>
      </c>
      <c r="Y67" s="82" t="s">
        <v>1353</v>
      </c>
      <c r="Z67" s="81"/>
      <c r="AA67" s="6">
        <f t="shared" si="4"/>
        <v>2</v>
      </c>
      <c r="AB67" s="80" t="str">
        <f>+IF(AND(D67&gt;'Indices y Outliers'!$I$144,D67&lt;&gt;""),1,"")</f>
        <v/>
      </c>
      <c r="AC67" s="80" t="str">
        <f>+IF(AND(G67&gt;'Indices y Outliers'!$I$153,G67&lt;&gt;""),1,"")</f>
        <v/>
      </c>
      <c r="AD67" s="7"/>
      <c r="AE67" s="7">
        <f t="shared" si="5"/>
        <v>0</v>
      </c>
    </row>
    <row r="68" spans="1:31" ht="15.75" customHeight="1">
      <c r="A68" s="77" t="s">
        <v>408</v>
      </c>
      <c r="B68" s="78">
        <v>0</v>
      </c>
      <c r="C68" s="78">
        <v>74.099999999999994</v>
      </c>
      <c r="D68" s="42">
        <f t="shared" si="0"/>
        <v>74.099999999999994</v>
      </c>
      <c r="E68" s="78">
        <v>0</v>
      </c>
      <c r="F68" s="78">
        <v>0.82</v>
      </c>
      <c r="G68" s="42">
        <f t="shared" si="1"/>
        <v>0.82</v>
      </c>
      <c r="H68" s="41">
        <v>115</v>
      </c>
      <c r="I68" s="41">
        <v>488245</v>
      </c>
      <c r="J68" s="41">
        <f t="shared" si="2"/>
        <v>488360</v>
      </c>
      <c r="K68" s="41">
        <v>493730</v>
      </c>
      <c r="L68" s="79">
        <f t="shared" si="3"/>
        <v>0.98912361007028138</v>
      </c>
      <c r="M68" s="82">
        <v>1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 t="s">
        <v>1353</v>
      </c>
      <c r="T68" s="80"/>
      <c r="U68" s="82" t="s">
        <v>1353</v>
      </c>
      <c r="V68" s="82" t="s">
        <v>1353</v>
      </c>
      <c r="W68" s="82" t="s">
        <v>1353</v>
      </c>
      <c r="X68" s="82" t="s">
        <v>1353</v>
      </c>
      <c r="Y68" s="82" t="s">
        <v>1354</v>
      </c>
      <c r="Z68" s="81"/>
      <c r="AA68" s="6">
        <f t="shared" si="4"/>
        <v>2</v>
      </c>
      <c r="AB68" s="80" t="str">
        <f>+IF(AND(D68&gt;'Indices y Outliers'!$I$144,D68&lt;&gt;""),1,"")</f>
        <v/>
      </c>
      <c r="AC68" s="80" t="str">
        <f>+IF(AND(G68&gt;'Indices y Outliers'!$I$153,G68&lt;&gt;""),1,"")</f>
        <v/>
      </c>
      <c r="AD68" s="7"/>
      <c r="AE68" s="7">
        <f t="shared" si="5"/>
        <v>0</v>
      </c>
    </row>
    <row r="69" spans="1:31" ht="15.75" customHeight="1">
      <c r="A69" s="77" t="s">
        <v>411</v>
      </c>
      <c r="B69" s="78">
        <v>90</v>
      </c>
      <c r="C69" s="78">
        <v>0</v>
      </c>
      <c r="D69" s="42">
        <f t="shared" si="0"/>
        <v>90</v>
      </c>
      <c r="E69" s="78">
        <v>1.02</v>
      </c>
      <c r="F69" s="78">
        <v>0</v>
      </c>
      <c r="G69" s="42">
        <f t="shared" si="1"/>
        <v>1.02</v>
      </c>
      <c r="H69" s="41">
        <v>783295</v>
      </c>
      <c r="I69" s="41">
        <v>451916</v>
      </c>
      <c r="J69" s="41">
        <f t="shared" si="2"/>
        <v>1235211</v>
      </c>
      <c r="K69" s="41">
        <v>1235413</v>
      </c>
      <c r="L69" s="79">
        <f t="shared" si="3"/>
        <v>0.99983649192618174</v>
      </c>
      <c r="M69" s="82">
        <v>1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 t="s">
        <v>1353</v>
      </c>
      <c r="T69" s="82" t="s">
        <v>1353</v>
      </c>
      <c r="U69" s="82" t="s">
        <v>1353</v>
      </c>
      <c r="V69" s="82" t="s">
        <v>1353</v>
      </c>
      <c r="W69" s="80"/>
      <c r="X69" s="82" t="s">
        <v>1353</v>
      </c>
      <c r="Y69" s="80"/>
      <c r="Z69" s="81"/>
      <c r="AA69" s="6">
        <f t="shared" si="4"/>
        <v>2</v>
      </c>
      <c r="AB69" s="80" t="str">
        <f>+IF(AND(D69&gt;'Indices y Outliers'!$I$144,D69&lt;&gt;""),1,"")</f>
        <v/>
      </c>
      <c r="AC69" s="80" t="str">
        <f>+IF(AND(G69&gt;'Indices y Outliers'!$I$153,G69&lt;&gt;""),1,"")</f>
        <v/>
      </c>
      <c r="AD69" s="7"/>
      <c r="AE69" s="7">
        <f t="shared" si="5"/>
        <v>0</v>
      </c>
    </row>
    <row r="70" spans="1:31" ht="15.75" customHeight="1">
      <c r="A70" s="77" t="s">
        <v>414</v>
      </c>
      <c r="B70" s="78">
        <v>117.8</v>
      </c>
      <c r="C70" s="78">
        <v>0</v>
      </c>
      <c r="D70" s="42">
        <f t="shared" si="0"/>
        <v>117.8</v>
      </c>
      <c r="E70" s="78">
        <v>1.1100000000000001</v>
      </c>
      <c r="F70" s="78">
        <v>0</v>
      </c>
      <c r="G70" s="42">
        <f t="shared" si="1"/>
        <v>1.1100000000000001</v>
      </c>
      <c r="H70" s="41">
        <v>604</v>
      </c>
      <c r="I70" s="41">
        <v>1221366</v>
      </c>
      <c r="J70" s="41">
        <f t="shared" si="2"/>
        <v>1221970</v>
      </c>
      <c r="K70" s="41">
        <v>1222802</v>
      </c>
      <c r="L70" s="79">
        <f t="shared" si="3"/>
        <v>0.99931959548643201</v>
      </c>
      <c r="M70" s="82">
        <v>1</v>
      </c>
      <c r="N70" s="80"/>
      <c r="O70" s="82">
        <v>1</v>
      </c>
      <c r="P70" s="82">
        <v>1</v>
      </c>
      <c r="Q70" s="82">
        <v>1</v>
      </c>
      <c r="R70" s="80">
        <v>1</v>
      </c>
      <c r="S70" s="80"/>
      <c r="T70" s="82" t="s">
        <v>1353</v>
      </c>
      <c r="U70" s="82" t="s">
        <v>1353</v>
      </c>
      <c r="V70" s="82" t="s">
        <v>1353</v>
      </c>
      <c r="W70" s="80"/>
      <c r="X70" s="80"/>
      <c r="Y70" s="80"/>
      <c r="Z70" s="81"/>
      <c r="AA70" s="6">
        <f t="shared" si="4"/>
        <v>2</v>
      </c>
      <c r="AB70" s="80" t="str">
        <f>+IF(AND(D70&gt;'Indices y Outliers'!$I$144,D70&lt;&gt;""),1,"")</f>
        <v/>
      </c>
      <c r="AC70" s="80" t="str">
        <f>+IF(AND(G70&gt;'Indices y Outliers'!$I$153,G70&lt;&gt;""),1,"")</f>
        <v/>
      </c>
      <c r="AD70" s="7"/>
      <c r="AE70" s="7">
        <f t="shared" si="5"/>
        <v>0</v>
      </c>
    </row>
    <row r="71" spans="1:31" ht="15.75" customHeight="1">
      <c r="A71" s="77" t="s">
        <v>417</v>
      </c>
      <c r="B71" s="78">
        <v>0</v>
      </c>
      <c r="C71" s="78">
        <v>0</v>
      </c>
      <c r="D71" s="42" t="str">
        <f t="shared" si="0"/>
        <v/>
      </c>
      <c r="E71" s="78">
        <v>0</v>
      </c>
      <c r="F71" s="78">
        <v>0</v>
      </c>
      <c r="G71" s="42" t="str">
        <f t="shared" si="1"/>
        <v/>
      </c>
      <c r="H71" s="41">
        <v>0</v>
      </c>
      <c r="I71" s="41">
        <v>0</v>
      </c>
      <c r="J71" s="41">
        <f t="shared" si="2"/>
        <v>0</v>
      </c>
      <c r="K71" s="41">
        <v>0</v>
      </c>
      <c r="L71" s="79" t="str">
        <f t="shared" si="3"/>
        <v/>
      </c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1"/>
      <c r="AA71" s="6">
        <f t="shared" si="4"/>
        <v>0</v>
      </c>
      <c r="AB71" s="80" t="str">
        <f>+IF(AND(D71&gt;'Indices y Outliers'!$I$144,D71&lt;&gt;""),1,"")</f>
        <v/>
      </c>
      <c r="AC71" s="80" t="str">
        <f>+IF(AND(G71&gt;'Indices y Outliers'!$I$153,G71&lt;&gt;""),1,"")</f>
        <v/>
      </c>
      <c r="AD71" s="7"/>
      <c r="AE71" s="7">
        <f t="shared" si="5"/>
        <v>0</v>
      </c>
    </row>
    <row r="72" spans="1:31" ht="15.75" customHeight="1">
      <c r="A72" s="77" t="s">
        <v>420</v>
      </c>
      <c r="B72" s="78">
        <v>100.74</v>
      </c>
      <c r="C72" s="78">
        <v>0</v>
      </c>
      <c r="D72" s="42">
        <f t="shared" si="0"/>
        <v>100.74</v>
      </c>
      <c r="E72" s="78">
        <v>1.6839999999999999</v>
      </c>
      <c r="F72" s="78">
        <v>0</v>
      </c>
      <c r="G72" s="42">
        <f t="shared" si="1"/>
        <v>1.6839999999999999</v>
      </c>
      <c r="H72" s="41">
        <v>0</v>
      </c>
      <c r="I72" s="41">
        <v>391865</v>
      </c>
      <c r="J72" s="41">
        <f t="shared" si="2"/>
        <v>391865</v>
      </c>
      <c r="K72" s="41">
        <v>391970</v>
      </c>
      <c r="L72" s="79">
        <f t="shared" si="3"/>
        <v>0.99973212235630282</v>
      </c>
      <c r="M72" s="82">
        <v>1</v>
      </c>
      <c r="N72" s="82">
        <v>1</v>
      </c>
      <c r="O72" s="82">
        <v>1</v>
      </c>
      <c r="P72" s="82">
        <v>1</v>
      </c>
      <c r="Q72" s="80"/>
      <c r="R72" s="82">
        <v>1</v>
      </c>
      <c r="S72" s="82" t="s">
        <v>1353</v>
      </c>
      <c r="T72" s="82" t="s">
        <v>1353</v>
      </c>
      <c r="U72" s="82" t="s">
        <v>1353</v>
      </c>
      <c r="V72" s="82" t="s">
        <v>1353</v>
      </c>
      <c r="W72" s="82" t="s">
        <v>1354</v>
      </c>
      <c r="X72" s="82" t="s">
        <v>1353</v>
      </c>
      <c r="Y72" s="80"/>
      <c r="Z72" s="81"/>
      <c r="AA72" s="6">
        <f t="shared" si="4"/>
        <v>2</v>
      </c>
      <c r="AB72" s="80" t="str">
        <f>+IF(AND(D72&gt;'Indices y Outliers'!$I$144,D72&lt;&gt;""),1,"")</f>
        <v/>
      </c>
      <c r="AC72" s="80" t="str">
        <f>+IF(AND(G72&gt;'Indices y Outliers'!$I$153,G72&lt;&gt;""),1,"")</f>
        <v/>
      </c>
      <c r="AD72" s="7"/>
      <c r="AE72" s="7">
        <f t="shared" si="5"/>
        <v>0</v>
      </c>
    </row>
    <row r="73" spans="1:31" ht="15.75" customHeight="1">
      <c r="A73" s="77" t="s">
        <v>423</v>
      </c>
      <c r="B73" s="78">
        <v>130.565</v>
      </c>
      <c r="C73" s="78">
        <v>0</v>
      </c>
      <c r="D73" s="42">
        <f t="shared" si="0"/>
        <v>130.565</v>
      </c>
      <c r="E73" s="78">
        <v>1.1950000000000001</v>
      </c>
      <c r="F73" s="78">
        <v>0</v>
      </c>
      <c r="G73" s="42">
        <f t="shared" si="1"/>
        <v>1.1950000000000001</v>
      </c>
      <c r="H73" s="41">
        <v>1077898</v>
      </c>
      <c r="I73" s="41">
        <v>309555</v>
      </c>
      <c r="J73" s="41">
        <f t="shared" si="2"/>
        <v>1387453</v>
      </c>
      <c r="K73" s="41">
        <v>1546725</v>
      </c>
      <c r="L73" s="79">
        <f t="shared" si="3"/>
        <v>0.89702629749955554</v>
      </c>
      <c r="M73" s="82">
        <v>1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 t="s">
        <v>1353</v>
      </c>
      <c r="T73" s="82" t="s">
        <v>1353</v>
      </c>
      <c r="U73" s="82" t="s">
        <v>1353</v>
      </c>
      <c r="V73" s="82" t="s">
        <v>1353</v>
      </c>
      <c r="W73" s="80"/>
      <c r="X73" s="82" t="s">
        <v>1353</v>
      </c>
      <c r="Y73" s="80"/>
      <c r="Z73" s="81"/>
      <c r="AA73" s="6">
        <f t="shared" si="4"/>
        <v>2</v>
      </c>
      <c r="AB73" s="80" t="str">
        <f>+IF(AND(D73&gt;'Indices y Outliers'!$I$144,D73&lt;&gt;""),1,"")</f>
        <v/>
      </c>
      <c r="AC73" s="80" t="str">
        <f>+IF(AND(G73&gt;'Indices y Outliers'!$I$153,G73&lt;&gt;""),1,"")</f>
        <v/>
      </c>
      <c r="AD73" s="7"/>
      <c r="AE73" s="7">
        <f t="shared" si="5"/>
        <v>0</v>
      </c>
    </row>
    <row r="74" spans="1:31" ht="15.75" customHeight="1">
      <c r="A74" s="77" t="s">
        <v>426</v>
      </c>
      <c r="B74" s="78">
        <v>176.96899999999999</v>
      </c>
      <c r="C74" s="78">
        <v>0</v>
      </c>
      <c r="D74" s="42">
        <f t="shared" si="0"/>
        <v>176.96899999999999</v>
      </c>
      <c r="E74" s="78">
        <v>2.1120000000000001</v>
      </c>
      <c r="F74" s="78">
        <v>0</v>
      </c>
      <c r="G74" s="42">
        <f t="shared" si="1"/>
        <v>2.1120000000000001</v>
      </c>
      <c r="H74" s="41">
        <v>9121</v>
      </c>
      <c r="I74" s="41">
        <v>0</v>
      </c>
      <c r="J74" s="41">
        <f t="shared" si="2"/>
        <v>9121</v>
      </c>
      <c r="K74" s="41">
        <v>9122</v>
      </c>
      <c r="L74" s="79">
        <f t="shared" si="3"/>
        <v>0.99989037491778121</v>
      </c>
      <c r="M74" s="82">
        <v>1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 t="s">
        <v>1353</v>
      </c>
      <c r="T74" s="82" t="s">
        <v>1353</v>
      </c>
      <c r="U74" s="82" t="s">
        <v>1353</v>
      </c>
      <c r="V74" s="82" t="s">
        <v>1353</v>
      </c>
      <c r="W74" s="80"/>
      <c r="X74" s="82" t="s">
        <v>1353</v>
      </c>
      <c r="Y74" s="80"/>
      <c r="Z74" s="81"/>
      <c r="AA74" s="6">
        <f t="shared" si="4"/>
        <v>2</v>
      </c>
      <c r="AB74" s="80" t="str">
        <f>+IF(AND(D74&gt;'Indices y Outliers'!$I$144,D74&lt;&gt;""),1,"")</f>
        <v/>
      </c>
      <c r="AC74" s="80" t="str">
        <f>+IF(AND(G74&gt;'Indices y Outliers'!$I$153,G74&lt;&gt;""),1,"")</f>
        <v/>
      </c>
      <c r="AD74" s="7"/>
      <c r="AE74" s="7">
        <f t="shared" si="5"/>
        <v>0</v>
      </c>
    </row>
    <row r="75" spans="1:31" ht="15.75" customHeight="1">
      <c r="A75" s="77" t="s">
        <v>429</v>
      </c>
      <c r="B75" s="78">
        <v>92.27</v>
      </c>
      <c r="C75" s="78">
        <v>0</v>
      </c>
      <c r="D75" s="42">
        <f t="shared" si="0"/>
        <v>92.27</v>
      </c>
      <c r="E75" s="78">
        <v>1.042</v>
      </c>
      <c r="F75" s="78">
        <v>0</v>
      </c>
      <c r="G75" s="42">
        <f t="shared" si="1"/>
        <v>1.042</v>
      </c>
      <c r="H75" s="41">
        <v>1340052</v>
      </c>
      <c r="I75" s="41">
        <v>16479</v>
      </c>
      <c r="J75" s="41">
        <f t="shared" si="2"/>
        <v>1356531</v>
      </c>
      <c r="K75" s="41">
        <v>1358901</v>
      </c>
      <c r="L75" s="79">
        <f t="shared" si="3"/>
        <v>0.99825594358970959</v>
      </c>
      <c r="M75" s="82">
        <v>1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 t="s">
        <v>1353</v>
      </c>
      <c r="T75" s="82" t="s">
        <v>1353</v>
      </c>
      <c r="U75" s="82" t="s">
        <v>1353</v>
      </c>
      <c r="V75" s="82" t="s">
        <v>1353</v>
      </c>
      <c r="W75" s="80"/>
      <c r="X75" s="82" t="s">
        <v>1353</v>
      </c>
      <c r="Y75" s="80"/>
      <c r="Z75" s="81"/>
      <c r="AA75" s="6">
        <f t="shared" si="4"/>
        <v>2</v>
      </c>
      <c r="AB75" s="80" t="str">
        <f>+IF(AND(D75&gt;'Indices y Outliers'!$I$144,D75&lt;&gt;""),1,"")</f>
        <v/>
      </c>
      <c r="AC75" s="80" t="str">
        <f>+IF(AND(G75&gt;'Indices y Outliers'!$I$153,G75&lt;&gt;""),1,"")</f>
        <v/>
      </c>
      <c r="AD75" s="7"/>
      <c r="AE75" s="7">
        <f t="shared" si="5"/>
        <v>0</v>
      </c>
    </row>
    <row r="76" spans="1:31" ht="15.75" customHeight="1">
      <c r="A76" s="77" t="s">
        <v>432</v>
      </c>
      <c r="B76" s="78">
        <v>128.54900000000001</v>
      </c>
      <c r="C76" s="78">
        <v>0</v>
      </c>
      <c r="D76" s="42">
        <f t="shared" si="0"/>
        <v>128.54900000000001</v>
      </c>
      <c r="E76" s="78">
        <v>1.823</v>
      </c>
      <c r="F76" s="78">
        <v>0</v>
      </c>
      <c r="G76" s="42">
        <f t="shared" si="1"/>
        <v>1.823</v>
      </c>
      <c r="H76" s="41">
        <v>4551</v>
      </c>
      <c r="I76" s="41">
        <v>0</v>
      </c>
      <c r="J76" s="41">
        <f t="shared" si="2"/>
        <v>4551</v>
      </c>
      <c r="K76" s="41">
        <v>120916</v>
      </c>
      <c r="L76" s="79">
        <f t="shared" si="3"/>
        <v>3.763769889840881E-2</v>
      </c>
      <c r="M76" s="82">
        <v>1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 t="s">
        <v>1353</v>
      </c>
      <c r="T76" s="82" t="s">
        <v>1353</v>
      </c>
      <c r="U76" s="82" t="s">
        <v>1353</v>
      </c>
      <c r="V76" s="82" t="s">
        <v>1353</v>
      </c>
      <c r="W76" s="80"/>
      <c r="X76" s="82" t="s">
        <v>1353</v>
      </c>
      <c r="Y76" s="80"/>
      <c r="Z76" s="81"/>
      <c r="AA76" s="6">
        <f t="shared" si="4"/>
        <v>2</v>
      </c>
      <c r="AB76" s="80" t="str">
        <f>+IF(AND(D76&gt;'Indices y Outliers'!$I$144,D76&lt;&gt;""),1,"")</f>
        <v/>
      </c>
      <c r="AC76" s="80" t="str">
        <f>+IF(AND(G76&gt;'Indices y Outliers'!$I$153,G76&lt;&gt;""),1,"")</f>
        <v/>
      </c>
      <c r="AD76" s="7"/>
      <c r="AE76" s="7">
        <f t="shared" si="5"/>
        <v>0</v>
      </c>
    </row>
    <row r="77" spans="1:31" ht="15.75" customHeight="1">
      <c r="A77" s="77" t="s">
        <v>435</v>
      </c>
      <c r="B77" s="78">
        <v>280.10000000000002</v>
      </c>
      <c r="C77" s="78">
        <v>0</v>
      </c>
      <c r="D77" s="42">
        <f t="shared" si="0"/>
        <v>280.10000000000002</v>
      </c>
      <c r="E77" s="78">
        <v>3.3090000000000002</v>
      </c>
      <c r="F77" s="78">
        <v>0</v>
      </c>
      <c r="G77" s="42">
        <f t="shared" si="1"/>
        <v>3.3090000000000002</v>
      </c>
      <c r="H77" s="41">
        <v>53</v>
      </c>
      <c r="I77" s="41">
        <v>542746</v>
      </c>
      <c r="J77" s="41">
        <f t="shared" si="2"/>
        <v>542799</v>
      </c>
      <c r="K77" s="41">
        <v>543716</v>
      </c>
      <c r="L77" s="79">
        <f t="shared" si="3"/>
        <v>0.99831345776103697</v>
      </c>
      <c r="M77" s="82">
        <v>1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 t="s">
        <v>1353</v>
      </c>
      <c r="T77" s="82" t="s">
        <v>1353</v>
      </c>
      <c r="U77" s="82" t="s">
        <v>1353</v>
      </c>
      <c r="V77" s="82" t="s">
        <v>1353</v>
      </c>
      <c r="W77" s="82" t="s">
        <v>1353</v>
      </c>
      <c r="X77" s="80"/>
      <c r="Y77" s="80"/>
      <c r="Z77" s="81"/>
      <c r="AA77" s="6">
        <f t="shared" si="4"/>
        <v>2</v>
      </c>
      <c r="AB77" s="80" t="str">
        <f>+IF(AND(D77&gt;'Indices y Outliers'!$I$144,D77&lt;&gt;""),1,"")</f>
        <v/>
      </c>
      <c r="AC77" s="80" t="str">
        <f>+IF(AND(G77&gt;'Indices y Outliers'!$I$153,G77&lt;&gt;""),1,"")</f>
        <v/>
      </c>
      <c r="AD77" s="7"/>
      <c r="AE77" s="7">
        <f t="shared" si="5"/>
        <v>0</v>
      </c>
    </row>
    <row r="78" spans="1:31" ht="15.75" customHeight="1">
      <c r="A78" s="77" t="s">
        <v>438</v>
      </c>
      <c r="B78" s="78">
        <v>0</v>
      </c>
      <c r="C78" s="78">
        <v>0</v>
      </c>
      <c r="D78" s="42" t="str">
        <f t="shared" si="0"/>
        <v/>
      </c>
      <c r="E78" s="78">
        <v>0</v>
      </c>
      <c r="F78" s="78">
        <v>0</v>
      </c>
      <c r="G78" s="42" t="str">
        <f t="shared" si="1"/>
        <v/>
      </c>
      <c r="H78" s="41">
        <v>0</v>
      </c>
      <c r="I78" s="41">
        <v>0</v>
      </c>
      <c r="J78" s="41">
        <f t="shared" si="2"/>
        <v>0</v>
      </c>
      <c r="K78" s="41">
        <v>0</v>
      </c>
      <c r="L78" s="79" t="str">
        <f t="shared" si="3"/>
        <v/>
      </c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1"/>
      <c r="AA78" s="6">
        <f t="shared" si="4"/>
        <v>0</v>
      </c>
      <c r="AB78" s="80" t="str">
        <f>+IF(AND(D78&gt;'Indices y Outliers'!$I$144,D78&lt;&gt;""),1,"")</f>
        <v/>
      </c>
      <c r="AC78" s="80" t="str">
        <f>+IF(AND(G78&gt;'Indices y Outliers'!$I$153,G78&lt;&gt;""),1,"")</f>
        <v/>
      </c>
      <c r="AD78" s="7"/>
      <c r="AE78" s="7">
        <f t="shared" si="5"/>
        <v>0</v>
      </c>
    </row>
    <row r="79" spans="1:31" ht="15.75" customHeight="1">
      <c r="A79" s="77" t="s">
        <v>441</v>
      </c>
      <c r="B79" s="78">
        <v>0</v>
      </c>
      <c r="C79" s="78">
        <v>0</v>
      </c>
      <c r="D79" s="42" t="str">
        <f t="shared" si="0"/>
        <v/>
      </c>
      <c r="E79" s="78">
        <v>0</v>
      </c>
      <c r="F79" s="78">
        <v>0</v>
      </c>
      <c r="G79" s="42" t="str">
        <f t="shared" si="1"/>
        <v/>
      </c>
      <c r="H79" s="41">
        <v>0</v>
      </c>
      <c r="I79" s="41">
        <v>0</v>
      </c>
      <c r="J79" s="41">
        <f t="shared" si="2"/>
        <v>0</v>
      </c>
      <c r="K79" s="41">
        <v>0</v>
      </c>
      <c r="L79" s="79" t="str">
        <f t="shared" si="3"/>
        <v/>
      </c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1"/>
      <c r="AA79" s="6">
        <f t="shared" si="4"/>
        <v>0</v>
      </c>
      <c r="AB79" s="80" t="str">
        <f>+IF(AND(D79&gt;'Indices y Outliers'!$I$144,D79&lt;&gt;""),1,"")</f>
        <v/>
      </c>
      <c r="AC79" s="80" t="str">
        <f>+IF(AND(G79&gt;'Indices y Outliers'!$I$153,G79&lt;&gt;""),1,"")</f>
        <v/>
      </c>
      <c r="AD79" s="7"/>
      <c r="AE79" s="7">
        <f t="shared" si="5"/>
        <v>0</v>
      </c>
    </row>
    <row r="80" spans="1:31" ht="15.75" customHeight="1">
      <c r="A80" s="77" t="s">
        <v>444</v>
      </c>
      <c r="B80" s="78">
        <v>152.19399999999999</v>
      </c>
      <c r="C80" s="78">
        <v>0</v>
      </c>
      <c r="D80" s="42">
        <f t="shared" si="0"/>
        <v>152.19399999999999</v>
      </c>
      <c r="E80" s="78">
        <v>1.3879999999999999</v>
      </c>
      <c r="F80" s="78">
        <v>0</v>
      </c>
      <c r="G80" s="42">
        <f t="shared" si="1"/>
        <v>1.3879999999999999</v>
      </c>
      <c r="H80" s="41">
        <v>360</v>
      </c>
      <c r="I80" s="41">
        <v>743264</v>
      </c>
      <c r="J80" s="41">
        <f t="shared" si="2"/>
        <v>743624</v>
      </c>
      <c r="K80" s="41">
        <v>744131</v>
      </c>
      <c r="L80" s="79">
        <f t="shared" si="3"/>
        <v>0.99931866835274974</v>
      </c>
      <c r="M80" s="82">
        <v>1</v>
      </c>
      <c r="N80" s="80"/>
      <c r="O80" s="82">
        <v>1</v>
      </c>
      <c r="P80" s="82">
        <v>1</v>
      </c>
      <c r="Q80" s="82">
        <v>1</v>
      </c>
      <c r="R80" s="80">
        <v>1</v>
      </c>
      <c r="S80" s="80"/>
      <c r="T80" s="82" t="s">
        <v>1353</v>
      </c>
      <c r="U80" s="80"/>
      <c r="V80" s="82" t="s">
        <v>1353</v>
      </c>
      <c r="W80" s="80"/>
      <c r="X80" s="82" t="s">
        <v>1353</v>
      </c>
      <c r="Y80" s="80"/>
      <c r="Z80" s="81"/>
      <c r="AA80" s="6">
        <f t="shared" si="4"/>
        <v>2</v>
      </c>
      <c r="AB80" s="80" t="str">
        <f>+IF(AND(D80&gt;'Indices y Outliers'!$I$144,D80&lt;&gt;""),1,"")</f>
        <v/>
      </c>
      <c r="AC80" s="80" t="str">
        <f>+IF(AND(G80&gt;'Indices y Outliers'!$I$153,G80&lt;&gt;""),1,"")</f>
        <v/>
      </c>
      <c r="AD80" s="7"/>
      <c r="AE80" s="7">
        <f t="shared" si="5"/>
        <v>0</v>
      </c>
    </row>
    <row r="81" spans="1:31" ht="15.75" customHeight="1">
      <c r="A81" s="77" t="s">
        <v>447</v>
      </c>
      <c r="B81" s="78">
        <v>368.18799999999999</v>
      </c>
      <c r="C81" s="78">
        <v>0</v>
      </c>
      <c r="D81" s="42">
        <f t="shared" si="0"/>
        <v>368.18799999999999</v>
      </c>
      <c r="E81" s="78">
        <v>2.2770000000000001</v>
      </c>
      <c r="F81" s="78">
        <v>0</v>
      </c>
      <c r="G81" s="42">
        <f t="shared" si="1"/>
        <v>2.2770000000000001</v>
      </c>
      <c r="H81" s="41">
        <v>87420</v>
      </c>
      <c r="I81" s="41">
        <v>0</v>
      </c>
      <c r="J81" s="41">
        <f t="shared" si="2"/>
        <v>87420</v>
      </c>
      <c r="K81" s="41">
        <v>401672</v>
      </c>
      <c r="L81" s="79">
        <f t="shared" si="3"/>
        <v>0.21764026369774342</v>
      </c>
      <c r="M81" s="82">
        <v>1</v>
      </c>
      <c r="N81" s="80"/>
      <c r="O81" s="82">
        <v>1</v>
      </c>
      <c r="P81" s="80"/>
      <c r="Q81" s="80"/>
      <c r="R81" s="82">
        <v>1</v>
      </c>
      <c r="S81" s="82" t="s">
        <v>1353</v>
      </c>
      <c r="T81" s="82" t="s">
        <v>1353</v>
      </c>
      <c r="U81" s="80"/>
      <c r="V81" s="82" t="s">
        <v>1353</v>
      </c>
      <c r="W81" s="80"/>
      <c r="X81" s="82" t="s">
        <v>1353</v>
      </c>
      <c r="Y81" s="80"/>
      <c r="Z81" s="81"/>
      <c r="AA81" s="6">
        <f t="shared" si="4"/>
        <v>2</v>
      </c>
      <c r="AB81" s="80" t="str">
        <f>+IF(AND(D81&gt;'Indices y Outliers'!$I$144,D81&lt;&gt;""),1,"")</f>
        <v/>
      </c>
      <c r="AC81" s="80" t="str">
        <f>+IF(AND(G81&gt;'Indices y Outliers'!$I$153,G81&lt;&gt;""),1,"")</f>
        <v/>
      </c>
      <c r="AD81" s="7"/>
      <c r="AE81" s="7">
        <f t="shared" si="5"/>
        <v>0</v>
      </c>
    </row>
    <row r="82" spans="1:31" ht="15.75" customHeight="1">
      <c r="A82" s="77" t="s">
        <v>450</v>
      </c>
      <c r="B82" s="78">
        <v>0</v>
      </c>
      <c r="C82" s="78">
        <v>0</v>
      </c>
      <c r="D82" s="42" t="str">
        <f t="shared" si="0"/>
        <v/>
      </c>
      <c r="E82" s="78">
        <v>0</v>
      </c>
      <c r="F82" s="78">
        <v>0</v>
      </c>
      <c r="G82" s="42" t="str">
        <f t="shared" si="1"/>
        <v/>
      </c>
      <c r="H82" s="41">
        <v>0</v>
      </c>
      <c r="I82" s="41">
        <v>0</v>
      </c>
      <c r="J82" s="41">
        <f t="shared" si="2"/>
        <v>0</v>
      </c>
      <c r="K82" s="41">
        <v>0</v>
      </c>
      <c r="L82" s="79" t="str">
        <f t="shared" si="3"/>
        <v/>
      </c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1"/>
      <c r="AA82" s="6">
        <f t="shared" si="4"/>
        <v>0</v>
      </c>
      <c r="AB82" s="80" t="str">
        <f>+IF(AND(D82&gt;'Indices y Outliers'!$I$144,D82&lt;&gt;""),1,"")</f>
        <v/>
      </c>
      <c r="AC82" s="80" t="str">
        <f>+IF(AND(G82&gt;'Indices y Outliers'!$I$153,G82&lt;&gt;""),1,"")</f>
        <v/>
      </c>
      <c r="AD82" s="7"/>
      <c r="AE82" s="7">
        <f t="shared" si="5"/>
        <v>0</v>
      </c>
    </row>
    <row r="83" spans="1:31" ht="15.75" customHeight="1">
      <c r="A83" s="77" t="s">
        <v>453</v>
      </c>
      <c r="B83" s="78">
        <v>130.89099999999999</v>
      </c>
      <c r="C83" s="78">
        <v>0</v>
      </c>
      <c r="D83" s="42">
        <f t="shared" si="0"/>
        <v>130.89099999999999</v>
      </c>
      <c r="E83" s="78">
        <v>1.0669999999999999</v>
      </c>
      <c r="F83" s="78">
        <v>0</v>
      </c>
      <c r="G83" s="42">
        <f t="shared" si="1"/>
        <v>1.0669999999999999</v>
      </c>
      <c r="H83" s="41">
        <v>31919</v>
      </c>
      <c r="I83" s="41">
        <v>0</v>
      </c>
      <c r="J83" s="41">
        <f t="shared" si="2"/>
        <v>31919</v>
      </c>
      <c r="K83" s="41">
        <v>284397</v>
      </c>
      <c r="L83" s="79">
        <f t="shared" si="3"/>
        <v>0.11223395464790416</v>
      </c>
      <c r="M83" s="82">
        <v>1</v>
      </c>
      <c r="N83" s="80"/>
      <c r="O83" s="82">
        <v>1</v>
      </c>
      <c r="P83" s="82">
        <v>1</v>
      </c>
      <c r="Q83" s="82">
        <v>1</v>
      </c>
      <c r="R83" s="80">
        <v>1</v>
      </c>
      <c r="S83" s="80"/>
      <c r="T83" s="82" t="s">
        <v>1353</v>
      </c>
      <c r="U83" s="80"/>
      <c r="V83" s="82" t="s">
        <v>1353</v>
      </c>
      <c r="W83" s="80"/>
      <c r="X83" s="82" t="s">
        <v>1353</v>
      </c>
      <c r="Y83" s="82" t="s">
        <v>1354</v>
      </c>
      <c r="Z83" s="81"/>
      <c r="AA83" s="6">
        <f t="shared" si="4"/>
        <v>2</v>
      </c>
      <c r="AB83" s="80" t="str">
        <f>+IF(AND(D83&gt;'Indices y Outliers'!$I$144,D83&lt;&gt;""),1,"")</f>
        <v/>
      </c>
      <c r="AC83" s="80" t="str">
        <f>+IF(AND(G83&gt;'Indices y Outliers'!$I$153,G83&lt;&gt;""),1,"")</f>
        <v/>
      </c>
      <c r="AD83" s="7"/>
      <c r="AE83" s="7">
        <f t="shared" si="5"/>
        <v>0</v>
      </c>
    </row>
    <row r="84" spans="1:31" ht="15.75" customHeight="1">
      <c r="A84" s="77" t="s">
        <v>456</v>
      </c>
      <c r="B84" s="78">
        <v>701.72</v>
      </c>
      <c r="C84" s="78">
        <v>0</v>
      </c>
      <c r="D84" s="42">
        <f t="shared" si="0"/>
        <v>701.72</v>
      </c>
      <c r="E84" s="78">
        <v>4.5970000000000004</v>
      </c>
      <c r="F84" s="78">
        <v>0</v>
      </c>
      <c r="G84" s="42">
        <f t="shared" si="1"/>
        <v>4.5970000000000004</v>
      </c>
      <c r="H84" s="41">
        <v>14551</v>
      </c>
      <c r="I84" s="41">
        <v>0</v>
      </c>
      <c r="J84" s="41">
        <f t="shared" si="2"/>
        <v>14551</v>
      </c>
      <c r="K84" s="41">
        <v>50115</v>
      </c>
      <c r="L84" s="79">
        <f t="shared" si="3"/>
        <v>0.29035218996308493</v>
      </c>
      <c r="M84" s="82">
        <v>1</v>
      </c>
      <c r="N84" s="80"/>
      <c r="O84" s="82">
        <v>1</v>
      </c>
      <c r="P84" s="82">
        <v>1</v>
      </c>
      <c r="Q84" s="82">
        <v>1</v>
      </c>
      <c r="R84" s="82">
        <v>1</v>
      </c>
      <c r="S84" s="82" t="s">
        <v>1353</v>
      </c>
      <c r="T84" s="80"/>
      <c r="U84" s="82" t="s">
        <v>1353</v>
      </c>
      <c r="V84" s="82" t="s">
        <v>1353</v>
      </c>
      <c r="W84" s="80"/>
      <c r="X84" s="80"/>
      <c r="Y84" s="80"/>
      <c r="Z84" s="81"/>
      <c r="AA84" s="6">
        <f t="shared" si="4"/>
        <v>2</v>
      </c>
      <c r="AB84" s="80">
        <f>+IF(AND(D84&gt;'Indices y Outliers'!$I$144,D84&lt;&gt;""),1,"")</f>
        <v>1</v>
      </c>
      <c r="AC84" s="80" t="str">
        <f>+IF(AND(G84&gt;'Indices y Outliers'!$I$153,G84&lt;&gt;""),1,"")</f>
        <v/>
      </c>
      <c r="AD84" s="7"/>
      <c r="AE84" s="7">
        <f t="shared" si="5"/>
        <v>1</v>
      </c>
    </row>
    <row r="85" spans="1:31" ht="15.75" customHeight="1">
      <c r="A85" s="77" t="s">
        <v>459</v>
      </c>
      <c r="B85" s="78">
        <v>0</v>
      </c>
      <c r="C85" s="78">
        <v>69.7</v>
      </c>
      <c r="D85" s="42">
        <f t="shared" si="0"/>
        <v>69.7</v>
      </c>
      <c r="E85" s="78">
        <v>0</v>
      </c>
      <c r="F85" s="78">
        <v>0.87</v>
      </c>
      <c r="G85" s="42">
        <f t="shared" si="1"/>
        <v>0.87</v>
      </c>
      <c r="H85" s="41">
        <v>0</v>
      </c>
      <c r="I85" s="41">
        <v>154349</v>
      </c>
      <c r="J85" s="41">
        <f t="shared" si="2"/>
        <v>154349</v>
      </c>
      <c r="K85" s="41">
        <v>154349</v>
      </c>
      <c r="L85" s="79">
        <f t="shared" si="3"/>
        <v>1</v>
      </c>
      <c r="M85" s="82">
        <v>1</v>
      </c>
      <c r="N85" s="82">
        <v>1</v>
      </c>
      <c r="O85" s="82">
        <v>1</v>
      </c>
      <c r="P85" s="80"/>
      <c r="Q85" s="82">
        <v>1</v>
      </c>
      <c r="R85" s="82">
        <v>1</v>
      </c>
      <c r="S85" s="82" t="s">
        <v>1353</v>
      </c>
      <c r="T85" s="82" t="s">
        <v>1353</v>
      </c>
      <c r="U85" s="82" t="s">
        <v>1353</v>
      </c>
      <c r="V85" s="82" t="s">
        <v>1353</v>
      </c>
      <c r="W85" s="80"/>
      <c r="X85" s="82" t="s">
        <v>1353</v>
      </c>
      <c r="Y85" s="80"/>
      <c r="Z85" s="81"/>
      <c r="AA85" s="6">
        <f t="shared" si="4"/>
        <v>2</v>
      </c>
      <c r="AB85" s="80" t="str">
        <f>+IF(AND(D85&gt;'Indices y Outliers'!$I$144,D85&lt;&gt;""),1,"")</f>
        <v/>
      </c>
      <c r="AC85" s="80" t="str">
        <f>+IF(AND(G85&gt;'Indices y Outliers'!$I$153,G85&lt;&gt;""),1,"")</f>
        <v/>
      </c>
      <c r="AD85" s="7"/>
      <c r="AE85" s="7">
        <f t="shared" si="5"/>
        <v>0</v>
      </c>
    </row>
    <row r="86" spans="1:31" ht="15.75" customHeight="1">
      <c r="A86" s="77" t="s">
        <v>462</v>
      </c>
      <c r="B86" s="78">
        <v>75.995999999999995</v>
      </c>
      <c r="C86" s="78">
        <v>0</v>
      </c>
      <c r="D86" s="42">
        <f t="shared" si="0"/>
        <v>75.995999999999995</v>
      </c>
      <c r="E86" s="78">
        <v>0.98099999999999998</v>
      </c>
      <c r="F86" s="78">
        <v>0</v>
      </c>
      <c r="G86" s="42">
        <f t="shared" si="1"/>
        <v>0.98099999999999998</v>
      </c>
      <c r="H86" s="41">
        <v>1285586</v>
      </c>
      <c r="I86" s="41">
        <v>0</v>
      </c>
      <c r="J86" s="41">
        <f t="shared" si="2"/>
        <v>1285586</v>
      </c>
      <c r="K86" s="41">
        <v>1285592</v>
      </c>
      <c r="L86" s="79">
        <f t="shared" si="3"/>
        <v>0.99999533288943931</v>
      </c>
      <c r="M86" s="82">
        <v>1</v>
      </c>
      <c r="N86" s="82">
        <v>1</v>
      </c>
      <c r="O86" s="82">
        <v>1</v>
      </c>
      <c r="P86" s="82">
        <v>1</v>
      </c>
      <c r="Q86" s="82">
        <v>1</v>
      </c>
      <c r="R86" s="80">
        <v>1</v>
      </c>
      <c r="S86" s="80"/>
      <c r="T86" s="82" t="s">
        <v>1353</v>
      </c>
      <c r="U86" s="82" t="s">
        <v>1353</v>
      </c>
      <c r="V86" s="82" t="s">
        <v>1353</v>
      </c>
      <c r="W86" s="80"/>
      <c r="X86" s="82" t="s">
        <v>1353</v>
      </c>
      <c r="Y86" s="82" t="s">
        <v>1353</v>
      </c>
      <c r="Z86" s="81"/>
      <c r="AA86" s="6">
        <f t="shared" si="4"/>
        <v>2</v>
      </c>
      <c r="AB86" s="80" t="str">
        <f>+IF(AND(D86&gt;'Indices y Outliers'!$I$144,D86&lt;&gt;""),1,"")</f>
        <v/>
      </c>
      <c r="AC86" s="80" t="str">
        <f>+IF(AND(G86&gt;'Indices y Outliers'!$I$153,G86&lt;&gt;""),1,"")</f>
        <v/>
      </c>
      <c r="AD86" s="7"/>
      <c r="AE86" s="7">
        <f t="shared" si="5"/>
        <v>0</v>
      </c>
    </row>
    <row r="87" spans="1:31" ht="15.75" customHeight="1">
      <c r="A87" s="77" t="s">
        <v>465</v>
      </c>
      <c r="B87" s="78">
        <v>96.781000000000006</v>
      </c>
      <c r="C87" s="78">
        <v>0</v>
      </c>
      <c r="D87" s="42">
        <f t="shared" si="0"/>
        <v>96.781000000000006</v>
      </c>
      <c r="E87" s="78">
        <v>1.0660000000000001</v>
      </c>
      <c r="F87" s="78">
        <v>0</v>
      </c>
      <c r="G87" s="42">
        <f t="shared" si="1"/>
        <v>1.0660000000000001</v>
      </c>
      <c r="H87" s="41">
        <v>575606</v>
      </c>
      <c r="I87" s="41">
        <v>0</v>
      </c>
      <c r="J87" s="41">
        <f t="shared" si="2"/>
        <v>575606</v>
      </c>
      <c r="K87" s="41">
        <v>575784</v>
      </c>
      <c r="L87" s="79">
        <f t="shared" si="3"/>
        <v>0.99969085629333221</v>
      </c>
      <c r="M87" s="82">
        <v>1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 t="s">
        <v>1354</v>
      </c>
      <c r="T87" s="82" t="s">
        <v>1353</v>
      </c>
      <c r="U87" s="82" t="s">
        <v>1353</v>
      </c>
      <c r="V87" s="82" t="s">
        <v>1353</v>
      </c>
      <c r="W87" s="80"/>
      <c r="X87" s="82" t="s">
        <v>1353</v>
      </c>
      <c r="Y87" s="82" t="s">
        <v>1353</v>
      </c>
      <c r="Z87" s="81"/>
      <c r="AA87" s="6">
        <f t="shared" si="4"/>
        <v>2</v>
      </c>
      <c r="AB87" s="80" t="str">
        <f>+IF(AND(D87&gt;'Indices y Outliers'!$I$144,D87&lt;&gt;""),1,"")</f>
        <v/>
      </c>
      <c r="AC87" s="80" t="str">
        <f>+IF(AND(G87&gt;'Indices y Outliers'!$I$153,G87&lt;&gt;""),1,"")</f>
        <v/>
      </c>
      <c r="AD87" s="7"/>
      <c r="AE87" s="7">
        <f t="shared" si="5"/>
        <v>0</v>
      </c>
    </row>
    <row r="88" spans="1:31" ht="15.75" customHeight="1">
      <c r="A88" s="77" t="s">
        <v>468</v>
      </c>
      <c r="B88" s="78">
        <v>0</v>
      </c>
      <c r="C88" s="78">
        <v>227.3</v>
      </c>
      <c r="D88" s="42">
        <f t="shared" si="0"/>
        <v>227.3</v>
      </c>
      <c r="E88" s="78">
        <v>0</v>
      </c>
      <c r="F88" s="78">
        <v>1.8</v>
      </c>
      <c r="G88" s="42">
        <f t="shared" si="1"/>
        <v>1.8</v>
      </c>
      <c r="H88" s="41">
        <v>149519</v>
      </c>
      <c r="I88" s="41">
        <v>1257</v>
      </c>
      <c r="J88" s="41">
        <f t="shared" si="2"/>
        <v>150776</v>
      </c>
      <c r="K88" s="41">
        <v>314541</v>
      </c>
      <c r="L88" s="79">
        <f t="shared" si="3"/>
        <v>0.47935245325728604</v>
      </c>
      <c r="M88" s="82">
        <v>1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 t="s">
        <v>1353</v>
      </c>
      <c r="T88" s="82" t="s">
        <v>1353</v>
      </c>
      <c r="U88" s="80"/>
      <c r="V88" s="82" t="s">
        <v>1353</v>
      </c>
      <c r="W88" s="80"/>
      <c r="X88" s="82" t="s">
        <v>1353</v>
      </c>
      <c r="Y88" s="80"/>
      <c r="Z88" s="81"/>
      <c r="AA88" s="6">
        <f t="shared" si="4"/>
        <v>2</v>
      </c>
      <c r="AB88" s="80" t="str">
        <f>+IF(AND(D88&gt;'Indices y Outliers'!$I$144,D88&lt;&gt;""),1,"")</f>
        <v/>
      </c>
      <c r="AC88" s="80" t="str">
        <f>+IF(AND(G88&gt;'Indices y Outliers'!$I$153,G88&lt;&gt;""),1,"")</f>
        <v/>
      </c>
      <c r="AD88" s="7"/>
      <c r="AE88" s="7">
        <f t="shared" si="5"/>
        <v>0</v>
      </c>
    </row>
    <row r="89" spans="1:31" ht="15.75" customHeight="1">
      <c r="A89" s="77" t="s">
        <v>471</v>
      </c>
      <c r="B89" s="78">
        <v>44.85</v>
      </c>
      <c r="C89" s="78">
        <v>0</v>
      </c>
      <c r="D89" s="42">
        <f t="shared" si="0"/>
        <v>44.85</v>
      </c>
      <c r="E89" s="78">
        <v>0.57999999999999996</v>
      </c>
      <c r="F89" s="78">
        <v>0</v>
      </c>
      <c r="G89" s="42">
        <f t="shared" si="1"/>
        <v>0.57999999999999996</v>
      </c>
      <c r="H89" s="41">
        <v>286</v>
      </c>
      <c r="I89" s="41">
        <v>5308358</v>
      </c>
      <c r="J89" s="41">
        <f t="shared" si="2"/>
        <v>5308644</v>
      </c>
      <c r="K89" s="41">
        <v>5341451</v>
      </c>
      <c r="L89" s="79">
        <f t="shared" si="3"/>
        <v>0.99385803595315203</v>
      </c>
      <c r="M89" s="82">
        <v>1</v>
      </c>
      <c r="N89" s="82">
        <v>1</v>
      </c>
      <c r="O89" s="82">
        <v>1</v>
      </c>
      <c r="P89" s="80"/>
      <c r="Q89" s="82">
        <v>1</v>
      </c>
      <c r="R89" s="82">
        <v>1</v>
      </c>
      <c r="S89" s="82" t="s">
        <v>1353</v>
      </c>
      <c r="T89" s="82" t="s">
        <v>1353</v>
      </c>
      <c r="U89" s="82" t="s">
        <v>1353</v>
      </c>
      <c r="V89" s="82" t="s">
        <v>1353</v>
      </c>
      <c r="W89" s="80"/>
      <c r="X89" s="82" t="s">
        <v>1353</v>
      </c>
      <c r="Y89" s="80"/>
      <c r="Z89" s="81"/>
      <c r="AA89" s="6">
        <f t="shared" si="4"/>
        <v>2</v>
      </c>
      <c r="AB89" s="80" t="str">
        <f>+IF(AND(D89&gt;'Indices y Outliers'!$I$144,D89&lt;&gt;""),1,"")</f>
        <v/>
      </c>
      <c r="AC89" s="80" t="str">
        <f>+IF(AND(G89&gt;'Indices y Outliers'!$I$153,G89&lt;&gt;""),1,"")</f>
        <v/>
      </c>
      <c r="AD89" s="7"/>
      <c r="AE89" s="7">
        <f t="shared" si="5"/>
        <v>0</v>
      </c>
    </row>
    <row r="90" spans="1:31" ht="15.75" customHeight="1">
      <c r="A90" s="77" t="s">
        <v>474</v>
      </c>
      <c r="B90" s="78">
        <v>76.748999999999995</v>
      </c>
      <c r="C90" s="78">
        <v>0</v>
      </c>
      <c r="D90" s="42">
        <f t="shared" si="0"/>
        <v>76.748999999999995</v>
      </c>
      <c r="E90" s="78">
        <v>1.0169999999999999</v>
      </c>
      <c r="F90" s="78">
        <v>0</v>
      </c>
      <c r="G90" s="42">
        <f t="shared" si="1"/>
        <v>1.0169999999999999</v>
      </c>
      <c r="H90" s="41">
        <v>34585</v>
      </c>
      <c r="I90" s="41">
        <v>1315989</v>
      </c>
      <c r="J90" s="41">
        <f t="shared" si="2"/>
        <v>1350574</v>
      </c>
      <c r="K90" s="41">
        <v>1356570</v>
      </c>
      <c r="L90" s="79">
        <f t="shared" si="3"/>
        <v>0.99558002904383847</v>
      </c>
      <c r="M90" s="82">
        <v>1</v>
      </c>
      <c r="N90" s="82">
        <v>1</v>
      </c>
      <c r="O90" s="82">
        <v>1</v>
      </c>
      <c r="P90" s="82">
        <v>1</v>
      </c>
      <c r="Q90" s="82">
        <v>1</v>
      </c>
      <c r="R90" s="80">
        <v>1</v>
      </c>
      <c r="S90" s="80"/>
      <c r="T90" s="82" t="s">
        <v>1353</v>
      </c>
      <c r="U90" s="80"/>
      <c r="V90" s="82" t="s">
        <v>1353</v>
      </c>
      <c r="W90" s="80"/>
      <c r="X90" s="80"/>
      <c r="Y90" s="80"/>
      <c r="Z90" s="81"/>
      <c r="AA90" s="6">
        <f t="shared" si="4"/>
        <v>2</v>
      </c>
      <c r="AB90" s="80" t="str">
        <f>+IF(AND(D90&gt;'Indices y Outliers'!$I$144,D90&lt;&gt;""),1,"")</f>
        <v/>
      </c>
      <c r="AC90" s="80" t="str">
        <f>+IF(AND(G90&gt;'Indices y Outliers'!$I$153,G90&lt;&gt;""),1,"")</f>
        <v/>
      </c>
      <c r="AD90" s="7"/>
      <c r="AE90" s="7">
        <f t="shared" si="5"/>
        <v>0</v>
      </c>
    </row>
    <row r="91" spans="1:31" ht="15.75" customHeight="1">
      <c r="A91" s="77" t="s">
        <v>477</v>
      </c>
      <c r="B91" s="78">
        <v>40.770000000000003</v>
      </c>
      <c r="C91" s="78">
        <v>0</v>
      </c>
      <c r="D91" s="42">
        <f t="shared" si="0"/>
        <v>40.770000000000003</v>
      </c>
      <c r="E91" s="78">
        <v>1.284</v>
      </c>
      <c r="F91" s="78">
        <v>0</v>
      </c>
      <c r="G91" s="42">
        <f t="shared" si="1"/>
        <v>1.284</v>
      </c>
      <c r="H91" s="41">
        <v>0</v>
      </c>
      <c r="I91" s="41">
        <v>5209</v>
      </c>
      <c r="J91" s="41">
        <f t="shared" si="2"/>
        <v>5209</v>
      </c>
      <c r="K91" s="41">
        <v>5308</v>
      </c>
      <c r="L91" s="79">
        <f t="shared" si="3"/>
        <v>0.98134890730972113</v>
      </c>
      <c r="M91" s="82">
        <v>1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 t="s">
        <v>1353</v>
      </c>
      <c r="T91" s="82" t="s">
        <v>1353</v>
      </c>
      <c r="U91" s="82" t="s">
        <v>1353</v>
      </c>
      <c r="V91" s="82" t="s">
        <v>1353</v>
      </c>
      <c r="W91" s="80"/>
      <c r="X91" s="82" t="s">
        <v>1353</v>
      </c>
      <c r="Y91" s="80"/>
      <c r="Z91" s="81"/>
      <c r="AA91" s="6">
        <f t="shared" si="4"/>
        <v>2</v>
      </c>
      <c r="AB91" s="80" t="str">
        <f>+IF(AND(D91&gt;'Indices y Outliers'!$I$144,D91&lt;&gt;""),1,"")</f>
        <v/>
      </c>
      <c r="AC91" s="80" t="str">
        <f>+IF(AND(G91&gt;'Indices y Outliers'!$I$153,G91&lt;&gt;""),1,"")</f>
        <v/>
      </c>
      <c r="AD91" s="7"/>
      <c r="AE91" s="7">
        <f t="shared" si="5"/>
        <v>0</v>
      </c>
    </row>
    <row r="92" spans="1:31" ht="15.75" customHeight="1">
      <c r="A92" s="77" t="s">
        <v>480</v>
      </c>
      <c r="B92" s="78">
        <v>119</v>
      </c>
      <c r="C92" s="78">
        <v>0</v>
      </c>
      <c r="D92" s="42">
        <f t="shared" si="0"/>
        <v>119</v>
      </c>
      <c r="E92" s="78">
        <v>1.67</v>
      </c>
      <c r="F92" s="78">
        <v>0</v>
      </c>
      <c r="G92" s="42">
        <f t="shared" si="1"/>
        <v>1.67</v>
      </c>
      <c r="H92" s="41">
        <v>0</v>
      </c>
      <c r="I92" s="41">
        <v>912209</v>
      </c>
      <c r="J92" s="41">
        <f t="shared" si="2"/>
        <v>912209</v>
      </c>
      <c r="K92" s="41">
        <v>912209</v>
      </c>
      <c r="L92" s="79">
        <f t="shared" si="3"/>
        <v>1</v>
      </c>
      <c r="M92" s="82">
        <v>1</v>
      </c>
      <c r="N92" s="82">
        <v>1</v>
      </c>
      <c r="O92" s="82">
        <v>1</v>
      </c>
      <c r="P92" s="82">
        <v>1</v>
      </c>
      <c r="Q92" s="80"/>
      <c r="R92" s="82">
        <v>1</v>
      </c>
      <c r="S92" s="82" t="s">
        <v>1353</v>
      </c>
      <c r="T92" s="82" t="s">
        <v>1353</v>
      </c>
      <c r="U92" s="82" t="s">
        <v>1353</v>
      </c>
      <c r="V92" s="82" t="s">
        <v>1353</v>
      </c>
      <c r="W92" s="80"/>
      <c r="X92" s="82" t="s">
        <v>1353</v>
      </c>
      <c r="Y92" s="82" t="s">
        <v>1353</v>
      </c>
      <c r="Z92" s="81"/>
      <c r="AA92" s="6">
        <f t="shared" si="4"/>
        <v>2</v>
      </c>
      <c r="AB92" s="80" t="str">
        <f>+IF(AND(D92&gt;'Indices y Outliers'!$I$144,D92&lt;&gt;""),1,"")</f>
        <v/>
      </c>
      <c r="AC92" s="80" t="str">
        <f>+IF(AND(G92&gt;'Indices y Outliers'!$I$153,G92&lt;&gt;""),1,"")</f>
        <v/>
      </c>
      <c r="AD92" s="7"/>
      <c r="AE92" s="7">
        <f t="shared" si="5"/>
        <v>0</v>
      </c>
    </row>
    <row r="93" spans="1:31" ht="15.75" customHeight="1">
      <c r="A93" s="77" t="s">
        <v>483</v>
      </c>
      <c r="B93" s="78">
        <v>81</v>
      </c>
      <c r="C93" s="78">
        <v>0</v>
      </c>
      <c r="D93" s="42">
        <f t="shared" si="0"/>
        <v>81</v>
      </c>
      <c r="E93" s="78">
        <v>0.94</v>
      </c>
      <c r="F93" s="78">
        <v>0</v>
      </c>
      <c r="G93" s="42">
        <f t="shared" si="1"/>
        <v>0.94</v>
      </c>
      <c r="H93" s="41">
        <v>714963</v>
      </c>
      <c r="I93" s="41">
        <v>0</v>
      </c>
      <c r="J93" s="41">
        <f t="shared" si="2"/>
        <v>714963</v>
      </c>
      <c r="K93" s="41">
        <v>715783</v>
      </c>
      <c r="L93" s="79">
        <f t="shared" si="3"/>
        <v>0.99885440140377735</v>
      </c>
      <c r="M93" s="82">
        <v>1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 t="s">
        <v>1353</v>
      </c>
      <c r="T93" s="82" t="s">
        <v>1353</v>
      </c>
      <c r="U93" s="82" t="s">
        <v>1353</v>
      </c>
      <c r="V93" s="82" t="s">
        <v>1353</v>
      </c>
      <c r="W93" s="82" t="s">
        <v>1354</v>
      </c>
      <c r="X93" s="82" t="s">
        <v>1353</v>
      </c>
      <c r="Y93" s="82" t="s">
        <v>1354</v>
      </c>
      <c r="Z93" s="81"/>
      <c r="AA93" s="6">
        <f t="shared" si="4"/>
        <v>2</v>
      </c>
      <c r="AB93" s="80" t="str">
        <f>+IF(AND(D93&gt;'Indices y Outliers'!$I$144,D93&lt;&gt;""),1,"")</f>
        <v/>
      </c>
      <c r="AC93" s="80" t="str">
        <f>+IF(AND(G93&gt;'Indices y Outliers'!$I$153,G93&lt;&gt;""),1,"")</f>
        <v/>
      </c>
      <c r="AD93" s="7"/>
      <c r="AE93" s="7">
        <f t="shared" si="5"/>
        <v>0</v>
      </c>
    </row>
    <row r="94" spans="1:31" ht="15.75" customHeight="1">
      <c r="A94" s="77" t="s">
        <v>486</v>
      </c>
      <c r="B94" s="78">
        <v>0</v>
      </c>
      <c r="C94" s="78">
        <v>0</v>
      </c>
      <c r="D94" s="42" t="str">
        <f t="shared" si="0"/>
        <v/>
      </c>
      <c r="E94" s="78">
        <v>0</v>
      </c>
      <c r="F94" s="78">
        <v>0</v>
      </c>
      <c r="G94" s="42" t="str">
        <f t="shared" si="1"/>
        <v/>
      </c>
      <c r="H94" s="41">
        <v>6226</v>
      </c>
      <c r="I94" s="41">
        <v>0</v>
      </c>
      <c r="J94" s="41">
        <f t="shared" si="2"/>
        <v>6226</v>
      </c>
      <c r="K94" s="41">
        <v>6226</v>
      </c>
      <c r="L94" s="79">
        <f t="shared" si="3"/>
        <v>1</v>
      </c>
      <c r="M94" s="82">
        <v>1</v>
      </c>
      <c r="N94" s="80"/>
      <c r="O94" s="82">
        <v>1</v>
      </c>
      <c r="P94" s="80"/>
      <c r="Q94" s="80"/>
      <c r="R94" s="82"/>
      <c r="S94" s="82" t="s">
        <v>1353</v>
      </c>
      <c r="T94" s="82" t="s">
        <v>1354</v>
      </c>
      <c r="U94" s="80"/>
      <c r="V94" s="82" t="s">
        <v>1353</v>
      </c>
      <c r="W94" s="82" t="s">
        <v>1353</v>
      </c>
      <c r="X94" s="80"/>
      <c r="Y94" s="80"/>
      <c r="Z94" s="81"/>
      <c r="AA94" s="6">
        <f t="shared" si="4"/>
        <v>0</v>
      </c>
      <c r="AB94" s="80" t="str">
        <f>+IF(AND(D94&gt;'Indices y Outliers'!$I$144,D94&lt;&gt;""),1,"")</f>
        <v/>
      </c>
      <c r="AC94" s="80" t="str">
        <f>+IF(AND(G94&gt;'Indices y Outliers'!$I$153,G94&lt;&gt;""),1,"")</f>
        <v/>
      </c>
      <c r="AD94" s="7"/>
      <c r="AE94" s="7">
        <f t="shared" si="5"/>
        <v>0</v>
      </c>
    </row>
    <row r="95" spans="1:31" ht="15.75" customHeight="1">
      <c r="A95" s="77" t="s">
        <v>490</v>
      </c>
      <c r="B95" s="78">
        <v>88.7</v>
      </c>
      <c r="C95" s="78">
        <v>0</v>
      </c>
      <c r="D95" s="42">
        <f t="shared" si="0"/>
        <v>88.7</v>
      </c>
      <c r="E95" s="78">
        <v>1.3340000000000001</v>
      </c>
      <c r="F95" s="78">
        <v>0</v>
      </c>
      <c r="G95" s="42">
        <f t="shared" si="1"/>
        <v>1.3340000000000001</v>
      </c>
      <c r="H95" s="41">
        <v>0</v>
      </c>
      <c r="I95" s="41">
        <v>279348</v>
      </c>
      <c r="J95" s="41">
        <f t="shared" si="2"/>
        <v>279348</v>
      </c>
      <c r="K95" s="41">
        <v>279359</v>
      </c>
      <c r="L95" s="79">
        <f t="shared" si="3"/>
        <v>0.9999606241431277</v>
      </c>
      <c r="M95" s="82">
        <v>1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 t="s">
        <v>1353</v>
      </c>
      <c r="T95" s="82" t="s">
        <v>1353</v>
      </c>
      <c r="U95" s="82" t="s">
        <v>1353</v>
      </c>
      <c r="V95" s="82" t="s">
        <v>1353</v>
      </c>
      <c r="W95" s="80"/>
      <c r="X95" s="82" t="s">
        <v>1353</v>
      </c>
      <c r="Y95" s="80"/>
      <c r="Z95" s="81"/>
      <c r="AA95" s="6">
        <f t="shared" si="4"/>
        <v>2</v>
      </c>
      <c r="AB95" s="80" t="str">
        <f>+IF(AND(D95&gt;'Indices y Outliers'!$I$144,D95&lt;&gt;""),1,"")</f>
        <v/>
      </c>
      <c r="AC95" s="80" t="str">
        <f>+IF(AND(G95&gt;'Indices y Outliers'!$I$153,G95&lt;&gt;""),1,"")</f>
        <v/>
      </c>
      <c r="AD95" s="7"/>
      <c r="AE95" s="7">
        <f t="shared" si="5"/>
        <v>0</v>
      </c>
    </row>
    <row r="96" spans="1:31" ht="15.75" customHeight="1">
      <c r="A96" s="77" t="s">
        <v>493</v>
      </c>
      <c r="B96" s="78">
        <v>137.41999999999999</v>
      </c>
      <c r="C96" s="78">
        <v>0</v>
      </c>
      <c r="D96" s="42">
        <f t="shared" si="0"/>
        <v>137.41999999999999</v>
      </c>
      <c r="E96" s="78">
        <v>1.86</v>
      </c>
      <c r="F96" s="78">
        <v>0</v>
      </c>
      <c r="G96" s="42">
        <f t="shared" si="1"/>
        <v>1.86</v>
      </c>
      <c r="H96" s="41">
        <v>0</v>
      </c>
      <c r="I96" s="41">
        <v>336425</v>
      </c>
      <c r="J96" s="41">
        <f t="shared" si="2"/>
        <v>336425</v>
      </c>
      <c r="K96" s="41">
        <v>336777</v>
      </c>
      <c r="L96" s="79">
        <f t="shared" si="3"/>
        <v>0.99895479798204745</v>
      </c>
      <c r="M96" s="82">
        <v>1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 t="s">
        <v>1353</v>
      </c>
      <c r="T96" s="82" t="s">
        <v>1353</v>
      </c>
      <c r="U96" s="82" t="s">
        <v>1353</v>
      </c>
      <c r="V96" s="82" t="s">
        <v>1353</v>
      </c>
      <c r="W96" s="80"/>
      <c r="X96" s="82" t="s">
        <v>1353</v>
      </c>
      <c r="Y96" s="80"/>
      <c r="Z96" s="81"/>
      <c r="AA96" s="6">
        <f t="shared" si="4"/>
        <v>2</v>
      </c>
      <c r="AB96" s="80" t="str">
        <f>+IF(AND(D96&gt;'Indices y Outliers'!$I$144,D96&lt;&gt;""),1,"")</f>
        <v/>
      </c>
      <c r="AC96" s="80" t="str">
        <f>+IF(AND(G96&gt;'Indices y Outliers'!$I$153,G96&lt;&gt;""),1,"")</f>
        <v/>
      </c>
      <c r="AD96" s="7"/>
      <c r="AE96" s="7">
        <f t="shared" si="5"/>
        <v>0</v>
      </c>
    </row>
    <row r="97" spans="1:31" ht="15.75" customHeight="1">
      <c r="A97" s="77" t="s">
        <v>496</v>
      </c>
      <c r="B97" s="78">
        <v>0</v>
      </c>
      <c r="C97" s="78">
        <v>0</v>
      </c>
      <c r="D97" s="42" t="str">
        <f t="shared" si="0"/>
        <v/>
      </c>
      <c r="E97" s="78">
        <v>0</v>
      </c>
      <c r="F97" s="78">
        <v>0</v>
      </c>
      <c r="G97" s="42" t="str">
        <f t="shared" si="1"/>
        <v/>
      </c>
      <c r="H97" s="41">
        <v>0</v>
      </c>
      <c r="I97" s="41">
        <v>0</v>
      </c>
      <c r="J97" s="41">
        <f t="shared" si="2"/>
        <v>0</v>
      </c>
      <c r="K97" s="41">
        <v>0</v>
      </c>
      <c r="L97" s="79" t="str">
        <f t="shared" si="3"/>
        <v/>
      </c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1"/>
      <c r="AA97" s="6">
        <f t="shared" si="4"/>
        <v>0</v>
      </c>
      <c r="AB97" s="80" t="str">
        <f>+IF(AND(D97&gt;'Indices y Outliers'!$I$144,D97&lt;&gt;""),1,"")</f>
        <v/>
      </c>
      <c r="AC97" s="80" t="str">
        <f>+IF(AND(G97&gt;'Indices y Outliers'!$I$153,G97&lt;&gt;""),1,"")</f>
        <v/>
      </c>
      <c r="AD97" s="7"/>
      <c r="AE97" s="7">
        <f t="shared" si="5"/>
        <v>0</v>
      </c>
    </row>
    <row r="98" spans="1:31" ht="15.75" customHeight="1">
      <c r="A98" s="77" t="s">
        <v>499</v>
      </c>
      <c r="B98" s="78">
        <v>0</v>
      </c>
      <c r="C98" s="78">
        <v>0</v>
      </c>
      <c r="D98" s="42" t="str">
        <f t="shared" si="0"/>
        <v/>
      </c>
      <c r="E98" s="78">
        <v>0.91</v>
      </c>
      <c r="F98" s="78">
        <v>0</v>
      </c>
      <c r="G98" s="42">
        <f t="shared" si="1"/>
        <v>0.91</v>
      </c>
      <c r="H98" s="41">
        <v>165944</v>
      </c>
      <c r="I98" s="41">
        <v>305166</v>
      </c>
      <c r="J98" s="41">
        <f t="shared" si="2"/>
        <v>471110</v>
      </c>
      <c r="K98" s="41">
        <v>471874</v>
      </c>
      <c r="L98" s="79">
        <f t="shared" si="3"/>
        <v>0.99838092372116283</v>
      </c>
      <c r="M98" s="82">
        <v>1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 t="s">
        <v>1353</v>
      </c>
      <c r="T98" s="82" t="s">
        <v>1353</v>
      </c>
      <c r="U98" s="82" t="s">
        <v>1353</v>
      </c>
      <c r="V98" s="82" t="s">
        <v>1353</v>
      </c>
      <c r="W98" s="80"/>
      <c r="X98" s="82" t="s">
        <v>1353</v>
      </c>
      <c r="Y98" s="80"/>
      <c r="Z98" s="81"/>
      <c r="AA98" s="6">
        <f t="shared" si="4"/>
        <v>0</v>
      </c>
      <c r="AB98" s="80" t="str">
        <f>+IF(AND(D98&gt;'Indices y Outliers'!$I$144,D98&lt;&gt;""),1,"")</f>
        <v/>
      </c>
      <c r="AC98" s="80" t="str">
        <f>+IF(AND(G98&gt;'Indices y Outliers'!$I$153,G98&lt;&gt;""),1,"")</f>
        <v/>
      </c>
      <c r="AD98" s="7"/>
      <c r="AE98" s="7">
        <f t="shared" si="5"/>
        <v>0</v>
      </c>
    </row>
    <row r="99" spans="1:31" ht="15.75" customHeight="1">
      <c r="A99" s="77" t="s">
        <v>502</v>
      </c>
      <c r="B99" s="78">
        <v>48.45</v>
      </c>
      <c r="C99" s="78">
        <v>0</v>
      </c>
      <c r="D99" s="42">
        <f t="shared" si="0"/>
        <v>48.45</v>
      </c>
      <c r="E99" s="78">
        <v>1.05</v>
      </c>
      <c r="F99" s="78">
        <v>0</v>
      </c>
      <c r="G99" s="42">
        <f t="shared" si="1"/>
        <v>1.05</v>
      </c>
      <c r="H99" s="41">
        <v>70848</v>
      </c>
      <c r="I99" s="41">
        <v>33894</v>
      </c>
      <c r="J99" s="41">
        <f t="shared" si="2"/>
        <v>104742</v>
      </c>
      <c r="K99" s="41">
        <v>104853</v>
      </c>
      <c r="L99" s="79">
        <f t="shared" si="3"/>
        <v>0.99894137506795233</v>
      </c>
      <c r="M99" s="82">
        <v>1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 t="s">
        <v>1353</v>
      </c>
      <c r="T99" s="82" t="s">
        <v>1353</v>
      </c>
      <c r="U99" s="82" t="s">
        <v>1353</v>
      </c>
      <c r="V99" s="82" t="s">
        <v>1353</v>
      </c>
      <c r="W99" s="80"/>
      <c r="X99" s="82" t="s">
        <v>1353</v>
      </c>
      <c r="Y99" s="80"/>
      <c r="Z99" s="81"/>
      <c r="AA99" s="6">
        <f t="shared" si="4"/>
        <v>2</v>
      </c>
      <c r="AB99" s="80" t="str">
        <f>+IF(AND(D99&gt;'Indices y Outliers'!$I$144,D99&lt;&gt;""),1,"")</f>
        <v/>
      </c>
      <c r="AC99" s="80" t="str">
        <f>+IF(AND(G99&gt;'Indices y Outliers'!$I$153,G99&lt;&gt;""),1,"")</f>
        <v/>
      </c>
      <c r="AD99" s="7"/>
      <c r="AE99" s="7">
        <f t="shared" si="5"/>
        <v>0</v>
      </c>
    </row>
    <row r="100" spans="1:31" ht="15.75" customHeight="1">
      <c r="A100" s="77" t="s">
        <v>505</v>
      </c>
      <c r="B100" s="78">
        <v>0</v>
      </c>
      <c r="C100" s="78">
        <v>0</v>
      </c>
      <c r="D100" s="42" t="str">
        <f t="shared" si="0"/>
        <v/>
      </c>
      <c r="E100" s="78">
        <v>0</v>
      </c>
      <c r="F100" s="78">
        <v>0</v>
      </c>
      <c r="G100" s="42" t="str">
        <f t="shared" si="1"/>
        <v/>
      </c>
      <c r="H100" s="41">
        <v>0</v>
      </c>
      <c r="I100" s="41">
        <v>0</v>
      </c>
      <c r="J100" s="41">
        <f t="shared" si="2"/>
        <v>0</v>
      </c>
      <c r="K100" s="41">
        <v>0</v>
      </c>
      <c r="L100" s="79" t="str">
        <f t="shared" si="3"/>
        <v/>
      </c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1"/>
      <c r="AA100" s="6">
        <f t="shared" si="4"/>
        <v>0</v>
      </c>
      <c r="AB100" s="80" t="str">
        <f>+IF(AND(D100&gt;'Indices y Outliers'!$I$144,D100&lt;&gt;""),1,"")</f>
        <v/>
      </c>
      <c r="AC100" s="80" t="str">
        <f>+IF(AND(G100&gt;'Indices y Outliers'!$I$153,G100&lt;&gt;""),1,"")</f>
        <v/>
      </c>
      <c r="AD100" s="7"/>
      <c r="AE100" s="7">
        <f t="shared" si="5"/>
        <v>0</v>
      </c>
    </row>
    <row r="101" spans="1:31" ht="15.75" customHeight="1">
      <c r="A101" s="77" t="s">
        <v>508</v>
      </c>
      <c r="B101" s="78">
        <v>41.49</v>
      </c>
      <c r="C101" s="78">
        <v>0</v>
      </c>
      <c r="D101" s="42">
        <f t="shared" si="0"/>
        <v>41.49</v>
      </c>
      <c r="E101" s="78">
        <v>0.66</v>
      </c>
      <c r="F101" s="78">
        <v>0</v>
      </c>
      <c r="G101" s="42">
        <f t="shared" si="1"/>
        <v>0.66</v>
      </c>
      <c r="H101" s="41">
        <v>0</v>
      </c>
      <c r="I101" s="41">
        <v>106047</v>
      </c>
      <c r="J101" s="41">
        <f t="shared" si="2"/>
        <v>106047</v>
      </c>
      <c r="K101" s="41">
        <v>2320102</v>
      </c>
      <c r="L101" s="79">
        <f t="shared" si="3"/>
        <v>4.5707904221452329E-2</v>
      </c>
      <c r="M101" s="82">
        <v>1</v>
      </c>
      <c r="N101" s="80"/>
      <c r="O101" s="82">
        <v>1</v>
      </c>
      <c r="P101" s="80"/>
      <c r="Q101" s="82">
        <v>1</v>
      </c>
      <c r="R101" s="82">
        <v>1</v>
      </c>
      <c r="S101" s="82" t="s">
        <v>1353</v>
      </c>
      <c r="T101" s="82" t="s">
        <v>1353</v>
      </c>
      <c r="U101" s="80"/>
      <c r="V101" s="82" t="s">
        <v>1353</v>
      </c>
      <c r="W101" s="80"/>
      <c r="X101" s="80"/>
      <c r="Y101" s="80"/>
      <c r="Z101" s="81"/>
      <c r="AA101" s="6">
        <f t="shared" si="4"/>
        <v>2</v>
      </c>
      <c r="AB101" s="80" t="str">
        <f>+IF(AND(D101&gt;'Indices y Outliers'!$I$144,D101&lt;&gt;""),1,"")</f>
        <v/>
      </c>
      <c r="AC101" s="80" t="str">
        <f>+IF(AND(G101&gt;'Indices y Outliers'!$I$153,G101&lt;&gt;""),1,"")</f>
        <v/>
      </c>
      <c r="AD101" s="7"/>
      <c r="AE101" s="7">
        <f t="shared" si="5"/>
        <v>0</v>
      </c>
    </row>
    <row r="102" spans="1:31" ht="15.75" customHeight="1">
      <c r="A102" s="77" t="s">
        <v>511</v>
      </c>
      <c r="B102" s="78">
        <v>86.22</v>
      </c>
      <c r="C102" s="78">
        <v>0</v>
      </c>
      <c r="D102" s="42">
        <f t="shared" si="0"/>
        <v>86.22</v>
      </c>
      <c r="E102" s="78">
        <v>0.81799999999999995</v>
      </c>
      <c r="F102" s="78">
        <v>0</v>
      </c>
      <c r="G102" s="42">
        <f t="shared" si="1"/>
        <v>0.81799999999999995</v>
      </c>
      <c r="H102" s="41">
        <v>34895</v>
      </c>
      <c r="I102" s="41">
        <v>0</v>
      </c>
      <c r="J102" s="41">
        <f t="shared" si="2"/>
        <v>34895</v>
      </c>
      <c r="K102" s="41">
        <v>559785</v>
      </c>
      <c r="L102" s="79">
        <f t="shared" si="3"/>
        <v>6.2336432737568885E-2</v>
      </c>
      <c r="M102" s="82">
        <v>1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 t="s">
        <v>1353</v>
      </c>
      <c r="T102" s="82" t="s">
        <v>1353</v>
      </c>
      <c r="U102" s="82" t="s">
        <v>1353</v>
      </c>
      <c r="V102" s="82" t="s">
        <v>1353</v>
      </c>
      <c r="W102" s="80"/>
      <c r="X102" s="82" t="s">
        <v>1353</v>
      </c>
      <c r="Y102" s="80"/>
      <c r="Z102" s="81"/>
      <c r="AA102" s="6">
        <f t="shared" si="4"/>
        <v>2</v>
      </c>
      <c r="AB102" s="80" t="str">
        <f>+IF(AND(D102&gt;'Indices y Outliers'!$I$144,D102&lt;&gt;""),1,"")</f>
        <v/>
      </c>
      <c r="AC102" s="80" t="str">
        <f>+IF(AND(G102&gt;'Indices y Outliers'!$I$153,G102&lt;&gt;""),1,"")</f>
        <v/>
      </c>
      <c r="AD102" s="7"/>
      <c r="AE102" s="7">
        <f t="shared" si="5"/>
        <v>0</v>
      </c>
    </row>
    <row r="103" spans="1:31" ht="15.75" customHeight="1">
      <c r="A103" s="77" t="s">
        <v>514</v>
      </c>
      <c r="B103" s="78">
        <v>77.099999999999994</v>
      </c>
      <c r="C103" s="78">
        <v>0</v>
      </c>
      <c r="D103" s="42">
        <f t="shared" si="0"/>
        <v>77.099999999999994</v>
      </c>
      <c r="E103" s="78">
        <v>2.7949999999999999</v>
      </c>
      <c r="F103" s="78">
        <v>0</v>
      </c>
      <c r="G103" s="42">
        <f t="shared" si="1"/>
        <v>2.7949999999999999</v>
      </c>
      <c r="H103" s="41">
        <v>0</v>
      </c>
      <c r="I103" s="41">
        <v>30671</v>
      </c>
      <c r="J103" s="41">
        <f t="shared" si="2"/>
        <v>30671</v>
      </c>
      <c r="K103" s="41">
        <v>30671</v>
      </c>
      <c r="L103" s="79">
        <f t="shared" si="3"/>
        <v>1</v>
      </c>
      <c r="M103" s="82">
        <v>1</v>
      </c>
      <c r="N103" s="80"/>
      <c r="O103" s="82">
        <v>1</v>
      </c>
      <c r="P103" s="82">
        <v>1</v>
      </c>
      <c r="Q103" s="82">
        <v>1</v>
      </c>
      <c r="R103" s="82">
        <v>1</v>
      </c>
      <c r="S103" s="82" t="s">
        <v>1354</v>
      </c>
      <c r="T103" s="82" t="s">
        <v>1353</v>
      </c>
      <c r="U103" s="82" t="s">
        <v>1353</v>
      </c>
      <c r="V103" s="82" t="s">
        <v>1353</v>
      </c>
      <c r="W103" s="80"/>
      <c r="X103" s="82" t="s">
        <v>1353</v>
      </c>
      <c r="Y103" s="80"/>
      <c r="Z103" s="81"/>
      <c r="AA103" s="6">
        <f t="shared" si="4"/>
        <v>2</v>
      </c>
      <c r="AB103" s="80" t="str">
        <f>+IF(AND(D103&gt;'Indices y Outliers'!$I$144,D103&lt;&gt;""),1,"")</f>
        <v/>
      </c>
      <c r="AC103" s="80" t="str">
        <f>+IF(AND(G103&gt;'Indices y Outliers'!$I$153,G103&lt;&gt;""),1,"")</f>
        <v/>
      </c>
      <c r="AD103" s="7"/>
      <c r="AE103" s="7">
        <f t="shared" si="5"/>
        <v>0</v>
      </c>
    </row>
    <row r="104" spans="1:31" ht="15.75" customHeight="1">
      <c r="A104" s="77" t="s">
        <v>517</v>
      </c>
      <c r="B104" s="78">
        <v>102.75</v>
      </c>
      <c r="C104" s="78">
        <v>0</v>
      </c>
      <c r="D104" s="42">
        <f t="shared" si="0"/>
        <v>102.75</v>
      </c>
      <c r="E104" s="78">
        <v>1.3260000000000001</v>
      </c>
      <c r="F104" s="78">
        <v>0</v>
      </c>
      <c r="G104" s="42">
        <f t="shared" si="1"/>
        <v>1.3260000000000001</v>
      </c>
      <c r="H104" s="41">
        <v>551</v>
      </c>
      <c r="I104" s="41">
        <v>79054</v>
      </c>
      <c r="J104" s="41">
        <f t="shared" si="2"/>
        <v>79605</v>
      </c>
      <c r="K104" s="41">
        <v>79605</v>
      </c>
      <c r="L104" s="79">
        <f t="shared" si="3"/>
        <v>1</v>
      </c>
      <c r="M104" s="82">
        <v>1</v>
      </c>
      <c r="N104" s="80"/>
      <c r="O104" s="82">
        <v>1</v>
      </c>
      <c r="P104" s="80"/>
      <c r="Q104" s="82">
        <v>1</v>
      </c>
      <c r="R104" s="80">
        <v>1</v>
      </c>
      <c r="S104" s="80"/>
      <c r="T104" s="82" t="s">
        <v>1354</v>
      </c>
      <c r="U104" s="82" t="s">
        <v>1353</v>
      </c>
      <c r="V104" s="82" t="s">
        <v>1353</v>
      </c>
      <c r="W104" s="80"/>
      <c r="X104" s="82" t="s">
        <v>1354</v>
      </c>
      <c r="Y104" s="80"/>
      <c r="Z104" s="81"/>
      <c r="AA104" s="6">
        <f t="shared" si="4"/>
        <v>2</v>
      </c>
      <c r="AB104" s="80" t="str">
        <f>+IF(AND(D104&gt;'Indices y Outliers'!$I$144,D104&lt;&gt;""),1,"")</f>
        <v/>
      </c>
      <c r="AC104" s="80" t="str">
        <f>+IF(AND(G104&gt;'Indices y Outliers'!$I$153,G104&lt;&gt;""),1,"")</f>
        <v/>
      </c>
      <c r="AD104" s="7"/>
      <c r="AE104" s="7">
        <f t="shared" si="5"/>
        <v>0</v>
      </c>
    </row>
    <row r="105" spans="1:31" ht="15.75" customHeight="1">
      <c r="A105" s="77" t="s">
        <v>520</v>
      </c>
      <c r="B105" s="78">
        <v>84.5</v>
      </c>
      <c r="C105" s="78">
        <v>0</v>
      </c>
      <c r="D105" s="42">
        <f t="shared" si="0"/>
        <v>84.5</v>
      </c>
      <c r="E105" s="78">
        <v>0.93</v>
      </c>
      <c r="F105" s="78">
        <v>0</v>
      </c>
      <c r="G105" s="42">
        <f t="shared" si="1"/>
        <v>0.93</v>
      </c>
      <c r="H105" s="41">
        <v>0</v>
      </c>
      <c r="I105" s="41">
        <v>1466284</v>
      </c>
      <c r="J105" s="41">
        <f t="shared" si="2"/>
        <v>1466284</v>
      </c>
      <c r="K105" s="41">
        <v>1466284</v>
      </c>
      <c r="L105" s="79">
        <f t="shared" si="3"/>
        <v>1</v>
      </c>
      <c r="M105" s="82">
        <v>1</v>
      </c>
      <c r="N105" s="82">
        <v>1</v>
      </c>
      <c r="O105" s="82">
        <v>1</v>
      </c>
      <c r="P105" s="82">
        <v>1</v>
      </c>
      <c r="Q105" s="82">
        <v>1</v>
      </c>
      <c r="R105" s="80">
        <v>1</v>
      </c>
      <c r="S105" s="80"/>
      <c r="T105" s="82" t="s">
        <v>1353</v>
      </c>
      <c r="U105" s="80"/>
      <c r="V105" s="82" t="s">
        <v>1353</v>
      </c>
      <c r="W105" s="80"/>
      <c r="X105" s="80"/>
      <c r="Y105" s="80"/>
      <c r="Z105" s="81"/>
      <c r="AA105" s="6">
        <f t="shared" si="4"/>
        <v>2</v>
      </c>
      <c r="AB105" s="80" t="str">
        <f>+IF(AND(D105&gt;'Indices y Outliers'!$I$144,D105&lt;&gt;""),1,"")</f>
        <v/>
      </c>
      <c r="AC105" s="80" t="str">
        <f>+IF(AND(G105&gt;'Indices y Outliers'!$I$153,G105&lt;&gt;""),1,"")</f>
        <v/>
      </c>
      <c r="AD105" s="7"/>
      <c r="AE105" s="7">
        <f t="shared" si="5"/>
        <v>0</v>
      </c>
    </row>
    <row r="106" spans="1:31" ht="15.75" customHeight="1">
      <c r="A106" s="77" t="s">
        <v>523</v>
      </c>
      <c r="B106" s="78">
        <v>0</v>
      </c>
      <c r="C106" s="78">
        <v>0</v>
      </c>
      <c r="D106" s="42" t="str">
        <f t="shared" si="0"/>
        <v/>
      </c>
      <c r="E106" s="78">
        <v>0</v>
      </c>
      <c r="F106" s="78">
        <v>0</v>
      </c>
      <c r="G106" s="42" t="str">
        <f t="shared" si="1"/>
        <v/>
      </c>
      <c r="H106" s="41">
        <v>0</v>
      </c>
      <c r="I106" s="41">
        <v>0</v>
      </c>
      <c r="J106" s="41">
        <f t="shared" si="2"/>
        <v>0</v>
      </c>
      <c r="K106" s="41">
        <v>0</v>
      </c>
      <c r="L106" s="79" t="str">
        <f t="shared" si="3"/>
        <v/>
      </c>
      <c r="M106" s="82">
        <v>1</v>
      </c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1"/>
      <c r="AA106" s="6">
        <f t="shared" si="4"/>
        <v>0</v>
      </c>
      <c r="AB106" s="80" t="str">
        <f>+IF(AND(D106&gt;'Indices y Outliers'!$I$144,D106&lt;&gt;""),1,"")</f>
        <v/>
      </c>
      <c r="AC106" s="80" t="str">
        <f>+IF(AND(G106&gt;'Indices y Outliers'!$I$153,G106&lt;&gt;""),1,"")</f>
        <v/>
      </c>
      <c r="AD106" s="7"/>
      <c r="AE106" s="7">
        <f t="shared" si="5"/>
        <v>0</v>
      </c>
    </row>
    <row r="107" spans="1:31" ht="15.75" customHeight="1">
      <c r="A107" s="77" t="s">
        <v>526</v>
      </c>
      <c r="B107" s="78">
        <v>0</v>
      </c>
      <c r="C107" s="78">
        <v>0</v>
      </c>
      <c r="D107" s="42" t="str">
        <f t="shared" si="0"/>
        <v/>
      </c>
      <c r="E107" s="78">
        <v>0</v>
      </c>
      <c r="F107" s="78">
        <v>0</v>
      </c>
      <c r="G107" s="42" t="str">
        <f t="shared" si="1"/>
        <v/>
      </c>
      <c r="H107" s="41">
        <v>0</v>
      </c>
      <c r="I107" s="41">
        <v>0</v>
      </c>
      <c r="J107" s="41">
        <f t="shared" si="2"/>
        <v>0</v>
      </c>
      <c r="K107" s="41">
        <v>0</v>
      </c>
      <c r="L107" s="79" t="str">
        <f t="shared" si="3"/>
        <v/>
      </c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1"/>
      <c r="AA107" s="6">
        <f t="shared" si="4"/>
        <v>0</v>
      </c>
      <c r="AB107" s="80" t="str">
        <f>+IF(AND(D107&gt;'Indices y Outliers'!$I$144,D107&lt;&gt;""),1,"")</f>
        <v/>
      </c>
      <c r="AC107" s="80" t="str">
        <f>+IF(AND(G107&gt;'Indices y Outliers'!$I$153,G107&lt;&gt;""),1,"")</f>
        <v/>
      </c>
      <c r="AD107" s="7"/>
      <c r="AE107" s="7">
        <f t="shared" si="5"/>
        <v>0</v>
      </c>
    </row>
    <row r="108" spans="1:31" ht="15.75" customHeight="1">
      <c r="A108" s="77" t="s">
        <v>529</v>
      </c>
      <c r="B108" s="78">
        <v>75.837000000000003</v>
      </c>
      <c r="C108" s="78">
        <v>0</v>
      </c>
      <c r="D108" s="42">
        <f t="shared" si="0"/>
        <v>75.837000000000003</v>
      </c>
      <c r="E108" s="78">
        <v>1.0980000000000001</v>
      </c>
      <c r="F108" s="78">
        <v>0</v>
      </c>
      <c r="G108" s="42">
        <f t="shared" si="1"/>
        <v>1.0980000000000001</v>
      </c>
      <c r="H108" s="41">
        <v>1522416</v>
      </c>
      <c r="I108" s="41">
        <v>0</v>
      </c>
      <c r="J108" s="41">
        <f t="shared" si="2"/>
        <v>1522416</v>
      </c>
      <c r="K108" s="41">
        <v>1522416</v>
      </c>
      <c r="L108" s="79">
        <f t="shared" si="3"/>
        <v>1</v>
      </c>
      <c r="M108" s="82">
        <v>1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 t="s">
        <v>1353</v>
      </c>
      <c r="T108" s="82" t="s">
        <v>1353</v>
      </c>
      <c r="U108" s="82" t="s">
        <v>1353</v>
      </c>
      <c r="V108" s="82" t="s">
        <v>1353</v>
      </c>
      <c r="W108" s="80"/>
      <c r="X108" s="82" t="s">
        <v>1353</v>
      </c>
      <c r="Y108" s="82" t="s">
        <v>1353</v>
      </c>
      <c r="Z108" s="81"/>
      <c r="AA108" s="6">
        <f t="shared" si="4"/>
        <v>2</v>
      </c>
      <c r="AB108" s="80" t="str">
        <f>+IF(AND(D108&gt;'Indices y Outliers'!$I$144,D108&lt;&gt;""),1,"")</f>
        <v/>
      </c>
      <c r="AC108" s="80" t="str">
        <f>+IF(AND(G108&gt;'Indices y Outliers'!$I$153,G108&lt;&gt;""),1,"")</f>
        <v/>
      </c>
      <c r="AD108" s="7"/>
      <c r="AE108" s="7">
        <f t="shared" si="5"/>
        <v>0</v>
      </c>
    </row>
    <row r="109" spans="1:31" ht="15.75" customHeight="1">
      <c r="A109" s="77" t="s">
        <v>532</v>
      </c>
      <c r="B109" s="78">
        <v>65.78</v>
      </c>
      <c r="C109" s="78">
        <v>0</v>
      </c>
      <c r="D109" s="42">
        <f t="shared" si="0"/>
        <v>65.78</v>
      </c>
      <c r="E109" s="78">
        <v>1.04</v>
      </c>
      <c r="F109" s="78">
        <v>0</v>
      </c>
      <c r="G109" s="42">
        <f t="shared" si="1"/>
        <v>1.04</v>
      </c>
      <c r="H109" s="41">
        <v>175</v>
      </c>
      <c r="I109" s="41">
        <v>574</v>
      </c>
      <c r="J109" s="41">
        <f t="shared" si="2"/>
        <v>749</v>
      </c>
      <c r="K109" s="41">
        <v>82192</v>
      </c>
      <c r="L109" s="79">
        <f t="shared" si="3"/>
        <v>9.1128090325092465E-3</v>
      </c>
      <c r="M109" s="82">
        <v>1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 t="s">
        <v>1353</v>
      </c>
      <c r="T109" s="82" t="s">
        <v>1353</v>
      </c>
      <c r="U109" s="82" t="s">
        <v>1353</v>
      </c>
      <c r="V109" s="82" t="s">
        <v>1353</v>
      </c>
      <c r="W109" s="80"/>
      <c r="X109" s="82" t="s">
        <v>1353</v>
      </c>
      <c r="Y109" s="80"/>
      <c r="Z109" s="81"/>
      <c r="AA109" s="6">
        <f t="shared" si="4"/>
        <v>2</v>
      </c>
      <c r="AB109" s="80" t="str">
        <f>+IF(AND(D109&gt;'Indices y Outliers'!$I$144,D109&lt;&gt;""),1,"")</f>
        <v/>
      </c>
      <c r="AC109" s="80" t="str">
        <f>+IF(AND(G109&gt;'Indices y Outliers'!$I$153,G109&lt;&gt;""),1,"")</f>
        <v/>
      </c>
      <c r="AD109" s="7"/>
      <c r="AE109" s="7">
        <f t="shared" si="5"/>
        <v>0</v>
      </c>
    </row>
    <row r="110" spans="1:31" ht="15.75" customHeight="1">
      <c r="A110" s="77" t="s">
        <v>535</v>
      </c>
      <c r="B110" s="78">
        <v>0</v>
      </c>
      <c r="C110" s="78">
        <v>0</v>
      </c>
      <c r="D110" s="42" t="str">
        <f t="shared" si="0"/>
        <v/>
      </c>
      <c r="E110" s="78">
        <v>0</v>
      </c>
      <c r="F110" s="78">
        <v>0</v>
      </c>
      <c r="G110" s="42" t="str">
        <f t="shared" si="1"/>
        <v/>
      </c>
      <c r="H110" s="41">
        <v>0</v>
      </c>
      <c r="I110" s="41">
        <v>0</v>
      </c>
      <c r="J110" s="41">
        <f t="shared" si="2"/>
        <v>0</v>
      </c>
      <c r="K110" s="41">
        <v>0</v>
      </c>
      <c r="L110" s="79" t="str">
        <f t="shared" si="3"/>
        <v/>
      </c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1"/>
      <c r="AA110" s="6">
        <f t="shared" si="4"/>
        <v>0</v>
      </c>
      <c r="AB110" s="80" t="str">
        <f>+IF(AND(D110&gt;'Indices y Outliers'!$I$144,D110&lt;&gt;""),1,"")</f>
        <v/>
      </c>
      <c r="AC110" s="80" t="str">
        <f>+IF(AND(G110&gt;'Indices y Outliers'!$I$153,G110&lt;&gt;""),1,"")</f>
        <v/>
      </c>
      <c r="AD110" s="7"/>
      <c r="AE110" s="7">
        <f t="shared" si="5"/>
        <v>0</v>
      </c>
    </row>
    <row r="111" spans="1:31" ht="15.75" customHeight="1">
      <c r="A111" s="77" t="s">
        <v>538</v>
      </c>
      <c r="B111" s="78">
        <v>0</v>
      </c>
      <c r="C111" s="78">
        <v>0</v>
      </c>
      <c r="D111" s="42" t="str">
        <f t="shared" si="0"/>
        <v/>
      </c>
      <c r="E111" s="78">
        <v>0</v>
      </c>
      <c r="F111" s="78">
        <v>0</v>
      </c>
      <c r="G111" s="42" t="str">
        <f t="shared" si="1"/>
        <v/>
      </c>
      <c r="H111" s="41">
        <v>0</v>
      </c>
      <c r="I111" s="41">
        <v>0</v>
      </c>
      <c r="J111" s="41">
        <f t="shared" si="2"/>
        <v>0</v>
      </c>
      <c r="K111" s="41">
        <v>0</v>
      </c>
      <c r="L111" s="79" t="str">
        <f t="shared" si="3"/>
        <v/>
      </c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1"/>
      <c r="AA111" s="6">
        <f t="shared" si="4"/>
        <v>0</v>
      </c>
      <c r="AB111" s="80" t="str">
        <f>+IF(AND(D111&gt;'Indices y Outliers'!$I$144,D111&lt;&gt;""),1,"")</f>
        <v/>
      </c>
      <c r="AC111" s="80" t="str">
        <f>+IF(AND(G111&gt;'Indices y Outliers'!$I$153,G111&lt;&gt;""),1,"")</f>
        <v/>
      </c>
      <c r="AD111" s="7"/>
      <c r="AE111" s="7">
        <f t="shared" si="5"/>
        <v>0</v>
      </c>
    </row>
    <row r="112" spans="1:31" ht="15.75" customHeight="1">
      <c r="A112" s="77" t="s">
        <v>541</v>
      </c>
      <c r="B112" s="78">
        <v>133.66</v>
      </c>
      <c r="C112" s="78">
        <v>0</v>
      </c>
      <c r="D112" s="42">
        <f t="shared" si="0"/>
        <v>133.66</v>
      </c>
      <c r="E112" s="78">
        <v>1.3180000000000001</v>
      </c>
      <c r="F112" s="78">
        <v>0</v>
      </c>
      <c r="G112" s="42">
        <f t="shared" si="1"/>
        <v>1.3180000000000001</v>
      </c>
      <c r="H112" s="41">
        <v>1677292</v>
      </c>
      <c r="I112" s="41">
        <v>15915</v>
      </c>
      <c r="J112" s="41">
        <f t="shared" si="2"/>
        <v>1693207</v>
      </c>
      <c r="K112" s="41">
        <v>1693396</v>
      </c>
      <c r="L112" s="79">
        <f t="shared" si="3"/>
        <v>0.99988838995722207</v>
      </c>
      <c r="M112" s="82">
        <v>1</v>
      </c>
      <c r="N112" s="82">
        <v>1</v>
      </c>
      <c r="O112" s="82">
        <v>1</v>
      </c>
      <c r="P112" s="82">
        <v>1</v>
      </c>
      <c r="Q112" s="82">
        <v>1</v>
      </c>
      <c r="R112" s="80">
        <v>1</v>
      </c>
      <c r="S112" s="80"/>
      <c r="T112" s="82" t="s">
        <v>1353</v>
      </c>
      <c r="U112" s="82" t="s">
        <v>1353</v>
      </c>
      <c r="V112" s="82" t="s">
        <v>1353</v>
      </c>
      <c r="W112" s="82" t="s">
        <v>1353</v>
      </c>
      <c r="X112" s="82" t="s">
        <v>1353</v>
      </c>
      <c r="Y112" s="82" t="s">
        <v>1353</v>
      </c>
      <c r="Z112" s="81"/>
      <c r="AA112" s="6">
        <f t="shared" si="4"/>
        <v>2</v>
      </c>
      <c r="AB112" s="80" t="str">
        <f>+IF(AND(D112&gt;'Indices y Outliers'!$I$144,D112&lt;&gt;""),1,"")</f>
        <v/>
      </c>
      <c r="AC112" s="80" t="str">
        <f>+IF(AND(G112&gt;'Indices y Outliers'!$I$153,G112&lt;&gt;""),1,"")</f>
        <v/>
      </c>
      <c r="AD112" s="7"/>
      <c r="AE112" s="7">
        <f t="shared" si="5"/>
        <v>0</v>
      </c>
    </row>
    <row r="113" spans="1:31" ht="15.75" customHeight="1">
      <c r="A113" s="77" t="s">
        <v>544</v>
      </c>
      <c r="B113" s="78">
        <v>108.73</v>
      </c>
      <c r="C113" s="78">
        <v>0</v>
      </c>
      <c r="D113" s="42">
        <f t="shared" si="0"/>
        <v>108.73</v>
      </c>
      <c r="E113" s="78">
        <v>1.04</v>
      </c>
      <c r="F113" s="78">
        <v>0</v>
      </c>
      <c r="G113" s="42">
        <f t="shared" si="1"/>
        <v>1.04</v>
      </c>
      <c r="H113" s="41">
        <v>45173</v>
      </c>
      <c r="I113" s="41">
        <v>104</v>
      </c>
      <c r="J113" s="41">
        <f t="shared" si="2"/>
        <v>45277</v>
      </c>
      <c r="K113" s="41">
        <v>46487</v>
      </c>
      <c r="L113" s="79">
        <f t="shared" si="3"/>
        <v>0.97397121775980378</v>
      </c>
      <c r="M113" s="82">
        <v>1</v>
      </c>
      <c r="N113" s="80"/>
      <c r="O113" s="82">
        <v>1</v>
      </c>
      <c r="P113" s="82">
        <v>1</v>
      </c>
      <c r="Q113" s="82">
        <v>1</v>
      </c>
      <c r="R113" s="80">
        <v>1</v>
      </c>
      <c r="S113" s="80"/>
      <c r="T113" s="80"/>
      <c r="U113" s="80"/>
      <c r="V113" s="82" t="s">
        <v>1353</v>
      </c>
      <c r="W113" s="80"/>
      <c r="X113" s="80"/>
      <c r="Y113" s="80"/>
      <c r="Z113" s="81"/>
      <c r="AA113" s="6">
        <f t="shared" si="4"/>
        <v>2</v>
      </c>
      <c r="AB113" s="80" t="str">
        <f>+IF(AND(D113&gt;'Indices y Outliers'!$I$144,D113&lt;&gt;""),1,"")</f>
        <v/>
      </c>
      <c r="AC113" s="80" t="str">
        <f>+IF(AND(G113&gt;'Indices y Outliers'!$I$153,G113&lt;&gt;""),1,"")</f>
        <v/>
      </c>
      <c r="AD113" s="7"/>
      <c r="AE113" s="7">
        <f t="shared" si="5"/>
        <v>0</v>
      </c>
    </row>
    <row r="114" spans="1:31" ht="15.75" customHeight="1">
      <c r="A114" s="77" t="s">
        <v>547</v>
      </c>
      <c r="B114" s="78">
        <v>97.56</v>
      </c>
      <c r="C114" s="78">
        <v>0</v>
      </c>
      <c r="D114" s="42">
        <f t="shared" si="0"/>
        <v>97.56</v>
      </c>
      <c r="E114" s="78">
        <v>1.26</v>
      </c>
      <c r="F114" s="78">
        <v>0</v>
      </c>
      <c r="G114" s="42">
        <f t="shared" si="1"/>
        <v>1.26</v>
      </c>
      <c r="H114" s="41">
        <v>1433645</v>
      </c>
      <c r="I114" s="41">
        <v>15334</v>
      </c>
      <c r="J114" s="41">
        <f t="shared" si="2"/>
        <v>1448979</v>
      </c>
      <c r="K114" s="41">
        <v>1518482</v>
      </c>
      <c r="L114" s="79">
        <f t="shared" si="3"/>
        <v>0.9542286309617104</v>
      </c>
      <c r="M114" s="82">
        <v>1</v>
      </c>
      <c r="N114" s="80"/>
      <c r="O114" s="82">
        <v>1</v>
      </c>
      <c r="P114" s="80"/>
      <c r="Q114" s="82">
        <v>1</v>
      </c>
      <c r="R114" s="80">
        <v>1</v>
      </c>
      <c r="S114" s="80"/>
      <c r="T114" s="80"/>
      <c r="U114" s="80"/>
      <c r="V114" s="82" t="s">
        <v>1353</v>
      </c>
      <c r="W114" s="80"/>
      <c r="X114" s="80"/>
      <c r="Y114" s="80"/>
      <c r="Z114" s="81"/>
      <c r="AA114" s="6">
        <f t="shared" si="4"/>
        <v>2</v>
      </c>
      <c r="AB114" s="80" t="str">
        <f>+IF(AND(D114&gt;'Indices y Outliers'!$I$144,D114&lt;&gt;""),1,"")</f>
        <v/>
      </c>
      <c r="AC114" s="80" t="str">
        <f>+IF(AND(G114&gt;'Indices y Outliers'!$I$153,G114&lt;&gt;""),1,"")</f>
        <v/>
      </c>
      <c r="AD114" s="7"/>
      <c r="AE114" s="7">
        <f t="shared" si="5"/>
        <v>0</v>
      </c>
    </row>
    <row r="115" spans="1:31" ht="15.75" customHeight="1">
      <c r="A115" s="77" t="s">
        <v>550</v>
      </c>
      <c r="B115" s="78">
        <v>68.8</v>
      </c>
      <c r="C115" s="78">
        <v>0</v>
      </c>
      <c r="D115" s="42">
        <f t="shared" si="0"/>
        <v>68.8</v>
      </c>
      <c r="E115" s="78">
        <v>1.429</v>
      </c>
      <c r="F115" s="78">
        <v>0</v>
      </c>
      <c r="G115" s="42">
        <f t="shared" si="1"/>
        <v>1.429</v>
      </c>
      <c r="H115" s="41">
        <v>501395</v>
      </c>
      <c r="I115" s="41">
        <v>551</v>
      </c>
      <c r="J115" s="41">
        <f t="shared" si="2"/>
        <v>501946</v>
      </c>
      <c r="K115" s="41">
        <v>515376</v>
      </c>
      <c r="L115" s="79">
        <f t="shared" si="3"/>
        <v>0.97394135543758342</v>
      </c>
      <c r="M115" s="82">
        <v>1</v>
      </c>
      <c r="N115" s="80"/>
      <c r="O115" s="82">
        <v>1</v>
      </c>
      <c r="P115" s="80"/>
      <c r="Q115" s="82">
        <v>1</v>
      </c>
      <c r="R115" s="80">
        <v>1</v>
      </c>
      <c r="S115" s="80"/>
      <c r="T115" s="80"/>
      <c r="U115" s="80"/>
      <c r="V115" s="82" t="s">
        <v>1353</v>
      </c>
      <c r="W115" s="80"/>
      <c r="X115" s="80"/>
      <c r="Y115" s="80"/>
      <c r="Z115" s="81"/>
      <c r="AA115" s="6">
        <f t="shared" si="4"/>
        <v>2</v>
      </c>
      <c r="AB115" s="80" t="str">
        <f>+IF(AND(D115&gt;'Indices y Outliers'!$I$144,D115&lt;&gt;""),1,"")</f>
        <v/>
      </c>
      <c r="AC115" s="80" t="str">
        <f>+IF(AND(G115&gt;'Indices y Outliers'!$I$153,G115&lt;&gt;""),1,"")</f>
        <v/>
      </c>
      <c r="AD115" s="7"/>
      <c r="AE115" s="7">
        <f t="shared" si="5"/>
        <v>0</v>
      </c>
    </row>
    <row r="116" spans="1:31" ht="15.75" customHeight="1">
      <c r="A116" s="77" t="s">
        <v>553</v>
      </c>
      <c r="B116" s="78">
        <v>104.443</v>
      </c>
      <c r="C116" s="78">
        <v>0</v>
      </c>
      <c r="D116" s="42">
        <f t="shared" si="0"/>
        <v>104.443</v>
      </c>
      <c r="E116" s="78">
        <v>1.607</v>
      </c>
      <c r="F116" s="78">
        <v>0</v>
      </c>
      <c r="G116" s="42">
        <f t="shared" si="1"/>
        <v>1.607</v>
      </c>
      <c r="H116" s="41">
        <v>119294</v>
      </c>
      <c r="I116" s="41">
        <v>405151</v>
      </c>
      <c r="J116" s="41">
        <f t="shared" si="2"/>
        <v>524445</v>
      </c>
      <c r="K116" s="41">
        <v>524445</v>
      </c>
      <c r="L116" s="79">
        <f t="shared" si="3"/>
        <v>1</v>
      </c>
      <c r="M116" s="82">
        <v>1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 t="s">
        <v>1353</v>
      </c>
      <c r="T116" s="82" t="s">
        <v>1353</v>
      </c>
      <c r="U116" s="82" t="s">
        <v>1353</v>
      </c>
      <c r="V116" s="82" t="s">
        <v>1353</v>
      </c>
      <c r="W116" s="80"/>
      <c r="X116" s="82" t="s">
        <v>1353</v>
      </c>
      <c r="Y116" s="80"/>
      <c r="Z116" s="81"/>
      <c r="AA116" s="6">
        <f t="shared" si="4"/>
        <v>2</v>
      </c>
      <c r="AB116" s="80" t="str">
        <f>+IF(AND(D116&gt;'Indices y Outliers'!$I$144,D116&lt;&gt;""),1,"")</f>
        <v/>
      </c>
      <c r="AC116" s="80" t="str">
        <f>+IF(AND(G116&gt;'Indices y Outliers'!$I$153,G116&lt;&gt;""),1,"")</f>
        <v/>
      </c>
      <c r="AD116" s="7"/>
      <c r="AE116" s="7">
        <f t="shared" si="5"/>
        <v>0</v>
      </c>
    </row>
    <row r="117" spans="1:31" ht="15.75" customHeight="1">
      <c r="A117" s="77" t="s">
        <v>556</v>
      </c>
      <c r="B117" s="78">
        <v>102</v>
      </c>
      <c r="C117" s="78">
        <v>0</v>
      </c>
      <c r="D117" s="42">
        <f t="shared" si="0"/>
        <v>102</v>
      </c>
      <c r="E117" s="78">
        <v>1.1299999999999999</v>
      </c>
      <c r="F117" s="78">
        <v>0</v>
      </c>
      <c r="G117" s="42">
        <f t="shared" si="1"/>
        <v>1.1299999999999999</v>
      </c>
      <c r="H117" s="41">
        <v>734</v>
      </c>
      <c r="I117" s="41">
        <v>1168311</v>
      </c>
      <c r="J117" s="41">
        <f t="shared" si="2"/>
        <v>1169045</v>
      </c>
      <c r="K117" s="41">
        <v>1169092</v>
      </c>
      <c r="L117" s="79">
        <f t="shared" si="3"/>
        <v>0.99995979786021971</v>
      </c>
      <c r="M117" s="82">
        <v>1</v>
      </c>
      <c r="N117" s="82">
        <v>1</v>
      </c>
      <c r="O117" s="82">
        <v>1</v>
      </c>
      <c r="P117" s="82">
        <v>1</v>
      </c>
      <c r="Q117" s="80"/>
      <c r="R117" s="82">
        <v>1</v>
      </c>
      <c r="S117" s="82" t="s">
        <v>1353</v>
      </c>
      <c r="T117" s="80"/>
      <c r="U117" s="82" t="s">
        <v>1353</v>
      </c>
      <c r="V117" s="82" t="s">
        <v>1353</v>
      </c>
      <c r="W117" s="82" t="s">
        <v>1353</v>
      </c>
      <c r="X117" s="82" t="s">
        <v>1353</v>
      </c>
      <c r="Y117" s="80"/>
      <c r="Z117" s="81"/>
      <c r="AA117" s="6">
        <f t="shared" si="4"/>
        <v>2</v>
      </c>
      <c r="AB117" s="80" t="str">
        <f>+IF(AND(D117&gt;'Indices y Outliers'!$I$144,D117&lt;&gt;""),1,"")</f>
        <v/>
      </c>
      <c r="AC117" s="80" t="str">
        <f>+IF(AND(G117&gt;'Indices y Outliers'!$I$153,G117&lt;&gt;""),1,"")</f>
        <v/>
      </c>
      <c r="AD117" s="7"/>
      <c r="AE117" s="7">
        <f t="shared" si="5"/>
        <v>0</v>
      </c>
    </row>
    <row r="118" spans="1:31" ht="15.75" customHeight="1">
      <c r="A118" s="77" t="s">
        <v>559</v>
      </c>
      <c r="B118" s="78">
        <v>0</v>
      </c>
      <c r="C118" s="78">
        <v>0</v>
      </c>
      <c r="D118" s="42" t="str">
        <f t="shared" si="0"/>
        <v/>
      </c>
      <c r="E118" s="78">
        <v>0</v>
      </c>
      <c r="F118" s="78">
        <v>0</v>
      </c>
      <c r="G118" s="42" t="str">
        <f t="shared" si="1"/>
        <v/>
      </c>
      <c r="H118" s="41">
        <v>0</v>
      </c>
      <c r="I118" s="41">
        <v>0</v>
      </c>
      <c r="J118" s="41">
        <f t="shared" si="2"/>
        <v>0</v>
      </c>
      <c r="K118" s="41">
        <v>0</v>
      </c>
      <c r="L118" s="79" t="str">
        <f t="shared" si="3"/>
        <v/>
      </c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1"/>
      <c r="AA118" s="6">
        <f t="shared" si="4"/>
        <v>0</v>
      </c>
      <c r="AB118" s="80" t="str">
        <f>+IF(AND(D118&gt;'Indices y Outliers'!$I$144,D118&lt;&gt;""),1,"")</f>
        <v/>
      </c>
      <c r="AC118" s="80" t="str">
        <f>+IF(AND(G118&gt;'Indices y Outliers'!$I$153,G118&lt;&gt;""),1,"")</f>
        <v/>
      </c>
      <c r="AD118" s="7"/>
      <c r="AE118" s="7">
        <f t="shared" si="5"/>
        <v>0</v>
      </c>
    </row>
    <row r="119" spans="1:31" ht="15.75" customHeight="1">
      <c r="A119" s="77" t="s">
        <v>562</v>
      </c>
      <c r="B119" s="78">
        <v>0</v>
      </c>
      <c r="C119" s="78">
        <v>0</v>
      </c>
      <c r="D119" s="42" t="str">
        <f t="shared" si="0"/>
        <v/>
      </c>
      <c r="E119" s="78">
        <v>0</v>
      </c>
      <c r="F119" s="78">
        <v>0</v>
      </c>
      <c r="G119" s="42" t="str">
        <f t="shared" si="1"/>
        <v/>
      </c>
      <c r="H119" s="41">
        <v>0</v>
      </c>
      <c r="I119" s="41">
        <v>0</v>
      </c>
      <c r="J119" s="41">
        <f t="shared" si="2"/>
        <v>0</v>
      </c>
      <c r="K119" s="41">
        <v>0</v>
      </c>
      <c r="L119" s="79" t="str">
        <f t="shared" si="3"/>
        <v/>
      </c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1"/>
      <c r="AA119" s="6">
        <f t="shared" si="4"/>
        <v>0</v>
      </c>
      <c r="AB119" s="80" t="str">
        <f>+IF(AND(D119&gt;'Indices y Outliers'!$I$144,D119&lt;&gt;""),1,"")</f>
        <v/>
      </c>
      <c r="AC119" s="80" t="str">
        <f>+IF(AND(G119&gt;'Indices y Outliers'!$I$153,G119&lt;&gt;""),1,"")</f>
        <v/>
      </c>
      <c r="AD119" s="7"/>
      <c r="AE119" s="7">
        <f t="shared" si="5"/>
        <v>0</v>
      </c>
    </row>
    <row r="120" spans="1:31" ht="15.75" customHeight="1">
      <c r="A120" s="77" t="s">
        <v>565</v>
      </c>
      <c r="B120" s="78">
        <v>0</v>
      </c>
      <c r="C120" s="78">
        <v>0</v>
      </c>
      <c r="D120" s="42" t="str">
        <f t="shared" si="0"/>
        <v/>
      </c>
      <c r="E120" s="78">
        <v>0</v>
      </c>
      <c r="F120" s="78">
        <v>0</v>
      </c>
      <c r="G120" s="42" t="str">
        <f t="shared" si="1"/>
        <v/>
      </c>
      <c r="H120" s="41">
        <v>0</v>
      </c>
      <c r="I120" s="41">
        <v>0</v>
      </c>
      <c r="J120" s="41">
        <f t="shared" si="2"/>
        <v>0</v>
      </c>
      <c r="K120" s="41">
        <v>0</v>
      </c>
      <c r="L120" s="79" t="str">
        <f t="shared" si="3"/>
        <v/>
      </c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1"/>
      <c r="AA120" s="6">
        <f t="shared" si="4"/>
        <v>0</v>
      </c>
      <c r="AB120" s="80" t="str">
        <f>+IF(AND(D120&gt;'Indices y Outliers'!$I$144,D120&lt;&gt;""),1,"")</f>
        <v/>
      </c>
      <c r="AC120" s="80" t="str">
        <f>+IF(AND(G120&gt;'Indices y Outliers'!$I$153,G120&lt;&gt;""),1,"")</f>
        <v/>
      </c>
      <c r="AD120" s="7"/>
      <c r="AE120" s="7">
        <f t="shared" si="5"/>
        <v>0</v>
      </c>
    </row>
    <row r="121" spans="1:31" ht="15.75" customHeight="1">
      <c r="A121" s="77" t="s">
        <v>568</v>
      </c>
      <c r="B121" s="78">
        <v>0</v>
      </c>
      <c r="C121" s="78">
        <v>173</v>
      </c>
      <c r="D121" s="42">
        <f t="shared" si="0"/>
        <v>173</v>
      </c>
      <c r="E121" s="78">
        <v>0</v>
      </c>
      <c r="F121" s="78">
        <v>0.93</v>
      </c>
      <c r="G121" s="42">
        <f t="shared" si="1"/>
        <v>0.93</v>
      </c>
      <c r="H121" s="41">
        <v>94</v>
      </c>
      <c r="I121" s="41">
        <v>606660</v>
      </c>
      <c r="J121" s="41">
        <f t="shared" si="2"/>
        <v>606754</v>
      </c>
      <c r="K121" s="41">
        <v>606754</v>
      </c>
      <c r="L121" s="79">
        <f t="shared" si="3"/>
        <v>1</v>
      </c>
      <c r="M121" s="82">
        <v>1</v>
      </c>
      <c r="N121" s="80"/>
      <c r="O121" s="82">
        <v>1</v>
      </c>
      <c r="P121" s="82">
        <v>1</v>
      </c>
      <c r="Q121" s="82">
        <v>1</v>
      </c>
      <c r="R121" s="80">
        <v>1</v>
      </c>
      <c r="S121" s="80"/>
      <c r="T121" s="82" t="s">
        <v>1353</v>
      </c>
      <c r="U121" s="80"/>
      <c r="V121" s="82" t="s">
        <v>1353</v>
      </c>
      <c r="W121" s="80"/>
      <c r="X121" s="80"/>
      <c r="Y121" s="82" t="s">
        <v>1353</v>
      </c>
      <c r="Z121" s="81"/>
      <c r="AA121" s="6">
        <f t="shared" si="4"/>
        <v>2</v>
      </c>
      <c r="AB121" s="80" t="str">
        <f>+IF(AND(D121&gt;'Indices y Outliers'!$I$144,D121&lt;&gt;""),1,"")</f>
        <v/>
      </c>
      <c r="AC121" s="80" t="str">
        <f>+IF(AND(G121&gt;'Indices y Outliers'!$I$153,G121&lt;&gt;""),1,"")</f>
        <v/>
      </c>
      <c r="AD121" s="7"/>
      <c r="AE121" s="7">
        <f t="shared" si="5"/>
        <v>0</v>
      </c>
    </row>
    <row r="122" spans="1:31" ht="15.75" customHeight="1">
      <c r="A122" s="77" t="s">
        <v>571</v>
      </c>
      <c r="B122" s="78">
        <v>62.612000000000002</v>
      </c>
      <c r="C122" s="78">
        <v>0</v>
      </c>
      <c r="D122" s="42">
        <f t="shared" si="0"/>
        <v>62.612000000000002</v>
      </c>
      <c r="E122" s="78">
        <v>1.258</v>
      </c>
      <c r="F122" s="78">
        <v>0</v>
      </c>
      <c r="G122" s="42">
        <f t="shared" si="1"/>
        <v>1.258</v>
      </c>
      <c r="H122" s="41">
        <v>0</v>
      </c>
      <c r="I122" s="41">
        <v>40</v>
      </c>
      <c r="J122" s="41">
        <f t="shared" si="2"/>
        <v>40</v>
      </c>
      <c r="K122" s="41">
        <v>40</v>
      </c>
      <c r="L122" s="79">
        <f t="shared" si="3"/>
        <v>1</v>
      </c>
      <c r="M122" s="82">
        <v>1</v>
      </c>
      <c r="N122" s="80"/>
      <c r="O122" s="82">
        <v>1</v>
      </c>
      <c r="P122" s="80"/>
      <c r="Q122" s="82">
        <v>1</v>
      </c>
      <c r="R122" s="82"/>
      <c r="S122" s="82" t="s">
        <v>1353</v>
      </c>
      <c r="T122" s="82" t="s">
        <v>1353</v>
      </c>
      <c r="U122" s="82" t="s">
        <v>1353</v>
      </c>
      <c r="V122" s="82" t="s">
        <v>1353</v>
      </c>
      <c r="W122" s="80"/>
      <c r="X122" s="82" t="s">
        <v>1353</v>
      </c>
      <c r="Y122" s="82" t="s">
        <v>1354</v>
      </c>
      <c r="Z122" s="81"/>
      <c r="AA122" s="6">
        <f t="shared" si="4"/>
        <v>2</v>
      </c>
      <c r="AB122" s="80" t="str">
        <f>+IF(AND(D122&gt;'Indices y Outliers'!$I$144,D122&lt;&gt;""),1,"")</f>
        <v/>
      </c>
      <c r="AC122" s="80" t="str">
        <f>+IF(AND(G122&gt;'Indices y Outliers'!$I$153,G122&lt;&gt;""),1,"")</f>
        <v/>
      </c>
      <c r="AD122" s="7"/>
      <c r="AE122" s="7">
        <f t="shared" si="5"/>
        <v>0</v>
      </c>
    </row>
    <row r="123" spans="1:31" ht="15.75" customHeight="1">
      <c r="A123" s="77" t="s">
        <v>574</v>
      </c>
      <c r="B123" s="78">
        <v>87.36</v>
      </c>
      <c r="C123" s="78">
        <v>0</v>
      </c>
      <c r="D123" s="42">
        <f t="shared" si="0"/>
        <v>87.36</v>
      </c>
      <c r="E123" s="78">
        <v>1.02</v>
      </c>
      <c r="F123" s="78">
        <v>0</v>
      </c>
      <c r="G123" s="42">
        <f t="shared" si="1"/>
        <v>1.02</v>
      </c>
      <c r="H123" s="41">
        <v>63856</v>
      </c>
      <c r="I123" s="41">
        <v>1313274</v>
      </c>
      <c r="J123" s="41">
        <f t="shared" si="2"/>
        <v>1377130</v>
      </c>
      <c r="K123" s="41">
        <v>1377130</v>
      </c>
      <c r="L123" s="79">
        <f t="shared" si="3"/>
        <v>1</v>
      </c>
      <c r="M123" s="82">
        <v>1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 t="s">
        <v>1353</v>
      </c>
      <c r="T123" s="82" t="s">
        <v>1353</v>
      </c>
      <c r="U123" s="80"/>
      <c r="V123" s="82" t="s">
        <v>1353</v>
      </c>
      <c r="W123" s="82" t="s">
        <v>1353</v>
      </c>
      <c r="X123" s="82" t="s">
        <v>1353</v>
      </c>
      <c r="Y123" s="80"/>
      <c r="Z123" s="81"/>
      <c r="AA123" s="6">
        <f t="shared" si="4"/>
        <v>2</v>
      </c>
      <c r="AB123" s="80" t="str">
        <f>+IF(AND(D123&gt;'Indices y Outliers'!$I$144,D123&lt;&gt;""),1,"")</f>
        <v/>
      </c>
      <c r="AC123" s="80" t="str">
        <f>+IF(AND(G123&gt;'Indices y Outliers'!$I$153,G123&lt;&gt;""),1,"")</f>
        <v/>
      </c>
      <c r="AD123" s="7"/>
      <c r="AE123" s="7">
        <f t="shared" si="5"/>
        <v>0</v>
      </c>
    </row>
    <row r="124" spans="1:31" ht="15.75" customHeight="1">
      <c r="A124" s="77" t="s">
        <v>577</v>
      </c>
      <c r="B124" s="78">
        <v>0</v>
      </c>
      <c r="C124" s="78">
        <v>0</v>
      </c>
      <c r="D124" s="42" t="str">
        <f t="shared" si="0"/>
        <v/>
      </c>
      <c r="E124" s="78">
        <v>0</v>
      </c>
      <c r="F124" s="78">
        <v>0</v>
      </c>
      <c r="G124" s="42" t="str">
        <f t="shared" si="1"/>
        <v/>
      </c>
      <c r="H124" s="41">
        <v>0</v>
      </c>
      <c r="I124" s="41">
        <v>0</v>
      </c>
      <c r="J124" s="41">
        <f t="shared" si="2"/>
        <v>0</v>
      </c>
      <c r="K124" s="41">
        <v>0</v>
      </c>
      <c r="L124" s="79" t="str">
        <f t="shared" si="3"/>
        <v/>
      </c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1"/>
      <c r="AA124" s="6">
        <f t="shared" si="4"/>
        <v>0</v>
      </c>
      <c r="AB124" s="80" t="str">
        <f>+IF(AND(D124&gt;'Indices y Outliers'!$I$144,D124&lt;&gt;""),1,"")</f>
        <v/>
      </c>
      <c r="AC124" s="80" t="str">
        <f>+IF(AND(G124&gt;'Indices y Outliers'!$I$153,G124&lt;&gt;""),1,"")</f>
        <v/>
      </c>
      <c r="AD124" s="7"/>
      <c r="AE124" s="7">
        <f t="shared" si="5"/>
        <v>0</v>
      </c>
    </row>
    <row r="125" spans="1:31" ht="15.75" customHeight="1">
      <c r="A125" s="77" t="s">
        <v>580</v>
      </c>
      <c r="B125" s="78">
        <v>0</v>
      </c>
      <c r="C125" s="78">
        <v>0</v>
      </c>
      <c r="D125" s="42" t="str">
        <f t="shared" si="0"/>
        <v/>
      </c>
      <c r="E125" s="78">
        <v>0</v>
      </c>
      <c r="F125" s="78">
        <v>0</v>
      </c>
      <c r="G125" s="42" t="str">
        <f t="shared" si="1"/>
        <v/>
      </c>
      <c r="H125" s="41">
        <v>0</v>
      </c>
      <c r="I125" s="41">
        <v>0</v>
      </c>
      <c r="J125" s="41">
        <f t="shared" si="2"/>
        <v>0</v>
      </c>
      <c r="K125" s="41">
        <v>0</v>
      </c>
      <c r="L125" s="79" t="str">
        <f t="shared" si="3"/>
        <v/>
      </c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1"/>
      <c r="AA125" s="6">
        <f t="shared" si="4"/>
        <v>0</v>
      </c>
      <c r="AB125" s="80" t="str">
        <f>+IF(AND(D125&gt;'Indices y Outliers'!$I$144,D125&lt;&gt;""),1,"")</f>
        <v/>
      </c>
      <c r="AC125" s="80" t="str">
        <f>+IF(AND(G125&gt;'Indices y Outliers'!$I$153,G125&lt;&gt;""),1,"")</f>
        <v/>
      </c>
      <c r="AD125" s="7"/>
      <c r="AE125" s="7">
        <f t="shared" si="5"/>
        <v>0</v>
      </c>
    </row>
    <row r="126" spans="1:31" ht="15.75" customHeight="1">
      <c r="A126" s="77" t="s">
        <v>583</v>
      </c>
      <c r="B126" s="78">
        <v>31.952000000000002</v>
      </c>
      <c r="C126" s="78">
        <v>0</v>
      </c>
      <c r="D126" s="42">
        <f t="shared" si="0"/>
        <v>31.952000000000002</v>
      </c>
      <c r="E126" s="78">
        <v>1.0580000000000001</v>
      </c>
      <c r="F126" s="78">
        <v>0</v>
      </c>
      <c r="G126" s="42">
        <f t="shared" si="1"/>
        <v>1.0580000000000001</v>
      </c>
      <c r="H126" s="41">
        <v>0</v>
      </c>
      <c r="I126" s="41">
        <v>43782</v>
      </c>
      <c r="J126" s="41">
        <f t="shared" si="2"/>
        <v>43782</v>
      </c>
      <c r="K126" s="41">
        <v>43782</v>
      </c>
      <c r="L126" s="79">
        <f t="shared" si="3"/>
        <v>1</v>
      </c>
      <c r="M126" s="82">
        <v>1</v>
      </c>
      <c r="N126" s="80"/>
      <c r="O126" s="82">
        <v>1</v>
      </c>
      <c r="P126" s="80"/>
      <c r="Q126" s="82">
        <v>1</v>
      </c>
      <c r="R126" s="82">
        <v>1</v>
      </c>
      <c r="S126" s="82" t="s">
        <v>1353</v>
      </c>
      <c r="T126" s="82" t="s">
        <v>1353</v>
      </c>
      <c r="U126" s="82" t="s">
        <v>1353</v>
      </c>
      <c r="V126" s="82" t="s">
        <v>1353</v>
      </c>
      <c r="W126" s="80"/>
      <c r="X126" s="80"/>
      <c r="Y126" s="80"/>
      <c r="Z126" s="81"/>
      <c r="AA126" s="6">
        <f t="shared" si="4"/>
        <v>2</v>
      </c>
      <c r="AB126" s="80" t="str">
        <f>+IF(AND(D126&gt;'Indices y Outliers'!$I$144,D126&lt;&gt;""),1,"")</f>
        <v/>
      </c>
      <c r="AC126" s="80" t="str">
        <f>+IF(AND(G126&gt;'Indices y Outliers'!$I$153,G126&lt;&gt;""),1,"")</f>
        <v/>
      </c>
      <c r="AD126" s="7"/>
      <c r="AE126" s="7">
        <f t="shared" si="5"/>
        <v>0</v>
      </c>
    </row>
    <row r="127" spans="1:31" ht="15.75" customHeight="1">
      <c r="A127" s="77" t="s">
        <v>586</v>
      </c>
      <c r="B127" s="78">
        <v>42</v>
      </c>
      <c r="C127" s="78">
        <v>0</v>
      </c>
      <c r="D127" s="42">
        <f t="shared" si="0"/>
        <v>42</v>
      </c>
      <c r="E127" s="78">
        <v>0.45</v>
      </c>
      <c r="F127" s="78">
        <v>0</v>
      </c>
      <c r="G127" s="42">
        <f t="shared" si="1"/>
        <v>0.45</v>
      </c>
      <c r="H127" s="41">
        <v>117</v>
      </c>
      <c r="I127" s="41">
        <v>336844</v>
      </c>
      <c r="J127" s="41">
        <f t="shared" si="2"/>
        <v>336961</v>
      </c>
      <c r="K127" s="41">
        <v>338581</v>
      </c>
      <c r="L127" s="79">
        <f t="shared" si="3"/>
        <v>0.995215325136378</v>
      </c>
      <c r="M127" s="82">
        <v>1</v>
      </c>
      <c r="N127" s="82">
        <v>1</v>
      </c>
      <c r="O127" s="82">
        <v>1</v>
      </c>
      <c r="P127" s="82">
        <v>1</v>
      </c>
      <c r="Q127" s="82">
        <v>1</v>
      </c>
      <c r="R127" s="80">
        <v>1</v>
      </c>
      <c r="S127" s="80"/>
      <c r="T127" s="82" t="s">
        <v>1353</v>
      </c>
      <c r="U127" s="82" t="s">
        <v>1353</v>
      </c>
      <c r="V127" s="82" t="s">
        <v>1353</v>
      </c>
      <c r="W127" s="82" t="s">
        <v>1354</v>
      </c>
      <c r="X127" s="82" t="s">
        <v>1353</v>
      </c>
      <c r="Y127" s="80"/>
      <c r="Z127" s="81"/>
      <c r="AA127" s="6">
        <f t="shared" si="4"/>
        <v>2</v>
      </c>
      <c r="AB127" s="80" t="str">
        <f>+IF(AND(D127&gt;'Indices y Outliers'!$I$144,D127&lt;&gt;""),1,"")</f>
        <v/>
      </c>
      <c r="AC127" s="80" t="str">
        <f>+IF(AND(G127&gt;'Indices y Outliers'!$I$153,G127&lt;&gt;""),1,"")</f>
        <v/>
      </c>
      <c r="AD127" s="7"/>
      <c r="AE127" s="7">
        <f t="shared" si="5"/>
        <v>0</v>
      </c>
    </row>
    <row r="128" spans="1:31" ht="15.75" customHeight="1">
      <c r="A128" s="77" t="s">
        <v>589</v>
      </c>
      <c r="B128" s="78">
        <v>61</v>
      </c>
      <c r="C128" s="78">
        <v>0</v>
      </c>
      <c r="D128" s="42">
        <f t="shared" si="0"/>
        <v>61</v>
      </c>
      <c r="E128" s="78">
        <v>0.82</v>
      </c>
      <c r="F128" s="78">
        <v>0</v>
      </c>
      <c r="G128" s="42">
        <f t="shared" si="1"/>
        <v>0.82</v>
      </c>
      <c r="H128" s="41">
        <v>40</v>
      </c>
      <c r="I128" s="41">
        <v>336445</v>
      </c>
      <c r="J128" s="41">
        <f t="shared" si="2"/>
        <v>336485</v>
      </c>
      <c r="K128" s="41">
        <v>336543</v>
      </c>
      <c r="L128" s="79">
        <f t="shared" si="3"/>
        <v>0.99982765946699237</v>
      </c>
      <c r="M128" s="82">
        <v>1</v>
      </c>
      <c r="N128" s="82">
        <v>1</v>
      </c>
      <c r="O128" s="82">
        <v>1</v>
      </c>
      <c r="P128" s="82">
        <v>1</v>
      </c>
      <c r="Q128" s="82">
        <v>1</v>
      </c>
      <c r="R128" s="80">
        <v>1</v>
      </c>
      <c r="S128" s="80"/>
      <c r="T128" s="82" t="s">
        <v>1353</v>
      </c>
      <c r="U128" s="82" t="s">
        <v>1353</v>
      </c>
      <c r="V128" s="82" t="s">
        <v>1353</v>
      </c>
      <c r="W128" s="82" t="s">
        <v>1354</v>
      </c>
      <c r="X128" s="82" t="s">
        <v>1353</v>
      </c>
      <c r="Y128" s="80"/>
      <c r="Z128" s="81"/>
      <c r="AA128" s="6">
        <f t="shared" si="4"/>
        <v>2</v>
      </c>
      <c r="AB128" s="80" t="str">
        <f>+IF(AND(D128&gt;'Indices y Outliers'!$I$144,D128&lt;&gt;""),1,"")</f>
        <v/>
      </c>
      <c r="AC128" s="80" t="str">
        <f>+IF(AND(G128&gt;'Indices y Outliers'!$I$153,G128&lt;&gt;""),1,"")</f>
        <v/>
      </c>
      <c r="AD128" s="7"/>
      <c r="AE128" s="7">
        <f t="shared" si="5"/>
        <v>0</v>
      </c>
    </row>
    <row r="129" spans="1:31" ht="15.75" customHeight="1">
      <c r="A129" s="77" t="s">
        <v>592</v>
      </c>
      <c r="B129" s="78">
        <v>54</v>
      </c>
      <c r="C129" s="78">
        <v>0</v>
      </c>
      <c r="D129" s="42">
        <f t="shared" si="0"/>
        <v>54</v>
      </c>
      <c r="E129" s="78">
        <v>0.71</v>
      </c>
      <c r="F129" s="78">
        <v>0</v>
      </c>
      <c r="G129" s="42">
        <f t="shared" si="1"/>
        <v>0.71</v>
      </c>
      <c r="H129" s="41">
        <v>576</v>
      </c>
      <c r="I129" s="41">
        <v>0</v>
      </c>
      <c r="J129" s="41">
        <f t="shared" si="2"/>
        <v>576</v>
      </c>
      <c r="K129" s="41">
        <v>560672</v>
      </c>
      <c r="L129" s="79">
        <f t="shared" si="3"/>
        <v>1.0273386222247589E-3</v>
      </c>
      <c r="M129" s="82">
        <v>1</v>
      </c>
      <c r="N129" s="80"/>
      <c r="O129" s="82">
        <v>1</v>
      </c>
      <c r="P129" s="80"/>
      <c r="Q129" s="82">
        <v>1</v>
      </c>
      <c r="R129" s="80">
        <v>1</v>
      </c>
      <c r="S129" s="80"/>
      <c r="T129" s="82" t="s">
        <v>1353</v>
      </c>
      <c r="U129" s="82" t="s">
        <v>1353</v>
      </c>
      <c r="V129" s="82" t="s">
        <v>1353</v>
      </c>
      <c r="W129" s="82" t="s">
        <v>1354</v>
      </c>
      <c r="X129" s="82" t="s">
        <v>1353</v>
      </c>
      <c r="Y129" s="82" t="s">
        <v>1354</v>
      </c>
      <c r="Z129" s="81"/>
      <c r="AA129" s="6">
        <f t="shared" si="4"/>
        <v>2</v>
      </c>
      <c r="AB129" s="80" t="str">
        <f>+IF(AND(D129&gt;'Indices y Outliers'!$I$144,D129&lt;&gt;""),1,"")</f>
        <v/>
      </c>
      <c r="AC129" s="80" t="str">
        <f>+IF(AND(G129&gt;'Indices y Outliers'!$I$153,G129&lt;&gt;""),1,"")</f>
        <v/>
      </c>
      <c r="AD129" s="7"/>
      <c r="AE129" s="7">
        <f t="shared" si="5"/>
        <v>0</v>
      </c>
    </row>
    <row r="130" spans="1:31" ht="15.75" customHeight="1">
      <c r="A130" s="77" t="s">
        <v>595</v>
      </c>
      <c r="B130" s="78">
        <v>0</v>
      </c>
      <c r="C130" s="78">
        <v>68.75</v>
      </c>
      <c r="D130" s="42">
        <f t="shared" si="0"/>
        <v>68.75</v>
      </c>
      <c r="E130" s="78">
        <v>0</v>
      </c>
      <c r="F130" s="78">
        <v>2.0299999999999998</v>
      </c>
      <c r="G130" s="42">
        <f t="shared" si="1"/>
        <v>2.0299999999999998</v>
      </c>
      <c r="H130" s="41">
        <v>0</v>
      </c>
      <c r="I130" s="41">
        <v>3826206</v>
      </c>
      <c r="J130" s="41">
        <f t="shared" si="2"/>
        <v>3826206</v>
      </c>
      <c r="K130" s="41">
        <v>3835505</v>
      </c>
      <c r="L130" s="79">
        <f t="shared" si="3"/>
        <v>0.99757554741813659</v>
      </c>
      <c r="M130" s="82">
        <v>1</v>
      </c>
      <c r="N130" s="82">
        <v>1</v>
      </c>
      <c r="O130" s="82">
        <v>1</v>
      </c>
      <c r="P130" s="80"/>
      <c r="Q130" s="82">
        <v>1</v>
      </c>
      <c r="R130" s="80"/>
      <c r="S130" s="80"/>
      <c r="T130" s="82" t="s">
        <v>1353</v>
      </c>
      <c r="U130" s="82" t="s">
        <v>1353</v>
      </c>
      <c r="V130" s="82" t="s">
        <v>1353</v>
      </c>
      <c r="W130" s="82" t="s">
        <v>1353</v>
      </c>
      <c r="X130" s="80"/>
      <c r="Y130" s="80"/>
      <c r="Z130" s="81"/>
      <c r="AA130" s="6">
        <f t="shared" si="4"/>
        <v>2</v>
      </c>
      <c r="AB130" s="80" t="str">
        <f>+IF(AND(D130&gt;'Indices y Outliers'!$I$144,D130&lt;&gt;""),1,"")</f>
        <v/>
      </c>
      <c r="AC130" s="80" t="str">
        <f>+IF(AND(G130&gt;'Indices y Outliers'!$I$153,G130&lt;&gt;""),1,"")</f>
        <v/>
      </c>
      <c r="AD130" s="7"/>
      <c r="AE130" s="7">
        <f t="shared" si="5"/>
        <v>0</v>
      </c>
    </row>
    <row r="131" spans="1:31" ht="15.75" customHeight="1">
      <c r="A131" s="77" t="s">
        <v>598</v>
      </c>
      <c r="B131" s="78">
        <v>0</v>
      </c>
      <c r="C131" s="78">
        <v>122.1</v>
      </c>
      <c r="D131" s="42">
        <f t="shared" si="0"/>
        <v>122.1</v>
      </c>
      <c r="E131" s="78">
        <v>0</v>
      </c>
      <c r="F131" s="78">
        <v>1.4450000000000001</v>
      </c>
      <c r="G131" s="42">
        <f t="shared" si="1"/>
        <v>1.4450000000000001</v>
      </c>
      <c r="H131" s="41">
        <v>0</v>
      </c>
      <c r="I131" s="41">
        <v>1492612</v>
      </c>
      <c r="J131" s="41">
        <f t="shared" si="2"/>
        <v>1492612</v>
      </c>
      <c r="K131" s="41">
        <v>1492612</v>
      </c>
      <c r="L131" s="79">
        <f t="shared" si="3"/>
        <v>1</v>
      </c>
      <c r="M131" s="82">
        <v>1</v>
      </c>
      <c r="N131" s="82">
        <v>1</v>
      </c>
      <c r="O131" s="82">
        <v>1</v>
      </c>
      <c r="P131" s="82">
        <v>1</v>
      </c>
      <c r="Q131" s="82">
        <v>1</v>
      </c>
      <c r="R131" s="82"/>
      <c r="S131" s="82" t="s">
        <v>1353</v>
      </c>
      <c r="T131" s="82" t="s">
        <v>1353</v>
      </c>
      <c r="U131" s="82" t="s">
        <v>1353</v>
      </c>
      <c r="V131" s="82" t="s">
        <v>1353</v>
      </c>
      <c r="W131" s="80"/>
      <c r="X131" s="82" t="s">
        <v>1353</v>
      </c>
      <c r="Y131" s="82" t="s">
        <v>1353</v>
      </c>
      <c r="Z131" s="81"/>
      <c r="AA131" s="6">
        <f t="shared" si="4"/>
        <v>2</v>
      </c>
      <c r="AB131" s="80" t="str">
        <f>+IF(AND(D131&gt;'Indices y Outliers'!$I$144,D131&lt;&gt;""),1,"")</f>
        <v/>
      </c>
      <c r="AC131" s="80" t="str">
        <f>+IF(AND(G131&gt;'Indices y Outliers'!$I$153,G131&lt;&gt;""),1,"")</f>
        <v/>
      </c>
      <c r="AD131" s="7"/>
      <c r="AE131" s="7">
        <f t="shared" si="5"/>
        <v>0</v>
      </c>
    </row>
    <row r="132" spans="1:31" ht="15.75" customHeight="1">
      <c r="A132" s="77" t="s">
        <v>601</v>
      </c>
      <c r="B132" s="78">
        <v>141.13</v>
      </c>
      <c r="C132" s="78">
        <v>0</v>
      </c>
      <c r="D132" s="42">
        <f t="shared" si="0"/>
        <v>141.13</v>
      </c>
      <c r="E132" s="78">
        <v>1.28</v>
      </c>
      <c r="F132" s="78">
        <v>0</v>
      </c>
      <c r="G132" s="42">
        <f t="shared" si="1"/>
        <v>1.28</v>
      </c>
      <c r="H132" s="41">
        <v>0</v>
      </c>
      <c r="I132" s="41">
        <v>2642160</v>
      </c>
      <c r="J132" s="41">
        <f t="shared" si="2"/>
        <v>2642160</v>
      </c>
      <c r="K132" s="41">
        <v>2657949</v>
      </c>
      <c r="L132" s="79">
        <f t="shared" si="3"/>
        <v>0.99405970543452871</v>
      </c>
      <c r="M132" s="82">
        <v>1</v>
      </c>
      <c r="N132" s="82">
        <v>1</v>
      </c>
      <c r="O132" s="82">
        <v>1</v>
      </c>
      <c r="P132" s="82">
        <v>1</v>
      </c>
      <c r="Q132" s="82">
        <v>1</v>
      </c>
      <c r="R132" s="82"/>
      <c r="S132" s="82" t="s">
        <v>1353</v>
      </c>
      <c r="T132" s="82" t="s">
        <v>1353</v>
      </c>
      <c r="U132" s="82" t="s">
        <v>1353</v>
      </c>
      <c r="V132" s="82" t="s">
        <v>1353</v>
      </c>
      <c r="W132" s="80"/>
      <c r="X132" s="80"/>
      <c r="Y132" s="80"/>
      <c r="Z132" s="81"/>
      <c r="AA132" s="6">
        <f t="shared" si="4"/>
        <v>2</v>
      </c>
      <c r="AB132" s="80" t="str">
        <f>+IF(AND(D132&gt;'Indices y Outliers'!$I$144,D132&lt;&gt;""),1,"")</f>
        <v/>
      </c>
      <c r="AC132" s="80" t="str">
        <f>+IF(AND(G132&gt;'Indices y Outliers'!$I$153,G132&lt;&gt;""),1,"")</f>
        <v/>
      </c>
      <c r="AD132" s="7"/>
      <c r="AE132" s="7">
        <f t="shared" si="5"/>
        <v>0</v>
      </c>
    </row>
    <row r="133" spans="1:31" ht="15.75" customHeight="1">
      <c r="A133" s="77" t="s">
        <v>604</v>
      </c>
      <c r="B133" s="78">
        <v>40.43</v>
      </c>
      <c r="C133" s="78">
        <v>0</v>
      </c>
      <c r="D133" s="42">
        <f t="shared" si="0"/>
        <v>40.43</v>
      </c>
      <c r="E133" s="78">
        <v>0.78400000000000003</v>
      </c>
      <c r="F133" s="78">
        <v>0</v>
      </c>
      <c r="G133" s="42">
        <f t="shared" si="1"/>
        <v>0.78400000000000003</v>
      </c>
      <c r="H133" s="41">
        <v>0</v>
      </c>
      <c r="I133" s="41">
        <v>477672</v>
      </c>
      <c r="J133" s="41">
        <f t="shared" si="2"/>
        <v>477672</v>
      </c>
      <c r="K133" s="41">
        <v>477743</v>
      </c>
      <c r="L133" s="79">
        <f t="shared" si="3"/>
        <v>0.99985138453101352</v>
      </c>
      <c r="M133" s="82">
        <v>1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 t="s">
        <v>1353</v>
      </c>
      <c r="T133" s="82" t="s">
        <v>1353</v>
      </c>
      <c r="U133" s="82" t="s">
        <v>1353</v>
      </c>
      <c r="V133" s="82" t="s">
        <v>1353</v>
      </c>
      <c r="W133" s="80"/>
      <c r="X133" s="82" t="s">
        <v>1353</v>
      </c>
      <c r="Y133" s="80"/>
      <c r="Z133" s="81"/>
      <c r="AA133" s="6">
        <f t="shared" si="4"/>
        <v>2</v>
      </c>
      <c r="AB133" s="80" t="str">
        <f>+IF(AND(D133&gt;'Indices y Outliers'!$I$144,D133&lt;&gt;""),1,"")</f>
        <v/>
      </c>
      <c r="AC133" s="80" t="str">
        <f>+IF(AND(G133&gt;'Indices y Outliers'!$I$153,G133&lt;&gt;""),1,"")</f>
        <v/>
      </c>
      <c r="AD133" s="7"/>
      <c r="AE133" s="7">
        <f t="shared" si="5"/>
        <v>0</v>
      </c>
    </row>
    <row r="134" spans="1:31" ht="15.75" customHeight="1">
      <c r="A134" s="77" t="s">
        <v>607</v>
      </c>
      <c r="B134" s="78">
        <v>81.8</v>
      </c>
      <c r="C134" s="78">
        <v>0</v>
      </c>
      <c r="D134" s="42">
        <f t="shared" si="0"/>
        <v>81.8</v>
      </c>
      <c r="E134" s="78">
        <v>1.65</v>
      </c>
      <c r="F134" s="78">
        <v>0</v>
      </c>
      <c r="G134" s="42">
        <f t="shared" si="1"/>
        <v>1.65</v>
      </c>
      <c r="H134" s="41">
        <v>190712</v>
      </c>
      <c r="I134" s="41">
        <v>22</v>
      </c>
      <c r="J134" s="41">
        <f t="shared" si="2"/>
        <v>190734</v>
      </c>
      <c r="K134" s="41">
        <v>190747</v>
      </c>
      <c r="L134" s="79">
        <f t="shared" si="3"/>
        <v>0.99993184689667469</v>
      </c>
      <c r="M134" s="82">
        <v>1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 t="s">
        <v>1353</v>
      </c>
      <c r="T134" s="82" t="s">
        <v>1353</v>
      </c>
      <c r="U134" s="82" t="s">
        <v>1353</v>
      </c>
      <c r="V134" s="82" t="s">
        <v>1353</v>
      </c>
      <c r="W134" s="82" t="s">
        <v>1353</v>
      </c>
      <c r="X134" s="82" t="s">
        <v>1353</v>
      </c>
      <c r="Y134" s="80"/>
      <c r="Z134" s="81"/>
      <c r="AA134" s="6">
        <f t="shared" si="4"/>
        <v>2</v>
      </c>
      <c r="AB134" s="80" t="str">
        <f>+IF(AND(D134&gt;'Indices y Outliers'!$I$144,D134&lt;&gt;""),1,"")</f>
        <v/>
      </c>
      <c r="AC134" s="80" t="str">
        <f>+IF(AND(G134&gt;'Indices y Outliers'!$I$153,G134&lt;&gt;""),1,"")</f>
        <v/>
      </c>
      <c r="AD134" s="7"/>
      <c r="AE134" s="7">
        <f t="shared" si="5"/>
        <v>0</v>
      </c>
    </row>
    <row r="135" spans="1:31" ht="15.75" customHeight="1">
      <c r="A135" s="77" t="s">
        <v>610</v>
      </c>
      <c r="B135" s="78">
        <v>0</v>
      </c>
      <c r="C135" s="78">
        <v>0</v>
      </c>
      <c r="D135" s="42" t="str">
        <f t="shared" si="0"/>
        <v/>
      </c>
      <c r="E135" s="78">
        <v>0</v>
      </c>
      <c r="F135" s="78">
        <v>0</v>
      </c>
      <c r="G135" s="42" t="str">
        <f t="shared" si="1"/>
        <v/>
      </c>
      <c r="H135" s="41">
        <v>0</v>
      </c>
      <c r="I135" s="41">
        <v>0</v>
      </c>
      <c r="J135" s="41">
        <f t="shared" si="2"/>
        <v>0</v>
      </c>
      <c r="K135" s="41">
        <v>0</v>
      </c>
      <c r="L135" s="79" t="str">
        <f t="shared" si="3"/>
        <v/>
      </c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1"/>
      <c r="AA135" s="6">
        <f t="shared" si="4"/>
        <v>0</v>
      </c>
      <c r="AB135" s="80" t="str">
        <f>+IF(AND(D135&gt;'Indices y Outliers'!$I$144,D135&lt;&gt;""),1,"")</f>
        <v/>
      </c>
      <c r="AC135" s="80" t="str">
        <f>+IF(AND(G135&gt;'Indices y Outliers'!$I$153,G135&lt;&gt;""),1,"")</f>
        <v/>
      </c>
      <c r="AD135" s="7"/>
      <c r="AE135" s="7">
        <f t="shared" si="5"/>
        <v>0</v>
      </c>
    </row>
    <row r="136" spans="1:31" ht="15.75" customHeight="1">
      <c r="A136" s="77" t="s">
        <v>613</v>
      </c>
      <c r="B136" s="78">
        <v>0</v>
      </c>
      <c r="C136" s="78">
        <v>40</v>
      </c>
      <c r="D136" s="42">
        <f t="shared" si="0"/>
        <v>40</v>
      </c>
      <c r="E136" s="78">
        <v>0</v>
      </c>
      <c r="F136" s="78">
        <v>0.56999999999999995</v>
      </c>
      <c r="G136" s="42">
        <f t="shared" si="1"/>
        <v>0.56999999999999995</v>
      </c>
      <c r="H136" s="41">
        <v>61972</v>
      </c>
      <c r="I136" s="41">
        <v>284358</v>
      </c>
      <c r="J136" s="41">
        <f t="shared" si="2"/>
        <v>346330</v>
      </c>
      <c r="K136" s="41">
        <v>346330</v>
      </c>
      <c r="L136" s="79">
        <f t="shared" si="3"/>
        <v>1</v>
      </c>
      <c r="M136" s="82">
        <v>1</v>
      </c>
      <c r="N136" s="80"/>
      <c r="O136" s="82">
        <v>1</v>
      </c>
      <c r="P136" s="82">
        <v>1</v>
      </c>
      <c r="Q136" s="82">
        <v>1</v>
      </c>
      <c r="R136" s="80">
        <v>1</v>
      </c>
      <c r="S136" s="80"/>
      <c r="T136" s="82" t="s">
        <v>1353</v>
      </c>
      <c r="U136" s="82" t="s">
        <v>1353</v>
      </c>
      <c r="V136" s="82" t="s">
        <v>1353</v>
      </c>
      <c r="W136" s="80"/>
      <c r="X136" s="80"/>
      <c r="Y136" s="80"/>
      <c r="Z136" s="81"/>
      <c r="AA136" s="6">
        <f t="shared" si="4"/>
        <v>2</v>
      </c>
      <c r="AB136" s="80" t="str">
        <f>+IF(AND(D136&gt;'Indices y Outliers'!$I$144,D136&lt;&gt;""),1,"")</f>
        <v/>
      </c>
      <c r="AC136" s="80" t="str">
        <f>+IF(AND(G136&gt;'Indices y Outliers'!$I$153,G136&lt;&gt;""),1,"")</f>
        <v/>
      </c>
      <c r="AD136" s="7"/>
      <c r="AE136" s="7">
        <f t="shared" si="5"/>
        <v>0</v>
      </c>
    </row>
    <row r="137" spans="1:31" ht="15.75" customHeight="1">
      <c r="A137" s="77" t="s">
        <v>616</v>
      </c>
      <c r="B137" s="78">
        <v>121.12</v>
      </c>
      <c r="C137" s="78">
        <v>0</v>
      </c>
      <c r="D137" s="42">
        <f t="shared" si="0"/>
        <v>121.12</v>
      </c>
      <c r="E137" s="78">
        <v>1.2769999999999999</v>
      </c>
      <c r="F137" s="78">
        <v>0</v>
      </c>
      <c r="G137" s="42">
        <f t="shared" si="1"/>
        <v>1.2769999999999999</v>
      </c>
      <c r="H137" s="41">
        <v>400</v>
      </c>
      <c r="I137" s="41">
        <v>370428</v>
      </c>
      <c r="J137" s="41">
        <f t="shared" si="2"/>
        <v>370828</v>
      </c>
      <c r="K137" s="41">
        <v>373342</v>
      </c>
      <c r="L137" s="79">
        <f t="shared" si="3"/>
        <v>0.99326622774828444</v>
      </c>
      <c r="M137" s="82">
        <v>1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 t="s">
        <v>1353</v>
      </c>
      <c r="T137" s="82" t="s">
        <v>1353</v>
      </c>
      <c r="U137" s="82" t="s">
        <v>1353</v>
      </c>
      <c r="V137" s="82" t="s">
        <v>1353</v>
      </c>
      <c r="W137" s="80"/>
      <c r="X137" s="82" t="s">
        <v>1353</v>
      </c>
      <c r="Y137" s="80"/>
      <c r="Z137" s="81"/>
      <c r="AA137" s="6">
        <f t="shared" si="4"/>
        <v>2</v>
      </c>
      <c r="AB137" s="80" t="str">
        <f>+IF(AND(D137&gt;'Indices y Outliers'!$I$144,D137&lt;&gt;""),1,"")</f>
        <v/>
      </c>
      <c r="AC137" s="80" t="str">
        <f>+IF(AND(G137&gt;'Indices y Outliers'!$I$153,G137&lt;&gt;""),1,"")</f>
        <v/>
      </c>
      <c r="AD137" s="7"/>
      <c r="AE137" s="7">
        <f t="shared" si="5"/>
        <v>0</v>
      </c>
    </row>
    <row r="138" spans="1:31" ht="15.75" customHeight="1">
      <c r="A138" s="77" t="s">
        <v>619</v>
      </c>
      <c r="B138" s="78">
        <v>51.95</v>
      </c>
      <c r="C138" s="78">
        <v>0</v>
      </c>
      <c r="D138" s="42">
        <f t="shared" si="0"/>
        <v>51.95</v>
      </c>
      <c r="E138" s="78">
        <v>0.68300000000000005</v>
      </c>
      <c r="F138" s="78">
        <v>0</v>
      </c>
      <c r="G138" s="42">
        <f t="shared" si="1"/>
        <v>0.68300000000000005</v>
      </c>
      <c r="H138" s="41">
        <v>0</v>
      </c>
      <c r="I138" s="41">
        <v>1003180</v>
      </c>
      <c r="J138" s="41">
        <f t="shared" si="2"/>
        <v>1003180</v>
      </c>
      <c r="K138" s="41">
        <v>1007149</v>
      </c>
      <c r="L138" s="79">
        <f t="shared" si="3"/>
        <v>0.99605917297242019</v>
      </c>
      <c r="M138" s="82">
        <v>1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 t="s">
        <v>1353</v>
      </c>
      <c r="T138" s="82" t="s">
        <v>1353</v>
      </c>
      <c r="U138" s="82" t="s">
        <v>1353</v>
      </c>
      <c r="V138" s="82" t="s">
        <v>1353</v>
      </c>
      <c r="W138" s="80"/>
      <c r="X138" s="82" t="s">
        <v>1353</v>
      </c>
      <c r="Y138" s="80"/>
      <c r="Z138" s="81"/>
      <c r="AA138" s="6">
        <f t="shared" si="4"/>
        <v>2</v>
      </c>
      <c r="AB138" s="80" t="str">
        <f>+IF(AND(D138&gt;'Indices y Outliers'!$I$144,D138&lt;&gt;""),1,"")</f>
        <v/>
      </c>
      <c r="AC138" s="80" t="str">
        <f>+IF(AND(G138&gt;'Indices y Outliers'!$I$153,G138&lt;&gt;""),1,"")</f>
        <v/>
      </c>
      <c r="AD138" s="7"/>
      <c r="AE138" s="7">
        <f t="shared" si="5"/>
        <v>0</v>
      </c>
    </row>
    <row r="139" spans="1:31" ht="15.75" customHeight="1">
      <c r="A139" s="77" t="s">
        <v>622</v>
      </c>
      <c r="B139" s="78">
        <v>115.622</v>
      </c>
      <c r="C139" s="78">
        <v>0</v>
      </c>
      <c r="D139" s="42">
        <f t="shared" si="0"/>
        <v>115.622</v>
      </c>
      <c r="E139" s="78">
        <v>3.8860000000000001</v>
      </c>
      <c r="F139" s="78">
        <v>0</v>
      </c>
      <c r="G139" s="42">
        <f t="shared" si="1"/>
        <v>3.8860000000000001</v>
      </c>
      <c r="H139" s="41">
        <v>425</v>
      </c>
      <c r="I139" s="41">
        <v>45008</v>
      </c>
      <c r="J139" s="41">
        <f t="shared" si="2"/>
        <v>45433</v>
      </c>
      <c r="K139" s="41">
        <v>47357</v>
      </c>
      <c r="L139" s="79">
        <f t="shared" si="3"/>
        <v>0.95937242646282495</v>
      </c>
      <c r="M139" s="82">
        <v>1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 t="s">
        <v>1353</v>
      </c>
      <c r="T139" s="82" t="s">
        <v>1353</v>
      </c>
      <c r="U139" s="82" t="s">
        <v>1353</v>
      </c>
      <c r="V139" s="82" t="s">
        <v>1353</v>
      </c>
      <c r="W139" s="80"/>
      <c r="X139" s="82" t="s">
        <v>1353</v>
      </c>
      <c r="Y139" s="80"/>
      <c r="Z139" s="81"/>
      <c r="AA139" s="6">
        <f t="shared" si="4"/>
        <v>2</v>
      </c>
      <c r="AB139" s="80" t="str">
        <f>+IF(AND(D139&gt;'Indices y Outliers'!$I$144,D139&lt;&gt;""),1,"")</f>
        <v/>
      </c>
      <c r="AC139" s="80" t="str">
        <f>+IF(AND(G139&gt;'Indices y Outliers'!$I$153,G139&lt;&gt;""),1,"")</f>
        <v/>
      </c>
      <c r="AD139" s="7"/>
      <c r="AE139" s="7">
        <f t="shared" si="5"/>
        <v>0</v>
      </c>
    </row>
    <row r="140" spans="1:31" ht="15.75" customHeight="1">
      <c r="A140" s="77" t="s">
        <v>625</v>
      </c>
      <c r="B140" s="78">
        <v>0</v>
      </c>
      <c r="C140" s="78">
        <v>0</v>
      </c>
      <c r="D140" s="42" t="str">
        <f t="shared" si="0"/>
        <v/>
      </c>
      <c r="E140" s="78">
        <v>0</v>
      </c>
      <c r="F140" s="78">
        <v>0</v>
      </c>
      <c r="G140" s="42" t="str">
        <f t="shared" si="1"/>
        <v/>
      </c>
      <c r="H140" s="41">
        <v>0</v>
      </c>
      <c r="I140" s="41">
        <v>0</v>
      </c>
      <c r="J140" s="41">
        <f t="shared" si="2"/>
        <v>0</v>
      </c>
      <c r="K140" s="41">
        <v>0</v>
      </c>
      <c r="L140" s="79" t="str">
        <f t="shared" si="3"/>
        <v/>
      </c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1"/>
      <c r="AA140" s="6">
        <f t="shared" si="4"/>
        <v>0</v>
      </c>
      <c r="AB140" s="80" t="str">
        <f>+IF(AND(D140&gt;'Indices y Outliers'!$I$144,D140&lt;&gt;""),1,"")</f>
        <v/>
      </c>
      <c r="AC140" s="80" t="str">
        <f>+IF(AND(G140&gt;'Indices y Outliers'!$I$153,G140&lt;&gt;""),1,"")</f>
        <v/>
      </c>
      <c r="AD140" s="7"/>
      <c r="AE140" s="7">
        <f t="shared" si="5"/>
        <v>0</v>
      </c>
    </row>
    <row r="141" spans="1:31" ht="15.75" customHeight="1">
      <c r="A141" s="77" t="s">
        <v>628</v>
      </c>
      <c r="B141" s="78">
        <v>0</v>
      </c>
      <c r="C141" s="78">
        <v>0</v>
      </c>
      <c r="D141" s="42" t="str">
        <f t="shared" si="0"/>
        <v/>
      </c>
      <c r="E141" s="78">
        <v>0</v>
      </c>
      <c r="F141" s="78">
        <v>0</v>
      </c>
      <c r="G141" s="42" t="str">
        <f t="shared" si="1"/>
        <v/>
      </c>
      <c r="H141" s="41">
        <v>0</v>
      </c>
      <c r="I141" s="41">
        <v>0</v>
      </c>
      <c r="J141" s="41">
        <f t="shared" si="2"/>
        <v>0</v>
      </c>
      <c r="K141" s="41">
        <v>0</v>
      </c>
      <c r="L141" s="79" t="str">
        <f t="shared" si="3"/>
        <v/>
      </c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1"/>
      <c r="AA141" s="6">
        <f t="shared" si="4"/>
        <v>0</v>
      </c>
      <c r="AB141" s="80" t="str">
        <f>+IF(AND(D141&gt;'Indices y Outliers'!$I$144,D141&lt;&gt;""),1,"")</f>
        <v/>
      </c>
      <c r="AC141" s="80" t="str">
        <f>+IF(AND(G141&gt;'Indices y Outliers'!$I$153,G141&lt;&gt;""),1,"")</f>
        <v/>
      </c>
      <c r="AD141" s="7"/>
      <c r="AE141" s="7">
        <f t="shared" si="5"/>
        <v>0</v>
      </c>
    </row>
    <row r="142" spans="1:31" ht="15.75" customHeight="1">
      <c r="A142" s="77" t="s">
        <v>631</v>
      </c>
      <c r="B142" s="78">
        <v>0</v>
      </c>
      <c r="C142" s="78">
        <v>0</v>
      </c>
      <c r="D142" s="42" t="str">
        <f t="shared" si="0"/>
        <v/>
      </c>
      <c r="E142" s="78">
        <v>0</v>
      </c>
      <c r="F142" s="78">
        <v>0</v>
      </c>
      <c r="G142" s="42" t="str">
        <f t="shared" si="1"/>
        <v/>
      </c>
      <c r="H142" s="41">
        <v>0</v>
      </c>
      <c r="I142" s="41">
        <v>0</v>
      </c>
      <c r="J142" s="41">
        <f t="shared" si="2"/>
        <v>0</v>
      </c>
      <c r="K142" s="41">
        <v>0</v>
      </c>
      <c r="L142" s="79" t="str">
        <f t="shared" si="3"/>
        <v/>
      </c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1"/>
      <c r="AA142" s="6">
        <f t="shared" si="4"/>
        <v>0</v>
      </c>
      <c r="AB142" s="80" t="str">
        <f>+IF(AND(D142&gt;'Indices y Outliers'!$I$144,D142&lt;&gt;""),1,"")</f>
        <v/>
      </c>
      <c r="AC142" s="80" t="str">
        <f>+IF(AND(G142&gt;'Indices y Outliers'!$I$153,G142&lt;&gt;""),1,"")</f>
        <v/>
      </c>
      <c r="AD142" s="7"/>
      <c r="AE142" s="7">
        <f t="shared" si="5"/>
        <v>0</v>
      </c>
    </row>
    <row r="143" spans="1:31" ht="15.75" customHeight="1">
      <c r="A143" s="77" t="s">
        <v>634</v>
      </c>
      <c r="B143" s="78">
        <v>126</v>
      </c>
      <c r="C143" s="78">
        <v>0</v>
      </c>
      <c r="D143" s="42">
        <f t="shared" si="0"/>
        <v>126</v>
      </c>
      <c r="E143" s="78">
        <v>1.45</v>
      </c>
      <c r="F143" s="78">
        <v>0</v>
      </c>
      <c r="G143" s="42">
        <f t="shared" si="1"/>
        <v>1.45</v>
      </c>
      <c r="H143" s="41">
        <v>3056</v>
      </c>
      <c r="I143" s="41">
        <v>146604</v>
      </c>
      <c r="J143" s="41">
        <f t="shared" si="2"/>
        <v>149660</v>
      </c>
      <c r="K143" s="41">
        <v>149660</v>
      </c>
      <c r="L143" s="79">
        <f t="shared" si="3"/>
        <v>1</v>
      </c>
      <c r="M143" s="82">
        <v>1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 t="s">
        <v>1353</v>
      </c>
      <c r="T143" s="82" t="s">
        <v>1353</v>
      </c>
      <c r="U143" s="82" t="s">
        <v>1353</v>
      </c>
      <c r="V143" s="82" t="s">
        <v>1353</v>
      </c>
      <c r="W143" s="80"/>
      <c r="X143" s="82" t="s">
        <v>1353</v>
      </c>
      <c r="Y143" s="80"/>
      <c r="Z143" s="81"/>
      <c r="AA143" s="6">
        <f t="shared" si="4"/>
        <v>2</v>
      </c>
      <c r="AB143" s="80" t="str">
        <f>+IF(AND(D143&gt;'Indices y Outliers'!$I$144,D143&lt;&gt;""),1,"")</f>
        <v/>
      </c>
      <c r="AC143" s="80" t="str">
        <f>+IF(AND(G143&gt;'Indices y Outliers'!$I$153,G143&lt;&gt;""),1,"")</f>
        <v/>
      </c>
      <c r="AD143" s="7"/>
      <c r="AE143" s="7">
        <f t="shared" si="5"/>
        <v>0</v>
      </c>
    </row>
    <row r="144" spans="1:31" ht="15.75" customHeight="1">
      <c r="A144" s="77" t="s">
        <v>637</v>
      </c>
      <c r="B144" s="78">
        <v>0</v>
      </c>
      <c r="C144" s="78">
        <v>0</v>
      </c>
      <c r="D144" s="42" t="str">
        <f t="shared" si="0"/>
        <v/>
      </c>
      <c r="E144" s="78">
        <v>0</v>
      </c>
      <c r="F144" s="78">
        <v>0</v>
      </c>
      <c r="G144" s="42" t="str">
        <f t="shared" si="1"/>
        <v/>
      </c>
      <c r="H144" s="41">
        <v>0</v>
      </c>
      <c r="I144" s="41">
        <v>0</v>
      </c>
      <c r="J144" s="41">
        <f t="shared" si="2"/>
        <v>0</v>
      </c>
      <c r="K144" s="41">
        <v>0</v>
      </c>
      <c r="L144" s="79" t="str">
        <f t="shared" si="3"/>
        <v/>
      </c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1"/>
      <c r="AA144" s="6">
        <f t="shared" si="4"/>
        <v>0</v>
      </c>
      <c r="AB144" s="80" t="str">
        <f>+IF(AND(D144&gt;'Indices y Outliers'!$I$144,D144&lt;&gt;""),1,"")</f>
        <v/>
      </c>
      <c r="AC144" s="80" t="str">
        <f>+IF(AND(G144&gt;'Indices y Outliers'!$I$153,G144&lt;&gt;""),1,"")</f>
        <v/>
      </c>
      <c r="AD144" s="7"/>
      <c r="AE144" s="7">
        <f t="shared" si="5"/>
        <v>0</v>
      </c>
    </row>
    <row r="145" spans="1:31" ht="15.75" customHeight="1">
      <c r="A145" s="77" t="s">
        <v>640</v>
      </c>
      <c r="B145" s="78">
        <v>65.182000000000002</v>
      </c>
      <c r="C145" s="78">
        <v>0</v>
      </c>
      <c r="D145" s="42">
        <f t="shared" si="0"/>
        <v>65.182000000000002</v>
      </c>
      <c r="E145" s="78">
        <v>1.952</v>
      </c>
      <c r="F145" s="78">
        <v>0</v>
      </c>
      <c r="G145" s="42">
        <f t="shared" si="1"/>
        <v>1.952</v>
      </c>
      <c r="H145" s="41">
        <v>0</v>
      </c>
      <c r="I145" s="41">
        <v>99535</v>
      </c>
      <c r="J145" s="41">
        <f t="shared" si="2"/>
        <v>99535</v>
      </c>
      <c r="K145" s="41">
        <v>99535</v>
      </c>
      <c r="L145" s="79">
        <f t="shared" si="3"/>
        <v>1</v>
      </c>
      <c r="M145" s="82">
        <v>1</v>
      </c>
      <c r="N145" s="80"/>
      <c r="O145" s="82">
        <v>1</v>
      </c>
      <c r="P145" s="80"/>
      <c r="Q145" s="82">
        <v>1</v>
      </c>
      <c r="R145" s="82">
        <v>1</v>
      </c>
      <c r="S145" s="82" t="s">
        <v>1353</v>
      </c>
      <c r="T145" s="82" t="s">
        <v>1353</v>
      </c>
      <c r="U145" s="82" t="s">
        <v>1353</v>
      </c>
      <c r="V145" s="82" t="s">
        <v>1353</v>
      </c>
      <c r="W145" s="80"/>
      <c r="X145" s="82" t="s">
        <v>1353</v>
      </c>
      <c r="Y145" s="80"/>
      <c r="Z145" s="81"/>
      <c r="AA145" s="6">
        <f t="shared" si="4"/>
        <v>2</v>
      </c>
      <c r="AB145" s="80" t="str">
        <f>+IF(AND(D145&gt;'Indices y Outliers'!$I$144,D145&lt;&gt;""),1,"")</f>
        <v/>
      </c>
      <c r="AC145" s="80" t="str">
        <f>+IF(AND(G145&gt;'Indices y Outliers'!$I$153,G145&lt;&gt;""),1,"")</f>
        <v/>
      </c>
      <c r="AD145" s="7"/>
      <c r="AE145" s="7">
        <f t="shared" si="5"/>
        <v>0</v>
      </c>
    </row>
    <row r="146" spans="1:31" ht="15.75" customHeight="1">
      <c r="A146" s="77" t="s">
        <v>643</v>
      </c>
      <c r="B146" s="78">
        <v>0</v>
      </c>
      <c r="C146" s="78">
        <v>0</v>
      </c>
      <c r="D146" s="42" t="str">
        <f t="shared" si="0"/>
        <v/>
      </c>
      <c r="E146" s="78">
        <v>0</v>
      </c>
      <c r="F146" s="78">
        <v>0</v>
      </c>
      <c r="G146" s="42" t="str">
        <f t="shared" si="1"/>
        <v/>
      </c>
      <c r="H146" s="41">
        <v>0</v>
      </c>
      <c r="I146" s="41">
        <v>0</v>
      </c>
      <c r="J146" s="41">
        <f t="shared" si="2"/>
        <v>0</v>
      </c>
      <c r="K146" s="41">
        <v>0</v>
      </c>
      <c r="L146" s="79" t="str">
        <f t="shared" si="3"/>
        <v/>
      </c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1"/>
      <c r="AA146" s="6">
        <f t="shared" si="4"/>
        <v>0</v>
      </c>
      <c r="AB146" s="80" t="str">
        <f>+IF(AND(D146&gt;'Indices y Outliers'!$I$144,D146&lt;&gt;""),1,"")</f>
        <v/>
      </c>
      <c r="AC146" s="80" t="str">
        <f>+IF(AND(G146&gt;'Indices y Outliers'!$I$153,G146&lt;&gt;""),1,"")</f>
        <v/>
      </c>
      <c r="AD146" s="7"/>
      <c r="AE146" s="7">
        <f t="shared" si="5"/>
        <v>0</v>
      </c>
    </row>
    <row r="147" spans="1:31" ht="15.75" customHeight="1">
      <c r="A147" s="77" t="s">
        <v>646</v>
      </c>
      <c r="B147" s="78">
        <v>0</v>
      </c>
      <c r="C147" s="78">
        <v>0</v>
      </c>
      <c r="D147" s="42" t="str">
        <f t="shared" si="0"/>
        <v/>
      </c>
      <c r="E147" s="78">
        <v>0</v>
      </c>
      <c r="F147" s="78">
        <v>0</v>
      </c>
      <c r="G147" s="42" t="str">
        <f t="shared" si="1"/>
        <v/>
      </c>
      <c r="H147" s="41">
        <v>50</v>
      </c>
      <c r="I147" s="41">
        <v>100</v>
      </c>
      <c r="J147" s="41">
        <f t="shared" si="2"/>
        <v>150</v>
      </c>
      <c r="K147" s="41">
        <v>154</v>
      </c>
      <c r="L147" s="79">
        <f t="shared" si="3"/>
        <v>0.97402597402597402</v>
      </c>
      <c r="M147" s="82">
        <v>1</v>
      </c>
      <c r="N147" s="80"/>
      <c r="O147" s="82">
        <v>1</v>
      </c>
      <c r="P147" s="80"/>
      <c r="Q147" s="80"/>
      <c r="R147" s="82"/>
      <c r="S147" s="82" t="s">
        <v>1353</v>
      </c>
      <c r="T147" s="80"/>
      <c r="U147" s="80"/>
      <c r="V147" s="82" t="s">
        <v>1353</v>
      </c>
      <c r="W147" s="80"/>
      <c r="X147" s="80"/>
      <c r="Y147" s="80"/>
      <c r="Z147" s="81"/>
      <c r="AA147" s="6">
        <f t="shared" si="4"/>
        <v>0</v>
      </c>
      <c r="AB147" s="80" t="str">
        <f>+IF(AND(D147&gt;'Indices y Outliers'!$I$144,D147&lt;&gt;""),1,"")</f>
        <v/>
      </c>
      <c r="AC147" s="80" t="str">
        <f>+IF(AND(G147&gt;'Indices y Outliers'!$I$153,G147&lt;&gt;""),1,"")</f>
        <v/>
      </c>
      <c r="AD147" s="7"/>
      <c r="AE147" s="7">
        <f t="shared" si="5"/>
        <v>0</v>
      </c>
    </row>
    <row r="148" spans="1:31" ht="15.75" customHeight="1">
      <c r="A148" s="77" t="s">
        <v>649</v>
      </c>
      <c r="B148" s="78">
        <v>0</v>
      </c>
      <c r="C148" s="78">
        <v>269.39999999999998</v>
      </c>
      <c r="D148" s="42">
        <f t="shared" si="0"/>
        <v>269.39999999999998</v>
      </c>
      <c r="E148" s="78">
        <v>0</v>
      </c>
      <c r="F148" s="78">
        <v>2.25</v>
      </c>
      <c r="G148" s="42">
        <f t="shared" si="1"/>
        <v>2.25</v>
      </c>
      <c r="H148" s="41">
        <v>0</v>
      </c>
      <c r="I148" s="41">
        <v>272395</v>
      </c>
      <c r="J148" s="41">
        <f t="shared" si="2"/>
        <v>272395</v>
      </c>
      <c r="K148" s="41">
        <v>282438</v>
      </c>
      <c r="L148" s="79">
        <f t="shared" si="3"/>
        <v>0.96444175358839812</v>
      </c>
      <c r="M148" s="82">
        <v>1</v>
      </c>
      <c r="N148" s="82">
        <v>1</v>
      </c>
      <c r="O148" s="82">
        <v>1</v>
      </c>
      <c r="P148" s="82">
        <v>1</v>
      </c>
      <c r="Q148" s="80"/>
      <c r="R148" s="82">
        <v>1</v>
      </c>
      <c r="S148" s="82" t="s">
        <v>1353</v>
      </c>
      <c r="T148" s="82" t="s">
        <v>1353</v>
      </c>
      <c r="U148" s="82" t="s">
        <v>1353</v>
      </c>
      <c r="V148" s="82" t="s">
        <v>1353</v>
      </c>
      <c r="W148" s="82" t="s">
        <v>1353</v>
      </c>
      <c r="X148" s="82" t="s">
        <v>1353</v>
      </c>
      <c r="Y148" s="82" t="s">
        <v>1353</v>
      </c>
      <c r="Z148" s="81"/>
      <c r="AA148" s="6">
        <f t="shared" si="4"/>
        <v>2</v>
      </c>
      <c r="AB148" s="80" t="str">
        <f>+IF(AND(D148&gt;'Indices y Outliers'!$I$144,D148&lt;&gt;""),1,"")</f>
        <v/>
      </c>
      <c r="AC148" s="80" t="str">
        <f>+IF(AND(G148&gt;'Indices y Outliers'!$I$153,G148&lt;&gt;""),1,"")</f>
        <v/>
      </c>
      <c r="AD148" s="7"/>
      <c r="AE148" s="7">
        <f t="shared" si="5"/>
        <v>0</v>
      </c>
    </row>
    <row r="149" spans="1:31" ht="15.75" customHeight="1">
      <c r="A149" s="77" t="s">
        <v>652</v>
      </c>
      <c r="B149" s="78">
        <v>0</v>
      </c>
      <c r="C149" s="78">
        <v>91.22</v>
      </c>
      <c r="D149" s="42">
        <f t="shared" si="0"/>
        <v>91.22</v>
      </c>
      <c r="E149" s="78">
        <v>0</v>
      </c>
      <c r="F149" s="78">
        <v>1.0660000000000001</v>
      </c>
      <c r="G149" s="42">
        <f t="shared" si="1"/>
        <v>1.0660000000000001</v>
      </c>
      <c r="H149" s="41">
        <v>0</v>
      </c>
      <c r="I149" s="41">
        <v>70780</v>
      </c>
      <c r="J149" s="41">
        <f t="shared" si="2"/>
        <v>70780</v>
      </c>
      <c r="K149" s="41">
        <v>70798</v>
      </c>
      <c r="L149" s="79">
        <f t="shared" si="3"/>
        <v>0.99974575552981726</v>
      </c>
      <c r="M149" s="82">
        <v>1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 t="s">
        <v>1353</v>
      </c>
      <c r="T149" s="82" t="s">
        <v>1353</v>
      </c>
      <c r="U149" s="82" t="s">
        <v>1353</v>
      </c>
      <c r="V149" s="82" t="s">
        <v>1353</v>
      </c>
      <c r="W149" s="82" t="s">
        <v>1353</v>
      </c>
      <c r="X149" s="82" t="s">
        <v>1353</v>
      </c>
      <c r="Y149" s="80"/>
      <c r="Z149" s="81"/>
      <c r="AA149" s="6">
        <f t="shared" si="4"/>
        <v>2</v>
      </c>
      <c r="AB149" s="80" t="str">
        <f>+IF(AND(D149&gt;'Indices y Outliers'!$I$144,D149&lt;&gt;""),1,"")</f>
        <v/>
      </c>
      <c r="AC149" s="80" t="str">
        <f>+IF(AND(G149&gt;'Indices y Outliers'!$I$153,G149&lt;&gt;""),1,"")</f>
        <v/>
      </c>
      <c r="AD149" s="7"/>
      <c r="AE149" s="7">
        <f t="shared" si="5"/>
        <v>0</v>
      </c>
    </row>
    <row r="150" spans="1:31" ht="15.75" customHeight="1">
      <c r="A150" s="77" t="s">
        <v>655</v>
      </c>
      <c r="B150" s="78">
        <v>128.40299999999999</v>
      </c>
      <c r="C150" s="78">
        <v>0</v>
      </c>
      <c r="D150" s="42">
        <f t="shared" si="0"/>
        <v>128.40299999999999</v>
      </c>
      <c r="E150" s="78">
        <v>1.371</v>
      </c>
      <c r="F150" s="78">
        <v>0</v>
      </c>
      <c r="G150" s="42">
        <f t="shared" si="1"/>
        <v>1.371</v>
      </c>
      <c r="H150" s="41">
        <v>359805</v>
      </c>
      <c r="I150" s="41">
        <v>0</v>
      </c>
      <c r="J150" s="41">
        <f t="shared" si="2"/>
        <v>359805</v>
      </c>
      <c r="K150" s="41">
        <v>388977</v>
      </c>
      <c r="L150" s="79">
        <f t="shared" si="3"/>
        <v>0.92500327782876623</v>
      </c>
      <c r="M150" s="82">
        <v>1</v>
      </c>
      <c r="N150" s="80"/>
      <c r="O150" s="82">
        <v>1</v>
      </c>
      <c r="P150" s="80"/>
      <c r="Q150" s="82">
        <v>1</v>
      </c>
      <c r="R150" s="82">
        <v>1</v>
      </c>
      <c r="S150" s="82" t="s">
        <v>1353</v>
      </c>
      <c r="T150" s="82" t="s">
        <v>1353</v>
      </c>
      <c r="U150" s="82" t="s">
        <v>1353</v>
      </c>
      <c r="V150" s="82" t="s">
        <v>1353</v>
      </c>
      <c r="W150" s="80"/>
      <c r="X150" s="80"/>
      <c r="Y150" s="82" t="s">
        <v>1353</v>
      </c>
      <c r="Z150" s="81"/>
      <c r="AA150" s="6">
        <f t="shared" si="4"/>
        <v>2</v>
      </c>
      <c r="AB150" s="80" t="str">
        <f>+IF(AND(D150&gt;'Indices y Outliers'!$I$144,D150&lt;&gt;""),1,"")</f>
        <v/>
      </c>
      <c r="AC150" s="80" t="str">
        <f>+IF(AND(G150&gt;'Indices y Outliers'!$I$153,G150&lt;&gt;""),1,"")</f>
        <v/>
      </c>
      <c r="AD150" s="7"/>
      <c r="AE150" s="7">
        <f t="shared" si="5"/>
        <v>0</v>
      </c>
    </row>
    <row r="151" spans="1:31" ht="15.75" customHeight="1">
      <c r="A151" s="77" t="s">
        <v>658</v>
      </c>
      <c r="B151" s="78">
        <v>149.91300000000001</v>
      </c>
      <c r="C151" s="78">
        <v>0</v>
      </c>
      <c r="D151" s="42">
        <f t="shared" si="0"/>
        <v>149.91300000000001</v>
      </c>
      <c r="E151" s="78">
        <v>4.665</v>
      </c>
      <c r="F151" s="78">
        <v>0</v>
      </c>
      <c r="G151" s="42">
        <f t="shared" si="1"/>
        <v>4.665</v>
      </c>
      <c r="H151" s="41">
        <v>10156</v>
      </c>
      <c r="I151" s="41">
        <v>2667514</v>
      </c>
      <c r="J151" s="41">
        <f t="shared" si="2"/>
        <v>2677670</v>
      </c>
      <c r="K151" s="41">
        <v>2677815</v>
      </c>
      <c r="L151" s="79">
        <f t="shared" si="3"/>
        <v>0.99994585137509495</v>
      </c>
      <c r="M151" s="82">
        <v>1</v>
      </c>
      <c r="N151" s="82">
        <v>1</v>
      </c>
      <c r="O151" s="82">
        <v>1</v>
      </c>
      <c r="P151" s="80"/>
      <c r="Q151" s="82">
        <v>1</v>
      </c>
      <c r="R151" s="80"/>
      <c r="S151" s="80"/>
      <c r="T151" s="82" t="s">
        <v>1353</v>
      </c>
      <c r="U151" s="82" t="s">
        <v>1353</v>
      </c>
      <c r="V151" s="82" t="s">
        <v>1353</v>
      </c>
      <c r="W151" s="80"/>
      <c r="X151" s="80"/>
      <c r="Y151" s="80"/>
      <c r="Z151" s="81"/>
      <c r="AA151" s="6">
        <f t="shared" si="4"/>
        <v>2</v>
      </c>
      <c r="AB151" s="80" t="str">
        <f>+IF(AND(D151&gt;'Indices y Outliers'!$I$144,D151&lt;&gt;""),1,"")</f>
        <v/>
      </c>
      <c r="AC151" s="80" t="str">
        <f>+IF(AND(G151&gt;'Indices y Outliers'!$I$153,G151&lt;&gt;""),1,"")</f>
        <v/>
      </c>
      <c r="AD151" s="7"/>
      <c r="AE151" s="7">
        <f t="shared" si="5"/>
        <v>0</v>
      </c>
    </row>
    <row r="152" spans="1:31" ht="15.75" customHeight="1">
      <c r="A152" s="77" t="s">
        <v>661</v>
      </c>
      <c r="B152" s="78">
        <v>0</v>
      </c>
      <c r="C152" s="78">
        <v>0</v>
      </c>
      <c r="D152" s="42" t="str">
        <f t="shared" si="0"/>
        <v/>
      </c>
      <c r="E152" s="78">
        <v>0</v>
      </c>
      <c r="F152" s="78">
        <v>3.1</v>
      </c>
      <c r="G152" s="42">
        <f t="shared" si="1"/>
        <v>3.1</v>
      </c>
      <c r="H152" s="41">
        <v>25554</v>
      </c>
      <c r="I152" s="41">
        <v>0</v>
      </c>
      <c r="J152" s="41">
        <f t="shared" si="2"/>
        <v>25554</v>
      </c>
      <c r="K152" s="41">
        <v>25554</v>
      </c>
      <c r="L152" s="79">
        <f t="shared" si="3"/>
        <v>1</v>
      </c>
      <c r="M152" s="82">
        <v>1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 t="s">
        <v>1353</v>
      </c>
      <c r="T152" s="82" t="s">
        <v>1353</v>
      </c>
      <c r="U152" s="82" t="s">
        <v>1353</v>
      </c>
      <c r="V152" s="82" t="s">
        <v>1353</v>
      </c>
      <c r="W152" s="80"/>
      <c r="X152" s="82" t="s">
        <v>1354</v>
      </c>
      <c r="Y152" s="80"/>
      <c r="Z152" s="81"/>
      <c r="AA152" s="6">
        <f t="shared" si="4"/>
        <v>0</v>
      </c>
      <c r="AB152" s="80" t="str">
        <f>+IF(AND(D152&gt;'Indices y Outliers'!$I$144,D152&lt;&gt;""),1,"")</f>
        <v/>
      </c>
      <c r="AC152" s="80" t="str">
        <f>+IF(AND(G152&gt;'Indices y Outliers'!$I$153,G152&lt;&gt;""),1,"")</f>
        <v/>
      </c>
      <c r="AD152" s="7"/>
      <c r="AE152" s="7">
        <f t="shared" si="5"/>
        <v>0</v>
      </c>
    </row>
    <row r="153" spans="1:31" ht="15.75" customHeight="1">
      <c r="A153" s="77" t="s">
        <v>664</v>
      </c>
      <c r="B153" s="78">
        <v>0</v>
      </c>
      <c r="C153" s="78">
        <v>0</v>
      </c>
      <c r="D153" s="42" t="str">
        <f t="shared" si="0"/>
        <v/>
      </c>
      <c r="E153" s="78">
        <v>0</v>
      </c>
      <c r="F153" s="78">
        <v>0</v>
      </c>
      <c r="G153" s="42" t="str">
        <f t="shared" si="1"/>
        <v/>
      </c>
      <c r="H153" s="41">
        <v>0</v>
      </c>
      <c r="I153" s="41">
        <v>0</v>
      </c>
      <c r="J153" s="41">
        <f t="shared" si="2"/>
        <v>0</v>
      </c>
      <c r="K153" s="41">
        <v>0</v>
      </c>
      <c r="L153" s="79" t="str">
        <f t="shared" si="3"/>
        <v/>
      </c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1"/>
      <c r="AA153" s="6">
        <f t="shared" si="4"/>
        <v>0</v>
      </c>
      <c r="AB153" s="80" t="str">
        <f>+IF(AND(D153&gt;'Indices y Outliers'!$I$144,D153&lt;&gt;""),1,"")</f>
        <v/>
      </c>
      <c r="AC153" s="80" t="str">
        <f>+IF(AND(G153&gt;'Indices y Outliers'!$I$153,G153&lt;&gt;""),1,"")</f>
        <v/>
      </c>
      <c r="AD153" s="7"/>
      <c r="AE153" s="7">
        <f t="shared" si="5"/>
        <v>0</v>
      </c>
    </row>
    <row r="154" spans="1:31" ht="15.75" customHeight="1">
      <c r="A154" s="77" t="s">
        <v>667</v>
      </c>
      <c r="B154" s="78">
        <v>0</v>
      </c>
      <c r="C154" s="78">
        <v>0</v>
      </c>
      <c r="D154" s="42" t="str">
        <f t="shared" si="0"/>
        <v/>
      </c>
      <c r="E154" s="78">
        <v>0</v>
      </c>
      <c r="F154" s="78">
        <v>0</v>
      </c>
      <c r="G154" s="42" t="str">
        <f t="shared" si="1"/>
        <v/>
      </c>
      <c r="H154" s="41">
        <v>0</v>
      </c>
      <c r="I154" s="41">
        <v>0</v>
      </c>
      <c r="J154" s="41">
        <f t="shared" si="2"/>
        <v>0</v>
      </c>
      <c r="K154" s="41">
        <v>0</v>
      </c>
      <c r="L154" s="79" t="str">
        <f t="shared" si="3"/>
        <v/>
      </c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1"/>
      <c r="AA154" s="6">
        <f t="shared" si="4"/>
        <v>0</v>
      </c>
      <c r="AB154" s="80" t="str">
        <f>+IF(AND(D154&gt;'Indices y Outliers'!$I$144,D154&lt;&gt;""),1,"")</f>
        <v/>
      </c>
      <c r="AC154" s="80" t="str">
        <f>+IF(AND(G154&gt;'Indices y Outliers'!$I$153,G154&lt;&gt;""),1,"")</f>
        <v/>
      </c>
      <c r="AD154" s="7"/>
      <c r="AE154" s="7">
        <f t="shared" si="5"/>
        <v>0</v>
      </c>
    </row>
    <row r="155" spans="1:31" ht="15.75" customHeight="1">
      <c r="A155" s="77" t="s">
        <v>670</v>
      </c>
      <c r="B155" s="78">
        <v>90.9</v>
      </c>
      <c r="C155" s="78">
        <v>0</v>
      </c>
      <c r="D155" s="42">
        <f t="shared" si="0"/>
        <v>90.9</v>
      </c>
      <c r="E155" s="78">
        <v>1.1100000000000001</v>
      </c>
      <c r="F155" s="78">
        <v>0</v>
      </c>
      <c r="G155" s="42">
        <f t="shared" si="1"/>
        <v>1.1100000000000001</v>
      </c>
      <c r="H155" s="41">
        <v>59404</v>
      </c>
      <c r="I155" s="41">
        <v>0</v>
      </c>
      <c r="J155" s="41">
        <f t="shared" si="2"/>
        <v>59404</v>
      </c>
      <c r="K155" s="41">
        <v>63497</v>
      </c>
      <c r="L155" s="79">
        <f t="shared" si="3"/>
        <v>0.93554026174464933</v>
      </c>
      <c r="M155" s="82">
        <v>1</v>
      </c>
      <c r="N155" s="80"/>
      <c r="O155" s="82">
        <v>1</v>
      </c>
      <c r="P155" s="82">
        <v>1</v>
      </c>
      <c r="Q155" s="82">
        <v>1</v>
      </c>
      <c r="R155" s="80">
        <v>1</v>
      </c>
      <c r="S155" s="80"/>
      <c r="T155" s="82" t="s">
        <v>1353</v>
      </c>
      <c r="U155" s="82" t="s">
        <v>1353</v>
      </c>
      <c r="V155" s="82" t="s">
        <v>1353</v>
      </c>
      <c r="W155" s="80"/>
      <c r="X155" s="80"/>
      <c r="Y155" s="82" t="s">
        <v>1353</v>
      </c>
      <c r="Z155" s="81"/>
      <c r="AA155" s="6">
        <f t="shared" si="4"/>
        <v>2</v>
      </c>
      <c r="AB155" s="80" t="str">
        <f>+IF(AND(D155&gt;'Indices y Outliers'!$I$144,D155&lt;&gt;""),1,"")</f>
        <v/>
      </c>
      <c r="AC155" s="80" t="str">
        <f>+IF(AND(G155&gt;'Indices y Outliers'!$I$153,G155&lt;&gt;""),1,"")</f>
        <v/>
      </c>
      <c r="AD155" s="7"/>
      <c r="AE155" s="7">
        <f t="shared" si="5"/>
        <v>0</v>
      </c>
    </row>
    <row r="156" spans="1:31" ht="15.75" customHeight="1">
      <c r="A156" s="77" t="s">
        <v>673</v>
      </c>
      <c r="B156" s="78">
        <v>0</v>
      </c>
      <c r="C156" s="78">
        <v>0</v>
      </c>
      <c r="D156" s="42" t="str">
        <f t="shared" si="0"/>
        <v/>
      </c>
      <c r="E156" s="78">
        <v>0</v>
      </c>
      <c r="F156" s="78">
        <v>0</v>
      </c>
      <c r="G156" s="42" t="str">
        <f t="shared" si="1"/>
        <v/>
      </c>
      <c r="H156" s="41">
        <v>0</v>
      </c>
      <c r="I156" s="41">
        <v>0</v>
      </c>
      <c r="J156" s="41">
        <f t="shared" si="2"/>
        <v>0</v>
      </c>
      <c r="K156" s="41">
        <v>0</v>
      </c>
      <c r="L156" s="79" t="str">
        <f t="shared" si="3"/>
        <v/>
      </c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1"/>
      <c r="AA156" s="6">
        <f t="shared" si="4"/>
        <v>0</v>
      </c>
      <c r="AB156" s="80" t="str">
        <f>+IF(AND(D156&gt;'Indices y Outliers'!$I$144,D156&lt;&gt;""),1,"")</f>
        <v/>
      </c>
      <c r="AC156" s="80" t="str">
        <f>+IF(AND(G156&gt;'Indices y Outliers'!$I$153,G156&lt;&gt;""),1,"")</f>
        <v/>
      </c>
      <c r="AD156" s="7"/>
      <c r="AE156" s="7">
        <f t="shared" si="5"/>
        <v>0</v>
      </c>
    </row>
    <row r="157" spans="1:31" ht="15.75" customHeight="1">
      <c r="A157" s="77" t="s">
        <v>676</v>
      </c>
      <c r="B157" s="78">
        <v>0</v>
      </c>
      <c r="C157" s="78">
        <v>0</v>
      </c>
      <c r="D157" s="42" t="str">
        <f t="shared" si="0"/>
        <v/>
      </c>
      <c r="E157" s="78">
        <v>0</v>
      </c>
      <c r="F157" s="78">
        <v>0</v>
      </c>
      <c r="G157" s="42" t="str">
        <f t="shared" si="1"/>
        <v/>
      </c>
      <c r="H157" s="41">
        <v>0</v>
      </c>
      <c r="I157" s="41">
        <v>0</v>
      </c>
      <c r="J157" s="41">
        <f t="shared" si="2"/>
        <v>0</v>
      </c>
      <c r="K157" s="41">
        <v>0</v>
      </c>
      <c r="L157" s="79" t="str">
        <f t="shared" si="3"/>
        <v/>
      </c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1"/>
      <c r="AA157" s="6">
        <f t="shared" si="4"/>
        <v>0</v>
      </c>
      <c r="AB157" s="80" t="str">
        <f>+IF(AND(D157&gt;'Indices y Outliers'!$I$144,D157&lt;&gt;""),1,"")</f>
        <v/>
      </c>
      <c r="AC157" s="80" t="str">
        <f>+IF(AND(G157&gt;'Indices y Outliers'!$I$153,G157&lt;&gt;""),1,"")</f>
        <v/>
      </c>
      <c r="AD157" s="7"/>
      <c r="AE157" s="7">
        <f t="shared" si="5"/>
        <v>0</v>
      </c>
    </row>
    <row r="158" spans="1:31" ht="15.75" customHeight="1">
      <c r="A158" s="77" t="s">
        <v>679</v>
      </c>
      <c r="B158" s="78">
        <v>0</v>
      </c>
      <c r="C158" s="78">
        <v>0</v>
      </c>
      <c r="D158" s="42" t="str">
        <f t="shared" si="0"/>
        <v/>
      </c>
      <c r="E158" s="78">
        <v>0</v>
      </c>
      <c r="F158" s="78">
        <v>0</v>
      </c>
      <c r="G158" s="42" t="str">
        <f t="shared" si="1"/>
        <v/>
      </c>
      <c r="H158" s="41">
        <v>0</v>
      </c>
      <c r="I158" s="41">
        <v>0</v>
      </c>
      <c r="J158" s="41">
        <f t="shared" si="2"/>
        <v>0</v>
      </c>
      <c r="K158" s="41">
        <v>0</v>
      </c>
      <c r="L158" s="79" t="str">
        <f t="shared" si="3"/>
        <v/>
      </c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1"/>
      <c r="AA158" s="6">
        <f t="shared" si="4"/>
        <v>0</v>
      </c>
      <c r="AB158" s="80" t="str">
        <f>+IF(AND(D158&gt;'Indices y Outliers'!$I$144,D158&lt;&gt;""),1,"")</f>
        <v/>
      </c>
      <c r="AC158" s="80" t="str">
        <f>+IF(AND(G158&gt;'Indices y Outliers'!$I$153,G158&lt;&gt;""),1,"")</f>
        <v/>
      </c>
      <c r="AD158" s="7"/>
      <c r="AE158" s="7">
        <f t="shared" si="5"/>
        <v>0</v>
      </c>
    </row>
    <row r="159" spans="1:31" ht="15.75" customHeight="1">
      <c r="A159" s="77" t="s">
        <v>682</v>
      </c>
      <c r="B159" s="78">
        <v>0</v>
      </c>
      <c r="C159" s="78">
        <v>0</v>
      </c>
      <c r="D159" s="42" t="str">
        <f t="shared" si="0"/>
        <v/>
      </c>
      <c r="E159" s="78">
        <v>0</v>
      </c>
      <c r="F159" s="78">
        <v>0</v>
      </c>
      <c r="G159" s="42" t="str">
        <f t="shared" si="1"/>
        <v/>
      </c>
      <c r="H159" s="41">
        <v>0</v>
      </c>
      <c r="I159" s="41">
        <v>0</v>
      </c>
      <c r="J159" s="41">
        <f t="shared" si="2"/>
        <v>0</v>
      </c>
      <c r="K159" s="41">
        <v>0</v>
      </c>
      <c r="L159" s="79" t="str">
        <f t="shared" si="3"/>
        <v/>
      </c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1"/>
      <c r="AA159" s="6">
        <f t="shared" si="4"/>
        <v>0</v>
      </c>
      <c r="AB159" s="80" t="str">
        <f>+IF(AND(D159&gt;'Indices y Outliers'!$I$144,D159&lt;&gt;""),1,"")</f>
        <v/>
      </c>
      <c r="AC159" s="80" t="str">
        <f>+IF(AND(G159&gt;'Indices y Outliers'!$I$153,G159&lt;&gt;""),1,"")</f>
        <v/>
      </c>
      <c r="AD159" s="7"/>
      <c r="AE159" s="7">
        <f t="shared" si="5"/>
        <v>0</v>
      </c>
    </row>
    <row r="160" spans="1:31" ht="15.75" customHeight="1">
      <c r="A160" s="77" t="s">
        <v>685</v>
      </c>
      <c r="B160" s="78">
        <v>0</v>
      </c>
      <c r="C160" s="78">
        <v>0</v>
      </c>
      <c r="D160" s="42" t="str">
        <f t="shared" si="0"/>
        <v/>
      </c>
      <c r="E160" s="78">
        <v>0</v>
      </c>
      <c r="F160" s="78">
        <v>0</v>
      </c>
      <c r="G160" s="42" t="str">
        <f t="shared" si="1"/>
        <v/>
      </c>
      <c r="H160" s="41">
        <v>0</v>
      </c>
      <c r="I160" s="41">
        <v>0</v>
      </c>
      <c r="J160" s="41">
        <f t="shared" si="2"/>
        <v>0</v>
      </c>
      <c r="K160" s="41">
        <v>0</v>
      </c>
      <c r="L160" s="79" t="str">
        <f t="shared" si="3"/>
        <v/>
      </c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1"/>
      <c r="AA160" s="6">
        <f t="shared" si="4"/>
        <v>0</v>
      </c>
      <c r="AB160" s="80" t="str">
        <f>+IF(AND(D160&gt;'Indices y Outliers'!$I$144,D160&lt;&gt;""),1,"")</f>
        <v/>
      </c>
      <c r="AC160" s="80" t="str">
        <f>+IF(AND(G160&gt;'Indices y Outliers'!$I$153,G160&lt;&gt;""),1,"")</f>
        <v/>
      </c>
      <c r="AD160" s="7"/>
      <c r="AE160" s="7">
        <f t="shared" si="5"/>
        <v>0</v>
      </c>
    </row>
    <row r="161" spans="1:31" ht="15.75" customHeight="1">
      <c r="A161" s="77" t="s">
        <v>688</v>
      </c>
      <c r="B161" s="78">
        <v>0</v>
      </c>
      <c r="C161" s="78">
        <v>0</v>
      </c>
      <c r="D161" s="42" t="str">
        <f t="shared" si="0"/>
        <v/>
      </c>
      <c r="E161" s="78">
        <v>0</v>
      </c>
      <c r="F161" s="78">
        <v>0</v>
      </c>
      <c r="G161" s="42" t="str">
        <f t="shared" si="1"/>
        <v/>
      </c>
      <c r="H161" s="41">
        <v>0</v>
      </c>
      <c r="I161" s="41">
        <v>0</v>
      </c>
      <c r="J161" s="41">
        <f t="shared" si="2"/>
        <v>0</v>
      </c>
      <c r="K161" s="41">
        <v>0</v>
      </c>
      <c r="L161" s="79" t="str">
        <f t="shared" si="3"/>
        <v/>
      </c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1"/>
      <c r="AA161" s="6">
        <f t="shared" si="4"/>
        <v>0</v>
      </c>
      <c r="AB161" s="80" t="str">
        <f>+IF(AND(D161&gt;'Indices y Outliers'!$I$144,D161&lt;&gt;""),1,"")</f>
        <v/>
      </c>
      <c r="AC161" s="80" t="str">
        <f>+IF(AND(G161&gt;'Indices y Outliers'!$I$153,G161&lt;&gt;""),1,"")</f>
        <v/>
      </c>
      <c r="AD161" s="7"/>
      <c r="AE161" s="7">
        <f t="shared" si="5"/>
        <v>0</v>
      </c>
    </row>
    <row r="162" spans="1:31" ht="15.75" customHeight="1">
      <c r="A162" s="77" t="s">
        <v>691</v>
      </c>
      <c r="B162" s="78">
        <v>0</v>
      </c>
      <c r="C162" s="78">
        <v>0</v>
      </c>
      <c r="D162" s="42" t="str">
        <f t="shared" si="0"/>
        <v/>
      </c>
      <c r="E162" s="78">
        <v>0</v>
      </c>
      <c r="F162" s="78">
        <v>0</v>
      </c>
      <c r="G162" s="42" t="str">
        <f t="shared" si="1"/>
        <v/>
      </c>
      <c r="H162" s="41">
        <v>0</v>
      </c>
      <c r="I162" s="41">
        <v>0</v>
      </c>
      <c r="J162" s="41">
        <f t="shared" si="2"/>
        <v>0</v>
      </c>
      <c r="K162" s="41">
        <v>0</v>
      </c>
      <c r="L162" s="79" t="str">
        <f t="shared" si="3"/>
        <v/>
      </c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1"/>
      <c r="AA162" s="6">
        <f t="shared" si="4"/>
        <v>0</v>
      </c>
      <c r="AB162" s="80" t="str">
        <f>+IF(AND(D162&gt;'Indices y Outliers'!$I$144,D162&lt;&gt;""),1,"")</f>
        <v/>
      </c>
      <c r="AC162" s="80" t="str">
        <f>+IF(AND(G162&gt;'Indices y Outliers'!$I$153,G162&lt;&gt;""),1,"")</f>
        <v/>
      </c>
      <c r="AD162" s="7"/>
      <c r="AE162" s="7">
        <f t="shared" si="5"/>
        <v>0</v>
      </c>
    </row>
    <row r="163" spans="1:31" ht="15.75" customHeight="1">
      <c r="A163" s="77" t="s">
        <v>694</v>
      </c>
      <c r="B163" s="78">
        <v>0</v>
      </c>
      <c r="C163" s="78">
        <v>0</v>
      </c>
      <c r="D163" s="42" t="str">
        <f t="shared" si="0"/>
        <v/>
      </c>
      <c r="E163" s="78">
        <v>0</v>
      </c>
      <c r="F163" s="78">
        <v>0</v>
      </c>
      <c r="G163" s="42" t="str">
        <f t="shared" si="1"/>
        <v/>
      </c>
      <c r="H163" s="41">
        <v>0</v>
      </c>
      <c r="I163" s="41">
        <v>0</v>
      </c>
      <c r="J163" s="41">
        <f t="shared" si="2"/>
        <v>0</v>
      </c>
      <c r="K163" s="41">
        <v>0</v>
      </c>
      <c r="L163" s="79" t="str">
        <f t="shared" si="3"/>
        <v/>
      </c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1"/>
      <c r="AA163" s="6">
        <f t="shared" si="4"/>
        <v>0</v>
      </c>
      <c r="AB163" s="80" t="str">
        <f>+IF(AND(D163&gt;'Indices y Outliers'!$I$144,D163&lt;&gt;""),1,"")</f>
        <v/>
      </c>
      <c r="AC163" s="80" t="str">
        <f>+IF(AND(G163&gt;'Indices y Outliers'!$I$153,G163&lt;&gt;""),1,"")</f>
        <v/>
      </c>
      <c r="AD163" s="7"/>
      <c r="AE163" s="7">
        <f t="shared" si="5"/>
        <v>0</v>
      </c>
    </row>
    <row r="164" spans="1:31" ht="15.75" customHeight="1">
      <c r="A164" s="77" t="s">
        <v>697</v>
      </c>
      <c r="B164" s="78">
        <v>31.922999999999998</v>
      </c>
      <c r="C164" s="78">
        <v>0</v>
      </c>
      <c r="D164" s="42">
        <f t="shared" si="0"/>
        <v>31.922999999999998</v>
      </c>
      <c r="E164" s="78">
        <v>0.28399999999999997</v>
      </c>
      <c r="F164" s="78">
        <v>0</v>
      </c>
      <c r="G164" s="42">
        <f t="shared" si="1"/>
        <v>0.28399999999999997</v>
      </c>
      <c r="H164" s="41">
        <v>148373</v>
      </c>
      <c r="I164" s="41">
        <v>13378</v>
      </c>
      <c r="J164" s="41">
        <f t="shared" si="2"/>
        <v>161751</v>
      </c>
      <c r="K164" s="41">
        <v>161751</v>
      </c>
      <c r="L164" s="79">
        <f t="shared" si="3"/>
        <v>1</v>
      </c>
      <c r="M164" s="82">
        <v>1</v>
      </c>
      <c r="N164" s="80"/>
      <c r="O164" s="82">
        <v>1</v>
      </c>
      <c r="P164" s="82">
        <v>1</v>
      </c>
      <c r="Q164" s="80"/>
      <c r="R164" s="82">
        <v>1</v>
      </c>
      <c r="S164" s="82" t="s">
        <v>1353</v>
      </c>
      <c r="T164" s="80"/>
      <c r="U164" s="82" t="s">
        <v>1353</v>
      </c>
      <c r="V164" s="82" t="s">
        <v>1353</v>
      </c>
      <c r="W164" s="80"/>
      <c r="X164" s="80"/>
      <c r="Y164" s="82" t="s">
        <v>1353</v>
      </c>
      <c r="Z164" s="81"/>
      <c r="AA164" s="6">
        <f t="shared" si="4"/>
        <v>2</v>
      </c>
      <c r="AB164" s="80" t="str">
        <f>+IF(AND(D164&gt;'Indices y Outliers'!$I$144,D164&lt;&gt;""),1,"")</f>
        <v/>
      </c>
      <c r="AC164" s="80" t="str">
        <f>+IF(AND(G164&gt;'Indices y Outliers'!$I$153,G164&lt;&gt;""),1,"")</f>
        <v/>
      </c>
      <c r="AD164" s="7"/>
      <c r="AE164" s="7">
        <f t="shared" si="5"/>
        <v>0</v>
      </c>
    </row>
    <row r="165" spans="1:31" ht="15.75" customHeight="1">
      <c r="A165" s="77" t="s">
        <v>700</v>
      </c>
      <c r="B165" s="78">
        <v>0</v>
      </c>
      <c r="C165" s="78">
        <v>0</v>
      </c>
      <c r="D165" s="42" t="str">
        <f t="shared" si="0"/>
        <v/>
      </c>
      <c r="E165" s="78">
        <v>0</v>
      </c>
      <c r="F165" s="78">
        <v>0</v>
      </c>
      <c r="G165" s="42" t="str">
        <f t="shared" si="1"/>
        <v/>
      </c>
      <c r="H165" s="41">
        <v>0</v>
      </c>
      <c r="I165" s="41">
        <v>0</v>
      </c>
      <c r="J165" s="41">
        <f t="shared" si="2"/>
        <v>0</v>
      </c>
      <c r="K165" s="41">
        <v>0</v>
      </c>
      <c r="L165" s="79" t="str">
        <f t="shared" si="3"/>
        <v/>
      </c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1"/>
      <c r="AA165" s="6">
        <f t="shared" si="4"/>
        <v>0</v>
      </c>
      <c r="AB165" s="80" t="str">
        <f>+IF(AND(D165&gt;'Indices y Outliers'!$I$144,D165&lt;&gt;""),1,"")</f>
        <v/>
      </c>
      <c r="AC165" s="80" t="str">
        <f>+IF(AND(G165&gt;'Indices y Outliers'!$I$153,G165&lt;&gt;""),1,"")</f>
        <v/>
      </c>
      <c r="AD165" s="7"/>
      <c r="AE165" s="7">
        <f t="shared" si="5"/>
        <v>0</v>
      </c>
    </row>
    <row r="166" spans="1:31" ht="15.75" customHeight="1">
      <c r="A166" s="77" t="s">
        <v>703</v>
      </c>
      <c r="B166" s="78">
        <v>0</v>
      </c>
      <c r="C166" s="78">
        <v>0</v>
      </c>
      <c r="D166" s="42" t="str">
        <f t="shared" si="0"/>
        <v/>
      </c>
      <c r="E166" s="78">
        <v>0</v>
      </c>
      <c r="F166" s="78">
        <v>0</v>
      </c>
      <c r="G166" s="42" t="str">
        <f t="shared" si="1"/>
        <v/>
      </c>
      <c r="H166" s="41">
        <v>0</v>
      </c>
      <c r="I166" s="41">
        <v>0</v>
      </c>
      <c r="J166" s="41">
        <f t="shared" si="2"/>
        <v>0</v>
      </c>
      <c r="K166" s="41">
        <v>0</v>
      </c>
      <c r="L166" s="79" t="str">
        <f t="shared" si="3"/>
        <v/>
      </c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1"/>
      <c r="AA166" s="6">
        <f t="shared" si="4"/>
        <v>0</v>
      </c>
      <c r="AB166" s="80" t="str">
        <f>+IF(AND(D166&gt;'Indices y Outliers'!$I$144,D166&lt;&gt;""),1,"")</f>
        <v/>
      </c>
      <c r="AC166" s="80" t="str">
        <f>+IF(AND(G166&gt;'Indices y Outliers'!$I$153,G166&lt;&gt;""),1,"")</f>
        <v/>
      </c>
      <c r="AD166" s="7"/>
      <c r="AE166" s="7">
        <f t="shared" si="5"/>
        <v>0</v>
      </c>
    </row>
    <row r="167" spans="1:31" ht="15.75" customHeight="1">
      <c r="A167" s="77" t="s">
        <v>706</v>
      </c>
      <c r="B167" s="78">
        <v>0</v>
      </c>
      <c r="C167" s="78">
        <v>0</v>
      </c>
      <c r="D167" s="42" t="str">
        <f t="shared" si="0"/>
        <v/>
      </c>
      <c r="E167" s="78">
        <v>0</v>
      </c>
      <c r="F167" s="78">
        <v>0</v>
      </c>
      <c r="G167" s="42" t="str">
        <f t="shared" si="1"/>
        <v/>
      </c>
      <c r="H167" s="41">
        <v>0</v>
      </c>
      <c r="I167" s="41">
        <v>0</v>
      </c>
      <c r="J167" s="41">
        <f t="shared" si="2"/>
        <v>0</v>
      </c>
      <c r="K167" s="41">
        <v>0</v>
      </c>
      <c r="L167" s="79" t="str">
        <f t="shared" si="3"/>
        <v/>
      </c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1"/>
      <c r="AA167" s="6">
        <f t="shared" si="4"/>
        <v>0</v>
      </c>
      <c r="AB167" s="80" t="str">
        <f>+IF(AND(D167&gt;'Indices y Outliers'!$I$144,D167&lt;&gt;""),1,"")</f>
        <v/>
      </c>
      <c r="AC167" s="80" t="str">
        <f>+IF(AND(G167&gt;'Indices y Outliers'!$I$153,G167&lt;&gt;""),1,"")</f>
        <v/>
      </c>
      <c r="AD167" s="7"/>
      <c r="AE167" s="7">
        <f t="shared" si="5"/>
        <v>0</v>
      </c>
    </row>
    <row r="168" spans="1:31" ht="15.75" customHeight="1">
      <c r="A168" s="77" t="s">
        <v>709</v>
      </c>
      <c r="B168" s="78">
        <v>0</v>
      </c>
      <c r="C168" s="78">
        <v>0</v>
      </c>
      <c r="D168" s="42" t="str">
        <f t="shared" si="0"/>
        <v/>
      </c>
      <c r="E168" s="78">
        <v>0</v>
      </c>
      <c r="F168" s="78">
        <v>0</v>
      </c>
      <c r="G168" s="42" t="str">
        <f t="shared" si="1"/>
        <v/>
      </c>
      <c r="H168" s="41">
        <v>0</v>
      </c>
      <c r="I168" s="41">
        <v>0</v>
      </c>
      <c r="J168" s="41">
        <f t="shared" si="2"/>
        <v>0</v>
      </c>
      <c r="K168" s="41">
        <v>0</v>
      </c>
      <c r="L168" s="79" t="str">
        <f t="shared" si="3"/>
        <v/>
      </c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1"/>
      <c r="AA168" s="6">
        <f t="shared" si="4"/>
        <v>0</v>
      </c>
      <c r="AB168" s="80" t="str">
        <f>+IF(AND(D168&gt;'Indices y Outliers'!$I$144,D168&lt;&gt;""),1,"")</f>
        <v/>
      </c>
      <c r="AC168" s="80" t="str">
        <f>+IF(AND(G168&gt;'Indices y Outliers'!$I$153,G168&lt;&gt;""),1,"")</f>
        <v/>
      </c>
      <c r="AD168" s="7"/>
      <c r="AE168" s="7">
        <f t="shared" si="5"/>
        <v>0</v>
      </c>
    </row>
    <row r="169" spans="1:31" ht="15.75" customHeight="1">
      <c r="A169" s="77" t="s">
        <v>712</v>
      </c>
      <c r="B169" s="78">
        <v>0</v>
      </c>
      <c r="C169" s="78">
        <v>0</v>
      </c>
      <c r="D169" s="42" t="str">
        <f t="shared" si="0"/>
        <v/>
      </c>
      <c r="E169" s="78">
        <v>0</v>
      </c>
      <c r="F169" s="78">
        <v>0</v>
      </c>
      <c r="G169" s="42" t="str">
        <f t="shared" si="1"/>
        <v/>
      </c>
      <c r="H169" s="41">
        <v>0</v>
      </c>
      <c r="I169" s="41">
        <v>0</v>
      </c>
      <c r="J169" s="41">
        <f t="shared" si="2"/>
        <v>0</v>
      </c>
      <c r="K169" s="41">
        <v>0</v>
      </c>
      <c r="L169" s="79" t="str">
        <f t="shared" si="3"/>
        <v/>
      </c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1"/>
      <c r="AA169" s="6">
        <f t="shared" si="4"/>
        <v>0</v>
      </c>
      <c r="AB169" s="80" t="str">
        <f>+IF(AND(D169&gt;'Indices y Outliers'!$I$144,D169&lt;&gt;""),1,"")</f>
        <v/>
      </c>
      <c r="AC169" s="80" t="str">
        <f>+IF(AND(G169&gt;'Indices y Outliers'!$I$153,G169&lt;&gt;""),1,"")</f>
        <v/>
      </c>
      <c r="AD169" s="7"/>
      <c r="AE169" s="7">
        <f t="shared" si="5"/>
        <v>0</v>
      </c>
    </row>
    <row r="170" spans="1:31" ht="15.75" customHeight="1">
      <c r="A170" s="77" t="s">
        <v>715</v>
      </c>
      <c r="B170" s="78">
        <v>0</v>
      </c>
      <c r="C170" s="78">
        <v>0</v>
      </c>
      <c r="D170" s="42" t="str">
        <f t="shared" si="0"/>
        <v/>
      </c>
      <c r="E170" s="78">
        <v>0</v>
      </c>
      <c r="F170" s="78">
        <v>0</v>
      </c>
      <c r="G170" s="42" t="str">
        <f t="shared" si="1"/>
        <v/>
      </c>
      <c r="H170" s="41">
        <v>0</v>
      </c>
      <c r="I170" s="41">
        <v>0</v>
      </c>
      <c r="J170" s="41">
        <f t="shared" si="2"/>
        <v>0</v>
      </c>
      <c r="K170" s="41">
        <v>0</v>
      </c>
      <c r="L170" s="79" t="str">
        <f t="shared" si="3"/>
        <v/>
      </c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1"/>
      <c r="AA170" s="6">
        <f t="shared" si="4"/>
        <v>0</v>
      </c>
      <c r="AB170" s="80" t="str">
        <f>+IF(AND(D170&gt;'Indices y Outliers'!$I$144,D170&lt;&gt;""),1,"")</f>
        <v/>
      </c>
      <c r="AC170" s="80" t="str">
        <f>+IF(AND(G170&gt;'Indices y Outliers'!$I$153,G170&lt;&gt;""),1,"")</f>
        <v/>
      </c>
      <c r="AD170" s="7"/>
      <c r="AE170" s="7">
        <f t="shared" si="5"/>
        <v>0</v>
      </c>
    </row>
    <row r="171" spans="1:31" ht="15.75" customHeight="1">
      <c r="A171" s="77" t="s">
        <v>718</v>
      </c>
      <c r="B171" s="78">
        <v>0</v>
      </c>
      <c r="C171" s="78">
        <v>0</v>
      </c>
      <c r="D171" s="42" t="str">
        <f t="shared" si="0"/>
        <v/>
      </c>
      <c r="E171" s="78">
        <v>0</v>
      </c>
      <c r="F171" s="78">
        <v>0</v>
      </c>
      <c r="G171" s="42" t="str">
        <f t="shared" si="1"/>
        <v/>
      </c>
      <c r="H171" s="41">
        <v>0</v>
      </c>
      <c r="I171" s="41">
        <v>0</v>
      </c>
      <c r="J171" s="41">
        <f t="shared" si="2"/>
        <v>0</v>
      </c>
      <c r="K171" s="41">
        <v>0</v>
      </c>
      <c r="L171" s="79" t="str">
        <f t="shared" si="3"/>
        <v/>
      </c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1"/>
      <c r="AA171" s="6">
        <f t="shared" si="4"/>
        <v>0</v>
      </c>
      <c r="AB171" s="80" t="str">
        <f>+IF(AND(D171&gt;'Indices y Outliers'!$I$144,D171&lt;&gt;""),1,"")</f>
        <v/>
      </c>
      <c r="AC171" s="80" t="str">
        <f>+IF(AND(G171&gt;'Indices y Outliers'!$I$153,G171&lt;&gt;""),1,"")</f>
        <v/>
      </c>
      <c r="AD171" s="7"/>
      <c r="AE171" s="7">
        <f t="shared" si="5"/>
        <v>0</v>
      </c>
    </row>
    <row r="172" spans="1:31" ht="15.75" customHeight="1">
      <c r="A172" s="77" t="s">
        <v>721</v>
      </c>
      <c r="B172" s="78">
        <v>0</v>
      </c>
      <c r="C172" s="78">
        <v>0</v>
      </c>
      <c r="D172" s="42" t="str">
        <f t="shared" si="0"/>
        <v/>
      </c>
      <c r="E172" s="78">
        <v>0</v>
      </c>
      <c r="F172" s="78">
        <v>0</v>
      </c>
      <c r="G172" s="42" t="str">
        <f t="shared" si="1"/>
        <v/>
      </c>
      <c r="H172" s="41">
        <v>0</v>
      </c>
      <c r="I172" s="41">
        <v>0</v>
      </c>
      <c r="J172" s="41">
        <f t="shared" si="2"/>
        <v>0</v>
      </c>
      <c r="K172" s="41">
        <v>0</v>
      </c>
      <c r="L172" s="79" t="str">
        <f t="shared" si="3"/>
        <v/>
      </c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1"/>
      <c r="AA172" s="6">
        <f t="shared" si="4"/>
        <v>0</v>
      </c>
      <c r="AB172" s="80" t="str">
        <f>+IF(AND(D172&gt;'Indices y Outliers'!$I$144,D172&lt;&gt;""),1,"")</f>
        <v/>
      </c>
      <c r="AC172" s="80" t="str">
        <f>+IF(AND(G172&gt;'Indices y Outliers'!$I$153,G172&lt;&gt;""),1,"")</f>
        <v/>
      </c>
      <c r="AD172" s="7"/>
      <c r="AE172" s="7">
        <f t="shared" si="5"/>
        <v>0</v>
      </c>
    </row>
    <row r="173" spans="1:31" ht="15.75" customHeight="1">
      <c r="A173" s="77" t="s">
        <v>724</v>
      </c>
      <c r="B173" s="78">
        <v>0</v>
      </c>
      <c r="C173" s="78">
        <v>0</v>
      </c>
      <c r="D173" s="42" t="str">
        <f t="shared" si="0"/>
        <v/>
      </c>
      <c r="E173" s="78">
        <v>0</v>
      </c>
      <c r="F173" s="78">
        <v>0</v>
      </c>
      <c r="G173" s="42" t="str">
        <f t="shared" si="1"/>
        <v/>
      </c>
      <c r="H173" s="41">
        <v>0</v>
      </c>
      <c r="I173" s="41">
        <v>0</v>
      </c>
      <c r="J173" s="41">
        <f t="shared" si="2"/>
        <v>0</v>
      </c>
      <c r="K173" s="41">
        <v>0</v>
      </c>
      <c r="L173" s="79" t="str">
        <f t="shared" si="3"/>
        <v/>
      </c>
      <c r="M173" s="80"/>
      <c r="N173" s="80"/>
      <c r="O173" s="80"/>
      <c r="P173" s="80"/>
      <c r="Q173" s="80"/>
      <c r="R173" s="82"/>
      <c r="S173" s="82" t="s">
        <v>1353</v>
      </c>
      <c r="T173" s="80"/>
      <c r="U173" s="80"/>
      <c r="V173" s="80"/>
      <c r="W173" s="80"/>
      <c r="X173" s="80"/>
      <c r="Y173" s="80"/>
      <c r="Z173" s="81"/>
      <c r="AA173" s="6">
        <f t="shared" si="4"/>
        <v>0</v>
      </c>
      <c r="AB173" s="80" t="str">
        <f>+IF(AND(D173&gt;'Indices y Outliers'!$I$144,D173&lt;&gt;""),1,"")</f>
        <v/>
      </c>
      <c r="AC173" s="80" t="str">
        <f>+IF(AND(G173&gt;'Indices y Outliers'!$I$153,G173&lt;&gt;""),1,"")</f>
        <v/>
      </c>
      <c r="AD173" s="7"/>
      <c r="AE173" s="7">
        <f t="shared" si="5"/>
        <v>0</v>
      </c>
    </row>
    <row r="174" spans="1:31" ht="15.75" customHeight="1">
      <c r="A174" s="77" t="s">
        <v>727</v>
      </c>
      <c r="B174" s="78">
        <v>0</v>
      </c>
      <c r="C174" s="78">
        <v>0</v>
      </c>
      <c r="D174" s="42" t="str">
        <f t="shared" si="0"/>
        <v/>
      </c>
      <c r="E174" s="78">
        <v>0</v>
      </c>
      <c r="F174" s="78">
        <v>0</v>
      </c>
      <c r="G174" s="42" t="str">
        <f t="shared" si="1"/>
        <v/>
      </c>
      <c r="H174" s="41">
        <v>0</v>
      </c>
      <c r="I174" s="41">
        <v>0</v>
      </c>
      <c r="J174" s="41">
        <f t="shared" si="2"/>
        <v>0</v>
      </c>
      <c r="K174" s="41">
        <v>0</v>
      </c>
      <c r="L174" s="79" t="str">
        <f t="shared" si="3"/>
        <v/>
      </c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1"/>
      <c r="AA174" s="6">
        <f t="shared" si="4"/>
        <v>0</v>
      </c>
      <c r="AB174" s="80" t="str">
        <f>+IF(AND(D174&gt;'Indices y Outliers'!$I$144,D174&lt;&gt;""),1,"")</f>
        <v/>
      </c>
      <c r="AC174" s="80" t="str">
        <f>+IF(AND(G174&gt;'Indices y Outliers'!$I$153,G174&lt;&gt;""),1,"")</f>
        <v/>
      </c>
      <c r="AD174" s="7"/>
      <c r="AE174" s="7">
        <f t="shared" si="5"/>
        <v>0</v>
      </c>
    </row>
    <row r="175" spans="1:31" ht="15.75" customHeight="1">
      <c r="A175" s="77" t="s">
        <v>730</v>
      </c>
      <c r="B175" s="78">
        <v>0</v>
      </c>
      <c r="C175" s="78">
        <v>0</v>
      </c>
      <c r="D175" s="42" t="str">
        <f t="shared" si="0"/>
        <v/>
      </c>
      <c r="E175" s="78">
        <v>0</v>
      </c>
      <c r="F175" s="78">
        <v>0</v>
      </c>
      <c r="G175" s="42" t="str">
        <f t="shared" si="1"/>
        <v/>
      </c>
      <c r="H175" s="41">
        <v>0</v>
      </c>
      <c r="I175" s="41">
        <v>0</v>
      </c>
      <c r="J175" s="41">
        <f t="shared" si="2"/>
        <v>0</v>
      </c>
      <c r="K175" s="41">
        <v>0</v>
      </c>
      <c r="L175" s="79" t="str">
        <f t="shared" si="3"/>
        <v/>
      </c>
      <c r="M175" s="80"/>
      <c r="N175" s="80"/>
      <c r="O175" s="80"/>
      <c r="P175" s="80"/>
      <c r="Q175" s="80"/>
      <c r="R175" s="82"/>
      <c r="S175" s="82" t="s">
        <v>1353</v>
      </c>
      <c r="T175" s="82" t="s">
        <v>1353</v>
      </c>
      <c r="U175" s="82" t="s">
        <v>1353</v>
      </c>
      <c r="V175" s="80"/>
      <c r="W175" s="80"/>
      <c r="X175" s="82" t="s">
        <v>1353</v>
      </c>
      <c r="Y175" s="80"/>
      <c r="Z175" s="81"/>
      <c r="AA175" s="6">
        <f t="shared" si="4"/>
        <v>0</v>
      </c>
      <c r="AB175" s="80" t="str">
        <f>+IF(AND(D175&gt;'Indices y Outliers'!$I$144,D175&lt;&gt;""),1,"")</f>
        <v/>
      </c>
      <c r="AC175" s="80" t="str">
        <f>+IF(AND(G175&gt;'Indices y Outliers'!$I$153,G175&lt;&gt;""),1,"")</f>
        <v/>
      </c>
      <c r="AD175" s="7"/>
      <c r="AE175" s="7">
        <f t="shared" si="5"/>
        <v>0</v>
      </c>
    </row>
    <row r="176" spans="1:31" ht="15.75" customHeight="1">
      <c r="A176" s="77" t="s">
        <v>733</v>
      </c>
      <c r="B176" s="78">
        <v>0</v>
      </c>
      <c r="C176" s="78">
        <v>0</v>
      </c>
      <c r="D176" s="42" t="str">
        <f t="shared" si="0"/>
        <v/>
      </c>
      <c r="E176" s="78">
        <v>0</v>
      </c>
      <c r="F176" s="78">
        <v>0</v>
      </c>
      <c r="G176" s="42" t="str">
        <f t="shared" si="1"/>
        <v/>
      </c>
      <c r="H176" s="41">
        <v>0</v>
      </c>
      <c r="I176" s="41">
        <v>1</v>
      </c>
      <c r="J176" s="41">
        <f t="shared" si="2"/>
        <v>1</v>
      </c>
      <c r="K176" s="41">
        <v>1</v>
      </c>
      <c r="L176" s="79">
        <f t="shared" si="3"/>
        <v>1</v>
      </c>
      <c r="M176" s="82">
        <v>1</v>
      </c>
      <c r="N176" s="80"/>
      <c r="O176" s="82">
        <v>1</v>
      </c>
      <c r="P176" s="80"/>
      <c r="Q176" s="80"/>
      <c r="R176" s="82"/>
      <c r="S176" s="82" t="s">
        <v>1353</v>
      </c>
      <c r="T176" s="82" t="s">
        <v>1353</v>
      </c>
      <c r="U176" s="82" t="s">
        <v>1353</v>
      </c>
      <c r="V176" s="82" t="s">
        <v>1353</v>
      </c>
      <c r="W176" s="80"/>
      <c r="X176" s="82" t="s">
        <v>1353</v>
      </c>
      <c r="Y176" s="80"/>
      <c r="Z176" s="81"/>
      <c r="AA176" s="6">
        <f t="shared" si="4"/>
        <v>0</v>
      </c>
      <c r="AB176" s="80" t="str">
        <f>+IF(AND(D176&gt;'Indices y Outliers'!$I$144,D176&lt;&gt;""),1,"")</f>
        <v/>
      </c>
      <c r="AC176" s="80" t="str">
        <f>+IF(AND(G176&gt;'Indices y Outliers'!$I$153,G176&lt;&gt;""),1,"")</f>
        <v/>
      </c>
      <c r="AD176" s="7"/>
      <c r="AE176" s="7">
        <f t="shared" si="5"/>
        <v>0</v>
      </c>
    </row>
    <row r="177" spans="1:31" ht="15.75" customHeight="1">
      <c r="A177" s="77" t="s">
        <v>736</v>
      </c>
      <c r="B177" s="78">
        <v>0</v>
      </c>
      <c r="C177" s="78">
        <v>0</v>
      </c>
      <c r="D177" s="42" t="str">
        <f t="shared" si="0"/>
        <v/>
      </c>
      <c r="E177" s="78">
        <v>0</v>
      </c>
      <c r="F177" s="78">
        <v>0</v>
      </c>
      <c r="G177" s="42" t="str">
        <f t="shared" si="1"/>
        <v/>
      </c>
      <c r="H177" s="41">
        <v>0</v>
      </c>
      <c r="I177" s="41">
        <v>0</v>
      </c>
      <c r="J177" s="41">
        <f t="shared" si="2"/>
        <v>0</v>
      </c>
      <c r="K177" s="41">
        <v>0</v>
      </c>
      <c r="L177" s="79" t="str">
        <f t="shared" si="3"/>
        <v/>
      </c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1"/>
      <c r="AA177" s="6">
        <f t="shared" si="4"/>
        <v>0</v>
      </c>
      <c r="AB177" s="80" t="str">
        <f>+IF(AND(D177&gt;'Indices y Outliers'!$I$144,D177&lt;&gt;""),1,"")</f>
        <v/>
      </c>
      <c r="AC177" s="80" t="str">
        <f>+IF(AND(G177&gt;'Indices y Outliers'!$I$153,G177&lt;&gt;""),1,"")</f>
        <v/>
      </c>
      <c r="AD177" s="7"/>
      <c r="AE177" s="7">
        <f t="shared" si="5"/>
        <v>0</v>
      </c>
    </row>
    <row r="178" spans="1:31" ht="15.75" customHeight="1">
      <c r="A178" s="77" t="s">
        <v>739</v>
      </c>
      <c r="B178" s="78">
        <v>113.9</v>
      </c>
      <c r="C178" s="78">
        <v>0</v>
      </c>
      <c r="D178" s="42">
        <f t="shared" si="0"/>
        <v>113.9</v>
      </c>
      <c r="E178" s="78">
        <v>1.33</v>
      </c>
      <c r="F178" s="78">
        <v>0</v>
      </c>
      <c r="G178" s="42">
        <f t="shared" si="1"/>
        <v>1.33</v>
      </c>
      <c r="H178" s="41">
        <v>0</v>
      </c>
      <c r="I178" s="41">
        <v>337644</v>
      </c>
      <c r="J178" s="41">
        <f t="shared" si="2"/>
        <v>337644</v>
      </c>
      <c r="K178" s="41">
        <v>337903</v>
      </c>
      <c r="L178" s="79">
        <f t="shared" si="3"/>
        <v>0.99923350784100762</v>
      </c>
      <c r="M178" s="82">
        <v>1</v>
      </c>
      <c r="N178" s="82">
        <v>1</v>
      </c>
      <c r="O178" s="82">
        <v>1</v>
      </c>
      <c r="P178" s="82">
        <v>1</v>
      </c>
      <c r="Q178" s="80"/>
      <c r="R178" s="82">
        <v>1</v>
      </c>
      <c r="S178" s="82" t="s">
        <v>1353</v>
      </c>
      <c r="T178" s="82" t="s">
        <v>1353</v>
      </c>
      <c r="U178" s="82" t="s">
        <v>1353</v>
      </c>
      <c r="V178" s="82" t="s">
        <v>1353</v>
      </c>
      <c r="W178" s="82" t="s">
        <v>1354</v>
      </c>
      <c r="X178" s="82" t="s">
        <v>1353</v>
      </c>
      <c r="Y178" s="80"/>
      <c r="Z178" s="81"/>
      <c r="AA178" s="6">
        <f t="shared" si="4"/>
        <v>2</v>
      </c>
      <c r="AB178" s="80" t="str">
        <f>+IF(AND(D178&gt;'Indices y Outliers'!$I$144,D178&lt;&gt;""),1,"")</f>
        <v/>
      </c>
      <c r="AC178" s="80" t="str">
        <f>+IF(AND(G178&gt;'Indices y Outliers'!$I$153,G178&lt;&gt;""),1,"")</f>
        <v/>
      </c>
      <c r="AD178" s="7"/>
      <c r="AE178" s="7">
        <f t="shared" si="5"/>
        <v>0</v>
      </c>
    </row>
    <row r="179" spans="1:31" ht="15.75" customHeight="1">
      <c r="A179" s="77" t="s">
        <v>742</v>
      </c>
      <c r="B179" s="78">
        <v>0</v>
      </c>
      <c r="C179" s="78">
        <v>0</v>
      </c>
      <c r="D179" s="42" t="str">
        <f t="shared" si="0"/>
        <v/>
      </c>
      <c r="E179" s="78">
        <v>0</v>
      </c>
      <c r="F179" s="78">
        <v>0</v>
      </c>
      <c r="G179" s="42" t="str">
        <f t="shared" si="1"/>
        <v/>
      </c>
      <c r="H179" s="41">
        <v>0</v>
      </c>
      <c r="I179" s="41">
        <v>0</v>
      </c>
      <c r="J179" s="41">
        <f t="shared" si="2"/>
        <v>0</v>
      </c>
      <c r="K179" s="41">
        <v>0</v>
      </c>
      <c r="L179" s="79" t="str">
        <f t="shared" si="3"/>
        <v/>
      </c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1"/>
      <c r="AA179" s="6">
        <f t="shared" si="4"/>
        <v>0</v>
      </c>
      <c r="AB179" s="80" t="str">
        <f>+IF(AND(D179&gt;'Indices y Outliers'!$I$144,D179&lt;&gt;""),1,"")</f>
        <v/>
      </c>
      <c r="AC179" s="80" t="str">
        <f>+IF(AND(G179&gt;'Indices y Outliers'!$I$153,G179&lt;&gt;""),1,"")</f>
        <v/>
      </c>
      <c r="AD179" s="7"/>
      <c r="AE179" s="7">
        <f t="shared" si="5"/>
        <v>0</v>
      </c>
    </row>
    <row r="180" spans="1:31" ht="15.75" customHeight="1">
      <c r="A180" s="77" t="s">
        <v>745</v>
      </c>
      <c r="B180" s="78">
        <v>0</v>
      </c>
      <c r="C180" s="78">
        <v>0</v>
      </c>
      <c r="D180" s="42" t="str">
        <f t="shared" si="0"/>
        <v/>
      </c>
      <c r="E180" s="78">
        <v>0</v>
      </c>
      <c r="F180" s="78">
        <v>0</v>
      </c>
      <c r="G180" s="42" t="str">
        <f t="shared" si="1"/>
        <v/>
      </c>
      <c r="H180" s="41">
        <v>0</v>
      </c>
      <c r="I180" s="41">
        <v>0</v>
      </c>
      <c r="J180" s="41">
        <f t="shared" si="2"/>
        <v>0</v>
      </c>
      <c r="K180" s="41">
        <v>0</v>
      </c>
      <c r="L180" s="79" t="str">
        <f t="shared" si="3"/>
        <v/>
      </c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1"/>
      <c r="AA180" s="6">
        <f t="shared" si="4"/>
        <v>0</v>
      </c>
      <c r="AB180" s="80" t="str">
        <f>+IF(AND(D180&gt;'Indices y Outliers'!$I$144,D180&lt;&gt;""),1,"")</f>
        <v/>
      </c>
      <c r="AC180" s="80" t="str">
        <f>+IF(AND(G180&gt;'Indices y Outliers'!$I$153,G180&lt;&gt;""),1,"")</f>
        <v/>
      </c>
      <c r="AD180" s="7"/>
      <c r="AE180" s="7">
        <f t="shared" si="5"/>
        <v>0</v>
      </c>
    </row>
    <row r="181" spans="1:31" ht="15.75" customHeight="1">
      <c r="A181" s="77" t="s">
        <v>748</v>
      </c>
      <c r="B181" s="78">
        <v>0</v>
      </c>
      <c r="C181" s="78">
        <v>0</v>
      </c>
      <c r="D181" s="42" t="str">
        <f t="shared" si="0"/>
        <v/>
      </c>
      <c r="E181" s="78">
        <v>0</v>
      </c>
      <c r="F181" s="78">
        <v>0</v>
      </c>
      <c r="G181" s="42" t="str">
        <f t="shared" si="1"/>
        <v/>
      </c>
      <c r="H181" s="41">
        <v>0</v>
      </c>
      <c r="I181" s="41">
        <v>0</v>
      </c>
      <c r="J181" s="41">
        <f t="shared" si="2"/>
        <v>0</v>
      </c>
      <c r="K181" s="41">
        <v>0</v>
      </c>
      <c r="L181" s="79" t="str">
        <f t="shared" si="3"/>
        <v/>
      </c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1"/>
      <c r="AA181" s="6">
        <f t="shared" si="4"/>
        <v>0</v>
      </c>
      <c r="AB181" s="80" t="str">
        <f>+IF(AND(D181&gt;'Indices y Outliers'!$I$144,D181&lt;&gt;""),1,"")</f>
        <v/>
      </c>
      <c r="AC181" s="80" t="str">
        <f>+IF(AND(G181&gt;'Indices y Outliers'!$I$153,G181&lt;&gt;""),1,"")</f>
        <v/>
      </c>
      <c r="AD181" s="7"/>
      <c r="AE181" s="7">
        <f t="shared" si="5"/>
        <v>0</v>
      </c>
    </row>
    <row r="182" spans="1:31" ht="15.75" customHeight="1">
      <c r="A182" s="77" t="s">
        <v>751</v>
      </c>
      <c r="B182" s="78">
        <v>246.6</v>
      </c>
      <c r="C182" s="78">
        <v>0</v>
      </c>
      <c r="D182" s="42">
        <f t="shared" si="0"/>
        <v>246.6</v>
      </c>
      <c r="E182" s="78">
        <v>3.1589999999999998</v>
      </c>
      <c r="F182" s="78">
        <v>0</v>
      </c>
      <c r="G182" s="42">
        <f t="shared" si="1"/>
        <v>3.1589999999999998</v>
      </c>
      <c r="H182" s="41">
        <v>1228</v>
      </c>
      <c r="I182" s="41">
        <v>1392108</v>
      </c>
      <c r="J182" s="41">
        <f t="shared" si="2"/>
        <v>1393336</v>
      </c>
      <c r="K182" s="41">
        <v>1398932</v>
      </c>
      <c r="L182" s="79">
        <f t="shared" si="3"/>
        <v>0.99599980556596035</v>
      </c>
      <c r="M182" s="82">
        <v>1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 t="s">
        <v>1353</v>
      </c>
      <c r="T182" s="82" t="s">
        <v>1353</v>
      </c>
      <c r="U182" s="82" t="s">
        <v>1353</v>
      </c>
      <c r="V182" s="82" t="s">
        <v>1353</v>
      </c>
      <c r="W182" s="82" t="s">
        <v>1353</v>
      </c>
      <c r="X182" s="80"/>
      <c r="Y182" s="80"/>
      <c r="Z182" s="81"/>
      <c r="AA182" s="6">
        <f t="shared" si="4"/>
        <v>2</v>
      </c>
      <c r="AB182" s="80" t="str">
        <f>+IF(AND(D182&gt;'Indices y Outliers'!$I$144,D182&lt;&gt;""),1,"")</f>
        <v/>
      </c>
      <c r="AC182" s="80" t="str">
        <f>+IF(AND(G182&gt;'Indices y Outliers'!$I$153,G182&lt;&gt;""),1,"")</f>
        <v/>
      </c>
      <c r="AD182" s="7"/>
      <c r="AE182" s="7">
        <f t="shared" si="5"/>
        <v>0</v>
      </c>
    </row>
    <row r="183" spans="1:31" ht="15.75" customHeight="1">
      <c r="A183" s="77" t="s">
        <v>754</v>
      </c>
      <c r="B183" s="78">
        <v>0</v>
      </c>
      <c r="C183" s="78">
        <v>0</v>
      </c>
      <c r="D183" s="42" t="str">
        <f t="shared" si="0"/>
        <v/>
      </c>
      <c r="E183" s="78">
        <v>0</v>
      </c>
      <c r="F183" s="78">
        <v>0</v>
      </c>
      <c r="G183" s="42" t="str">
        <f t="shared" si="1"/>
        <v/>
      </c>
      <c r="H183" s="41">
        <v>0</v>
      </c>
      <c r="I183" s="41">
        <v>0</v>
      </c>
      <c r="J183" s="41">
        <f t="shared" si="2"/>
        <v>0</v>
      </c>
      <c r="K183" s="41">
        <v>0</v>
      </c>
      <c r="L183" s="79" t="str">
        <f t="shared" si="3"/>
        <v/>
      </c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1"/>
      <c r="AA183" s="6">
        <f t="shared" si="4"/>
        <v>0</v>
      </c>
      <c r="AB183" s="80" t="str">
        <f>+IF(AND(D183&gt;'Indices y Outliers'!$I$144,D183&lt;&gt;""),1,"")</f>
        <v/>
      </c>
      <c r="AC183" s="80" t="str">
        <f>+IF(AND(G183&gt;'Indices y Outliers'!$I$153,G183&lt;&gt;""),1,"")</f>
        <v/>
      </c>
      <c r="AD183" s="7"/>
      <c r="AE183" s="7">
        <f t="shared" si="5"/>
        <v>0</v>
      </c>
    </row>
    <row r="184" spans="1:31" ht="15.75" customHeight="1">
      <c r="A184" s="77" t="s">
        <v>757</v>
      </c>
      <c r="B184" s="78">
        <v>0</v>
      </c>
      <c r="C184" s="78">
        <v>0</v>
      </c>
      <c r="D184" s="42" t="str">
        <f t="shared" si="0"/>
        <v/>
      </c>
      <c r="E184" s="78">
        <v>0</v>
      </c>
      <c r="F184" s="78">
        <v>0</v>
      </c>
      <c r="G184" s="42" t="str">
        <f t="shared" si="1"/>
        <v/>
      </c>
      <c r="H184" s="41">
        <v>0</v>
      </c>
      <c r="I184" s="41">
        <v>0</v>
      </c>
      <c r="J184" s="41">
        <f t="shared" si="2"/>
        <v>0</v>
      </c>
      <c r="K184" s="41">
        <v>0</v>
      </c>
      <c r="L184" s="79" t="str">
        <f t="shared" si="3"/>
        <v/>
      </c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1"/>
      <c r="AA184" s="6">
        <f t="shared" si="4"/>
        <v>0</v>
      </c>
      <c r="AB184" s="80" t="str">
        <f>+IF(AND(D184&gt;'Indices y Outliers'!$I$144,D184&lt;&gt;""),1,"")</f>
        <v/>
      </c>
      <c r="AC184" s="80" t="str">
        <f>+IF(AND(G184&gt;'Indices y Outliers'!$I$153,G184&lt;&gt;""),1,"")</f>
        <v/>
      </c>
      <c r="AD184" s="7"/>
      <c r="AE184" s="7">
        <f t="shared" si="5"/>
        <v>0</v>
      </c>
    </row>
    <row r="185" spans="1:31" ht="15.75" customHeight="1">
      <c r="A185" s="77" t="s">
        <v>760</v>
      </c>
      <c r="B185" s="78">
        <v>0</v>
      </c>
      <c r="C185" s="78">
        <v>0</v>
      </c>
      <c r="D185" s="42" t="str">
        <f t="shared" si="0"/>
        <v/>
      </c>
      <c r="E185" s="78">
        <v>0</v>
      </c>
      <c r="F185" s="78">
        <v>0</v>
      </c>
      <c r="G185" s="42" t="str">
        <f t="shared" si="1"/>
        <v/>
      </c>
      <c r="H185" s="41">
        <v>0</v>
      </c>
      <c r="I185" s="41">
        <v>0</v>
      </c>
      <c r="J185" s="41">
        <f t="shared" si="2"/>
        <v>0</v>
      </c>
      <c r="K185" s="41">
        <v>0</v>
      </c>
      <c r="L185" s="79" t="str">
        <f t="shared" si="3"/>
        <v/>
      </c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1"/>
      <c r="AA185" s="6">
        <f t="shared" si="4"/>
        <v>0</v>
      </c>
      <c r="AB185" s="80" t="str">
        <f>+IF(AND(D185&gt;'Indices y Outliers'!$I$144,D185&lt;&gt;""),1,"")</f>
        <v/>
      </c>
      <c r="AC185" s="80" t="str">
        <f>+IF(AND(G185&gt;'Indices y Outliers'!$I$153,G185&lt;&gt;""),1,"")</f>
        <v/>
      </c>
      <c r="AD185" s="7"/>
      <c r="AE185" s="7">
        <f t="shared" si="5"/>
        <v>0</v>
      </c>
    </row>
    <row r="186" spans="1:31" ht="15.75" customHeight="1">
      <c r="A186" s="77" t="s">
        <v>763</v>
      </c>
      <c r="B186" s="78">
        <v>0</v>
      </c>
      <c r="C186" s="78">
        <v>0</v>
      </c>
      <c r="D186" s="42" t="str">
        <f t="shared" si="0"/>
        <v/>
      </c>
      <c r="E186" s="78">
        <v>0</v>
      </c>
      <c r="F186" s="78">
        <v>0</v>
      </c>
      <c r="G186" s="42" t="str">
        <f t="shared" si="1"/>
        <v/>
      </c>
      <c r="H186" s="41">
        <v>0</v>
      </c>
      <c r="I186" s="41">
        <v>0</v>
      </c>
      <c r="J186" s="41">
        <f t="shared" si="2"/>
        <v>0</v>
      </c>
      <c r="K186" s="41">
        <v>0</v>
      </c>
      <c r="L186" s="79" t="str">
        <f t="shared" si="3"/>
        <v/>
      </c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1"/>
      <c r="AA186" s="6">
        <f t="shared" si="4"/>
        <v>0</v>
      </c>
      <c r="AB186" s="80" t="str">
        <f>+IF(AND(D186&gt;'Indices y Outliers'!$I$144,D186&lt;&gt;""),1,"")</f>
        <v/>
      </c>
      <c r="AC186" s="80" t="str">
        <f>+IF(AND(G186&gt;'Indices y Outliers'!$I$153,G186&lt;&gt;""),1,"")</f>
        <v/>
      </c>
      <c r="AD186" s="7"/>
      <c r="AE186" s="7">
        <f t="shared" si="5"/>
        <v>0</v>
      </c>
    </row>
    <row r="187" spans="1:31" ht="15.75" customHeight="1">
      <c r="A187" s="77" t="s">
        <v>766</v>
      </c>
      <c r="B187" s="78">
        <v>239</v>
      </c>
      <c r="C187" s="78">
        <v>0</v>
      </c>
      <c r="D187" s="42">
        <f t="shared" si="0"/>
        <v>239</v>
      </c>
      <c r="E187" s="78">
        <v>2.15</v>
      </c>
      <c r="F187" s="78">
        <v>0</v>
      </c>
      <c r="G187" s="42">
        <f t="shared" si="1"/>
        <v>2.15</v>
      </c>
      <c r="H187" s="41">
        <v>24418</v>
      </c>
      <c r="I187" s="41">
        <v>13246</v>
      </c>
      <c r="J187" s="41">
        <f t="shared" si="2"/>
        <v>37664</v>
      </c>
      <c r="K187" s="41">
        <v>37676</v>
      </c>
      <c r="L187" s="79">
        <f t="shared" si="3"/>
        <v>0.99968149485083346</v>
      </c>
      <c r="M187" s="82">
        <v>1</v>
      </c>
      <c r="N187" s="82">
        <v>1</v>
      </c>
      <c r="O187" s="82">
        <v>1</v>
      </c>
      <c r="P187" s="82">
        <v>1</v>
      </c>
      <c r="Q187" s="80"/>
      <c r="R187" s="82">
        <v>1</v>
      </c>
      <c r="S187" s="82" t="s">
        <v>1353</v>
      </c>
      <c r="T187" s="80"/>
      <c r="U187" s="82" t="s">
        <v>1353</v>
      </c>
      <c r="V187" s="82" t="s">
        <v>1353</v>
      </c>
      <c r="W187" s="82" t="s">
        <v>1353</v>
      </c>
      <c r="X187" s="82" t="s">
        <v>1353</v>
      </c>
      <c r="Y187" s="82" t="s">
        <v>1353</v>
      </c>
      <c r="Z187" s="81"/>
      <c r="AA187" s="6">
        <f t="shared" si="4"/>
        <v>2</v>
      </c>
      <c r="AB187" s="80" t="str">
        <f>+IF(AND(D187&gt;'Indices y Outliers'!$I$144,D187&lt;&gt;""),1,"")</f>
        <v/>
      </c>
      <c r="AC187" s="80" t="str">
        <f>+IF(AND(G187&gt;'Indices y Outliers'!$I$153,G187&lt;&gt;""),1,"")</f>
        <v/>
      </c>
      <c r="AD187" s="7"/>
      <c r="AE187" s="7">
        <f t="shared" si="5"/>
        <v>0</v>
      </c>
    </row>
    <row r="188" spans="1:31" ht="15.75" customHeight="1">
      <c r="A188" s="77" t="s">
        <v>769</v>
      </c>
      <c r="B188" s="78">
        <v>0</v>
      </c>
      <c r="C188" s="78">
        <v>0</v>
      </c>
      <c r="D188" s="42" t="str">
        <f t="shared" si="0"/>
        <v/>
      </c>
      <c r="E188" s="78">
        <v>0</v>
      </c>
      <c r="F188" s="78">
        <v>0</v>
      </c>
      <c r="G188" s="42" t="str">
        <f t="shared" si="1"/>
        <v/>
      </c>
      <c r="H188" s="41">
        <v>0</v>
      </c>
      <c r="I188" s="41">
        <v>0</v>
      </c>
      <c r="J188" s="41">
        <f t="shared" si="2"/>
        <v>0</v>
      </c>
      <c r="K188" s="41">
        <v>0</v>
      </c>
      <c r="L188" s="79" t="str">
        <f t="shared" si="3"/>
        <v/>
      </c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1"/>
      <c r="AA188" s="6">
        <f t="shared" si="4"/>
        <v>0</v>
      </c>
      <c r="AB188" s="80" t="str">
        <f>+IF(AND(D188&gt;'Indices y Outliers'!$I$144,D188&lt;&gt;""),1,"")</f>
        <v/>
      </c>
      <c r="AC188" s="80" t="str">
        <f>+IF(AND(G188&gt;'Indices y Outliers'!$I$153,G188&lt;&gt;""),1,"")</f>
        <v/>
      </c>
      <c r="AD188" s="7"/>
      <c r="AE188" s="7">
        <f t="shared" si="5"/>
        <v>0</v>
      </c>
    </row>
    <row r="189" spans="1:31" ht="15.75" customHeight="1">
      <c r="A189" s="77" t="s">
        <v>772</v>
      </c>
      <c r="B189" s="78">
        <v>0</v>
      </c>
      <c r="C189" s="78">
        <v>0</v>
      </c>
      <c r="D189" s="42" t="str">
        <f t="shared" si="0"/>
        <v/>
      </c>
      <c r="E189" s="78">
        <v>0</v>
      </c>
      <c r="F189" s="78">
        <v>0</v>
      </c>
      <c r="G189" s="42" t="str">
        <f t="shared" si="1"/>
        <v/>
      </c>
      <c r="H189" s="41">
        <v>0</v>
      </c>
      <c r="I189" s="41">
        <v>0</v>
      </c>
      <c r="J189" s="41">
        <f t="shared" si="2"/>
        <v>0</v>
      </c>
      <c r="K189" s="41">
        <v>0</v>
      </c>
      <c r="L189" s="79" t="str">
        <f t="shared" si="3"/>
        <v/>
      </c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1"/>
      <c r="AA189" s="6">
        <f t="shared" si="4"/>
        <v>0</v>
      </c>
      <c r="AB189" s="80" t="str">
        <f>+IF(AND(D189&gt;'Indices y Outliers'!$I$144,D189&lt;&gt;""),1,"")</f>
        <v/>
      </c>
      <c r="AC189" s="80" t="str">
        <f>+IF(AND(G189&gt;'Indices y Outliers'!$I$153,G189&lt;&gt;""),1,"")</f>
        <v/>
      </c>
      <c r="AD189" s="7"/>
      <c r="AE189" s="7">
        <f t="shared" si="5"/>
        <v>0</v>
      </c>
    </row>
    <row r="190" spans="1:31" ht="15.75" customHeight="1">
      <c r="A190" s="77" t="s">
        <v>775</v>
      </c>
      <c r="B190" s="78">
        <v>0</v>
      </c>
      <c r="C190" s="78">
        <v>0</v>
      </c>
      <c r="D190" s="42" t="str">
        <f t="shared" si="0"/>
        <v/>
      </c>
      <c r="E190" s="78">
        <v>0</v>
      </c>
      <c r="F190" s="78">
        <v>0</v>
      </c>
      <c r="G190" s="42" t="str">
        <f t="shared" si="1"/>
        <v/>
      </c>
      <c r="H190" s="41">
        <v>0</v>
      </c>
      <c r="I190" s="41">
        <v>0</v>
      </c>
      <c r="J190" s="41">
        <f t="shared" si="2"/>
        <v>0</v>
      </c>
      <c r="K190" s="41">
        <v>0</v>
      </c>
      <c r="L190" s="79" t="str">
        <f t="shared" si="3"/>
        <v/>
      </c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1"/>
      <c r="AA190" s="6">
        <f t="shared" si="4"/>
        <v>0</v>
      </c>
      <c r="AB190" s="80" t="str">
        <f>+IF(AND(D190&gt;'Indices y Outliers'!$I$144,D190&lt;&gt;""),1,"")</f>
        <v/>
      </c>
      <c r="AC190" s="80" t="str">
        <f>+IF(AND(G190&gt;'Indices y Outliers'!$I$153,G190&lt;&gt;""),1,"")</f>
        <v/>
      </c>
      <c r="AD190" s="7"/>
      <c r="AE190" s="7">
        <f t="shared" si="5"/>
        <v>0</v>
      </c>
    </row>
    <row r="191" spans="1:31" ht="15.75" customHeight="1">
      <c r="A191" s="77" t="s">
        <v>778</v>
      </c>
      <c r="B191" s="78">
        <v>0</v>
      </c>
      <c r="C191" s="78">
        <v>0</v>
      </c>
      <c r="D191" s="42" t="str">
        <f t="shared" si="0"/>
        <v/>
      </c>
      <c r="E191" s="78">
        <v>0</v>
      </c>
      <c r="F191" s="78">
        <v>0</v>
      </c>
      <c r="G191" s="42" t="str">
        <f t="shared" si="1"/>
        <v/>
      </c>
      <c r="H191" s="41">
        <v>0</v>
      </c>
      <c r="I191" s="41">
        <v>0</v>
      </c>
      <c r="J191" s="41">
        <f t="shared" si="2"/>
        <v>0</v>
      </c>
      <c r="K191" s="41">
        <v>0</v>
      </c>
      <c r="L191" s="79" t="str">
        <f t="shared" si="3"/>
        <v/>
      </c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1"/>
      <c r="AA191" s="6">
        <f t="shared" si="4"/>
        <v>0</v>
      </c>
      <c r="AB191" s="80" t="str">
        <f>+IF(AND(D191&gt;'Indices y Outliers'!$I$144,D191&lt;&gt;""),1,"")</f>
        <v/>
      </c>
      <c r="AC191" s="80" t="str">
        <f>+IF(AND(G191&gt;'Indices y Outliers'!$I$153,G191&lt;&gt;""),1,"")</f>
        <v/>
      </c>
      <c r="AD191" s="7"/>
      <c r="AE191" s="7">
        <f t="shared" si="5"/>
        <v>0</v>
      </c>
    </row>
    <row r="192" spans="1:31" ht="15.75" customHeight="1">
      <c r="A192" s="77" t="s">
        <v>781</v>
      </c>
      <c r="B192" s="78">
        <v>0</v>
      </c>
      <c r="C192" s="78">
        <v>0</v>
      </c>
      <c r="D192" s="42" t="str">
        <f t="shared" si="0"/>
        <v/>
      </c>
      <c r="E192" s="78">
        <v>0</v>
      </c>
      <c r="F192" s="78">
        <v>0</v>
      </c>
      <c r="G192" s="42" t="str">
        <f t="shared" si="1"/>
        <v/>
      </c>
      <c r="H192" s="41">
        <v>0</v>
      </c>
      <c r="I192" s="41">
        <v>0</v>
      </c>
      <c r="J192" s="41">
        <f t="shared" si="2"/>
        <v>0</v>
      </c>
      <c r="K192" s="41">
        <v>0</v>
      </c>
      <c r="L192" s="79" t="str">
        <f t="shared" si="3"/>
        <v/>
      </c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1"/>
      <c r="AA192" s="6">
        <f t="shared" si="4"/>
        <v>0</v>
      </c>
      <c r="AB192" s="80" t="str">
        <f>+IF(AND(D192&gt;'Indices y Outliers'!$I$144,D192&lt;&gt;""),1,"")</f>
        <v/>
      </c>
      <c r="AC192" s="80" t="str">
        <f>+IF(AND(G192&gt;'Indices y Outliers'!$I$153,G192&lt;&gt;""),1,"")</f>
        <v/>
      </c>
      <c r="AD192" s="7"/>
      <c r="AE192" s="7">
        <f t="shared" si="5"/>
        <v>0</v>
      </c>
    </row>
    <row r="193" spans="1:31" ht="15.75" customHeight="1">
      <c r="A193" s="77" t="s">
        <v>784</v>
      </c>
      <c r="B193" s="78">
        <v>0</v>
      </c>
      <c r="C193" s="78">
        <v>0</v>
      </c>
      <c r="D193" s="42" t="str">
        <f t="shared" si="0"/>
        <v/>
      </c>
      <c r="E193" s="78">
        <v>0</v>
      </c>
      <c r="F193" s="78">
        <v>0</v>
      </c>
      <c r="G193" s="42" t="str">
        <f t="shared" si="1"/>
        <v/>
      </c>
      <c r="H193" s="41">
        <v>0</v>
      </c>
      <c r="I193" s="41">
        <v>0</v>
      </c>
      <c r="J193" s="41">
        <f t="shared" si="2"/>
        <v>0</v>
      </c>
      <c r="K193" s="41">
        <v>0</v>
      </c>
      <c r="L193" s="79" t="str">
        <f t="shared" si="3"/>
        <v/>
      </c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1"/>
      <c r="AA193" s="6">
        <f t="shared" si="4"/>
        <v>0</v>
      </c>
      <c r="AB193" s="80" t="str">
        <f>+IF(AND(D193&gt;'Indices y Outliers'!$I$144,D193&lt;&gt;""),1,"")</f>
        <v/>
      </c>
      <c r="AC193" s="80" t="str">
        <f>+IF(AND(G193&gt;'Indices y Outliers'!$I$153,G193&lt;&gt;""),1,"")</f>
        <v/>
      </c>
      <c r="AD193" s="7"/>
      <c r="AE193" s="7">
        <f t="shared" si="5"/>
        <v>0</v>
      </c>
    </row>
    <row r="194" spans="1:31" ht="15.75" customHeight="1">
      <c r="A194" s="77" t="s">
        <v>787</v>
      </c>
      <c r="B194" s="78">
        <v>0</v>
      </c>
      <c r="C194" s="78">
        <v>0</v>
      </c>
      <c r="D194" s="42" t="str">
        <f t="shared" si="0"/>
        <v/>
      </c>
      <c r="E194" s="78">
        <v>0</v>
      </c>
      <c r="F194" s="78">
        <v>0</v>
      </c>
      <c r="G194" s="42" t="str">
        <f t="shared" si="1"/>
        <v/>
      </c>
      <c r="H194" s="41">
        <v>0</v>
      </c>
      <c r="I194" s="41">
        <v>0</v>
      </c>
      <c r="J194" s="41">
        <f t="shared" si="2"/>
        <v>0</v>
      </c>
      <c r="K194" s="41">
        <v>0</v>
      </c>
      <c r="L194" s="79" t="str">
        <f t="shared" si="3"/>
        <v/>
      </c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1"/>
      <c r="AA194" s="6">
        <f t="shared" si="4"/>
        <v>0</v>
      </c>
      <c r="AB194" s="80" t="str">
        <f>+IF(AND(D194&gt;'Indices y Outliers'!$I$144,D194&lt;&gt;""),1,"")</f>
        <v/>
      </c>
      <c r="AC194" s="80" t="str">
        <f>+IF(AND(G194&gt;'Indices y Outliers'!$I$153,G194&lt;&gt;""),1,"")</f>
        <v/>
      </c>
      <c r="AD194" s="7"/>
      <c r="AE194" s="7">
        <f t="shared" si="5"/>
        <v>0</v>
      </c>
    </row>
    <row r="195" spans="1:31" ht="15.75" customHeight="1">
      <c r="A195" s="77" t="s">
        <v>790</v>
      </c>
      <c r="B195" s="78">
        <v>0</v>
      </c>
      <c r="C195" s="78">
        <v>0</v>
      </c>
      <c r="D195" s="42" t="str">
        <f t="shared" si="0"/>
        <v/>
      </c>
      <c r="E195" s="78">
        <v>0</v>
      </c>
      <c r="F195" s="78">
        <v>0</v>
      </c>
      <c r="G195" s="42" t="str">
        <f t="shared" si="1"/>
        <v/>
      </c>
      <c r="H195" s="41">
        <v>0</v>
      </c>
      <c r="I195" s="41">
        <v>0</v>
      </c>
      <c r="J195" s="41">
        <f t="shared" si="2"/>
        <v>0</v>
      </c>
      <c r="K195" s="41">
        <v>0</v>
      </c>
      <c r="L195" s="79" t="str">
        <f t="shared" si="3"/>
        <v/>
      </c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1"/>
      <c r="AA195" s="6">
        <f t="shared" si="4"/>
        <v>0</v>
      </c>
      <c r="AB195" s="80" t="str">
        <f>+IF(AND(D195&gt;'Indices y Outliers'!$I$144,D195&lt;&gt;""),1,"")</f>
        <v/>
      </c>
      <c r="AC195" s="80" t="str">
        <f>+IF(AND(G195&gt;'Indices y Outliers'!$I$153,G195&lt;&gt;""),1,"")</f>
        <v/>
      </c>
      <c r="AD195" s="7"/>
      <c r="AE195" s="7">
        <f t="shared" si="5"/>
        <v>0</v>
      </c>
    </row>
    <row r="196" spans="1:31" ht="15.75" customHeight="1">
      <c r="A196" s="77" t="s">
        <v>793</v>
      </c>
      <c r="B196" s="78">
        <v>143</v>
      </c>
      <c r="C196" s="78">
        <v>0</v>
      </c>
      <c r="D196" s="42">
        <f t="shared" si="0"/>
        <v>143</v>
      </c>
      <c r="E196" s="78">
        <v>3.0880000000000001</v>
      </c>
      <c r="F196" s="78">
        <v>0</v>
      </c>
      <c r="G196" s="42">
        <f t="shared" si="1"/>
        <v>3.0880000000000001</v>
      </c>
      <c r="H196" s="41">
        <v>4126</v>
      </c>
      <c r="I196" s="41">
        <v>318122</v>
      </c>
      <c r="J196" s="41">
        <f t="shared" si="2"/>
        <v>322248</v>
      </c>
      <c r="K196" s="41">
        <v>326075</v>
      </c>
      <c r="L196" s="79">
        <f t="shared" si="3"/>
        <v>0.98826343632599867</v>
      </c>
      <c r="M196" s="82">
        <v>1</v>
      </c>
      <c r="N196" s="82">
        <v>1</v>
      </c>
      <c r="O196" s="82">
        <v>1</v>
      </c>
      <c r="P196" s="80"/>
      <c r="Q196" s="82">
        <v>1</v>
      </c>
      <c r="R196" s="82">
        <v>1</v>
      </c>
      <c r="S196" s="82" t="s">
        <v>1353</v>
      </c>
      <c r="T196" s="82" t="s">
        <v>1353</v>
      </c>
      <c r="U196" s="82" t="s">
        <v>1353</v>
      </c>
      <c r="V196" s="82" t="s">
        <v>1353</v>
      </c>
      <c r="W196" s="82" t="s">
        <v>1353</v>
      </c>
      <c r="X196" s="80"/>
      <c r="Y196" s="80"/>
      <c r="Z196" s="81"/>
      <c r="AA196" s="6">
        <f t="shared" si="4"/>
        <v>2</v>
      </c>
      <c r="AB196" s="80" t="str">
        <f>+IF(AND(D196&gt;'Indices y Outliers'!$I$144,D196&lt;&gt;""),1,"")</f>
        <v/>
      </c>
      <c r="AC196" s="80" t="str">
        <f>+IF(AND(G196&gt;'Indices y Outliers'!$I$153,G196&lt;&gt;""),1,"")</f>
        <v/>
      </c>
      <c r="AD196" s="7"/>
      <c r="AE196" s="7">
        <f t="shared" si="5"/>
        <v>0</v>
      </c>
    </row>
    <row r="197" spans="1:31" ht="15.75" customHeight="1">
      <c r="A197" s="77" t="s">
        <v>796</v>
      </c>
      <c r="B197" s="78">
        <v>0</v>
      </c>
      <c r="C197" s="78">
        <v>0</v>
      </c>
      <c r="D197" s="42" t="str">
        <f t="shared" si="0"/>
        <v/>
      </c>
      <c r="E197" s="78">
        <v>0</v>
      </c>
      <c r="F197" s="78">
        <v>0</v>
      </c>
      <c r="G197" s="42" t="str">
        <f t="shared" si="1"/>
        <v/>
      </c>
      <c r="H197" s="41">
        <v>0</v>
      </c>
      <c r="I197" s="41">
        <v>0</v>
      </c>
      <c r="J197" s="41">
        <f t="shared" si="2"/>
        <v>0</v>
      </c>
      <c r="K197" s="41">
        <v>0</v>
      </c>
      <c r="L197" s="79" t="str">
        <f t="shared" si="3"/>
        <v/>
      </c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1"/>
      <c r="AA197" s="6">
        <f t="shared" si="4"/>
        <v>0</v>
      </c>
      <c r="AB197" s="80" t="str">
        <f>+IF(AND(D197&gt;'Indices y Outliers'!$I$144,D197&lt;&gt;""),1,"")</f>
        <v/>
      </c>
      <c r="AC197" s="80" t="str">
        <f>+IF(AND(G197&gt;'Indices y Outliers'!$I$153,G197&lt;&gt;""),1,"")</f>
        <v/>
      </c>
      <c r="AD197" s="7"/>
      <c r="AE197" s="7">
        <f t="shared" si="5"/>
        <v>0</v>
      </c>
    </row>
    <row r="198" spans="1:31" ht="15.75" customHeight="1">
      <c r="A198" s="77" t="s">
        <v>799</v>
      </c>
      <c r="B198" s="78">
        <v>0</v>
      </c>
      <c r="C198" s="78">
        <v>0</v>
      </c>
      <c r="D198" s="42" t="str">
        <f t="shared" si="0"/>
        <v/>
      </c>
      <c r="E198" s="78">
        <v>0</v>
      </c>
      <c r="F198" s="78">
        <v>0</v>
      </c>
      <c r="G198" s="42" t="str">
        <f t="shared" si="1"/>
        <v/>
      </c>
      <c r="H198" s="41">
        <v>0</v>
      </c>
      <c r="I198" s="41">
        <v>0</v>
      </c>
      <c r="J198" s="41">
        <f t="shared" si="2"/>
        <v>0</v>
      </c>
      <c r="K198" s="41">
        <v>0</v>
      </c>
      <c r="L198" s="79" t="str">
        <f t="shared" si="3"/>
        <v/>
      </c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1"/>
      <c r="AA198" s="6">
        <f t="shared" si="4"/>
        <v>0</v>
      </c>
      <c r="AB198" s="80" t="str">
        <f>+IF(AND(D198&gt;'Indices y Outliers'!$I$144,D198&lt;&gt;""),1,"")</f>
        <v/>
      </c>
      <c r="AC198" s="80" t="str">
        <f>+IF(AND(G198&gt;'Indices y Outliers'!$I$153,G198&lt;&gt;""),1,"")</f>
        <v/>
      </c>
      <c r="AD198" s="7"/>
      <c r="AE198" s="7">
        <f t="shared" si="5"/>
        <v>0</v>
      </c>
    </row>
    <row r="199" spans="1:31" ht="15.75" customHeight="1">
      <c r="A199" s="77" t="s">
        <v>802</v>
      </c>
      <c r="B199" s="78">
        <v>263.3</v>
      </c>
      <c r="C199" s="78">
        <v>0</v>
      </c>
      <c r="D199" s="42">
        <f t="shared" si="0"/>
        <v>263.3</v>
      </c>
      <c r="E199" s="78">
        <v>1.762</v>
      </c>
      <c r="F199" s="78">
        <v>0</v>
      </c>
      <c r="G199" s="42">
        <f t="shared" si="1"/>
        <v>1.762</v>
      </c>
      <c r="H199" s="41">
        <v>97</v>
      </c>
      <c r="I199" s="41">
        <v>873415</v>
      </c>
      <c r="J199" s="41">
        <f t="shared" si="2"/>
        <v>873512</v>
      </c>
      <c r="K199" s="41">
        <v>875326</v>
      </c>
      <c r="L199" s="79">
        <f t="shared" si="3"/>
        <v>0.99792762924898837</v>
      </c>
      <c r="M199" s="82">
        <v>1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 t="s">
        <v>1353</v>
      </c>
      <c r="T199" s="82" t="s">
        <v>1353</v>
      </c>
      <c r="U199" s="82" t="s">
        <v>1353</v>
      </c>
      <c r="V199" s="82" t="s">
        <v>1353</v>
      </c>
      <c r="W199" s="82" t="s">
        <v>1353</v>
      </c>
      <c r="X199" s="80"/>
      <c r="Y199" s="80"/>
      <c r="Z199" s="81"/>
      <c r="AA199" s="6">
        <f t="shared" si="4"/>
        <v>2</v>
      </c>
      <c r="AB199" s="80" t="str">
        <f>+IF(AND(D199&gt;'Indices y Outliers'!$I$144,D199&lt;&gt;""),1,"")</f>
        <v/>
      </c>
      <c r="AC199" s="80" t="str">
        <f>+IF(AND(G199&gt;'Indices y Outliers'!$I$153,G199&lt;&gt;""),1,"")</f>
        <v/>
      </c>
      <c r="AD199" s="7"/>
      <c r="AE199" s="7">
        <f t="shared" si="5"/>
        <v>0</v>
      </c>
    </row>
    <row r="200" spans="1:31" ht="15.75" customHeight="1">
      <c r="A200" s="77" t="s">
        <v>805</v>
      </c>
      <c r="B200" s="78">
        <v>281.89999999999998</v>
      </c>
      <c r="C200" s="78">
        <v>0</v>
      </c>
      <c r="D200" s="42">
        <f t="shared" si="0"/>
        <v>281.89999999999998</v>
      </c>
      <c r="E200" s="78">
        <v>2.4380000000000002</v>
      </c>
      <c r="F200" s="78">
        <v>0</v>
      </c>
      <c r="G200" s="42">
        <f t="shared" si="1"/>
        <v>2.4380000000000002</v>
      </c>
      <c r="H200" s="41">
        <v>44</v>
      </c>
      <c r="I200" s="41">
        <v>548589</v>
      </c>
      <c r="J200" s="41">
        <f t="shared" si="2"/>
        <v>548633</v>
      </c>
      <c r="K200" s="41">
        <v>549157</v>
      </c>
      <c r="L200" s="79">
        <f t="shared" si="3"/>
        <v>0.99904581021456529</v>
      </c>
      <c r="M200" s="82">
        <v>1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 t="s">
        <v>1353</v>
      </c>
      <c r="T200" s="82" t="s">
        <v>1353</v>
      </c>
      <c r="U200" s="82" t="s">
        <v>1353</v>
      </c>
      <c r="V200" s="82" t="s">
        <v>1353</v>
      </c>
      <c r="W200" s="82" t="s">
        <v>1353</v>
      </c>
      <c r="X200" s="80"/>
      <c r="Y200" s="80"/>
      <c r="Z200" s="81"/>
      <c r="AA200" s="6">
        <f t="shared" si="4"/>
        <v>2</v>
      </c>
      <c r="AB200" s="80" t="str">
        <f>+IF(AND(D200&gt;'Indices y Outliers'!$I$144,D200&lt;&gt;""),1,"")</f>
        <v/>
      </c>
      <c r="AC200" s="80" t="str">
        <f>+IF(AND(G200&gt;'Indices y Outliers'!$I$153,G200&lt;&gt;""),1,"")</f>
        <v/>
      </c>
      <c r="AD200" s="7"/>
      <c r="AE200" s="7">
        <f t="shared" si="5"/>
        <v>0</v>
      </c>
    </row>
    <row r="201" spans="1:31" ht="15.75" customHeight="1">
      <c r="A201" s="77" t="s">
        <v>808</v>
      </c>
      <c r="B201" s="78">
        <v>0</v>
      </c>
      <c r="C201" s="78">
        <v>0</v>
      </c>
      <c r="D201" s="42" t="str">
        <f t="shared" si="0"/>
        <v/>
      </c>
      <c r="E201" s="78">
        <v>0</v>
      </c>
      <c r="F201" s="78">
        <v>0</v>
      </c>
      <c r="G201" s="42" t="str">
        <f t="shared" si="1"/>
        <v/>
      </c>
      <c r="H201" s="41">
        <v>0</v>
      </c>
      <c r="I201" s="41">
        <v>0</v>
      </c>
      <c r="J201" s="41">
        <f t="shared" si="2"/>
        <v>0</v>
      </c>
      <c r="K201" s="41">
        <v>0</v>
      </c>
      <c r="L201" s="79" t="str">
        <f t="shared" si="3"/>
        <v/>
      </c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1"/>
      <c r="AA201" s="6">
        <f t="shared" si="4"/>
        <v>0</v>
      </c>
      <c r="AB201" s="80" t="str">
        <f>+IF(AND(D201&gt;'Indices y Outliers'!$I$144,D201&lt;&gt;""),1,"")</f>
        <v/>
      </c>
      <c r="AC201" s="80" t="str">
        <f>+IF(AND(G201&gt;'Indices y Outliers'!$I$153,G201&lt;&gt;""),1,"")</f>
        <v/>
      </c>
      <c r="AD201" s="7"/>
      <c r="AE201" s="7">
        <f t="shared" si="5"/>
        <v>0</v>
      </c>
    </row>
    <row r="202" spans="1:31" ht="15.75" customHeight="1">
      <c r="A202" s="77" t="s">
        <v>811</v>
      </c>
      <c r="B202" s="78">
        <v>0</v>
      </c>
      <c r="C202" s="78">
        <v>0</v>
      </c>
      <c r="D202" s="42" t="str">
        <f t="shared" si="0"/>
        <v/>
      </c>
      <c r="E202" s="78">
        <v>0</v>
      </c>
      <c r="F202" s="78">
        <v>0</v>
      </c>
      <c r="G202" s="42" t="str">
        <f t="shared" si="1"/>
        <v/>
      </c>
      <c r="H202" s="41">
        <v>0</v>
      </c>
      <c r="I202" s="41">
        <v>0</v>
      </c>
      <c r="J202" s="41">
        <f t="shared" si="2"/>
        <v>0</v>
      </c>
      <c r="K202" s="41">
        <v>0</v>
      </c>
      <c r="L202" s="79" t="str">
        <f t="shared" si="3"/>
        <v/>
      </c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1"/>
      <c r="AA202" s="6">
        <f t="shared" si="4"/>
        <v>0</v>
      </c>
      <c r="AB202" s="80" t="str">
        <f>+IF(AND(D202&gt;'Indices y Outliers'!$I$144,D202&lt;&gt;""),1,"")</f>
        <v/>
      </c>
      <c r="AC202" s="80" t="str">
        <f>+IF(AND(G202&gt;'Indices y Outliers'!$I$153,G202&lt;&gt;""),1,"")</f>
        <v/>
      </c>
      <c r="AD202" s="7"/>
      <c r="AE202" s="7">
        <f t="shared" si="5"/>
        <v>0</v>
      </c>
    </row>
    <row r="203" spans="1:31" ht="15.75" customHeight="1">
      <c r="A203" s="77" t="s">
        <v>814</v>
      </c>
      <c r="B203" s="78">
        <v>0</v>
      </c>
      <c r="C203" s="78">
        <v>0</v>
      </c>
      <c r="D203" s="42" t="str">
        <f t="shared" si="0"/>
        <v/>
      </c>
      <c r="E203" s="78">
        <v>0</v>
      </c>
      <c r="F203" s="78">
        <v>0</v>
      </c>
      <c r="G203" s="42" t="str">
        <f t="shared" si="1"/>
        <v/>
      </c>
      <c r="H203" s="41">
        <v>0</v>
      </c>
      <c r="I203" s="41">
        <v>0</v>
      </c>
      <c r="J203" s="41">
        <f t="shared" si="2"/>
        <v>0</v>
      </c>
      <c r="K203" s="41">
        <v>0</v>
      </c>
      <c r="L203" s="79" t="str">
        <f t="shared" si="3"/>
        <v/>
      </c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1"/>
      <c r="AA203" s="6">
        <f t="shared" si="4"/>
        <v>0</v>
      </c>
      <c r="AB203" s="80" t="str">
        <f>+IF(AND(D203&gt;'Indices y Outliers'!$I$144,D203&lt;&gt;""),1,"")</f>
        <v/>
      </c>
      <c r="AC203" s="80" t="str">
        <f>+IF(AND(G203&gt;'Indices y Outliers'!$I$153,G203&lt;&gt;""),1,"")</f>
        <v/>
      </c>
      <c r="AD203" s="7"/>
      <c r="AE203" s="7">
        <f t="shared" si="5"/>
        <v>0</v>
      </c>
    </row>
    <row r="204" spans="1:31" ht="15.75" customHeight="1">
      <c r="A204" s="77" t="s">
        <v>817</v>
      </c>
      <c r="B204" s="78">
        <v>162.26</v>
      </c>
      <c r="C204" s="78">
        <v>0</v>
      </c>
      <c r="D204" s="42">
        <f t="shared" si="0"/>
        <v>162.26</v>
      </c>
      <c r="E204" s="78">
        <v>1.42</v>
      </c>
      <c r="F204" s="78">
        <v>0</v>
      </c>
      <c r="G204" s="42">
        <f t="shared" si="1"/>
        <v>1.42</v>
      </c>
      <c r="H204" s="41">
        <v>115</v>
      </c>
      <c r="I204" s="41">
        <v>0</v>
      </c>
      <c r="J204" s="41">
        <f t="shared" si="2"/>
        <v>115</v>
      </c>
      <c r="K204" s="41">
        <v>115</v>
      </c>
      <c r="L204" s="79">
        <f t="shared" si="3"/>
        <v>1</v>
      </c>
      <c r="M204" s="82">
        <v>1</v>
      </c>
      <c r="N204" s="80"/>
      <c r="O204" s="82">
        <v>1</v>
      </c>
      <c r="P204" s="80"/>
      <c r="Q204" s="82">
        <v>1</v>
      </c>
      <c r="R204" s="80"/>
      <c r="S204" s="80"/>
      <c r="T204" s="82" t="s">
        <v>1353</v>
      </c>
      <c r="U204" s="80"/>
      <c r="V204" s="82" t="s">
        <v>1353</v>
      </c>
      <c r="W204" s="80"/>
      <c r="X204" s="80"/>
      <c r="Y204" s="80"/>
      <c r="Z204" s="81"/>
      <c r="AA204" s="6">
        <f t="shared" si="4"/>
        <v>2</v>
      </c>
      <c r="AB204" s="80" t="str">
        <f>+IF(AND(D204&gt;'Indices y Outliers'!$I$144,D204&lt;&gt;""),1,"")</f>
        <v/>
      </c>
      <c r="AC204" s="80" t="str">
        <f>+IF(AND(G204&gt;'Indices y Outliers'!$I$153,G204&lt;&gt;""),1,"")</f>
        <v/>
      </c>
      <c r="AD204" s="7"/>
      <c r="AE204" s="7">
        <f t="shared" si="5"/>
        <v>0</v>
      </c>
    </row>
    <row r="205" spans="1:31" ht="15.75" customHeight="1">
      <c r="A205" s="77" t="s">
        <v>820</v>
      </c>
      <c r="B205" s="78">
        <v>0</v>
      </c>
      <c r="C205" s="78">
        <v>0</v>
      </c>
      <c r="D205" s="42" t="str">
        <f t="shared" si="0"/>
        <v/>
      </c>
      <c r="E205" s="78">
        <v>0</v>
      </c>
      <c r="F205" s="78">
        <v>0</v>
      </c>
      <c r="G205" s="42" t="str">
        <f t="shared" si="1"/>
        <v/>
      </c>
      <c r="H205" s="41">
        <v>0</v>
      </c>
      <c r="I205" s="41">
        <v>0</v>
      </c>
      <c r="J205" s="41">
        <f t="shared" si="2"/>
        <v>0</v>
      </c>
      <c r="K205" s="41">
        <v>0</v>
      </c>
      <c r="L205" s="79" t="str">
        <f t="shared" si="3"/>
        <v/>
      </c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1"/>
      <c r="AA205" s="6">
        <f t="shared" si="4"/>
        <v>0</v>
      </c>
      <c r="AB205" s="80" t="str">
        <f>+IF(AND(D205&gt;'Indices y Outliers'!$I$144,D205&lt;&gt;""),1,"")</f>
        <v/>
      </c>
      <c r="AC205" s="80" t="str">
        <f>+IF(AND(G205&gt;'Indices y Outliers'!$I$153,G205&lt;&gt;""),1,"")</f>
        <v/>
      </c>
      <c r="AD205" s="7"/>
      <c r="AE205" s="7">
        <f t="shared" si="5"/>
        <v>0</v>
      </c>
    </row>
    <row r="206" spans="1:31" ht="15.75" customHeight="1">
      <c r="A206" s="77" t="s">
        <v>823</v>
      </c>
      <c r="B206" s="78">
        <v>93.06</v>
      </c>
      <c r="C206" s="78">
        <v>0</v>
      </c>
      <c r="D206" s="42">
        <f t="shared" si="0"/>
        <v>93.06</v>
      </c>
      <c r="E206" s="78">
        <v>5.66</v>
      </c>
      <c r="F206" s="78">
        <v>0</v>
      </c>
      <c r="G206" s="42">
        <f t="shared" si="1"/>
        <v>5.66</v>
      </c>
      <c r="H206" s="41">
        <v>24920</v>
      </c>
      <c r="I206" s="41">
        <v>0</v>
      </c>
      <c r="J206" s="41">
        <f t="shared" si="2"/>
        <v>24920</v>
      </c>
      <c r="K206" s="41">
        <v>24920</v>
      </c>
      <c r="L206" s="79">
        <f t="shared" si="3"/>
        <v>1</v>
      </c>
      <c r="M206" s="82">
        <v>1</v>
      </c>
      <c r="N206" s="80"/>
      <c r="O206" s="82">
        <v>1</v>
      </c>
      <c r="P206" s="82">
        <v>1</v>
      </c>
      <c r="Q206" s="82">
        <v>1</v>
      </c>
      <c r="R206" s="82">
        <v>1</v>
      </c>
      <c r="S206" s="82" t="s">
        <v>1353</v>
      </c>
      <c r="T206" s="80"/>
      <c r="U206" s="82" t="s">
        <v>1353</v>
      </c>
      <c r="V206" s="82" t="s">
        <v>1353</v>
      </c>
      <c r="W206" s="82" t="s">
        <v>1353</v>
      </c>
      <c r="X206" s="82" t="s">
        <v>1353</v>
      </c>
      <c r="Y206" s="80"/>
      <c r="Z206" s="81"/>
      <c r="AA206" s="6">
        <f t="shared" si="4"/>
        <v>2</v>
      </c>
      <c r="AB206" s="80" t="str">
        <f>+IF(AND(D206&gt;'Indices y Outliers'!$I$144,D206&lt;&gt;""),1,"")</f>
        <v/>
      </c>
      <c r="AC206" s="80" t="str">
        <f>+IF(AND(G206&gt;'Indices y Outliers'!$I$153,G206&lt;&gt;""),1,"")</f>
        <v/>
      </c>
      <c r="AD206" s="7"/>
      <c r="AE206" s="7">
        <f t="shared" si="5"/>
        <v>0</v>
      </c>
    </row>
    <row r="207" spans="1:31" ht="15.75" customHeight="1">
      <c r="A207" s="77" t="s">
        <v>826</v>
      </c>
      <c r="B207" s="78">
        <v>0</v>
      </c>
      <c r="C207" s="78">
        <v>0</v>
      </c>
      <c r="D207" s="42" t="str">
        <f t="shared" si="0"/>
        <v/>
      </c>
      <c r="E207" s="78">
        <v>0</v>
      </c>
      <c r="F207" s="78">
        <v>0</v>
      </c>
      <c r="G207" s="42" t="str">
        <f t="shared" si="1"/>
        <v/>
      </c>
      <c r="H207" s="41">
        <v>0</v>
      </c>
      <c r="I207" s="41">
        <v>0</v>
      </c>
      <c r="J207" s="41">
        <f t="shared" si="2"/>
        <v>0</v>
      </c>
      <c r="K207" s="41">
        <v>0</v>
      </c>
      <c r="L207" s="79" t="str">
        <f t="shared" si="3"/>
        <v/>
      </c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1"/>
      <c r="AA207" s="6">
        <f t="shared" si="4"/>
        <v>0</v>
      </c>
      <c r="AB207" s="80" t="str">
        <f>+IF(AND(D207&gt;'Indices y Outliers'!$I$144,D207&lt;&gt;""),1,"")</f>
        <v/>
      </c>
      <c r="AC207" s="80" t="str">
        <f>+IF(AND(G207&gt;'Indices y Outliers'!$I$153,G207&lt;&gt;""),1,"")</f>
        <v/>
      </c>
      <c r="AD207" s="7"/>
      <c r="AE207" s="7">
        <f t="shared" si="5"/>
        <v>0</v>
      </c>
    </row>
    <row r="208" spans="1:31" ht="15.75" customHeight="1">
      <c r="A208" s="77" t="s">
        <v>829</v>
      </c>
      <c r="B208" s="78">
        <v>0</v>
      </c>
      <c r="C208" s="78">
        <v>0</v>
      </c>
      <c r="D208" s="42" t="str">
        <f t="shared" si="0"/>
        <v/>
      </c>
      <c r="E208" s="78">
        <v>0</v>
      </c>
      <c r="F208" s="78">
        <v>0</v>
      </c>
      <c r="G208" s="42" t="str">
        <f t="shared" si="1"/>
        <v/>
      </c>
      <c r="H208" s="41">
        <v>0</v>
      </c>
      <c r="I208" s="41">
        <v>0</v>
      </c>
      <c r="J208" s="41">
        <f t="shared" si="2"/>
        <v>0</v>
      </c>
      <c r="K208" s="41">
        <v>0</v>
      </c>
      <c r="L208" s="79" t="str">
        <f t="shared" si="3"/>
        <v/>
      </c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1"/>
      <c r="AA208" s="6">
        <f t="shared" si="4"/>
        <v>0</v>
      </c>
      <c r="AB208" s="80" t="str">
        <f>+IF(AND(D208&gt;'Indices y Outliers'!$I$144,D208&lt;&gt;""),1,"")</f>
        <v/>
      </c>
      <c r="AC208" s="80" t="str">
        <f>+IF(AND(G208&gt;'Indices y Outliers'!$I$153,G208&lt;&gt;""),1,"")</f>
        <v/>
      </c>
      <c r="AD208" s="7"/>
      <c r="AE208" s="7">
        <f t="shared" si="5"/>
        <v>0</v>
      </c>
    </row>
    <row r="209" spans="1:31" ht="15.75" customHeight="1">
      <c r="A209" s="77" t="s">
        <v>832</v>
      </c>
      <c r="B209" s="78">
        <v>0</v>
      </c>
      <c r="C209" s="78">
        <v>0</v>
      </c>
      <c r="D209" s="42" t="str">
        <f t="shared" si="0"/>
        <v/>
      </c>
      <c r="E209" s="78">
        <v>0</v>
      </c>
      <c r="F209" s="78">
        <v>0</v>
      </c>
      <c r="G209" s="42" t="str">
        <f t="shared" si="1"/>
        <v/>
      </c>
      <c r="H209" s="41">
        <v>0</v>
      </c>
      <c r="I209" s="41">
        <v>0</v>
      </c>
      <c r="J209" s="41">
        <f t="shared" si="2"/>
        <v>0</v>
      </c>
      <c r="K209" s="41">
        <v>0</v>
      </c>
      <c r="L209" s="79" t="str">
        <f t="shared" si="3"/>
        <v/>
      </c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1"/>
      <c r="AA209" s="6">
        <f t="shared" si="4"/>
        <v>0</v>
      </c>
      <c r="AB209" s="80" t="str">
        <f>+IF(AND(D209&gt;'Indices y Outliers'!$I$144,D209&lt;&gt;""),1,"")</f>
        <v/>
      </c>
      <c r="AC209" s="80" t="str">
        <f>+IF(AND(G209&gt;'Indices y Outliers'!$I$153,G209&lt;&gt;""),1,"")</f>
        <v/>
      </c>
      <c r="AD209" s="7"/>
      <c r="AE209" s="7">
        <f t="shared" si="5"/>
        <v>0</v>
      </c>
    </row>
    <row r="210" spans="1:31" ht="15.75" customHeight="1">
      <c r="A210" s="77" t="s">
        <v>835</v>
      </c>
      <c r="B210" s="78">
        <v>0</v>
      </c>
      <c r="C210" s="78">
        <v>0</v>
      </c>
      <c r="D210" s="42" t="str">
        <f t="shared" si="0"/>
        <v/>
      </c>
      <c r="E210" s="78">
        <v>0</v>
      </c>
      <c r="F210" s="78">
        <v>0</v>
      </c>
      <c r="G210" s="42" t="str">
        <f t="shared" si="1"/>
        <v/>
      </c>
      <c r="H210" s="41">
        <v>0</v>
      </c>
      <c r="I210" s="41">
        <v>0</v>
      </c>
      <c r="J210" s="41">
        <f t="shared" si="2"/>
        <v>0</v>
      </c>
      <c r="K210" s="41">
        <v>0</v>
      </c>
      <c r="L210" s="79" t="str">
        <f t="shared" si="3"/>
        <v/>
      </c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1"/>
      <c r="AA210" s="6">
        <f t="shared" si="4"/>
        <v>0</v>
      </c>
      <c r="AB210" s="80" t="str">
        <f>+IF(AND(D210&gt;'Indices y Outliers'!$I$144,D210&lt;&gt;""),1,"")</f>
        <v/>
      </c>
      <c r="AC210" s="80" t="str">
        <f>+IF(AND(G210&gt;'Indices y Outliers'!$I$153,G210&lt;&gt;""),1,"")</f>
        <v/>
      </c>
      <c r="AD210" s="7"/>
      <c r="AE210" s="7">
        <f t="shared" si="5"/>
        <v>0</v>
      </c>
    </row>
    <row r="211" spans="1:31" ht="15.75" customHeight="1">
      <c r="A211" s="77" t="s">
        <v>838</v>
      </c>
      <c r="B211" s="78">
        <v>0</v>
      </c>
      <c r="C211" s="78">
        <v>0</v>
      </c>
      <c r="D211" s="42" t="str">
        <f t="shared" si="0"/>
        <v/>
      </c>
      <c r="E211" s="78">
        <v>0</v>
      </c>
      <c r="F211" s="78">
        <v>1.06</v>
      </c>
      <c r="G211" s="42">
        <f t="shared" si="1"/>
        <v>1.06</v>
      </c>
      <c r="H211" s="41">
        <v>1172</v>
      </c>
      <c r="I211" s="41">
        <v>114209</v>
      </c>
      <c r="J211" s="41">
        <f t="shared" si="2"/>
        <v>115381</v>
      </c>
      <c r="K211" s="41">
        <v>115409</v>
      </c>
      <c r="L211" s="79">
        <f t="shared" si="3"/>
        <v>0.99975738460605323</v>
      </c>
      <c r="M211" s="82">
        <v>1</v>
      </c>
      <c r="N211" s="80"/>
      <c r="O211" s="82">
        <v>1</v>
      </c>
      <c r="P211" s="80"/>
      <c r="Q211" s="80"/>
      <c r="R211" s="82">
        <v>1</v>
      </c>
      <c r="S211" s="82" t="s">
        <v>1353</v>
      </c>
      <c r="T211" s="82" t="s">
        <v>1353</v>
      </c>
      <c r="U211" s="80"/>
      <c r="V211" s="82" t="s">
        <v>1353</v>
      </c>
      <c r="W211" s="80"/>
      <c r="X211" s="80"/>
      <c r="Y211" s="80"/>
      <c r="Z211" s="81"/>
      <c r="AA211" s="6">
        <f t="shared" si="4"/>
        <v>0</v>
      </c>
      <c r="AB211" s="80" t="str">
        <f>+IF(AND(D211&gt;'Indices y Outliers'!$I$144,D211&lt;&gt;""),1,"")</f>
        <v/>
      </c>
      <c r="AC211" s="80" t="str">
        <f>+IF(AND(G211&gt;'Indices y Outliers'!$I$153,G211&lt;&gt;""),1,"")</f>
        <v/>
      </c>
      <c r="AD211" s="7"/>
      <c r="AE211" s="7">
        <f t="shared" si="5"/>
        <v>0</v>
      </c>
    </row>
    <row r="212" spans="1:31" ht="15.75" customHeight="1">
      <c r="A212" s="77" t="s">
        <v>841</v>
      </c>
      <c r="B212" s="78">
        <v>87</v>
      </c>
      <c r="C212" s="78">
        <v>0</v>
      </c>
      <c r="D212" s="42">
        <f t="shared" si="0"/>
        <v>87</v>
      </c>
      <c r="E212" s="78">
        <v>2.72</v>
      </c>
      <c r="F212" s="78">
        <v>0</v>
      </c>
      <c r="G212" s="42">
        <f t="shared" si="1"/>
        <v>2.72</v>
      </c>
      <c r="H212" s="41">
        <v>17366</v>
      </c>
      <c r="I212" s="41">
        <v>0</v>
      </c>
      <c r="J212" s="41">
        <f t="shared" si="2"/>
        <v>17366</v>
      </c>
      <c r="K212" s="41">
        <v>17813</v>
      </c>
      <c r="L212" s="79">
        <f t="shared" si="3"/>
        <v>0.97490596755178804</v>
      </c>
      <c r="M212" s="82">
        <v>1</v>
      </c>
      <c r="N212" s="82">
        <v>1</v>
      </c>
      <c r="O212" s="82">
        <v>1</v>
      </c>
      <c r="P212" s="82">
        <v>1</v>
      </c>
      <c r="Q212" s="80"/>
      <c r="R212" s="82"/>
      <c r="S212" s="82" t="s">
        <v>1353</v>
      </c>
      <c r="T212" s="82" t="s">
        <v>1353</v>
      </c>
      <c r="U212" s="80"/>
      <c r="V212" s="82" t="s">
        <v>1353</v>
      </c>
      <c r="W212" s="80"/>
      <c r="X212" s="80"/>
      <c r="Y212" s="80"/>
      <c r="Z212" s="81"/>
      <c r="AA212" s="6">
        <f t="shared" si="4"/>
        <v>2</v>
      </c>
      <c r="AB212" s="80" t="str">
        <f>+IF(AND(D212&gt;'Indices y Outliers'!$I$144,D212&lt;&gt;""),1,"")</f>
        <v/>
      </c>
      <c r="AC212" s="80" t="str">
        <f>+IF(AND(G212&gt;'Indices y Outliers'!$I$153,G212&lt;&gt;""),1,"")</f>
        <v/>
      </c>
      <c r="AD212" s="7"/>
      <c r="AE212" s="7">
        <f t="shared" si="5"/>
        <v>0</v>
      </c>
    </row>
    <row r="213" spans="1:31" ht="15.75" customHeight="1">
      <c r="A213" s="77" t="s">
        <v>844</v>
      </c>
      <c r="B213" s="78">
        <v>21.36</v>
      </c>
      <c r="C213" s="78">
        <v>0</v>
      </c>
      <c r="D213" s="42">
        <f t="shared" si="0"/>
        <v>21.36</v>
      </c>
      <c r="E213" s="78">
        <v>0.44</v>
      </c>
      <c r="F213" s="78">
        <v>0</v>
      </c>
      <c r="G213" s="42">
        <f t="shared" si="1"/>
        <v>0.44</v>
      </c>
      <c r="H213" s="41">
        <v>14761</v>
      </c>
      <c r="I213" s="41">
        <v>0</v>
      </c>
      <c r="J213" s="41">
        <f t="shared" si="2"/>
        <v>14761</v>
      </c>
      <c r="K213" s="41">
        <v>15198</v>
      </c>
      <c r="L213" s="79">
        <f t="shared" si="3"/>
        <v>0.97124621660744836</v>
      </c>
      <c r="M213" s="82">
        <v>1</v>
      </c>
      <c r="N213" s="80"/>
      <c r="O213" s="82">
        <v>1</v>
      </c>
      <c r="P213" s="82">
        <v>1</v>
      </c>
      <c r="Q213" s="80"/>
      <c r="R213" s="80"/>
      <c r="S213" s="80"/>
      <c r="T213" s="80"/>
      <c r="U213" s="80"/>
      <c r="V213" s="80"/>
      <c r="W213" s="80"/>
      <c r="X213" s="80"/>
      <c r="Y213" s="80"/>
      <c r="Z213" s="81"/>
      <c r="AA213" s="6">
        <f t="shared" si="4"/>
        <v>2</v>
      </c>
      <c r="AB213" s="80" t="str">
        <f>+IF(AND(D213&gt;'Indices y Outliers'!$I$144,D213&lt;&gt;""),1,"")</f>
        <v/>
      </c>
      <c r="AC213" s="80" t="str">
        <f>+IF(AND(G213&gt;'Indices y Outliers'!$I$153,G213&lt;&gt;""),1,"")</f>
        <v/>
      </c>
      <c r="AD213" s="7"/>
      <c r="AE213" s="7">
        <f t="shared" si="5"/>
        <v>0</v>
      </c>
    </row>
    <row r="214" spans="1:31" ht="15.75" customHeight="1">
      <c r="A214" s="77" t="s">
        <v>847</v>
      </c>
      <c r="B214" s="78">
        <v>0</v>
      </c>
      <c r="C214" s="78">
        <v>0</v>
      </c>
      <c r="D214" s="42" t="str">
        <f t="shared" si="0"/>
        <v/>
      </c>
      <c r="E214" s="78">
        <v>0</v>
      </c>
      <c r="F214" s="78">
        <v>0</v>
      </c>
      <c r="G214" s="42" t="str">
        <f t="shared" si="1"/>
        <v/>
      </c>
      <c r="H214" s="41">
        <v>0</v>
      </c>
      <c r="I214" s="41">
        <v>0</v>
      </c>
      <c r="J214" s="41">
        <f t="shared" si="2"/>
        <v>0</v>
      </c>
      <c r="K214" s="41">
        <v>0</v>
      </c>
      <c r="L214" s="79" t="str">
        <f t="shared" si="3"/>
        <v/>
      </c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1"/>
      <c r="AA214" s="6">
        <f t="shared" si="4"/>
        <v>0</v>
      </c>
      <c r="AB214" s="80" t="str">
        <f>+IF(AND(D214&gt;'Indices y Outliers'!$I$144,D214&lt;&gt;""),1,"")</f>
        <v/>
      </c>
      <c r="AC214" s="80" t="str">
        <f>+IF(AND(G214&gt;'Indices y Outliers'!$I$153,G214&lt;&gt;""),1,"")</f>
        <v/>
      </c>
      <c r="AD214" s="7"/>
      <c r="AE214" s="7">
        <f t="shared" si="5"/>
        <v>0</v>
      </c>
    </row>
    <row r="215" spans="1:31" ht="15.75" customHeight="1">
      <c r="A215" s="77" t="s">
        <v>850</v>
      </c>
      <c r="B215" s="78">
        <v>0</v>
      </c>
      <c r="C215" s="78">
        <v>46.581000000000003</v>
      </c>
      <c r="D215" s="42">
        <f t="shared" si="0"/>
        <v>46.581000000000003</v>
      </c>
      <c r="E215" s="78">
        <v>0</v>
      </c>
      <c r="F215" s="78">
        <v>1.34</v>
      </c>
      <c r="G215" s="42">
        <f t="shared" si="1"/>
        <v>1.34</v>
      </c>
      <c r="H215" s="41">
        <v>0</v>
      </c>
      <c r="I215" s="41">
        <v>0</v>
      </c>
      <c r="J215" s="41">
        <f t="shared" si="2"/>
        <v>0</v>
      </c>
      <c r="K215" s="41">
        <v>5605</v>
      </c>
      <c r="L215" s="79">
        <f t="shared" si="3"/>
        <v>0</v>
      </c>
      <c r="M215" s="82">
        <v>1</v>
      </c>
      <c r="N215" s="80"/>
      <c r="O215" s="82">
        <v>1</v>
      </c>
      <c r="P215" s="80"/>
      <c r="Q215" s="80"/>
      <c r="R215" s="80">
        <v>1</v>
      </c>
      <c r="S215" s="80"/>
      <c r="T215" s="82" t="s">
        <v>1354</v>
      </c>
      <c r="U215" s="82" t="s">
        <v>1353</v>
      </c>
      <c r="V215" s="82" t="s">
        <v>1353</v>
      </c>
      <c r="W215" s="80"/>
      <c r="X215" s="80"/>
      <c r="Y215" s="80"/>
      <c r="Z215" s="81"/>
      <c r="AA215" s="6">
        <f t="shared" si="4"/>
        <v>1</v>
      </c>
      <c r="AB215" s="80" t="str">
        <f>+IF(AND(D215&gt;'Indices y Outliers'!$I$144,D215&lt;&gt;""),1,"")</f>
        <v/>
      </c>
      <c r="AC215" s="80" t="str">
        <f>+IF(AND(G215&gt;'Indices y Outliers'!$I$153,G215&lt;&gt;""),1,"")</f>
        <v/>
      </c>
      <c r="AD215" s="7"/>
      <c r="AE215" s="7">
        <f t="shared" si="5"/>
        <v>0</v>
      </c>
    </row>
    <row r="216" spans="1:31" ht="15.75" customHeight="1">
      <c r="A216" s="77" t="s">
        <v>853</v>
      </c>
      <c r="B216" s="78">
        <v>0</v>
      </c>
      <c r="C216" s="78">
        <v>0</v>
      </c>
      <c r="D216" s="42" t="str">
        <f t="shared" si="0"/>
        <v/>
      </c>
      <c r="E216" s="78">
        <v>0</v>
      </c>
      <c r="F216" s="78">
        <v>0</v>
      </c>
      <c r="G216" s="42" t="str">
        <f t="shared" si="1"/>
        <v/>
      </c>
      <c r="H216" s="41">
        <v>0</v>
      </c>
      <c r="I216" s="41">
        <v>0</v>
      </c>
      <c r="J216" s="41">
        <f t="shared" si="2"/>
        <v>0</v>
      </c>
      <c r="K216" s="41">
        <v>0</v>
      </c>
      <c r="L216" s="79" t="str">
        <f t="shared" si="3"/>
        <v/>
      </c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1"/>
      <c r="AA216" s="6">
        <f t="shared" si="4"/>
        <v>0</v>
      </c>
      <c r="AB216" s="80" t="str">
        <f>+IF(AND(D216&gt;'Indices y Outliers'!$I$144,D216&lt;&gt;""),1,"")</f>
        <v/>
      </c>
      <c r="AC216" s="80" t="str">
        <f>+IF(AND(G216&gt;'Indices y Outliers'!$I$153,G216&lt;&gt;""),1,"")</f>
        <v/>
      </c>
      <c r="AD216" s="7"/>
      <c r="AE216" s="7">
        <f t="shared" si="5"/>
        <v>0</v>
      </c>
    </row>
    <row r="217" spans="1:31" ht="15.75" customHeight="1">
      <c r="A217" s="77" t="s">
        <v>856</v>
      </c>
      <c r="B217" s="78">
        <v>0</v>
      </c>
      <c r="C217" s="78">
        <v>0</v>
      </c>
      <c r="D217" s="42" t="str">
        <f t="shared" si="0"/>
        <v/>
      </c>
      <c r="E217" s="78">
        <v>0</v>
      </c>
      <c r="F217" s="78">
        <v>0</v>
      </c>
      <c r="G217" s="42" t="str">
        <f t="shared" si="1"/>
        <v/>
      </c>
      <c r="H217" s="41">
        <v>0</v>
      </c>
      <c r="I217" s="41">
        <v>0</v>
      </c>
      <c r="J217" s="41">
        <f t="shared" si="2"/>
        <v>0</v>
      </c>
      <c r="K217" s="41">
        <v>0</v>
      </c>
      <c r="L217" s="79" t="str">
        <f t="shared" si="3"/>
        <v/>
      </c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1"/>
      <c r="AA217" s="6">
        <f t="shared" si="4"/>
        <v>0</v>
      </c>
      <c r="AB217" s="80" t="str">
        <f>+IF(AND(D217&gt;'Indices y Outliers'!$I$144,D217&lt;&gt;""),1,"")</f>
        <v/>
      </c>
      <c r="AC217" s="80" t="str">
        <f>+IF(AND(G217&gt;'Indices y Outliers'!$I$153,G217&lt;&gt;""),1,"")</f>
        <v/>
      </c>
      <c r="AD217" s="7"/>
      <c r="AE217" s="7">
        <f t="shared" si="5"/>
        <v>0</v>
      </c>
    </row>
    <row r="218" spans="1:31" ht="15.75" customHeight="1">
      <c r="A218" s="77" t="s">
        <v>859</v>
      </c>
      <c r="B218" s="78">
        <v>0</v>
      </c>
      <c r="C218" s="78">
        <v>0</v>
      </c>
      <c r="D218" s="42" t="str">
        <f t="shared" si="0"/>
        <v/>
      </c>
      <c r="E218" s="78">
        <v>0</v>
      </c>
      <c r="F218" s="78">
        <v>0</v>
      </c>
      <c r="G218" s="42" t="str">
        <f t="shared" si="1"/>
        <v/>
      </c>
      <c r="H218" s="41">
        <v>95</v>
      </c>
      <c r="I218" s="41">
        <v>0</v>
      </c>
      <c r="J218" s="41">
        <f t="shared" si="2"/>
        <v>95</v>
      </c>
      <c r="K218" s="41">
        <v>120</v>
      </c>
      <c r="L218" s="79">
        <f t="shared" si="3"/>
        <v>0.79166666666666663</v>
      </c>
      <c r="M218" s="82">
        <v>1</v>
      </c>
      <c r="N218" s="82">
        <v>1</v>
      </c>
      <c r="O218" s="82">
        <v>1</v>
      </c>
      <c r="P218" s="82">
        <v>1</v>
      </c>
      <c r="Q218" s="80"/>
      <c r="R218" s="82">
        <v>1</v>
      </c>
      <c r="S218" s="82" t="s">
        <v>1353</v>
      </c>
      <c r="T218" s="82" t="s">
        <v>1353</v>
      </c>
      <c r="U218" s="82" t="s">
        <v>1353</v>
      </c>
      <c r="V218" s="82" t="s">
        <v>1353</v>
      </c>
      <c r="W218" s="80"/>
      <c r="X218" s="82" t="s">
        <v>1353</v>
      </c>
      <c r="Y218" s="82" t="s">
        <v>1353</v>
      </c>
      <c r="Z218" s="81"/>
      <c r="AA218" s="6">
        <f t="shared" si="4"/>
        <v>0</v>
      </c>
      <c r="AB218" s="80" t="str">
        <f>+IF(AND(D218&gt;'Indices y Outliers'!$I$144,D218&lt;&gt;""),1,"")</f>
        <v/>
      </c>
      <c r="AC218" s="80" t="str">
        <f>+IF(AND(G218&gt;'Indices y Outliers'!$I$153,G218&lt;&gt;""),1,"")</f>
        <v/>
      </c>
      <c r="AD218" s="7"/>
      <c r="AE218" s="7">
        <f t="shared" si="5"/>
        <v>0</v>
      </c>
    </row>
    <row r="219" spans="1:31" ht="15.75" customHeight="1">
      <c r="A219" s="77" t="s">
        <v>862</v>
      </c>
      <c r="B219" s="78">
        <v>162.6</v>
      </c>
      <c r="C219" s="78">
        <v>0</v>
      </c>
      <c r="D219" s="42">
        <f t="shared" si="0"/>
        <v>162.6</v>
      </c>
      <c r="E219" s="78">
        <v>2.4</v>
      </c>
      <c r="F219" s="78">
        <v>0</v>
      </c>
      <c r="G219" s="42">
        <f t="shared" si="1"/>
        <v>2.4</v>
      </c>
      <c r="H219" s="41">
        <v>0</v>
      </c>
      <c r="I219" s="41">
        <v>50051</v>
      </c>
      <c r="J219" s="41">
        <f t="shared" si="2"/>
        <v>50051</v>
      </c>
      <c r="K219" s="41">
        <v>50051</v>
      </c>
      <c r="L219" s="79">
        <f t="shared" si="3"/>
        <v>1</v>
      </c>
      <c r="M219" s="82">
        <v>1</v>
      </c>
      <c r="N219" s="80"/>
      <c r="O219" s="82">
        <v>1</v>
      </c>
      <c r="P219" s="80"/>
      <c r="Q219" s="80"/>
      <c r="R219" s="82"/>
      <c r="S219" s="82" t="s">
        <v>1353</v>
      </c>
      <c r="T219" s="82" t="s">
        <v>1353</v>
      </c>
      <c r="U219" s="82" t="s">
        <v>1353</v>
      </c>
      <c r="V219" s="82" t="s">
        <v>1353</v>
      </c>
      <c r="W219" s="80"/>
      <c r="X219" s="82" t="s">
        <v>1353</v>
      </c>
      <c r="Y219" s="82" t="s">
        <v>1353</v>
      </c>
      <c r="Z219" s="81"/>
      <c r="AA219" s="6">
        <f t="shared" si="4"/>
        <v>2</v>
      </c>
      <c r="AB219" s="80" t="str">
        <f>+IF(AND(D219&gt;'Indices y Outliers'!$I$144,D219&lt;&gt;""),1,"")</f>
        <v/>
      </c>
      <c r="AC219" s="80" t="str">
        <f>+IF(AND(G219&gt;'Indices y Outliers'!$I$153,G219&lt;&gt;""),1,"")</f>
        <v/>
      </c>
      <c r="AD219" s="7"/>
      <c r="AE219" s="7">
        <f t="shared" si="5"/>
        <v>0</v>
      </c>
    </row>
    <row r="220" spans="1:31" ht="15.75" customHeight="1">
      <c r="A220" s="77" t="s">
        <v>865</v>
      </c>
      <c r="B220" s="78">
        <v>0</v>
      </c>
      <c r="C220" s="78">
        <v>0</v>
      </c>
      <c r="D220" s="42" t="str">
        <f t="shared" si="0"/>
        <v/>
      </c>
      <c r="E220" s="78">
        <v>0</v>
      </c>
      <c r="F220" s="78">
        <v>0</v>
      </c>
      <c r="G220" s="42" t="str">
        <f t="shared" si="1"/>
        <v/>
      </c>
      <c r="H220" s="41">
        <v>2270</v>
      </c>
      <c r="I220" s="41">
        <v>0</v>
      </c>
      <c r="J220" s="41">
        <f t="shared" si="2"/>
        <v>2270</v>
      </c>
      <c r="K220" s="41">
        <v>2280</v>
      </c>
      <c r="L220" s="79">
        <f t="shared" si="3"/>
        <v>0.99561403508771928</v>
      </c>
      <c r="M220" s="82">
        <v>1</v>
      </c>
      <c r="N220" s="80"/>
      <c r="O220" s="82">
        <v>1</v>
      </c>
      <c r="P220" s="82">
        <v>1</v>
      </c>
      <c r="Q220" s="80"/>
      <c r="R220" s="80"/>
      <c r="S220" s="80"/>
      <c r="T220" s="82" t="s">
        <v>1354</v>
      </c>
      <c r="U220" s="80"/>
      <c r="V220" s="82" t="s">
        <v>1353</v>
      </c>
      <c r="W220" s="80"/>
      <c r="X220" s="80"/>
      <c r="Y220" s="80"/>
      <c r="Z220" s="81"/>
      <c r="AA220" s="6">
        <f t="shared" si="4"/>
        <v>0</v>
      </c>
      <c r="AB220" s="80" t="str">
        <f>+IF(AND(D220&gt;'Indices y Outliers'!$I$144,D220&lt;&gt;""),1,"")</f>
        <v/>
      </c>
      <c r="AC220" s="80" t="str">
        <f>+IF(AND(G220&gt;'Indices y Outliers'!$I$153,G220&lt;&gt;""),1,"")</f>
        <v/>
      </c>
      <c r="AD220" s="7"/>
      <c r="AE220" s="7">
        <f t="shared" si="5"/>
        <v>0</v>
      </c>
    </row>
    <row r="221" spans="1:31" ht="15.75" customHeight="1">
      <c r="A221" s="80"/>
      <c r="B221" s="80"/>
      <c r="C221" s="80"/>
      <c r="D221" s="83"/>
      <c r="E221" s="80"/>
      <c r="F221" s="80"/>
      <c r="G221" s="77"/>
      <c r="H221" s="80"/>
      <c r="I221" s="80"/>
      <c r="J221" s="77"/>
      <c r="K221" s="77"/>
      <c r="L221" s="84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7"/>
      <c r="AE221" s="7"/>
    </row>
    <row r="222" spans="1:31" ht="15.75" customHeight="1">
      <c r="A222" s="80"/>
      <c r="B222" s="80"/>
      <c r="C222" s="80"/>
      <c r="D222" s="83"/>
      <c r="E222" s="80"/>
      <c r="F222" s="80"/>
      <c r="G222" s="77"/>
      <c r="H222" s="80"/>
      <c r="I222" s="80"/>
      <c r="J222" s="77"/>
      <c r="K222" s="77"/>
      <c r="L222" s="84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7"/>
      <c r="AE222" s="7"/>
    </row>
    <row r="223" spans="1:31" ht="15.75" customHeight="1">
      <c r="A223" s="80"/>
      <c r="B223" s="80"/>
      <c r="C223" s="80"/>
      <c r="D223" s="83"/>
      <c r="E223" s="80"/>
      <c r="F223" s="80"/>
      <c r="G223" s="77"/>
      <c r="H223" s="80"/>
      <c r="I223" s="80"/>
      <c r="J223" s="77"/>
      <c r="K223" s="77"/>
      <c r="L223" s="84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7"/>
      <c r="AE223" s="7"/>
    </row>
    <row r="224" spans="1:31" ht="15.75" customHeight="1">
      <c r="A224" s="80"/>
      <c r="B224" s="80"/>
      <c r="C224" s="80"/>
      <c r="D224" s="83"/>
      <c r="E224" s="80"/>
      <c r="F224" s="80"/>
      <c r="G224" s="77"/>
      <c r="H224" s="80"/>
      <c r="I224" s="80"/>
      <c r="J224" s="77"/>
      <c r="K224" s="77"/>
      <c r="L224" s="84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7"/>
      <c r="AE224" s="7"/>
    </row>
    <row r="225" spans="1:31" ht="15.75" customHeight="1">
      <c r="A225" s="80"/>
      <c r="B225" s="80"/>
      <c r="C225" s="80"/>
      <c r="D225" s="83"/>
      <c r="E225" s="80"/>
      <c r="F225" s="80"/>
      <c r="G225" s="77"/>
      <c r="H225" s="80"/>
      <c r="I225" s="80"/>
      <c r="J225" s="77"/>
      <c r="K225" s="77"/>
      <c r="L225" s="84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7"/>
      <c r="AE225" s="7"/>
    </row>
    <row r="226" spans="1:31" ht="15.75" customHeight="1">
      <c r="A226" s="80"/>
      <c r="B226" s="80"/>
      <c r="C226" s="80"/>
      <c r="D226" s="83"/>
      <c r="E226" s="80"/>
      <c r="F226" s="80"/>
      <c r="G226" s="77"/>
      <c r="H226" s="80"/>
      <c r="I226" s="80"/>
      <c r="J226" s="77"/>
      <c r="K226" s="77"/>
      <c r="L226" s="84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7"/>
      <c r="AE226" s="7"/>
    </row>
    <row r="227" spans="1:31" ht="15.75" customHeight="1">
      <c r="A227" s="80"/>
      <c r="B227" s="80"/>
      <c r="C227" s="80"/>
      <c r="D227" s="83"/>
      <c r="E227" s="80"/>
      <c r="F227" s="80"/>
      <c r="G227" s="77"/>
      <c r="H227" s="80"/>
      <c r="I227" s="80"/>
      <c r="J227" s="77"/>
      <c r="K227" s="77"/>
      <c r="L227" s="84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7"/>
      <c r="AE227" s="7"/>
    </row>
    <row r="228" spans="1:31" ht="15.75" customHeight="1">
      <c r="A228" s="80"/>
      <c r="B228" s="80"/>
      <c r="C228" s="80"/>
      <c r="D228" s="83"/>
      <c r="E228" s="80"/>
      <c r="F228" s="80"/>
      <c r="G228" s="77"/>
      <c r="H228" s="80"/>
      <c r="I228" s="80"/>
      <c r="J228" s="77"/>
      <c r="K228" s="77"/>
      <c r="L228" s="84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7"/>
      <c r="AE228" s="7"/>
    </row>
    <row r="229" spans="1:31" ht="15.75" customHeight="1">
      <c r="A229" s="80"/>
      <c r="B229" s="80"/>
      <c r="C229" s="80"/>
      <c r="D229" s="83"/>
      <c r="E229" s="80"/>
      <c r="F229" s="80"/>
      <c r="G229" s="77"/>
      <c r="H229" s="80"/>
      <c r="I229" s="80"/>
      <c r="J229" s="77"/>
      <c r="K229" s="77"/>
      <c r="L229" s="84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7"/>
      <c r="AE229" s="7"/>
    </row>
    <row r="230" spans="1:31" ht="15.75" customHeight="1">
      <c r="A230" s="80"/>
      <c r="B230" s="80"/>
      <c r="C230" s="80"/>
      <c r="D230" s="83"/>
      <c r="E230" s="80"/>
      <c r="F230" s="80"/>
      <c r="G230" s="77"/>
      <c r="H230" s="80"/>
      <c r="I230" s="80"/>
      <c r="J230" s="77"/>
      <c r="K230" s="77"/>
      <c r="L230" s="84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7"/>
      <c r="AE230" s="7"/>
    </row>
    <row r="231" spans="1:31" ht="15.75" customHeight="1">
      <c r="A231" s="80"/>
      <c r="B231" s="80"/>
      <c r="C231" s="80"/>
      <c r="D231" s="83"/>
      <c r="E231" s="80"/>
      <c r="F231" s="80"/>
      <c r="G231" s="77"/>
      <c r="H231" s="80"/>
      <c r="I231" s="80"/>
      <c r="J231" s="77"/>
      <c r="K231" s="77"/>
      <c r="L231" s="84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7"/>
      <c r="AE231" s="7"/>
    </row>
    <row r="232" spans="1:31" ht="15.75" customHeight="1">
      <c r="A232" s="80"/>
      <c r="B232" s="80"/>
      <c r="C232" s="80"/>
      <c r="D232" s="83"/>
      <c r="E232" s="80"/>
      <c r="F232" s="80"/>
      <c r="G232" s="77"/>
      <c r="H232" s="80"/>
      <c r="I232" s="80"/>
      <c r="J232" s="77"/>
      <c r="K232" s="77"/>
      <c r="L232" s="84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7"/>
      <c r="AE232" s="7"/>
    </row>
    <row r="233" spans="1:31" ht="15.75" customHeight="1">
      <c r="A233" s="80"/>
      <c r="B233" s="80"/>
      <c r="C233" s="80"/>
      <c r="D233" s="83"/>
      <c r="E233" s="80"/>
      <c r="F233" s="80"/>
      <c r="G233" s="77"/>
      <c r="H233" s="80"/>
      <c r="I233" s="80"/>
      <c r="J233" s="77"/>
      <c r="K233" s="77"/>
      <c r="L233" s="84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7"/>
      <c r="AE233" s="7"/>
    </row>
    <row r="234" spans="1:31" ht="15.75" customHeight="1">
      <c r="A234" s="80"/>
      <c r="B234" s="80"/>
      <c r="C234" s="80"/>
      <c r="D234" s="83"/>
      <c r="E234" s="80"/>
      <c r="F234" s="80"/>
      <c r="G234" s="77"/>
      <c r="H234" s="80"/>
      <c r="I234" s="80"/>
      <c r="J234" s="77"/>
      <c r="K234" s="77"/>
      <c r="L234" s="84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7"/>
      <c r="AE234" s="7"/>
    </row>
    <row r="235" spans="1:31" ht="15.75" customHeight="1">
      <c r="A235" s="80"/>
      <c r="B235" s="80"/>
      <c r="C235" s="80"/>
      <c r="D235" s="83"/>
      <c r="E235" s="80"/>
      <c r="F235" s="80"/>
      <c r="G235" s="77"/>
      <c r="H235" s="80"/>
      <c r="I235" s="80"/>
      <c r="J235" s="77"/>
      <c r="K235" s="77"/>
      <c r="L235" s="84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7"/>
      <c r="AE235" s="7"/>
    </row>
    <row r="236" spans="1:31" ht="15.75" customHeight="1">
      <c r="A236" s="80"/>
      <c r="B236" s="80"/>
      <c r="C236" s="80"/>
      <c r="D236" s="83"/>
      <c r="E236" s="80"/>
      <c r="F236" s="80"/>
      <c r="G236" s="77"/>
      <c r="H236" s="80"/>
      <c r="I236" s="80"/>
      <c r="J236" s="77"/>
      <c r="K236" s="77"/>
      <c r="L236" s="84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7"/>
      <c r="AE236" s="7"/>
    </row>
    <row r="237" spans="1:31" ht="15.75" customHeight="1">
      <c r="A237" s="80"/>
      <c r="B237" s="80"/>
      <c r="C237" s="80"/>
      <c r="D237" s="83"/>
      <c r="E237" s="80"/>
      <c r="F237" s="80"/>
      <c r="G237" s="77"/>
      <c r="H237" s="80"/>
      <c r="I237" s="80"/>
      <c r="J237" s="77"/>
      <c r="K237" s="77"/>
      <c r="L237" s="84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7"/>
      <c r="AE237" s="7"/>
    </row>
    <row r="238" spans="1:31" ht="15.75" customHeight="1">
      <c r="A238" s="80"/>
      <c r="B238" s="80"/>
      <c r="C238" s="80"/>
      <c r="D238" s="83"/>
      <c r="E238" s="80"/>
      <c r="F238" s="80"/>
      <c r="G238" s="77"/>
      <c r="H238" s="80"/>
      <c r="I238" s="80"/>
      <c r="J238" s="77"/>
      <c r="K238" s="77"/>
      <c r="L238" s="84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7"/>
      <c r="AE238" s="7"/>
    </row>
    <row r="239" spans="1:31" ht="15.75" customHeight="1">
      <c r="A239" s="80"/>
      <c r="B239" s="80"/>
      <c r="C239" s="80"/>
      <c r="D239" s="83"/>
      <c r="E239" s="80"/>
      <c r="F239" s="80"/>
      <c r="G239" s="77"/>
      <c r="H239" s="80"/>
      <c r="I239" s="80"/>
      <c r="J239" s="77"/>
      <c r="K239" s="77"/>
      <c r="L239" s="84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7"/>
      <c r="AE239" s="7"/>
    </row>
    <row r="240" spans="1:31" ht="15.75" customHeight="1">
      <c r="A240" s="80"/>
      <c r="B240" s="80"/>
      <c r="C240" s="80"/>
      <c r="D240" s="83"/>
      <c r="E240" s="80"/>
      <c r="F240" s="80"/>
      <c r="G240" s="77"/>
      <c r="H240" s="80"/>
      <c r="I240" s="80"/>
      <c r="J240" s="77"/>
      <c r="K240" s="77"/>
      <c r="L240" s="84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7"/>
      <c r="AE240" s="7"/>
    </row>
    <row r="241" spans="1:31" ht="15.75" customHeight="1">
      <c r="A241" s="80"/>
      <c r="B241" s="80"/>
      <c r="C241" s="80"/>
      <c r="D241" s="83"/>
      <c r="E241" s="80"/>
      <c r="F241" s="80"/>
      <c r="G241" s="77"/>
      <c r="H241" s="80"/>
      <c r="I241" s="80"/>
      <c r="J241" s="77"/>
      <c r="K241" s="77"/>
      <c r="L241" s="84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7"/>
      <c r="AE241" s="7"/>
    </row>
    <row r="242" spans="1:31" ht="15.75" customHeight="1">
      <c r="A242" s="80"/>
      <c r="B242" s="80"/>
      <c r="C242" s="80"/>
      <c r="D242" s="83"/>
      <c r="E242" s="80"/>
      <c r="F242" s="80"/>
      <c r="G242" s="77"/>
      <c r="H242" s="80"/>
      <c r="I242" s="80"/>
      <c r="J242" s="77"/>
      <c r="K242" s="77"/>
      <c r="L242" s="84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7"/>
      <c r="AE242" s="7"/>
    </row>
    <row r="243" spans="1:31" ht="15.75" customHeight="1">
      <c r="A243" s="80"/>
      <c r="B243" s="80"/>
      <c r="C243" s="80"/>
      <c r="D243" s="83"/>
      <c r="E243" s="80"/>
      <c r="F243" s="80"/>
      <c r="G243" s="77"/>
      <c r="H243" s="80"/>
      <c r="I243" s="80"/>
      <c r="J243" s="77"/>
      <c r="K243" s="77"/>
      <c r="L243" s="84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7"/>
      <c r="AE243" s="7"/>
    </row>
    <row r="244" spans="1:31" ht="15.75" customHeight="1">
      <c r="A244" s="80"/>
      <c r="B244" s="80"/>
      <c r="C244" s="80"/>
      <c r="D244" s="83"/>
      <c r="E244" s="80"/>
      <c r="F244" s="80"/>
      <c r="G244" s="77"/>
      <c r="H244" s="80"/>
      <c r="I244" s="80"/>
      <c r="J244" s="77"/>
      <c r="K244" s="77"/>
      <c r="L244" s="84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7"/>
      <c r="AE244" s="7"/>
    </row>
    <row r="245" spans="1:31" ht="15.75" customHeight="1">
      <c r="A245" s="80"/>
      <c r="B245" s="80"/>
      <c r="C245" s="80"/>
      <c r="D245" s="83"/>
      <c r="E245" s="80"/>
      <c r="F245" s="80"/>
      <c r="G245" s="77"/>
      <c r="H245" s="80"/>
      <c r="I245" s="80"/>
      <c r="J245" s="77"/>
      <c r="K245" s="77"/>
      <c r="L245" s="84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7"/>
      <c r="AE245" s="7"/>
    </row>
    <row r="246" spans="1:31" ht="15.75" customHeight="1">
      <c r="A246" s="80"/>
      <c r="B246" s="80"/>
      <c r="C246" s="80"/>
      <c r="D246" s="83"/>
      <c r="E246" s="80"/>
      <c r="F246" s="80"/>
      <c r="G246" s="77"/>
      <c r="H246" s="80"/>
      <c r="I246" s="80"/>
      <c r="J246" s="77"/>
      <c r="K246" s="77"/>
      <c r="L246" s="84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7"/>
      <c r="AE246" s="7"/>
    </row>
    <row r="247" spans="1:31" ht="15.75" customHeight="1">
      <c r="A247" s="80"/>
      <c r="B247" s="80"/>
      <c r="C247" s="80"/>
      <c r="D247" s="83"/>
      <c r="E247" s="80"/>
      <c r="F247" s="80"/>
      <c r="G247" s="77"/>
      <c r="H247" s="80"/>
      <c r="I247" s="80"/>
      <c r="J247" s="77"/>
      <c r="K247" s="77"/>
      <c r="L247" s="84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7"/>
      <c r="AE247" s="7"/>
    </row>
    <row r="248" spans="1:31" ht="15.75" customHeight="1">
      <c r="A248" s="80"/>
      <c r="B248" s="80"/>
      <c r="C248" s="80"/>
      <c r="D248" s="83"/>
      <c r="E248" s="80"/>
      <c r="F248" s="80"/>
      <c r="G248" s="77"/>
      <c r="H248" s="80"/>
      <c r="I248" s="80"/>
      <c r="J248" s="77"/>
      <c r="K248" s="77"/>
      <c r="L248" s="84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7"/>
      <c r="AE248" s="7"/>
    </row>
    <row r="249" spans="1:31" ht="15.75" customHeight="1">
      <c r="A249" s="80"/>
      <c r="B249" s="80"/>
      <c r="C249" s="80"/>
      <c r="D249" s="83"/>
      <c r="E249" s="80"/>
      <c r="F249" s="80"/>
      <c r="G249" s="77"/>
      <c r="H249" s="80"/>
      <c r="I249" s="80"/>
      <c r="J249" s="77"/>
      <c r="K249" s="77"/>
      <c r="L249" s="84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7"/>
      <c r="AE249" s="7"/>
    </row>
    <row r="250" spans="1:31" ht="15.75" customHeight="1">
      <c r="A250" s="80"/>
      <c r="B250" s="80"/>
      <c r="C250" s="80"/>
      <c r="D250" s="83"/>
      <c r="E250" s="80"/>
      <c r="F250" s="80"/>
      <c r="G250" s="77"/>
      <c r="H250" s="80"/>
      <c r="I250" s="80"/>
      <c r="J250" s="77"/>
      <c r="K250" s="77"/>
      <c r="L250" s="84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7"/>
      <c r="AE250" s="7"/>
    </row>
    <row r="251" spans="1:31" ht="15.75" customHeight="1">
      <c r="A251" s="80"/>
      <c r="B251" s="80"/>
      <c r="C251" s="80"/>
      <c r="D251" s="83"/>
      <c r="E251" s="80"/>
      <c r="F251" s="80"/>
      <c r="G251" s="77"/>
      <c r="H251" s="80"/>
      <c r="I251" s="80"/>
      <c r="J251" s="77"/>
      <c r="K251" s="77"/>
      <c r="L251" s="84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7"/>
      <c r="AE251" s="7"/>
    </row>
    <row r="252" spans="1:31" ht="15.75" customHeight="1">
      <c r="A252" s="80"/>
      <c r="B252" s="80"/>
      <c r="C252" s="80"/>
      <c r="D252" s="83"/>
      <c r="E252" s="80"/>
      <c r="F252" s="80"/>
      <c r="G252" s="77"/>
      <c r="H252" s="80"/>
      <c r="I252" s="80"/>
      <c r="J252" s="77"/>
      <c r="K252" s="77"/>
      <c r="L252" s="84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7"/>
      <c r="AE252" s="7"/>
    </row>
    <row r="253" spans="1:31" ht="15.75" customHeight="1">
      <c r="A253" s="80"/>
      <c r="B253" s="80"/>
      <c r="C253" s="80"/>
      <c r="D253" s="83"/>
      <c r="E253" s="80"/>
      <c r="F253" s="80"/>
      <c r="G253" s="77"/>
      <c r="H253" s="80"/>
      <c r="I253" s="80"/>
      <c r="J253" s="77"/>
      <c r="K253" s="77"/>
      <c r="L253" s="84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7"/>
      <c r="AE253" s="7"/>
    </row>
    <row r="254" spans="1:31" ht="15.75" customHeight="1">
      <c r="A254" s="80"/>
      <c r="B254" s="80"/>
      <c r="C254" s="80"/>
      <c r="D254" s="83"/>
      <c r="E254" s="80"/>
      <c r="F254" s="80"/>
      <c r="G254" s="77"/>
      <c r="H254" s="80"/>
      <c r="I254" s="80"/>
      <c r="J254" s="77"/>
      <c r="K254" s="77"/>
      <c r="L254" s="84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7"/>
      <c r="AE254" s="7"/>
    </row>
    <row r="255" spans="1:31" ht="15.75" customHeight="1">
      <c r="A255" s="80"/>
      <c r="B255" s="80"/>
      <c r="C255" s="80"/>
      <c r="D255" s="83"/>
      <c r="E255" s="80"/>
      <c r="F255" s="80"/>
      <c r="G255" s="77"/>
      <c r="H255" s="80"/>
      <c r="I255" s="80"/>
      <c r="J255" s="77"/>
      <c r="K255" s="77"/>
      <c r="L255" s="84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7"/>
      <c r="AE255" s="7"/>
    </row>
    <row r="256" spans="1:31" ht="15.75" customHeight="1">
      <c r="A256" s="80"/>
      <c r="B256" s="80"/>
      <c r="C256" s="80"/>
      <c r="D256" s="83"/>
      <c r="E256" s="80"/>
      <c r="F256" s="80"/>
      <c r="G256" s="77"/>
      <c r="H256" s="80"/>
      <c r="I256" s="80"/>
      <c r="J256" s="77"/>
      <c r="K256" s="77"/>
      <c r="L256" s="84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7"/>
      <c r="AE256" s="7"/>
    </row>
    <row r="257" spans="1:31" ht="15.75" customHeight="1">
      <c r="A257" s="80"/>
      <c r="B257" s="80"/>
      <c r="C257" s="80"/>
      <c r="D257" s="83"/>
      <c r="E257" s="80"/>
      <c r="F257" s="80"/>
      <c r="G257" s="77"/>
      <c r="H257" s="80"/>
      <c r="I257" s="80"/>
      <c r="J257" s="77"/>
      <c r="K257" s="77"/>
      <c r="L257" s="84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7"/>
      <c r="AE257" s="7"/>
    </row>
    <row r="258" spans="1:31" ht="15.75" customHeight="1">
      <c r="A258" s="80"/>
      <c r="B258" s="80"/>
      <c r="C258" s="80"/>
      <c r="D258" s="83"/>
      <c r="E258" s="80"/>
      <c r="F258" s="80"/>
      <c r="G258" s="77"/>
      <c r="H258" s="80"/>
      <c r="I258" s="80"/>
      <c r="J258" s="77"/>
      <c r="K258" s="77"/>
      <c r="L258" s="84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7"/>
      <c r="AE258" s="7"/>
    </row>
    <row r="259" spans="1:31" ht="15.75" customHeight="1">
      <c r="A259" s="80"/>
      <c r="B259" s="80"/>
      <c r="C259" s="80"/>
      <c r="D259" s="83"/>
      <c r="E259" s="80"/>
      <c r="F259" s="80"/>
      <c r="G259" s="77"/>
      <c r="H259" s="80"/>
      <c r="I259" s="80"/>
      <c r="J259" s="77"/>
      <c r="K259" s="77"/>
      <c r="L259" s="84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7"/>
      <c r="AE259" s="7"/>
    </row>
    <row r="260" spans="1:31" ht="15.75" customHeight="1">
      <c r="A260" s="80"/>
      <c r="B260" s="80"/>
      <c r="C260" s="80"/>
      <c r="D260" s="83"/>
      <c r="E260" s="80"/>
      <c r="F260" s="80"/>
      <c r="G260" s="77"/>
      <c r="H260" s="80"/>
      <c r="I260" s="80"/>
      <c r="J260" s="77"/>
      <c r="K260" s="77"/>
      <c r="L260" s="84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7"/>
      <c r="AE260" s="7"/>
    </row>
    <row r="261" spans="1:31" ht="15.75" customHeight="1">
      <c r="A261" s="80"/>
      <c r="B261" s="80"/>
      <c r="C261" s="80"/>
      <c r="D261" s="83"/>
      <c r="E261" s="80"/>
      <c r="F261" s="80"/>
      <c r="G261" s="77"/>
      <c r="H261" s="80"/>
      <c r="I261" s="80"/>
      <c r="J261" s="77"/>
      <c r="K261" s="77"/>
      <c r="L261" s="84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7"/>
      <c r="AE261" s="7"/>
    </row>
    <row r="262" spans="1:31" ht="15.75" customHeight="1">
      <c r="A262" s="80"/>
      <c r="B262" s="80"/>
      <c r="C262" s="80"/>
      <c r="D262" s="83"/>
      <c r="E262" s="80"/>
      <c r="F262" s="80"/>
      <c r="G262" s="77"/>
      <c r="H262" s="80"/>
      <c r="I262" s="80"/>
      <c r="J262" s="77"/>
      <c r="K262" s="77"/>
      <c r="L262" s="84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7"/>
      <c r="AE262" s="7"/>
    </row>
    <row r="263" spans="1:31" ht="15.75" customHeight="1">
      <c r="A263" s="80"/>
      <c r="B263" s="80"/>
      <c r="C263" s="80"/>
      <c r="D263" s="83"/>
      <c r="E263" s="80"/>
      <c r="F263" s="80"/>
      <c r="G263" s="77"/>
      <c r="H263" s="80"/>
      <c r="I263" s="80"/>
      <c r="J263" s="77"/>
      <c r="K263" s="77"/>
      <c r="L263" s="84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7"/>
      <c r="AE263" s="7"/>
    </row>
    <row r="264" spans="1:31" ht="15.75" customHeight="1">
      <c r="A264" s="80"/>
      <c r="B264" s="80"/>
      <c r="C264" s="80"/>
      <c r="D264" s="83"/>
      <c r="E264" s="80"/>
      <c r="F264" s="80"/>
      <c r="G264" s="77"/>
      <c r="H264" s="80"/>
      <c r="I264" s="80"/>
      <c r="J264" s="77"/>
      <c r="K264" s="77"/>
      <c r="L264" s="84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7"/>
      <c r="AE264" s="7"/>
    </row>
    <row r="265" spans="1:31" ht="15.75" customHeight="1">
      <c r="A265" s="80"/>
      <c r="B265" s="80"/>
      <c r="C265" s="80"/>
      <c r="D265" s="83"/>
      <c r="E265" s="80"/>
      <c r="F265" s="80"/>
      <c r="G265" s="77"/>
      <c r="H265" s="80"/>
      <c r="I265" s="80"/>
      <c r="J265" s="77"/>
      <c r="K265" s="77"/>
      <c r="L265" s="84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7"/>
      <c r="AE265" s="7"/>
    </row>
    <row r="266" spans="1:31" ht="15.75" customHeight="1">
      <c r="A266" s="80"/>
      <c r="B266" s="80"/>
      <c r="C266" s="80"/>
      <c r="D266" s="83"/>
      <c r="E266" s="80"/>
      <c r="F266" s="80"/>
      <c r="G266" s="77"/>
      <c r="H266" s="80"/>
      <c r="I266" s="80"/>
      <c r="J266" s="77"/>
      <c r="K266" s="77"/>
      <c r="L266" s="84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7"/>
      <c r="AE266" s="7"/>
    </row>
    <row r="267" spans="1:31" ht="15.75" customHeight="1">
      <c r="A267" s="80"/>
      <c r="B267" s="80"/>
      <c r="C267" s="80"/>
      <c r="D267" s="83"/>
      <c r="E267" s="80"/>
      <c r="F267" s="80"/>
      <c r="G267" s="77"/>
      <c r="H267" s="80"/>
      <c r="I267" s="80"/>
      <c r="J267" s="77"/>
      <c r="K267" s="77"/>
      <c r="L267" s="84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7"/>
      <c r="AE267" s="7"/>
    </row>
    <row r="268" spans="1:31" ht="15.75" customHeight="1">
      <c r="A268" s="80"/>
      <c r="B268" s="80"/>
      <c r="C268" s="80"/>
      <c r="D268" s="83"/>
      <c r="E268" s="80"/>
      <c r="F268" s="80"/>
      <c r="G268" s="77"/>
      <c r="H268" s="80"/>
      <c r="I268" s="80"/>
      <c r="J268" s="77"/>
      <c r="K268" s="77"/>
      <c r="L268" s="84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7"/>
      <c r="AE268" s="7"/>
    </row>
    <row r="269" spans="1:31" ht="15.75" customHeight="1">
      <c r="A269" s="80"/>
      <c r="B269" s="80"/>
      <c r="C269" s="80"/>
      <c r="D269" s="83"/>
      <c r="E269" s="80"/>
      <c r="F269" s="80"/>
      <c r="G269" s="77"/>
      <c r="H269" s="80"/>
      <c r="I269" s="80"/>
      <c r="J269" s="77"/>
      <c r="K269" s="77"/>
      <c r="L269" s="84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7"/>
      <c r="AE269" s="7"/>
    </row>
    <row r="270" spans="1:31" ht="15.75" customHeight="1">
      <c r="A270" s="80"/>
      <c r="B270" s="80"/>
      <c r="C270" s="80"/>
      <c r="D270" s="83"/>
      <c r="E270" s="80"/>
      <c r="F270" s="80"/>
      <c r="G270" s="77"/>
      <c r="H270" s="80"/>
      <c r="I270" s="80"/>
      <c r="J270" s="77"/>
      <c r="K270" s="77"/>
      <c r="L270" s="84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7"/>
      <c r="AE270" s="7"/>
    </row>
    <row r="271" spans="1:31" ht="15.75" customHeight="1">
      <c r="A271" s="80"/>
      <c r="B271" s="80"/>
      <c r="C271" s="80"/>
      <c r="D271" s="83"/>
      <c r="E271" s="80"/>
      <c r="F271" s="80"/>
      <c r="G271" s="77"/>
      <c r="H271" s="80"/>
      <c r="I271" s="80"/>
      <c r="J271" s="77"/>
      <c r="K271" s="77"/>
      <c r="L271" s="84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7"/>
      <c r="AE271" s="7"/>
    </row>
    <row r="272" spans="1:31" ht="15.75" customHeight="1">
      <c r="A272" s="80"/>
      <c r="B272" s="80"/>
      <c r="C272" s="80"/>
      <c r="D272" s="83"/>
      <c r="E272" s="80"/>
      <c r="F272" s="80"/>
      <c r="G272" s="77"/>
      <c r="H272" s="80"/>
      <c r="I272" s="80"/>
      <c r="J272" s="77"/>
      <c r="K272" s="77"/>
      <c r="L272" s="84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7"/>
      <c r="AE272" s="7"/>
    </row>
    <row r="273" spans="1:31" ht="15.75" customHeight="1">
      <c r="A273" s="80"/>
      <c r="B273" s="80"/>
      <c r="C273" s="80"/>
      <c r="D273" s="83"/>
      <c r="E273" s="80"/>
      <c r="F273" s="80"/>
      <c r="G273" s="77"/>
      <c r="H273" s="80"/>
      <c r="I273" s="80"/>
      <c r="J273" s="77"/>
      <c r="K273" s="77"/>
      <c r="L273" s="84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7"/>
      <c r="AE273" s="7"/>
    </row>
    <row r="274" spans="1:31" ht="15.75" customHeight="1">
      <c r="A274" s="80"/>
      <c r="B274" s="80"/>
      <c r="C274" s="80"/>
      <c r="D274" s="83"/>
      <c r="E274" s="80"/>
      <c r="F274" s="80"/>
      <c r="G274" s="77"/>
      <c r="H274" s="80"/>
      <c r="I274" s="80"/>
      <c r="J274" s="77"/>
      <c r="K274" s="77"/>
      <c r="L274" s="84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7"/>
      <c r="AE274" s="7"/>
    </row>
    <row r="275" spans="1:31" ht="15.75" customHeight="1">
      <c r="A275" s="80"/>
      <c r="B275" s="80"/>
      <c r="C275" s="80"/>
      <c r="D275" s="83"/>
      <c r="E275" s="80"/>
      <c r="F275" s="80"/>
      <c r="G275" s="77"/>
      <c r="H275" s="80"/>
      <c r="I275" s="80"/>
      <c r="J275" s="77"/>
      <c r="K275" s="77"/>
      <c r="L275" s="84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7"/>
      <c r="AE275" s="7"/>
    </row>
    <row r="276" spans="1:31" ht="15.75" customHeight="1">
      <c r="A276" s="80"/>
      <c r="B276" s="80"/>
      <c r="C276" s="80"/>
      <c r="D276" s="83"/>
      <c r="E276" s="80"/>
      <c r="F276" s="80"/>
      <c r="G276" s="77"/>
      <c r="H276" s="80"/>
      <c r="I276" s="80"/>
      <c r="J276" s="77"/>
      <c r="K276" s="77"/>
      <c r="L276" s="84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7"/>
      <c r="AE276" s="7"/>
    </row>
    <row r="277" spans="1:31" ht="15.75" customHeight="1">
      <c r="A277" s="80"/>
      <c r="B277" s="80"/>
      <c r="C277" s="80"/>
      <c r="D277" s="83"/>
      <c r="E277" s="80"/>
      <c r="F277" s="80"/>
      <c r="G277" s="77"/>
      <c r="H277" s="80"/>
      <c r="I277" s="80"/>
      <c r="J277" s="77"/>
      <c r="K277" s="77"/>
      <c r="L277" s="84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7"/>
      <c r="AE277" s="7"/>
    </row>
    <row r="278" spans="1:31" ht="15.75" customHeight="1">
      <c r="A278" s="80"/>
      <c r="B278" s="80"/>
      <c r="C278" s="80"/>
      <c r="D278" s="83"/>
      <c r="E278" s="80"/>
      <c r="F278" s="80"/>
      <c r="G278" s="77"/>
      <c r="H278" s="80"/>
      <c r="I278" s="80"/>
      <c r="J278" s="77"/>
      <c r="K278" s="77"/>
      <c r="L278" s="84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7"/>
      <c r="AE278" s="7"/>
    </row>
    <row r="279" spans="1:31" ht="15.75" customHeight="1">
      <c r="A279" s="80"/>
      <c r="B279" s="80"/>
      <c r="C279" s="80"/>
      <c r="D279" s="83"/>
      <c r="E279" s="80"/>
      <c r="F279" s="80"/>
      <c r="G279" s="77"/>
      <c r="H279" s="80"/>
      <c r="I279" s="80"/>
      <c r="J279" s="77"/>
      <c r="K279" s="77"/>
      <c r="L279" s="84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7"/>
      <c r="AE279" s="7"/>
    </row>
    <row r="280" spans="1:31" ht="15.75" customHeight="1">
      <c r="A280" s="80"/>
      <c r="B280" s="80"/>
      <c r="C280" s="80"/>
      <c r="D280" s="83"/>
      <c r="E280" s="80"/>
      <c r="F280" s="80"/>
      <c r="G280" s="77"/>
      <c r="H280" s="80"/>
      <c r="I280" s="80"/>
      <c r="J280" s="77"/>
      <c r="K280" s="77"/>
      <c r="L280" s="84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7"/>
      <c r="AE280" s="7"/>
    </row>
    <row r="281" spans="1:31" ht="15.75" customHeight="1">
      <c r="A281" s="80"/>
      <c r="B281" s="80"/>
      <c r="C281" s="80"/>
      <c r="D281" s="83"/>
      <c r="E281" s="80"/>
      <c r="F281" s="80"/>
      <c r="G281" s="77"/>
      <c r="H281" s="80"/>
      <c r="I281" s="80"/>
      <c r="J281" s="77"/>
      <c r="K281" s="77"/>
      <c r="L281" s="84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7"/>
      <c r="AE281" s="7"/>
    </row>
    <row r="282" spans="1:31" ht="15.75" customHeight="1">
      <c r="A282" s="80"/>
      <c r="B282" s="80"/>
      <c r="C282" s="80"/>
      <c r="D282" s="83"/>
      <c r="E282" s="80"/>
      <c r="F282" s="80"/>
      <c r="G282" s="77"/>
      <c r="H282" s="80"/>
      <c r="I282" s="80"/>
      <c r="J282" s="77"/>
      <c r="K282" s="77"/>
      <c r="L282" s="84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7"/>
      <c r="AE282" s="7"/>
    </row>
    <row r="283" spans="1:31" ht="15.75" customHeight="1">
      <c r="A283" s="80"/>
      <c r="B283" s="80"/>
      <c r="C283" s="80"/>
      <c r="D283" s="83"/>
      <c r="E283" s="80"/>
      <c r="F283" s="80"/>
      <c r="G283" s="77"/>
      <c r="H283" s="80"/>
      <c r="I283" s="80"/>
      <c r="J283" s="77"/>
      <c r="K283" s="77"/>
      <c r="L283" s="84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7"/>
      <c r="AE283" s="7"/>
    </row>
    <row r="284" spans="1:31" ht="15.75" customHeight="1">
      <c r="A284" s="80"/>
      <c r="B284" s="80"/>
      <c r="C284" s="80"/>
      <c r="D284" s="83"/>
      <c r="E284" s="80"/>
      <c r="F284" s="80"/>
      <c r="G284" s="77"/>
      <c r="H284" s="80"/>
      <c r="I284" s="80"/>
      <c r="J284" s="77"/>
      <c r="K284" s="77"/>
      <c r="L284" s="84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7"/>
      <c r="AE284" s="7"/>
    </row>
    <row r="285" spans="1:31" ht="15.75" customHeight="1">
      <c r="A285" s="80"/>
      <c r="B285" s="80"/>
      <c r="C285" s="80"/>
      <c r="D285" s="83"/>
      <c r="E285" s="80"/>
      <c r="F285" s="80"/>
      <c r="G285" s="77"/>
      <c r="H285" s="80"/>
      <c r="I285" s="80"/>
      <c r="J285" s="77"/>
      <c r="K285" s="77"/>
      <c r="L285" s="84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7"/>
      <c r="AE285" s="7"/>
    </row>
    <row r="286" spans="1:31" ht="15.75" customHeight="1">
      <c r="A286" s="80"/>
      <c r="B286" s="80"/>
      <c r="C286" s="80"/>
      <c r="D286" s="83"/>
      <c r="E286" s="80"/>
      <c r="F286" s="80"/>
      <c r="G286" s="77"/>
      <c r="H286" s="80"/>
      <c r="I286" s="80"/>
      <c r="J286" s="77"/>
      <c r="K286" s="77"/>
      <c r="L286" s="84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7"/>
      <c r="AE286" s="7"/>
    </row>
    <row r="287" spans="1:31" ht="15.75" customHeight="1">
      <c r="A287" s="80"/>
      <c r="B287" s="80"/>
      <c r="C287" s="80"/>
      <c r="D287" s="83"/>
      <c r="E287" s="80"/>
      <c r="F287" s="80"/>
      <c r="G287" s="77"/>
      <c r="H287" s="80"/>
      <c r="I287" s="80"/>
      <c r="J287" s="77"/>
      <c r="K287" s="77"/>
      <c r="L287" s="84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7"/>
      <c r="AE287" s="7"/>
    </row>
    <row r="288" spans="1:31" ht="15.75" customHeight="1">
      <c r="A288" s="80"/>
      <c r="B288" s="80"/>
      <c r="C288" s="80"/>
      <c r="D288" s="83"/>
      <c r="E288" s="80"/>
      <c r="F288" s="80"/>
      <c r="G288" s="77"/>
      <c r="H288" s="80"/>
      <c r="I288" s="80"/>
      <c r="J288" s="77"/>
      <c r="K288" s="77"/>
      <c r="L288" s="84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7"/>
      <c r="AE288" s="7"/>
    </row>
    <row r="289" spans="1:31" ht="15.75" customHeight="1">
      <c r="A289" s="80"/>
      <c r="B289" s="80"/>
      <c r="C289" s="80"/>
      <c r="D289" s="83"/>
      <c r="E289" s="80"/>
      <c r="F289" s="80"/>
      <c r="G289" s="77"/>
      <c r="H289" s="80"/>
      <c r="I289" s="80"/>
      <c r="J289" s="77"/>
      <c r="K289" s="77"/>
      <c r="L289" s="84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7"/>
      <c r="AE289" s="7"/>
    </row>
    <row r="290" spans="1:31" ht="15.75" customHeight="1">
      <c r="A290" s="80"/>
      <c r="B290" s="80"/>
      <c r="C290" s="80"/>
      <c r="D290" s="83"/>
      <c r="E290" s="80"/>
      <c r="F290" s="80"/>
      <c r="G290" s="77"/>
      <c r="H290" s="80"/>
      <c r="I290" s="80"/>
      <c r="J290" s="77"/>
      <c r="K290" s="77"/>
      <c r="L290" s="84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7"/>
      <c r="AE290" s="7"/>
    </row>
    <row r="291" spans="1:31" ht="15.75" customHeight="1">
      <c r="A291" s="80"/>
      <c r="B291" s="80"/>
      <c r="C291" s="80"/>
      <c r="D291" s="83"/>
      <c r="E291" s="80"/>
      <c r="F291" s="80"/>
      <c r="G291" s="77"/>
      <c r="H291" s="80"/>
      <c r="I291" s="80"/>
      <c r="J291" s="77"/>
      <c r="K291" s="77"/>
      <c r="L291" s="84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7"/>
      <c r="AE291" s="7"/>
    </row>
    <row r="292" spans="1:31" ht="15.75" customHeight="1">
      <c r="A292" s="80"/>
      <c r="B292" s="80"/>
      <c r="C292" s="80"/>
      <c r="D292" s="83"/>
      <c r="E292" s="80"/>
      <c r="F292" s="80"/>
      <c r="G292" s="77"/>
      <c r="H292" s="80"/>
      <c r="I292" s="80"/>
      <c r="J292" s="77"/>
      <c r="K292" s="77"/>
      <c r="L292" s="84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7"/>
      <c r="AE292" s="7"/>
    </row>
    <row r="293" spans="1:31" ht="15.75" customHeight="1">
      <c r="A293" s="80"/>
      <c r="B293" s="80"/>
      <c r="C293" s="80"/>
      <c r="D293" s="83"/>
      <c r="E293" s="80"/>
      <c r="F293" s="80"/>
      <c r="G293" s="77"/>
      <c r="H293" s="80"/>
      <c r="I293" s="80"/>
      <c r="J293" s="77"/>
      <c r="K293" s="77"/>
      <c r="L293" s="84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7"/>
      <c r="AE293" s="7"/>
    </row>
    <row r="294" spans="1:31" ht="15.75" customHeight="1">
      <c r="A294" s="80"/>
      <c r="B294" s="80"/>
      <c r="C294" s="80"/>
      <c r="D294" s="83"/>
      <c r="E294" s="80"/>
      <c r="F294" s="80"/>
      <c r="G294" s="77"/>
      <c r="H294" s="80"/>
      <c r="I294" s="80"/>
      <c r="J294" s="77"/>
      <c r="K294" s="77"/>
      <c r="L294" s="84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7"/>
      <c r="AE294" s="7"/>
    </row>
    <row r="295" spans="1:31" ht="15.75" customHeight="1">
      <c r="A295" s="80"/>
      <c r="B295" s="80"/>
      <c r="C295" s="80"/>
      <c r="D295" s="83"/>
      <c r="E295" s="80"/>
      <c r="F295" s="80"/>
      <c r="G295" s="77"/>
      <c r="H295" s="80"/>
      <c r="I295" s="80"/>
      <c r="J295" s="77"/>
      <c r="K295" s="77"/>
      <c r="L295" s="84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7"/>
      <c r="AE295" s="7"/>
    </row>
    <row r="296" spans="1:31" ht="15.75" customHeight="1">
      <c r="A296" s="80"/>
      <c r="B296" s="80"/>
      <c r="C296" s="80"/>
      <c r="D296" s="83"/>
      <c r="E296" s="80"/>
      <c r="F296" s="80"/>
      <c r="G296" s="77"/>
      <c r="H296" s="80"/>
      <c r="I296" s="80"/>
      <c r="J296" s="77"/>
      <c r="K296" s="77"/>
      <c r="L296" s="84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7"/>
      <c r="AE296" s="7"/>
    </row>
    <row r="297" spans="1:31" ht="15.75" customHeight="1">
      <c r="A297" s="80"/>
      <c r="B297" s="80"/>
      <c r="C297" s="80"/>
      <c r="D297" s="83"/>
      <c r="E297" s="80"/>
      <c r="F297" s="80"/>
      <c r="G297" s="77"/>
      <c r="H297" s="80"/>
      <c r="I297" s="80"/>
      <c r="J297" s="77"/>
      <c r="K297" s="77"/>
      <c r="L297" s="84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7"/>
      <c r="AE297" s="7"/>
    </row>
    <row r="298" spans="1:31" ht="15.75" customHeight="1">
      <c r="A298" s="80"/>
      <c r="B298" s="80"/>
      <c r="C298" s="80"/>
      <c r="D298" s="83"/>
      <c r="E298" s="80"/>
      <c r="F298" s="80"/>
      <c r="G298" s="77"/>
      <c r="H298" s="80"/>
      <c r="I298" s="80"/>
      <c r="J298" s="77"/>
      <c r="K298" s="77"/>
      <c r="L298" s="84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7"/>
      <c r="AE298" s="7"/>
    </row>
    <row r="299" spans="1:31" ht="15.75" customHeight="1">
      <c r="A299" s="80"/>
      <c r="B299" s="80"/>
      <c r="C299" s="80"/>
      <c r="D299" s="83"/>
      <c r="E299" s="80"/>
      <c r="F299" s="80"/>
      <c r="G299" s="77"/>
      <c r="H299" s="80"/>
      <c r="I299" s="80"/>
      <c r="J299" s="77"/>
      <c r="K299" s="77"/>
      <c r="L299" s="84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7"/>
      <c r="AE299" s="7"/>
    </row>
    <row r="300" spans="1:31" ht="15.75" customHeight="1">
      <c r="A300" s="80"/>
      <c r="B300" s="80"/>
      <c r="C300" s="80"/>
      <c r="D300" s="83"/>
      <c r="E300" s="80"/>
      <c r="F300" s="80"/>
      <c r="G300" s="77"/>
      <c r="H300" s="80"/>
      <c r="I300" s="80"/>
      <c r="J300" s="77"/>
      <c r="K300" s="77"/>
      <c r="L300" s="84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7"/>
      <c r="AE300" s="7"/>
    </row>
    <row r="301" spans="1:31" ht="15.75" customHeight="1">
      <c r="A301" s="80"/>
      <c r="B301" s="80"/>
      <c r="C301" s="80"/>
      <c r="D301" s="83"/>
      <c r="E301" s="80"/>
      <c r="F301" s="80"/>
      <c r="G301" s="77"/>
      <c r="H301" s="80"/>
      <c r="I301" s="80"/>
      <c r="J301" s="77"/>
      <c r="K301" s="77"/>
      <c r="L301" s="84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7"/>
      <c r="AE301" s="7"/>
    </row>
    <row r="302" spans="1:31" ht="15.75" customHeight="1">
      <c r="A302" s="80"/>
      <c r="B302" s="80"/>
      <c r="C302" s="80"/>
      <c r="D302" s="83"/>
      <c r="E302" s="80"/>
      <c r="F302" s="80"/>
      <c r="G302" s="77"/>
      <c r="H302" s="80"/>
      <c r="I302" s="80"/>
      <c r="J302" s="77"/>
      <c r="K302" s="77"/>
      <c r="L302" s="84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7"/>
      <c r="AE302" s="7"/>
    </row>
    <row r="303" spans="1:31" ht="15.75" customHeight="1">
      <c r="A303" s="80"/>
      <c r="B303" s="80"/>
      <c r="C303" s="80"/>
      <c r="D303" s="83"/>
      <c r="E303" s="80"/>
      <c r="F303" s="80"/>
      <c r="G303" s="77"/>
      <c r="H303" s="80"/>
      <c r="I303" s="80"/>
      <c r="J303" s="77"/>
      <c r="K303" s="77"/>
      <c r="L303" s="84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7"/>
      <c r="AE303" s="7"/>
    </row>
    <row r="304" spans="1:31" ht="15.75" customHeight="1">
      <c r="A304" s="80"/>
      <c r="B304" s="80"/>
      <c r="C304" s="80"/>
      <c r="D304" s="83"/>
      <c r="E304" s="80"/>
      <c r="F304" s="80"/>
      <c r="G304" s="77"/>
      <c r="H304" s="80"/>
      <c r="I304" s="80"/>
      <c r="J304" s="77"/>
      <c r="K304" s="77"/>
      <c r="L304" s="84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7"/>
      <c r="AE304" s="7"/>
    </row>
    <row r="305" spans="1:31" ht="15.75" customHeight="1">
      <c r="A305" s="80"/>
      <c r="B305" s="80"/>
      <c r="C305" s="80"/>
      <c r="D305" s="83"/>
      <c r="E305" s="80"/>
      <c r="F305" s="80"/>
      <c r="G305" s="77"/>
      <c r="H305" s="80"/>
      <c r="I305" s="80"/>
      <c r="J305" s="77"/>
      <c r="K305" s="77"/>
      <c r="L305" s="84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7"/>
      <c r="AE305" s="7"/>
    </row>
    <row r="306" spans="1:31" ht="15.75" customHeight="1">
      <c r="A306" s="80"/>
      <c r="B306" s="80"/>
      <c r="C306" s="80"/>
      <c r="D306" s="83"/>
      <c r="E306" s="80"/>
      <c r="F306" s="80"/>
      <c r="G306" s="77"/>
      <c r="H306" s="80"/>
      <c r="I306" s="80"/>
      <c r="J306" s="77"/>
      <c r="K306" s="77"/>
      <c r="L306" s="84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7"/>
      <c r="AE306" s="7"/>
    </row>
    <row r="307" spans="1:31" ht="15.75" customHeight="1">
      <c r="A307" s="80"/>
      <c r="B307" s="80"/>
      <c r="C307" s="80"/>
      <c r="D307" s="83"/>
      <c r="E307" s="80"/>
      <c r="F307" s="80"/>
      <c r="G307" s="77"/>
      <c r="H307" s="80"/>
      <c r="I307" s="80"/>
      <c r="J307" s="77"/>
      <c r="K307" s="77"/>
      <c r="L307" s="84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7"/>
      <c r="AE307" s="7"/>
    </row>
    <row r="308" spans="1:31" ht="15.75" customHeight="1">
      <c r="A308" s="80"/>
      <c r="B308" s="80"/>
      <c r="C308" s="80"/>
      <c r="D308" s="83"/>
      <c r="E308" s="80"/>
      <c r="F308" s="80"/>
      <c r="G308" s="77"/>
      <c r="H308" s="80"/>
      <c r="I308" s="80"/>
      <c r="J308" s="77"/>
      <c r="K308" s="77"/>
      <c r="L308" s="84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7"/>
      <c r="AE308" s="7"/>
    </row>
    <row r="309" spans="1:31" ht="15.75" customHeight="1">
      <c r="A309" s="80"/>
      <c r="B309" s="80"/>
      <c r="C309" s="80"/>
      <c r="D309" s="83"/>
      <c r="E309" s="80"/>
      <c r="F309" s="80"/>
      <c r="G309" s="77"/>
      <c r="H309" s="80"/>
      <c r="I309" s="80"/>
      <c r="J309" s="77"/>
      <c r="K309" s="77"/>
      <c r="L309" s="84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7"/>
      <c r="AE309" s="7"/>
    </row>
    <row r="310" spans="1:31" ht="15.75" customHeight="1">
      <c r="A310" s="80"/>
      <c r="B310" s="80"/>
      <c r="C310" s="80"/>
      <c r="D310" s="83"/>
      <c r="E310" s="80"/>
      <c r="F310" s="80"/>
      <c r="G310" s="77"/>
      <c r="H310" s="80"/>
      <c r="I310" s="80"/>
      <c r="J310" s="77"/>
      <c r="K310" s="77"/>
      <c r="L310" s="84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7"/>
      <c r="AE310" s="7"/>
    </row>
    <row r="311" spans="1:31" ht="15.75" customHeight="1">
      <c r="A311" s="80"/>
      <c r="B311" s="80"/>
      <c r="C311" s="80"/>
      <c r="D311" s="83"/>
      <c r="E311" s="80"/>
      <c r="F311" s="80"/>
      <c r="G311" s="77"/>
      <c r="H311" s="80"/>
      <c r="I311" s="80"/>
      <c r="J311" s="77"/>
      <c r="K311" s="77"/>
      <c r="L311" s="84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7"/>
      <c r="AE311" s="7"/>
    </row>
    <row r="312" spans="1:31" ht="15.75" customHeight="1">
      <c r="A312" s="80"/>
      <c r="B312" s="80"/>
      <c r="C312" s="80"/>
      <c r="D312" s="83"/>
      <c r="E312" s="80"/>
      <c r="F312" s="80"/>
      <c r="G312" s="77"/>
      <c r="H312" s="80"/>
      <c r="I312" s="80"/>
      <c r="J312" s="77"/>
      <c r="K312" s="77"/>
      <c r="L312" s="84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7"/>
      <c r="AE312" s="7"/>
    </row>
    <row r="313" spans="1:31" ht="15.75" customHeight="1">
      <c r="A313" s="80"/>
      <c r="B313" s="80"/>
      <c r="C313" s="80"/>
      <c r="D313" s="83"/>
      <c r="E313" s="80"/>
      <c r="F313" s="80"/>
      <c r="G313" s="77"/>
      <c r="H313" s="80"/>
      <c r="I313" s="80"/>
      <c r="J313" s="77"/>
      <c r="K313" s="77"/>
      <c r="L313" s="84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7"/>
      <c r="AE313" s="7"/>
    </row>
    <row r="314" spans="1:31" ht="15.75" customHeight="1">
      <c r="A314" s="80"/>
      <c r="B314" s="80"/>
      <c r="C314" s="80"/>
      <c r="D314" s="83"/>
      <c r="E314" s="80"/>
      <c r="F314" s="80"/>
      <c r="G314" s="77"/>
      <c r="H314" s="80"/>
      <c r="I314" s="80"/>
      <c r="J314" s="77"/>
      <c r="K314" s="77"/>
      <c r="L314" s="84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7"/>
      <c r="AE314" s="7"/>
    </row>
    <row r="315" spans="1:31" ht="15.75" customHeight="1">
      <c r="A315" s="80"/>
      <c r="B315" s="80"/>
      <c r="C315" s="80"/>
      <c r="D315" s="83"/>
      <c r="E315" s="80"/>
      <c r="F315" s="80"/>
      <c r="G315" s="77"/>
      <c r="H315" s="80"/>
      <c r="I315" s="80"/>
      <c r="J315" s="77"/>
      <c r="K315" s="77"/>
      <c r="L315" s="84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7"/>
      <c r="AE315" s="7"/>
    </row>
    <row r="316" spans="1:31" ht="15.75" customHeight="1">
      <c r="A316" s="80"/>
      <c r="B316" s="80"/>
      <c r="C316" s="80"/>
      <c r="D316" s="83"/>
      <c r="E316" s="80"/>
      <c r="F316" s="80"/>
      <c r="G316" s="77"/>
      <c r="H316" s="80"/>
      <c r="I316" s="80"/>
      <c r="J316" s="77"/>
      <c r="K316" s="77"/>
      <c r="L316" s="84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7"/>
      <c r="AE316" s="7"/>
    </row>
    <row r="317" spans="1:31" ht="15.75" customHeight="1">
      <c r="A317" s="80"/>
      <c r="B317" s="80"/>
      <c r="C317" s="80"/>
      <c r="D317" s="83"/>
      <c r="E317" s="80"/>
      <c r="F317" s="80"/>
      <c r="G317" s="77"/>
      <c r="H317" s="80"/>
      <c r="I317" s="80"/>
      <c r="J317" s="77"/>
      <c r="K317" s="77"/>
      <c r="L317" s="84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7"/>
      <c r="AE317" s="7"/>
    </row>
    <row r="318" spans="1:31" ht="15.75" customHeight="1">
      <c r="A318" s="80"/>
      <c r="B318" s="80"/>
      <c r="C318" s="80"/>
      <c r="D318" s="83"/>
      <c r="E318" s="80"/>
      <c r="F318" s="80"/>
      <c r="G318" s="77"/>
      <c r="H318" s="80"/>
      <c r="I318" s="80"/>
      <c r="J318" s="77"/>
      <c r="K318" s="77"/>
      <c r="L318" s="84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7"/>
      <c r="AE318" s="7"/>
    </row>
    <row r="319" spans="1:31" ht="15.75" customHeight="1">
      <c r="A319" s="80"/>
      <c r="B319" s="80"/>
      <c r="C319" s="80"/>
      <c r="D319" s="83"/>
      <c r="E319" s="80"/>
      <c r="F319" s="80"/>
      <c r="G319" s="77"/>
      <c r="H319" s="80"/>
      <c r="I319" s="80"/>
      <c r="J319" s="77"/>
      <c r="K319" s="77"/>
      <c r="L319" s="84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7"/>
      <c r="AE319" s="7"/>
    </row>
    <row r="320" spans="1:31" ht="15.75" customHeight="1">
      <c r="A320" s="80"/>
      <c r="B320" s="80"/>
      <c r="C320" s="80"/>
      <c r="D320" s="83"/>
      <c r="E320" s="80"/>
      <c r="F320" s="80"/>
      <c r="G320" s="77"/>
      <c r="H320" s="80"/>
      <c r="I320" s="80"/>
      <c r="J320" s="77"/>
      <c r="K320" s="77"/>
      <c r="L320" s="84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7"/>
      <c r="AE320" s="7"/>
    </row>
    <row r="321" spans="1:31" ht="15.75" customHeight="1">
      <c r="A321" s="80"/>
      <c r="B321" s="80"/>
      <c r="C321" s="80"/>
      <c r="D321" s="83"/>
      <c r="E321" s="80"/>
      <c r="F321" s="80"/>
      <c r="G321" s="77"/>
      <c r="H321" s="80"/>
      <c r="I321" s="80"/>
      <c r="J321" s="77"/>
      <c r="K321" s="77"/>
      <c r="L321" s="84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7"/>
      <c r="AE321" s="7"/>
    </row>
    <row r="322" spans="1:31" ht="15.75" customHeight="1">
      <c r="A322" s="80"/>
      <c r="B322" s="80"/>
      <c r="C322" s="80"/>
      <c r="D322" s="83"/>
      <c r="E322" s="80"/>
      <c r="F322" s="80"/>
      <c r="G322" s="77"/>
      <c r="H322" s="80"/>
      <c r="I322" s="80"/>
      <c r="J322" s="77"/>
      <c r="K322" s="77"/>
      <c r="L322" s="84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7"/>
      <c r="AE322" s="7"/>
    </row>
    <row r="323" spans="1:31" ht="15.75" customHeight="1">
      <c r="A323" s="80"/>
      <c r="B323" s="80"/>
      <c r="C323" s="80"/>
      <c r="D323" s="83"/>
      <c r="E323" s="80"/>
      <c r="F323" s="80"/>
      <c r="G323" s="77"/>
      <c r="H323" s="80"/>
      <c r="I323" s="80"/>
      <c r="J323" s="77"/>
      <c r="K323" s="77"/>
      <c r="L323" s="84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7"/>
      <c r="AE323" s="7"/>
    </row>
    <row r="324" spans="1:31" ht="15.75" customHeight="1">
      <c r="A324" s="80"/>
      <c r="B324" s="80"/>
      <c r="C324" s="80"/>
      <c r="D324" s="83"/>
      <c r="E324" s="80"/>
      <c r="F324" s="80"/>
      <c r="G324" s="77"/>
      <c r="H324" s="80"/>
      <c r="I324" s="80"/>
      <c r="J324" s="77"/>
      <c r="K324" s="77"/>
      <c r="L324" s="84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7"/>
      <c r="AE324" s="7"/>
    </row>
    <row r="325" spans="1:31" ht="15.75" customHeight="1">
      <c r="A325" s="80"/>
      <c r="B325" s="80"/>
      <c r="C325" s="80"/>
      <c r="D325" s="83"/>
      <c r="E325" s="80"/>
      <c r="F325" s="80"/>
      <c r="G325" s="77"/>
      <c r="H325" s="80"/>
      <c r="I325" s="80"/>
      <c r="J325" s="77"/>
      <c r="K325" s="77"/>
      <c r="L325" s="84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7"/>
      <c r="AE325" s="7"/>
    </row>
    <row r="326" spans="1:31" ht="15.75" customHeight="1">
      <c r="A326" s="80"/>
      <c r="B326" s="80"/>
      <c r="C326" s="80"/>
      <c r="D326" s="83"/>
      <c r="E326" s="80"/>
      <c r="F326" s="80"/>
      <c r="G326" s="77"/>
      <c r="H326" s="80"/>
      <c r="I326" s="80"/>
      <c r="J326" s="77"/>
      <c r="K326" s="77"/>
      <c r="L326" s="84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7"/>
      <c r="AE326" s="7"/>
    </row>
    <row r="327" spans="1:31" ht="15.75" customHeight="1">
      <c r="A327" s="80"/>
      <c r="B327" s="80"/>
      <c r="C327" s="80"/>
      <c r="D327" s="83"/>
      <c r="E327" s="80"/>
      <c r="F327" s="80"/>
      <c r="G327" s="77"/>
      <c r="H327" s="80"/>
      <c r="I327" s="80"/>
      <c r="J327" s="77"/>
      <c r="K327" s="77"/>
      <c r="L327" s="84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7"/>
      <c r="AE327" s="7"/>
    </row>
    <row r="328" spans="1:31" ht="15.75" customHeight="1">
      <c r="A328" s="80"/>
      <c r="B328" s="80"/>
      <c r="C328" s="80"/>
      <c r="D328" s="83"/>
      <c r="E328" s="80"/>
      <c r="F328" s="80"/>
      <c r="G328" s="77"/>
      <c r="H328" s="80"/>
      <c r="I328" s="80"/>
      <c r="J328" s="77"/>
      <c r="K328" s="77"/>
      <c r="L328" s="84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7"/>
      <c r="AE328" s="7"/>
    </row>
    <row r="329" spans="1:31" ht="15.75" customHeight="1">
      <c r="A329" s="80"/>
      <c r="B329" s="80"/>
      <c r="C329" s="80"/>
      <c r="D329" s="83"/>
      <c r="E329" s="80"/>
      <c r="F329" s="80"/>
      <c r="G329" s="77"/>
      <c r="H329" s="80"/>
      <c r="I329" s="80"/>
      <c r="J329" s="77"/>
      <c r="K329" s="77"/>
      <c r="L329" s="84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7"/>
      <c r="AE329" s="7"/>
    </row>
    <row r="330" spans="1:31" ht="15.75" customHeight="1">
      <c r="A330" s="80"/>
      <c r="B330" s="80"/>
      <c r="C330" s="80"/>
      <c r="D330" s="83"/>
      <c r="E330" s="80"/>
      <c r="F330" s="80"/>
      <c r="G330" s="77"/>
      <c r="H330" s="80"/>
      <c r="I330" s="80"/>
      <c r="J330" s="77"/>
      <c r="K330" s="77"/>
      <c r="L330" s="84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7"/>
      <c r="AE330" s="7"/>
    </row>
    <row r="331" spans="1:31" ht="15.75" customHeight="1">
      <c r="A331" s="80"/>
      <c r="B331" s="80"/>
      <c r="C331" s="80"/>
      <c r="D331" s="83"/>
      <c r="E331" s="80"/>
      <c r="F331" s="80"/>
      <c r="G331" s="77"/>
      <c r="H331" s="80"/>
      <c r="I331" s="80"/>
      <c r="J331" s="77"/>
      <c r="K331" s="77"/>
      <c r="L331" s="84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7"/>
      <c r="AE331" s="7"/>
    </row>
    <row r="332" spans="1:31" ht="15.75" customHeight="1">
      <c r="A332" s="80"/>
      <c r="B332" s="80"/>
      <c r="C332" s="80"/>
      <c r="D332" s="83"/>
      <c r="E332" s="80"/>
      <c r="F332" s="80"/>
      <c r="G332" s="77"/>
      <c r="H332" s="80"/>
      <c r="I332" s="80"/>
      <c r="J332" s="77"/>
      <c r="K332" s="77"/>
      <c r="L332" s="84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7"/>
      <c r="AE332" s="7"/>
    </row>
    <row r="333" spans="1:31" ht="15.75" customHeight="1">
      <c r="A333" s="80"/>
      <c r="B333" s="80"/>
      <c r="C333" s="80"/>
      <c r="D333" s="83"/>
      <c r="E333" s="80"/>
      <c r="F333" s="80"/>
      <c r="G333" s="77"/>
      <c r="H333" s="80"/>
      <c r="I333" s="80"/>
      <c r="J333" s="77"/>
      <c r="K333" s="77"/>
      <c r="L333" s="84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7"/>
      <c r="AE333" s="7"/>
    </row>
    <row r="334" spans="1:31" ht="15.75" customHeight="1">
      <c r="A334" s="80"/>
      <c r="B334" s="80"/>
      <c r="C334" s="80"/>
      <c r="D334" s="83"/>
      <c r="E334" s="80"/>
      <c r="F334" s="80"/>
      <c r="G334" s="77"/>
      <c r="H334" s="80"/>
      <c r="I334" s="80"/>
      <c r="J334" s="77"/>
      <c r="K334" s="77"/>
      <c r="L334" s="84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7"/>
      <c r="AE334" s="7"/>
    </row>
    <row r="335" spans="1:31" ht="15.75" customHeight="1">
      <c r="A335" s="80"/>
      <c r="B335" s="80"/>
      <c r="C335" s="80"/>
      <c r="D335" s="83"/>
      <c r="E335" s="80"/>
      <c r="F335" s="80"/>
      <c r="G335" s="77"/>
      <c r="H335" s="80"/>
      <c r="I335" s="80"/>
      <c r="J335" s="77"/>
      <c r="K335" s="77"/>
      <c r="L335" s="84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7"/>
      <c r="AE335" s="7"/>
    </row>
    <row r="336" spans="1:31" ht="15.75" customHeight="1">
      <c r="A336" s="80"/>
      <c r="B336" s="80"/>
      <c r="C336" s="80"/>
      <c r="D336" s="83"/>
      <c r="E336" s="80"/>
      <c r="F336" s="80"/>
      <c r="G336" s="77"/>
      <c r="H336" s="80"/>
      <c r="I336" s="80"/>
      <c r="J336" s="77"/>
      <c r="K336" s="77"/>
      <c r="L336" s="84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7"/>
      <c r="AE336" s="7"/>
    </row>
    <row r="337" spans="1:31" ht="15.75" customHeight="1">
      <c r="A337" s="80"/>
      <c r="B337" s="80"/>
      <c r="C337" s="80"/>
      <c r="D337" s="83"/>
      <c r="E337" s="80"/>
      <c r="F337" s="80"/>
      <c r="G337" s="77"/>
      <c r="H337" s="80"/>
      <c r="I337" s="80"/>
      <c r="J337" s="77"/>
      <c r="K337" s="77"/>
      <c r="L337" s="84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7"/>
      <c r="AE337" s="7"/>
    </row>
    <row r="338" spans="1:31" ht="15.75" customHeight="1">
      <c r="A338" s="80"/>
      <c r="B338" s="80"/>
      <c r="C338" s="80"/>
      <c r="D338" s="83"/>
      <c r="E338" s="80"/>
      <c r="F338" s="80"/>
      <c r="G338" s="77"/>
      <c r="H338" s="80"/>
      <c r="I338" s="80"/>
      <c r="J338" s="77"/>
      <c r="K338" s="77"/>
      <c r="L338" s="84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7"/>
      <c r="AE338" s="7"/>
    </row>
    <row r="339" spans="1:31" ht="15.75" customHeight="1">
      <c r="A339" s="80"/>
      <c r="B339" s="80"/>
      <c r="C339" s="80"/>
      <c r="D339" s="83"/>
      <c r="E339" s="80"/>
      <c r="F339" s="80"/>
      <c r="G339" s="77"/>
      <c r="H339" s="80"/>
      <c r="I339" s="80"/>
      <c r="J339" s="77"/>
      <c r="K339" s="77"/>
      <c r="L339" s="84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7"/>
      <c r="AE339" s="7"/>
    </row>
    <row r="340" spans="1:31" ht="15.75" customHeight="1">
      <c r="A340" s="80"/>
      <c r="B340" s="80"/>
      <c r="C340" s="80"/>
      <c r="D340" s="83"/>
      <c r="E340" s="80"/>
      <c r="F340" s="80"/>
      <c r="G340" s="77"/>
      <c r="H340" s="80"/>
      <c r="I340" s="80"/>
      <c r="J340" s="77"/>
      <c r="K340" s="77"/>
      <c r="L340" s="84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7"/>
      <c r="AE340" s="7"/>
    </row>
    <row r="341" spans="1:31" ht="15.75" customHeight="1">
      <c r="A341" s="80"/>
      <c r="B341" s="80"/>
      <c r="C341" s="80"/>
      <c r="D341" s="83"/>
      <c r="E341" s="80"/>
      <c r="F341" s="80"/>
      <c r="G341" s="77"/>
      <c r="H341" s="80"/>
      <c r="I341" s="80"/>
      <c r="J341" s="77"/>
      <c r="K341" s="77"/>
      <c r="L341" s="84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7"/>
      <c r="AE341" s="7"/>
    </row>
    <row r="342" spans="1:31" ht="15.75" customHeight="1">
      <c r="A342" s="80"/>
      <c r="B342" s="80"/>
      <c r="C342" s="80"/>
      <c r="D342" s="83"/>
      <c r="E342" s="80"/>
      <c r="F342" s="80"/>
      <c r="G342" s="77"/>
      <c r="H342" s="80"/>
      <c r="I342" s="80"/>
      <c r="J342" s="77"/>
      <c r="K342" s="77"/>
      <c r="L342" s="84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7"/>
      <c r="AE342" s="7"/>
    </row>
    <row r="343" spans="1:31" ht="15.75" customHeight="1">
      <c r="A343" s="80"/>
      <c r="B343" s="80"/>
      <c r="C343" s="80"/>
      <c r="D343" s="83"/>
      <c r="E343" s="80"/>
      <c r="F343" s="80"/>
      <c r="G343" s="77"/>
      <c r="H343" s="80"/>
      <c r="I343" s="80"/>
      <c r="J343" s="77"/>
      <c r="K343" s="77"/>
      <c r="L343" s="84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7"/>
      <c r="AE343" s="7"/>
    </row>
    <row r="344" spans="1:31" ht="15.75" customHeight="1">
      <c r="A344" s="80"/>
      <c r="B344" s="80"/>
      <c r="C344" s="80"/>
      <c r="D344" s="83"/>
      <c r="E344" s="80"/>
      <c r="F344" s="80"/>
      <c r="G344" s="77"/>
      <c r="H344" s="80"/>
      <c r="I344" s="80"/>
      <c r="J344" s="77"/>
      <c r="K344" s="77"/>
      <c r="L344" s="84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7"/>
      <c r="AE344" s="7"/>
    </row>
    <row r="345" spans="1:31" ht="15.75" customHeight="1">
      <c r="A345" s="80"/>
      <c r="B345" s="80"/>
      <c r="C345" s="80"/>
      <c r="D345" s="83"/>
      <c r="E345" s="80"/>
      <c r="F345" s="80"/>
      <c r="G345" s="77"/>
      <c r="H345" s="80"/>
      <c r="I345" s="80"/>
      <c r="J345" s="77"/>
      <c r="K345" s="77"/>
      <c r="L345" s="84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7"/>
      <c r="AE345" s="7"/>
    </row>
    <row r="346" spans="1:31" ht="15.75" customHeight="1">
      <c r="A346" s="80"/>
      <c r="B346" s="80"/>
      <c r="C346" s="80"/>
      <c r="D346" s="83"/>
      <c r="E346" s="80"/>
      <c r="F346" s="80"/>
      <c r="G346" s="77"/>
      <c r="H346" s="80"/>
      <c r="I346" s="80"/>
      <c r="J346" s="77"/>
      <c r="K346" s="77"/>
      <c r="L346" s="84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7"/>
      <c r="AE346" s="7"/>
    </row>
    <row r="347" spans="1:31" ht="15.75" customHeight="1">
      <c r="A347" s="80"/>
      <c r="B347" s="80"/>
      <c r="C347" s="80"/>
      <c r="D347" s="83"/>
      <c r="E347" s="80"/>
      <c r="F347" s="80"/>
      <c r="G347" s="77"/>
      <c r="H347" s="80"/>
      <c r="I347" s="80"/>
      <c r="J347" s="77"/>
      <c r="K347" s="77"/>
      <c r="L347" s="84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7"/>
      <c r="AE347" s="7"/>
    </row>
    <row r="348" spans="1:31" ht="15.75" customHeight="1">
      <c r="A348" s="80"/>
      <c r="B348" s="80"/>
      <c r="C348" s="80"/>
      <c r="D348" s="83"/>
      <c r="E348" s="80"/>
      <c r="F348" s="80"/>
      <c r="G348" s="77"/>
      <c r="H348" s="80"/>
      <c r="I348" s="80"/>
      <c r="J348" s="77"/>
      <c r="K348" s="77"/>
      <c r="L348" s="84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7"/>
      <c r="AE348" s="7"/>
    </row>
    <row r="349" spans="1:31" ht="15.75" customHeight="1">
      <c r="A349" s="80"/>
      <c r="B349" s="80"/>
      <c r="C349" s="80"/>
      <c r="D349" s="83"/>
      <c r="E349" s="80"/>
      <c r="F349" s="80"/>
      <c r="G349" s="77"/>
      <c r="H349" s="80"/>
      <c r="I349" s="80"/>
      <c r="J349" s="77"/>
      <c r="K349" s="77"/>
      <c r="L349" s="84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7"/>
      <c r="AE349" s="7"/>
    </row>
    <row r="350" spans="1:31" ht="15.75" customHeight="1">
      <c r="A350" s="80"/>
      <c r="B350" s="80"/>
      <c r="C350" s="80"/>
      <c r="D350" s="83"/>
      <c r="E350" s="80"/>
      <c r="F350" s="80"/>
      <c r="G350" s="77"/>
      <c r="H350" s="80"/>
      <c r="I350" s="80"/>
      <c r="J350" s="77"/>
      <c r="K350" s="77"/>
      <c r="L350" s="84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7"/>
      <c r="AE350" s="7"/>
    </row>
    <row r="351" spans="1:31" ht="15.75" customHeight="1">
      <c r="A351" s="80"/>
      <c r="B351" s="80"/>
      <c r="C351" s="80"/>
      <c r="D351" s="83"/>
      <c r="E351" s="80"/>
      <c r="F351" s="80"/>
      <c r="G351" s="77"/>
      <c r="H351" s="80"/>
      <c r="I351" s="80"/>
      <c r="J351" s="77"/>
      <c r="K351" s="77"/>
      <c r="L351" s="84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7"/>
      <c r="AE351" s="7"/>
    </row>
    <row r="352" spans="1:31" ht="15.75" customHeight="1">
      <c r="A352" s="80"/>
      <c r="B352" s="80"/>
      <c r="C352" s="80"/>
      <c r="D352" s="83"/>
      <c r="E352" s="80"/>
      <c r="F352" s="80"/>
      <c r="G352" s="77"/>
      <c r="H352" s="80"/>
      <c r="I352" s="80"/>
      <c r="J352" s="77"/>
      <c r="K352" s="77"/>
      <c r="L352" s="84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7"/>
      <c r="AE352" s="7"/>
    </row>
    <row r="353" spans="1:31" ht="15.75" customHeight="1">
      <c r="A353" s="80"/>
      <c r="B353" s="80"/>
      <c r="C353" s="80"/>
      <c r="D353" s="83"/>
      <c r="E353" s="80"/>
      <c r="F353" s="80"/>
      <c r="G353" s="77"/>
      <c r="H353" s="80"/>
      <c r="I353" s="80"/>
      <c r="J353" s="77"/>
      <c r="K353" s="77"/>
      <c r="L353" s="84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7"/>
      <c r="AE353" s="7"/>
    </row>
    <row r="354" spans="1:31" ht="15.75" customHeight="1">
      <c r="A354" s="80"/>
      <c r="B354" s="80"/>
      <c r="C354" s="80"/>
      <c r="D354" s="83"/>
      <c r="E354" s="80"/>
      <c r="F354" s="80"/>
      <c r="G354" s="77"/>
      <c r="H354" s="80"/>
      <c r="I354" s="80"/>
      <c r="J354" s="77"/>
      <c r="K354" s="77"/>
      <c r="L354" s="84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7"/>
      <c r="AE354" s="7"/>
    </row>
    <row r="355" spans="1:31" ht="15.75" customHeight="1">
      <c r="A355" s="80"/>
      <c r="B355" s="80"/>
      <c r="C355" s="80"/>
      <c r="D355" s="83"/>
      <c r="E355" s="80"/>
      <c r="F355" s="80"/>
      <c r="G355" s="77"/>
      <c r="H355" s="80"/>
      <c r="I355" s="80"/>
      <c r="J355" s="77"/>
      <c r="K355" s="77"/>
      <c r="L355" s="84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7"/>
      <c r="AE355" s="7"/>
    </row>
    <row r="356" spans="1:31" ht="15.75" customHeight="1">
      <c r="A356" s="80"/>
      <c r="B356" s="80"/>
      <c r="C356" s="80"/>
      <c r="D356" s="83"/>
      <c r="E356" s="80"/>
      <c r="F356" s="80"/>
      <c r="G356" s="77"/>
      <c r="H356" s="80"/>
      <c r="I356" s="80"/>
      <c r="J356" s="77"/>
      <c r="K356" s="77"/>
      <c r="L356" s="84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7"/>
      <c r="AE356" s="7"/>
    </row>
    <row r="357" spans="1:31" ht="15.75" customHeight="1">
      <c r="A357" s="80"/>
      <c r="B357" s="80"/>
      <c r="C357" s="80"/>
      <c r="D357" s="83"/>
      <c r="E357" s="80"/>
      <c r="F357" s="80"/>
      <c r="G357" s="77"/>
      <c r="H357" s="80"/>
      <c r="I357" s="80"/>
      <c r="J357" s="77"/>
      <c r="K357" s="77"/>
      <c r="L357" s="84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7"/>
      <c r="AE357" s="7"/>
    </row>
    <row r="358" spans="1:31" ht="15.75" customHeight="1">
      <c r="A358" s="80"/>
      <c r="B358" s="80"/>
      <c r="C358" s="80"/>
      <c r="D358" s="83"/>
      <c r="E358" s="80"/>
      <c r="F358" s="80"/>
      <c r="G358" s="77"/>
      <c r="H358" s="80"/>
      <c r="I358" s="80"/>
      <c r="J358" s="77"/>
      <c r="K358" s="77"/>
      <c r="L358" s="84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7"/>
      <c r="AE358" s="7"/>
    </row>
    <row r="359" spans="1:31" ht="15.75" customHeight="1">
      <c r="A359" s="80"/>
      <c r="B359" s="80"/>
      <c r="C359" s="80"/>
      <c r="D359" s="83"/>
      <c r="E359" s="80"/>
      <c r="F359" s="80"/>
      <c r="G359" s="77"/>
      <c r="H359" s="80"/>
      <c r="I359" s="80"/>
      <c r="J359" s="77"/>
      <c r="K359" s="77"/>
      <c r="L359" s="84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7"/>
      <c r="AE359" s="7"/>
    </row>
    <row r="360" spans="1:31" ht="15.75" customHeight="1">
      <c r="A360" s="80"/>
      <c r="B360" s="80"/>
      <c r="C360" s="80"/>
      <c r="D360" s="83"/>
      <c r="E360" s="80"/>
      <c r="F360" s="80"/>
      <c r="G360" s="77"/>
      <c r="H360" s="80"/>
      <c r="I360" s="80"/>
      <c r="J360" s="77"/>
      <c r="K360" s="77"/>
      <c r="L360" s="84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7"/>
      <c r="AE360" s="7"/>
    </row>
    <row r="361" spans="1:31" ht="15.75" customHeight="1">
      <c r="A361" s="80"/>
      <c r="B361" s="80"/>
      <c r="C361" s="80"/>
      <c r="D361" s="83"/>
      <c r="E361" s="80"/>
      <c r="F361" s="80"/>
      <c r="G361" s="77"/>
      <c r="H361" s="80"/>
      <c r="I361" s="80"/>
      <c r="J361" s="77"/>
      <c r="K361" s="77"/>
      <c r="L361" s="84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7"/>
      <c r="AE361" s="7"/>
    </row>
    <row r="362" spans="1:31" ht="15.75" customHeight="1">
      <c r="A362" s="80"/>
      <c r="B362" s="80"/>
      <c r="C362" s="80"/>
      <c r="D362" s="83"/>
      <c r="E362" s="80"/>
      <c r="F362" s="80"/>
      <c r="G362" s="77"/>
      <c r="H362" s="80"/>
      <c r="I362" s="80"/>
      <c r="J362" s="77"/>
      <c r="K362" s="77"/>
      <c r="L362" s="84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7"/>
      <c r="AE362" s="7"/>
    </row>
    <row r="363" spans="1:31" ht="15.75" customHeight="1">
      <c r="A363" s="80"/>
      <c r="B363" s="80"/>
      <c r="C363" s="80"/>
      <c r="D363" s="83"/>
      <c r="E363" s="80"/>
      <c r="F363" s="80"/>
      <c r="G363" s="77"/>
      <c r="H363" s="80"/>
      <c r="I363" s="80"/>
      <c r="J363" s="77"/>
      <c r="K363" s="77"/>
      <c r="L363" s="84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7"/>
      <c r="AE363" s="7"/>
    </row>
    <row r="364" spans="1:31" ht="15.75" customHeight="1">
      <c r="A364" s="80"/>
      <c r="B364" s="80"/>
      <c r="C364" s="80"/>
      <c r="D364" s="83"/>
      <c r="E364" s="80"/>
      <c r="F364" s="80"/>
      <c r="G364" s="77"/>
      <c r="H364" s="80"/>
      <c r="I364" s="80"/>
      <c r="J364" s="77"/>
      <c r="K364" s="77"/>
      <c r="L364" s="84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7"/>
      <c r="AE364" s="7"/>
    </row>
    <row r="365" spans="1:31" ht="15.75" customHeight="1">
      <c r="A365" s="80"/>
      <c r="B365" s="80"/>
      <c r="C365" s="80"/>
      <c r="D365" s="83"/>
      <c r="E365" s="80"/>
      <c r="F365" s="80"/>
      <c r="G365" s="77"/>
      <c r="H365" s="80"/>
      <c r="I365" s="80"/>
      <c r="J365" s="77"/>
      <c r="K365" s="77"/>
      <c r="L365" s="84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7"/>
      <c r="AE365" s="7"/>
    </row>
    <row r="366" spans="1:31" ht="15.75" customHeight="1">
      <c r="A366" s="80"/>
      <c r="B366" s="80"/>
      <c r="C366" s="80"/>
      <c r="D366" s="83"/>
      <c r="E366" s="80"/>
      <c r="F366" s="80"/>
      <c r="G366" s="77"/>
      <c r="H366" s="80"/>
      <c r="I366" s="80"/>
      <c r="J366" s="77"/>
      <c r="K366" s="77"/>
      <c r="L366" s="84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7"/>
      <c r="AE366" s="7"/>
    </row>
    <row r="367" spans="1:31" ht="15.75" customHeight="1">
      <c r="A367" s="80"/>
      <c r="B367" s="80"/>
      <c r="C367" s="80"/>
      <c r="D367" s="83"/>
      <c r="E367" s="80"/>
      <c r="F367" s="80"/>
      <c r="G367" s="77"/>
      <c r="H367" s="80"/>
      <c r="I367" s="80"/>
      <c r="J367" s="77"/>
      <c r="K367" s="77"/>
      <c r="L367" s="84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7"/>
      <c r="AE367" s="7"/>
    </row>
    <row r="368" spans="1:31" ht="15.75" customHeight="1">
      <c r="A368" s="80"/>
      <c r="B368" s="80"/>
      <c r="C368" s="80"/>
      <c r="D368" s="83"/>
      <c r="E368" s="80"/>
      <c r="F368" s="80"/>
      <c r="G368" s="77"/>
      <c r="H368" s="80"/>
      <c r="I368" s="80"/>
      <c r="J368" s="77"/>
      <c r="K368" s="77"/>
      <c r="L368" s="84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7"/>
      <c r="AE368" s="7"/>
    </row>
    <row r="369" spans="1:31" ht="15.75" customHeight="1">
      <c r="A369" s="80"/>
      <c r="B369" s="80"/>
      <c r="C369" s="80"/>
      <c r="D369" s="83"/>
      <c r="E369" s="80"/>
      <c r="F369" s="80"/>
      <c r="G369" s="77"/>
      <c r="H369" s="80"/>
      <c r="I369" s="80"/>
      <c r="J369" s="77"/>
      <c r="K369" s="77"/>
      <c r="L369" s="84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7"/>
      <c r="AE369" s="7"/>
    </row>
    <row r="370" spans="1:31" ht="15.75" customHeight="1">
      <c r="A370" s="80"/>
      <c r="B370" s="80"/>
      <c r="C370" s="80"/>
      <c r="D370" s="83"/>
      <c r="E370" s="80"/>
      <c r="F370" s="80"/>
      <c r="G370" s="77"/>
      <c r="H370" s="80"/>
      <c r="I370" s="80"/>
      <c r="J370" s="77"/>
      <c r="K370" s="77"/>
      <c r="L370" s="84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7"/>
      <c r="AE370" s="7"/>
    </row>
    <row r="371" spans="1:31" ht="15.75" customHeight="1">
      <c r="A371" s="80"/>
      <c r="B371" s="80"/>
      <c r="C371" s="80"/>
      <c r="D371" s="83"/>
      <c r="E371" s="80"/>
      <c r="F371" s="80"/>
      <c r="G371" s="77"/>
      <c r="H371" s="80"/>
      <c r="I371" s="80"/>
      <c r="J371" s="77"/>
      <c r="K371" s="77"/>
      <c r="L371" s="84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7"/>
      <c r="AE371" s="7"/>
    </row>
    <row r="372" spans="1:31" ht="15.75" customHeight="1">
      <c r="A372" s="80"/>
      <c r="B372" s="80"/>
      <c r="C372" s="80"/>
      <c r="D372" s="83"/>
      <c r="E372" s="80"/>
      <c r="F372" s="80"/>
      <c r="G372" s="77"/>
      <c r="H372" s="80"/>
      <c r="I372" s="80"/>
      <c r="J372" s="77"/>
      <c r="K372" s="77"/>
      <c r="L372" s="84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7"/>
      <c r="AE372" s="7"/>
    </row>
    <row r="373" spans="1:31" ht="15.75" customHeight="1">
      <c r="A373" s="80"/>
      <c r="B373" s="80"/>
      <c r="C373" s="80"/>
      <c r="D373" s="83"/>
      <c r="E373" s="80"/>
      <c r="F373" s="80"/>
      <c r="G373" s="77"/>
      <c r="H373" s="80"/>
      <c r="I373" s="80"/>
      <c r="J373" s="77"/>
      <c r="K373" s="77"/>
      <c r="L373" s="84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7"/>
      <c r="AE373" s="7"/>
    </row>
    <row r="374" spans="1:31" ht="15.75" customHeight="1">
      <c r="A374" s="80"/>
      <c r="B374" s="80"/>
      <c r="C374" s="80"/>
      <c r="D374" s="83"/>
      <c r="E374" s="80"/>
      <c r="F374" s="80"/>
      <c r="G374" s="77"/>
      <c r="H374" s="80"/>
      <c r="I374" s="80"/>
      <c r="J374" s="77"/>
      <c r="K374" s="77"/>
      <c r="L374" s="84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7"/>
      <c r="AE374" s="7"/>
    </row>
    <row r="375" spans="1:31" ht="15.75" customHeight="1">
      <c r="A375" s="80"/>
      <c r="B375" s="80"/>
      <c r="C375" s="80"/>
      <c r="D375" s="83"/>
      <c r="E375" s="80"/>
      <c r="F375" s="80"/>
      <c r="G375" s="77"/>
      <c r="H375" s="80"/>
      <c r="I375" s="80"/>
      <c r="J375" s="77"/>
      <c r="K375" s="77"/>
      <c r="L375" s="84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7"/>
      <c r="AE375" s="7"/>
    </row>
    <row r="376" spans="1:31" ht="15.75" customHeight="1">
      <c r="A376" s="80"/>
      <c r="B376" s="80"/>
      <c r="C376" s="80"/>
      <c r="D376" s="83"/>
      <c r="E376" s="80"/>
      <c r="F376" s="80"/>
      <c r="G376" s="77"/>
      <c r="H376" s="80"/>
      <c r="I376" s="80"/>
      <c r="J376" s="77"/>
      <c r="K376" s="77"/>
      <c r="L376" s="84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7"/>
      <c r="AE376" s="7"/>
    </row>
    <row r="377" spans="1:31" ht="15.75" customHeight="1">
      <c r="A377" s="80"/>
      <c r="B377" s="80"/>
      <c r="C377" s="80"/>
      <c r="D377" s="83"/>
      <c r="E377" s="80"/>
      <c r="F377" s="80"/>
      <c r="G377" s="77"/>
      <c r="H377" s="80"/>
      <c r="I377" s="80"/>
      <c r="J377" s="77"/>
      <c r="K377" s="77"/>
      <c r="L377" s="84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7"/>
      <c r="AE377" s="7"/>
    </row>
    <row r="378" spans="1:31" ht="15.75" customHeight="1">
      <c r="A378" s="80"/>
      <c r="B378" s="80"/>
      <c r="C378" s="80"/>
      <c r="D378" s="83"/>
      <c r="E378" s="80"/>
      <c r="F378" s="80"/>
      <c r="G378" s="77"/>
      <c r="H378" s="80"/>
      <c r="I378" s="80"/>
      <c r="J378" s="77"/>
      <c r="K378" s="77"/>
      <c r="L378" s="84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7"/>
      <c r="AE378" s="7"/>
    </row>
    <row r="379" spans="1:31" ht="15.75" customHeight="1">
      <c r="A379" s="80"/>
      <c r="B379" s="80"/>
      <c r="C379" s="80"/>
      <c r="D379" s="83"/>
      <c r="E379" s="80"/>
      <c r="F379" s="80"/>
      <c r="G379" s="77"/>
      <c r="H379" s="80"/>
      <c r="I379" s="80"/>
      <c r="J379" s="77"/>
      <c r="K379" s="77"/>
      <c r="L379" s="84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7"/>
      <c r="AE379" s="7"/>
    </row>
    <row r="380" spans="1:31" ht="15.75" customHeight="1">
      <c r="A380" s="80"/>
      <c r="B380" s="80"/>
      <c r="C380" s="80"/>
      <c r="D380" s="83"/>
      <c r="E380" s="80"/>
      <c r="F380" s="80"/>
      <c r="G380" s="77"/>
      <c r="H380" s="80"/>
      <c r="I380" s="80"/>
      <c r="J380" s="77"/>
      <c r="K380" s="77"/>
      <c r="L380" s="84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7"/>
      <c r="AE380" s="7"/>
    </row>
    <row r="381" spans="1:31" ht="15.75" customHeight="1">
      <c r="A381" s="80"/>
      <c r="B381" s="80"/>
      <c r="C381" s="80"/>
      <c r="D381" s="83"/>
      <c r="E381" s="80"/>
      <c r="F381" s="80"/>
      <c r="G381" s="77"/>
      <c r="H381" s="80"/>
      <c r="I381" s="80"/>
      <c r="J381" s="77"/>
      <c r="K381" s="77"/>
      <c r="L381" s="84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7"/>
      <c r="AE381" s="7"/>
    </row>
    <row r="382" spans="1:31" ht="15.75" customHeight="1">
      <c r="A382" s="80"/>
      <c r="B382" s="80"/>
      <c r="C382" s="80"/>
      <c r="D382" s="83"/>
      <c r="E382" s="80"/>
      <c r="F382" s="80"/>
      <c r="G382" s="77"/>
      <c r="H382" s="80"/>
      <c r="I382" s="80"/>
      <c r="J382" s="77"/>
      <c r="K382" s="77"/>
      <c r="L382" s="84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7"/>
      <c r="AE382" s="7"/>
    </row>
    <row r="383" spans="1:31" ht="15.75" customHeight="1">
      <c r="A383" s="80"/>
      <c r="B383" s="80"/>
      <c r="C383" s="80"/>
      <c r="D383" s="83"/>
      <c r="E383" s="80"/>
      <c r="F383" s="80"/>
      <c r="G383" s="77"/>
      <c r="H383" s="80"/>
      <c r="I383" s="80"/>
      <c r="J383" s="77"/>
      <c r="K383" s="77"/>
      <c r="L383" s="84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7"/>
      <c r="AE383" s="7"/>
    </row>
    <row r="384" spans="1:31" ht="15.75" customHeight="1">
      <c r="A384" s="80"/>
      <c r="B384" s="80"/>
      <c r="C384" s="80"/>
      <c r="D384" s="83"/>
      <c r="E384" s="80"/>
      <c r="F384" s="80"/>
      <c r="G384" s="77"/>
      <c r="H384" s="80"/>
      <c r="I384" s="80"/>
      <c r="J384" s="77"/>
      <c r="K384" s="77"/>
      <c r="L384" s="84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7"/>
      <c r="AE384" s="7"/>
    </row>
    <row r="385" spans="1:31" ht="15.75" customHeight="1">
      <c r="A385" s="80"/>
      <c r="B385" s="80"/>
      <c r="C385" s="80"/>
      <c r="D385" s="83"/>
      <c r="E385" s="80"/>
      <c r="F385" s="80"/>
      <c r="G385" s="77"/>
      <c r="H385" s="80"/>
      <c r="I385" s="80"/>
      <c r="J385" s="77"/>
      <c r="K385" s="77"/>
      <c r="L385" s="84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7"/>
      <c r="AE385" s="7"/>
    </row>
    <row r="386" spans="1:31" ht="15.75" customHeight="1">
      <c r="A386" s="80"/>
      <c r="B386" s="80"/>
      <c r="C386" s="80"/>
      <c r="D386" s="83"/>
      <c r="E386" s="80"/>
      <c r="F386" s="80"/>
      <c r="G386" s="77"/>
      <c r="H386" s="80"/>
      <c r="I386" s="80"/>
      <c r="J386" s="77"/>
      <c r="K386" s="77"/>
      <c r="L386" s="84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7"/>
      <c r="AE386" s="7"/>
    </row>
    <row r="387" spans="1:31" ht="15.75" customHeight="1">
      <c r="A387" s="80"/>
      <c r="B387" s="80"/>
      <c r="C387" s="80"/>
      <c r="D387" s="83"/>
      <c r="E387" s="80"/>
      <c r="F387" s="80"/>
      <c r="G387" s="77"/>
      <c r="H387" s="80"/>
      <c r="I387" s="80"/>
      <c r="J387" s="77"/>
      <c r="K387" s="77"/>
      <c r="L387" s="84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7"/>
      <c r="AE387" s="7"/>
    </row>
    <row r="388" spans="1:31" ht="15.75" customHeight="1">
      <c r="A388" s="80"/>
      <c r="B388" s="80"/>
      <c r="C388" s="80"/>
      <c r="D388" s="83"/>
      <c r="E388" s="80"/>
      <c r="F388" s="80"/>
      <c r="G388" s="77"/>
      <c r="H388" s="80"/>
      <c r="I388" s="80"/>
      <c r="J388" s="77"/>
      <c r="K388" s="77"/>
      <c r="L388" s="84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7"/>
      <c r="AE388" s="7"/>
    </row>
    <row r="389" spans="1:31" ht="15.75" customHeight="1">
      <c r="A389" s="80"/>
      <c r="B389" s="80"/>
      <c r="C389" s="80"/>
      <c r="D389" s="83"/>
      <c r="E389" s="80"/>
      <c r="F389" s="80"/>
      <c r="G389" s="77"/>
      <c r="H389" s="80"/>
      <c r="I389" s="80"/>
      <c r="J389" s="77"/>
      <c r="K389" s="77"/>
      <c r="L389" s="84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7"/>
      <c r="AE389" s="7"/>
    </row>
    <row r="390" spans="1:31" ht="15.75" customHeight="1">
      <c r="A390" s="80"/>
      <c r="B390" s="80"/>
      <c r="C390" s="80"/>
      <c r="D390" s="83"/>
      <c r="E390" s="80"/>
      <c r="F390" s="80"/>
      <c r="G390" s="77"/>
      <c r="H390" s="80"/>
      <c r="I390" s="80"/>
      <c r="J390" s="77"/>
      <c r="K390" s="77"/>
      <c r="L390" s="84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7"/>
      <c r="AE390" s="7"/>
    </row>
    <row r="391" spans="1:31" ht="15.75" customHeight="1">
      <c r="A391" s="80"/>
      <c r="B391" s="80"/>
      <c r="C391" s="80"/>
      <c r="D391" s="83"/>
      <c r="E391" s="80"/>
      <c r="F391" s="80"/>
      <c r="G391" s="77"/>
      <c r="H391" s="80"/>
      <c r="I391" s="80"/>
      <c r="J391" s="77"/>
      <c r="K391" s="77"/>
      <c r="L391" s="84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7"/>
      <c r="AE391" s="7"/>
    </row>
    <row r="392" spans="1:31" ht="15.75" customHeight="1">
      <c r="A392" s="80"/>
      <c r="B392" s="80"/>
      <c r="C392" s="80"/>
      <c r="D392" s="83"/>
      <c r="E392" s="80"/>
      <c r="F392" s="80"/>
      <c r="G392" s="77"/>
      <c r="H392" s="80"/>
      <c r="I392" s="80"/>
      <c r="J392" s="77"/>
      <c r="K392" s="77"/>
      <c r="L392" s="84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7"/>
      <c r="AE392" s="7"/>
    </row>
    <row r="393" spans="1:31" ht="15.75" customHeight="1">
      <c r="A393" s="80"/>
      <c r="B393" s="80"/>
      <c r="C393" s="80"/>
      <c r="D393" s="83"/>
      <c r="E393" s="80"/>
      <c r="F393" s="80"/>
      <c r="G393" s="77"/>
      <c r="H393" s="80"/>
      <c r="I393" s="80"/>
      <c r="J393" s="77"/>
      <c r="K393" s="77"/>
      <c r="L393" s="84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7"/>
      <c r="AE393" s="7"/>
    </row>
    <row r="394" spans="1:31" ht="15.75" customHeight="1">
      <c r="A394" s="80"/>
      <c r="B394" s="80"/>
      <c r="C394" s="80"/>
      <c r="D394" s="83"/>
      <c r="E394" s="80"/>
      <c r="F394" s="80"/>
      <c r="G394" s="77"/>
      <c r="H394" s="80"/>
      <c r="I394" s="80"/>
      <c r="J394" s="77"/>
      <c r="K394" s="77"/>
      <c r="L394" s="84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7"/>
      <c r="AE394" s="7"/>
    </row>
    <row r="395" spans="1:31" ht="15.75" customHeight="1">
      <c r="A395" s="80"/>
      <c r="B395" s="80"/>
      <c r="C395" s="80"/>
      <c r="D395" s="83"/>
      <c r="E395" s="80"/>
      <c r="F395" s="80"/>
      <c r="G395" s="77"/>
      <c r="H395" s="80"/>
      <c r="I395" s="80"/>
      <c r="J395" s="77"/>
      <c r="K395" s="77"/>
      <c r="L395" s="84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7"/>
      <c r="AE395" s="7"/>
    </row>
    <row r="396" spans="1:31" ht="15.75" customHeight="1">
      <c r="A396" s="80"/>
      <c r="B396" s="80"/>
      <c r="C396" s="80"/>
      <c r="D396" s="83"/>
      <c r="E396" s="80"/>
      <c r="F396" s="80"/>
      <c r="G396" s="77"/>
      <c r="H396" s="80"/>
      <c r="I396" s="80"/>
      <c r="J396" s="77"/>
      <c r="K396" s="77"/>
      <c r="L396" s="84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7"/>
      <c r="AE396" s="7"/>
    </row>
    <row r="397" spans="1:31" ht="15.75" customHeight="1">
      <c r="A397" s="80"/>
      <c r="B397" s="80"/>
      <c r="C397" s="80"/>
      <c r="D397" s="83"/>
      <c r="E397" s="80"/>
      <c r="F397" s="80"/>
      <c r="G397" s="77"/>
      <c r="H397" s="80"/>
      <c r="I397" s="80"/>
      <c r="J397" s="77"/>
      <c r="K397" s="77"/>
      <c r="L397" s="84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7"/>
      <c r="AE397" s="7"/>
    </row>
    <row r="398" spans="1:31" ht="15.75" customHeight="1">
      <c r="A398" s="80"/>
      <c r="B398" s="80"/>
      <c r="C398" s="80"/>
      <c r="D398" s="83"/>
      <c r="E398" s="80"/>
      <c r="F398" s="80"/>
      <c r="G398" s="77"/>
      <c r="H398" s="80"/>
      <c r="I398" s="80"/>
      <c r="J398" s="77"/>
      <c r="K398" s="77"/>
      <c r="L398" s="84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7"/>
      <c r="AE398" s="7"/>
    </row>
    <row r="399" spans="1:31" ht="15.75" customHeight="1">
      <c r="A399" s="80"/>
      <c r="B399" s="80"/>
      <c r="C399" s="80"/>
      <c r="D399" s="83"/>
      <c r="E399" s="80"/>
      <c r="F399" s="80"/>
      <c r="G399" s="77"/>
      <c r="H399" s="80"/>
      <c r="I399" s="80"/>
      <c r="J399" s="77"/>
      <c r="K399" s="77"/>
      <c r="L399" s="84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7"/>
      <c r="AE399" s="7"/>
    </row>
    <row r="400" spans="1:31" ht="15.75" customHeight="1">
      <c r="A400" s="80"/>
      <c r="B400" s="80"/>
      <c r="C400" s="80"/>
      <c r="D400" s="83"/>
      <c r="E400" s="80"/>
      <c r="F400" s="80"/>
      <c r="G400" s="77"/>
      <c r="H400" s="80"/>
      <c r="I400" s="80"/>
      <c r="J400" s="77"/>
      <c r="K400" s="77"/>
      <c r="L400" s="84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7"/>
      <c r="AE400" s="7"/>
    </row>
    <row r="401" spans="1:31" ht="15.75" customHeight="1">
      <c r="A401" s="80"/>
      <c r="B401" s="80"/>
      <c r="C401" s="80"/>
      <c r="D401" s="83"/>
      <c r="E401" s="80"/>
      <c r="F401" s="80"/>
      <c r="G401" s="77"/>
      <c r="H401" s="80"/>
      <c r="I401" s="80"/>
      <c r="J401" s="77"/>
      <c r="K401" s="77"/>
      <c r="L401" s="84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7"/>
      <c r="AE401" s="7"/>
    </row>
    <row r="402" spans="1:31" ht="15.75" customHeight="1">
      <c r="A402" s="80"/>
      <c r="B402" s="80"/>
      <c r="C402" s="80"/>
      <c r="D402" s="83"/>
      <c r="E402" s="80"/>
      <c r="F402" s="80"/>
      <c r="G402" s="77"/>
      <c r="H402" s="80"/>
      <c r="I402" s="80"/>
      <c r="J402" s="77"/>
      <c r="K402" s="77"/>
      <c r="L402" s="84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7"/>
      <c r="AE402" s="7"/>
    </row>
    <row r="403" spans="1:31" ht="15.75" customHeight="1">
      <c r="A403" s="80"/>
      <c r="B403" s="80"/>
      <c r="C403" s="80"/>
      <c r="D403" s="83"/>
      <c r="E403" s="80"/>
      <c r="F403" s="80"/>
      <c r="G403" s="77"/>
      <c r="H403" s="80"/>
      <c r="I403" s="80"/>
      <c r="J403" s="77"/>
      <c r="K403" s="77"/>
      <c r="L403" s="84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7"/>
      <c r="AE403" s="7"/>
    </row>
    <row r="404" spans="1:31" ht="15.75" customHeight="1">
      <c r="A404" s="80"/>
      <c r="B404" s="80"/>
      <c r="C404" s="80"/>
      <c r="D404" s="83"/>
      <c r="E404" s="80"/>
      <c r="F404" s="80"/>
      <c r="G404" s="77"/>
      <c r="H404" s="80"/>
      <c r="I404" s="80"/>
      <c r="J404" s="77"/>
      <c r="K404" s="77"/>
      <c r="L404" s="84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7"/>
      <c r="AE404" s="7"/>
    </row>
    <row r="405" spans="1:31" ht="15.75" customHeight="1">
      <c r="A405" s="80"/>
      <c r="B405" s="80"/>
      <c r="C405" s="80"/>
      <c r="D405" s="83"/>
      <c r="E405" s="80"/>
      <c r="F405" s="80"/>
      <c r="G405" s="77"/>
      <c r="H405" s="80"/>
      <c r="I405" s="80"/>
      <c r="J405" s="77"/>
      <c r="K405" s="77"/>
      <c r="L405" s="84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7"/>
      <c r="AE405" s="7"/>
    </row>
    <row r="406" spans="1:31" ht="15.75" customHeight="1">
      <c r="A406" s="80"/>
      <c r="B406" s="80"/>
      <c r="C406" s="80"/>
      <c r="D406" s="83"/>
      <c r="E406" s="80"/>
      <c r="F406" s="80"/>
      <c r="G406" s="77"/>
      <c r="H406" s="80"/>
      <c r="I406" s="80"/>
      <c r="J406" s="77"/>
      <c r="K406" s="77"/>
      <c r="L406" s="84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7"/>
      <c r="AE406" s="7"/>
    </row>
    <row r="407" spans="1:31" ht="15.75" customHeight="1">
      <c r="A407" s="80"/>
      <c r="B407" s="80"/>
      <c r="C407" s="80"/>
      <c r="D407" s="83"/>
      <c r="E407" s="80"/>
      <c r="F407" s="80"/>
      <c r="G407" s="77"/>
      <c r="H407" s="80"/>
      <c r="I407" s="80"/>
      <c r="J407" s="77"/>
      <c r="K407" s="77"/>
      <c r="L407" s="84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7"/>
      <c r="AE407" s="7"/>
    </row>
    <row r="408" spans="1:31" ht="15.75" customHeight="1">
      <c r="A408" s="80"/>
      <c r="B408" s="80"/>
      <c r="C408" s="80"/>
      <c r="D408" s="83"/>
      <c r="E408" s="80"/>
      <c r="F408" s="80"/>
      <c r="G408" s="77"/>
      <c r="H408" s="80"/>
      <c r="I408" s="80"/>
      <c r="J408" s="77"/>
      <c r="K408" s="77"/>
      <c r="L408" s="84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7"/>
      <c r="AE408" s="7"/>
    </row>
    <row r="409" spans="1:31" ht="15.75" customHeight="1">
      <c r="A409" s="80"/>
      <c r="B409" s="80"/>
      <c r="C409" s="80"/>
      <c r="D409" s="83"/>
      <c r="E409" s="80"/>
      <c r="F409" s="80"/>
      <c r="G409" s="77"/>
      <c r="H409" s="80"/>
      <c r="I409" s="80"/>
      <c r="J409" s="77"/>
      <c r="K409" s="77"/>
      <c r="L409" s="84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7"/>
      <c r="AE409" s="7"/>
    </row>
    <row r="410" spans="1:31" ht="15.75" customHeight="1">
      <c r="A410" s="80"/>
      <c r="B410" s="80"/>
      <c r="C410" s="80"/>
      <c r="D410" s="83"/>
      <c r="E410" s="80"/>
      <c r="F410" s="80"/>
      <c r="G410" s="77"/>
      <c r="H410" s="80"/>
      <c r="I410" s="80"/>
      <c r="J410" s="77"/>
      <c r="K410" s="77"/>
      <c r="L410" s="84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7"/>
      <c r="AE410" s="7"/>
    </row>
    <row r="411" spans="1:31" ht="15.75" customHeight="1">
      <c r="A411" s="80"/>
      <c r="B411" s="80"/>
      <c r="C411" s="80"/>
      <c r="D411" s="83"/>
      <c r="E411" s="80"/>
      <c r="F411" s="80"/>
      <c r="G411" s="77"/>
      <c r="H411" s="80"/>
      <c r="I411" s="80"/>
      <c r="J411" s="77"/>
      <c r="K411" s="77"/>
      <c r="L411" s="84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7"/>
      <c r="AE411" s="7"/>
    </row>
    <row r="412" spans="1:31" ht="15.75" customHeight="1">
      <c r="A412" s="80"/>
      <c r="B412" s="80"/>
      <c r="C412" s="80"/>
      <c r="D412" s="83"/>
      <c r="E412" s="80"/>
      <c r="F412" s="80"/>
      <c r="G412" s="77"/>
      <c r="H412" s="80"/>
      <c r="I412" s="80"/>
      <c r="J412" s="77"/>
      <c r="K412" s="77"/>
      <c r="L412" s="84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7"/>
      <c r="AE412" s="7"/>
    </row>
    <row r="413" spans="1:31" ht="15.75" customHeight="1">
      <c r="A413" s="80"/>
      <c r="B413" s="80"/>
      <c r="C413" s="80"/>
      <c r="D413" s="83"/>
      <c r="E413" s="80"/>
      <c r="F413" s="80"/>
      <c r="G413" s="77"/>
      <c r="H413" s="80"/>
      <c r="I413" s="80"/>
      <c r="J413" s="77"/>
      <c r="K413" s="77"/>
      <c r="L413" s="84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7"/>
      <c r="AE413" s="7"/>
    </row>
    <row r="414" spans="1:31" ht="15.75" customHeight="1">
      <c r="A414" s="80"/>
      <c r="B414" s="80"/>
      <c r="C414" s="80"/>
      <c r="D414" s="83"/>
      <c r="E414" s="80"/>
      <c r="F414" s="80"/>
      <c r="G414" s="77"/>
      <c r="H414" s="80"/>
      <c r="I414" s="80"/>
      <c r="J414" s="77"/>
      <c r="K414" s="77"/>
      <c r="L414" s="84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7"/>
      <c r="AE414" s="7"/>
    </row>
    <row r="415" spans="1:31" ht="15.75" customHeight="1">
      <c r="A415" s="80"/>
      <c r="B415" s="80"/>
      <c r="C415" s="80"/>
      <c r="D415" s="83"/>
      <c r="E415" s="80"/>
      <c r="F415" s="80"/>
      <c r="G415" s="77"/>
      <c r="H415" s="80"/>
      <c r="I415" s="80"/>
      <c r="J415" s="77"/>
      <c r="K415" s="77"/>
      <c r="L415" s="84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7"/>
      <c r="AE415" s="7"/>
    </row>
    <row r="416" spans="1:31" ht="15.75" customHeight="1">
      <c r="A416" s="80"/>
      <c r="B416" s="80"/>
      <c r="C416" s="80"/>
      <c r="D416" s="83"/>
      <c r="E416" s="80"/>
      <c r="F416" s="80"/>
      <c r="G416" s="77"/>
      <c r="H416" s="80"/>
      <c r="I416" s="80"/>
      <c r="J416" s="77"/>
      <c r="K416" s="77"/>
      <c r="L416" s="84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7"/>
      <c r="AE416" s="7"/>
    </row>
    <row r="417" spans="1:31" ht="15.75" customHeight="1">
      <c r="A417" s="80"/>
      <c r="B417" s="80"/>
      <c r="C417" s="80"/>
      <c r="D417" s="83"/>
      <c r="E417" s="80"/>
      <c r="F417" s="80"/>
      <c r="G417" s="77"/>
      <c r="H417" s="80"/>
      <c r="I417" s="80"/>
      <c r="J417" s="77"/>
      <c r="K417" s="77"/>
      <c r="L417" s="84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7"/>
      <c r="AE417" s="7"/>
    </row>
    <row r="418" spans="1:31" ht="15.75" customHeight="1">
      <c r="A418" s="80"/>
      <c r="B418" s="80"/>
      <c r="C418" s="80"/>
      <c r="D418" s="83"/>
      <c r="E418" s="80"/>
      <c r="F418" s="80"/>
      <c r="G418" s="77"/>
      <c r="H418" s="80"/>
      <c r="I418" s="80"/>
      <c r="J418" s="77"/>
      <c r="K418" s="77"/>
      <c r="L418" s="84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7"/>
      <c r="AE418" s="7"/>
    </row>
    <row r="419" spans="1:31" ht="15.75" customHeight="1">
      <c r="A419" s="80"/>
      <c r="B419" s="80"/>
      <c r="C419" s="80"/>
      <c r="D419" s="83"/>
      <c r="E419" s="80"/>
      <c r="F419" s="80"/>
      <c r="G419" s="77"/>
      <c r="H419" s="80"/>
      <c r="I419" s="80"/>
      <c r="J419" s="77"/>
      <c r="K419" s="77"/>
      <c r="L419" s="84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7"/>
      <c r="AE419" s="7"/>
    </row>
    <row r="420" spans="1:31" ht="15.75" customHeight="1">
      <c r="A420" s="80"/>
      <c r="B420" s="80"/>
      <c r="C420" s="80"/>
      <c r="D420" s="83"/>
      <c r="E420" s="80"/>
      <c r="F420" s="80"/>
      <c r="G420" s="77"/>
      <c r="H420" s="80"/>
      <c r="I420" s="80"/>
      <c r="J420" s="77"/>
      <c r="K420" s="77"/>
      <c r="L420" s="84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7"/>
      <c r="AE420" s="7"/>
    </row>
    <row r="421" spans="1:3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85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spans="1:31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85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spans="1:31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85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spans="1:31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85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spans="1:31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85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spans="1:31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85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spans="1:31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85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spans="1:31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85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1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85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spans="1:31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85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spans="1: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85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spans="1:31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85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</row>
    <row r="433" spans="1:31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85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spans="1:31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85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spans="1:31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85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spans="1:31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85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spans="1:31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85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</row>
    <row r="438" spans="1:31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85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1:31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85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1:31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85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85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1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85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1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85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1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85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1:31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85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1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85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1:31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85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1:31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85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1:31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85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1:31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85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1:3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85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spans="1:31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85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spans="1:31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85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spans="1:31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85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spans="1:31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85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1:31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85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1:31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85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31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85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1:31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85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1:31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85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1:3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85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31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85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31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85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31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85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1:31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85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1:31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85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1:31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85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1:31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85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1:31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85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1:31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85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1:3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85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1:31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85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1:31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85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1:31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85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1:31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85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1:31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85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1:31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85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1:31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85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1:31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85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1:31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85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1:3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85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spans="1:31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85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1:31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85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spans="1:31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85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spans="1:31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85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spans="1:31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85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1:31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85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1:31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85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1:31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85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1:31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85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1:3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85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1:31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85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1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85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1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85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1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85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1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85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1:31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85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1:31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85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1:31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85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1:31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85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1:3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85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1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85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1:31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85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1:31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85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1:31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85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1:31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85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1:31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85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1:31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85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1:31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85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1:31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85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1:3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85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1:31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85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1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85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1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85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1:31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85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1:31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85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1:31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85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1:31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85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1:31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85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1:31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85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1:3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85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1:31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85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spans="1:31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85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spans="1:31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85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spans="1:31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85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spans="1:31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85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spans="1:31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85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spans="1:31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85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spans="1:31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85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1:31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85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1: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85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1:31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85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1:31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85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1:31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85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1:31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85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1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85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1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85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1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85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1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85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1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85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85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1:31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85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1:31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85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1:31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85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1:31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85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1:31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85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1:31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85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1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85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1:31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85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1:31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85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1:3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85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1:31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85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1:31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85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1:31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85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1:31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85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1:31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85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1:31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85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1:31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85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1:31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85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1:31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85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85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spans="1:31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85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1:31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85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1:31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85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1:31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85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1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85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spans="1:31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85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spans="1:31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85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spans="1:31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85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spans="1:31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85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spans="1:3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85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spans="1:31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85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1:31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85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1:31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85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1:31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85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1:31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85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1:31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85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1:31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85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1:31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85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1:31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85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85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1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85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1:31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85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1:31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85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1:31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85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1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85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1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85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1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85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1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85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1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85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1:3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85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1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85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1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85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1:31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85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1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85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1:31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85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1:31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85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1:31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85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1:31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85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1:31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85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spans="1:3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85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1:31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85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spans="1:31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85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1:31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85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1:31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85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1:31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85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1:31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85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1:31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85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1:31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85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1:31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85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1:3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85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1:31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85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1:31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85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1:31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85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1:31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85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1:31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85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1:31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85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1:31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85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1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85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1:31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85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1:3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85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1:31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85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1:31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85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1:31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85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1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85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1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85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1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85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1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85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1:31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85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spans="1:31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85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1: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85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1:31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85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1:31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85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1:31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85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1:31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85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spans="1:31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85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1:31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85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1:31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85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1:31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85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1:31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85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1:3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85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1:31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85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1:31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85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1:31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85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spans="1:31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85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spans="1:31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85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spans="1:31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85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spans="1:31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85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spans="1:31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85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spans="1:31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85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spans="1:3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85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spans="1:31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85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spans="1:31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85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spans="1:31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85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spans="1:31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85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1:31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85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1:31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85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1:31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85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1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85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1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85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85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1:31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85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1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85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1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85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1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85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1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85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1:31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85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1:31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85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1:31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85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1:31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85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1:3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85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spans="1:31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85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spans="1:31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85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1:31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85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1:31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85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1:31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85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1:31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85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spans="1:31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85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1:31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85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1:31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85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1:3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85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1:31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85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1:31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85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1:31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85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spans="1:31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85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1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85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1:31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85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spans="1:31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85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spans="1:31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85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spans="1:31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85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spans="1:3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85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spans="1:31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85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spans="1:31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85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spans="1:31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85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spans="1:31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85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1:31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85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1:31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85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1:31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85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1:31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85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1:31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85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1:3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85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1:31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85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1:31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85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1:31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85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1:31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85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1:31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85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1:31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85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1:31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85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1:31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85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1:31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85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1:3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85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1:31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85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1:31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85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spans="1:31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85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spans="1:31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85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1:31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85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1:31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85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1:31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85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spans="1:31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85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1:31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85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85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1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85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1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85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1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85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1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85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1:31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85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1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85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1:31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85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spans="1:31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85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spans="1:31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85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spans="1: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85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spans="1:31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85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spans="1:31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85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spans="1:31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85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spans="1:31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85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spans="1:31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85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1:31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85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1:31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85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1:31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85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spans="1:31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85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1:3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85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1:31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85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1:31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85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1:31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85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1:31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85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1:31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85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spans="1:31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85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1:31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85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spans="1:31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85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spans="1:31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85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1:3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85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1:31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85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1:31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85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1:31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85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spans="1:31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85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spans="1:31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85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1:31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85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1:31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85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1:31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85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spans="1:31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85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1:3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85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1:31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85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1:31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85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1:31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85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1:31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85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1:31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85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1:31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85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1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85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spans="1:31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85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1:31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85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1:3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85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1:31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85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spans="1:31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85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1:31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85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1:31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85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1:31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85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1:31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85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1:31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85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1:31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85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spans="1:31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85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1:3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85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1:31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85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1:31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85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1:31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85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1:31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85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1:31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85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1:31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85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1:31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85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spans="1:31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85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spans="1:31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85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spans="1:3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85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spans="1:31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85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spans="1:31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85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spans="1:31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85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spans="1:31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85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spans="1:31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85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spans="1:31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85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1:31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85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1:31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85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1:31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85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1:3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85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1:31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85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1:31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85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1:31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85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1:31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85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1:31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85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1:31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85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spans="1:31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85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1:31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85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spans="1:31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85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spans="1:3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85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spans="1:31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85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spans="1:31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85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spans="1:31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85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spans="1:31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85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spans="1:31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85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1:31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85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31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85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1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85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31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85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85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31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85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31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85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31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85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31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85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31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85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31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85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1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85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1:31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85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1:31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85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1: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85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1:31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85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1:31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85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1:31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85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spans="1:31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85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spans="1:31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85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spans="1:31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85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spans="1:31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85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1:31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85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1:31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85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spans="1:3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85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spans="1:31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85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spans="1:31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85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spans="1:31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85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spans="1:31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85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spans="1:31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85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spans="1:31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85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spans="1:31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85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spans="1:31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85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spans="1:31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85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spans="1:3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85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spans="1:31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85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spans="1:31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85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spans="1:31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85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spans="1:31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85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spans="1:31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85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spans="1:31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85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1:31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85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1:31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85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1:31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85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spans="1:3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85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1:31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85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1:31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85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1:31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85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1:31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85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1:31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85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1:31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85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spans="1:31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85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1:31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85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1:31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85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1:3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85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1:31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85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1:31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85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1:31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85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1:31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85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1:31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85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1:31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85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1:31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85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1:31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85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1:31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85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1:3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85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1:31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85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1:31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85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1:31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85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1:31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85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1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85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1:31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85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spans="1:31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85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spans="1:31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85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spans="1:31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85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spans="1:3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85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spans="1:31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85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spans="1:31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85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spans="1:31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85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spans="1:31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85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spans="1:31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85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spans="1:31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85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spans="1:31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85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1:31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85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1:31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85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1:3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85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spans="1:31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85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1:31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85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1:31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85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1:31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85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1:31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85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1:31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85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1:31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85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spans="1:31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85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1:31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85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spans="1:3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85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spans="1:31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85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spans="1:31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85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1:31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85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1:31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85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1:31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85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1:31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85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1:31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85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1:31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85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1:31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85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1:3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85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1:31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85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1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85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1:31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85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spans="1:31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85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spans="1:31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85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spans="1:31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85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1:31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85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1:31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85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1:31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85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85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1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85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1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85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1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85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1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85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1:31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85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1:31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85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1:31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85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1:31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85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1:31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85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spans="1:3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85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1:31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85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1:31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85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1:31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85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1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85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1:31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85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1:31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85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spans="1:31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85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1:31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85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spans="1:31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85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spans="1:3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85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spans="1:31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85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spans="1:31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85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spans="1:31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85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spans="1:31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85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1:31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85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1:31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85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1:31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85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1:31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85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1:31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85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1:3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85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1:31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85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1:31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85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1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85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1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85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spans="1:31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85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spans="1:31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85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spans="1:31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85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spans="1:31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85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spans="1:31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85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spans="1:3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85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spans="1:31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85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spans="1:31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85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spans="1:31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85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spans="1:31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85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1:31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85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1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85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1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85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1:31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85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1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85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85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1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85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1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85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1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85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1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85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1:31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85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1:31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85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spans="1:31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85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spans="1:31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85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spans="1:31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85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spans="1:3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85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spans="1:31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85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spans="1:31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85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  <row r="994" spans="1:31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85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</row>
    <row r="995" spans="1:31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85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</row>
    <row r="996" spans="1:31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85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</row>
    <row r="997" spans="1:31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85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</row>
    <row r="998" spans="1:31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85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</row>
    <row r="999" spans="1:31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85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</row>
    <row r="1000" spans="1:31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85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</row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4.453125" defaultRowHeight="15" customHeight="1"/>
  <cols>
    <col min="1" max="29" width="10.7265625" customWidth="1"/>
  </cols>
  <sheetData>
    <row r="1" spans="1:31" ht="16.5" customHeight="1">
      <c r="A1" s="73" t="s">
        <v>1326</v>
      </c>
      <c r="B1" s="73" t="s">
        <v>1327</v>
      </c>
      <c r="C1" s="73" t="s">
        <v>1328</v>
      </c>
      <c r="D1" s="86" t="s">
        <v>1329</v>
      </c>
      <c r="E1" s="73" t="s">
        <v>1330</v>
      </c>
      <c r="F1" s="73" t="s">
        <v>1331</v>
      </c>
      <c r="G1" s="87" t="s">
        <v>1332</v>
      </c>
      <c r="H1" s="73" t="s">
        <v>1333</v>
      </c>
      <c r="I1" s="73" t="s">
        <v>1334</v>
      </c>
      <c r="J1" s="88" t="s">
        <v>1335</v>
      </c>
      <c r="K1" s="88" t="s">
        <v>1355</v>
      </c>
      <c r="L1" s="76" t="s">
        <v>1337</v>
      </c>
      <c r="M1" s="73" t="s">
        <v>1338</v>
      </c>
      <c r="N1" s="73" t="s">
        <v>1339</v>
      </c>
      <c r="O1" s="73" t="s">
        <v>1340</v>
      </c>
      <c r="P1" s="73" t="s">
        <v>1341</v>
      </c>
      <c r="Q1" s="73" t="s">
        <v>1342</v>
      </c>
      <c r="R1" s="73" t="s">
        <v>1343</v>
      </c>
      <c r="S1" s="73" t="s">
        <v>1344</v>
      </c>
      <c r="T1" s="73" t="s">
        <v>1345</v>
      </c>
      <c r="U1" s="73" t="s">
        <v>1346</v>
      </c>
      <c r="V1" s="73" t="s">
        <v>55</v>
      </c>
      <c r="W1" s="73" t="s">
        <v>1347</v>
      </c>
      <c r="X1" s="73" t="s">
        <v>1348</v>
      </c>
      <c r="Y1" s="73" t="s">
        <v>1349</v>
      </c>
      <c r="Z1" s="73"/>
      <c r="AA1" s="73" t="s">
        <v>155</v>
      </c>
      <c r="AB1" s="73" t="s">
        <v>1350</v>
      </c>
      <c r="AC1" s="73" t="s">
        <v>1351</v>
      </c>
      <c r="AD1" s="73"/>
      <c r="AE1" s="73" t="s">
        <v>1352</v>
      </c>
    </row>
    <row r="2" spans="1:31" ht="14.5">
      <c r="A2" s="7" t="s">
        <v>210</v>
      </c>
      <c r="B2" s="78">
        <v>0</v>
      </c>
      <c r="C2" s="78">
        <v>0</v>
      </c>
      <c r="D2" s="42" t="str">
        <f t="shared" ref="D2:D212" si="0">+IF(B2+C2=0,"",B2+C2)</f>
        <v/>
      </c>
      <c r="E2" s="78">
        <v>0</v>
      </c>
      <c r="F2" s="78">
        <v>0</v>
      </c>
      <c r="G2" s="42" t="str">
        <f t="shared" ref="G2:G212" si="1">+IF(E2+F2=0,"",E2+F2)</f>
        <v/>
      </c>
      <c r="H2" s="41">
        <v>0</v>
      </c>
      <c r="I2" s="41">
        <v>0</v>
      </c>
      <c r="J2" s="41">
        <f t="shared" ref="J2:J212" si="2">H2+I2</f>
        <v>0</v>
      </c>
      <c r="K2" s="41">
        <v>0</v>
      </c>
      <c r="L2" s="79" t="str">
        <f t="shared" ref="L2:L212" si="3">IF(K2&gt;0,+J2/K2,"")</f>
        <v/>
      </c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6">
        <f t="shared" ref="AA2:AA212" si="4">+IF(AND(D2&lt;&gt;"",G2&lt;&gt;""),IF(J2&gt;0,2,1),0)</f>
        <v>0</v>
      </c>
      <c r="AB2" s="80" t="str">
        <f>+IF(AND(D2&gt;'Indices y Outliers'!$I$145,D2&lt;&gt;""),1,"")</f>
        <v/>
      </c>
      <c r="AC2" s="80" t="str">
        <f>+IF(AND(G2&gt;'Indices y Outliers'!$I$153,G2&lt;&gt;""),1,"")</f>
        <v/>
      </c>
      <c r="AD2" s="7"/>
      <c r="AE2" s="7">
        <f t="shared" ref="AE2:AE212" si="5">SUM(AB2:AD2)</f>
        <v>0</v>
      </c>
    </row>
    <row r="3" spans="1:31" ht="14.5">
      <c r="A3" s="7" t="s">
        <v>213</v>
      </c>
      <c r="B3" s="78">
        <v>0</v>
      </c>
      <c r="C3" s="78">
        <v>0</v>
      </c>
      <c r="D3" s="42" t="str">
        <f t="shared" si="0"/>
        <v/>
      </c>
      <c r="E3" s="78">
        <v>0</v>
      </c>
      <c r="F3" s="78">
        <v>0</v>
      </c>
      <c r="G3" s="42" t="str">
        <f t="shared" si="1"/>
        <v/>
      </c>
      <c r="H3" s="41">
        <v>0</v>
      </c>
      <c r="I3" s="41">
        <v>0</v>
      </c>
      <c r="J3" s="41">
        <f t="shared" si="2"/>
        <v>0</v>
      </c>
      <c r="K3" s="41">
        <v>0</v>
      </c>
      <c r="L3" s="79" t="str">
        <f t="shared" si="3"/>
        <v/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6">
        <f t="shared" si="4"/>
        <v>0</v>
      </c>
      <c r="AB3" s="80" t="str">
        <f>+IF(AND(D3&gt;'Indices y Outliers'!$I$145,D3&lt;&gt;""),1,"")</f>
        <v/>
      </c>
      <c r="AC3" s="80" t="str">
        <f>+IF(AND(G3&gt;'Indices y Outliers'!$I$153,G3&lt;&gt;""),1,"")</f>
        <v/>
      </c>
      <c r="AD3" s="7"/>
      <c r="AE3" s="7">
        <f t="shared" si="5"/>
        <v>0</v>
      </c>
    </row>
    <row r="4" spans="1:31" ht="14.5">
      <c r="A4" s="7" t="s">
        <v>216</v>
      </c>
      <c r="B4" s="78">
        <v>0</v>
      </c>
      <c r="C4" s="78">
        <v>0</v>
      </c>
      <c r="D4" s="42" t="str">
        <f t="shared" si="0"/>
        <v/>
      </c>
      <c r="E4" s="78">
        <v>0</v>
      </c>
      <c r="F4" s="78">
        <v>0</v>
      </c>
      <c r="G4" s="42" t="str">
        <f t="shared" si="1"/>
        <v/>
      </c>
      <c r="H4" s="41">
        <v>0</v>
      </c>
      <c r="I4" s="41">
        <v>0</v>
      </c>
      <c r="J4" s="41">
        <f t="shared" si="2"/>
        <v>0</v>
      </c>
      <c r="K4" s="41">
        <v>0</v>
      </c>
      <c r="L4" s="79" t="str">
        <f t="shared" si="3"/>
        <v/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6">
        <f t="shared" si="4"/>
        <v>0</v>
      </c>
      <c r="AB4" s="80" t="str">
        <f>+IF(AND(D4&gt;'Indices y Outliers'!$I$145,D4&lt;&gt;""),1,"")</f>
        <v/>
      </c>
      <c r="AC4" s="80" t="str">
        <f>+IF(AND(G4&gt;'Indices y Outliers'!$I$153,G4&lt;&gt;""),1,"")</f>
        <v/>
      </c>
      <c r="AD4" s="7"/>
      <c r="AE4" s="7">
        <f t="shared" si="5"/>
        <v>0</v>
      </c>
    </row>
    <row r="5" spans="1:31" ht="14.5">
      <c r="A5" s="7" t="s">
        <v>219</v>
      </c>
      <c r="B5" s="78">
        <v>101.026</v>
      </c>
      <c r="C5" s="78">
        <v>0</v>
      </c>
      <c r="D5" s="42">
        <f t="shared" si="0"/>
        <v>101.026</v>
      </c>
      <c r="E5" s="78">
        <v>1.08</v>
      </c>
      <c r="F5" s="78">
        <v>0</v>
      </c>
      <c r="G5" s="42">
        <f t="shared" si="1"/>
        <v>1.08</v>
      </c>
      <c r="H5" s="41">
        <v>23400</v>
      </c>
      <c r="I5" s="41">
        <v>5311703</v>
      </c>
      <c r="J5" s="41">
        <f t="shared" si="2"/>
        <v>5335103</v>
      </c>
      <c r="K5" s="41">
        <v>5354298</v>
      </c>
      <c r="L5" s="79">
        <f t="shared" si="3"/>
        <v>0.99641502957063655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 t="s">
        <v>1353</v>
      </c>
      <c r="T5" s="89" t="s">
        <v>1353</v>
      </c>
      <c r="U5" s="89" t="s">
        <v>1353</v>
      </c>
      <c r="V5" s="89" t="s">
        <v>1353</v>
      </c>
      <c r="W5" s="89" t="s">
        <v>1353</v>
      </c>
      <c r="X5" s="89" t="s">
        <v>1353</v>
      </c>
      <c r="Y5" s="89" t="s">
        <v>1353</v>
      </c>
      <c r="Z5" s="81"/>
      <c r="AA5" s="6">
        <f t="shared" si="4"/>
        <v>2</v>
      </c>
      <c r="AB5" s="80" t="str">
        <f>+IF(AND(D5&gt;'Indices y Outliers'!$I$145,D5&lt;&gt;""),1,"")</f>
        <v/>
      </c>
      <c r="AC5" s="80" t="str">
        <f>+IF(AND(G5&gt;'Indices y Outliers'!$I$153,G5&lt;&gt;""),1,"")</f>
        <v/>
      </c>
      <c r="AD5" s="7"/>
      <c r="AE5" s="7">
        <f t="shared" si="5"/>
        <v>0</v>
      </c>
    </row>
    <row r="6" spans="1:31" ht="14.5">
      <c r="A6" s="7" t="s">
        <v>222</v>
      </c>
      <c r="B6" s="78">
        <v>0</v>
      </c>
      <c r="C6" s="78">
        <v>0</v>
      </c>
      <c r="D6" s="42" t="str">
        <f t="shared" si="0"/>
        <v/>
      </c>
      <c r="E6" s="78">
        <v>0</v>
      </c>
      <c r="F6" s="78">
        <v>0</v>
      </c>
      <c r="G6" s="42" t="str">
        <f t="shared" si="1"/>
        <v/>
      </c>
      <c r="H6" s="41">
        <v>0</v>
      </c>
      <c r="I6" s="41">
        <v>0</v>
      </c>
      <c r="J6" s="41">
        <f t="shared" si="2"/>
        <v>0</v>
      </c>
      <c r="K6" s="41">
        <v>0</v>
      </c>
      <c r="L6" s="79" t="str">
        <f t="shared" si="3"/>
        <v/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81"/>
      <c r="AA6" s="6">
        <f t="shared" si="4"/>
        <v>0</v>
      </c>
      <c r="AB6" s="80" t="str">
        <f>+IF(AND(D6&gt;'Indices y Outliers'!$I$145,D6&lt;&gt;""),1,"")</f>
        <v/>
      </c>
      <c r="AC6" s="80" t="str">
        <f>+IF(AND(G6&gt;'Indices y Outliers'!$I$153,G6&lt;&gt;""),1,"")</f>
        <v/>
      </c>
      <c r="AD6" s="7"/>
      <c r="AE6" s="7">
        <f t="shared" si="5"/>
        <v>0</v>
      </c>
    </row>
    <row r="7" spans="1:31" ht="14.5">
      <c r="A7" s="7" t="s">
        <v>225</v>
      </c>
      <c r="B7" s="78">
        <v>66.8</v>
      </c>
      <c r="C7" s="78">
        <v>0</v>
      </c>
      <c r="D7" s="42">
        <f t="shared" si="0"/>
        <v>66.8</v>
      </c>
      <c r="E7" s="78">
        <v>2.25</v>
      </c>
      <c r="F7" s="78">
        <v>0</v>
      </c>
      <c r="G7" s="42">
        <f t="shared" si="1"/>
        <v>2.25</v>
      </c>
      <c r="H7" s="41">
        <v>0</v>
      </c>
      <c r="I7" s="41">
        <v>824923</v>
      </c>
      <c r="J7" s="41">
        <f t="shared" si="2"/>
        <v>824923</v>
      </c>
      <c r="K7" s="41">
        <v>828038</v>
      </c>
      <c r="L7" s="79">
        <f t="shared" si="3"/>
        <v>0.99623809535311181</v>
      </c>
      <c r="M7" s="89">
        <v>1</v>
      </c>
      <c r="N7" s="89">
        <v>1</v>
      </c>
      <c r="O7" s="89">
        <v>1</v>
      </c>
      <c r="P7" s="89">
        <v>1</v>
      </c>
      <c r="Q7" s="89">
        <v>1</v>
      </c>
      <c r="R7" s="89">
        <v>1</v>
      </c>
      <c r="S7" s="89" t="s">
        <v>1353</v>
      </c>
      <c r="T7" s="89" t="s">
        <v>1353</v>
      </c>
      <c r="U7" s="89" t="s">
        <v>1353</v>
      </c>
      <c r="V7" s="89" t="s">
        <v>1353</v>
      </c>
      <c r="W7" s="7"/>
      <c r="X7" s="89" t="s">
        <v>1353</v>
      </c>
      <c r="Y7" s="7"/>
      <c r="Z7" s="81"/>
      <c r="AA7" s="6">
        <f t="shared" si="4"/>
        <v>2</v>
      </c>
      <c r="AB7" s="80" t="str">
        <f>+IF(AND(D7&gt;'Indices y Outliers'!$I$145,D7&lt;&gt;""),1,"")</f>
        <v/>
      </c>
      <c r="AC7" s="80" t="str">
        <f>+IF(AND(G7&gt;'Indices y Outliers'!$I$153,G7&lt;&gt;""),1,"")</f>
        <v/>
      </c>
      <c r="AD7" s="7"/>
      <c r="AE7" s="7">
        <f t="shared" si="5"/>
        <v>0</v>
      </c>
    </row>
    <row r="8" spans="1:31" ht="14.5">
      <c r="A8" s="7" t="s">
        <v>228</v>
      </c>
      <c r="B8" s="78">
        <v>326</v>
      </c>
      <c r="C8" s="78">
        <v>0</v>
      </c>
      <c r="D8" s="42">
        <f t="shared" si="0"/>
        <v>326</v>
      </c>
      <c r="E8" s="78">
        <v>3.3090000000000002</v>
      </c>
      <c r="F8" s="78">
        <v>0</v>
      </c>
      <c r="G8" s="42">
        <f t="shared" si="1"/>
        <v>3.3090000000000002</v>
      </c>
      <c r="H8" s="41">
        <v>34868</v>
      </c>
      <c r="I8" s="41">
        <v>721</v>
      </c>
      <c r="J8" s="41">
        <f t="shared" si="2"/>
        <v>35589</v>
      </c>
      <c r="K8" s="41">
        <v>37051</v>
      </c>
      <c r="L8" s="79">
        <f t="shared" si="3"/>
        <v>0.96054087608971417</v>
      </c>
      <c r="M8" s="89">
        <v>1</v>
      </c>
      <c r="N8" s="7"/>
      <c r="O8" s="89">
        <v>1</v>
      </c>
      <c r="P8" s="7"/>
      <c r="Q8" s="7"/>
      <c r="R8" s="89">
        <v>1</v>
      </c>
      <c r="S8" s="89" t="s">
        <v>1354</v>
      </c>
      <c r="T8" s="89" t="s">
        <v>1353</v>
      </c>
      <c r="U8" s="7"/>
      <c r="V8" s="89" t="s">
        <v>1353</v>
      </c>
      <c r="W8" s="7"/>
      <c r="X8" s="7"/>
      <c r="Y8" s="7"/>
      <c r="Z8" s="81"/>
      <c r="AA8" s="6">
        <f t="shared" si="4"/>
        <v>2</v>
      </c>
      <c r="AB8" s="80" t="str">
        <f>+IF(AND(D8&gt;'Indices y Outliers'!$I$145,D8&lt;&gt;""),1,"")</f>
        <v/>
      </c>
      <c r="AC8" s="80" t="str">
        <f>+IF(AND(G8&gt;'Indices y Outliers'!$I$153,G8&lt;&gt;""),1,"")</f>
        <v/>
      </c>
      <c r="AD8" s="7"/>
      <c r="AE8" s="7">
        <f t="shared" si="5"/>
        <v>0</v>
      </c>
    </row>
    <row r="9" spans="1:31" ht="14.5">
      <c r="A9" s="7" t="s">
        <v>231</v>
      </c>
      <c r="B9" s="78">
        <v>0</v>
      </c>
      <c r="C9" s="78">
        <v>18.18</v>
      </c>
      <c r="D9" s="42">
        <f t="shared" si="0"/>
        <v>18.18</v>
      </c>
      <c r="E9" s="78">
        <v>0</v>
      </c>
      <c r="F9" s="78">
        <v>0.14399999999999999</v>
      </c>
      <c r="G9" s="42">
        <f t="shared" si="1"/>
        <v>0.14399999999999999</v>
      </c>
      <c r="H9" s="41">
        <v>0</v>
      </c>
      <c r="I9" s="41">
        <v>0</v>
      </c>
      <c r="J9" s="41">
        <f t="shared" si="2"/>
        <v>0</v>
      </c>
      <c r="K9" s="41">
        <v>3626604</v>
      </c>
      <c r="L9" s="79">
        <f t="shared" si="3"/>
        <v>0</v>
      </c>
      <c r="M9" s="89">
        <v>1</v>
      </c>
      <c r="N9" s="89">
        <v>1</v>
      </c>
      <c r="O9" s="89">
        <v>1</v>
      </c>
      <c r="P9" s="89">
        <v>1</v>
      </c>
      <c r="Q9" s="89">
        <v>1</v>
      </c>
      <c r="R9" s="89">
        <v>1</v>
      </c>
      <c r="S9" s="89" t="s">
        <v>1353</v>
      </c>
      <c r="T9" s="89" t="s">
        <v>1353</v>
      </c>
      <c r="U9" s="89" t="s">
        <v>1353</v>
      </c>
      <c r="V9" s="89" t="s">
        <v>1353</v>
      </c>
      <c r="W9" s="7"/>
      <c r="X9" s="89" t="s">
        <v>1353</v>
      </c>
      <c r="Y9" s="7"/>
      <c r="Z9" s="81"/>
      <c r="AA9" s="6">
        <f t="shared" si="4"/>
        <v>1</v>
      </c>
      <c r="AB9" s="80" t="str">
        <f>+IF(AND(D9&gt;'Indices y Outliers'!$I$145,D9&lt;&gt;""),1,"")</f>
        <v/>
      </c>
      <c r="AC9" s="80" t="str">
        <f>+IF(AND(G9&gt;'Indices y Outliers'!$I$153,G9&lt;&gt;""),1,"")</f>
        <v/>
      </c>
      <c r="AD9" s="7"/>
      <c r="AE9" s="7">
        <f t="shared" si="5"/>
        <v>0</v>
      </c>
    </row>
    <row r="10" spans="1:31" ht="14.5">
      <c r="A10" s="7" t="s">
        <v>234</v>
      </c>
      <c r="B10" s="78">
        <v>142.15</v>
      </c>
      <c r="C10" s="78">
        <v>0</v>
      </c>
      <c r="D10" s="42">
        <f t="shared" si="0"/>
        <v>142.15</v>
      </c>
      <c r="E10" s="78">
        <v>2.294</v>
      </c>
      <c r="F10" s="78">
        <v>0</v>
      </c>
      <c r="G10" s="42">
        <f t="shared" si="1"/>
        <v>2.294</v>
      </c>
      <c r="H10" s="41">
        <v>4040</v>
      </c>
      <c r="I10" s="41">
        <v>1520257</v>
      </c>
      <c r="J10" s="41">
        <f t="shared" si="2"/>
        <v>1524297</v>
      </c>
      <c r="K10" s="41">
        <v>1528269</v>
      </c>
      <c r="L10" s="79">
        <f t="shared" si="3"/>
        <v>0.99740098111000097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 t="s">
        <v>1353</v>
      </c>
      <c r="T10" s="89" t="s">
        <v>1353</v>
      </c>
      <c r="U10" s="89" t="s">
        <v>1353</v>
      </c>
      <c r="V10" s="89" t="s">
        <v>1353</v>
      </c>
      <c r="W10" s="7"/>
      <c r="X10" s="89" t="s">
        <v>1353</v>
      </c>
      <c r="Y10" s="7"/>
      <c r="Z10" s="81"/>
      <c r="AA10" s="6">
        <f t="shared" si="4"/>
        <v>2</v>
      </c>
      <c r="AB10" s="80" t="str">
        <f>+IF(AND(D10&gt;'Indices y Outliers'!$I$145,D10&lt;&gt;""),1,"")</f>
        <v/>
      </c>
      <c r="AC10" s="80" t="str">
        <f>+IF(AND(G10&gt;'Indices y Outliers'!$I$153,G10&lt;&gt;""),1,"")</f>
        <v/>
      </c>
      <c r="AD10" s="7"/>
      <c r="AE10" s="7">
        <f t="shared" si="5"/>
        <v>0</v>
      </c>
    </row>
    <row r="11" spans="1:31" ht="14.5">
      <c r="A11" s="7" t="s">
        <v>237</v>
      </c>
      <c r="B11" s="78">
        <v>94.57</v>
      </c>
      <c r="C11" s="78">
        <v>0</v>
      </c>
      <c r="D11" s="42">
        <f t="shared" si="0"/>
        <v>94.57</v>
      </c>
      <c r="E11" s="78">
        <v>1.7370000000000001</v>
      </c>
      <c r="F11" s="78">
        <v>0</v>
      </c>
      <c r="G11" s="42">
        <f t="shared" si="1"/>
        <v>1.7370000000000001</v>
      </c>
      <c r="H11" s="41">
        <v>270</v>
      </c>
      <c r="I11" s="41">
        <v>1953702</v>
      </c>
      <c r="J11" s="41">
        <f t="shared" si="2"/>
        <v>1953972</v>
      </c>
      <c r="K11" s="41">
        <v>1956351</v>
      </c>
      <c r="L11" s="79">
        <f t="shared" si="3"/>
        <v>0.99878396054695706</v>
      </c>
      <c r="M11" s="89">
        <v>1</v>
      </c>
      <c r="N11" s="89">
        <v>1</v>
      </c>
      <c r="O11" s="89">
        <v>1</v>
      </c>
      <c r="P11" s="89">
        <v>1</v>
      </c>
      <c r="Q11" s="89">
        <v>1</v>
      </c>
      <c r="R11" s="89">
        <v>1</v>
      </c>
      <c r="S11" s="89" t="s">
        <v>1353</v>
      </c>
      <c r="T11" s="89" t="s">
        <v>1353</v>
      </c>
      <c r="U11" s="89" t="s">
        <v>1353</v>
      </c>
      <c r="V11" s="89" t="s">
        <v>1353</v>
      </c>
      <c r="W11" s="7"/>
      <c r="X11" s="89" t="s">
        <v>1353</v>
      </c>
      <c r="Y11" s="7"/>
      <c r="Z11" s="81"/>
      <c r="AA11" s="6">
        <f t="shared" si="4"/>
        <v>2</v>
      </c>
      <c r="AB11" s="80" t="str">
        <f>+IF(AND(D11&gt;'Indices y Outliers'!$I$145,D11&lt;&gt;""),1,"")</f>
        <v/>
      </c>
      <c r="AC11" s="80" t="str">
        <f>+IF(AND(G11&gt;'Indices y Outliers'!$I$153,G11&lt;&gt;""),1,"")</f>
        <v/>
      </c>
      <c r="AD11" s="7"/>
      <c r="AE11" s="7">
        <f t="shared" si="5"/>
        <v>0</v>
      </c>
    </row>
    <row r="12" spans="1:31" ht="14.5">
      <c r="A12" s="7" t="s">
        <v>240</v>
      </c>
      <c r="B12" s="78">
        <v>196</v>
      </c>
      <c r="C12" s="78">
        <v>0</v>
      </c>
      <c r="D12" s="42">
        <f t="shared" si="0"/>
        <v>196</v>
      </c>
      <c r="E12" s="78">
        <v>1.66</v>
      </c>
      <c r="F12" s="78">
        <v>0</v>
      </c>
      <c r="G12" s="42">
        <f t="shared" si="1"/>
        <v>1.66</v>
      </c>
      <c r="H12" s="41">
        <v>146423</v>
      </c>
      <c r="I12" s="41">
        <v>1089437</v>
      </c>
      <c r="J12" s="41">
        <f t="shared" si="2"/>
        <v>1235860</v>
      </c>
      <c r="K12" s="41">
        <v>1237328</v>
      </c>
      <c r="L12" s="79">
        <f t="shared" si="3"/>
        <v>0.99881357247229519</v>
      </c>
      <c r="M12" s="89">
        <v>1</v>
      </c>
      <c r="N12" s="7"/>
      <c r="O12" s="89">
        <v>1</v>
      </c>
      <c r="P12" s="7"/>
      <c r="Q12" s="89">
        <v>1</v>
      </c>
      <c r="R12" s="89">
        <v>1</v>
      </c>
      <c r="S12" s="89" t="s">
        <v>1353</v>
      </c>
      <c r="T12" s="89" t="s">
        <v>1353</v>
      </c>
      <c r="U12" s="89" t="s">
        <v>1353</v>
      </c>
      <c r="V12" s="89" t="s">
        <v>1353</v>
      </c>
      <c r="W12" s="7"/>
      <c r="X12" s="89" t="s">
        <v>1353</v>
      </c>
      <c r="Y12" s="89" t="s">
        <v>1354</v>
      </c>
      <c r="Z12" s="81"/>
      <c r="AA12" s="6">
        <f t="shared" si="4"/>
        <v>2</v>
      </c>
      <c r="AB12" s="80" t="str">
        <f>+IF(AND(D12&gt;'Indices y Outliers'!$I$145,D12&lt;&gt;""),1,"")</f>
        <v/>
      </c>
      <c r="AC12" s="80" t="str">
        <f>+IF(AND(G12&gt;'Indices y Outliers'!$I$153,G12&lt;&gt;""),1,"")</f>
        <v/>
      </c>
      <c r="AD12" s="7"/>
      <c r="AE12" s="7">
        <f t="shared" si="5"/>
        <v>0</v>
      </c>
    </row>
    <row r="13" spans="1:31" ht="14.5">
      <c r="A13" s="7" t="s">
        <v>243</v>
      </c>
      <c r="B13" s="78">
        <v>181.99</v>
      </c>
      <c r="C13" s="78">
        <v>0</v>
      </c>
      <c r="D13" s="42">
        <f t="shared" si="0"/>
        <v>181.99</v>
      </c>
      <c r="E13" s="78">
        <v>1.2869999999999999</v>
      </c>
      <c r="F13" s="78">
        <v>0</v>
      </c>
      <c r="G13" s="42">
        <f t="shared" si="1"/>
        <v>1.2869999999999999</v>
      </c>
      <c r="H13" s="41">
        <v>0</v>
      </c>
      <c r="I13" s="41">
        <v>1867185</v>
      </c>
      <c r="J13" s="41">
        <f t="shared" si="2"/>
        <v>1867185</v>
      </c>
      <c r="K13" s="41">
        <v>1882174</v>
      </c>
      <c r="L13" s="79">
        <f t="shared" si="3"/>
        <v>0.99203633670425795</v>
      </c>
      <c r="M13" s="89">
        <v>1</v>
      </c>
      <c r="N13" s="89">
        <v>1</v>
      </c>
      <c r="O13" s="89">
        <v>1</v>
      </c>
      <c r="P13" s="89">
        <v>1</v>
      </c>
      <c r="Q13" s="89">
        <v>1</v>
      </c>
      <c r="R13" s="89">
        <v>1</v>
      </c>
      <c r="S13" s="89" t="s">
        <v>1353</v>
      </c>
      <c r="T13" s="89" t="s">
        <v>1354</v>
      </c>
      <c r="U13" s="89" t="s">
        <v>1353</v>
      </c>
      <c r="V13" s="89" t="s">
        <v>1353</v>
      </c>
      <c r="W13" s="7"/>
      <c r="X13" s="7"/>
      <c r="Y13" s="7"/>
      <c r="Z13" s="81"/>
      <c r="AA13" s="6">
        <f t="shared" si="4"/>
        <v>2</v>
      </c>
      <c r="AB13" s="80" t="str">
        <f>+IF(AND(D13&gt;'Indices y Outliers'!$I$145,D13&lt;&gt;""),1,"")</f>
        <v/>
      </c>
      <c r="AC13" s="80" t="str">
        <f>+IF(AND(G13&gt;'Indices y Outliers'!$I$153,G13&lt;&gt;""),1,"")</f>
        <v/>
      </c>
      <c r="AD13" s="7"/>
      <c r="AE13" s="7">
        <f t="shared" si="5"/>
        <v>0</v>
      </c>
    </row>
    <row r="14" spans="1:31" ht="14.5">
      <c r="A14" s="7" t="s">
        <v>246</v>
      </c>
      <c r="B14" s="78">
        <v>0</v>
      </c>
      <c r="C14" s="78">
        <v>114.675</v>
      </c>
      <c r="D14" s="42">
        <f t="shared" si="0"/>
        <v>114.675</v>
      </c>
      <c r="E14" s="78">
        <v>0</v>
      </c>
      <c r="F14" s="78">
        <v>1.1479999999999999</v>
      </c>
      <c r="G14" s="42">
        <f t="shared" si="1"/>
        <v>1.1479999999999999</v>
      </c>
      <c r="H14" s="41">
        <v>110846</v>
      </c>
      <c r="I14" s="41">
        <v>6293</v>
      </c>
      <c r="J14" s="41">
        <f t="shared" si="2"/>
        <v>117139</v>
      </c>
      <c r="K14" s="41">
        <v>126899</v>
      </c>
      <c r="L14" s="79">
        <f t="shared" si="3"/>
        <v>0.92308844041324201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 t="s">
        <v>1353</v>
      </c>
      <c r="T14" s="89" t="s">
        <v>1353</v>
      </c>
      <c r="U14" s="7"/>
      <c r="V14" s="89" t="s">
        <v>1353</v>
      </c>
      <c r="W14" s="7"/>
      <c r="X14" s="7"/>
      <c r="Y14" s="7"/>
      <c r="Z14" s="81"/>
      <c r="AA14" s="6">
        <f t="shared" si="4"/>
        <v>2</v>
      </c>
      <c r="AB14" s="80" t="str">
        <f>+IF(AND(D14&gt;'Indices y Outliers'!$I$145,D14&lt;&gt;""),1,"")</f>
        <v/>
      </c>
      <c r="AC14" s="80" t="str">
        <f>+IF(AND(G14&gt;'Indices y Outliers'!$I$153,G14&lt;&gt;""),1,"")</f>
        <v/>
      </c>
      <c r="AD14" s="7"/>
      <c r="AE14" s="7">
        <f t="shared" si="5"/>
        <v>0</v>
      </c>
    </row>
    <row r="15" spans="1:31" ht="14.5">
      <c r="A15" s="7" t="s">
        <v>249</v>
      </c>
      <c r="B15" s="78">
        <v>37.64</v>
      </c>
      <c r="C15" s="78">
        <v>0</v>
      </c>
      <c r="D15" s="42">
        <f t="shared" si="0"/>
        <v>37.64</v>
      </c>
      <c r="E15" s="78">
        <v>0.63</v>
      </c>
      <c r="F15" s="78">
        <v>0</v>
      </c>
      <c r="G15" s="42">
        <f t="shared" si="1"/>
        <v>0.63</v>
      </c>
      <c r="H15" s="41">
        <v>10</v>
      </c>
      <c r="I15" s="41">
        <v>4208148</v>
      </c>
      <c r="J15" s="41">
        <f t="shared" si="2"/>
        <v>4208158</v>
      </c>
      <c r="K15" s="41">
        <v>4213385</v>
      </c>
      <c r="L15" s="79">
        <f t="shared" si="3"/>
        <v>0.99875942976965082</v>
      </c>
      <c r="M15" s="89">
        <v>1</v>
      </c>
      <c r="N15" s="89">
        <v>1</v>
      </c>
      <c r="O15" s="89">
        <v>1</v>
      </c>
      <c r="P15" s="89">
        <v>1</v>
      </c>
      <c r="Q15" s="89">
        <v>1</v>
      </c>
      <c r="R15" s="89">
        <v>1</v>
      </c>
      <c r="S15" s="7"/>
      <c r="T15" s="89" t="s">
        <v>1353</v>
      </c>
      <c r="U15" s="89" t="s">
        <v>1353</v>
      </c>
      <c r="V15" s="89" t="s">
        <v>1353</v>
      </c>
      <c r="W15" s="7"/>
      <c r="X15" s="7"/>
      <c r="Y15" s="7"/>
      <c r="Z15" s="81"/>
      <c r="AA15" s="6">
        <f t="shared" si="4"/>
        <v>2</v>
      </c>
      <c r="AB15" s="80" t="str">
        <f>+IF(AND(D15&gt;'Indices y Outliers'!$I$145,D15&lt;&gt;""),1,"")</f>
        <v/>
      </c>
      <c r="AC15" s="80" t="str">
        <f>+IF(AND(G15&gt;'Indices y Outliers'!$I$153,G15&lt;&gt;""),1,"")</f>
        <v/>
      </c>
      <c r="AD15" s="7"/>
      <c r="AE15" s="7">
        <f t="shared" si="5"/>
        <v>0</v>
      </c>
    </row>
    <row r="16" spans="1:31" ht="14.5">
      <c r="A16" s="7" t="s">
        <v>252</v>
      </c>
      <c r="B16" s="78">
        <v>0</v>
      </c>
      <c r="C16" s="78">
        <v>0</v>
      </c>
      <c r="D16" s="42" t="str">
        <f t="shared" si="0"/>
        <v/>
      </c>
      <c r="E16" s="78">
        <v>0</v>
      </c>
      <c r="F16" s="78">
        <v>0</v>
      </c>
      <c r="G16" s="42" t="str">
        <f t="shared" si="1"/>
        <v/>
      </c>
      <c r="H16" s="41">
        <v>0</v>
      </c>
      <c r="I16" s="41">
        <v>0</v>
      </c>
      <c r="J16" s="41">
        <f t="shared" si="2"/>
        <v>0</v>
      </c>
      <c r="K16" s="41">
        <v>0</v>
      </c>
      <c r="L16" s="79" t="str">
        <f t="shared" si="3"/>
        <v/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1"/>
      <c r="AA16" s="6">
        <f t="shared" si="4"/>
        <v>0</v>
      </c>
      <c r="AB16" s="80" t="str">
        <f>+IF(AND(D16&gt;'Indices y Outliers'!$I$145,D16&lt;&gt;""),1,"")</f>
        <v/>
      </c>
      <c r="AC16" s="80" t="str">
        <f>+IF(AND(G16&gt;'Indices y Outliers'!$I$153,G16&lt;&gt;""),1,"")</f>
        <v/>
      </c>
      <c r="AD16" s="7"/>
      <c r="AE16" s="7">
        <f t="shared" si="5"/>
        <v>0</v>
      </c>
    </row>
    <row r="17" spans="1:31" ht="14.5">
      <c r="A17" s="7" t="s">
        <v>255</v>
      </c>
      <c r="B17" s="78">
        <v>82</v>
      </c>
      <c r="C17" s="78">
        <v>0</v>
      </c>
      <c r="D17" s="42">
        <f t="shared" si="0"/>
        <v>82</v>
      </c>
      <c r="E17" s="78">
        <v>0.86</v>
      </c>
      <c r="F17" s="78">
        <v>0</v>
      </c>
      <c r="G17" s="42">
        <f t="shared" si="1"/>
        <v>0.86</v>
      </c>
      <c r="H17" s="41">
        <v>369</v>
      </c>
      <c r="I17" s="41">
        <v>1760108</v>
      </c>
      <c r="J17" s="41">
        <f t="shared" si="2"/>
        <v>1760477</v>
      </c>
      <c r="K17" s="41">
        <v>1760477</v>
      </c>
      <c r="L17" s="79">
        <f t="shared" si="3"/>
        <v>1</v>
      </c>
      <c r="M17" s="89">
        <v>1</v>
      </c>
      <c r="N17" s="7"/>
      <c r="O17" s="89">
        <v>1</v>
      </c>
      <c r="P17" s="89">
        <v>1</v>
      </c>
      <c r="Q17" s="89">
        <v>1</v>
      </c>
      <c r="R17" s="89">
        <v>1</v>
      </c>
      <c r="S17" s="7"/>
      <c r="T17" s="89" t="s">
        <v>1353</v>
      </c>
      <c r="U17" s="7"/>
      <c r="V17" s="89" t="s">
        <v>1353</v>
      </c>
      <c r="W17" s="7"/>
      <c r="X17" s="7"/>
      <c r="Y17" s="7"/>
      <c r="Z17" s="81"/>
      <c r="AA17" s="6">
        <f t="shared" si="4"/>
        <v>2</v>
      </c>
      <c r="AB17" s="80" t="str">
        <f>+IF(AND(D17&gt;'Indices y Outliers'!$I$145,D17&lt;&gt;""),1,"")</f>
        <v/>
      </c>
      <c r="AC17" s="80" t="str">
        <f>+IF(AND(G17&gt;'Indices y Outliers'!$I$153,G17&lt;&gt;""),1,"")</f>
        <v/>
      </c>
      <c r="AD17" s="7"/>
      <c r="AE17" s="7">
        <f t="shared" si="5"/>
        <v>0</v>
      </c>
    </row>
    <row r="18" spans="1:31" ht="14.5">
      <c r="A18" s="7" t="s">
        <v>258</v>
      </c>
      <c r="B18" s="78">
        <v>78.400000000000006</v>
      </c>
      <c r="C18" s="78">
        <v>0</v>
      </c>
      <c r="D18" s="42">
        <f t="shared" si="0"/>
        <v>78.400000000000006</v>
      </c>
      <c r="E18" s="78">
        <v>1.93</v>
      </c>
      <c r="F18" s="78">
        <v>0</v>
      </c>
      <c r="G18" s="42">
        <f t="shared" si="1"/>
        <v>1.93</v>
      </c>
      <c r="H18" s="41">
        <v>259972</v>
      </c>
      <c r="I18" s="41">
        <v>521631</v>
      </c>
      <c r="J18" s="41">
        <f t="shared" si="2"/>
        <v>781603</v>
      </c>
      <c r="K18" s="41">
        <v>781613</v>
      </c>
      <c r="L18" s="79">
        <f t="shared" si="3"/>
        <v>0.99998720594462986</v>
      </c>
      <c r="M18" s="89">
        <v>1</v>
      </c>
      <c r="N18" s="89">
        <v>1</v>
      </c>
      <c r="O18" s="89">
        <v>1</v>
      </c>
      <c r="P18" s="89">
        <v>1</v>
      </c>
      <c r="Q18" s="89">
        <v>1</v>
      </c>
      <c r="R18" s="89">
        <v>1</v>
      </c>
      <c r="S18" s="89" t="s">
        <v>1353</v>
      </c>
      <c r="T18" s="89" t="s">
        <v>1353</v>
      </c>
      <c r="U18" s="89" t="s">
        <v>1353</v>
      </c>
      <c r="V18" s="89" t="s">
        <v>1353</v>
      </c>
      <c r="W18" s="7"/>
      <c r="X18" s="89" t="s">
        <v>1353</v>
      </c>
      <c r="Y18" s="7"/>
      <c r="Z18" s="81"/>
      <c r="AA18" s="6">
        <f t="shared" si="4"/>
        <v>2</v>
      </c>
      <c r="AB18" s="80" t="str">
        <f>+IF(AND(D18&gt;'Indices y Outliers'!$I$145,D18&lt;&gt;""),1,"")</f>
        <v/>
      </c>
      <c r="AC18" s="80" t="str">
        <f>+IF(AND(G18&gt;'Indices y Outliers'!$I$153,G18&lt;&gt;""),1,"")</f>
        <v/>
      </c>
      <c r="AD18" s="7"/>
      <c r="AE18" s="7">
        <f t="shared" si="5"/>
        <v>0</v>
      </c>
    </row>
    <row r="19" spans="1:31" ht="14.5">
      <c r="A19" s="7" t="s">
        <v>261</v>
      </c>
      <c r="B19" s="78">
        <v>160.4</v>
      </c>
      <c r="C19" s="78">
        <v>0</v>
      </c>
      <c r="D19" s="42">
        <f t="shared" si="0"/>
        <v>160.4</v>
      </c>
      <c r="E19" s="78">
        <v>1.3149999999999999</v>
      </c>
      <c r="F19" s="78">
        <v>0</v>
      </c>
      <c r="G19" s="42">
        <f t="shared" si="1"/>
        <v>1.3149999999999999</v>
      </c>
      <c r="H19" s="41">
        <v>727</v>
      </c>
      <c r="I19" s="41">
        <v>897100</v>
      </c>
      <c r="J19" s="41">
        <f t="shared" si="2"/>
        <v>897827</v>
      </c>
      <c r="K19" s="41">
        <v>901443</v>
      </c>
      <c r="L19" s="79">
        <f t="shared" si="3"/>
        <v>0.99598865374738055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 t="s">
        <v>1353</v>
      </c>
      <c r="T19" s="89" t="s">
        <v>1353</v>
      </c>
      <c r="U19" s="89" t="s">
        <v>1353</v>
      </c>
      <c r="V19" s="89" t="s">
        <v>1353</v>
      </c>
      <c r="W19" s="7"/>
      <c r="X19" s="89" t="s">
        <v>1353</v>
      </c>
      <c r="Y19" s="89" t="s">
        <v>1354</v>
      </c>
      <c r="Z19" s="81"/>
      <c r="AA19" s="6">
        <f t="shared" si="4"/>
        <v>2</v>
      </c>
      <c r="AB19" s="80" t="str">
        <f>+IF(AND(D19&gt;'Indices y Outliers'!$I$145,D19&lt;&gt;""),1,"")</f>
        <v/>
      </c>
      <c r="AC19" s="80" t="str">
        <f>+IF(AND(G19&gt;'Indices y Outliers'!$I$153,G19&lt;&gt;""),1,"")</f>
        <v/>
      </c>
      <c r="AD19" s="7"/>
      <c r="AE19" s="7">
        <f t="shared" si="5"/>
        <v>0</v>
      </c>
    </row>
    <row r="20" spans="1:31" ht="14.5">
      <c r="A20" s="7" t="s">
        <v>264</v>
      </c>
      <c r="B20" s="78">
        <v>181.67</v>
      </c>
      <c r="C20" s="78">
        <v>0</v>
      </c>
      <c r="D20" s="42">
        <f t="shared" si="0"/>
        <v>181.67</v>
      </c>
      <c r="E20" s="78">
        <v>1.91</v>
      </c>
      <c r="F20" s="78">
        <v>0</v>
      </c>
      <c r="G20" s="42">
        <f t="shared" si="1"/>
        <v>1.91</v>
      </c>
      <c r="H20" s="41">
        <v>11357</v>
      </c>
      <c r="I20" s="41">
        <v>2166103</v>
      </c>
      <c r="J20" s="41">
        <f t="shared" si="2"/>
        <v>2177460</v>
      </c>
      <c r="K20" s="41">
        <v>2180132</v>
      </c>
      <c r="L20" s="79">
        <f t="shared" si="3"/>
        <v>0.998774386138087</v>
      </c>
      <c r="M20" s="89">
        <v>1</v>
      </c>
      <c r="N20" s="89">
        <v>1</v>
      </c>
      <c r="O20" s="89">
        <v>1</v>
      </c>
      <c r="P20" s="89">
        <v>1</v>
      </c>
      <c r="Q20" s="89">
        <v>1</v>
      </c>
      <c r="R20" s="89">
        <v>1</v>
      </c>
      <c r="S20" s="89" t="s">
        <v>1353</v>
      </c>
      <c r="T20" s="89" t="s">
        <v>1353</v>
      </c>
      <c r="U20" s="89" t="s">
        <v>1353</v>
      </c>
      <c r="V20" s="89" t="s">
        <v>1353</v>
      </c>
      <c r="W20" s="7"/>
      <c r="X20" s="89" t="s">
        <v>1353</v>
      </c>
      <c r="Y20" s="7"/>
      <c r="Z20" s="81"/>
      <c r="AA20" s="6">
        <f t="shared" si="4"/>
        <v>2</v>
      </c>
      <c r="AB20" s="80" t="str">
        <f>+IF(AND(D20&gt;'Indices y Outliers'!$I$145,D20&lt;&gt;""),1,"")</f>
        <v/>
      </c>
      <c r="AC20" s="80" t="str">
        <f>+IF(AND(G20&gt;'Indices y Outliers'!$I$153,G20&lt;&gt;""),1,"")</f>
        <v/>
      </c>
      <c r="AD20" s="7"/>
      <c r="AE20" s="7">
        <f t="shared" si="5"/>
        <v>0</v>
      </c>
    </row>
    <row r="21" spans="1:31" ht="15.75" customHeight="1">
      <c r="A21" s="7" t="s">
        <v>267</v>
      </c>
      <c r="B21" s="78">
        <v>90.69</v>
      </c>
      <c r="C21" s="78">
        <v>0</v>
      </c>
      <c r="D21" s="42">
        <f t="shared" si="0"/>
        <v>90.69</v>
      </c>
      <c r="E21" s="78">
        <v>1.073</v>
      </c>
      <c r="F21" s="78">
        <v>0</v>
      </c>
      <c r="G21" s="42">
        <f t="shared" si="1"/>
        <v>1.073</v>
      </c>
      <c r="H21" s="41">
        <v>154</v>
      </c>
      <c r="I21" s="41">
        <v>153055</v>
      </c>
      <c r="J21" s="41">
        <f t="shared" si="2"/>
        <v>153209</v>
      </c>
      <c r="K21" s="41">
        <v>154132</v>
      </c>
      <c r="L21" s="79">
        <f t="shared" si="3"/>
        <v>0.99401162639815221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 t="s">
        <v>1353</v>
      </c>
      <c r="T21" s="89" t="s">
        <v>1353</v>
      </c>
      <c r="U21" s="89" t="s">
        <v>1353</v>
      </c>
      <c r="V21" s="89" t="s">
        <v>1353</v>
      </c>
      <c r="W21" s="7"/>
      <c r="X21" s="89" t="s">
        <v>1353</v>
      </c>
      <c r="Y21" s="7"/>
      <c r="Z21" s="81"/>
      <c r="AA21" s="6">
        <f t="shared" si="4"/>
        <v>2</v>
      </c>
      <c r="AB21" s="80" t="str">
        <f>+IF(AND(D21&gt;'Indices y Outliers'!$I$145,D21&lt;&gt;""),1,"")</f>
        <v/>
      </c>
      <c r="AC21" s="80" t="str">
        <f>+IF(AND(G21&gt;'Indices y Outliers'!$I$153,G21&lt;&gt;""),1,"")</f>
        <v/>
      </c>
      <c r="AD21" s="7"/>
      <c r="AE21" s="7">
        <f t="shared" si="5"/>
        <v>0</v>
      </c>
    </row>
    <row r="22" spans="1:31" ht="15.75" customHeight="1">
      <c r="A22" s="7" t="s">
        <v>270</v>
      </c>
      <c r="B22" s="78">
        <v>113.25</v>
      </c>
      <c r="C22" s="78">
        <v>0</v>
      </c>
      <c r="D22" s="42">
        <f t="shared" si="0"/>
        <v>113.25</v>
      </c>
      <c r="E22" s="78">
        <v>1.4750000000000001</v>
      </c>
      <c r="F22" s="78">
        <v>0</v>
      </c>
      <c r="G22" s="42">
        <f t="shared" si="1"/>
        <v>1.4750000000000001</v>
      </c>
      <c r="H22" s="41">
        <v>6602</v>
      </c>
      <c r="I22" s="41">
        <v>788070</v>
      </c>
      <c r="J22" s="41">
        <f t="shared" si="2"/>
        <v>794672</v>
      </c>
      <c r="K22" s="41">
        <v>805400</v>
      </c>
      <c r="L22" s="79">
        <f t="shared" si="3"/>
        <v>0.98667991060342686</v>
      </c>
      <c r="M22" s="89">
        <v>1</v>
      </c>
      <c r="N22" s="7"/>
      <c r="O22" s="89">
        <v>1</v>
      </c>
      <c r="P22" s="89">
        <v>1</v>
      </c>
      <c r="Q22" s="7"/>
      <c r="R22" s="89">
        <v>1</v>
      </c>
      <c r="S22" s="89" t="s">
        <v>1354</v>
      </c>
      <c r="T22" s="89" t="s">
        <v>1354</v>
      </c>
      <c r="U22" s="89" t="s">
        <v>1353</v>
      </c>
      <c r="V22" s="89" t="s">
        <v>1354</v>
      </c>
      <c r="W22" s="7"/>
      <c r="X22" s="89" t="s">
        <v>1353</v>
      </c>
      <c r="Y22" s="7"/>
      <c r="Z22" s="81"/>
      <c r="AA22" s="6">
        <f t="shared" si="4"/>
        <v>2</v>
      </c>
      <c r="AB22" s="80" t="str">
        <f>+IF(AND(D22&gt;'Indices y Outliers'!$I$145,D22&lt;&gt;""),1,"")</f>
        <v/>
      </c>
      <c r="AC22" s="80" t="str">
        <f>+IF(AND(G22&gt;'Indices y Outliers'!$I$153,G22&lt;&gt;""),1,"")</f>
        <v/>
      </c>
      <c r="AD22" s="7"/>
      <c r="AE22" s="7">
        <f t="shared" si="5"/>
        <v>0</v>
      </c>
    </row>
    <row r="23" spans="1:31" ht="15.75" customHeight="1">
      <c r="A23" s="7" t="s">
        <v>273</v>
      </c>
      <c r="B23" s="78">
        <v>190.75399999999999</v>
      </c>
      <c r="C23" s="78">
        <v>0</v>
      </c>
      <c r="D23" s="42">
        <f t="shared" si="0"/>
        <v>190.75399999999999</v>
      </c>
      <c r="E23" s="78">
        <v>1.7030000000000001</v>
      </c>
      <c r="F23" s="78">
        <v>0</v>
      </c>
      <c r="G23" s="42">
        <f t="shared" si="1"/>
        <v>1.7030000000000001</v>
      </c>
      <c r="H23" s="41">
        <v>9357</v>
      </c>
      <c r="I23" s="41">
        <v>29704</v>
      </c>
      <c r="J23" s="41">
        <f t="shared" si="2"/>
        <v>39061</v>
      </c>
      <c r="K23" s="41">
        <v>1166801</v>
      </c>
      <c r="L23" s="79">
        <f t="shared" si="3"/>
        <v>3.3477002505140123E-2</v>
      </c>
      <c r="M23" s="89">
        <v>1</v>
      </c>
      <c r="N23" s="7"/>
      <c r="O23" s="89">
        <v>1</v>
      </c>
      <c r="P23" s="89">
        <v>1</v>
      </c>
      <c r="Q23" s="89">
        <v>1</v>
      </c>
      <c r="R23" s="89">
        <v>1</v>
      </c>
      <c r="S23" s="89" t="s">
        <v>1354</v>
      </c>
      <c r="T23" s="89" t="s">
        <v>1353</v>
      </c>
      <c r="U23" s="89" t="s">
        <v>1354</v>
      </c>
      <c r="V23" s="89" t="s">
        <v>1353</v>
      </c>
      <c r="W23" s="7"/>
      <c r="X23" s="89" t="s">
        <v>1353</v>
      </c>
      <c r="Y23" s="89" t="s">
        <v>1353</v>
      </c>
      <c r="Z23" s="81"/>
      <c r="AA23" s="6">
        <f t="shared" si="4"/>
        <v>2</v>
      </c>
      <c r="AB23" s="80" t="str">
        <f>+IF(AND(D23&gt;'Indices y Outliers'!$I$145,D23&lt;&gt;""),1,"")</f>
        <v/>
      </c>
      <c r="AC23" s="80" t="str">
        <f>+IF(AND(G23&gt;'Indices y Outliers'!$I$153,G23&lt;&gt;""),1,"")</f>
        <v/>
      </c>
      <c r="AD23" s="7"/>
      <c r="AE23" s="7">
        <f t="shared" si="5"/>
        <v>0</v>
      </c>
    </row>
    <row r="24" spans="1:31" ht="15.75" customHeight="1">
      <c r="A24" s="7" t="s">
        <v>276</v>
      </c>
      <c r="B24" s="78">
        <v>114.994</v>
      </c>
      <c r="C24" s="78">
        <v>0</v>
      </c>
      <c r="D24" s="42">
        <f t="shared" si="0"/>
        <v>114.994</v>
      </c>
      <c r="E24" s="78">
        <v>1.5229999999999999</v>
      </c>
      <c r="F24" s="78">
        <v>0</v>
      </c>
      <c r="G24" s="42">
        <f t="shared" si="1"/>
        <v>1.5229999999999999</v>
      </c>
      <c r="H24" s="41">
        <v>69373</v>
      </c>
      <c r="I24" s="41">
        <v>278598</v>
      </c>
      <c r="J24" s="41">
        <f t="shared" si="2"/>
        <v>347971</v>
      </c>
      <c r="K24" s="41">
        <v>1080799</v>
      </c>
      <c r="L24" s="79">
        <f t="shared" si="3"/>
        <v>0.32195718167762921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 t="s">
        <v>1354</v>
      </c>
      <c r="T24" s="89" t="s">
        <v>1354</v>
      </c>
      <c r="U24" s="7"/>
      <c r="V24" s="89" t="s">
        <v>1353</v>
      </c>
      <c r="W24" s="7"/>
      <c r="X24" s="89" t="s">
        <v>1353</v>
      </c>
      <c r="Y24" s="89" t="s">
        <v>1354</v>
      </c>
      <c r="Z24" s="81"/>
      <c r="AA24" s="6">
        <f t="shared" si="4"/>
        <v>2</v>
      </c>
      <c r="AB24" s="80" t="str">
        <f>+IF(AND(D24&gt;'Indices y Outliers'!$I$145,D24&lt;&gt;""),1,"")</f>
        <v/>
      </c>
      <c r="AC24" s="80" t="str">
        <f>+IF(AND(G24&gt;'Indices y Outliers'!$I$153,G24&lt;&gt;""),1,"")</f>
        <v/>
      </c>
      <c r="AD24" s="7"/>
      <c r="AE24" s="7">
        <f t="shared" si="5"/>
        <v>0</v>
      </c>
    </row>
    <row r="25" spans="1:31" ht="15.75" customHeight="1">
      <c r="A25" s="7" t="s">
        <v>279</v>
      </c>
      <c r="B25" s="78">
        <v>162.05699999999999</v>
      </c>
      <c r="C25" s="78">
        <v>0</v>
      </c>
      <c r="D25" s="42">
        <f t="shared" si="0"/>
        <v>162.05699999999999</v>
      </c>
      <c r="E25" s="78">
        <v>1.2070000000000001</v>
      </c>
      <c r="F25" s="78">
        <v>0</v>
      </c>
      <c r="G25" s="42">
        <f t="shared" si="1"/>
        <v>1.2070000000000001</v>
      </c>
      <c r="H25" s="41">
        <v>24606</v>
      </c>
      <c r="I25" s="41">
        <v>304702</v>
      </c>
      <c r="J25" s="41">
        <f t="shared" si="2"/>
        <v>329308</v>
      </c>
      <c r="K25" s="41">
        <v>772749</v>
      </c>
      <c r="L25" s="79">
        <f t="shared" si="3"/>
        <v>0.42615131174546972</v>
      </c>
      <c r="M25" s="89">
        <v>1</v>
      </c>
      <c r="N25" s="89">
        <v>1</v>
      </c>
      <c r="O25" s="89">
        <v>1</v>
      </c>
      <c r="P25" s="89">
        <v>1</v>
      </c>
      <c r="Q25" s="89">
        <v>1</v>
      </c>
      <c r="R25" s="89">
        <v>1</v>
      </c>
      <c r="S25" s="89" t="s">
        <v>1354</v>
      </c>
      <c r="T25" s="89" t="s">
        <v>1354</v>
      </c>
      <c r="U25" s="89" t="s">
        <v>1354</v>
      </c>
      <c r="V25" s="89" t="s">
        <v>1353</v>
      </c>
      <c r="W25" s="7"/>
      <c r="X25" s="89" t="s">
        <v>1353</v>
      </c>
      <c r="Y25" s="89" t="s">
        <v>1354</v>
      </c>
      <c r="Z25" s="81"/>
      <c r="AA25" s="6">
        <f t="shared" si="4"/>
        <v>2</v>
      </c>
      <c r="AB25" s="80" t="str">
        <f>+IF(AND(D25&gt;'Indices y Outliers'!$I$145,D25&lt;&gt;""),1,"")</f>
        <v/>
      </c>
      <c r="AC25" s="80" t="str">
        <f>+IF(AND(G25&gt;'Indices y Outliers'!$I$153,G25&lt;&gt;""),1,"")</f>
        <v/>
      </c>
      <c r="AD25" s="7"/>
      <c r="AE25" s="7">
        <f t="shared" si="5"/>
        <v>0</v>
      </c>
    </row>
    <row r="26" spans="1:31" ht="15.75" customHeight="1">
      <c r="A26" s="7" t="s">
        <v>282</v>
      </c>
      <c r="B26" s="78">
        <v>95.438999999999993</v>
      </c>
      <c r="C26" s="78">
        <v>0</v>
      </c>
      <c r="D26" s="42">
        <f t="shared" si="0"/>
        <v>95.438999999999993</v>
      </c>
      <c r="E26" s="78">
        <v>1.2</v>
      </c>
      <c r="F26" s="78">
        <v>0</v>
      </c>
      <c r="G26" s="42">
        <f t="shared" si="1"/>
        <v>1.2</v>
      </c>
      <c r="H26" s="41">
        <v>1209</v>
      </c>
      <c r="I26" s="41">
        <v>128097</v>
      </c>
      <c r="J26" s="41">
        <f t="shared" si="2"/>
        <v>129306</v>
      </c>
      <c r="K26" s="41">
        <v>319761</v>
      </c>
      <c r="L26" s="79">
        <f t="shared" si="3"/>
        <v>0.4043832737575877</v>
      </c>
      <c r="M26" s="89">
        <v>1</v>
      </c>
      <c r="N26" s="89">
        <v>1</v>
      </c>
      <c r="O26" s="89">
        <v>1</v>
      </c>
      <c r="P26" s="89">
        <v>1</v>
      </c>
      <c r="Q26" s="89">
        <v>1</v>
      </c>
      <c r="R26" s="89">
        <v>1</v>
      </c>
      <c r="S26" s="89" t="s">
        <v>1354</v>
      </c>
      <c r="T26" s="89" t="s">
        <v>1354</v>
      </c>
      <c r="U26" s="89" t="s">
        <v>1354</v>
      </c>
      <c r="V26" s="89" t="s">
        <v>1353</v>
      </c>
      <c r="W26" s="7"/>
      <c r="X26" s="89" t="s">
        <v>1353</v>
      </c>
      <c r="Y26" s="89" t="s">
        <v>1354</v>
      </c>
      <c r="Z26" s="81"/>
      <c r="AA26" s="6">
        <f t="shared" si="4"/>
        <v>2</v>
      </c>
      <c r="AB26" s="80" t="str">
        <f>+IF(AND(D26&gt;'Indices y Outliers'!$I$145,D26&lt;&gt;""),1,"")</f>
        <v/>
      </c>
      <c r="AC26" s="80" t="str">
        <f>+IF(AND(G26&gt;'Indices y Outliers'!$I$153,G26&lt;&gt;""),1,"")</f>
        <v/>
      </c>
      <c r="AD26" s="7"/>
      <c r="AE26" s="7">
        <f t="shared" si="5"/>
        <v>0</v>
      </c>
    </row>
    <row r="27" spans="1:31" ht="15.75" customHeight="1">
      <c r="A27" s="7" t="s">
        <v>285</v>
      </c>
      <c r="B27" s="78">
        <v>127.85</v>
      </c>
      <c r="C27" s="78">
        <v>0</v>
      </c>
      <c r="D27" s="42">
        <f t="shared" si="0"/>
        <v>127.85</v>
      </c>
      <c r="E27" s="78">
        <v>1.1659999999999999</v>
      </c>
      <c r="F27" s="78">
        <v>0</v>
      </c>
      <c r="G27" s="42">
        <f t="shared" si="1"/>
        <v>1.1659999999999999</v>
      </c>
      <c r="H27" s="41">
        <v>22</v>
      </c>
      <c r="I27" s="41">
        <v>173216</v>
      </c>
      <c r="J27" s="41">
        <f t="shared" si="2"/>
        <v>173238</v>
      </c>
      <c r="K27" s="41">
        <v>173239</v>
      </c>
      <c r="L27" s="79">
        <f t="shared" si="3"/>
        <v>0.99999422762772816</v>
      </c>
      <c r="M27" s="89">
        <v>1</v>
      </c>
      <c r="N27" s="7"/>
      <c r="O27" s="89">
        <v>1</v>
      </c>
      <c r="P27" s="89">
        <v>1</v>
      </c>
      <c r="Q27" s="89">
        <v>1</v>
      </c>
      <c r="R27" s="89">
        <v>1</v>
      </c>
      <c r="S27" s="7"/>
      <c r="T27" s="89" t="s">
        <v>1354</v>
      </c>
      <c r="U27" s="7"/>
      <c r="V27" s="89" t="s">
        <v>1353</v>
      </c>
      <c r="W27" s="7"/>
      <c r="X27" s="89" t="s">
        <v>1353</v>
      </c>
      <c r="Y27" s="89" t="s">
        <v>1354</v>
      </c>
      <c r="Z27" s="81"/>
      <c r="AA27" s="6">
        <f t="shared" si="4"/>
        <v>2</v>
      </c>
      <c r="AB27" s="80" t="str">
        <f>+IF(AND(D27&gt;'Indices y Outliers'!$I$145,D27&lt;&gt;""),1,"")</f>
        <v/>
      </c>
      <c r="AC27" s="80" t="str">
        <f>+IF(AND(G27&gt;'Indices y Outliers'!$I$153,G27&lt;&gt;""),1,"")</f>
        <v/>
      </c>
      <c r="AD27" s="7"/>
      <c r="AE27" s="7">
        <f t="shared" si="5"/>
        <v>0</v>
      </c>
    </row>
    <row r="28" spans="1:31" ht="15.75" customHeight="1">
      <c r="A28" s="7" t="s">
        <v>288</v>
      </c>
      <c r="B28" s="78">
        <v>257.35399999999998</v>
      </c>
      <c r="C28" s="78">
        <v>0</v>
      </c>
      <c r="D28" s="42">
        <f t="shared" si="0"/>
        <v>257.35399999999998</v>
      </c>
      <c r="E28" s="78">
        <v>2.0409999999999999</v>
      </c>
      <c r="F28" s="78">
        <v>0</v>
      </c>
      <c r="G28" s="42">
        <f t="shared" si="1"/>
        <v>2.0409999999999999</v>
      </c>
      <c r="H28" s="41">
        <v>20</v>
      </c>
      <c r="I28" s="41">
        <v>9</v>
      </c>
      <c r="J28" s="41">
        <f t="shared" si="2"/>
        <v>29</v>
      </c>
      <c r="K28" s="41">
        <v>3987</v>
      </c>
      <c r="L28" s="79">
        <f t="shared" si="3"/>
        <v>7.2736393278154E-3</v>
      </c>
      <c r="M28" s="89">
        <v>1</v>
      </c>
      <c r="N28" s="7"/>
      <c r="O28" s="89">
        <v>1</v>
      </c>
      <c r="P28" s="89">
        <v>1</v>
      </c>
      <c r="Q28" s="89">
        <v>1</v>
      </c>
      <c r="R28" s="89">
        <v>1</v>
      </c>
      <c r="S28" s="89" t="s">
        <v>1354</v>
      </c>
      <c r="T28" s="89" t="s">
        <v>1354</v>
      </c>
      <c r="U28" s="89" t="s">
        <v>1354</v>
      </c>
      <c r="V28" s="89" t="s">
        <v>1353</v>
      </c>
      <c r="W28" s="7"/>
      <c r="X28" s="89" t="s">
        <v>1353</v>
      </c>
      <c r="Y28" s="89" t="s">
        <v>1354</v>
      </c>
      <c r="Z28" s="81"/>
      <c r="AA28" s="6">
        <f t="shared" si="4"/>
        <v>2</v>
      </c>
      <c r="AB28" s="80" t="str">
        <f>+IF(AND(D28&gt;'Indices y Outliers'!$I$145,D28&lt;&gt;""),1,"")</f>
        <v/>
      </c>
      <c r="AC28" s="80" t="str">
        <f>+IF(AND(G28&gt;'Indices y Outliers'!$I$153,G28&lt;&gt;""),1,"")</f>
        <v/>
      </c>
      <c r="AD28" s="7"/>
      <c r="AE28" s="7">
        <f t="shared" si="5"/>
        <v>0</v>
      </c>
    </row>
    <row r="29" spans="1:31" ht="15.75" customHeight="1">
      <c r="A29" s="7" t="s">
        <v>291</v>
      </c>
      <c r="B29" s="78">
        <v>170.46799999999999</v>
      </c>
      <c r="C29" s="78">
        <v>0</v>
      </c>
      <c r="D29" s="42">
        <f t="shared" si="0"/>
        <v>170.46799999999999</v>
      </c>
      <c r="E29" s="78">
        <v>1.504</v>
      </c>
      <c r="F29" s="78">
        <v>0</v>
      </c>
      <c r="G29" s="42">
        <f t="shared" si="1"/>
        <v>1.504</v>
      </c>
      <c r="H29" s="41">
        <v>167</v>
      </c>
      <c r="I29" s="41">
        <v>593833</v>
      </c>
      <c r="J29" s="41">
        <f t="shared" si="2"/>
        <v>594000</v>
      </c>
      <c r="K29" s="41">
        <v>594069</v>
      </c>
      <c r="L29" s="79">
        <f t="shared" si="3"/>
        <v>0.99988385187579221</v>
      </c>
      <c r="M29" s="89">
        <v>1</v>
      </c>
      <c r="N29" s="7"/>
      <c r="O29" s="89">
        <v>1</v>
      </c>
      <c r="P29" s="89">
        <v>1</v>
      </c>
      <c r="Q29" s="89">
        <v>1</v>
      </c>
      <c r="R29" s="89">
        <v>1</v>
      </c>
      <c r="S29" s="89" t="s">
        <v>1354</v>
      </c>
      <c r="T29" s="89" t="s">
        <v>1354</v>
      </c>
      <c r="U29" s="89" t="s">
        <v>1354</v>
      </c>
      <c r="V29" s="89" t="s">
        <v>1353</v>
      </c>
      <c r="W29" s="7"/>
      <c r="X29" s="89" t="s">
        <v>1353</v>
      </c>
      <c r="Y29" s="89" t="s">
        <v>1354</v>
      </c>
      <c r="Z29" s="81"/>
      <c r="AA29" s="6">
        <f t="shared" si="4"/>
        <v>2</v>
      </c>
      <c r="AB29" s="80" t="str">
        <f>+IF(AND(D29&gt;'Indices y Outliers'!$I$145,D29&lt;&gt;""),1,"")</f>
        <v/>
      </c>
      <c r="AC29" s="80" t="str">
        <f>+IF(AND(G29&gt;'Indices y Outliers'!$I$153,G29&lt;&gt;""),1,"")</f>
        <v/>
      </c>
      <c r="AD29" s="7"/>
      <c r="AE29" s="7">
        <f t="shared" si="5"/>
        <v>0</v>
      </c>
    </row>
    <row r="30" spans="1:31" ht="15.75" customHeight="1">
      <c r="A30" s="7" t="s">
        <v>294</v>
      </c>
      <c r="B30" s="78">
        <v>0</v>
      </c>
      <c r="C30" s="78">
        <v>0</v>
      </c>
      <c r="D30" s="42" t="str">
        <f t="shared" si="0"/>
        <v/>
      </c>
      <c r="E30" s="78">
        <v>0</v>
      </c>
      <c r="F30" s="78">
        <v>0</v>
      </c>
      <c r="G30" s="42" t="str">
        <f t="shared" si="1"/>
        <v/>
      </c>
      <c r="H30" s="41">
        <v>0</v>
      </c>
      <c r="I30" s="41">
        <v>0</v>
      </c>
      <c r="J30" s="41">
        <f t="shared" si="2"/>
        <v>0</v>
      </c>
      <c r="K30" s="41">
        <v>0</v>
      </c>
      <c r="L30" s="79" t="str">
        <f t="shared" si="3"/>
        <v/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1"/>
      <c r="AA30" s="6">
        <f t="shared" si="4"/>
        <v>0</v>
      </c>
      <c r="AB30" s="80" t="str">
        <f>+IF(AND(D30&gt;'Indices y Outliers'!$I$145,D30&lt;&gt;""),1,"")</f>
        <v/>
      </c>
      <c r="AC30" s="80" t="str">
        <f>+IF(AND(G30&gt;'Indices y Outliers'!$I$153,G30&lt;&gt;""),1,"")</f>
        <v/>
      </c>
      <c r="AD30" s="7"/>
      <c r="AE30" s="7">
        <f t="shared" si="5"/>
        <v>0</v>
      </c>
    </row>
    <row r="31" spans="1:31" ht="15.75" customHeight="1">
      <c r="A31" s="7" t="s">
        <v>297</v>
      </c>
      <c r="B31" s="78">
        <v>0</v>
      </c>
      <c r="C31" s="78">
        <v>0</v>
      </c>
      <c r="D31" s="42" t="str">
        <f t="shared" si="0"/>
        <v/>
      </c>
      <c r="E31" s="78">
        <v>0</v>
      </c>
      <c r="F31" s="78">
        <v>0</v>
      </c>
      <c r="G31" s="42" t="str">
        <f t="shared" si="1"/>
        <v/>
      </c>
      <c r="H31" s="41">
        <v>0</v>
      </c>
      <c r="I31" s="41">
        <v>0</v>
      </c>
      <c r="J31" s="41">
        <f t="shared" si="2"/>
        <v>0</v>
      </c>
      <c r="K31" s="41">
        <v>0</v>
      </c>
      <c r="L31" s="79" t="str">
        <f t="shared" si="3"/>
        <v/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81"/>
      <c r="AA31" s="6">
        <f t="shared" si="4"/>
        <v>0</v>
      </c>
      <c r="AB31" s="80" t="str">
        <f>+IF(AND(D31&gt;'Indices y Outliers'!$I$145,D31&lt;&gt;""),1,"")</f>
        <v/>
      </c>
      <c r="AC31" s="80" t="str">
        <f>+IF(AND(G31&gt;'Indices y Outliers'!$I$153,G31&lt;&gt;""),1,"")</f>
        <v/>
      </c>
      <c r="AD31" s="7"/>
      <c r="AE31" s="7">
        <f t="shared" si="5"/>
        <v>0</v>
      </c>
    </row>
    <row r="32" spans="1:31" ht="15.75" customHeight="1">
      <c r="A32" s="7" t="s">
        <v>300</v>
      </c>
      <c r="B32" s="78">
        <v>165</v>
      </c>
      <c r="C32" s="78">
        <v>0</v>
      </c>
      <c r="D32" s="42">
        <f t="shared" si="0"/>
        <v>165</v>
      </c>
      <c r="E32" s="78">
        <v>1.31</v>
      </c>
      <c r="F32" s="78">
        <v>0</v>
      </c>
      <c r="G32" s="42">
        <f t="shared" si="1"/>
        <v>1.31</v>
      </c>
      <c r="H32" s="41">
        <v>143296</v>
      </c>
      <c r="I32" s="41">
        <v>0</v>
      </c>
      <c r="J32" s="41">
        <f t="shared" si="2"/>
        <v>143296</v>
      </c>
      <c r="K32" s="41">
        <v>143350</v>
      </c>
      <c r="L32" s="79">
        <f t="shared" si="3"/>
        <v>0.99962329961632368</v>
      </c>
      <c r="M32" s="89">
        <v>1</v>
      </c>
      <c r="N32" s="7"/>
      <c r="O32" s="89">
        <v>1</v>
      </c>
      <c r="P32" s="7"/>
      <c r="Q32" s="89">
        <v>1</v>
      </c>
      <c r="R32" s="89">
        <v>1</v>
      </c>
      <c r="S32" s="89" t="s">
        <v>1353</v>
      </c>
      <c r="T32" s="89" t="s">
        <v>1353</v>
      </c>
      <c r="U32" s="89" t="s">
        <v>1353</v>
      </c>
      <c r="V32" s="89" t="s">
        <v>1353</v>
      </c>
      <c r="W32" s="7"/>
      <c r="X32" s="89" t="s">
        <v>1353</v>
      </c>
      <c r="Y32" s="7"/>
      <c r="Z32" s="81"/>
      <c r="AA32" s="6">
        <f t="shared" si="4"/>
        <v>2</v>
      </c>
      <c r="AB32" s="80" t="str">
        <f>+IF(AND(D32&gt;'Indices y Outliers'!$I$145,D32&lt;&gt;""),1,"")</f>
        <v/>
      </c>
      <c r="AC32" s="80" t="str">
        <f>+IF(AND(G32&gt;'Indices y Outliers'!$I$153,G32&lt;&gt;""),1,"")</f>
        <v/>
      </c>
      <c r="AD32" s="7"/>
      <c r="AE32" s="7">
        <f t="shared" si="5"/>
        <v>0</v>
      </c>
    </row>
    <row r="33" spans="1:31" ht="15.75" customHeight="1">
      <c r="A33" s="7" t="s">
        <v>303</v>
      </c>
      <c r="B33" s="78">
        <v>255.8</v>
      </c>
      <c r="C33" s="78">
        <v>0</v>
      </c>
      <c r="D33" s="42">
        <f t="shared" si="0"/>
        <v>255.8</v>
      </c>
      <c r="E33" s="78">
        <v>1.778</v>
      </c>
      <c r="F33" s="78">
        <v>0</v>
      </c>
      <c r="G33" s="42">
        <f t="shared" si="1"/>
        <v>1.778</v>
      </c>
      <c r="H33" s="41">
        <v>0</v>
      </c>
      <c r="I33" s="41">
        <v>5619685</v>
      </c>
      <c r="J33" s="41">
        <f t="shared" si="2"/>
        <v>5619685</v>
      </c>
      <c r="K33" s="41">
        <v>5670707</v>
      </c>
      <c r="L33" s="79">
        <f t="shared" si="3"/>
        <v>0.99100253284114304</v>
      </c>
      <c r="M33" s="89">
        <v>1</v>
      </c>
      <c r="N33" s="89">
        <v>1</v>
      </c>
      <c r="O33" s="89">
        <v>1</v>
      </c>
      <c r="P33" s="89">
        <v>1</v>
      </c>
      <c r="Q33" s="89">
        <v>1</v>
      </c>
      <c r="R33" s="89">
        <v>1</v>
      </c>
      <c r="S33" s="89" t="s">
        <v>1353</v>
      </c>
      <c r="T33" s="89" t="s">
        <v>1353</v>
      </c>
      <c r="U33" s="89" t="s">
        <v>1353</v>
      </c>
      <c r="V33" s="89" t="s">
        <v>1353</v>
      </c>
      <c r="W33" s="89" t="s">
        <v>1354</v>
      </c>
      <c r="X33" s="89" t="s">
        <v>1354</v>
      </c>
      <c r="Y33" s="89" t="s">
        <v>1354</v>
      </c>
      <c r="Z33" s="81"/>
      <c r="AA33" s="6">
        <f t="shared" si="4"/>
        <v>2</v>
      </c>
      <c r="AB33" s="80" t="str">
        <f>+IF(AND(D33&gt;'Indices y Outliers'!$I$145,D33&lt;&gt;""),1,"")</f>
        <v/>
      </c>
      <c r="AC33" s="80" t="str">
        <f>+IF(AND(G33&gt;'Indices y Outliers'!$I$153,G33&lt;&gt;""),1,"")</f>
        <v/>
      </c>
      <c r="AD33" s="7"/>
      <c r="AE33" s="7">
        <f t="shared" si="5"/>
        <v>0</v>
      </c>
    </row>
    <row r="34" spans="1:31" ht="15.75" customHeight="1">
      <c r="A34" s="7" t="s">
        <v>306</v>
      </c>
      <c r="B34" s="78">
        <v>146.154</v>
      </c>
      <c r="C34" s="78">
        <v>0</v>
      </c>
      <c r="D34" s="42">
        <f t="shared" si="0"/>
        <v>146.154</v>
      </c>
      <c r="E34" s="78">
        <v>1.2490000000000001</v>
      </c>
      <c r="F34" s="78">
        <v>0</v>
      </c>
      <c r="G34" s="42">
        <f t="shared" si="1"/>
        <v>1.2490000000000001</v>
      </c>
      <c r="H34" s="41">
        <v>0</v>
      </c>
      <c r="I34" s="41">
        <v>2580064</v>
      </c>
      <c r="J34" s="41">
        <f t="shared" si="2"/>
        <v>2580064</v>
      </c>
      <c r="K34" s="41">
        <v>2580195</v>
      </c>
      <c r="L34" s="79">
        <f t="shared" si="3"/>
        <v>0.9999492286435715</v>
      </c>
      <c r="M34" s="89">
        <v>1</v>
      </c>
      <c r="N34" s="89">
        <v>1</v>
      </c>
      <c r="O34" s="89">
        <v>1</v>
      </c>
      <c r="P34" s="89">
        <v>1</v>
      </c>
      <c r="Q34" s="89">
        <v>1</v>
      </c>
      <c r="R34" s="89">
        <v>1</v>
      </c>
      <c r="S34" s="89" t="s">
        <v>1353</v>
      </c>
      <c r="T34" s="7"/>
      <c r="U34" s="89" t="s">
        <v>1353</v>
      </c>
      <c r="V34" s="89" t="s">
        <v>1353</v>
      </c>
      <c r="W34" s="7"/>
      <c r="X34" s="89" t="s">
        <v>1353</v>
      </c>
      <c r="Y34" s="89" t="s">
        <v>1353</v>
      </c>
      <c r="Z34" s="81"/>
      <c r="AA34" s="6">
        <f t="shared" si="4"/>
        <v>2</v>
      </c>
      <c r="AB34" s="80" t="str">
        <f>+IF(AND(D34&gt;'Indices y Outliers'!$I$145,D34&lt;&gt;""),1,"")</f>
        <v/>
      </c>
      <c r="AC34" s="80" t="str">
        <f>+IF(AND(G34&gt;'Indices y Outliers'!$I$153,G34&lt;&gt;""),1,"")</f>
        <v/>
      </c>
      <c r="AD34" s="7"/>
      <c r="AE34" s="7">
        <f t="shared" si="5"/>
        <v>0</v>
      </c>
    </row>
    <row r="35" spans="1:31" ht="15.75" customHeight="1">
      <c r="A35" s="7" t="s">
        <v>309</v>
      </c>
      <c r="B35" s="78">
        <v>0</v>
      </c>
      <c r="C35" s="78">
        <v>165.6</v>
      </c>
      <c r="D35" s="42">
        <f t="shared" si="0"/>
        <v>165.6</v>
      </c>
      <c r="E35" s="78">
        <v>0</v>
      </c>
      <c r="F35" s="78">
        <v>2.09</v>
      </c>
      <c r="G35" s="42">
        <f t="shared" si="1"/>
        <v>2.09</v>
      </c>
      <c r="H35" s="41">
        <v>0</v>
      </c>
      <c r="I35" s="41">
        <v>292770</v>
      </c>
      <c r="J35" s="41">
        <f t="shared" si="2"/>
        <v>292770</v>
      </c>
      <c r="K35" s="41">
        <v>292835</v>
      </c>
      <c r="L35" s="79">
        <f t="shared" si="3"/>
        <v>0.99977803199754123</v>
      </c>
      <c r="M35" s="89">
        <v>1</v>
      </c>
      <c r="N35" s="7"/>
      <c r="O35" s="89">
        <v>1</v>
      </c>
      <c r="P35" s="7"/>
      <c r="Q35" s="7"/>
      <c r="R35" s="89">
        <v>1</v>
      </c>
      <c r="S35" s="89" t="s">
        <v>1353</v>
      </c>
      <c r="T35" s="89" t="s">
        <v>1353</v>
      </c>
      <c r="U35" s="89" t="s">
        <v>1353</v>
      </c>
      <c r="V35" s="89" t="s">
        <v>1353</v>
      </c>
      <c r="W35" s="7"/>
      <c r="X35" s="89" t="s">
        <v>1353</v>
      </c>
      <c r="Y35" s="89" t="s">
        <v>1353</v>
      </c>
      <c r="Z35" s="81"/>
      <c r="AA35" s="6">
        <f t="shared" si="4"/>
        <v>2</v>
      </c>
      <c r="AB35" s="80" t="str">
        <f>+IF(AND(D35&gt;'Indices y Outliers'!$I$145,D35&lt;&gt;""),1,"")</f>
        <v/>
      </c>
      <c r="AC35" s="80" t="str">
        <f>+IF(AND(G35&gt;'Indices y Outliers'!$I$153,G35&lt;&gt;""),1,"")</f>
        <v/>
      </c>
      <c r="AD35" s="7"/>
      <c r="AE35" s="7">
        <f t="shared" si="5"/>
        <v>0</v>
      </c>
    </row>
    <row r="36" spans="1:31" ht="15.75" customHeight="1">
      <c r="A36" s="7" t="s">
        <v>312</v>
      </c>
      <c r="B36" s="78">
        <v>110.15900000000001</v>
      </c>
      <c r="C36" s="78">
        <v>0</v>
      </c>
      <c r="D36" s="42">
        <f t="shared" si="0"/>
        <v>110.15900000000001</v>
      </c>
      <c r="E36" s="78">
        <v>1.165</v>
      </c>
      <c r="F36" s="78">
        <v>0</v>
      </c>
      <c r="G36" s="42">
        <f t="shared" si="1"/>
        <v>1.165</v>
      </c>
      <c r="H36" s="41">
        <v>121099</v>
      </c>
      <c r="I36" s="41">
        <v>0</v>
      </c>
      <c r="J36" s="41">
        <f t="shared" si="2"/>
        <v>121099</v>
      </c>
      <c r="K36" s="41">
        <v>121760</v>
      </c>
      <c r="L36" s="79">
        <f t="shared" si="3"/>
        <v>0.99457128777923787</v>
      </c>
      <c r="M36" s="89">
        <v>1</v>
      </c>
      <c r="N36" s="89">
        <v>1</v>
      </c>
      <c r="O36" s="89">
        <v>1</v>
      </c>
      <c r="P36" s="89">
        <v>1</v>
      </c>
      <c r="Q36" s="89">
        <v>1</v>
      </c>
      <c r="R36" s="89">
        <v>1</v>
      </c>
      <c r="S36" s="89" t="s">
        <v>1353</v>
      </c>
      <c r="T36" s="89" t="s">
        <v>1353</v>
      </c>
      <c r="U36" s="89" t="s">
        <v>1353</v>
      </c>
      <c r="V36" s="89" t="s">
        <v>1353</v>
      </c>
      <c r="W36" s="7"/>
      <c r="X36" s="89" t="s">
        <v>1353</v>
      </c>
      <c r="Y36" s="7"/>
      <c r="Z36" s="81"/>
      <c r="AA36" s="6">
        <f t="shared" si="4"/>
        <v>2</v>
      </c>
      <c r="AB36" s="80" t="str">
        <f>+IF(AND(D36&gt;'Indices y Outliers'!$I$145,D36&lt;&gt;""),1,"")</f>
        <v/>
      </c>
      <c r="AC36" s="80" t="str">
        <f>+IF(AND(G36&gt;'Indices y Outliers'!$I$153,G36&lt;&gt;""),1,"")</f>
        <v/>
      </c>
      <c r="AD36" s="7"/>
      <c r="AE36" s="7">
        <f t="shared" si="5"/>
        <v>0</v>
      </c>
    </row>
    <row r="37" spans="1:31" ht="15.75" customHeight="1">
      <c r="A37" s="7" t="s">
        <v>315</v>
      </c>
      <c r="B37" s="78">
        <v>96</v>
      </c>
      <c r="C37" s="78">
        <v>0</v>
      </c>
      <c r="D37" s="42">
        <f t="shared" si="0"/>
        <v>96</v>
      </c>
      <c r="E37" s="78">
        <v>1.45</v>
      </c>
      <c r="F37" s="78">
        <v>0</v>
      </c>
      <c r="G37" s="42">
        <f t="shared" si="1"/>
        <v>1.45</v>
      </c>
      <c r="H37" s="41">
        <v>88</v>
      </c>
      <c r="I37" s="41">
        <v>465374</v>
      </c>
      <c r="J37" s="41">
        <f t="shared" si="2"/>
        <v>465462</v>
      </c>
      <c r="K37" s="41">
        <v>465848</v>
      </c>
      <c r="L37" s="79">
        <f t="shared" si="3"/>
        <v>0.99917140354793843</v>
      </c>
      <c r="M37" s="89">
        <v>1</v>
      </c>
      <c r="N37" s="7"/>
      <c r="O37" s="89">
        <v>1</v>
      </c>
      <c r="P37" s="89">
        <v>1</v>
      </c>
      <c r="Q37" s="7"/>
      <c r="R37" s="89">
        <v>1</v>
      </c>
      <c r="S37" s="89" t="s">
        <v>1353</v>
      </c>
      <c r="T37" s="7"/>
      <c r="U37" s="89" t="s">
        <v>1353</v>
      </c>
      <c r="V37" s="89" t="s">
        <v>1353</v>
      </c>
      <c r="W37" s="89" t="s">
        <v>1353</v>
      </c>
      <c r="X37" s="89" t="s">
        <v>1353</v>
      </c>
      <c r="Y37" s="89" t="s">
        <v>1354</v>
      </c>
      <c r="Z37" s="81"/>
      <c r="AA37" s="6">
        <f t="shared" si="4"/>
        <v>2</v>
      </c>
      <c r="AB37" s="80" t="str">
        <f>+IF(AND(D37&gt;'Indices y Outliers'!$I$145,D37&lt;&gt;""),1,"")</f>
        <v/>
      </c>
      <c r="AC37" s="80" t="str">
        <f>+IF(AND(G37&gt;'Indices y Outliers'!$I$153,G37&lt;&gt;""),1,"")</f>
        <v/>
      </c>
      <c r="AD37" s="7"/>
      <c r="AE37" s="7">
        <f t="shared" si="5"/>
        <v>0</v>
      </c>
    </row>
    <row r="38" spans="1:31" ht="15.75" customHeight="1">
      <c r="A38" s="7" t="s">
        <v>318</v>
      </c>
      <c r="B38" s="78">
        <v>204.6</v>
      </c>
      <c r="C38" s="78">
        <v>0</v>
      </c>
      <c r="D38" s="42">
        <f t="shared" si="0"/>
        <v>204.6</v>
      </c>
      <c r="E38" s="78">
        <v>2.31</v>
      </c>
      <c r="F38" s="78">
        <v>0</v>
      </c>
      <c r="G38" s="42">
        <f t="shared" si="1"/>
        <v>2.31</v>
      </c>
      <c r="H38" s="41">
        <v>133</v>
      </c>
      <c r="I38" s="41">
        <v>58538</v>
      </c>
      <c r="J38" s="41">
        <f t="shared" si="2"/>
        <v>58671</v>
      </c>
      <c r="K38" s="41">
        <v>59009</v>
      </c>
      <c r="L38" s="79">
        <f t="shared" si="3"/>
        <v>0.99427206019420766</v>
      </c>
      <c r="M38" s="89">
        <v>1</v>
      </c>
      <c r="N38" s="7"/>
      <c r="O38" s="89">
        <v>1</v>
      </c>
      <c r="P38" s="89">
        <v>1</v>
      </c>
      <c r="Q38" s="89">
        <v>1</v>
      </c>
      <c r="R38" s="89">
        <v>1</v>
      </c>
      <c r="S38" s="89" t="s">
        <v>1353</v>
      </c>
      <c r="T38" s="7"/>
      <c r="U38" s="89" t="s">
        <v>1353</v>
      </c>
      <c r="V38" s="89" t="s">
        <v>1353</v>
      </c>
      <c r="W38" s="7"/>
      <c r="X38" s="89" t="s">
        <v>1353</v>
      </c>
      <c r="Y38" s="7"/>
      <c r="Z38" s="81"/>
      <c r="AA38" s="6">
        <f t="shared" si="4"/>
        <v>2</v>
      </c>
      <c r="AB38" s="80" t="str">
        <f>+IF(AND(D38&gt;'Indices y Outliers'!$I$145,D38&lt;&gt;""),1,"")</f>
        <v/>
      </c>
      <c r="AC38" s="80" t="str">
        <f>+IF(AND(G38&gt;'Indices y Outliers'!$I$153,G38&lt;&gt;""),1,"")</f>
        <v/>
      </c>
      <c r="AD38" s="7"/>
      <c r="AE38" s="7">
        <f t="shared" si="5"/>
        <v>0</v>
      </c>
    </row>
    <row r="39" spans="1:31" ht="15.75" customHeight="1">
      <c r="A39" s="7" t="s">
        <v>321</v>
      </c>
      <c r="B39" s="78">
        <v>0</v>
      </c>
      <c r="C39" s="78">
        <v>0</v>
      </c>
      <c r="D39" s="42" t="str">
        <f t="shared" si="0"/>
        <v/>
      </c>
      <c r="E39" s="78">
        <v>0</v>
      </c>
      <c r="F39" s="78">
        <v>0</v>
      </c>
      <c r="G39" s="42" t="str">
        <f t="shared" si="1"/>
        <v/>
      </c>
      <c r="H39" s="41">
        <v>0</v>
      </c>
      <c r="I39" s="41">
        <v>0</v>
      </c>
      <c r="J39" s="41">
        <f t="shared" si="2"/>
        <v>0</v>
      </c>
      <c r="K39" s="41">
        <v>0</v>
      </c>
      <c r="L39" s="79" t="str">
        <f t="shared" si="3"/>
        <v/>
      </c>
      <c r="M39" s="7"/>
      <c r="N39" s="7"/>
      <c r="O39" s="7"/>
      <c r="P39" s="7"/>
      <c r="Q39" s="7"/>
      <c r="R39" s="7"/>
      <c r="S39" s="89" t="s">
        <v>1353</v>
      </c>
      <c r="T39" s="7"/>
      <c r="U39" s="7"/>
      <c r="V39" s="7"/>
      <c r="W39" s="7"/>
      <c r="X39" s="7"/>
      <c r="Y39" s="7"/>
      <c r="Z39" s="81"/>
      <c r="AA39" s="6">
        <f t="shared" si="4"/>
        <v>0</v>
      </c>
      <c r="AB39" s="80" t="str">
        <f>+IF(AND(D39&gt;'Indices y Outliers'!$I$145,D39&lt;&gt;""),1,"")</f>
        <v/>
      </c>
      <c r="AC39" s="80" t="str">
        <f>+IF(AND(G39&gt;'Indices y Outliers'!$I$153,G39&lt;&gt;""),1,"")</f>
        <v/>
      </c>
      <c r="AD39" s="7"/>
      <c r="AE39" s="7">
        <f t="shared" si="5"/>
        <v>0</v>
      </c>
    </row>
    <row r="40" spans="1:31" ht="15.75" customHeight="1">
      <c r="A40" s="7" t="s">
        <v>324</v>
      </c>
      <c r="B40" s="78">
        <v>0</v>
      </c>
      <c r="C40" s="78">
        <v>98.126999999999995</v>
      </c>
      <c r="D40" s="42">
        <f t="shared" si="0"/>
        <v>98.126999999999995</v>
      </c>
      <c r="E40" s="78">
        <v>0</v>
      </c>
      <c r="F40" s="78">
        <v>1</v>
      </c>
      <c r="G40" s="42">
        <f t="shared" si="1"/>
        <v>1</v>
      </c>
      <c r="H40" s="41">
        <v>470</v>
      </c>
      <c r="I40" s="41">
        <v>240282</v>
      </c>
      <c r="J40" s="41">
        <f t="shared" si="2"/>
        <v>240752</v>
      </c>
      <c r="K40" s="41">
        <v>242111</v>
      </c>
      <c r="L40" s="79">
        <f t="shared" si="3"/>
        <v>0.99438687213716026</v>
      </c>
      <c r="M40" s="89">
        <v>1</v>
      </c>
      <c r="N40" s="89">
        <v>1</v>
      </c>
      <c r="O40" s="89">
        <v>1</v>
      </c>
      <c r="P40" s="7"/>
      <c r="Q40" s="89">
        <v>1</v>
      </c>
      <c r="R40" s="89">
        <v>1</v>
      </c>
      <c r="S40" s="7"/>
      <c r="T40" s="89" t="s">
        <v>1354</v>
      </c>
      <c r="U40" s="7"/>
      <c r="V40" s="89" t="s">
        <v>1353</v>
      </c>
      <c r="W40" s="7"/>
      <c r="X40" s="7"/>
      <c r="Y40" s="7"/>
      <c r="Z40" s="81"/>
      <c r="AA40" s="6">
        <f t="shared" si="4"/>
        <v>2</v>
      </c>
      <c r="AB40" s="80" t="str">
        <f>+IF(AND(D40&gt;'Indices y Outliers'!$I$145,D40&lt;&gt;""),1,"")</f>
        <v/>
      </c>
      <c r="AC40" s="80" t="str">
        <f>+IF(AND(G40&gt;'Indices y Outliers'!$I$153,G40&lt;&gt;""),1,"")</f>
        <v/>
      </c>
      <c r="AD40" s="7"/>
      <c r="AE40" s="7">
        <f t="shared" si="5"/>
        <v>0</v>
      </c>
    </row>
    <row r="41" spans="1:31" ht="15.75" customHeight="1">
      <c r="A41" s="7" t="s">
        <v>327</v>
      </c>
      <c r="B41" s="78">
        <v>0</v>
      </c>
      <c r="C41" s="78">
        <v>92.283000000000001</v>
      </c>
      <c r="D41" s="42">
        <f t="shared" si="0"/>
        <v>92.283000000000001</v>
      </c>
      <c r="E41" s="78">
        <v>0</v>
      </c>
      <c r="F41" s="78">
        <v>0.84199999999999997</v>
      </c>
      <c r="G41" s="42">
        <f t="shared" si="1"/>
        <v>0.84199999999999997</v>
      </c>
      <c r="H41" s="41">
        <v>73</v>
      </c>
      <c r="I41" s="41">
        <v>73536</v>
      </c>
      <c r="J41" s="41">
        <f t="shared" si="2"/>
        <v>73609</v>
      </c>
      <c r="K41" s="41">
        <v>73969</v>
      </c>
      <c r="L41" s="79">
        <f t="shared" si="3"/>
        <v>0.99513309629709745</v>
      </c>
      <c r="M41" s="89">
        <v>1</v>
      </c>
      <c r="N41" s="89">
        <v>1</v>
      </c>
      <c r="O41" s="89">
        <v>1</v>
      </c>
      <c r="P41" s="7"/>
      <c r="Q41" s="89">
        <v>1</v>
      </c>
      <c r="R41" s="89">
        <v>1</v>
      </c>
      <c r="S41" s="7"/>
      <c r="T41" s="89" t="s">
        <v>1353</v>
      </c>
      <c r="U41" s="7"/>
      <c r="V41" s="89" t="s">
        <v>1353</v>
      </c>
      <c r="W41" s="7"/>
      <c r="X41" s="7"/>
      <c r="Y41" s="7"/>
      <c r="Z41" s="81"/>
      <c r="AA41" s="6">
        <f t="shared" si="4"/>
        <v>2</v>
      </c>
      <c r="AB41" s="80" t="str">
        <f>+IF(AND(D41&gt;'Indices y Outliers'!$I$145,D41&lt;&gt;""),1,"")</f>
        <v/>
      </c>
      <c r="AC41" s="80" t="str">
        <f>+IF(AND(G41&gt;'Indices y Outliers'!$I$153,G41&lt;&gt;""),1,"")</f>
        <v/>
      </c>
      <c r="AD41" s="7"/>
      <c r="AE41" s="7">
        <f t="shared" si="5"/>
        <v>0</v>
      </c>
    </row>
    <row r="42" spans="1:31" ht="15.75" customHeight="1">
      <c r="A42" s="7" t="s">
        <v>330</v>
      </c>
      <c r="B42" s="78">
        <v>0</v>
      </c>
      <c r="C42" s="78">
        <v>0</v>
      </c>
      <c r="D42" s="42" t="str">
        <f t="shared" si="0"/>
        <v/>
      </c>
      <c r="E42" s="78">
        <v>0</v>
      </c>
      <c r="F42" s="78">
        <v>0</v>
      </c>
      <c r="G42" s="42" t="str">
        <f t="shared" si="1"/>
        <v/>
      </c>
      <c r="H42" s="41">
        <v>0</v>
      </c>
      <c r="I42" s="41">
        <v>0</v>
      </c>
      <c r="J42" s="41">
        <f t="shared" si="2"/>
        <v>0</v>
      </c>
      <c r="K42" s="41">
        <v>0</v>
      </c>
      <c r="L42" s="79" t="str">
        <f t="shared" si="3"/>
        <v/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1"/>
      <c r="AA42" s="6">
        <f t="shared" si="4"/>
        <v>0</v>
      </c>
      <c r="AB42" s="80" t="str">
        <f>+IF(AND(D42&gt;'Indices y Outliers'!$I$145,D42&lt;&gt;""),1,"")</f>
        <v/>
      </c>
      <c r="AC42" s="80" t="str">
        <f>+IF(AND(G42&gt;'Indices y Outliers'!$I$153,G42&lt;&gt;""),1,"")</f>
        <v/>
      </c>
      <c r="AD42" s="7"/>
      <c r="AE42" s="7">
        <f t="shared" si="5"/>
        <v>0</v>
      </c>
    </row>
    <row r="43" spans="1:31" ht="15.75" customHeight="1">
      <c r="A43" s="7" t="s">
        <v>333</v>
      </c>
      <c r="B43" s="78">
        <v>0</v>
      </c>
      <c r="C43" s="78">
        <v>0</v>
      </c>
      <c r="D43" s="42" t="str">
        <f t="shared" si="0"/>
        <v/>
      </c>
      <c r="E43" s="78">
        <v>0</v>
      </c>
      <c r="F43" s="78">
        <v>0</v>
      </c>
      <c r="G43" s="42" t="str">
        <f t="shared" si="1"/>
        <v/>
      </c>
      <c r="H43" s="41">
        <v>0</v>
      </c>
      <c r="I43" s="41">
        <v>0</v>
      </c>
      <c r="J43" s="41">
        <f t="shared" si="2"/>
        <v>0</v>
      </c>
      <c r="K43" s="41">
        <v>0</v>
      </c>
      <c r="L43" s="79" t="str">
        <f t="shared" si="3"/>
        <v/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1"/>
      <c r="AA43" s="6">
        <f t="shared" si="4"/>
        <v>0</v>
      </c>
      <c r="AB43" s="80" t="str">
        <f>+IF(AND(D43&gt;'Indices y Outliers'!$I$145,D43&lt;&gt;""),1,"")</f>
        <v/>
      </c>
      <c r="AC43" s="80" t="str">
        <f>+IF(AND(G43&gt;'Indices y Outliers'!$I$153,G43&lt;&gt;""),1,"")</f>
        <v/>
      </c>
      <c r="AD43" s="7"/>
      <c r="AE43" s="7">
        <f t="shared" si="5"/>
        <v>0</v>
      </c>
    </row>
    <row r="44" spans="1:31" ht="15.75" customHeight="1">
      <c r="A44" s="7" t="s">
        <v>336</v>
      </c>
      <c r="B44" s="78">
        <v>0</v>
      </c>
      <c r="C44" s="78">
        <v>0</v>
      </c>
      <c r="D44" s="42" t="str">
        <f t="shared" si="0"/>
        <v/>
      </c>
      <c r="E44" s="78">
        <v>0</v>
      </c>
      <c r="F44" s="78">
        <v>0</v>
      </c>
      <c r="G44" s="42" t="str">
        <f t="shared" si="1"/>
        <v/>
      </c>
      <c r="H44" s="41">
        <v>0</v>
      </c>
      <c r="I44" s="41">
        <v>0</v>
      </c>
      <c r="J44" s="41">
        <f t="shared" si="2"/>
        <v>0</v>
      </c>
      <c r="K44" s="41">
        <v>0</v>
      </c>
      <c r="L44" s="79" t="str">
        <f t="shared" si="3"/>
        <v/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1"/>
      <c r="AA44" s="6">
        <f t="shared" si="4"/>
        <v>0</v>
      </c>
      <c r="AB44" s="80" t="str">
        <f>+IF(AND(D44&gt;'Indices y Outliers'!$I$145,D44&lt;&gt;""),1,"")</f>
        <v/>
      </c>
      <c r="AC44" s="80" t="str">
        <f>+IF(AND(G44&gt;'Indices y Outliers'!$I$153,G44&lt;&gt;""),1,"")</f>
        <v/>
      </c>
      <c r="AD44" s="7"/>
      <c r="AE44" s="7">
        <f t="shared" si="5"/>
        <v>0</v>
      </c>
    </row>
    <row r="45" spans="1:31" ht="15.75" customHeight="1">
      <c r="A45" s="7" t="s">
        <v>339</v>
      </c>
      <c r="B45" s="78">
        <v>0</v>
      </c>
      <c r="C45" s="78">
        <v>0</v>
      </c>
      <c r="D45" s="42" t="str">
        <f t="shared" si="0"/>
        <v/>
      </c>
      <c r="E45" s="78">
        <v>0</v>
      </c>
      <c r="F45" s="78">
        <v>0</v>
      </c>
      <c r="G45" s="42" t="str">
        <f t="shared" si="1"/>
        <v/>
      </c>
      <c r="H45" s="41">
        <v>0</v>
      </c>
      <c r="I45" s="41">
        <v>0</v>
      </c>
      <c r="J45" s="41">
        <f t="shared" si="2"/>
        <v>0</v>
      </c>
      <c r="K45" s="41">
        <v>0</v>
      </c>
      <c r="L45" s="79" t="str">
        <f t="shared" si="3"/>
        <v/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1"/>
      <c r="AA45" s="6">
        <f t="shared" si="4"/>
        <v>0</v>
      </c>
      <c r="AB45" s="80" t="str">
        <f>+IF(AND(D45&gt;'Indices y Outliers'!$I$145,D45&lt;&gt;""),1,"")</f>
        <v/>
      </c>
      <c r="AC45" s="80" t="str">
        <f>+IF(AND(G45&gt;'Indices y Outliers'!$I$153,G45&lt;&gt;""),1,"")</f>
        <v/>
      </c>
      <c r="AD45" s="7"/>
      <c r="AE45" s="7">
        <f t="shared" si="5"/>
        <v>0</v>
      </c>
    </row>
    <row r="46" spans="1:31" ht="15.75" customHeight="1">
      <c r="A46" s="7" t="s">
        <v>342</v>
      </c>
      <c r="B46" s="78">
        <v>0</v>
      </c>
      <c r="C46" s="78">
        <v>0</v>
      </c>
      <c r="D46" s="42" t="str">
        <f t="shared" si="0"/>
        <v/>
      </c>
      <c r="E46" s="78">
        <v>0</v>
      </c>
      <c r="F46" s="78">
        <v>0</v>
      </c>
      <c r="G46" s="42" t="str">
        <f t="shared" si="1"/>
        <v/>
      </c>
      <c r="H46" s="41">
        <v>0</v>
      </c>
      <c r="I46" s="41">
        <v>0</v>
      </c>
      <c r="J46" s="41">
        <f t="shared" si="2"/>
        <v>0</v>
      </c>
      <c r="K46" s="41">
        <v>0</v>
      </c>
      <c r="L46" s="79" t="str">
        <f t="shared" si="3"/>
        <v/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1"/>
      <c r="AA46" s="6">
        <f t="shared" si="4"/>
        <v>0</v>
      </c>
      <c r="AB46" s="80" t="str">
        <f>+IF(AND(D46&gt;'Indices y Outliers'!$I$145,D46&lt;&gt;""),1,"")</f>
        <v/>
      </c>
      <c r="AC46" s="80" t="str">
        <f>+IF(AND(G46&gt;'Indices y Outliers'!$I$153,G46&lt;&gt;""),1,"")</f>
        <v/>
      </c>
      <c r="AD46" s="7"/>
      <c r="AE46" s="7">
        <f t="shared" si="5"/>
        <v>0</v>
      </c>
    </row>
    <row r="47" spans="1:31" ht="15.75" customHeight="1">
      <c r="A47" s="7" t="s">
        <v>345</v>
      </c>
      <c r="B47" s="78">
        <v>0</v>
      </c>
      <c r="C47" s="78">
        <v>0</v>
      </c>
      <c r="D47" s="42" t="str">
        <f t="shared" si="0"/>
        <v/>
      </c>
      <c r="E47" s="78">
        <v>0</v>
      </c>
      <c r="F47" s="78">
        <v>0</v>
      </c>
      <c r="G47" s="42" t="str">
        <f t="shared" si="1"/>
        <v/>
      </c>
      <c r="H47" s="41">
        <v>0</v>
      </c>
      <c r="I47" s="41">
        <v>0</v>
      </c>
      <c r="J47" s="41">
        <f t="shared" si="2"/>
        <v>0</v>
      </c>
      <c r="K47" s="41">
        <v>0</v>
      </c>
      <c r="L47" s="79" t="str">
        <f t="shared" si="3"/>
        <v/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81"/>
      <c r="AA47" s="6">
        <f t="shared" si="4"/>
        <v>0</v>
      </c>
      <c r="AB47" s="80" t="str">
        <f>+IF(AND(D47&gt;'Indices y Outliers'!$I$145,D47&lt;&gt;""),1,"")</f>
        <v/>
      </c>
      <c r="AC47" s="80" t="str">
        <f>+IF(AND(G47&gt;'Indices y Outliers'!$I$153,G47&lt;&gt;""),1,"")</f>
        <v/>
      </c>
      <c r="AD47" s="7"/>
      <c r="AE47" s="7">
        <f t="shared" si="5"/>
        <v>0</v>
      </c>
    </row>
    <row r="48" spans="1:31" ht="15.75" customHeight="1">
      <c r="A48" s="7" t="s">
        <v>348</v>
      </c>
      <c r="B48" s="78">
        <v>470.6</v>
      </c>
      <c r="C48" s="78">
        <v>0</v>
      </c>
      <c r="D48" s="42">
        <f t="shared" si="0"/>
        <v>470.6</v>
      </c>
      <c r="E48" s="78">
        <v>2.2109999999999999</v>
      </c>
      <c r="F48" s="78">
        <v>0</v>
      </c>
      <c r="G48" s="42">
        <f t="shared" si="1"/>
        <v>2.2109999999999999</v>
      </c>
      <c r="H48" s="41">
        <v>11305</v>
      </c>
      <c r="I48" s="41">
        <v>555606</v>
      </c>
      <c r="J48" s="41">
        <f t="shared" si="2"/>
        <v>566911</v>
      </c>
      <c r="K48" s="41">
        <v>567257</v>
      </c>
      <c r="L48" s="79">
        <f t="shared" si="3"/>
        <v>0.99939004719201352</v>
      </c>
      <c r="M48" s="89">
        <v>1</v>
      </c>
      <c r="N48" s="89">
        <v>1</v>
      </c>
      <c r="O48" s="89">
        <v>1</v>
      </c>
      <c r="P48" s="89">
        <v>1</v>
      </c>
      <c r="Q48" s="89">
        <v>1</v>
      </c>
      <c r="R48" s="89">
        <v>1</v>
      </c>
      <c r="S48" s="89" t="s">
        <v>1353</v>
      </c>
      <c r="T48" s="89" t="s">
        <v>1353</v>
      </c>
      <c r="U48" s="89" t="s">
        <v>1353</v>
      </c>
      <c r="V48" s="89" t="s">
        <v>1353</v>
      </c>
      <c r="W48" s="89" t="s">
        <v>1354</v>
      </c>
      <c r="X48" s="89" t="s">
        <v>1353</v>
      </c>
      <c r="Y48" s="7"/>
      <c r="Z48" s="81"/>
      <c r="AA48" s="6">
        <f t="shared" si="4"/>
        <v>2</v>
      </c>
      <c r="AB48" s="80" t="str">
        <f>+IF(AND(D48&gt;'Indices y Outliers'!$I$145,D48&lt;&gt;""),1,"")</f>
        <v/>
      </c>
      <c r="AC48" s="80" t="str">
        <f>+IF(AND(G48&gt;'Indices y Outliers'!$I$153,G48&lt;&gt;""),1,"")</f>
        <v/>
      </c>
      <c r="AD48" s="7"/>
      <c r="AE48" s="7">
        <f t="shared" si="5"/>
        <v>0</v>
      </c>
    </row>
    <row r="49" spans="1:31" ht="15.75" customHeight="1">
      <c r="A49" s="7" t="s">
        <v>351</v>
      </c>
      <c r="B49" s="78">
        <v>120.7</v>
      </c>
      <c r="C49" s="78">
        <v>0</v>
      </c>
      <c r="D49" s="42">
        <f t="shared" si="0"/>
        <v>120.7</v>
      </c>
      <c r="E49" s="78">
        <v>1.048</v>
      </c>
      <c r="F49" s="78">
        <v>0</v>
      </c>
      <c r="G49" s="42">
        <f t="shared" si="1"/>
        <v>1.048</v>
      </c>
      <c r="H49" s="41">
        <v>214319</v>
      </c>
      <c r="I49" s="41">
        <v>278343</v>
      </c>
      <c r="J49" s="41">
        <f t="shared" si="2"/>
        <v>492662</v>
      </c>
      <c r="K49" s="41">
        <v>492936</v>
      </c>
      <c r="L49" s="79">
        <f t="shared" si="3"/>
        <v>0.99944414690750927</v>
      </c>
      <c r="M49" s="89">
        <v>1</v>
      </c>
      <c r="N49" s="89">
        <v>1</v>
      </c>
      <c r="O49" s="89">
        <v>1</v>
      </c>
      <c r="P49" s="89">
        <v>1</v>
      </c>
      <c r="Q49" s="89">
        <v>1</v>
      </c>
      <c r="R49" s="89">
        <v>1</v>
      </c>
      <c r="S49" s="89" t="s">
        <v>1353</v>
      </c>
      <c r="T49" s="89" t="s">
        <v>1353</v>
      </c>
      <c r="U49" s="89" t="s">
        <v>1353</v>
      </c>
      <c r="V49" s="89" t="s">
        <v>1353</v>
      </c>
      <c r="W49" s="7"/>
      <c r="X49" s="89" t="s">
        <v>1353</v>
      </c>
      <c r="Y49" s="7"/>
      <c r="Z49" s="81"/>
      <c r="AA49" s="6">
        <f t="shared" si="4"/>
        <v>2</v>
      </c>
      <c r="AB49" s="80" t="str">
        <f>+IF(AND(D49&gt;'Indices y Outliers'!$I$145,D49&lt;&gt;""),1,"")</f>
        <v/>
      </c>
      <c r="AC49" s="80" t="str">
        <f>+IF(AND(G49&gt;'Indices y Outliers'!$I$153,G49&lt;&gt;""),1,"")</f>
        <v/>
      </c>
      <c r="AD49" s="7"/>
      <c r="AE49" s="7">
        <f t="shared" si="5"/>
        <v>0</v>
      </c>
    </row>
    <row r="50" spans="1:31" ht="15.75" customHeight="1">
      <c r="A50" s="7" t="s">
        <v>354</v>
      </c>
      <c r="B50" s="78">
        <v>490.6</v>
      </c>
      <c r="C50" s="78">
        <v>0</v>
      </c>
      <c r="D50" s="42">
        <f t="shared" si="0"/>
        <v>490.6</v>
      </c>
      <c r="E50" s="78">
        <v>2.8370000000000002</v>
      </c>
      <c r="F50" s="78">
        <v>0</v>
      </c>
      <c r="G50" s="42">
        <f t="shared" si="1"/>
        <v>2.8370000000000002</v>
      </c>
      <c r="H50" s="41">
        <v>170506</v>
      </c>
      <c r="I50" s="41">
        <v>0</v>
      </c>
      <c r="J50" s="41">
        <f t="shared" si="2"/>
        <v>170506</v>
      </c>
      <c r="K50" s="41">
        <v>170964</v>
      </c>
      <c r="L50" s="79">
        <f t="shared" si="3"/>
        <v>0.99732107344236209</v>
      </c>
      <c r="M50" s="89">
        <v>1</v>
      </c>
      <c r="N50" s="89">
        <v>1</v>
      </c>
      <c r="O50" s="89">
        <v>1</v>
      </c>
      <c r="P50" s="89">
        <v>1</v>
      </c>
      <c r="Q50" s="89">
        <v>1</v>
      </c>
      <c r="R50" s="89">
        <v>1</v>
      </c>
      <c r="S50" s="89" t="s">
        <v>1353</v>
      </c>
      <c r="T50" s="89" t="s">
        <v>1353</v>
      </c>
      <c r="U50" s="89" t="s">
        <v>1353</v>
      </c>
      <c r="V50" s="89" t="s">
        <v>1353</v>
      </c>
      <c r="W50" s="7"/>
      <c r="X50" s="89" t="s">
        <v>1353</v>
      </c>
      <c r="Y50" s="7"/>
      <c r="Z50" s="81"/>
      <c r="AA50" s="6">
        <f t="shared" si="4"/>
        <v>2</v>
      </c>
      <c r="AB50" s="80" t="str">
        <f>+IF(AND(D50&gt;'Indices y Outliers'!$I$145,D50&lt;&gt;""),1,"")</f>
        <v/>
      </c>
      <c r="AC50" s="80" t="str">
        <f>+IF(AND(G50&gt;'Indices y Outliers'!$I$153,G50&lt;&gt;""),1,"")</f>
        <v/>
      </c>
      <c r="AD50" s="7"/>
      <c r="AE50" s="7">
        <f t="shared" si="5"/>
        <v>0</v>
      </c>
    </row>
    <row r="51" spans="1:31" ht="15.75" customHeight="1">
      <c r="A51" s="7" t="s">
        <v>357</v>
      </c>
      <c r="B51" s="78">
        <v>290.60000000000002</v>
      </c>
      <c r="C51" s="78">
        <v>0</v>
      </c>
      <c r="D51" s="42">
        <f t="shared" si="0"/>
        <v>290.60000000000002</v>
      </c>
      <c r="E51" s="78">
        <v>1.9890000000000001</v>
      </c>
      <c r="F51" s="78">
        <v>0</v>
      </c>
      <c r="G51" s="42">
        <f t="shared" si="1"/>
        <v>1.9890000000000001</v>
      </c>
      <c r="H51" s="41">
        <v>260</v>
      </c>
      <c r="I51" s="41">
        <v>50772</v>
      </c>
      <c r="J51" s="41">
        <f t="shared" si="2"/>
        <v>51032</v>
      </c>
      <c r="K51" s="41">
        <v>51047</v>
      </c>
      <c r="L51" s="79">
        <f t="shared" si="3"/>
        <v>0.99970615315297662</v>
      </c>
      <c r="M51" s="89">
        <v>1</v>
      </c>
      <c r="N51" s="7"/>
      <c r="O51" s="89">
        <v>1</v>
      </c>
      <c r="P51" s="89">
        <v>1</v>
      </c>
      <c r="Q51" s="7"/>
      <c r="R51" s="89">
        <v>1</v>
      </c>
      <c r="S51" s="7"/>
      <c r="T51" s="89" t="s">
        <v>1353</v>
      </c>
      <c r="U51" s="7"/>
      <c r="V51" s="89" t="s">
        <v>1353</v>
      </c>
      <c r="W51" s="89" t="s">
        <v>1354</v>
      </c>
      <c r="X51" s="7"/>
      <c r="Y51" s="7"/>
      <c r="Z51" s="81"/>
      <c r="AA51" s="6">
        <f t="shared" si="4"/>
        <v>2</v>
      </c>
      <c r="AB51" s="80" t="str">
        <f>+IF(AND(D51&gt;'Indices y Outliers'!$I$145,D51&lt;&gt;""),1,"")</f>
        <v/>
      </c>
      <c r="AC51" s="80" t="str">
        <f>+IF(AND(G51&gt;'Indices y Outliers'!$I$153,G51&lt;&gt;""),1,"")</f>
        <v/>
      </c>
      <c r="AD51" s="7"/>
      <c r="AE51" s="7">
        <f t="shared" si="5"/>
        <v>0</v>
      </c>
    </row>
    <row r="52" spans="1:31" ht="15.75" customHeight="1">
      <c r="A52" s="7" t="s">
        <v>360</v>
      </c>
      <c r="B52" s="78">
        <v>179.4</v>
      </c>
      <c r="C52" s="78">
        <v>0</v>
      </c>
      <c r="D52" s="42">
        <f t="shared" si="0"/>
        <v>179.4</v>
      </c>
      <c r="E52" s="78">
        <v>1.736</v>
      </c>
      <c r="F52" s="78">
        <v>0</v>
      </c>
      <c r="G52" s="42">
        <f t="shared" si="1"/>
        <v>1.736</v>
      </c>
      <c r="H52" s="41">
        <v>479586</v>
      </c>
      <c r="I52" s="41">
        <v>1078411</v>
      </c>
      <c r="J52" s="41">
        <f t="shared" si="2"/>
        <v>1557997</v>
      </c>
      <c r="K52" s="41">
        <v>1560966</v>
      </c>
      <c r="L52" s="79">
        <f t="shared" si="3"/>
        <v>0.99809797266564426</v>
      </c>
      <c r="M52" s="89">
        <v>1</v>
      </c>
      <c r="N52" s="7"/>
      <c r="O52" s="89">
        <v>1</v>
      </c>
      <c r="P52" s="89">
        <v>1</v>
      </c>
      <c r="Q52" s="7"/>
      <c r="R52" s="89">
        <v>1</v>
      </c>
      <c r="S52" s="89" t="s">
        <v>1354</v>
      </c>
      <c r="T52" s="89" t="s">
        <v>1353</v>
      </c>
      <c r="U52" s="89" t="s">
        <v>1353</v>
      </c>
      <c r="V52" s="89" t="s">
        <v>1353</v>
      </c>
      <c r="W52" s="7"/>
      <c r="X52" s="89" t="s">
        <v>1353</v>
      </c>
      <c r="Y52" s="7"/>
      <c r="Z52" s="81"/>
      <c r="AA52" s="6">
        <f t="shared" si="4"/>
        <v>2</v>
      </c>
      <c r="AB52" s="80" t="str">
        <f>+IF(AND(D52&gt;'Indices y Outliers'!$I$145,D52&lt;&gt;""),1,"")</f>
        <v/>
      </c>
      <c r="AC52" s="80" t="str">
        <f>+IF(AND(G52&gt;'Indices y Outliers'!$I$153,G52&lt;&gt;""),1,"")</f>
        <v/>
      </c>
      <c r="AD52" s="7"/>
      <c r="AE52" s="7">
        <f t="shared" si="5"/>
        <v>0</v>
      </c>
    </row>
    <row r="53" spans="1:31" ht="15.75" customHeight="1">
      <c r="A53" s="7" t="s">
        <v>363</v>
      </c>
      <c r="B53" s="78">
        <v>109.8</v>
      </c>
      <c r="C53" s="78">
        <v>0</v>
      </c>
      <c r="D53" s="42">
        <f t="shared" si="0"/>
        <v>109.8</v>
      </c>
      <c r="E53" s="78">
        <v>1.3620000000000001</v>
      </c>
      <c r="F53" s="78">
        <v>0</v>
      </c>
      <c r="G53" s="42">
        <f t="shared" si="1"/>
        <v>1.3620000000000001</v>
      </c>
      <c r="H53" s="41">
        <v>235</v>
      </c>
      <c r="I53" s="41">
        <v>601669</v>
      </c>
      <c r="J53" s="41">
        <f t="shared" si="2"/>
        <v>601904</v>
      </c>
      <c r="K53" s="41">
        <v>602015</v>
      </c>
      <c r="L53" s="79">
        <f t="shared" si="3"/>
        <v>0.9998156192121459</v>
      </c>
      <c r="M53" s="89">
        <v>1</v>
      </c>
      <c r="N53" s="89">
        <v>1</v>
      </c>
      <c r="O53" s="89">
        <v>1</v>
      </c>
      <c r="P53" s="89">
        <v>1</v>
      </c>
      <c r="Q53" s="89">
        <v>1</v>
      </c>
      <c r="R53" s="89">
        <v>1</v>
      </c>
      <c r="S53" s="89" t="s">
        <v>1353</v>
      </c>
      <c r="T53" s="89" t="s">
        <v>1353</v>
      </c>
      <c r="U53" s="89" t="s">
        <v>1353</v>
      </c>
      <c r="V53" s="89" t="s">
        <v>1353</v>
      </c>
      <c r="W53" s="89" t="s">
        <v>1354</v>
      </c>
      <c r="X53" s="89" t="s">
        <v>1353</v>
      </c>
      <c r="Y53" s="7"/>
      <c r="Z53" s="81"/>
      <c r="AA53" s="6">
        <f t="shared" si="4"/>
        <v>2</v>
      </c>
      <c r="AB53" s="80" t="str">
        <f>+IF(AND(D53&gt;'Indices y Outliers'!$I$145,D53&lt;&gt;""),1,"")</f>
        <v/>
      </c>
      <c r="AC53" s="80" t="str">
        <f>+IF(AND(G53&gt;'Indices y Outliers'!$I$153,G53&lt;&gt;""),1,"")</f>
        <v/>
      </c>
      <c r="AD53" s="7"/>
      <c r="AE53" s="7">
        <f t="shared" si="5"/>
        <v>0</v>
      </c>
    </row>
    <row r="54" spans="1:31" ht="15.75" customHeight="1">
      <c r="A54" s="7" t="s">
        <v>366</v>
      </c>
      <c r="B54" s="78">
        <v>232.5</v>
      </c>
      <c r="C54" s="78">
        <v>0</v>
      </c>
      <c r="D54" s="42">
        <f t="shared" si="0"/>
        <v>232.5</v>
      </c>
      <c r="E54" s="78">
        <v>1.7729999999999999</v>
      </c>
      <c r="F54" s="78">
        <v>0</v>
      </c>
      <c r="G54" s="42">
        <f t="shared" si="1"/>
        <v>1.7729999999999999</v>
      </c>
      <c r="H54" s="41">
        <v>119848</v>
      </c>
      <c r="I54" s="41">
        <v>1852</v>
      </c>
      <c r="J54" s="41">
        <f t="shared" si="2"/>
        <v>121700</v>
      </c>
      <c r="K54" s="41">
        <v>129794</v>
      </c>
      <c r="L54" s="79">
        <f t="shared" si="3"/>
        <v>0.93763964435952352</v>
      </c>
      <c r="M54" s="89">
        <v>1</v>
      </c>
      <c r="N54" s="89">
        <v>1</v>
      </c>
      <c r="O54" s="89">
        <v>1</v>
      </c>
      <c r="P54" s="89">
        <v>1</v>
      </c>
      <c r="Q54" s="89">
        <v>1</v>
      </c>
      <c r="R54" s="89">
        <v>1</v>
      </c>
      <c r="S54" s="89" t="s">
        <v>1353</v>
      </c>
      <c r="T54" s="89" t="s">
        <v>1353</v>
      </c>
      <c r="U54" s="89" t="s">
        <v>1353</v>
      </c>
      <c r="V54" s="89" t="s">
        <v>1353</v>
      </c>
      <c r="W54" s="89" t="s">
        <v>1354</v>
      </c>
      <c r="X54" s="89" t="s">
        <v>1353</v>
      </c>
      <c r="Y54" s="7"/>
      <c r="Z54" s="81"/>
      <c r="AA54" s="6">
        <f t="shared" si="4"/>
        <v>2</v>
      </c>
      <c r="AB54" s="80" t="str">
        <f>+IF(AND(D54&gt;'Indices y Outliers'!$I$145,D54&lt;&gt;""),1,"")</f>
        <v/>
      </c>
      <c r="AC54" s="80" t="str">
        <f>+IF(AND(G54&gt;'Indices y Outliers'!$I$153,G54&lt;&gt;""),1,"")</f>
        <v/>
      </c>
      <c r="AD54" s="7"/>
      <c r="AE54" s="7">
        <f t="shared" si="5"/>
        <v>0</v>
      </c>
    </row>
    <row r="55" spans="1:31" ht="15.75" customHeight="1">
      <c r="A55" s="7" t="s">
        <v>369</v>
      </c>
      <c r="B55" s="78">
        <v>928.5</v>
      </c>
      <c r="C55" s="78">
        <v>0</v>
      </c>
      <c r="D55" s="42">
        <f t="shared" si="0"/>
        <v>928.5</v>
      </c>
      <c r="E55" s="78">
        <v>3.2240000000000002</v>
      </c>
      <c r="F55" s="78">
        <v>0</v>
      </c>
      <c r="G55" s="42">
        <f t="shared" si="1"/>
        <v>3.2240000000000002</v>
      </c>
      <c r="H55" s="41">
        <v>1859</v>
      </c>
      <c r="I55" s="41">
        <v>41081</v>
      </c>
      <c r="J55" s="41">
        <f t="shared" si="2"/>
        <v>42940</v>
      </c>
      <c r="K55" s="41">
        <v>43249</v>
      </c>
      <c r="L55" s="79">
        <f t="shared" si="3"/>
        <v>0.99285532613470828</v>
      </c>
      <c r="M55" s="89">
        <v>1</v>
      </c>
      <c r="N55" s="89">
        <v>1</v>
      </c>
      <c r="O55" s="89">
        <v>1</v>
      </c>
      <c r="P55" s="89">
        <v>1</v>
      </c>
      <c r="Q55" s="89">
        <v>1</v>
      </c>
      <c r="R55" s="89">
        <v>1</v>
      </c>
      <c r="S55" s="89" t="s">
        <v>1353</v>
      </c>
      <c r="T55" s="89" t="s">
        <v>1353</v>
      </c>
      <c r="U55" s="7"/>
      <c r="V55" s="89" t="s">
        <v>1353</v>
      </c>
      <c r="W55" s="7"/>
      <c r="X55" s="89" t="s">
        <v>1353</v>
      </c>
      <c r="Y55" s="7"/>
      <c r="Z55" s="81"/>
      <c r="AA55" s="6">
        <f t="shared" si="4"/>
        <v>2</v>
      </c>
      <c r="AB55" s="80">
        <f>+IF(AND(D55&gt;'Indices y Outliers'!$I$145,D55&lt;&gt;""),1,"")</f>
        <v>1</v>
      </c>
      <c r="AC55" s="80" t="str">
        <f>+IF(AND(G55&gt;'Indices y Outliers'!$I$153,G55&lt;&gt;""),1,"")</f>
        <v/>
      </c>
      <c r="AD55" s="7"/>
      <c r="AE55" s="7">
        <f t="shared" si="5"/>
        <v>1</v>
      </c>
    </row>
    <row r="56" spans="1:31" ht="15.75" customHeight="1">
      <c r="A56" s="7" t="s">
        <v>372</v>
      </c>
      <c r="B56" s="78">
        <v>143</v>
      </c>
      <c r="C56" s="78">
        <v>0</v>
      </c>
      <c r="D56" s="42">
        <f t="shared" si="0"/>
        <v>143</v>
      </c>
      <c r="E56" s="78">
        <v>1.4379999999999999</v>
      </c>
      <c r="F56" s="78">
        <v>0</v>
      </c>
      <c r="G56" s="42">
        <f t="shared" si="1"/>
        <v>1.4379999999999999</v>
      </c>
      <c r="H56" s="41">
        <v>484446</v>
      </c>
      <c r="I56" s="41">
        <v>0</v>
      </c>
      <c r="J56" s="41">
        <f t="shared" si="2"/>
        <v>484446</v>
      </c>
      <c r="K56" s="41">
        <v>485959</v>
      </c>
      <c r="L56" s="79">
        <f t="shared" si="3"/>
        <v>0.99688656861998648</v>
      </c>
      <c r="M56" s="89">
        <v>1</v>
      </c>
      <c r="N56" s="7"/>
      <c r="O56" s="89">
        <v>1</v>
      </c>
      <c r="P56" s="7"/>
      <c r="Q56" s="89">
        <v>1</v>
      </c>
      <c r="R56" s="89">
        <v>1</v>
      </c>
      <c r="S56" s="89" t="s">
        <v>1353</v>
      </c>
      <c r="T56" s="89" t="s">
        <v>1353</v>
      </c>
      <c r="U56" s="89" t="s">
        <v>1353</v>
      </c>
      <c r="V56" s="89" t="s">
        <v>1353</v>
      </c>
      <c r="W56" s="7"/>
      <c r="X56" s="89" t="s">
        <v>1353</v>
      </c>
      <c r="Y56" s="7"/>
      <c r="Z56" s="81"/>
      <c r="AA56" s="6">
        <f t="shared" si="4"/>
        <v>2</v>
      </c>
      <c r="AB56" s="80" t="str">
        <f>+IF(AND(D56&gt;'Indices y Outliers'!$I$145,D56&lt;&gt;""),1,"")</f>
        <v/>
      </c>
      <c r="AC56" s="80" t="str">
        <f>+IF(AND(G56&gt;'Indices y Outliers'!$I$153,G56&lt;&gt;""),1,"")</f>
        <v/>
      </c>
      <c r="AD56" s="7"/>
      <c r="AE56" s="7">
        <f t="shared" si="5"/>
        <v>0</v>
      </c>
    </row>
    <row r="57" spans="1:31" ht="15.75" customHeight="1">
      <c r="A57" s="7" t="s">
        <v>375</v>
      </c>
      <c r="B57" s="78">
        <v>78</v>
      </c>
      <c r="C57" s="78">
        <v>0</v>
      </c>
      <c r="D57" s="42">
        <f t="shared" si="0"/>
        <v>78</v>
      </c>
      <c r="E57" s="78">
        <v>1.228</v>
      </c>
      <c r="F57" s="78">
        <v>0</v>
      </c>
      <c r="G57" s="42">
        <f t="shared" si="1"/>
        <v>1.228</v>
      </c>
      <c r="H57" s="41">
        <v>34662</v>
      </c>
      <c r="I57" s="41">
        <v>15807</v>
      </c>
      <c r="J57" s="41">
        <f t="shared" si="2"/>
        <v>50469</v>
      </c>
      <c r="K57" s="41">
        <v>437944</v>
      </c>
      <c r="L57" s="79">
        <f t="shared" si="3"/>
        <v>0.11524076137588367</v>
      </c>
      <c r="M57" s="89">
        <v>1</v>
      </c>
      <c r="N57" s="89">
        <v>1</v>
      </c>
      <c r="O57" s="89">
        <v>1</v>
      </c>
      <c r="P57" s="89">
        <v>1</v>
      </c>
      <c r="Q57" s="89">
        <v>1</v>
      </c>
      <c r="R57" s="89">
        <v>1</v>
      </c>
      <c r="S57" s="89" t="s">
        <v>1353</v>
      </c>
      <c r="T57" s="89" t="s">
        <v>1353</v>
      </c>
      <c r="U57" s="89" t="s">
        <v>1353</v>
      </c>
      <c r="V57" s="89" t="s">
        <v>1353</v>
      </c>
      <c r="W57" s="7"/>
      <c r="X57" s="89" t="s">
        <v>1353</v>
      </c>
      <c r="Y57" s="89" t="s">
        <v>1354</v>
      </c>
      <c r="Z57" s="81"/>
      <c r="AA57" s="6">
        <f t="shared" si="4"/>
        <v>2</v>
      </c>
      <c r="AB57" s="80" t="str">
        <f>+IF(AND(D57&gt;'Indices y Outliers'!$I$145,D57&lt;&gt;""),1,"")</f>
        <v/>
      </c>
      <c r="AC57" s="80" t="str">
        <f>+IF(AND(G57&gt;'Indices y Outliers'!$I$153,G57&lt;&gt;""),1,"")</f>
        <v/>
      </c>
      <c r="AD57" s="7"/>
      <c r="AE57" s="7">
        <f t="shared" si="5"/>
        <v>0</v>
      </c>
    </row>
    <row r="58" spans="1:31" ht="15.75" customHeight="1">
      <c r="A58" s="7" t="s">
        <v>378</v>
      </c>
      <c r="B58" s="78">
        <v>78.53</v>
      </c>
      <c r="C58" s="78">
        <v>0</v>
      </c>
      <c r="D58" s="42">
        <f t="shared" si="0"/>
        <v>78.53</v>
      </c>
      <c r="E58" s="78">
        <v>1.141</v>
      </c>
      <c r="F58" s="78">
        <v>0</v>
      </c>
      <c r="G58" s="42">
        <f t="shared" si="1"/>
        <v>1.141</v>
      </c>
      <c r="H58" s="41">
        <v>26091</v>
      </c>
      <c r="I58" s="41">
        <v>16433</v>
      </c>
      <c r="J58" s="41">
        <f t="shared" si="2"/>
        <v>42524</v>
      </c>
      <c r="K58" s="41">
        <v>539442</v>
      </c>
      <c r="L58" s="79">
        <f t="shared" si="3"/>
        <v>7.8829605407068792E-2</v>
      </c>
      <c r="M58" s="89">
        <v>1</v>
      </c>
      <c r="N58" s="89">
        <v>1</v>
      </c>
      <c r="O58" s="89">
        <v>1</v>
      </c>
      <c r="P58" s="89">
        <v>1</v>
      </c>
      <c r="Q58" s="89">
        <v>1</v>
      </c>
      <c r="R58" s="89">
        <v>1</v>
      </c>
      <c r="S58" s="89" t="s">
        <v>1353</v>
      </c>
      <c r="T58" s="89" t="s">
        <v>1353</v>
      </c>
      <c r="U58" s="89" t="s">
        <v>1353</v>
      </c>
      <c r="V58" s="89" t="s">
        <v>1353</v>
      </c>
      <c r="W58" s="7"/>
      <c r="X58" s="89" t="s">
        <v>1353</v>
      </c>
      <c r="Y58" s="7"/>
      <c r="Z58" s="81"/>
      <c r="AA58" s="6">
        <f t="shared" si="4"/>
        <v>2</v>
      </c>
      <c r="AB58" s="80" t="str">
        <f>+IF(AND(D58&gt;'Indices y Outliers'!$I$145,D58&lt;&gt;""),1,"")</f>
        <v/>
      </c>
      <c r="AC58" s="80" t="str">
        <f>+IF(AND(G58&gt;'Indices y Outliers'!$I$153,G58&lt;&gt;""),1,"")</f>
        <v/>
      </c>
      <c r="AD58" s="7"/>
      <c r="AE58" s="7">
        <f t="shared" si="5"/>
        <v>0</v>
      </c>
    </row>
    <row r="59" spans="1:31" ht="15.75" customHeight="1">
      <c r="A59" s="7" t="s">
        <v>381</v>
      </c>
      <c r="B59" s="78">
        <v>108.85</v>
      </c>
      <c r="C59" s="78">
        <v>0</v>
      </c>
      <c r="D59" s="42">
        <f t="shared" si="0"/>
        <v>108.85</v>
      </c>
      <c r="E59" s="78">
        <v>1.05</v>
      </c>
      <c r="F59" s="78">
        <v>0</v>
      </c>
      <c r="G59" s="42">
        <f t="shared" si="1"/>
        <v>1.05</v>
      </c>
      <c r="H59" s="41">
        <v>421500</v>
      </c>
      <c r="I59" s="41">
        <v>0</v>
      </c>
      <c r="J59" s="41">
        <f t="shared" si="2"/>
        <v>421500</v>
      </c>
      <c r="K59" s="41">
        <v>536317</v>
      </c>
      <c r="L59" s="79">
        <f t="shared" si="3"/>
        <v>0.78591579233923226</v>
      </c>
      <c r="M59" s="89">
        <v>1</v>
      </c>
      <c r="N59" s="7"/>
      <c r="O59" s="89">
        <v>1</v>
      </c>
      <c r="P59" s="7"/>
      <c r="Q59" s="7"/>
      <c r="R59" s="89">
        <v>1</v>
      </c>
      <c r="S59" s="89" t="s">
        <v>1354</v>
      </c>
      <c r="T59" s="89" t="s">
        <v>1353</v>
      </c>
      <c r="U59" s="89" t="s">
        <v>1353</v>
      </c>
      <c r="V59" s="89" t="s">
        <v>1353</v>
      </c>
      <c r="W59" s="7"/>
      <c r="X59" s="89" t="s">
        <v>1353</v>
      </c>
      <c r="Y59" s="7"/>
      <c r="Z59" s="81"/>
      <c r="AA59" s="6">
        <f t="shared" si="4"/>
        <v>2</v>
      </c>
      <c r="AB59" s="80" t="str">
        <f>+IF(AND(D59&gt;'Indices y Outliers'!$I$145,D59&lt;&gt;""),1,"")</f>
        <v/>
      </c>
      <c r="AC59" s="80" t="str">
        <f>+IF(AND(G59&gt;'Indices y Outliers'!$I$153,G59&lt;&gt;""),1,"")</f>
        <v/>
      </c>
      <c r="AD59" s="7"/>
      <c r="AE59" s="7">
        <f t="shared" si="5"/>
        <v>0</v>
      </c>
    </row>
    <row r="60" spans="1:31" ht="15.75" customHeight="1">
      <c r="A60" s="7" t="s">
        <v>384</v>
      </c>
      <c r="B60" s="78">
        <v>172.49</v>
      </c>
      <c r="C60" s="78">
        <v>0</v>
      </c>
      <c r="D60" s="42">
        <f t="shared" si="0"/>
        <v>172.49</v>
      </c>
      <c r="E60" s="78">
        <v>2.77</v>
      </c>
      <c r="F60" s="78">
        <v>0</v>
      </c>
      <c r="G60" s="42">
        <f t="shared" si="1"/>
        <v>2.77</v>
      </c>
      <c r="H60" s="41">
        <v>0</v>
      </c>
      <c r="I60" s="41">
        <v>653234</v>
      </c>
      <c r="J60" s="41">
        <f t="shared" si="2"/>
        <v>653234</v>
      </c>
      <c r="K60" s="41">
        <v>657717</v>
      </c>
      <c r="L60" s="79">
        <f t="shared" si="3"/>
        <v>0.99318399858905881</v>
      </c>
      <c r="M60" s="89">
        <v>1</v>
      </c>
      <c r="N60" s="7"/>
      <c r="O60" s="89">
        <v>1</v>
      </c>
      <c r="P60" s="89">
        <v>1</v>
      </c>
      <c r="Q60" s="7"/>
      <c r="R60" s="89">
        <v>1</v>
      </c>
      <c r="S60" s="7"/>
      <c r="T60" s="89" t="s">
        <v>1353</v>
      </c>
      <c r="U60" s="89" t="s">
        <v>1353</v>
      </c>
      <c r="V60" s="89" t="s">
        <v>1353</v>
      </c>
      <c r="W60" s="7"/>
      <c r="X60" s="7"/>
      <c r="Y60" s="7"/>
      <c r="Z60" s="81"/>
      <c r="AA60" s="6">
        <f t="shared" si="4"/>
        <v>2</v>
      </c>
      <c r="AB60" s="80" t="str">
        <f>+IF(AND(D60&gt;'Indices y Outliers'!$I$145,D60&lt;&gt;""),1,"")</f>
        <v/>
      </c>
      <c r="AC60" s="80" t="str">
        <f>+IF(AND(G60&gt;'Indices y Outliers'!$I$153,G60&lt;&gt;""),1,"")</f>
        <v/>
      </c>
      <c r="AD60" s="7"/>
      <c r="AE60" s="7">
        <f t="shared" si="5"/>
        <v>0</v>
      </c>
    </row>
    <row r="61" spans="1:31" ht="15.75" customHeight="1">
      <c r="A61" s="7" t="s">
        <v>387</v>
      </c>
      <c r="B61" s="78">
        <v>0</v>
      </c>
      <c r="C61" s="78">
        <v>0</v>
      </c>
      <c r="D61" s="42" t="str">
        <f t="shared" si="0"/>
        <v/>
      </c>
      <c r="E61" s="78">
        <v>0</v>
      </c>
      <c r="F61" s="78">
        <v>0</v>
      </c>
      <c r="G61" s="42" t="str">
        <f t="shared" si="1"/>
        <v/>
      </c>
      <c r="H61" s="41">
        <v>0</v>
      </c>
      <c r="I61" s="41">
        <v>0</v>
      </c>
      <c r="J61" s="41">
        <f t="shared" si="2"/>
        <v>0</v>
      </c>
      <c r="K61" s="41">
        <v>0</v>
      </c>
      <c r="L61" s="79" t="str">
        <f t="shared" si="3"/>
        <v/>
      </c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81"/>
      <c r="AA61" s="6">
        <f t="shared" si="4"/>
        <v>0</v>
      </c>
      <c r="AB61" s="80" t="str">
        <f>+IF(AND(D61&gt;'Indices y Outliers'!$I$145,D61&lt;&gt;""),1,"")</f>
        <v/>
      </c>
      <c r="AC61" s="80" t="str">
        <f>+IF(AND(G61&gt;'Indices y Outliers'!$I$153,G61&lt;&gt;""),1,"")</f>
        <v/>
      </c>
      <c r="AD61" s="7"/>
      <c r="AE61" s="7">
        <f t="shared" si="5"/>
        <v>0</v>
      </c>
    </row>
    <row r="62" spans="1:31" ht="15.75" customHeight="1">
      <c r="A62" s="7" t="s">
        <v>390</v>
      </c>
      <c r="B62" s="78">
        <v>0</v>
      </c>
      <c r="C62" s="78">
        <v>81.290000000000006</v>
      </c>
      <c r="D62" s="42">
        <f t="shared" si="0"/>
        <v>81.290000000000006</v>
      </c>
      <c r="E62" s="78">
        <v>0</v>
      </c>
      <c r="F62" s="78">
        <v>1.18</v>
      </c>
      <c r="G62" s="42">
        <f t="shared" si="1"/>
        <v>1.18</v>
      </c>
      <c r="H62" s="41">
        <v>114</v>
      </c>
      <c r="I62" s="41">
        <v>0</v>
      </c>
      <c r="J62" s="41">
        <f t="shared" si="2"/>
        <v>114</v>
      </c>
      <c r="K62" s="41">
        <v>390455</v>
      </c>
      <c r="L62" s="79">
        <f t="shared" si="3"/>
        <v>2.9196706406628165E-4</v>
      </c>
      <c r="M62" s="89">
        <v>1</v>
      </c>
      <c r="N62" s="89">
        <v>1</v>
      </c>
      <c r="O62" s="89">
        <v>1</v>
      </c>
      <c r="P62" s="89">
        <v>1</v>
      </c>
      <c r="Q62" s="89">
        <v>1</v>
      </c>
      <c r="R62" s="89">
        <v>1</v>
      </c>
      <c r="S62" s="89" t="s">
        <v>1353</v>
      </c>
      <c r="T62" s="89" t="s">
        <v>1353</v>
      </c>
      <c r="U62" s="89" t="s">
        <v>1353</v>
      </c>
      <c r="V62" s="89" t="s">
        <v>1353</v>
      </c>
      <c r="W62" s="89" t="s">
        <v>1353</v>
      </c>
      <c r="X62" s="89" t="s">
        <v>1353</v>
      </c>
      <c r="Y62" s="89" t="s">
        <v>1353</v>
      </c>
      <c r="Z62" s="81"/>
      <c r="AA62" s="6">
        <f t="shared" si="4"/>
        <v>2</v>
      </c>
      <c r="AB62" s="80" t="str">
        <f>+IF(AND(D62&gt;'Indices y Outliers'!$I$145,D62&lt;&gt;""),1,"")</f>
        <v/>
      </c>
      <c r="AC62" s="80" t="str">
        <f>+IF(AND(G62&gt;'Indices y Outliers'!$I$153,G62&lt;&gt;""),1,"")</f>
        <v/>
      </c>
      <c r="AD62" s="7"/>
      <c r="AE62" s="7">
        <f t="shared" si="5"/>
        <v>0</v>
      </c>
    </row>
    <row r="63" spans="1:31" ht="15.75" customHeight="1">
      <c r="A63" s="7" t="s">
        <v>393</v>
      </c>
      <c r="B63" s="78">
        <v>0</v>
      </c>
      <c r="C63" s="78">
        <v>162.93</v>
      </c>
      <c r="D63" s="42">
        <f t="shared" si="0"/>
        <v>162.93</v>
      </c>
      <c r="E63" s="78">
        <v>0</v>
      </c>
      <c r="F63" s="78">
        <v>2.2799999999999998</v>
      </c>
      <c r="G63" s="42">
        <f t="shared" si="1"/>
        <v>2.2799999999999998</v>
      </c>
      <c r="H63" s="41">
        <v>386</v>
      </c>
      <c r="I63" s="41">
        <v>1269</v>
      </c>
      <c r="J63" s="41">
        <f t="shared" si="2"/>
        <v>1655</v>
      </c>
      <c r="K63" s="41">
        <v>916522</v>
      </c>
      <c r="L63" s="79">
        <f t="shared" si="3"/>
        <v>1.8057395239830577E-3</v>
      </c>
      <c r="M63" s="89">
        <v>1</v>
      </c>
      <c r="N63" s="89">
        <v>1</v>
      </c>
      <c r="O63" s="89">
        <v>1</v>
      </c>
      <c r="P63" s="89">
        <v>1</v>
      </c>
      <c r="Q63" s="89">
        <v>1</v>
      </c>
      <c r="R63" s="89">
        <v>1</v>
      </c>
      <c r="S63" s="89" t="s">
        <v>1353</v>
      </c>
      <c r="T63" s="89" t="s">
        <v>1353</v>
      </c>
      <c r="U63" s="89" t="s">
        <v>1353</v>
      </c>
      <c r="V63" s="89" t="s">
        <v>1353</v>
      </c>
      <c r="W63" s="89" t="s">
        <v>1353</v>
      </c>
      <c r="X63" s="89" t="s">
        <v>1353</v>
      </c>
      <c r="Y63" s="7"/>
      <c r="Z63" s="81"/>
      <c r="AA63" s="6">
        <f t="shared" si="4"/>
        <v>2</v>
      </c>
      <c r="AB63" s="80" t="str">
        <f>+IF(AND(D63&gt;'Indices y Outliers'!$I$145,D63&lt;&gt;""),1,"")</f>
        <v/>
      </c>
      <c r="AC63" s="80" t="str">
        <f>+IF(AND(G63&gt;'Indices y Outliers'!$I$153,G63&lt;&gt;""),1,"")</f>
        <v/>
      </c>
      <c r="AD63" s="7"/>
      <c r="AE63" s="7">
        <f t="shared" si="5"/>
        <v>0</v>
      </c>
    </row>
    <row r="64" spans="1:31" ht="15.75" customHeight="1">
      <c r="A64" s="7" t="s">
        <v>396</v>
      </c>
      <c r="B64" s="78">
        <v>151.68</v>
      </c>
      <c r="C64" s="78">
        <v>0</v>
      </c>
      <c r="D64" s="42">
        <f t="shared" si="0"/>
        <v>151.68</v>
      </c>
      <c r="E64" s="78">
        <v>1.17</v>
      </c>
      <c r="F64" s="78">
        <v>0</v>
      </c>
      <c r="G64" s="42">
        <f t="shared" si="1"/>
        <v>1.17</v>
      </c>
      <c r="H64" s="41">
        <v>720</v>
      </c>
      <c r="I64" s="41">
        <v>590496</v>
      </c>
      <c r="J64" s="41">
        <f t="shared" si="2"/>
        <v>591216</v>
      </c>
      <c r="K64" s="41">
        <v>591768</v>
      </c>
      <c r="L64" s="79">
        <f t="shared" si="3"/>
        <v>0.99906720201159915</v>
      </c>
      <c r="M64" s="89">
        <v>1</v>
      </c>
      <c r="N64" s="89">
        <v>1</v>
      </c>
      <c r="O64" s="89">
        <v>1</v>
      </c>
      <c r="P64" s="89">
        <v>1</v>
      </c>
      <c r="Q64" s="89">
        <v>1</v>
      </c>
      <c r="R64" s="89">
        <v>1</v>
      </c>
      <c r="S64" s="89" t="s">
        <v>1353</v>
      </c>
      <c r="T64" s="89" t="s">
        <v>1353</v>
      </c>
      <c r="U64" s="89" t="s">
        <v>1353</v>
      </c>
      <c r="V64" s="89" t="s">
        <v>1353</v>
      </c>
      <c r="W64" s="7"/>
      <c r="X64" s="89" t="s">
        <v>1353</v>
      </c>
      <c r="Y64" s="7"/>
      <c r="Z64" s="81"/>
      <c r="AA64" s="6">
        <f t="shared" si="4"/>
        <v>2</v>
      </c>
      <c r="AB64" s="80" t="str">
        <f>+IF(AND(D64&gt;'Indices y Outliers'!$I$145,D64&lt;&gt;""),1,"")</f>
        <v/>
      </c>
      <c r="AC64" s="80" t="str">
        <f>+IF(AND(G64&gt;'Indices y Outliers'!$I$153,G64&lt;&gt;""),1,"")</f>
        <v/>
      </c>
      <c r="AD64" s="7"/>
      <c r="AE64" s="7">
        <f t="shared" si="5"/>
        <v>0</v>
      </c>
    </row>
    <row r="65" spans="1:31" ht="15.75" customHeight="1">
      <c r="A65" s="7" t="s">
        <v>399</v>
      </c>
      <c r="B65" s="78">
        <v>0</v>
      </c>
      <c r="C65" s="78">
        <v>0</v>
      </c>
      <c r="D65" s="42" t="str">
        <f t="shared" si="0"/>
        <v/>
      </c>
      <c r="E65" s="78">
        <v>0</v>
      </c>
      <c r="F65" s="78">
        <v>0</v>
      </c>
      <c r="G65" s="42" t="str">
        <f t="shared" si="1"/>
        <v/>
      </c>
      <c r="H65" s="41">
        <v>1</v>
      </c>
      <c r="I65" s="41">
        <v>0</v>
      </c>
      <c r="J65" s="41">
        <f t="shared" si="2"/>
        <v>1</v>
      </c>
      <c r="K65" s="41">
        <v>1</v>
      </c>
      <c r="L65" s="79">
        <f t="shared" si="3"/>
        <v>1</v>
      </c>
      <c r="M65" s="89">
        <v>1</v>
      </c>
      <c r="N65" s="7"/>
      <c r="O65" s="7"/>
      <c r="P65" s="7"/>
      <c r="Q65" s="7"/>
      <c r="R65" s="7"/>
      <c r="S65" s="89" t="s">
        <v>1353</v>
      </c>
      <c r="T65" s="7"/>
      <c r="U65" s="7"/>
      <c r="V65" s="7"/>
      <c r="W65" s="7"/>
      <c r="X65" s="7"/>
      <c r="Y65" s="7"/>
      <c r="Z65" s="81"/>
      <c r="AA65" s="6">
        <f t="shared" si="4"/>
        <v>0</v>
      </c>
      <c r="AB65" s="80" t="str">
        <f>+IF(AND(D65&gt;'Indices y Outliers'!$I$145,D65&lt;&gt;""),1,"")</f>
        <v/>
      </c>
      <c r="AC65" s="80" t="str">
        <f>+IF(AND(G65&gt;'Indices y Outliers'!$I$153,G65&lt;&gt;""),1,"")</f>
        <v/>
      </c>
      <c r="AD65" s="7"/>
      <c r="AE65" s="7">
        <f t="shared" si="5"/>
        <v>0</v>
      </c>
    </row>
    <row r="66" spans="1:31" ht="15.75" customHeight="1">
      <c r="A66" s="7" t="s">
        <v>402</v>
      </c>
      <c r="B66" s="78">
        <v>70.39</v>
      </c>
      <c r="C66" s="78">
        <v>0</v>
      </c>
      <c r="D66" s="42">
        <f t="shared" si="0"/>
        <v>70.39</v>
      </c>
      <c r="E66" s="78">
        <v>0.59099999999999997</v>
      </c>
      <c r="F66" s="78">
        <v>0</v>
      </c>
      <c r="G66" s="42">
        <f t="shared" si="1"/>
        <v>0.59099999999999997</v>
      </c>
      <c r="H66" s="41">
        <v>313</v>
      </c>
      <c r="I66" s="41">
        <v>1506528</v>
      </c>
      <c r="J66" s="41">
        <f t="shared" si="2"/>
        <v>1506841</v>
      </c>
      <c r="K66" s="41">
        <v>1509551</v>
      </c>
      <c r="L66" s="79">
        <f t="shared" si="3"/>
        <v>0.99820476419809601</v>
      </c>
      <c r="M66" s="89">
        <v>1</v>
      </c>
      <c r="N66" s="89">
        <v>1</v>
      </c>
      <c r="O66" s="89">
        <v>1</v>
      </c>
      <c r="P66" s="89">
        <v>1</v>
      </c>
      <c r="Q66" s="89">
        <v>1</v>
      </c>
      <c r="R66" s="89">
        <v>1</v>
      </c>
      <c r="S66" s="89" t="s">
        <v>1353</v>
      </c>
      <c r="T66" s="89" t="s">
        <v>1353</v>
      </c>
      <c r="U66" s="89" t="s">
        <v>1353</v>
      </c>
      <c r="V66" s="89" t="s">
        <v>1353</v>
      </c>
      <c r="W66" s="7"/>
      <c r="X66" s="7"/>
      <c r="Y66" s="7"/>
      <c r="Z66" s="81"/>
      <c r="AA66" s="6">
        <f t="shared" si="4"/>
        <v>2</v>
      </c>
      <c r="AB66" s="80" t="str">
        <f>+IF(AND(D66&gt;'Indices y Outliers'!$I$145,D66&lt;&gt;""),1,"")</f>
        <v/>
      </c>
      <c r="AC66" s="80" t="str">
        <f>+IF(AND(G66&gt;'Indices y Outliers'!$I$153,G66&lt;&gt;""),1,"")</f>
        <v/>
      </c>
      <c r="AD66" s="7"/>
      <c r="AE66" s="7">
        <f t="shared" si="5"/>
        <v>0</v>
      </c>
    </row>
    <row r="67" spans="1:31" ht="15.75" customHeight="1">
      <c r="A67" s="7" t="s">
        <v>405</v>
      </c>
      <c r="B67" s="78">
        <v>0</v>
      </c>
      <c r="C67" s="78">
        <v>82.8</v>
      </c>
      <c r="D67" s="42">
        <f t="shared" si="0"/>
        <v>82.8</v>
      </c>
      <c r="E67" s="78">
        <v>0</v>
      </c>
      <c r="F67" s="78">
        <v>0.87</v>
      </c>
      <c r="G67" s="42">
        <f t="shared" si="1"/>
        <v>0.87</v>
      </c>
      <c r="H67" s="41">
        <v>48</v>
      </c>
      <c r="I67" s="41">
        <v>492296</v>
      </c>
      <c r="J67" s="41">
        <f t="shared" si="2"/>
        <v>492344</v>
      </c>
      <c r="K67" s="41">
        <v>495246</v>
      </c>
      <c r="L67" s="79">
        <f t="shared" si="3"/>
        <v>0.99414028583774527</v>
      </c>
      <c r="M67" s="89">
        <v>1</v>
      </c>
      <c r="N67" s="89">
        <v>1</v>
      </c>
      <c r="O67" s="89">
        <v>1</v>
      </c>
      <c r="P67" s="89">
        <v>1</v>
      </c>
      <c r="Q67" s="89">
        <v>1</v>
      </c>
      <c r="R67" s="89">
        <v>1</v>
      </c>
      <c r="S67" s="89" t="s">
        <v>1353</v>
      </c>
      <c r="T67" s="7"/>
      <c r="U67" s="89" t="s">
        <v>1353</v>
      </c>
      <c r="V67" s="89" t="s">
        <v>1353</v>
      </c>
      <c r="W67" s="89" t="s">
        <v>1353</v>
      </c>
      <c r="X67" s="89" t="s">
        <v>1353</v>
      </c>
      <c r="Y67" s="89" t="s">
        <v>1353</v>
      </c>
      <c r="Z67" s="81"/>
      <c r="AA67" s="6">
        <f t="shared" si="4"/>
        <v>2</v>
      </c>
      <c r="AB67" s="80" t="str">
        <f>+IF(AND(D67&gt;'Indices y Outliers'!$I$145,D67&lt;&gt;""),1,"")</f>
        <v/>
      </c>
      <c r="AC67" s="80" t="str">
        <f>+IF(AND(G67&gt;'Indices y Outliers'!$I$153,G67&lt;&gt;""),1,"")</f>
        <v/>
      </c>
      <c r="AD67" s="7"/>
      <c r="AE67" s="7">
        <f t="shared" si="5"/>
        <v>0</v>
      </c>
    </row>
    <row r="68" spans="1:31" ht="15.75" customHeight="1">
      <c r="A68" s="7" t="s">
        <v>408</v>
      </c>
      <c r="B68" s="78">
        <v>0</v>
      </c>
      <c r="C68" s="78">
        <v>68.599999999999994</v>
      </c>
      <c r="D68" s="42">
        <f t="shared" si="0"/>
        <v>68.599999999999994</v>
      </c>
      <c r="E68" s="78">
        <v>0</v>
      </c>
      <c r="F68" s="78">
        <v>0.74</v>
      </c>
      <c r="G68" s="42">
        <f t="shared" si="1"/>
        <v>0.74</v>
      </c>
      <c r="H68" s="41">
        <v>119</v>
      </c>
      <c r="I68" s="41">
        <v>488151</v>
      </c>
      <c r="J68" s="41">
        <f t="shared" si="2"/>
        <v>488270</v>
      </c>
      <c r="K68" s="41">
        <v>495614</v>
      </c>
      <c r="L68" s="79">
        <f t="shared" si="3"/>
        <v>0.98518201665005423</v>
      </c>
      <c r="M68" s="89">
        <v>1</v>
      </c>
      <c r="N68" s="89">
        <v>1</v>
      </c>
      <c r="O68" s="89">
        <v>1</v>
      </c>
      <c r="P68" s="89">
        <v>1</v>
      </c>
      <c r="Q68" s="89">
        <v>1</v>
      </c>
      <c r="R68" s="89">
        <v>1</v>
      </c>
      <c r="S68" s="89" t="s">
        <v>1353</v>
      </c>
      <c r="T68" s="7"/>
      <c r="U68" s="89" t="s">
        <v>1353</v>
      </c>
      <c r="V68" s="89" t="s">
        <v>1353</v>
      </c>
      <c r="W68" s="89" t="s">
        <v>1353</v>
      </c>
      <c r="X68" s="89" t="s">
        <v>1353</v>
      </c>
      <c r="Y68" s="89" t="s">
        <v>1354</v>
      </c>
      <c r="Z68" s="81"/>
      <c r="AA68" s="6">
        <f t="shared" si="4"/>
        <v>2</v>
      </c>
      <c r="AB68" s="80" t="str">
        <f>+IF(AND(D68&gt;'Indices y Outliers'!$I$145,D68&lt;&gt;""),1,"")</f>
        <v/>
      </c>
      <c r="AC68" s="80" t="str">
        <f>+IF(AND(G68&gt;'Indices y Outliers'!$I$153,G68&lt;&gt;""),1,"")</f>
        <v/>
      </c>
      <c r="AD68" s="7"/>
      <c r="AE68" s="7">
        <f t="shared" si="5"/>
        <v>0</v>
      </c>
    </row>
    <row r="69" spans="1:31" ht="15.75" customHeight="1">
      <c r="A69" s="7" t="s">
        <v>411</v>
      </c>
      <c r="B69" s="78">
        <v>92</v>
      </c>
      <c r="C69" s="78">
        <v>0</v>
      </c>
      <c r="D69" s="42">
        <f t="shared" si="0"/>
        <v>92</v>
      </c>
      <c r="E69" s="78">
        <v>0.92</v>
      </c>
      <c r="F69" s="78">
        <v>0</v>
      </c>
      <c r="G69" s="42">
        <f t="shared" si="1"/>
        <v>0.92</v>
      </c>
      <c r="H69" s="41">
        <v>483270</v>
      </c>
      <c r="I69" s="41">
        <v>759912</v>
      </c>
      <c r="J69" s="41">
        <f t="shared" si="2"/>
        <v>1243182</v>
      </c>
      <c r="K69" s="41">
        <v>1243648</v>
      </c>
      <c r="L69" s="79">
        <f t="shared" si="3"/>
        <v>0.99962529590366411</v>
      </c>
      <c r="M69" s="89">
        <v>1</v>
      </c>
      <c r="N69" s="89">
        <v>1</v>
      </c>
      <c r="O69" s="89">
        <v>1</v>
      </c>
      <c r="P69" s="89">
        <v>1</v>
      </c>
      <c r="Q69" s="89">
        <v>1</v>
      </c>
      <c r="R69" s="89">
        <v>1</v>
      </c>
      <c r="S69" s="89" t="s">
        <v>1353</v>
      </c>
      <c r="T69" s="89" t="s">
        <v>1353</v>
      </c>
      <c r="U69" s="89" t="s">
        <v>1353</v>
      </c>
      <c r="V69" s="89" t="s">
        <v>1353</v>
      </c>
      <c r="W69" s="7"/>
      <c r="X69" s="89" t="s">
        <v>1353</v>
      </c>
      <c r="Y69" s="7"/>
      <c r="Z69" s="81"/>
      <c r="AA69" s="6">
        <f t="shared" si="4"/>
        <v>2</v>
      </c>
      <c r="AB69" s="80" t="str">
        <f>+IF(AND(D69&gt;'Indices y Outliers'!$I$145,D69&lt;&gt;""),1,"")</f>
        <v/>
      </c>
      <c r="AC69" s="80" t="str">
        <f>+IF(AND(G69&gt;'Indices y Outliers'!$I$153,G69&lt;&gt;""),1,"")</f>
        <v/>
      </c>
      <c r="AD69" s="7"/>
      <c r="AE69" s="7">
        <f t="shared" si="5"/>
        <v>0</v>
      </c>
    </row>
    <row r="70" spans="1:31" ht="15.75" customHeight="1">
      <c r="A70" s="7" t="s">
        <v>414</v>
      </c>
      <c r="B70" s="78">
        <v>114.9</v>
      </c>
      <c r="C70" s="78">
        <v>0</v>
      </c>
      <c r="D70" s="42">
        <f t="shared" si="0"/>
        <v>114.9</v>
      </c>
      <c r="E70" s="78">
        <v>1.02</v>
      </c>
      <c r="F70" s="78">
        <v>0</v>
      </c>
      <c r="G70" s="42">
        <f t="shared" si="1"/>
        <v>1.02</v>
      </c>
      <c r="H70" s="41">
        <v>414</v>
      </c>
      <c r="I70" s="41">
        <v>1221683</v>
      </c>
      <c r="J70" s="41">
        <f t="shared" si="2"/>
        <v>1222097</v>
      </c>
      <c r="K70" s="41">
        <v>1222920</v>
      </c>
      <c r="L70" s="79">
        <f t="shared" si="3"/>
        <v>0.99932702057370881</v>
      </c>
      <c r="M70" s="89">
        <v>1</v>
      </c>
      <c r="N70" s="7"/>
      <c r="O70" s="89">
        <v>1</v>
      </c>
      <c r="P70" s="89">
        <v>1</v>
      </c>
      <c r="Q70" s="89">
        <v>1</v>
      </c>
      <c r="R70" s="89">
        <v>1</v>
      </c>
      <c r="S70" s="7"/>
      <c r="T70" s="89" t="s">
        <v>1353</v>
      </c>
      <c r="U70" s="89" t="s">
        <v>1353</v>
      </c>
      <c r="V70" s="89" t="s">
        <v>1353</v>
      </c>
      <c r="W70" s="7"/>
      <c r="X70" s="7"/>
      <c r="Y70" s="7"/>
      <c r="Z70" s="81"/>
      <c r="AA70" s="6">
        <f t="shared" si="4"/>
        <v>2</v>
      </c>
      <c r="AB70" s="80" t="str">
        <f>+IF(AND(D70&gt;'Indices y Outliers'!$I$145,D70&lt;&gt;""),1,"")</f>
        <v/>
      </c>
      <c r="AC70" s="80" t="str">
        <f>+IF(AND(G70&gt;'Indices y Outliers'!$I$153,G70&lt;&gt;""),1,"")</f>
        <v/>
      </c>
      <c r="AD70" s="7"/>
      <c r="AE70" s="7">
        <f t="shared" si="5"/>
        <v>0</v>
      </c>
    </row>
    <row r="71" spans="1:31" ht="15.75" customHeight="1">
      <c r="A71" s="7" t="s">
        <v>417</v>
      </c>
      <c r="B71" s="78">
        <v>0</v>
      </c>
      <c r="C71" s="78">
        <v>0</v>
      </c>
      <c r="D71" s="42" t="str">
        <f t="shared" si="0"/>
        <v/>
      </c>
      <c r="E71" s="78">
        <v>0</v>
      </c>
      <c r="F71" s="78">
        <v>0</v>
      </c>
      <c r="G71" s="42" t="str">
        <f t="shared" si="1"/>
        <v/>
      </c>
      <c r="H71" s="41">
        <v>0</v>
      </c>
      <c r="I71" s="41">
        <v>0</v>
      </c>
      <c r="J71" s="41">
        <f t="shared" si="2"/>
        <v>0</v>
      </c>
      <c r="K71" s="41">
        <v>0</v>
      </c>
      <c r="L71" s="79" t="str">
        <f t="shared" si="3"/>
        <v/>
      </c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81"/>
      <c r="AA71" s="6">
        <f t="shared" si="4"/>
        <v>0</v>
      </c>
      <c r="AB71" s="80" t="str">
        <f>+IF(AND(D71&gt;'Indices y Outliers'!$I$145,D71&lt;&gt;""),1,"")</f>
        <v/>
      </c>
      <c r="AC71" s="80" t="str">
        <f>+IF(AND(G71&gt;'Indices y Outliers'!$I$153,G71&lt;&gt;""),1,"")</f>
        <v/>
      </c>
      <c r="AD71" s="7"/>
      <c r="AE71" s="7">
        <f t="shared" si="5"/>
        <v>0</v>
      </c>
    </row>
    <row r="72" spans="1:31" ht="15.75" customHeight="1">
      <c r="A72" s="7" t="s">
        <v>420</v>
      </c>
      <c r="B72" s="78">
        <v>106.32</v>
      </c>
      <c r="C72" s="78">
        <v>0</v>
      </c>
      <c r="D72" s="42">
        <f t="shared" si="0"/>
        <v>106.32</v>
      </c>
      <c r="E72" s="78">
        <v>1.3660000000000001</v>
      </c>
      <c r="F72" s="78">
        <v>0</v>
      </c>
      <c r="G72" s="42">
        <f t="shared" si="1"/>
        <v>1.3660000000000001</v>
      </c>
      <c r="H72" s="41">
        <v>0</v>
      </c>
      <c r="I72" s="41">
        <v>393977</v>
      </c>
      <c r="J72" s="41">
        <f t="shared" si="2"/>
        <v>393977</v>
      </c>
      <c r="K72" s="41">
        <v>394069</v>
      </c>
      <c r="L72" s="79">
        <f t="shared" si="3"/>
        <v>0.9997665383473453</v>
      </c>
      <c r="M72" s="89">
        <v>1</v>
      </c>
      <c r="N72" s="89">
        <v>1</v>
      </c>
      <c r="O72" s="89">
        <v>1</v>
      </c>
      <c r="P72" s="89">
        <v>1</v>
      </c>
      <c r="Q72" s="7"/>
      <c r="R72" s="89">
        <v>1</v>
      </c>
      <c r="S72" s="89" t="s">
        <v>1353</v>
      </c>
      <c r="T72" s="89" t="s">
        <v>1353</v>
      </c>
      <c r="U72" s="89" t="s">
        <v>1353</v>
      </c>
      <c r="V72" s="89" t="s">
        <v>1353</v>
      </c>
      <c r="W72" s="89" t="s">
        <v>1354</v>
      </c>
      <c r="X72" s="89" t="s">
        <v>1353</v>
      </c>
      <c r="Y72" s="7"/>
      <c r="Z72" s="81"/>
      <c r="AA72" s="6">
        <f t="shared" si="4"/>
        <v>2</v>
      </c>
      <c r="AB72" s="80" t="str">
        <f>+IF(AND(D72&gt;'Indices y Outliers'!$I$145,D72&lt;&gt;""),1,"")</f>
        <v/>
      </c>
      <c r="AC72" s="80" t="str">
        <f>+IF(AND(G72&gt;'Indices y Outliers'!$I$153,G72&lt;&gt;""),1,"")</f>
        <v/>
      </c>
      <c r="AD72" s="7"/>
      <c r="AE72" s="7">
        <f t="shared" si="5"/>
        <v>0</v>
      </c>
    </row>
    <row r="73" spans="1:31" ht="15.75" customHeight="1">
      <c r="A73" s="7" t="s">
        <v>423</v>
      </c>
      <c r="B73" s="78">
        <v>111.806</v>
      </c>
      <c r="C73" s="78">
        <v>0</v>
      </c>
      <c r="D73" s="42">
        <f t="shared" si="0"/>
        <v>111.806</v>
      </c>
      <c r="E73" s="78">
        <v>1.171</v>
      </c>
      <c r="F73" s="78">
        <v>0</v>
      </c>
      <c r="G73" s="42">
        <f t="shared" si="1"/>
        <v>1.171</v>
      </c>
      <c r="H73" s="41">
        <v>690445</v>
      </c>
      <c r="I73" s="41">
        <v>718489</v>
      </c>
      <c r="J73" s="41">
        <f t="shared" si="2"/>
        <v>1408934</v>
      </c>
      <c r="K73" s="41">
        <v>1563556</v>
      </c>
      <c r="L73" s="79">
        <f t="shared" si="3"/>
        <v>0.90110875465925111</v>
      </c>
      <c r="M73" s="89">
        <v>1</v>
      </c>
      <c r="N73" s="89">
        <v>1</v>
      </c>
      <c r="O73" s="89">
        <v>1</v>
      </c>
      <c r="P73" s="89">
        <v>1</v>
      </c>
      <c r="Q73" s="89">
        <v>1</v>
      </c>
      <c r="R73" s="89">
        <v>1</v>
      </c>
      <c r="S73" s="89" t="s">
        <v>1353</v>
      </c>
      <c r="T73" s="89" t="s">
        <v>1353</v>
      </c>
      <c r="U73" s="89" t="s">
        <v>1353</v>
      </c>
      <c r="V73" s="89" t="s">
        <v>1353</v>
      </c>
      <c r="W73" s="7"/>
      <c r="X73" s="89" t="s">
        <v>1353</v>
      </c>
      <c r="Y73" s="7"/>
      <c r="Z73" s="81"/>
      <c r="AA73" s="6">
        <f t="shared" si="4"/>
        <v>2</v>
      </c>
      <c r="AB73" s="80" t="str">
        <f>+IF(AND(D73&gt;'Indices y Outliers'!$I$145,D73&lt;&gt;""),1,"")</f>
        <v/>
      </c>
      <c r="AC73" s="80" t="str">
        <f>+IF(AND(G73&gt;'Indices y Outliers'!$I$153,G73&lt;&gt;""),1,"")</f>
        <v/>
      </c>
      <c r="AD73" s="7"/>
      <c r="AE73" s="7">
        <f t="shared" si="5"/>
        <v>0</v>
      </c>
    </row>
    <row r="74" spans="1:31" ht="15.75" customHeight="1">
      <c r="A74" s="7" t="s">
        <v>426</v>
      </c>
      <c r="B74" s="78">
        <v>211.827</v>
      </c>
      <c r="C74" s="78">
        <v>0</v>
      </c>
      <c r="D74" s="42">
        <f t="shared" si="0"/>
        <v>211.827</v>
      </c>
      <c r="E74" s="78">
        <v>1.972</v>
      </c>
      <c r="F74" s="78">
        <v>0</v>
      </c>
      <c r="G74" s="42">
        <f t="shared" si="1"/>
        <v>1.972</v>
      </c>
      <c r="H74" s="41">
        <v>9141</v>
      </c>
      <c r="I74" s="41">
        <v>0</v>
      </c>
      <c r="J74" s="41">
        <f t="shared" si="2"/>
        <v>9141</v>
      </c>
      <c r="K74" s="41">
        <v>9142</v>
      </c>
      <c r="L74" s="79">
        <f t="shared" si="3"/>
        <v>0.99989061474513241</v>
      </c>
      <c r="M74" s="89">
        <v>1</v>
      </c>
      <c r="N74" s="89">
        <v>1</v>
      </c>
      <c r="O74" s="89">
        <v>1</v>
      </c>
      <c r="P74" s="89">
        <v>1</v>
      </c>
      <c r="Q74" s="89">
        <v>1</v>
      </c>
      <c r="R74" s="89">
        <v>1</v>
      </c>
      <c r="S74" s="89" t="s">
        <v>1353</v>
      </c>
      <c r="T74" s="89" t="s">
        <v>1353</v>
      </c>
      <c r="U74" s="89" t="s">
        <v>1353</v>
      </c>
      <c r="V74" s="89" t="s">
        <v>1353</v>
      </c>
      <c r="W74" s="7"/>
      <c r="X74" s="89" t="s">
        <v>1353</v>
      </c>
      <c r="Y74" s="7"/>
      <c r="Z74" s="81"/>
      <c r="AA74" s="6">
        <f t="shared" si="4"/>
        <v>2</v>
      </c>
      <c r="AB74" s="80" t="str">
        <f>+IF(AND(D74&gt;'Indices y Outliers'!$I$145,D74&lt;&gt;""),1,"")</f>
        <v/>
      </c>
      <c r="AC74" s="80" t="str">
        <f>+IF(AND(G74&gt;'Indices y Outliers'!$I$153,G74&lt;&gt;""),1,"")</f>
        <v/>
      </c>
      <c r="AD74" s="7"/>
      <c r="AE74" s="7">
        <f t="shared" si="5"/>
        <v>0</v>
      </c>
    </row>
    <row r="75" spans="1:31" ht="15.75" customHeight="1">
      <c r="A75" s="7" t="s">
        <v>429</v>
      </c>
      <c r="B75" s="78">
        <v>89.989000000000004</v>
      </c>
      <c r="C75" s="78">
        <v>0</v>
      </c>
      <c r="D75" s="42">
        <f t="shared" si="0"/>
        <v>89.989000000000004</v>
      </c>
      <c r="E75" s="78">
        <v>1.083</v>
      </c>
      <c r="F75" s="78">
        <v>0</v>
      </c>
      <c r="G75" s="42">
        <f t="shared" si="1"/>
        <v>1.083</v>
      </c>
      <c r="H75" s="41">
        <v>1241918</v>
      </c>
      <c r="I75" s="41">
        <v>138990</v>
      </c>
      <c r="J75" s="41">
        <f t="shared" si="2"/>
        <v>1380908</v>
      </c>
      <c r="K75" s="41">
        <v>1383325</v>
      </c>
      <c r="L75" s="79">
        <f t="shared" si="3"/>
        <v>0.99825276055879852</v>
      </c>
      <c r="M75" s="89">
        <v>1</v>
      </c>
      <c r="N75" s="89">
        <v>1</v>
      </c>
      <c r="O75" s="89">
        <v>1</v>
      </c>
      <c r="P75" s="89">
        <v>1</v>
      </c>
      <c r="Q75" s="89">
        <v>1</v>
      </c>
      <c r="R75" s="89">
        <v>1</v>
      </c>
      <c r="S75" s="89" t="s">
        <v>1353</v>
      </c>
      <c r="T75" s="89" t="s">
        <v>1353</v>
      </c>
      <c r="U75" s="89" t="s">
        <v>1353</v>
      </c>
      <c r="V75" s="89" t="s">
        <v>1353</v>
      </c>
      <c r="W75" s="7"/>
      <c r="X75" s="89" t="s">
        <v>1353</v>
      </c>
      <c r="Y75" s="7"/>
      <c r="Z75" s="81"/>
      <c r="AA75" s="6">
        <f t="shared" si="4"/>
        <v>2</v>
      </c>
      <c r="AB75" s="80" t="str">
        <f>+IF(AND(D75&gt;'Indices y Outliers'!$I$145,D75&lt;&gt;""),1,"")</f>
        <v/>
      </c>
      <c r="AC75" s="80" t="str">
        <f>+IF(AND(G75&gt;'Indices y Outliers'!$I$153,G75&lt;&gt;""),1,"")</f>
        <v/>
      </c>
      <c r="AD75" s="7"/>
      <c r="AE75" s="7">
        <f t="shared" si="5"/>
        <v>0</v>
      </c>
    </row>
    <row r="76" spans="1:31" ht="15.75" customHeight="1">
      <c r="A76" s="7" t="s">
        <v>432</v>
      </c>
      <c r="B76" s="78">
        <v>106.419</v>
      </c>
      <c r="C76" s="78">
        <v>0</v>
      </c>
      <c r="D76" s="42">
        <f t="shared" si="0"/>
        <v>106.419</v>
      </c>
      <c r="E76" s="78">
        <v>0.93100000000000005</v>
      </c>
      <c r="F76" s="78">
        <v>0</v>
      </c>
      <c r="G76" s="42">
        <f t="shared" si="1"/>
        <v>0.93100000000000005</v>
      </c>
      <c r="H76" s="41">
        <v>7871</v>
      </c>
      <c r="I76" s="41">
        <v>0</v>
      </c>
      <c r="J76" s="41">
        <f t="shared" si="2"/>
        <v>7871</v>
      </c>
      <c r="K76" s="41">
        <v>124766</v>
      </c>
      <c r="L76" s="79">
        <f t="shared" si="3"/>
        <v>6.3086097173909561E-2</v>
      </c>
      <c r="M76" s="89">
        <v>1</v>
      </c>
      <c r="N76" s="89">
        <v>1</v>
      </c>
      <c r="O76" s="89">
        <v>1</v>
      </c>
      <c r="P76" s="89">
        <v>1</v>
      </c>
      <c r="Q76" s="89">
        <v>1</v>
      </c>
      <c r="R76" s="89">
        <v>1</v>
      </c>
      <c r="S76" s="89" t="s">
        <v>1353</v>
      </c>
      <c r="T76" s="89" t="s">
        <v>1353</v>
      </c>
      <c r="U76" s="89" t="s">
        <v>1353</v>
      </c>
      <c r="V76" s="89" t="s">
        <v>1353</v>
      </c>
      <c r="W76" s="7"/>
      <c r="X76" s="89" t="s">
        <v>1353</v>
      </c>
      <c r="Y76" s="7"/>
      <c r="Z76" s="81"/>
      <c r="AA76" s="6">
        <f t="shared" si="4"/>
        <v>2</v>
      </c>
      <c r="AB76" s="80" t="str">
        <f>+IF(AND(D76&gt;'Indices y Outliers'!$I$145,D76&lt;&gt;""),1,"")</f>
        <v/>
      </c>
      <c r="AC76" s="80" t="str">
        <f>+IF(AND(G76&gt;'Indices y Outliers'!$I$153,G76&lt;&gt;""),1,"")</f>
        <v/>
      </c>
      <c r="AD76" s="7"/>
      <c r="AE76" s="7">
        <f t="shared" si="5"/>
        <v>0</v>
      </c>
    </row>
    <row r="77" spans="1:31" ht="15.75" customHeight="1">
      <c r="A77" s="7" t="s">
        <v>435</v>
      </c>
      <c r="B77" s="78">
        <v>361.3</v>
      </c>
      <c r="C77" s="78">
        <v>0</v>
      </c>
      <c r="D77" s="42">
        <f t="shared" si="0"/>
        <v>361.3</v>
      </c>
      <c r="E77" s="78">
        <v>2.4940000000000002</v>
      </c>
      <c r="F77" s="78">
        <v>0</v>
      </c>
      <c r="G77" s="42">
        <f t="shared" si="1"/>
        <v>2.4940000000000002</v>
      </c>
      <c r="H77" s="41">
        <v>30</v>
      </c>
      <c r="I77" s="41">
        <v>500050</v>
      </c>
      <c r="J77" s="41">
        <f t="shared" si="2"/>
        <v>500080</v>
      </c>
      <c r="K77" s="41">
        <v>501340</v>
      </c>
      <c r="L77" s="79">
        <f t="shared" si="3"/>
        <v>0.99748673554872935</v>
      </c>
      <c r="M77" s="89">
        <v>1</v>
      </c>
      <c r="N77" s="89">
        <v>1</v>
      </c>
      <c r="O77" s="89">
        <v>1</v>
      </c>
      <c r="P77" s="89">
        <v>1</v>
      </c>
      <c r="Q77" s="89">
        <v>1</v>
      </c>
      <c r="R77" s="89">
        <v>1</v>
      </c>
      <c r="S77" s="89" t="s">
        <v>1353</v>
      </c>
      <c r="T77" s="89" t="s">
        <v>1353</v>
      </c>
      <c r="U77" s="89" t="s">
        <v>1353</v>
      </c>
      <c r="V77" s="89" t="s">
        <v>1353</v>
      </c>
      <c r="W77" s="89" t="s">
        <v>1353</v>
      </c>
      <c r="X77" s="7"/>
      <c r="Y77" s="7"/>
      <c r="Z77" s="81"/>
      <c r="AA77" s="6">
        <f t="shared" si="4"/>
        <v>2</v>
      </c>
      <c r="AB77" s="80" t="str">
        <f>+IF(AND(D77&gt;'Indices y Outliers'!$I$145,D77&lt;&gt;""),1,"")</f>
        <v/>
      </c>
      <c r="AC77" s="80" t="str">
        <f>+IF(AND(G77&gt;'Indices y Outliers'!$I$153,G77&lt;&gt;""),1,"")</f>
        <v/>
      </c>
      <c r="AD77" s="7"/>
      <c r="AE77" s="7">
        <f t="shared" si="5"/>
        <v>0</v>
      </c>
    </row>
    <row r="78" spans="1:31" ht="15.75" customHeight="1">
      <c r="A78" s="7" t="s">
        <v>438</v>
      </c>
      <c r="B78" s="78">
        <v>0</v>
      </c>
      <c r="C78" s="78">
        <v>0</v>
      </c>
      <c r="D78" s="42" t="str">
        <f t="shared" si="0"/>
        <v/>
      </c>
      <c r="E78" s="78">
        <v>0</v>
      </c>
      <c r="F78" s="78">
        <v>0</v>
      </c>
      <c r="G78" s="42" t="str">
        <f t="shared" si="1"/>
        <v/>
      </c>
      <c r="H78" s="41">
        <v>0</v>
      </c>
      <c r="I78" s="41">
        <v>0</v>
      </c>
      <c r="J78" s="41">
        <f t="shared" si="2"/>
        <v>0</v>
      </c>
      <c r="K78" s="41">
        <v>0</v>
      </c>
      <c r="L78" s="79" t="str">
        <f t="shared" si="3"/>
        <v/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81"/>
      <c r="AA78" s="6">
        <f t="shared" si="4"/>
        <v>0</v>
      </c>
      <c r="AB78" s="80" t="str">
        <f>+IF(AND(D78&gt;'Indices y Outliers'!$I$145,D78&lt;&gt;""),1,"")</f>
        <v/>
      </c>
      <c r="AC78" s="80" t="str">
        <f>+IF(AND(G78&gt;'Indices y Outliers'!$I$153,G78&lt;&gt;""),1,"")</f>
        <v/>
      </c>
      <c r="AD78" s="7"/>
      <c r="AE78" s="7">
        <f t="shared" si="5"/>
        <v>0</v>
      </c>
    </row>
    <row r="79" spans="1:31" ht="15.75" customHeight="1">
      <c r="A79" s="7" t="s">
        <v>441</v>
      </c>
      <c r="B79" s="78">
        <v>0</v>
      </c>
      <c r="C79" s="78">
        <v>0</v>
      </c>
      <c r="D79" s="42" t="str">
        <f t="shared" si="0"/>
        <v/>
      </c>
      <c r="E79" s="78">
        <v>0</v>
      </c>
      <c r="F79" s="78">
        <v>0</v>
      </c>
      <c r="G79" s="42" t="str">
        <f t="shared" si="1"/>
        <v/>
      </c>
      <c r="H79" s="41">
        <v>0</v>
      </c>
      <c r="I79" s="41">
        <v>0</v>
      </c>
      <c r="J79" s="41">
        <f t="shared" si="2"/>
        <v>0</v>
      </c>
      <c r="K79" s="41">
        <v>0</v>
      </c>
      <c r="L79" s="79" t="str">
        <f t="shared" si="3"/>
        <v/>
      </c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81"/>
      <c r="AA79" s="6">
        <f t="shared" si="4"/>
        <v>0</v>
      </c>
      <c r="AB79" s="80" t="str">
        <f>+IF(AND(D79&gt;'Indices y Outliers'!$I$145,D79&lt;&gt;""),1,"")</f>
        <v/>
      </c>
      <c r="AC79" s="80" t="str">
        <f>+IF(AND(G79&gt;'Indices y Outliers'!$I$153,G79&lt;&gt;""),1,"")</f>
        <v/>
      </c>
      <c r="AD79" s="7"/>
      <c r="AE79" s="7">
        <f t="shared" si="5"/>
        <v>0</v>
      </c>
    </row>
    <row r="80" spans="1:31" ht="15.75" customHeight="1">
      <c r="A80" s="7" t="s">
        <v>444</v>
      </c>
      <c r="B80" s="78">
        <v>159.46</v>
      </c>
      <c r="C80" s="78">
        <v>0</v>
      </c>
      <c r="D80" s="42">
        <f t="shared" si="0"/>
        <v>159.46</v>
      </c>
      <c r="E80" s="78">
        <v>1.474</v>
      </c>
      <c r="F80" s="78">
        <v>0</v>
      </c>
      <c r="G80" s="42">
        <f t="shared" si="1"/>
        <v>1.474</v>
      </c>
      <c r="H80" s="41">
        <v>62</v>
      </c>
      <c r="I80" s="41">
        <v>746813</v>
      </c>
      <c r="J80" s="41">
        <f t="shared" si="2"/>
        <v>746875</v>
      </c>
      <c r="K80" s="41">
        <v>746928</v>
      </c>
      <c r="L80" s="79">
        <f t="shared" si="3"/>
        <v>0.99992904269220062</v>
      </c>
      <c r="M80" s="89">
        <v>1</v>
      </c>
      <c r="N80" s="7"/>
      <c r="O80" s="89">
        <v>1</v>
      </c>
      <c r="P80" s="89">
        <v>1</v>
      </c>
      <c r="Q80" s="89">
        <v>1</v>
      </c>
      <c r="R80" s="89">
        <v>1</v>
      </c>
      <c r="S80" s="7"/>
      <c r="T80" s="89" t="s">
        <v>1353</v>
      </c>
      <c r="U80" s="7"/>
      <c r="V80" s="89" t="s">
        <v>1353</v>
      </c>
      <c r="W80" s="7"/>
      <c r="X80" s="89" t="s">
        <v>1353</v>
      </c>
      <c r="Y80" s="7"/>
      <c r="Z80" s="81"/>
      <c r="AA80" s="6">
        <f t="shared" si="4"/>
        <v>2</v>
      </c>
      <c r="AB80" s="80" t="str">
        <f>+IF(AND(D80&gt;'Indices y Outliers'!$I$145,D80&lt;&gt;""),1,"")</f>
        <v/>
      </c>
      <c r="AC80" s="80" t="str">
        <f>+IF(AND(G80&gt;'Indices y Outliers'!$I$153,G80&lt;&gt;""),1,"")</f>
        <v/>
      </c>
      <c r="AD80" s="7"/>
      <c r="AE80" s="7">
        <f t="shared" si="5"/>
        <v>0</v>
      </c>
    </row>
    <row r="81" spans="1:31" ht="15.75" customHeight="1">
      <c r="A81" s="7" t="s">
        <v>447</v>
      </c>
      <c r="B81" s="78">
        <v>407.65699999999998</v>
      </c>
      <c r="C81" s="78">
        <v>0</v>
      </c>
      <c r="D81" s="42">
        <f t="shared" si="0"/>
        <v>407.65699999999998</v>
      </c>
      <c r="E81" s="78">
        <v>2.5529999999999999</v>
      </c>
      <c r="F81" s="78">
        <v>0</v>
      </c>
      <c r="G81" s="42">
        <f t="shared" si="1"/>
        <v>2.5529999999999999</v>
      </c>
      <c r="H81" s="41">
        <v>91638</v>
      </c>
      <c r="I81" s="41">
        <v>0</v>
      </c>
      <c r="J81" s="41">
        <f t="shared" si="2"/>
        <v>91638</v>
      </c>
      <c r="K81" s="41">
        <v>401824</v>
      </c>
      <c r="L81" s="79">
        <f t="shared" si="3"/>
        <v>0.2280550688858804</v>
      </c>
      <c r="M81" s="89">
        <v>1</v>
      </c>
      <c r="N81" s="7"/>
      <c r="O81" s="89">
        <v>1</v>
      </c>
      <c r="P81" s="7"/>
      <c r="Q81" s="7"/>
      <c r="R81" s="89">
        <v>1</v>
      </c>
      <c r="S81" s="89" t="s">
        <v>1353</v>
      </c>
      <c r="T81" s="89" t="s">
        <v>1353</v>
      </c>
      <c r="U81" s="7"/>
      <c r="V81" s="89" t="s">
        <v>1353</v>
      </c>
      <c r="W81" s="7"/>
      <c r="X81" s="89" t="s">
        <v>1353</v>
      </c>
      <c r="Y81" s="7"/>
      <c r="Z81" s="81"/>
      <c r="AA81" s="6">
        <f t="shared" si="4"/>
        <v>2</v>
      </c>
      <c r="AB81" s="80" t="str">
        <f>+IF(AND(D81&gt;'Indices y Outliers'!$I$145,D81&lt;&gt;""),1,"")</f>
        <v/>
      </c>
      <c r="AC81" s="80" t="str">
        <f>+IF(AND(G81&gt;'Indices y Outliers'!$I$153,G81&lt;&gt;""),1,"")</f>
        <v/>
      </c>
      <c r="AD81" s="7"/>
      <c r="AE81" s="7">
        <f t="shared" si="5"/>
        <v>0</v>
      </c>
    </row>
    <row r="82" spans="1:31" ht="15.75" customHeight="1">
      <c r="A82" s="7" t="s">
        <v>450</v>
      </c>
      <c r="B82" s="78">
        <v>0</v>
      </c>
      <c r="C82" s="78">
        <v>0</v>
      </c>
      <c r="D82" s="42" t="str">
        <f t="shared" si="0"/>
        <v/>
      </c>
      <c r="E82" s="78">
        <v>0</v>
      </c>
      <c r="F82" s="78">
        <v>0</v>
      </c>
      <c r="G82" s="42" t="str">
        <f t="shared" si="1"/>
        <v/>
      </c>
      <c r="H82" s="41">
        <v>0</v>
      </c>
      <c r="I82" s="41">
        <v>0</v>
      </c>
      <c r="J82" s="41">
        <f t="shared" si="2"/>
        <v>0</v>
      </c>
      <c r="K82" s="41">
        <v>0</v>
      </c>
      <c r="L82" s="79" t="str">
        <f t="shared" si="3"/>
        <v/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81"/>
      <c r="AA82" s="6">
        <f t="shared" si="4"/>
        <v>0</v>
      </c>
      <c r="AB82" s="80" t="str">
        <f>+IF(AND(D82&gt;'Indices y Outliers'!$I$145,D82&lt;&gt;""),1,"")</f>
        <v/>
      </c>
      <c r="AC82" s="80" t="str">
        <f>+IF(AND(G82&gt;'Indices y Outliers'!$I$153,G82&lt;&gt;""),1,"")</f>
        <v/>
      </c>
      <c r="AD82" s="7"/>
      <c r="AE82" s="7">
        <f t="shared" si="5"/>
        <v>0</v>
      </c>
    </row>
    <row r="83" spans="1:31" ht="15.75" customHeight="1">
      <c r="A83" s="7" t="s">
        <v>453</v>
      </c>
      <c r="B83" s="78">
        <v>133.78</v>
      </c>
      <c r="C83" s="78">
        <v>0</v>
      </c>
      <c r="D83" s="42">
        <f t="shared" si="0"/>
        <v>133.78</v>
      </c>
      <c r="E83" s="78">
        <v>1.1759999999999999</v>
      </c>
      <c r="F83" s="78">
        <v>0</v>
      </c>
      <c r="G83" s="42">
        <f t="shared" si="1"/>
        <v>1.1759999999999999</v>
      </c>
      <c r="H83" s="41">
        <v>35136</v>
      </c>
      <c r="I83" s="41">
        <v>0</v>
      </c>
      <c r="J83" s="41">
        <f t="shared" si="2"/>
        <v>35136</v>
      </c>
      <c r="K83" s="41">
        <v>286227</v>
      </c>
      <c r="L83" s="79">
        <f t="shared" si="3"/>
        <v>0.12275571486966638</v>
      </c>
      <c r="M83" s="89">
        <v>1</v>
      </c>
      <c r="N83" s="7"/>
      <c r="O83" s="89">
        <v>1</v>
      </c>
      <c r="P83" s="89">
        <v>1</v>
      </c>
      <c r="Q83" s="89">
        <v>1</v>
      </c>
      <c r="R83" s="89">
        <v>1</v>
      </c>
      <c r="S83" s="7"/>
      <c r="T83" s="89" t="s">
        <v>1353</v>
      </c>
      <c r="U83" s="7"/>
      <c r="V83" s="89" t="s">
        <v>1353</v>
      </c>
      <c r="W83" s="7"/>
      <c r="X83" s="89" t="s">
        <v>1353</v>
      </c>
      <c r="Y83" s="89" t="s">
        <v>1354</v>
      </c>
      <c r="Z83" s="81"/>
      <c r="AA83" s="6">
        <f t="shared" si="4"/>
        <v>2</v>
      </c>
      <c r="AB83" s="80" t="str">
        <f>+IF(AND(D83&gt;'Indices y Outliers'!$I$145,D83&lt;&gt;""),1,"")</f>
        <v/>
      </c>
      <c r="AC83" s="80" t="str">
        <f>+IF(AND(G83&gt;'Indices y Outliers'!$I$153,G83&lt;&gt;""),1,"")</f>
        <v/>
      </c>
      <c r="AD83" s="7"/>
      <c r="AE83" s="7">
        <f t="shared" si="5"/>
        <v>0</v>
      </c>
    </row>
    <row r="84" spans="1:31" ht="15.75" customHeight="1">
      <c r="A84" s="7" t="s">
        <v>456</v>
      </c>
      <c r="B84" s="78">
        <v>471.67</v>
      </c>
      <c r="C84" s="78">
        <v>0</v>
      </c>
      <c r="D84" s="42">
        <f t="shared" si="0"/>
        <v>471.67</v>
      </c>
      <c r="E84" s="78">
        <v>5.1859999999999999</v>
      </c>
      <c r="F84" s="78">
        <v>0</v>
      </c>
      <c r="G84" s="42">
        <f t="shared" si="1"/>
        <v>5.1859999999999999</v>
      </c>
      <c r="H84" s="41">
        <v>14886</v>
      </c>
      <c r="I84" s="41">
        <v>0</v>
      </c>
      <c r="J84" s="41">
        <f t="shared" si="2"/>
        <v>14886</v>
      </c>
      <c r="K84" s="41">
        <v>51234</v>
      </c>
      <c r="L84" s="79">
        <f t="shared" si="3"/>
        <v>0.29054924464222975</v>
      </c>
      <c r="M84" s="89">
        <v>1</v>
      </c>
      <c r="N84" s="7"/>
      <c r="O84" s="89">
        <v>1</v>
      </c>
      <c r="P84" s="89">
        <v>1</v>
      </c>
      <c r="Q84" s="89">
        <v>1</v>
      </c>
      <c r="R84" s="89">
        <v>1</v>
      </c>
      <c r="S84" s="89" t="s">
        <v>1353</v>
      </c>
      <c r="T84" s="7"/>
      <c r="U84" s="89" t="s">
        <v>1353</v>
      </c>
      <c r="V84" s="89" t="s">
        <v>1353</v>
      </c>
      <c r="W84" s="7"/>
      <c r="X84" s="7"/>
      <c r="Y84" s="7"/>
      <c r="Z84" s="81"/>
      <c r="AA84" s="6">
        <f t="shared" si="4"/>
        <v>2</v>
      </c>
      <c r="AB84" s="80" t="str">
        <f>+IF(AND(D84&gt;'Indices y Outliers'!$I$145,D84&lt;&gt;""),1,"")</f>
        <v/>
      </c>
      <c r="AC84" s="80" t="str">
        <f>+IF(AND(G84&gt;'Indices y Outliers'!$I$153,G84&lt;&gt;""),1,"")</f>
        <v/>
      </c>
      <c r="AD84" s="7"/>
      <c r="AE84" s="7">
        <f t="shared" si="5"/>
        <v>0</v>
      </c>
    </row>
    <row r="85" spans="1:31" ht="15.75" customHeight="1">
      <c r="A85" s="7" t="s">
        <v>459</v>
      </c>
      <c r="B85" s="78">
        <v>0</v>
      </c>
      <c r="C85" s="78">
        <v>103.4</v>
      </c>
      <c r="D85" s="42">
        <f t="shared" si="0"/>
        <v>103.4</v>
      </c>
      <c r="E85" s="78">
        <v>0</v>
      </c>
      <c r="F85" s="78">
        <v>1.82</v>
      </c>
      <c r="G85" s="42">
        <f t="shared" si="1"/>
        <v>1.82</v>
      </c>
      <c r="H85" s="41">
        <v>0</v>
      </c>
      <c r="I85" s="41">
        <v>155523</v>
      </c>
      <c r="J85" s="41">
        <f t="shared" si="2"/>
        <v>155523</v>
      </c>
      <c r="K85" s="41">
        <v>155523</v>
      </c>
      <c r="L85" s="79">
        <f t="shared" si="3"/>
        <v>1</v>
      </c>
      <c r="M85" s="89">
        <v>1</v>
      </c>
      <c r="N85" s="89">
        <v>1</v>
      </c>
      <c r="O85" s="89">
        <v>1</v>
      </c>
      <c r="P85" s="7"/>
      <c r="Q85" s="89">
        <v>1</v>
      </c>
      <c r="R85" s="89">
        <v>1</v>
      </c>
      <c r="S85" s="89" t="s">
        <v>1353</v>
      </c>
      <c r="T85" s="89" t="s">
        <v>1353</v>
      </c>
      <c r="U85" s="89" t="s">
        <v>1353</v>
      </c>
      <c r="V85" s="89" t="s">
        <v>1353</v>
      </c>
      <c r="W85" s="7"/>
      <c r="X85" s="89" t="s">
        <v>1353</v>
      </c>
      <c r="Y85" s="7"/>
      <c r="Z85" s="81"/>
      <c r="AA85" s="6">
        <f t="shared" si="4"/>
        <v>2</v>
      </c>
      <c r="AB85" s="80" t="str">
        <f>+IF(AND(D85&gt;'Indices y Outliers'!$I$145,D85&lt;&gt;""),1,"")</f>
        <v/>
      </c>
      <c r="AC85" s="80" t="str">
        <f>+IF(AND(G85&gt;'Indices y Outliers'!$I$153,G85&lt;&gt;""),1,"")</f>
        <v/>
      </c>
      <c r="AD85" s="7"/>
      <c r="AE85" s="7">
        <f t="shared" si="5"/>
        <v>0</v>
      </c>
    </row>
    <row r="86" spans="1:31" ht="15.75" customHeight="1">
      <c r="A86" s="7" t="s">
        <v>462</v>
      </c>
      <c r="B86" s="78">
        <v>73.400000000000006</v>
      </c>
      <c r="C86" s="78">
        <v>0</v>
      </c>
      <c r="D86" s="42">
        <f t="shared" si="0"/>
        <v>73.400000000000006</v>
      </c>
      <c r="E86" s="78">
        <v>0.90800000000000003</v>
      </c>
      <c r="F86" s="78">
        <v>0</v>
      </c>
      <c r="G86" s="42">
        <f t="shared" si="1"/>
        <v>0.90800000000000003</v>
      </c>
      <c r="H86" s="41">
        <v>1287645</v>
      </c>
      <c r="I86" s="41">
        <v>0</v>
      </c>
      <c r="J86" s="41">
        <f t="shared" si="2"/>
        <v>1287645</v>
      </c>
      <c r="K86" s="41">
        <v>1287651</v>
      </c>
      <c r="L86" s="79">
        <f t="shared" si="3"/>
        <v>0.99999534035231596</v>
      </c>
      <c r="M86" s="89">
        <v>1</v>
      </c>
      <c r="N86" s="89">
        <v>1</v>
      </c>
      <c r="O86" s="89">
        <v>1</v>
      </c>
      <c r="P86" s="89">
        <v>1</v>
      </c>
      <c r="Q86" s="89">
        <v>1</v>
      </c>
      <c r="R86" s="89">
        <v>1</v>
      </c>
      <c r="S86" s="7"/>
      <c r="T86" s="89" t="s">
        <v>1353</v>
      </c>
      <c r="U86" s="89" t="s">
        <v>1353</v>
      </c>
      <c r="V86" s="89" t="s">
        <v>1353</v>
      </c>
      <c r="W86" s="7"/>
      <c r="X86" s="89" t="s">
        <v>1353</v>
      </c>
      <c r="Y86" s="89" t="s">
        <v>1353</v>
      </c>
      <c r="Z86" s="81"/>
      <c r="AA86" s="6">
        <f t="shared" si="4"/>
        <v>2</v>
      </c>
      <c r="AB86" s="80" t="str">
        <f>+IF(AND(D86&gt;'Indices y Outliers'!$I$145,D86&lt;&gt;""),1,"")</f>
        <v/>
      </c>
      <c r="AC86" s="80" t="str">
        <f>+IF(AND(G86&gt;'Indices y Outliers'!$I$153,G86&lt;&gt;""),1,"")</f>
        <v/>
      </c>
      <c r="AD86" s="7"/>
      <c r="AE86" s="7">
        <f t="shared" si="5"/>
        <v>0</v>
      </c>
    </row>
    <row r="87" spans="1:31" ht="15.75" customHeight="1">
      <c r="A87" s="7" t="s">
        <v>465</v>
      </c>
      <c r="B87" s="78">
        <v>78.8</v>
      </c>
      <c r="C87" s="78">
        <v>0</v>
      </c>
      <c r="D87" s="42">
        <f t="shared" si="0"/>
        <v>78.8</v>
      </c>
      <c r="E87" s="78">
        <v>1.4430000000000001</v>
      </c>
      <c r="F87" s="78">
        <v>0</v>
      </c>
      <c r="G87" s="42">
        <f t="shared" si="1"/>
        <v>1.4430000000000001</v>
      </c>
      <c r="H87" s="41">
        <v>568010</v>
      </c>
      <c r="I87" s="41">
        <v>0</v>
      </c>
      <c r="J87" s="41">
        <f t="shared" si="2"/>
        <v>568010</v>
      </c>
      <c r="K87" s="41">
        <v>568172</v>
      </c>
      <c r="L87" s="79">
        <f t="shared" si="3"/>
        <v>0.99971487507304124</v>
      </c>
      <c r="M87" s="89">
        <v>1</v>
      </c>
      <c r="N87" s="89">
        <v>1</v>
      </c>
      <c r="O87" s="89">
        <v>1</v>
      </c>
      <c r="P87" s="89">
        <v>1</v>
      </c>
      <c r="Q87" s="89">
        <v>1</v>
      </c>
      <c r="R87" s="89">
        <v>1</v>
      </c>
      <c r="S87" s="89" t="s">
        <v>1354</v>
      </c>
      <c r="T87" s="89" t="s">
        <v>1353</v>
      </c>
      <c r="U87" s="89" t="s">
        <v>1353</v>
      </c>
      <c r="V87" s="89" t="s">
        <v>1353</v>
      </c>
      <c r="W87" s="7"/>
      <c r="X87" s="89" t="s">
        <v>1353</v>
      </c>
      <c r="Y87" s="89" t="s">
        <v>1353</v>
      </c>
      <c r="Z87" s="81"/>
      <c r="AA87" s="6">
        <f t="shared" si="4"/>
        <v>2</v>
      </c>
      <c r="AB87" s="80" t="str">
        <f>+IF(AND(D87&gt;'Indices y Outliers'!$I$145,D87&lt;&gt;""),1,"")</f>
        <v/>
      </c>
      <c r="AC87" s="80" t="str">
        <f>+IF(AND(G87&gt;'Indices y Outliers'!$I$153,G87&lt;&gt;""),1,"")</f>
        <v/>
      </c>
      <c r="AD87" s="7"/>
      <c r="AE87" s="7">
        <f t="shared" si="5"/>
        <v>0</v>
      </c>
    </row>
    <row r="88" spans="1:31" ht="15.75" customHeight="1">
      <c r="A88" s="7" t="s">
        <v>468</v>
      </c>
      <c r="B88" s="78">
        <v>0</v>
      </c>
      <c r="C88" s="78">
        <v>172.2</v>
      </c>
      <c r="D88" s="42">
        <f t="shared" si="0"/>
        <v>172.2</v>
      </c>
      <c r="E88" s="78">
        <v>0</v>
      </c>
      <c r="F88" s="78">
        <v>1.9</v>
      </c>
      <c r="G88" s="42">
        <f t="shared" si="1"/>
        <v>1.9</v>
      </c>
      <c r="H88" s="41">
        <v>154996</v>
      </c>
      <c r="I88" s="41">
        <v>1294</v>
      </c>
      <c r="J88" s="41">
        <f t="shared" si="2"/>
        <v>156290</v>
      </c>
      <c r="K88" s="41">
        <v>313960</v>
      </c>
      <c r="L88" s="79">
        <f t="shared" si="3"/>
        <v>0.4978022678048159</v>
      </c>
      <c r="M88" s="89">
        <v>1</v>
      </c>
      <c r="N88" s="89">
        <v>1</v>
      </c>
      <c r="O88" s="89">
        <v>1</v>
      </c>
      <c r="P88" s="89">
        <v>1</v>
      </c>
      <c r="Q88" s="89">
        <v>1</v>
      </c>
      <c r="R88" s="89">
        <v>1</v>
      </c>
      <c r="S88" s="89" t="s">
        <v>1353</v>
      </c>
      <c r="T88" s="89" t="s">
        <v>1353</v>
      </c>
      <c r="U88" s="7"/>
      <c r="V88" s="89" t="s">
        <v>1353</v>
      </c>
      <c r="W88" s="7"/>
      <c r="X88" s="89" t="s">
        <v>1353</v>
      </c>
      <c r="Y88" s="7"/>
      <c r="Z88" s="81"/>
      <c r="AA88" s="6">
        <f t="shared" si="4"/>
        <v>2</v>
      </c>
      <c r="AB88" s="80" t="str">
        <f>+IF(AND(D88&gt;'Indices y Outliers'!$I$145,D88&lt;&gt;""),1,"")</f>
        <v/>
      </c>
      <c r="AC88" s="80" t="str">
        <f>+IF(AND(G88&gt;'Indices y Outliers'!$I$153,G88&lt;&gt;""),1,"")</f>
        <v/>
      </c>
      <c r="AD88" s="7"/>
      <c r="AE88" s="7">
        <f t="shared" si="5"/>
        <v>0</v>
      </c>
    </row>
    <row r="89" spans="1:31" ht="15.75" customHeight="1">
      <c r="A89" s="7" t="s">
        <v>471</v>
      </c>
      <c r="B89" s="78">
        <v>48.07</v>
      </c>
      <c r="C89" s="78">
        <v>0</v>
      </c>
      <c r="D89" s="42">
        <f t="shared" si="0"/>
        <v>48.07</v>
      </c>
      <c r="E89" s="78">
        <v>1.1100000000000001</v>
      </c>
      <c r="F89" s="78">
        <v>0</v>
      </c>
      <c r="G89" s="42">
        <f t="shared" si="1"/>
        <v>1.1100000000000001</v>
      </c>
      <c r="H89" s="41">
        <v>263</v>
      </c>
      <c r="I89" s="41">
        <v>5860724</v>
      </c>
      <c r="J89" s="41">
        <f t="shared" si="2"/>
        <v>5860987</v>
      </c>
      <c r="K89" s="41">
        <v>5897893</v>
      </c>
      <c r="L89" s="79">
        <f t="shared" si="3"/>
        <v>0.99374251109675948</v>
      </c>
      <c r="M89" s="89">
        <v>1</v>
      </c>
      <c r="N89" s="89">
        <v>1</v>
      </c>
      <c r="O89" s="89">
        <v>1</v>
      </c>
      <c r="P89" s="7"/>
      <c r="Q89" s="89">
        <v>1</v>
      </c>
      <c r="R89" s="89">
        <v>1</v>
      </c>
      <c r="S89" s="89" t="s">
        <v>1353</v>
      </c>
      <c r="T89" s="89" t="s">
        <v>1353</v>
      </c>
      <c r="U89" s="89" t="s">
        <v>1353</v>
      </c>
      <c r="V89" s="89" t="s">
        <v>1353</v>
      </c>
      <c r="W89" s="7"/>
      <c r="X89" s="89" t="s">
        <v>1353</v>
      </c>
      <c r="Y89" s="7"/>
      <c r="Z89" s="81"/>
      <c r="AA89" s="6">
        <f t="shared" si="4"/>
        <v>2</v>
      </c>
      <c r="AB89" s="80" t="str">
        <f>+IF(AND(D89&gt;'Indices y Outliers'!$I$145,D89&lt;&gt;""),1,"")</f>
        <v/>
      </c>
      <c r="AC89" s="80" t="str">
        <f>+IF(AND(G89&gt;'Indices y Outliers'!$I$153,G89&lt;&gt;""),1,"")</f>
        <v/>
      </c>
      <c r="AD89" s="7"/>
      <c r="AE89" s="7">
        <f t="shared" si="5"/>
        <v>0</v>
      </c>
    </row>
    <row r="90" spans="1:31" ht="15.75" customHeight="1">
      <c r="A90" s="7" t="s">
        <v>474</v>
      </c>
      <c r="B90" s="78">
        <v>83.43</v>
      </c>
      <c r="C90" s="78">
        <v>0</v>
      </c>
      <c r="D90" s="42">
        <f t="shared" si="0"/>
        <v>83.43</v>
      </c>
      <c r="E90" s="78">
        <v>1.163</v>
      </c>
      <c r="F90" s="78">
        <v>0</v>
      </c>
      <c r="G90" s="42">
        <f t="shared" si="1"/>
        <v>1.163</v>
      </c>
      <c r="H90" s="41">
        <v>29970</v>
      </c>
      <c r="I90" s="41">
        <v>1324482</v>
      </c>
      <c r="J90" s="41">
        <f t="shared" si="2"/>
        <v>1354452</v>
      </c>
      <c r="K90" s="41">
        <v>1360521</v>
      </c>
      <c r="L90" s="79">
        <f t="shared" si="3"/>
        <v>0.99553920887659952</v>
      </c>
      <c r="M90" s="89">
        <v>1</v>
      </c>
      <c r="N90" s="89">
        <v>1</v>
      </c>
      <c r="O90" s="89">
        <v>1</v>
      </c>
      <c r="P90" s="89">
        <v>1</v>
      </c>
      <c r="Q90" s="89">
        <v>1</v>
      </c>
      <c r="R90" s="89">
        <v>1</v>
      </c>
      <c r="S90" s="7"/>
      <c r="T90" s="89" t="s">
        <v>1353</v>
      </c>
      <c r="U90" s="7"/>
      <c r="V90" s="89" t="s">
        <v>1353</v>
      </c>
      <c r="W90" s="7"/>
      <c r="X90" s="7"/>
      <c r="Y90" s="7"/>
      <c r="Z90" s="81"/>
      <c r="AA90" s="6">
        <f t="shared" si="4"/>
        <v>2</v>
      </c>
      <c r="AB90" s="80" t="str">
        <f>+IF(AND(D90&gt;'Indices y Outliers'!$I$145,D90&lt;&gt;""),1,"")</f>
        <v/>
      </c>
      <c r="AC90" s="80" t="str">
        <f>+IF(AND(G90&gt;'Indices y Outliers'!$I$153,G90&lt;&gt;""),1,"")</f>
        <v/>
      </c>
      <c r="AD90" s="7"/>
      <c r="AE90" s="7">
        <f t="shared" si="5"/>
        <v>0</v>
      </c>
    </row>
    <row r="91" spans="1:31" ht="15.75" customHeight="1">
      <c r="A91" s="7" t="s">
        <v>477</v>
      </c>
      <c r="B91" s="78">
        <v>95.69</v>
      </c>
      <c r="C91" s="78">
        <v>0</v>
      </c>
      <c r="D91" s="42">
        <f t="shared" si="0"/>
        <v>95.69</v>
      </c>
      <c r="E91" s="78">
        <v>2.6259999999999999</v>
      </c>
      <c r="F91" s="78">
        <v>0</v>
      </c>
      <c r="G91" s="42">
        <f t="shared" si="1"/>
        <v>2.6259999999999999</v>
      </c>
      <c r="H91" s="41">
        <v>0</v>
      </c>
      <c r="I91" s="41">
        <v>5391</v>
      </c>
      <c r="J91" s="41">
        <f t="shared" si="2"/>
        <v>5391</v>
      </c>
      <c r="K91" s="41">
        <v>5532</v>
      </c>
      <c r="L91" s="79">
        <f t="shared" si="3"/>
        <v>0.97451193058568331</v>
      </c>
      <c r="M91" s="89">
        <v>1</v>
      </c>
      <c r="N91" s="7"/>
      <c r="O91" s="89">
        <v>1</v>
      </c>
      <c r="P91" s="89">
        <v>1</v>
      </c>
      <c r="Q91" s="89">
        <v>1</v>
      </c>
      <c r="R91" s="89">
        <v>1</v>
      </c>
      <c r="S91" s="89" t="s">
        <v>1353</v>
      </c>
      <c r="T91" s="89" t="s">
        <v>1353</v>
      </c>
      <c r="U91" s="89" t="s">
        <v>1353</v>
      </c>
      <c r="V91" s="89" t="s">
        <v>1353</v>
      </c>
      <c r="W91" s="7"/>
      <c r="X91" s="89" t="s">
        <v>1353</v>
      </c>
      <c r="Y91" s="7"/>
      <c r="Z91" s="81"/>
      <c r="AA91" s="6">
        <f t="shared" si="4"/>
        <v>2</v>
      </c>
      <c r="AB91" s="80" t="str">
        <f>+IF(AND(D91&gt;'Indices y Outliers'!$I$145,D91&lt;&gt;""),1,"")</f>
        <v/>
      </c>
      <c r="AC91" s="80" t="str">
        <f>+IF(AND(G91&gt;'Indices y Outliers'!$I$153,G91&lt;&gt;""),1,"")</f>
        <v/>
      </c>
      <c r="AD91" s="7"/>
      <c r="AE91" s="7">
        <f t="shared" si="5"/>
        <v>0</v>
      </c>
    </row>
    <row r="92" spans="1:31" ht="15.75" customHeight="1">
      <c r="A92" s="7" t="s">
        <v>480</v>
      </c>
      <c r="B92" s="78">
        <v>117</v>
      </c>
      <c r="C92" s="78">
        <v>0</v>
      </c>
      <c r="D92" s="42">
        <f t="shared" si="0"/>
        <v>117</v>
      </c>
      <c r="E92" s="78">
        <v>1.1100000000000001</v>
      </c>
      <c r="F92" s="78">
        <v>0</v>
      </c>
      <c r="G92" s="42">
        <f t="shared" si="1"/>
        <v>1.1100000000000001</v>
      </c>
      <c r="H92" s="41">
        <v>0</v>
      </c>
      <c r="I92" s="41">
        <v>922478</v>
      </c>
      <c r="J92" s="41">
        <f t="shared" si="2"/>
        <v>922478</v>
      </c>
      <c r="K92" s="41">
        <v>922478</v>
      </c>
      <c r="L92" s="79">
        <f t="shared" si="3"/>
        <v>1</v>
      </c>
      <c r="M92" s="89">
        <v>1</v>
      </c>
      <c r="N92" s="89">
        <v>1</v>
      </c>
      <c r="O92" s="89">
        <v>1</v>
      </c>
      <c r="P92" s="89">
        <v>1</v>
      </c>
      <c r="Q92" s="7"/>
      <c r="R92" s="89">
        <v>1</v>
      </c>
      <c r="S92" s="89" t="s">
        <v>1353</v>
      </c>
      <c r="T92" s="89" t="s">
        <v>1353</v>
      </c>
      <c r="U92" s="89" t="s">
        <v>1353</v>
      </c>
      <c r="V92" s="89" t="s">
        <v>1353</v>
      </c>
      <c r="W92" s="7"/>
      <c r="X92" s="89" t="s">
        <v>1353</v>
      </c>
      <c r="Y92" s="89" t="s">
        <v>1353</v>
      </c>
      <c r="Z92" s="81"/>
      <c r="AA92" s="6">
        <f t="shared" si="4"/>
        <v>2</v>
      </c>
      <c r="AB92" s="80" t="str">
        <f>+IF(AND(D92&gt;'Indices y Outliers'!$I$145,D92&lt;&gt;""),1,"")</f>
        <v/>
      </c>
      <c r="AC92" s="80" t="str">
        <f>+IF(AND(G92&gt;'Indices y Outliers'!$I$153,G92&lt;&gt;""),1,"")</f>
        <v/>
      </c>
      <c r="AD92" s="7"/>
      <c r="AE92" s="7">
        <f t="shared" si="5"/>
        <v>0</v>
      </c>
    </row>
    <row r="93" spans="1:31" ht="15.75" customHeight="1">
      <c r="A93" s="7" t="s">
        <v>483</v>
      </c>
      <c r="B93" s="78">
        <v>81</v>
      </c>
      <c r="C93" s="78">
        <v>0</v>
      </c>
      <c r="D93" s="42">
        <f t="shared" si="0"/>
        <v>81</v>
      </c>
      <c r="E93" s="78">
        <v>0.95</v>
      </c>
      <c r="F93" s="78">
        <v>0</v>
      </c>
      <c r="G93" s="42">
        <f t="shared" si="1"/>
        <v>0.95</v>
      </c>
      <c r="H93" s="41">
        <v>722813</v>
      </c>
      <c r="I93" s="41">
        <v>0</v>
      </c>
      <c r="J93" s="41">
        <f t="shared" si="2"/>
        <v>722813</v>
      </c>
      <c r="K93" s="41">
        <v>723384</v>
      </c>
      <c r="L93" s="79">
        <f t="shared" si="3"/>
        <v>0.99921065436891054</v>
      </c>
      <c r="M93" s="89">
        <v>1</v>
      </c>
      <c r="N93" s="89">
        <v>1</v>
      </c>
      <c r="O93" s="89">
        <v>1</v>
      </c>
      <c r="P93" s="89">
        <v>1</v>
      </c>
      <c r="Q93" s="89">
        <v>1</v>
      </c>
      <c r="R93" s="89">
        <v>1</v>
      </c>
      <c r="S93" s="89" t="s">
        <v>1353</v>
      </c>
      <c r="T93" s="89" t="s">
        <v>1353</v>
      </c>
      <c r="U93" s="89" t="s">
        <v>1353</v>
      </c>
      <c r="V93" s="89" t="s">
        <v>1353</v>
      </c>
      <c r="W93" s="89" t="s">
        <v>1354</v>
      </c>
      <c r="X93" s="89" t="s">
        <v>1353</v>
      </c>
      <c r="Y93" s="89" t="s">
        <v>1354</v>
      </c>
      <c r="Z93" s="81"/>
      <c r="AA93" s="6">
        <f t="shared" si="4"/>
        <v>2</v>
      </c>
      <c r="AB93" s="80" t="str">
        <f>+IF(AND(D93&gt;'Indices y Outliers'!$I$145,D93&lt;&gt;""),1,"")</f>
        <v/>
      </c>
      <c r="AC93" s="80" t="str">
        <f>+IF(AND(G93&gt;'Indices y Outliers'!$I$153,G93&lt;&gt;""),1,"")</f>
        <v/>
      </c>
      <c r="AD93" s="7"/>
      <c r="AE93" s="7">
        <f t="shared" si="5"/>
        <v>0</v>
      </c>
    </row>
    <row r="94" spans="1:31" ht="15.75" customHeight="1">
      <c r="A94" s="7" t="s">
        <v>486</v>
      </c>
      <c r="B94" s="78">
        <v>0</v>
      </c>
      <c r="C94" s="78">
        <v>0</v>
      </c>
      <c r="D94" s="42" t="str">
        <f t="shared" si="0"/>
        <v/>
      </c>
      <c r="E94" s="78">
        <v>0</v>
      </c>
      <c r="F94" s="78">
        <v>0</v>
      </c>
      <c r="G94" s="42" t="str">
        <f t="shared" si="1"/>
        <v/>
      </c>
      <c r="H94" s="41">
        <v>6281</v>
      </c>
      <c r="I94" s="41">
        <v>0</v>
      </c>
      <c r="J94" s="41">
        <f t="shared" si="2"/>
        <v>6281</v>
      </c>
      <c r="K94" s="41">
        <v>6281</v>
      </c>
      <c r="L94" s="79">
        <f t="shared" si="3"/>
        <v>1</v>
      </c>
      <c r="M94" s="89">
        <v>1</v>
      </c>
      <c r="N94" s="7"/>
      <c r="O94" s="89">
        <v>1</v>
      </c>
      <c r="P94" s="7"/>
      <c r="Q94" s="7"/>
      <c r="R94" s="7"/>
      <c r="S94" s="89" t="s">
        <v>1353</v>
      </c>
      <c r="T94" s="89" t="s">
        <v>1354</v>
      </c>
      <c r="U94" s="7"/>
      <c r="V94" s="89" t="s">
        <v>1353</v>
      </c>
      <c r="W94" s="89" t="s">
        <v>1353</v>
      </c>
      <c r="X94" s="7"/>
      <c r="Y94" s="7"/>
      <c r="Z94" s="81"/>
      <c r="AA94" s="6">
        <f t="shared" si="4"/>
        <v>0</v>
      </c>
      <c r="AB94" s="80" t="str">
        <f>+IF(AND(D94&gt;'Indices y Outliers'!$I$145,D94&lt;&gt;""),1,"")</f>
        <v/>
      </c>
      <c r="AC94" s="80" t="str">
        <f>+IF(AND(G94&gt;'Indices y Outliers'!$I$153,G94&lt;&gt;""),1,"")</f>
        <v/>
      </c>
      <c r="AD94" s="7"/>
      <c r="AE94" s="7">
        <f t="shared" si="5"/>
        <v>0</v>
      </c>
    </row>
    <row r="95" spans="1:31" ht="15.75" customHeight="1">
      <c r="A95" s="7" t="s">
        <v>490</v>
      </c>
      <c r="B95" s="78">
        <v>84.92</v>
      </c>
      <c r="C95" s="78">
        <v>0</v>
      </c>
      <c r="D95" s="42">
        <f t="shared" si="0"/>
        <v>84.92</v>
      </c>
      <c r="E95" s="78">
        <v>0.97599999999999998</v>
      </c>
      <c r="F95" s="78">
        <v>0</v>
      </c>
      <c r="G95" s="42">
        <f t="shared" si="1"/>
        <v>0.97599999999999998</v>
      </c>
      <c r="H95" s="41">
        <v>0</v>
      </c>
      <c r="I95" s="41">
        <v>282594</v>
      </c>
      <c r="J95" s="41">
        <f t="shared" si="2"/>
        <v>282594</v>
      </c>
      <c r="K95" s="41">
        <v>282601</v>
      </c>
      <c r="L95" s="79">
        <f t="shared" si="3"/>
        <v>0.99997523009472722</v>
      </c>
      <c r="M95" s="89">
        <v>1</v>
      </c>
      <c r="N95" s="89">
        <v>1</v>
      </c>
      <c r="O95" s="89">
        <v>1</v>
      </c>
      <c r="P95" s="89">
        <v>1</v>
      </c>
      <c r="Q95" s="89">
        <v>1</v>
      </c>
      <c r="R95" s="89">
        <v>1</v>
      </c>
      <c r="S95" s="89" t="s">
        <v>1353</v>
      </c>
      <c r="T95" s="89" t="s">
        <v>1353</v>
      </c>
      <c r="U95" s="89" t="s">
        <v>1353</v>
      </c>
      <c r="V95" s="89" t="s">
        <v>1353</v>
      </c>
      <c r="W95" s="7"/>
      <c r="X95" s="89" t="s">
        <v>1353</v>
      </c>
      <c r="Y95" s="7"/>
      <c r="Z95" s="81"/>
      <c r="AA95" s="6">
        <f t="shared" si="4"/>
        <v>2</v>
      </c>
      <c r="AB95" s="80" t="str">
        <f>+IF(AND(D95&gt;'Indices y Outliers'!$I$145,D95&lt;&gt;""),1,"")</f>
        <v/>
      </c>
      <c r="AC95" s="80" t="str">
        <f>+IF(AND(G95&gt;'Indices y Outliers'!$I$153,G95&lt;&gt;""),1,"")</f>
        <v/>
      </c>
      <c r="AD95" s="7"/>
      <c r="AE95" s="7">
        <f t="shared" si="5"/>
        <v>0</v>
      </c>
    </row>
    <row r="96" spans="1:31" ht="15.75" customHeight="1">
      <c r="A96" s="7" t="s">
        <v>493</v>
      </c>
      <c r="B96" s="78">
        <v>124.37</v>
      </c>
      <c r="C96" s="78">
        <v>0</v>
      </c>
      <c r="D96" s="42">
        <f t="shared" si="0"/>
        <v>124.37</v>
      </c>
      <c r="E96" s="78">
        <v>1.385</v>
      </c>
      <c r="F96" s="78">
        <v>0</v>
      </c>
      <c r="G96" s="42">
        <f t="shared" si="1"/>
        <v>1.385</v>
      </c>
      <c r="H96" s="41">
        <v>0</v>
      </c>
      <c r="I96" s="41">
        <v>340139</v>
      </c>
      <c r="J96" s="41">
        <f t="shared" si="2"/>
        <v>340139</v>
      </c>
      <c r="K96" s="41">
        <v>340419</v>
      </c>
      <c r="L96" s="79">
        <f t="shared" si="3"/>
        <v>0.99917748421797847</v>
      </c>
      <c r="M96" s="89">
        <v>1</v>
      </c>
      <c r="N96" s="89">
        <v>1</v>
      </c>
      <c r="O96" s="89">
        <v>1</v>
      </c>
      <c r="P96" s="89">
        <v>1</v>
      </c>
      <c r="Q96" s="89">
        <v>1</v>
      </c>
      <c r="R96" s="89">
        <v>1</v>
      </c>
      <c r="S96" s="89" t="s">
        <v>1353</v>
      </c>
      <c r="T96" s="89" t="s">
        <v>1353</v>
      </c>
      <c r="U96" s="89" t="s">
        <v>1353</v>
      </c>
      <c r="V96" s="89" t="s">
        <v>1353</v>
      </c>
      <c r="W96" s="7"/>
      <c r="X96" s="89" t="s">
        <v>1353</v>
      </c>
      <c r="Y96" s="7"/>
      <c r="Z96" s="81"/>
      <c r="AA96" s="6">
        <f t="shared" si="4"/>
        <v>2</v>
      </c>
      <c r="AB96" s="80" t="str">
        <f>+IF(AND(D96&gt;'Indices y Outliers'!$I$145,D96&lt;&gt;""),1,"")</f>
        <v/>
      </c>
      <c r="AC96" s="80" t="str">
        <f>+IF(AND(G96&gt;'Indices y Outliers'!$I$153,G96&lt;&gt;""),1,"")</f>
        <v/>
      </c>
      <c r="AD96" s="7"/>
      <c r="AE96" s="7">
        <f t="shared" si="5"/>
        <v>0</v>
      </c>
    </row>
    <row r="97" spans="1:31" ht="15.75" customHeight="1">
      <c r="A97" s="7" t="s">
        <v>496</v>
      </c>
      <c r="B97" s="78">
        <v>0</v>
      </c>
      <c r="C97" s="78">
        <v>0</v>
      </c>
      <c r="D97" s="42" t="str">
        <f t="shared" si="0"/>
        <v/>
      </c>
      <c r="E97" s="78">
        <v>0</v>
      </c>
      <c r="F97" s="78">
        <v>0</v>
      </c>
      <c r="G97" s="42" t="str">
        <f t="shared" si="1"/>
        <v/>
      </c>
      <c r="H97" s="41">
        <v>0</v>
      </c>
      <c r="I97" s="41">
        <v>0</v>
      </c>
      <c r="J97" s="41">
        <f t="shared" si="2"/>
        <v>0</v>
      </c>
      <c r="K97" s="41">
        <v>0</v>
      </c>
      <c r="L97" s="79" t="str">
        <f t="shared" si="3"/>
        <v/>
      </c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81"/>
      <c r="AA97" s="6">
        <f t="shared" si="4"/>
        <v>0</v>
      </c>
      <c r="AB97" s="80" t="str">
        <f>+IF(AND(D97&gt;'Indices y Outliers'!$I$145,D97&lt;&gt;""),1,"")</f>
        <v/>
      </c>
      <c r="AC97" s="80" t="str">
        <f>+IF(AND(G97&gt;'Indices y Outliers'!$I$153,G97&lt;&gt;""),1,"")</f>
        <v/>
      </c>
      <c r="AD97" s="7"/>
      <c r="AE97" s="7">
        <f t="shared" si="5"/>
        <v>0</v>
      </c>
    </row>
    <row r="98" spans="1:31" ht="15.75" customHeight="1">
      <c r="A98" s="7" t="s">
        <v>499</v>
      </c>
      <c r="B98" s="78">
        <v>0</v>
      </c>
      <c r="C98" s="78">
        <v>0</v>
      </c>
      <c r="D98" s="42" t="str">
        <f t="shared" si="0"/>
        <v/>
      </c>
      <c r="E98" s="78">
        <v>0.8</v>
      </c>
      <c r="F98" s="78">
        <v>0</v>
      </c>
      <c r="G98" s="42">
        <f t="shared" si="1"/>
        <v>0.8</v>
      </c>
      <c r="H98" s="41">
        <v>112020</v>
      </c>
      <c r="I98" s="41">
        <v>371299</v>
      </c>
      <c r="J98" s="41">
        <f t="shared" si="2"/>
        <v>483319</v>
      </c>
      <c r="K98" s="41">
        <v>483835</v>
      </c>
      <c r="L98" s="79">
        <f t="shared" si="3"/>
        <v>0.9989335207250406</v>
      </c>
      <c r="M98" s="89">
        <v>1</v>
      </c>
      <c r="N98" s="89">
        <v>1</v>
      </c>
      <c r="O98" s="89">
        <v>1</v>
      </c>
      <c r="P98" s="89">
        <v>1</v>
      </c>
      <c r="Q98" s="89">
        <v>1</v>
      </c>
      <c r="R98" s="89">
        <v>1</v>
      </c>
      <c r="S98" s="89" t="s">
        <v>1353</v>
      </c>
      <c r="T98" s="89" t="s">
        <v>1353</v>
      </c>
      <c r="U98" s="89" t="s">
        <v>1353</v>
      </c>
      <c r="V98" s="89" t="s">
        <v>1353</v>
      </c>
      <c r="W98" s="7"/>
      <c r="X98" s="89" t="s">
        <v>1353</v>
      </c>
      <c r="Y98" s="7"/>
      <c r="Z98" s="81"/>
      <c r="AA98" s="6">
        <f t="shared" si="4"/>
        <v>0</v>
      </c>
      <c r="AB98" s="80" t="str">
        <f>+IF(AND(D98&gt;'Indices y Outliers'!$I$145,D98&lt;&gt;""),1,"")</f>
        <v/>
      </c>
      <c r="AC98" s="80" t="str">
        <f>+IF(AND(G98&gt;'Indices y Outliers'!$I$153,G98&lt;&gt;""),1,"")</f>
        <v/>
      </c>
      <c r="AD98" s="7"/>
      <c r="AE98" s="7">
        <f t="shared" si="5"/>
        <v>0</v>
      </c>
    </row>
    <row r="99" spans="1:31" ht="15.75" customHeight="1">
      <c r="A99" s="7" t="s">
        <v>502</v>
      </c>
      <c r="B99" s="78">
        <v>77.2</v>
      </c>
      <c r="C99" s="78">
        <v>0</v>
      </c>
      <c r="D99" s="42">
        <f t="shared" si="0"/>
        <v>77.2</v>
      </c>
      <c r="E99" s="78">
        <v>1.32</v>
      </c>
      <c r="F99" s="78">
        <v>0</v>
      </c>
      <c r="G99" s="42">
        <f t="shared" si="1"/>
        <v>1.32</v>
      </c>
      <c r="H99" s="41">
        <v>52192</v>
      </c>
      <c r="I99" s="41">
        <v>56284</v>
      </c>
      <c r="J99" s="41">
        <f t="shared" si="2"/>
        <v>108476</v>
      </c>
      <c r="K99" s="41">
        <v>108551</v>
      </c>
      <c r="L99" s="79">
        <f t="shared" si="3"/>
        <v>0.99930908052436185</v>
      </c>
      <c r="M99" s="89">
        <v>1</v>
      </c>
      <c r="N99" s="89">
        <v>1</v>
      </c>
      <c r="O99" s="89">
        <v>1</v>
      </c>
      <c r="P99" s="89">
        <v>1</v>
      </c>
      <c r="Q99" s="89">
        <v>1</v>
      </c>
      <c r="R99" s="89">
        <v>1</v>
      </c>
      <c r="S99" s="89" t="s">
        <v>1353</v>
      </c>
      <c r="T99" s="89" t="s">
        <v>1353</v>
      </c>
      <c r="U99" s="89" t="s">
        <v>1353</v>
      </c>
      <c r="V99" s="89" t="s">
        <v>1353</v>
      </c>
      <c r="W99" s="7"/>
      <c r="X99" s="89" t="s">
        <v>1353</v>
      </c>
      <c r="Y99" s="7"/>
      <c r="Z99" s="81"/>
      <c r="AA99" s="6">
        <f t="shared" si="4"/>
        <v>2</v>
      </c>
      <c r="AB99" s="80" t="str">
        <f>+IF(AND(D99&gt;'Indices y Outliers'!$I$145,D99&lt;&gt;""),1,"")</f>
        <v/>
      </c>
      <c r="AC99" s="80" t="str">
        <f>+IF(AND(G99&gt;'Indices y Outliers'!$I$153,G99&lt;&gt;""),1,"")</f>
        <v/>
      </c>
      <c r="AD99" s="7"/>
      <c r="AE99" s="7">
        <f t="shared" si="5"/>
        <v>0</v>
      </c>
    </row>
    <row r="100" spans="1:31" ht="15.75" customHeight="1">
      <c r="A100" s="7" t="s">
        <v>505</v>
      </c>
      <c r="B100" s="78">
        <v>0</v>
      </c>
      <c r="C100" s="78">
        <v>0</v>
      </c>
      <c r="D100" s="42" t="str">
        <f t="shared" si="0"/>
        <v/>
      </c>
      <c r="E100" s="78">
        <v>0</v>
      </c>
      <c r="F100" s="78">
        <v>0</v>
      </c>
      <c r="G100" s="42" t="str">
        <f t="shared" si="1"/>
        <v/>
      </c>
      <c r="H100" s="41">
        <v>0</v>
      </c>
      <c r="I100" s="41">
        <v>0</v>
      </c>
      <c r="J100" s="41">
        <f t="shared" si="2"/>
        <v>0</v>
      </c>
      <c r="K100" s="41">
        <v>0</v>
      </c>
      <c r="L100" s="79" t="str">
        <f t="shared" si="3"/>
        <v/>
      </c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81"/>
      <c r="AA100" s="6">
        <f t="shared" si="4"/>
        <v>0</v>
      </c>
      <c r="AB100" s="80" t="str">
        <f>+IF(AND(D100&gt;'Indices y Outliers'!$I$145,D100&lt;&gt;""),1,"")</f>
        <v/>
      </c>
      <c r="AC100" s="80" t="str">
        <f>+IF(AND(G100&gt;'Indices y Outliers'!$I$153,G100&lt;&gt;""),1,"")</f>
        <v/>
      </c>
      <c r="AD100" s="7"/>
      <c r="AE100" s="7">
        <f t="shared" si="5"/>
        <v>0</v>
      </c>
    </row>
    <row r="101" spans="1:31" ht="15.75" customHeight="1">
      <c r="A101" s="7" t="s">
        <v>508</v>
      </c>
      <c r="B101" s="78">
        <v>33.94</v>
      </c>
      <c r="C101" s="78">
        <v>0</v>
      </c>
      <c r="D101" s="42">
        <f t="shared" si="0"/>
        <v>33.94</v>
      </c>
      <c r="E101" s="78">
        <v>0.55000000000000004</v>
      </c>
      <c r="F101" s="78">
        <v>0</v>
      </c>
      <c r="G101" s="42">
        <f t="shared" si="1"/>
        <v>0.55000000000000004</v>
      </c>
      <c r="H101" s="41">
        <v>0</v>
      </c>
      <c r="I101" s="41">
        <v>517817</v>
      </c>
      <c r="J101" s="41">
        <f t="shared" si="2"/>
        <v>517817</v>
      </c>
      <c r="K101" s="41">
        <v>2338135</v>
      </c>
      <c r="L101" s="79">
        <f t="shared" si="3"/>
        <v>0.22146582639582402</v>
      </c>
      <c r="M101" s="89">
        <v>1</v>
      </c>
      <c r="N101" s="7"/>
      <c r="O101" s="89">
        <v>1</v>
      </c>
      <c r="P101" s="7"/>
      <c r="Q101" s="89">
        <v>1</v>
      </c>
      <c r="R101" s="89">
        <v>1</v>
      </c>
      <c r="S101" s="89" t="s">
        <v>1353</v>
      </c>
      <c r="T101" s="89" t="s">
        <v>1353</v>
      </c>
      <c r="U101" s="7"/>
      <c r="V101" s="89" t="s">
        <v>1353</v>
      </c>
      <c r="W101" s="7"/>
      <c r="X101" s="7"/>
      <c r="Y101" s="7"/>
      <c r="Z101" s="81"/>
      <c r="AA101" s="6">
        <f t="shared" si="4"/>
        <v>2</v>
      </c>
      <c r="AB101" s="80" t="str">
        <f>+IF(AND(D101&gt;'Indices y Outliers'!$I$145,D101&lt;&gt;""),1,"")</f>
        <v/>
      </c>
      <c r="AC101" s="80" t="str">
        <f>+IF(AND(G101&gt;'Indices y Outliers'!$I$153,G101&lt;&gt;""),1,"")</f>
        <v/>
      </c>
      <c r="AD101" s="7"/>
      <c r="AE101" s="7">
        <f t="shared" si="5"/>
        <v>0</v>
      </c>
    </row>
    <row r="102" spans="1:31" ht="15.75" customHeight="1">
      <c r="A102" s="7" t="s">
        <v>511</v>
      </c>
      <c r="B102" s="78">
        <v>101.33</v>
      </c>
      <c r="C102" s="78">
        <v>0</v>
      </c>
      <c r="D102" s="42">
        <f t="shared" si="0"/>
        <v>101.33</v>
      </c>
      <c r="E102" s="78">
        <v>0.85899999999999999</v>
      </c>
      <c r="F102" s="78">
        <v>0</v>
      </c>
      <c r="G102" s="42">
        <f t="shared" si="1"/>
        <v>0.85899999999999999</v>
      </c>
      <c r="H102" s="41">
        <v>35363</v>
      </c>
      <c r="I102" s="41">
        <v>0</v>
      </c>
      <c r="J102" s="41">
        <f t="shared" si="2"/>
        <v>35363</v>
      </c>
      <c r="K102" s="41">
        <v>566088</v>
      </c>
      <c r="L102" s="79">
        <f t="shared" si="3"/>
        <v>6.2469086078489562E-2</v>
      </c>
      <c r="M102" s="89">
        <v>1</v>
      </c>
      <c r="N102" s="89">
        <v>1</v>
      </c>
      <c r="O102" s="89">
        <v>1</v>
      </c>
      <c r="P102" s="89">
        <v>1</v>
      </c>
      <c r="Q102" s="89">
        <v>1</v>
      </c>
      <c r="R102" s="89">
        <v>1</v>
      </c>
      <c r="S102" s="89" t="s">
        <v>1353</v>
      </c>
      <c r="T102" s="89" t="s">
        <v>1353</v>
      </c>
      <c r="U102" s="89" t="s">
        <v>1353</v>
      </c>
      <c r="V102" s="89" t="s">
        <v>1353</v>
      </c>
      <c r="W102" s="7"/>
      <c r="X102" s="89" t="s">
        <v>1353</v>
      </c>
      <c r="Y102" s="7"/>
      <c r="Z102" s="81"/>
      <c r="AA102" s="6">
        <f t="shared" si="4"/>
        <v>2</v>
      </c>
      <c r="AB102" s="80" t="str">
        <f>+IF(AND(D102&gt;'Indices y Outliers'!$I$145,D102&lt;&gt;""),1,"")</f>
        <v/>
      </c>
      <c r="AC102" s="80" t="str">
        <f>+IF(AND(G102&gt;'Indices y Outliers'!$I$153,G102&lt;&gt;""),1,"")</f>
        <v/>
      </c>
      <c r="AD102" s="7"/>
      <c r="AE102" s="7">
        <f t="shared" si="5"/>
        <v>0</v>
      </c>
    </row>
    <row r="103" spans="1:31" ht="15.75" customHeight="1">
      <c r="A103" s="7" t="s">
        <v>514</v>
      </c>
      <c r="B103" s="78">
        <v>71.44</v>
      </c>
      <c r="C103" s="78">
        <v>0</v>
      </c>
      <c r="D103" s="42">
        <f t="shared" si="0"/>
        <v>71.44</v>
      </c>
      <c r="E103" s="78">
        <v>1.0960000000000001</v>
      </c>
      <c r="F103" s="78">
        <v>0</v>
      </c>
      <c r="G103" s="42">
        <f t="shared" si="1"/>
        <v>1.0960000000000001</v>
      </c>
      <c r="H103" s="41">
        <v>0</v>
      </c>
      <c r="I103" s="41">
        <v>30859</v>
      </c>
      <c r="J103" s="41">
        <f t="shared" si="2"/>
        <v>30859</v>
      </c>
      <c r="K103" s="41">
        <v>30859</v>
      </c>
      <c r="L103" s="79">
        <f t="shared" si="3"/>
        <v>1</v>
      </c>
      <c r="M103" s="89">
        <v>1</v>
      </c>
      <c r="N103" s="89">
        <v>1</v>
      </c>
      <c r="O103" s="89">
        <v>1</v>
      </c>
      <c r="P103" s="89">
        <v>1</v>
      </c>
      <c r="Q103" s="89">
        <v>1</v>
      </c>
      <c r="R103" s="89">
        <v>1</v>
      </c>
      <c r="S103" s="89" t="s">
        <v>1354</v>
      </c>
      <c r="T103" s="89" t="s">
        <v>1353</v>
      </c>
      <c r="U103" s="89" t="s">
        <v>1353</v>
      </c>
      <c r="V103" s="89" t="s">
        <v>1353</v>
      </c>
      <c r="W103" s="7"/>
      <c r="X103" s="89" t="s">
        <v>1353</v>
      </c>
      <c r="Y103" s="7"/>
      <c r="Z103" s="81"/>
      <c r="AA103" s="6">
        <f t="shared" si="4"/>
        <v>2</v>
      </c>
      <c r="AB103" s="80" t="str">
        <f>+IF(AND(D103&gt;'Indices y Outliers'!$I$145,D103&lt;&gt;""),1,"")</f>
        <v/>
      </c>
      <c r="AC103" s="80" t="str">
        <f>+IF(AND(G103&gt;'Indices y Outliers'!$I$153,G103&lt;&gt;""),1,"")</f>
        <v/>
      </c>
      <c r="AD103" s="7"/>
      <c r="AE103" s="7">
        <f t="shared" si="5"/>
        <v>0</v>
      </c>
    </row>
    <row r="104" spans="1:31" ht="15.75" customHeight="1">
      <c r="A104" s="7" t="s">
        <v>517</v>
      </c>
      <c r="B104" s="78">
        <v>70.790000000000006</v>
      </c>
      <c r="C104" s="78">
        <v>0</v>
      </c>
      <c r="D104" s="42">
        <f t="shared" si="0"/>
        <v>70.790000000000006</v>
      </c>
      <c r="E104" s="78">
        <v>1.4</v>
      </c>
      <c r="F104" s="78">
        <v>0</v>
      </c>
      <c r="G104" s="42">
        <f t="shared" si="1"/>
        <v>1.4</v>
      </c>
      <c r="H104" s="41">
        <v>526</v>
      </c>
      <c r="I104" s="41">
        <v>79057</v>
      </c>
      <c r="J104" s="41">
        <f t="shared" si="2"/>
        <v>79583</v>
      </c>
      <c r="K104" s="41">
        <v>79583</v>
      </c>
      <c r="L104" s="79">
        <f t="shared" si="3"/>
        <v>1</v>
      </c>
      <c r="M104" s="89">
        <v>1</v>
      </c>
      <c r="N104" s="89">
        <v>1</v>
      </c>
      <c r="O104" s="89">
        <v>1</v>
      </c>
      <c r="P104" s="89">
        <v>1</v>
      </c>
      <c r="Q104" s="89">
        <v>1</v>
      </c>
      <c r="R104" s="89">
        <v>1</v>
      </c>
      <c r="S104" s="7"/>
      <c r="T104" s="89" t="s">
        <v>1354</v>
      </c>
      <c r="U104" s="89" t="s">
        <v>1353</v>
      </c>
      <c r="V104" s="89" t="s">
        <v>1353</v>
      </c>
      <c r="W104" s="7"/>
      <c r="X104" s="89" t="s">
        <v>1354</v>
      </c>
      <c r="Y104" s="7"/>
      <c r="Z104" s="81"/>
      <c r="AA104" s="6">
        <f t="shared" si="4"/>
        <v>2</v>
      </c>
      <c r="AB104" s="80" t="str">
        <f>+IF(AND(D104&gt;'Indices y Outliers'!$I$145,D104&lt;&gt;""),1,"")</f>
        <v/>
      </c>
      <c r="AC104" s="80" t="str">
        <f>+IF(AND(G104&gt;'Indices y Outliers'!$I$153,G104&lt;&gt;""),1,"")</f>
        <v/>
      </c>
      <c r="AD104" s="7"/>
      <c r="AE104" s="7">
        <f t="shared" si="5"/>
        <v>0</v>
      </c>
    </row>
    <row r="105" spans="1:31" ht="15.75" customHeight="1">
      <c r="A105" s="7" t="s">
        <v>520</v>
      </c>
      <c r="B105" s="78">
        <v>89.3</v>
      </c>
      <c r="C105" s="78">
        <v>0</v>
      </c>
      <c r="D105" s="42">
        <f t="shared" si="0"/>
        <v>89.3</v>
      </c>
      <c r="E105" s="78">
        <v>0.89500000000000002</v>
      </c>
      <c r="F105" s="78">
        <v>0</v>
      </c>
      <c r="G105" s="42">
        <f t="shared" si="1"/>
        <v>0.89500000000000002</v>
      </c>
      <c r="H105" s="41">
        <v>0</v>
      </c>
      <c r="I105" s="41">
        <v>1472811</v>
      </c>
      <c r="J105" s="41">
        <f t="shared" si="2"/>
        <v>1472811</v>
      </c>
      <c r="K105" s="41">
        <v>1472811</v>
      </c>
      <c r="L105" s="79">
        <f t="shared" si="3"/>
        <v>1</v>
      </c>
      <c r="M105" s="89">
        <v>1</v>
      </c>
      <c r="N105" s="7"/>
      <c r="O105" s="89">
        <v>1</v>
      </c>
      <c r="P105" s="89">
        <v>1</v>
      </c>
      <c r="Q105" s="89">
        <v>1</v>
      </c>
      <c r="R105" s="89">
        <v>1</v>
      </c>
      <c r="S105" s="7"/>
      <c r="T105" s="89" t="s">
        <v>1353</v>
      </c>
      <c r="U105" s="7"/>
      <c r="V105" s="89" t="s">
        <v>1353</v>
      </c>
      <c r="W105" s="7"/>
      <c r="X105" s="7"/>
      <c r="Y105" s="7"/>
      <c r="Z105" s="81"/>
      <c r="AA105" s="6">
        <f t="shared" si="4"/>
        <v>2</v>
      </c>
      <c r="AB105" s="80" t="str">
        <f>+IF(AND(D105&gt;'Indices y Outliers'!$I$145,D105&lt;&gt;""),1,"")</f>
        <v/>
      </c>
      <c r="AC105" s="80" t="str">
        <f>+IF(AND(G105&gt;'Indices y Outliers'!$I$153,G105&lt;&gt;""),1,"")</f>
        <v/>
      </c>
      <c r="AD105" s="7"/>
      <c r="AE105" s="7">
        <f t="shared" si="5"/>
        <v>0</v>
      </c>
    </row>
    <row r="106" spans="1:31" ht="15.75" customHeight="1">
      <c r="A106" s="7" t="s">
        <v>523</v>
      </c>
      <c r="B106" s="78">
        <v>0</v>
      </c>
      <c r="C106" s="78">
        <v>0</v>
      </c>
      <c r="D106" s="42" t="str">
        <f t="shared" si="0"/>
        <v/>
      </c>
      <c r="E106" s="78">
        <v>0</v>
      </c>
      <c r="F106" s="78">
        <v>0</v>
      </c>
      <c r="G106" s="42" t="str">
        <f t="shared" si="1"/>
        <v/>
      </c>
      <c r="H106" s="41">
        <v>0</v>
      </c>
      <c r="I106" s="41">
        <v>0</v>
      </c>
      <c r="J106" s="41">
        <f t="shared" si="2"/>
        <v>0</v>
      </c>
      <c r="K106" s="41">
        <v>0</v>
      </c>
      <c r="L106" s="79" t="str">
        <f t="shared" si="3"/>
        <v/>
      </c>
      <c r="M106" s="89">
        <v>1</v>
      </c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81"/>
      <c r="AA106" s="6">
        <f t="shared" si="4"/>
        <v>0</v>
      </c>
      <c r="AB106" s="80" t="str">
        <f>+IF(AND(D106&gt;'Indices y Outliers'!$I$145,D106&lt;&gt;""),1,"")</f>
        <v/>
      </c>
      <c r="AC106" s="80" t="str">
        <f>+IF(AND(G106&gt;'Indices y Outliers'!$I$153,G106&lt;&gt;""),1,"")</f>
        <v/>
      </c>
      <c r="AD106" s="7"/>
      <c r="AE106" s="7">
        <f t="shared" si="5"/>
        <v>0</v>
      </c>
    </row>
    <row r="107" spans="1:31" ht="15.75" customHeight="1">
      <c r="A107" s="7" t="s">
        <v>526</v>
      </c>
      <c r="B107" s="78">
        <v>0</v>
      </c>
      <c r="C107" s="78">
        <v>0</v>
      </c>
      <c r="D107" s="42" t="str">
        <f t="shared" si="0"/>
        <v/>
      </c>
      <c r="E107" s="78">
        <v>0</v>
      </c>
      <c r="F107" s="78">
        <v>0</v>
      </c>
      <c r="G107" s="42" t="str">
        <f t="shared" si="1"/>
        <v/>
      </c>
      <c r="H107" s="41">
        <v>0</v>
      </c>
      <c r="I107" s="41">
        <v>0</v>
      </c>
      <c r="J107" s="41">
        <f t="shared" si="2"/>
        <v>0</v>
      </c>
      <c r="K107" s="41">
        <v>0</v>
      </c>
      <c r="L107" s="79" t="str">
        <f t="shared" si="3"/>
        <v/>
      </c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81"/>
      <c r="AA107" s="6">
        <f t="shared" si="4"/>
        <v>0</v>
      </c>
      <c r="AB107" s="80" t="str">
        <f>+IF(AND(D107&gt;'Indices y Outliers'!$I$145,D107&lt;&gt;""),1,"")</f>
        <v/>
      </c>
      <c r="AC107" s="80" t="str">
        <f>+IF(AND(G107&gt;'Indices y Outliers'!$I$153,G107&lt;&gt;""),1,"")</f>
        <v/>
      </c>
      <c r="AD107" s="7"/>
      <c r="AE107" s="7">
        <f t="shared" si="5"/>
        <v>0</v>
      </c>
    </row>
    <row r="108" spans="1:31" ht="15.75" customHeight="1">
      <c r="A108" s="7" t="s">
        <v>529</v>
      </c>
      <c r="B108" s="78">
        <v>68.5</v>
      </c>
      <c r="C108" s="78">
        <v>0</v>
      </c>
      <c r="D108" s="42">
        <f t="shared" si="0"/>
        <v>68.5</v>
      </c>
      <c r="E108" s="78">
        <v>1.0329999999999999</v>
      </c>
      <c r="F108" s="78">
        <v>0</v>
      </c>
      <c r="G108" s="42">
        <f t="shared" si="1"/>
        <v>1.0329999999999999</v>
      </c>
      <c r="H108" s="41">
        <v>1539657</v>
      </c>
      <c r="I108" s="41">
        <v>0</v>
      </c>
      <c r="J108" s="41">
        <f t="shared" si="2"/>
        <v>1539657</v>
      </c>
      <c r="K108" s="41">
        <v>1539657</v>
      </c>
      <c r="L108" s="79">
        <f t="shared" si="3"/>
        <v>1</v>
      </c>
      <c r="M108" s="89">
        <v>1</v>
      </c>
      <c r="N108" s="89">
        <v>1</v>
      </c>
      <c r="O108" s="89">
        <v>1</v>
      </c>
      <c r="P108" s="89">
        <v>1</v>
      </c>
      <c r="Q108" s="89">
        <v>1</v>
      </c>
      <c r="R108" s="89">
        <v>1</v>
      </c>
      <c r="S108" s="89" t="s">
        <v>1353</v>
      </c>
      <c r="T108" s="89" t="s">
        <v>1353</v>
      </c>
      <c r="U108" s="89" t="s">
        <v>1353</v>
      </c>
      <c r="V108" s="89" t="s">
        <v>1353</v>
      </c>
      <c r="W108" s="7"/>
      <c r="X108" s="89" t="s">
        <v>1353</v>
      </c>
      <c r="Y108" s="89" t="s">
        <v>1353</v>
      </c>
      <c r="Z108" s="81"/>
      <c r="AA108" s="6">
        <f t="shared" si="4"/>
        <v>2</v>
      </c>
      <c r="AB108" s="80" t="str">
        <f>+IF(AND(D108&gt;'Indices y Outliers'!$I$145,D108&lt;&gt;""),1,"")</f>
        <v/>
      </c>
      <c r="AC108" s="80" t="str">
        <f>+IF(AND(G108&gt;'Indices y Outliers'!$I$153,G108&lt;&gt;""),1,"")</f>
        <v/>
      </c>
      <c r="AD108" s="7"/>
      <c r="AE108" s="7">
        <f t="shared" si="5"/>
        <v>0</v>
      </c>
    </row>
    <row r="109" spans="1:31" ht="15.75" customHeight="1">
      <c r="A109" s="7" t="s">
        <v>532</v>
      </c>
      <c r="B109" s="78">
        <v>119.77</v>
      </c>
      <c r="C109" s="78">
        <v>0</v>
      </c>
      <c r="D109" s="42">
        <f t="shared" si="0"/>
        <v>119.77</v>
      </c>
      <c r="E109" s="78">
        <v>2</v>
      </c>
      <c r="F109" s="78">
        <v>0</v>
      </c>
      <c r="G109" s="42">
        <f t="shared" si="1"/>
        <v>2</v>
      </c>
      <c r="H109" s="41">
        <v>223</v>
      </c>
      <c r="I109" s="41">
        <v>576</v>
      </c>
      <c r="J109" s="41">
        <f t="shared" si="2"/>
        <v>799</v>
      </c>
      <c r="K109" s="41">
        <v>82312</v>
      </c>
      <c r="L109" s="79">
        <f t="shared" si="3"/>
        <v>9.7069686072504616E-3</v>
      </c>
      <c r="M109" s="89">
        <v>1</v>
      </c>
      <c r="N109" s="89">
        <v>1</v>
      </c>
      <c r="O109" s="89">
        <v>1</v>
      </c>
      <c r="P109" s="89">
        <v>1</v>
      </c>
      <c r="Q109" s="89">
        <v>1</v>
      </c>
      <c r="R109" s="89">
        <v>1</v>
      </c>
      <c r="S109" s="89" t="s">
        <v>1353</v>
      </c>
      <c r="T109" s="89" t="s">
        <v>1353</v>
      </c>
      <c r="U109" s="89" t="s">
        <v>1353</v>
      </c>
      <c r="V109" s="89" t="s">
        <v>1353</v>
      </c>
      <c r="W109" s="7"/>
      <c r="X109" s="89" t="s">
        <v>1353</v>
      </c>
      <c r="Y109" s="7"/>
      <c r="Z109" s="81"/>
      <c r="AA109" s="6">
        <f t="shared" si="4"/>
        <v>2</v>
      </c>
      <c r="AB109" s="80" t="str">
        <f>+IF(AND(D109&gt;'Indices y Outliers'!$I$145,D109&lt;&gt;""),1,"")</f>
        <v/>
      </c>
      <c r="AC109" s="80" t="str">
        <f>+IF(AND(G109&gt;'Indices y Outliers'!$I$153,G109&lt;&gt;""),1,"")</f>
        <v/>
      </c>
      <c r="AD109" s="7"/>
      <c r="AE109" s="7">
        <f t="shared" si="5"/>
        <v>0</v>
      </c>
    </row>
    <row r="110" spans="1:31" ht="15.75" customHeight="1">
      <c r="A110" s="7" t="s">
        <v>535</v>
      </c>
      <c r="B110" s="78">
        <v>0</v>
      </c>
      <c r="C110" s="78">
        <v>0</v>
      </c>
      <c r="D110" s="42" t="str">
        <f t="shared" si="0"/>
        <v/>
      </c>
      <c r="E110" s="78">
        <v>0</v>
      </c>
      <c r="F110" s="78">
        <v>0</v>
      </c>
      <c r="G110" s="42" t="str">
        <f t="shared" si="1"/>
        <v/>
      </c>
      <c r="H110" s="41">
        <v>0</v>
      </c>
      <c r="I110" s="41">
        <v>0</v>
      </c>
      <c r="J110" s="41">
        <f t="shared" si="2"/>
        <v>0</v>
      </c>
      <c r="K110" s="41">
        <v>0</v>
      </c>
      <c r="L110" s="79" t="str">
        <f t="shared" si="3"/>
        <v/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81"/>
      <c r="AA110" s="6">
        <f t="shared" si="4"/>
        <v>0</v>
      </c>
      <c r="AB110" s="80" t="str">
        <f>+IF(AND(D110&gt;'Indices y Outliers'!$I$145,D110&lt;&gt;""),1,"")</f>
        <v/>
      </c>
      <c r="AC110" s="80" t="str">
        <f>+IF(AND(G110&gt;'Indices y Outliers'!$I$153,G110&lt;&gt;""),1,"")</f>
        <v/>
      </c>
      <c r="AD110" s="7"/>
      <c r="AE110" s="7">
        <f t="shared" si="5"/>
        <v>0</v>
      </c>
    </row>
    <row r="111" spans="1:31" ht="15.75" customHeight="1">
      <c r="A111" s="7" t="s">
        <v>538</v>
      </c>
      <c r="B111" s="78">
        <v>0</v>
      </c>
      <c r="C111" s="78">
        <v>0</v>
      </c>
      <c r="D111" s="42" t="str">
        <f t="shared" si="0"/>
        <v/>
      </c>
      <c r="E111" s="78">
        <v>0</v>
      </c>
      <c r="F111" s="78">
        <v>0</v>
      </c>
      <c r="G111" s="42" t="str">
        <f t="shared" si="1"/>
        <v/>
      </c>
      <c r="H111" s="41">
        <v>0</v>
      </c>
      <c r="I111" s="41">
        <v>0</v>
      </c>
      <c r="J111" s="41">
        <f t="shared" si="2"/>
        <v>0</v>
      </c>
      <c r="K111" s="41">
        <v>0</v>
      </c>
      <c r="L111" s="79" t="str">
        <f t="shared" si="3"/>
        <v/>
      </c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81"/>
      <c r="AA111" s="6">
        <f t="shared" si="4"/>
        <v>0</v>
      </c>
      <c r="AB111" s="80" t="str">
        <f>+IF(AND(D111&gt;'Indices y Outliers'!$I$145,D111&lt;&gt;""),1,"")</f>
        <v/>
      </c>
      <c r="AC111" s="80" t="str">
        <f>+IF(AND(G111&gt;'Indices y Outliers'!$I$153,G111&lt;&gt;""),1,"")</f>
        <v/>
      </c>
      <c r="AD111" s="7"/>
      <c r="AE111" s="7">
        <f t="shared" si="5"/>
        <v>0</v>
      </c>
    </row>
    <row r="112" spans="1:31" ht="15.75" customHeight="1">
      <c r="A112" s="7" t="s">
        <v>541</v>
      </c>
      <c r="B112" s="78">
        <v>152.66</v>
      </c>
      <c r="C112" s="78">
        <v>0</v>
      </c>
      <c r="D112" s="42">
        <f t="shared" si="0"/>
        <v>152.66</v>
      </c>
      <c r="E112" s="78">
        <v>1.4890000000000001</v>
      </c>
      <c r="F112" s="78">
        <v>0</v>
      </c>
      <c r="G112" s="42">
        <f t="shared" si="1"/>
        <v>1.4890000000000001</v>
      </c>
      <c r="H112" s="41">
        <v>1678526</v>
      </c>
      <c r="I112" s="41">
        <v>15959</v>
      </c>
      <c r="J112" s="41">
        <f t="shared" si="2"/>
        <v>1694485</v>
      </c>
      <c r="K112" s="41">
        <v>1696278</v>
      </c>
      <c r="L112" s="79">
        <f t="shared" si="3"/>
        <v>0.99894297986532865</v>
      </c>
      <c r="M112" s="89">
        <v>1</v>
      </c>
      <c r="N112" s="89">
        <v>1</v>
      </c>
      <c r="O112" s="89">
        <v>1</v>
      </c>
      <c r="P112" s="89">
        <v>1</v>
      </c>
      <c r="Q112" s="89">
        <v>1</v>
      </c>
      <c r="R112" s="89">
        <v>1</v>
      </c>
      <c r="S112" s="7"/>
      <c r="T112" s="89" t="s">
        <v>1353</v>
      </c>
      <c r="U112" s="89" t="s">
        <v>1353</v>
      </c>
      <c r="V112" s="89" t="s">
        <v>1353</v>
      </c>
      <c r="W112" s="89" t="s">
        <v>1353</v>
      </c>
      <c r="X112" s="89" t="s">
        <v>1353</v>
      </c>
      <c r="Y112" s="89" t="s">
        <v>1353</v>
      </c>
      <c r="Z112" s="81"/>
      <c r="AA112" s="6">
        <f t="shared" si="4"/>
        <v>2</v>
      </c>
      <c r="AB112" s="80" t="str">
        <f>+IF(AND(D112&gt;'Indices y Outliers'!$I$145,D112&lt;&gt;""),1,"")</f>
        <v/>
      </c>
      <c r="AC112" s="80" t="str">
        <f>+IF(AND(G112&gt;'Indices y Outliers'!$I$153,G112&lt;&gt;""),1,"")</f>
        <v/>
      </c>
      <c r="AD112" s="7"/>
      <c r="AE112" s="7">
        <f t="shared" si="5"/>
        <v>0</v>
      </c>
    </row>
    <row r="113" spans="1:31" ht="15.75" customHeight="1">
      <c r="A113" s="7" t="s">
        <v>544</v>
      </c>
      <c r="B113" s="78">
        <v>84.29</v>
      </c>
      <c r="C113" s="78">
        <v>0</v>
      </c>
      <c r="D113" s="42">
        <f t="shared" si="0"/>
        <v>84.29</v>
      </c>
      <c r="E113" s="78">
        <v>1.1399999999999999</v>
      </c>
      <c r="F113" s="78">
        <v>0</v>
      </c>
      <c r="G113" s="42">
        <f t="shared" si="1"/>
        <v>1.1399999999999999</v>
      </c>
      <c r="H113" s="41">
        <v>45455</v>
      </c>
      <c r="I113" s="41">
        <v>114</v>
      </c>
      <c r="J113" s="41">
        <f t="shared" si="2"/>
        <v>45569</v>
      </c>
      <c r="K113" s="41">
        <v>46789</v>
      </c>
      <c r="L113" s="79">
        <f t="shared" si="3"/>
        <v>0.97392549530872641</v>
      </c>
      <c r="M113" s="89">
        <v>1</v>
      </c>
      <c r="N113" s="7"/>
      <c r="O113" s="89">
        <v>1</v>
      </c>
      <c r="P113" s="89">
        <v>1</v>
      </c>
      <c r="Q113" s="89">
        <v>1</v>
      </c>
      <c r="R113" s="89">
        <v>1</v>
      </c>
      <c r="S113" s="7"/>
      <c r="T113" s="7"/>
      <c r="U113" s="7"/>
      <c r="V113" s="89" t="s">
        <v>1353</v>
      </c>
      <c r="W113" s="7"/>
      <c r="X113" s="7"/>
      <c r="Y113" s="7"/>
      <c r="Z113" s="81"/>
      <c r="AA113" s="6">
        <f t="shared" si="4"/>
        <v>2</v>
      </c>
      <c r="AB113" s="80" t="str">
        <f>+IF(AND(D113&gt;'Indices y Outliers'!$I$145,D113&lt;&gt;""),1,"")</f>
        <v/>
      </c>
      <c r="AC113" s="80" t="str">
        <f>+IF(AND(G113&gt;'Indices y Outliers'!$I$153,G113&lt;&gt;""),1,"")</f>
        <v/>
      </c>
      <c r="AD113" s="7"/>
      <c r="AE113" s="7">
        <f t="shared" si="5"/>
        <v>0</v>
      </c>
    </row>
    <row r="114" spans="1:31" ht="15.75" customHeight="1">
      <c r="A114" s="7" t="s">
        <v>547</v>
      </c>
      <c r="B114" s="78">
        <v>106.43</v>
      </c>
      <c r="C114" s="78">
        <v>0</v>
      </c>
      <c r="D114" s="42">
        <f t="shared" si="0"/>
        <v>106.43</v>
      </c>
      <c r="E114" s="78">
        <v>1.1599999999999999</v>
      </c>
      <c r="F114" s="78">
        <v>0</v>
      </c>
      <c r="G114" s="42">
        <f t="shared" si="1"/>
        <v>1.1599999999999999</v>
      </c>
      <c r="H114" s="41">
        <v>1377095</v>
      </c>
      <c r="I114" s="41">
        <v>15250</v>
      </c>
      <c r="J114" s="41">
        <f t="shared" si="2"/>
        <v>1392345</v>
      </c>
      <c r="K114" s="41">
        <v>1527956</v>
      </c>
      <c r="L114" s="79">
        <f t="shared" si="3"/>
        <v>0.91124678982902652</v>
      </c>
      <c r="M114" s="89">
        <v>1</v>
      </c>
      <c r="N114" s="7"/>
      <c r="O114" s="89">
        <v>1</v>
      </c>
      <c r="P114" s="7"/>
      <c r="Q114" s="89">
        <v>1</v>
      </c>
      <c r="R114" s="89">
        <v>1</v>
      </c>
      <c r="S114" s="7"/>
      <c r="T114" s="7"/>
      <c r="U114" s="7"/>
      <c r="V114" s="89" t="s">
        <v>1353</v>
      </c>
      <c r="W114" s="7"/>
      <c r="X114" s="7"/>
      <c r="Y114" s="7"/>
      <c r="Z114" s="81"/>
      <c r="AA114" s="6">
        <f t="shared" si="4"/>
        <v>2</v>
      </c>
      <c r="AB114" s="80" t="str">
        <f>+IF(AND(D114&gt;'Indices y Outliers'!$I$145,D114&lt;&gt;""),1,"")</f>
        <v/>
      </c>
      <c r="AC114" s="80" t="str">
        <f>+IF(AND(G114&gt;'Indices y Outliers'!$I$153,G114&lt;&gt;""),1,"")</f>
        <v/>
      </c>
      <c r="AD114" s="7"/>
      <c r="AE114" s="7">
        <f t="shared" si="5"/>
        <v>0</v>
      </c>
    </row>
    <row r="115" spans="1:31" ht="15.75" customHeight="1">
      <c r="A115" s="7" t="s">
        <v>550</v>
      </c>
      <c r="B115" s="78">
        <v>63.2</v>
      </c>
      <c r="C115" s="78">
        <v>0</v>
      </c>
      <c r="D115" s="42">
        <f t="shared" si="0"/>
        <v>63.2</v>
      </c>
      <c r="E115" s="78">
        <v>0.95899999999999996</v>
      </c>
      <c r="F115" s="78">
        <v>0</v>
      </c>
      <c r="G115" s="42">
        <f t="shared" si="1"/>
        <v>0.95899999999999996</v>
      </c>
      <c r="H115" s="41">
        <v>508032</v>
      </c>
      <c r="I115" s="41">
        <v>616</v>
      </c>
      <c r="J115" s="41">
        <f t="shared" si="2"/>
        <v>508648</v>
      </c>
      <c r="K115" s="41">
        <v>519863</v>
      </c>
      <c r="L115" s="79">
        <f t="shared" si="3"/>
        <v>0.97842700865420318</v>
      </c>
      <c r="M115" s="89">
        <v>1</v>
      </c>
      <c r="N115" s="7"/>
      <c r="O115" s="89">
        <v>1</v>
      </c>
      <c r="P115" s="7"/>
      <c r="Q115" s="89">
        <v>1</v>
      </c>
      <c r="R115" s="89">
        <v>1</v>
      </c>
      <c r="S115" s="7"/>
      <c r="T115" s="7"/>
      <c r="U115" s="7"/>
      <c r="V115" s="89" t="s">
        <v>1353</v>
      </c>
      <c r="W115" s="7"/>
      <c r="X115" s="7"/>
      <c r="Y115" s="7"/>
      <c r="Z115" s="81"/>
      <c r="AA115" s="6">
        <f t="shared" si="4"/>
        <v>2</v>
      </c>
      <c r="AB115" s="80" t="str">
        <f>+IF(AND(D115&gt;'Indices y Outliers'!$I$145,D115&lt;&gt;""),1,"")</f>
        <v/>
      </c>
      <c r="AC115" s="80" t="str">
        <f>+IF(AND(G115&gt;'Indices y Outliers'!$I$153,G115&lt;&gt;""),1,"")</f>
        <v/>
      </c>
      <c r="AD115" s="7"/>
      <c r="AE115" s="7">
        <f t="shared" si="5"/>
        <v>0</v>
      </c>
    </row>
    <row r="116" spans="1:31" ht="15.75" customHeight="1">
      <c r="A116" s="7" t="s">
        <v>553</v>
      </c>
      <c r="B116" s="78">
        <v>112.485</v>
      </c>
      <c r="C116" s="78">
        <v>0</v>
      </c>
      <c r="D116" s="42">
        <f t="shared" si="0"/>
        <v>112.485</v>
      </c>
      <c r="E116" s="78">
        <v>1.5069999999999999</v>
      </c>
      <c r="F116" s="78">
        <v>0</v>
      </c>
      <c r="G116" s="42">
        <f t="shared" si="1"/>
        <v>1.5069999999999999</v>
      </c>
      <c r="H116" s="41">
        <v>27521</v>
      </c>
      <c r="I116" s="41">
        <v>498815</v>
      </c>
      <c r="J116" s="41">
        <f t="shared" si="2"/>
        <v>526336</v>
      </c>
      <c r="K116" s="41">
        <v>526336</v>
      </c>
      <c r="L116" s="79">
        <f t="shared" si="3"/>
        <v>1</v>
      </c>
      <c r="M116" s="89">
        <v>1</v>
      </c>
      <c r="N116" s="89">
        <v>1</v>
      </c>
      <c r="O116" s="89">
        <v>1</v>
      </c>
      <c r="P116" s="89">
        <v>1</v>
      </c>
      <c r="Q116" s="89">
        <v>1</v>
      </c>
      <c r="R116" s="89">
        <v>1</v>
      </c>
      <c r="S116" s="89" t="s">
        <v>1353</v>
      </c>
      <c r="T116" s="89" t="s">
        <v>1353</v>
      </c>
      <c r="U116" s="89" t="s">
        <v>1353</v>
      </c>
      <c r="V116" s="89" t="s">
        <v>1353</v>
      </c>
      <c r="W116" s="7"/>
      <c r="X116" s="89" t="s">
        <v>1353</v>
      </c>
      <c r="Y116" s="7"/>
      <c r="Z116" s="81"/>
      <c r="AA116" s="6">
        <f t="shared" si="4"/>
        <v>2</v>
      </c>
      <c r="AB116" s="80" t="str">
        <f>+IF(AND(D116&gt;'Indices y Outliers'!$I$145,D116&lt;&gt;""),1,"")</f>
        <v/>
      </c>
      <c r="AC116" s="80" t="str">
        <f>+IF(AND(G116&gt;'Indices y Outliers'!$I$153,G116&lt;&gt;""),1,"")</f>
        <v/>
      </c>
      <c r="AD116" s="7"/>
      <c r="AE116" s="7">
        <f t="shared" si="5"/>
        <v>0</v>
      </c>
    </row>
    <row r="117" spans="1:31" ht="15.75" customHeight="1">
      <c r="A117" s="7" t="s">
        <v>556</v>
      </c>
      <c r="B117" s="78">
        <v>121</v>
      </c>
      <c r="C117" s="78">
        <v>0</v>
      </c>
      <c r="D117" s="42">
        <f t="shared" si="0"/>
        <v>121</v>
      </c>
      <c r="E117" s="78">
        <v>1.05</v>
      </c>
      <c r="F117" s="78">
        <v>0</v>
      </c>
      <c r="G117" s="42">
        <f t="shared" si="1"/>
        <v>1.05</v>
      </c>
      <c r="H117" s="41">
        <v>393</v>
      </c>
      <c r="I117" s="41">
        <v>1177047</v>
      </c>
      <c r="J117" s="41">
        <f t="shared" si="2"/>
        <v>1177440</v>
      </c>
      <c r="K117" s="41">
        <v>1177456</v>
      </c>
      <c r="L117" s="79">
        <f t="shared" si="3"/>
        <v>0.99998641138182653</v>
      </c>
      <c r="M117" s="89">
        <v>1</v>
      </c>
      <c r="N117" s="89">
        <v>1</v>
      </c>
      <c r="O117" s="89">
        <v>1</v>
      </c>
      <c r="P117" s="89">
        <v>1</v>
      </c>
      <c r="Q117" s="7"/>
      <c r="R117" s="89">
        <v>1</v>
      </c>
      <c r="S117" s="89" t="s">
        <v>1353</v>
      </c>
      <c r="T117" s="7"/>
      <c r="U117" s="89" t="s">
        <v>1353</v>
      </c>
      <c r="V117" s="89" t="s">
        <v>1353</v>
      </c>
      <c r="W117" s="89" t="s">
        <v>1353</v>
      </c>
      <c r="X117" s="89" t="s">
        <v>1353</v>
      </c>
      <c r="Y117" s="7"/>
      <c r="Z117" s="81"/>
      <c r="AA117" s="6">
        <f t="shared" si="4"/>
        <v>2</v>
      </c>
      <c r="AB117" s="80" t="str">
        <f>+IF(AND(D117&gt;'Indices y Outliers'!$I$145,D117&lt;&gt;""),1,"")</f>
        <v/>
      </c>
      <c r="AC117" s="80" t="str">
        <f>+IF(AND(G117&gt;'Indices y Outliers'!$I$153,G117&lt;&gt;""),1,"")</f>
        <v/>
      </c>
      <c r="AD117" s="7"/>
      <c r="AE117" s="7">
        <f t="shared" si="5"/>
        <v>0</v>
      </c>
    </row>
    <row r="118" spans="1:31" ht="15.75" customHeight="1">
      <c r="A118" s="7" t="s">
        <v>559</v>
      </c>
      <c r="B118" s="78">
        <v>0</v>
      </c>
      <c r="C118" s="78">
        <v>0</v>
      </c>
      <c r="D118" s="42" t="str">
        <f t="shared" si="0"/>
        <v/>
      </c>
      <c r="E118" s="78">
        <v>0</v>
      </c>
      <c r="F118" s="78">
        <v>0</v>
      </c>
      <c r="G118" s="42" t="str">
        <f t="shared" si="1"/>
        <v/>
      </c>
      <c r="H118" s="41">
        <v>0</v>
      </c>
      <c r="I118" s="41">
        <v>0</v>
      </c>
      <c r="J118" s="41">
        <f t="shared" si="2"/>
        <v>0</v>
      </c>
      <c r="K118" s="41">
        <v>0</v>
      </c>
      <c r="L118" s="79" t="str">
        <f t="shared" si="3"/>
        <v/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81"/>
      <c r="AA118" s="6">
        <f t="shared" si="4"/>
        <v>0</v>
      </c>
      <c r="AB118" s="80" t="str">
        <f>+IF(AND(D118&gt;'Indices y Outliers'!$I$145,D118&lt;&gt;""),1,"")</f>
        <v/>
      </c>
      <c r="AC118" s="80" t="str">
        <f>+IF(AND(G118&gt;'Indices y Outliers'!$I$153,G118&lt;&gt;""),1,"")</f>
        <v/>
      </c>
      <c r="AD118" s="7"/>
      <c r="AE118" s="7">
        <f t="shared" si="5"/>
        <v>0</v>
      </c>
    </row>
    <row r="119" spans="1:31" ht="15.75" customHeight="1">
      <c r="A119" s="7" t="s">
        <v>562</v>
      </c>
      <c r="B119" s="78">
        <v>0</v>
      </c>
      <c r="C119" s="78">
        <v>0</v>
      </c>
      <c r="D119" s="42" t="str">
        <f t="shared" si="0"/>
        <v/>
      </c>
      <c r="E119" s="78">
        <v>0</v>
      </c>
      <c r="F119" s="78">
        <v>0</v>
      </c>
      <c r="G119" s="42" t="str">
        <f t="shared" si="1"/>
        <v/>
      </c>
      <c r="H119" s="41">
        <v>0</v>
      </c>
      <c r="I119" s="41">
        <v>0</v>
      </c>
      <c r="J119" s="41">
        <f t="shared" si="2"/>
        <v>0</v>
      </c>
      <c r="K119" s="41">
        <v>0</v>
      </c>
      <c r="L119" s="79" t="str">
        <f t="shared" si="3"/>
        <v/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81"/>
      <c r="AA119" s="6">
        <f t="shared" si="4"/>
        <v>0</v>
      </c>
      <c r="AB119" s="80" t="str">
        <f>+IF(AND(D119&gt;'Indices y Outliers'!$I$145,D119&lt;&gt;""),1,"")</f>
        <v/>
      </c>
      <c r="AC119" s="80" t="str">
        <f>+IF(AND(G119&gt;'Indices y Outliers'!$I$153,G119&lt;&gt;""),1,"")</f>
        <v/>
      </c>
      <c r="AD119" s="7"/>
      <c r="AE119" s="7">
        <f t="shared" si="5"/>
        <v>0</v>
      </c>
    </row>
    <row r="120" spans="1:31" ht="15.75" customHeight="1">
      <c r="A120" s="7" t="s">
        <v>565</v>
      </c>
      <c r="B120" s="78">
        <v>0</v>
      </c>
      <c r="C120" s="78">
        <v>0</v>
      </c>
      <c r="D120" s="42" t="str">
        <f t="shared" si="0"/>
        <v/>
      </c>
      <c r="E120" s="78">
        <v>0</v>
      </c>
      <c r="F120" s="78">
        <v>0</v>
      </c>
      <c r="G120" s="42" t="str">
        <f t="shared" si="1"/>
        <v/>
      </c>
      <c r="H120" s="41">
        <v>0</v>
      </c>
      <c r="I120" s="41">
        <v>0</v>
      </c>
      <c r="J120" s="41">
        <f t="shared" si="2"/>
        <v>0</v>
      </c>
      <c r="K120" s="41">
        <v>0</v>
      </c>
      <c r="L120" s="79" t="str">
        <f t="shared" si="3"/>
        <v/>
      </c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81"/>
      <c r="AA120" s="6">
        <f t="shared" si="4"/>
        <v>0</v>
      </c>
      <c r="AB120" s="80" t="str">
        <f>+IF(AND(D120&gt;'Indices y Outliers'!$I$145,D120&lt;&gt;""),1,"")</f>
        <v/>
      </c>
      <c r="AC120" s="80" t="str">
        <f>+IF(AND(G120&gt;'Indices y Outliers'!$I$153,G120&lt;&gt;""),1,"")</f>
        <v/>
      </c>
      <c r="AD120" s="7"/>
      <c r="AE120" s="7">
        <f t="shared" si="5"/>
        <v>0</v>
      </c>
    </row>
    <row r="121" spans="1:31" ht="15.75" customHeight="1">
      <c r="A121" s="7" t="s">
        <v>568</v>
      </c>
      <c r="B121" s="78">
        <v>0</v>
      </c>
      <c r="C121" s="78">
        <v>134</v>
      </c>
      <c r="D121" s="42">
        <f t="shared" si="0"/>
        <v>134</v>
      </c>
      <c r="E121" s="78">
        <v>0</v>
      </c>
      <c r="F121" s="78">
        <v>0.91</v>
      </c>
      <c r="G121" s="42">
        <f t="shared" si="1"/>
        <v>0.91</v>
      </c>
      <c r="H121" s="41">
        <v>86</v>
      </c>
      <c r="I121" s="41">
        <v>602270</v>
      </c>
      <c r="J121" s="41">
        <f t="shared" si="2"/>
        <v>602356</v>
      </c>
      <c r="K121" s="41">
        <v>602356</v>
      </c>
      <c r="L121" s="79">
        <f t="shared" si="3"/>
        <v>1</v>
      </c>
      <c r="M121" s="89">
        <v>1</v>
      </c>
      <c r="N121" s="7"/>
      <c r="O121" s="89">
        <v>1</v>
      </c>
      <c r="P121" s="89">
        <v>1</v>
      </c>
      <c r="Q121" s="89">
        <v>1</v>
      </c>
      <c r="R121" s="89">
        <v>1</v>
      </c>
      <c r="S121" s="7"/>
      <c r="T121" s="89" t="s">
        <v>1353</v>
      </c>
      <c r="U121" s="7"/>
      <c r="V121" s="89" t="s">
        <v>1353</v>
      </c>
      <c r="W121" s="7"/>
      <c r="X121" s="7"/>
      <c r="Y121" s="89" t="s">
        <v>1353</v>
      </c>
      <c r="Z121" s="81"/>
      <c r="AA121" s="6">
        <f t="shared" si="4"/>
        <v>2</v>
      </c>
      <c r="AB121" s="80" t="str">
        <f>+IF(AND(D121&gt;'Indices y Outliers'!$I$145,D121&lt;&gt;""),1,"")</f>
        <v/>
      </c>
      <c r="AC121" s="80" t="str">
        <f>+IF(AND(G121&gt;'Indices y Outliers'!$I$153,G121&lt;&gt;""),1,"")</f>
        <v/>
      </c>
      <c r="AD121" s="7"/>
      <c r="AE121" s="7">
        <f t="shared" si="5"/>
        <v>0</v>
      </c>
    </row>
    <row r="122" spans="1:31" ht="15.75" customHeight="1">
      <c r="A122" s="7" t="s">
        <v>571</v>
      </c>
      <c r="B122" s="78">
        <v>216.774</v>
      </c>
      <c r="C122" s="78">
        <v>0</v>
      </c>
      <c r="D122" s="42">
        <f t="shared" si="0"/>
        <v>216.774</v>
      </c>
      <c r="E122" s="78">
        <v>1.677</v>
      </c>
      <c r="F122" s="78">
        <v>0</v>
      </c>
      <c r="G122" s="42">
        <f t="shared" si="1"/>
        <v>1.677</v>
      </c>
      <c r="H122" s="41">
        <v>0</v>
      </c>
      <c r="I122" s="41">
        <v>41</v>
      </c>
      <c r="J122" s="41">
        <f t="shared" si="2"/>
        <v>41</v>
      </c>
      <c r="K122" s="41">
        <v>41</v>
      </c>
      <c r="L122" s="79">
        <f t="shared" si="3"/>
        <v>1</v>
      </c>
      <c r="M122" s="89">
        <v>1</v>
      </c>
      <c r="N122" s="7"/>
      <c r="O122" s="89">
        <v>1</v>
      </c>
      <c r="P122" s="7"/>
      <c r="Q122" s="89">
        <v>1</v>
      </c>
      <c r="R122" s="7"/>
      <c r="S122" s="89" t="s">
        <v>1353</v>
      </c>
      <c r="T122" s="89" t="s">
        <v>1353</v>
      </c>
      <c r="U122" s="89" t="s">
        <v>1353</v>
      </c>
      <c r="V122" s="89" t="s">
        <v>1353</v>
      </c>
      <c r="W122" s="7"/>
      <c r="X122" s="89" t="s">
        <v>1353</v>
      </c>
      <c r="Y122" s="89" t="s">
        <v>1354</v>
      </c>
      <c r="Z122" s="81"/>
      <c r="AA122" s="6">
        <f t="shared" si="4"/>
        <v>2</v>
      </c>
      <c r="AB122" s="80" t="str">
        <f>+IF(AND(D122&gt;'Indices y Outliers'!$I$145,D122&lt;&gt;""),1,"")</f>
        <v/>
      </c>
      <c r="AC122" s="80" t="str">
        <f>+IF(AND(G122&gt;'Indices y Outliers'!$I$153,G122&lt;&gt;""),1,"")</f>
        <v/>
      </c>
      <c r="AD122" s="7"/>
      <c r="AE122" s="7">
        <f t="shared" si="5"/>
        <v>0</v>
      </c>
    </row>
    <row r="123" spans="1:31" ht="15.75" customHeight="1">
      <c r="A123" s="7" t="s">
        <v>574</v>
      </c>
      <c r="B123" s="78">
        <v>84.05</v>
      </c>
      <c r="C123" s="78">
        <v>0</v>
      </c>
      <c r="D123" s="42">
        <f t="shared" si="0"/>
        <v>84.05</v>
      </c>
      <c r="E123" s="78">
        <v>1.04</v>
      </c>
      <c r="F123" s="78">
        <v>0</v>
      </c>
      <c r="G123" s="42">
        <f t="shared" si="1"/>
        <v>1.04</v>
      </c>
      <c r="H123" s="41">
        <v>90073</v>
      </c>
      <c r="I123" s="41">
        <v>1340365</v>
      </c>
      <c r="J123" s="41">
        <f t="shared" si="2"/>
        <v>1430438</v>
      </c>
      <c r="K123" s="41">
        <v>1430438</v>
      </c>
      <c r="L123" s="79">
        <f t="shared" si="3"/>
        <v>1</v>
      </c>
      <c r="M123" s="89">
        <v>1</v>
      </c>
      <c r="N123" s="89">
        <v>1</v>
      </c>
      <c r="O123" s="89">
        <v>1</v>
      </c>
      <c r="P123" s="89">
        <v>1</v>
      </c>
      <c r="Q123" s="89">
        <v>1</v>
      </c>
      <c r="R123" s="89">
        <v>1</v>
      </c>
      <c r="S123" s="89" t="s">
        <v>1353</v>
      </c>
      <c r="T123" s="89" t="s">
        <v>1353</v>
      </c>
      <c r="U123" s="7"/>
      <c r="V123" s="89" t="s">
        <v>1353</v>
      </c>
      <c r="W123" s="89" t="s">
        <v>1353</v>
      </c>
      <c r="X123" s="89" t="s">
        <v>1353</v>
      </c>
      <c r="Y123" s="7"/>
      <c r="Z123" s="81"/>
      <c r="AA123" s="6">
        <f t="shared" si="4"/>
        <v>2</v>
      </c>
      <c r="AB123" s="80" t="str">
        <f>+IF(AND(D123&gt;'Indices y Outliers'!$I$145,D123&lt;&gt;""),1,"")</f>
        <v/>
      </c>
      <c r="AC123" s="80" t="str">
        <f>+IF(AND(G123&gt;'Indices y Outliers'!$I$153,G123&lt;&gt;""),1,"")</f>
        <v/>
      </c>
      <c r="AD123" s="7"/>
      <c r="AE123" s="7">
        <f t="shared" si="5"/>
        <v>0</v>
      </c>
    </row>
    <row r="124" spans="1:31" ht="15.75" customHeight="1">
      <c r="A124" s="7" t="s">
        <v>577</v>
      </c>
      <c r="B124" s="78">
        <v>0</v>
      </c>
      <c r="C124" s="78">
        <v>0</v>
      </c>
      <c r="D124" s="42" t="str">
        <f t="shared" si="0"/>
        <v/>
      </c>
      <c r="E124" s="78">
        <v>0</v>
      </c>
      <c r="F124" s="78">
        <v>0</v>
      </c>
      <c r="G124" s="42" t="str">
        <f t="shared" si="1"/>
        <v/>
      </c>
      <c r="H124" s="41">
        <v>0</v>
      </c>
      <c r="I124" s="41">
        <v>0</v>
      </c>
      <c r="J124" s="41">
        <f t="shared" si="2"/>
        <v>0</v>
      </c>
      <c r="K124" s="41">
        <v>0</v>
      </c>
      <c r="L124" s="79" t="str">
        <f t="shared" si="3"/>
        <v/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81"/>
      <c r="AA124" s="6">
        <f t="shared" si="4"/>
        <v>0</v>
      </c>
      <c r="AB124" s="80" t="str">
        <f>+IF(AND(D124&gt;'Indices y Outliers'!$I$145,D124&lt;&gt;""),1,"")</f>
        <v/>
      </c>
      <c r="AC124" s="80" t="str">
        <f>+IF(AND(G124&gt;'Indices y Outliers'!$I$153,G124&lt;&gt;""),1,"")</f>
        <v/>
      </c>
      <c r="AD124" s="7"/>
      <c r="AE124" s="7">
        <f t="shared" si="5"/>
        <v>0</v>
      </c>
    </row>
    <row r="125" spans="1:31" ht="15.75" customHeight="1">
      <c r="A125" s="7" t="s">
        <v>580</v>
      </c>
      <c r="B125" s="78">
        <v>0</v>
      </c>
      <c r="C125" s="78">
        <v>0</v>
      </c>
      <c r="D125" s="42" t="str">
        <f t="shared" si="0"/>
        <v/>
      </c>
      <c r="E125" s="78">
        <v>0</v>
      </c>
      <c r="F125" s="78">
        <v>0</v>
      </c>
      <c r="G125" s="42" t="str">
        <f t="shared" si="1"/>
        <v/>
      </c>
      <c r="H125" s="41">
        <v>0</v>
      </c>
      <c r="I125" s="41">
        <v>0</v>
      </c>
      <c r="J125" s="41">
        <f t="shared" si="2"/>
        <v>0</v>
      </c>
      <c r="K125" s="41">
        <v>0</v>
      </c>
      <c r="L125" s="79" t="str">
        <f t="shared" si="3"/>
        <v/>
      </c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81"/>
      <c r="AA125" s="6">
        <f t="shared" si="4"/>
        <v>0</v>
      </c>
      <c r="AB125" s="80" t="str">
        <f>+IF(AND(D125&gt;'Indices y Outliers'!$I$145,D125&lt;&gt;""),1,"")</f>
        <v/>
      </c>
      <c r="AC125" s="80" t="str">
        <f>+IF(AND(G125&gt;'Indices y Outliers'!$I$153,G125&lt;&gt;""),1,"")</f>
        <v/>
      </c>
      <c r="AD125" s="7"/>
      <c r="AE125" s="7">
        <f t="shared" si="5"/>
        <v>0</v>
      </c>
    </row>
    <row r="126" spans="1:31" ht="15.75" customHeight="1">
      <c r="A126" s="7" t="s">
        <v>583</v>
      </c>
      <c r="B126" s="78">
        <v>42.014000000000003</v>
      </c>
      <c r="C126" s="78">
        <v>0</v>
      </c>
      <c r="D126" s="42">
        <f t="shared" si="0"/>
        <v>42.014000000000003</v>
      </c>
      <c r="E126" s="78">
        <v>1.0529999999999999</v>
      </c>
      <c r="F126" s="78">
        <v>0</v>
      </c>
      <c r="G126" s="42">
        <f t="shared" si="1"/>
        <v>1.0529999999999999</v>
      </c>
      <c r="H126" s="41">
        <v>0</v>
      </c>
      <c r="I126" s="41">
        <v>44415</v>
      </c>
      <c r="J126" s="41">
        <f t="shared" si="2"/>
        <v>44415</v>
      </c>
      <c r="K126" s="41">
        <v>44415</v>
      </c>
      <c r="L126" s="79">
        <f t="shared" si="3"/>
        <v>1</v>
      </c>
      <c r="M126" s="89">
        <v>1</v>
      </c>
      <c r="N126" s="7"/>
      <c r="O126" s="89">
        <v>1</v>
      </c>
      <c r="P126" s="7"/>
      <c r="Q126" s="89">
        <v>1</v>
      </c>
      <c r="R126" s="89">
        <v>1</v>
      </c>
      <c r="S126" s="89" t="s">
        <v>1353</v>
      </c>
      <c r="T126" s="89" t="s">
        <v>1353</v>
      </c>
      <c r="U126" s="89" t="s">
        <v>1353</v>
      </c>
      <c r="V126" s="89" t="s">
        <v>1353</v>
      </c>
      <c r="W126" s="7"/>
      <c r="X126" s="7"/>
      <c r="Y126" s="7"/>
      <c r="Z126" s="81"/>
      <c r="AA126" s="6">
        <f t="shared" si="4"/>
        <v>2</v>
      </c>
      <c r="AB126" s="80" t="str">
        <f>+IF(AND(D126&gt;'Indices y Outliers'!$I$145,D126&lt;&gt;""),1,"")</f>
        <v/>
      </c>
      <c r="AC126" s="80" t="str">
        <f>+IF(AND(G126&gt;'Indices y Outliers'!$I$153,G126&lt;&gt;""),1,"")</f>
        <v/>
      </c>
      <c r="AD126" s="7"/>
      <c r="AE126" s="7">
        <f t="shared" si="5"/>
        <v>0</v>
      </c>
    </row>
    <row r="127" spans="1:31" ht="15.75" customHeight="1">
      <c r="A127" s="7" t="s">
        <v>586</v>
      </c>
      <c r="B127" s="78">
        <v>26.331</v>
      </c>
      <c r="C127" s="78">
        <v>0</v>
      </c>
      <c r="D127" s="42">
        <f t="shared" si="0"/>
        <v>26.331</v>
      </c>
      <c r="E127" s="78">
        <v>0.30199999999999999</v>
      </c>
      <c r="F127" s="78">
        <v>0</v>
      </c>
      <c r="G127" s="42">
        <f t="shared" si="1"/>
        <v>0.30199999999999999</v>
      </c>
      <c r="H127" s="41">
        <v>96</v>
      </c>
      <c r="I127" s="41">
        <v>345913</v>
      </c>
      <c r="J127" s="41">
        <f t="shared" si="2"/>
        <v>346009</v>
      </c>
      <c r="K127" s="41">
        <v>347562</v>
      </c>
      <c r="L127" s="79">
        <f t="shared" si="3"/>
        <v>0.99553173246787618</v>
      </c>
      <c r="M127" s="89">
        <v>1</v>
      </c>
      <c r="N127" s="89">
        <v>1</v>
      </c>
      <c r="O127" s="89">
        <v>1</v>
      </c>
      <c r="P127" s="89">
        <v>1</v>
      </c>
      <c r="Q127" s="89">
        <v>1</v>
      </c>
      <c r="R127" s="89">
        <v>1</v>
      </c>
      <c r="S127" s="7"/>
      <c r="T127" s="89" t="s">
        <v>1353</v>
      </c>
      <c r="U127" s="89" t="s">
        <v>1353</v>
      </c>
      <c r="V127" s="89" t="s">
        <v>1353</v>
      </c>
      <c r="W127" s="89" t="s">
        <v>1354</v>
      </c>
      <c r="X127" s="89" t="s">
        <v>1353</v>
      </c>
      <c r="Y127" s="7"/>
      <c r="Z127" s="81"/>
      <c r="AA127" s="6">
        <f t="shared" si="4"/>
        <v>2</v>
      </c>
      <c r="AB127" s="80" t="str">
        <f>+IF(AND(D127&gt;'Indices y Outliers'!$I$145,D127&lt;&gt;""),1,"")</f>
        <v/>
      </c>
      <c r="AC127" s="80" t="str">
        <f>+IF(AND(G127&gt;'Indices y Outliers'!$I$153,G127&lt;&gt;""),1,"")</f>
        <v/>
      </c>
      <c r="AD127" s="7"/>
      <c r="AE127" s="7">
        <f t="shared" si="5"/>
        <v>0</v>
      </c>
    </row>
    <row r="128" spans="1:31" ht="15.75" customHeight="1">
      <c r="A128" s="7" t="s">
        <v>589</v>
      </c>
      <c r="B128" s="78">
        <v>65</v>
      </c>
      <c r="C128" s="78">
        <v>0</v>
      </c>
      <c r="D128" s="42">
        <f t="shared" si="0"/>
        <v>65</v>
      </c>
      <c r="E128" s="78">
        <v>0.71</v>
      </c>
      <c r="F128" s="78">
        <v>0</v>
      </c>
      <c r="G128" s="42">
        <f t="shared" si="1"/>
        <v>0.71</v>
      </c>
      <c r="H128" s="41">
        <v>34</v>
      </c>
      <c r="I128" s="41">
        <v>340062</v>
      </c>
      <c r="J128" s="41">
        <f t="shared" si="2"/>
        <v>340096</v>
      </c>
      <c r="K128" s="41">
        <v>340136</v>
      </c>
      <c r="L128" s="79">
        <f t="shared" si="3"/>
        <v>0.999882399981184</v>
      </c>
      <c r="M128" s="89">
        <v>1</v>
      </c>
      <c r="N128" s="89">
        <v>1</v>
      </c>
      <c r="O128" s="89">
        <v>1</v>
      </c>
      <c r="P128" s="89">
        <v>1</v>
      </c>
      <c r="Q128" s="89">
        <v>1</v>
      </c>
      <c r="R128" s="89">
        <v>1</v>
      </c>
      <c r="S128" s="7"/>
      <c r="T128" s="89" t="s">
        <v>1353</v>
      </c>
      <c r="U128" s="89" t="s">
        <v>1353</v>
      </c>
      <c r="V128" s="89" t="s">
        <v>1353</v>
      </c>
      <c r="W128" s="89" t="s">
        <v>1354</v>
      </c>
      <c r="X128" s="89" t="s">
        <v>1353</v>
      </c>
      <c r="Y128" s="7"/>
      <c r="Z128" s="81"/>
      <c r="AA128" s="6">
        <f t="shared" si="4"/>
        <v>2</v>
      </c>
      <c r="AB128" s="80" t="str">
        <f>+IF(AND(D128&gt;'Indices y Outliers'!$I$145,D128&lt;&gt;""),1,"")</f>
        <v/>
      </c>
      <c r="AC128" s="80" t="str">
        <f>+IF(AND(G128&gt;'Indices y Outliers'!$I$153,G128&lt;&gt;""),1,"")</f>
        <v/>
      </c>
      <c r="AD128" s="7"/>
      <c r="AE128" s="7">
        <f t="shared" si="5"/>
        <v>0</v>
      </c>
    </row>
    <row r="129" spans="1:31" ht="15.75" customHeight="1">
      <c r="A129" s="7" t="s">
        <v>592</v>
      </c>
      <c r="B129" s="78">
        <v>51</v>
      </c>
      <c r="C129" s="78">
        <v>0</v>
      </c>
      <c r="D129" s="42">
        <f t="shared" si="0"/>
        <v>51</v>
      </c>
      <c r="E129" s="78">
        <v>0.65</v>
      </c>
      <c r="F129" s="78">
        <v>0</v>
      </c>
      <c r="G129" s="42">
        <f t="shared" si="1"/>
        <v>0.65</v>
      </c>
      <c r="H129" s="41">
        <v>591</v>
      </c>
      <c r="I129" s="41">
        <v>0</v>
      </c>
      <c r="J129" s="41">
        <f t="shared" si="2"/>
        <v>591</v>
      </c>
      <c r="K129" s="41">
        <v>567817</v>
      </c>
      <c r="L129" s="79">
        <f t="shared" si="3"/>
        <v>1.0408282950316739E-3</v>
      </c>
      <c r="M129" s="89">
        <v>1</v>
      </c>
      <c r="N129" s="7"/>
      <c r="O129" s="89">
        <v>1</v>
      </c>
      <c r="P129" s="7"/>
      <c r="Q129" s="89">
        <v>1</v>
      </c>
      <c r="R129" s="89">
        <v>1</v>
      </c>
      <c r="S129" s="7"/>
      <c r="T129" s="89" t="s">
        <v>1353</v>
      </c>
      <c r="U129" s="89" t="s">
        <v>1353</v>
      </c>
      <c r="V129" s="89" t="s">
        <v>1353</v>
      </c>
      <c r="W129" s="89" t="s">
        <v>1354</v>
      </c>
      <c r="X129" s="89" t="s">
        <v>1353</v>
      </c>
      <c r="Y129" s="89" t="s">
        <v>1354</v>
      </c>
      <c r="Z129" s="81"/>
      <c r="AA129" s="6">
        <f t="shared" si="4"/>
        <v>2</v>
      </c>
      <c r="AB129" s="80" t="str">
        <f>+IF(AND(D129&gt;'Indices y Outliers'!$I$145,D129&lt;&gt;""),1,"")</f>
        <v/>
      </c>
      <c r="AC129" s="80" t="str">
        <f>+IF(AND(G129&gt;'Indices y Outliers'!$I$153,G129&lt;&gt;""),1,"")</f>
        <v/>
      </c>
      <c r="AD129" s="7"/>
      <c r="AE129" s="7">
        <f t="shared" si="5"/>
        <v>0</v>
      </c>
    </row>
    <row r="130" spans="1:31" ht="15.75" customHeight="1">
      <c r="A130" s="7" t="s">
        <v>595</v>
      </c>
      <c r="B130" s="78">
        <v>0</v>
      </c>
      <c r="C130" s="78">
        <v>67.45</v>
      </c>
      <c r="D130" s="42">
        <f t="shared" si="0"/>
        <v>67.45</v>
      </c>
      <c r="E130" s="78">
        <v>0</v>
      </c>
      <c r="F130" s="78">
        <v>1.62</v>
      </c>
      <c r="G130" s="42">
        <f t="shared" si="1"/>
        <v>1.62</v>
      </c>
      <c r="H130" s="41">
        <v>0</v>
      </c>
      <c r="I130" s="41">
        <v>3892679</v>
      </c>
      <c r="J130" s="41">
        <f t="shared" si="2"/>
        <v>3892679</v>
      </c>
      <c r="K130" s="41">
        <v>3902198</v>
      </c>
      <c r="L130" s="79">
        <f t="shared" si="3"/>
        <v>0.99756060558690252</v>
      </c>
      <c r="M130" s="89">
        <v>1</v>
      </c>
      <c r="N130" s="89">
        <v>1</v>
      </c>
      <c r="O130" s="89">
        <v>1</v>
      </c>
      <c r="P130" s="7"/>
      <c r="Q130" s="89">
        <v>1</v>
      </c>
      <c r="R130" s="7"/>
      <c r="S130" s="7"/>
      <c r="T130" s="89" t="s">
        <v>1353</v>
      </c>
      <c r="U130" s="89" t="s">
        <v>1353</v>
      </c>
      <c r="V130" s="89" t="s">
        <v>1353</v>
      </c>
      <c r="W130" s="89" t="s">
        <v>1353</v>
      </c>
      <c r="X130" s="7"/>
      <c r="Y130" s="7"/>
      <c r="Z130" s="81"/>
      <c r="AA130" s="6">
        <f t="shared" si="4"/>
        <v>2</v>
      </c>
      <c r="AB130" s="80" t="str">
        <f>+IF(AND(D130&gt;'Indices y Outliers'!$I$145,D130&lt;&gt;""),1,"")</f>
        <v/>
      </c>
      <c r="AC130" s="80" t="str">
        <f>+IF(AND(G130&gt;'Indices y Outliers'!$I$153,G130&lt;&gt;""),1,"")</f>
        <v/>
      </c>
      <c r="AD130" s="7"/>
      <c r="AE130" s="7">
        <f t="shared" si="5"/>
        <v>0</v>
      </c>
    </row>
    <row r="131" spans="1:31" ht="15.75" customHeight="1">
      <c r="A131" s="7" t="s">
        <v>598</v>
      </c>
      <c r="B131" s="78">
        <v>0</v>
      </c>
      <c r="C131" s="78">
        <v>133.1</v>
      </c>
      <c r="D131" s="42">
        <f t="shared" si="0"/>
        <v>133.1</v>
      </c>
      <c r="E131" s="78">
        <v>0</v>
      </c>
      <c r="F131" s="78">
        <v>1.335</v>
      </c>
      <c r="G131" s="42">
        <f t="shared" si="1"/>
        <v>1.335</v>
      </c>
      <c r="H131" s="41">
        <v>0</v>
      </c>
      <c r="I131" s="41">
        <v>1504025</v>
      </c>
      <c r="J131" s="41">
        <f t="shared" si="2"/>
        <v>1504025</v>
      </c>
      <c r="K131" s="41">
        <v>1504025</v>
      </c>
      <c r="L131" s="79">
        <f t="shared" si="3"/>
        <v>1</v>
      </c>
      <c r="M131" s="89">
        <v>1</v>
      </c>
      <c r="N131" s="89">
        <v>1</v>
      </c>
      <c r="O131" s="89">
        <v>1</v>
      </c>
      <c r="P131" s="89">
        <v>1</v>
      </c>
      <c r="Q131" s="89">
        <v>1</v>
      </c>
      <c r="R131" s="7"/>
      <c r="S131" s="89" t="s">
        <v>1353</v>
      </c>
      <c r="T131" s="89" t="s">
        <v>1353</v>
      </c>
      <c r="U131" s="89" t="s">
        <v>1353</v>
      </c>
      <c r="V131" s="89" t="s">
        <v>1353</v>
      </c>
      <c r="W131" s="7"/>
      <c r="X131" s="89" t="s">
        <v>1353</v>
      </c>
      <c r="Y131" s="89" t="s">
        <v>1353</v>
      </c>
      <c r="Z131" s="81"/>
      <c r="AA131" s="6">
        <f t="shared" si="4"/>
        <v>2</v>
      </c>
      <c r="AB131" s="80" t="str">
        <f>+IF(AND(D131&gt;'Indices y Outliers'!$I$145,D131&lt;&gt;""),1,"")</f>
        <v/>
      </c>
      <c r="AC131" s="80" t="str">
        <f>+IF(AND(G131&gt;'Indices y Outliers'!$I$153,G131&lt;&gt;""),1,"")</f>
        <v/>
      </c>
      <c r="AD131" s="7"/>
      <c r="AE131" s="7">
        <f t="shared" si="5"/>
        <v>0</v>
      </c>
    </row>
    <row r="132" spans="1:31" ht="15.75" customHeight="1">
      <c r="A132" s="7" t="s">
        <v>601</v>
      </c>
      <c r="B132" s="78">
        <v>142.44999999999999</v>
      </c>
      <c r="C132" s="78">
        <v>0</v>
      </c>
      <c r="D132" s="42">
        <f t="shared" si="0"/>
        <v>142.44999999999999</v>
      </c>
      <c r="E132" s="78">
        <v>1.6</v>
      </c>
      <c r="F132" s="78">
        <v>0</v>
      </c>
      <c r="G132" s="42">
        <f t="shared" si="1"/>
        <v>1.6</v>
      </c>
      <c r="H132" s="41">
        <v>0</v>
      </c>
      <c r="I132" s="41">
        <v>2676460</v>
      </c>
      <c r="J132" s="41">
        <f t="shared" si="2"/>
        <v>2676460</v>
      </c>
      <c r="K132" s="41">
        <v>2693360</v>
      </c>
      <c r="L132" s="79">
        <f t="shared" si="3"/>
        <v>0.99372530965039951</v>
      </c>
      <c r="M132" s="89">
        <v>1</v>
      </c>
      <c r="N132" s="89">
        <v>1</v>
      </c>
      <c r="O132" s="89">
        <v>1</v>
      </c>
      <c r="P132" s="89">
        <v>1</v>
      </c>
      <c r="Q132" s="89">
        <v>1</v>
      </c>
      <c r="R132" s="7"/>
      <c r="S132" s="89" t="s">
        <v>1353</v>
      </c>
      <c r="T132" s="89" t="s">
        <v>1353</v>
      </c>
      <c r="U132" s="89" t="s">
        <v>1353</v>
      </c>
      <c r="V132" s="89" t="s">
        <v>1353</v>
      </c>
      <c r="W132" s="7"/>
      <c r="X132" s="7"/>
      <c r="Y132" s="7"/>
      <c r="Z132" s="81"/>
      <c r="AA132" s="6">
        <f t="shared" si="4"/>
        <v>2</v>
      </c>
      <c r="AB132" s="80" t="str">
        <f>+IF(AND(D132&gt;'Indices y Outliers'!$I$145,D132&lt;&gt;""),1,"")</f>
        <v/>
      </c>
      <c r="AC132" s="80" t="str">
        <f>+IF(AND(G132&gt;'Indices y Outliers'!$I$153,G132&lt;&gt;""),1,"")</f>
        <v/>
      </c>
      <c r="AD132" s="7"/>
      <c r="AE132" s="7">
        <f t="shared" si="5"/>
        <v>0</v>
      </c>
    </row>
    <row r="133" spans="1:31" ht="15.75" customHeight="1">
      <c r="A133" s="7" t="s">
        <v>607</v>
      </c>
      <c r="B133" s="78">
        <v>78.08</v>
      </c>
      <c r="C133" s="78">
        <v>0</v>
      </c>
      <c r="D133" s="42">
        <f t="shared" si="0"/>
        <v>78.08</v>
      </c>
      <c r="E133" s="78">
        <v>1.08</v>
      </c>
      <c r="F133" s="78">
        <v>0</v>
      </c>
      <c r="G133" s="42">
        <f t="shared" si="1"/>
        <v>1.08</v>
      </c>
      <c r="H133" s="41">
        <v>191455</v>
      </c>
      <c r="I133" s="41">
        <v>21</v>
      </c>
      <c r="J133" s="41">
        <f t="shared" si="2"/>
        <v>191476</v>
      </c>
      <c r="K133" s="41">
        <v>191490</v>
      </c>
      <c r="L133" s="79">
        <f t="shared" si="3"/>
        <v>0.99992688913259176</v>
      </c>
      <c r="M133" s="89">
        <v>1</v>
      </c>
      <c r="N133" s="89">
        <v>1</v>
      </c>
      <c r="O133" s="89">
        <v>1</v>
      </c>
      <c r="P133" s="89">
        <v>1</v>
      </c>
      <c r="Q133" s="89">
        <v>1</v>
      </c>
      <c r="R133" s="89">
        <v>1</v>
      </c>
      <c r="S133" s="89" t="s">
        <v>1353</v>
      </c>
      <c r="T133" s="89" t="s">
        <v>1353</v>
      </c>
      <c r="U133" s="89" t="s">
        <v>1353</v>
      </c>
      <c r="V133" s="89" t="s">
        <v>1353</v>
      </c>
      <c r="W133" s="89" t="s">
        <v>1353</v>
      </c>
      <c r="X133" s="89" t="s">
        <v>1353</v>
      </c>
      <c r="Y133" s="7"/>
      <c r="Z133" s="81"/>
      <c r="AA133" s="6">
        <f t="shared" si="4"/>
        <v>2</v>
      </c>
      <c r="AB133" s="80" t="str">
        <f>+IF(AND(D133&gt;'Indices y Outliers'!$I$145,D133&lt;&gt;""),1,"")</f>
        <v/>
      </c>
      <c r="AC133" s="80" t="str">
        <f>+IF(AND(G133&gt;'Indices y Outliers'!$I$153,G133&lt;&gt;""),1,"")</f>
        <v/>
      </c>
      <c r="AD133" s="7"/>
      <c r="AE133" s="7">
        <f t="shared" si="5"/>
        <v>0</v>
      </c>
    </row>
    <row r="134" spans="1:31" ht="15.75" customHeight="1">
      <c r="A134" s="7" t="s">
        <v>610</v>
      </c>
      <c r="B134" s="78">
        <v>0</v>
      </c>
      <c r="C134" s="78">
        <v>0</v>
      </c>
      <c r="D134" s="42" t="str">
        <f t="shared" si="0"/>
        <v/>
      </c>
      <c r="E134" s="78">
        <v>0</v>
      </c>
      <c r="F134" s="78">
        <v>0</v>
      </c>
      <c r="G134" s="42" t="str">
        <f t="shared" si="1"/>
        <v/>
      </c>
      <c r="H134" s="41">
        <v>0</v>
      </c>
      <c r="I134" s="41">
        <v>0</v>
      </c>
      <c r="J134" s="41">
        <f t="shared" si="2"/>
        <v>0</v>
      </c>
      <c r="K134" s="41">
        <v>0</v>
      </c>
      <c r="L134" s="79" t="str">
        <f t="shared" si="3"/>
        <v/>
      </c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81"/>
      <c r="AA134" s="6">
        <f t="shared" si="4"/>
        <v>0</v>
      </c>
      <c r="AB134" s="80" t="str">
        <f>+IF(AND(D134&gt;'Indices y Outliers'!$I$145,D134&lt;&gt;""),1,"")</f>
        <v/>
      </c>
      <c r="AC134" s="80" t="str">
        <f>+IF(AND(G134&gt;'Indices y Outliers'!$I$153,G134&lt;&gt;""),1,"")</f>
        <v/>
      </c>
      <c r="AD134" s="7"/>
      <c r="AE134" s="7">
        <f t="shared" si="5"/>
        <v>0</v>
      </c>
    </row>
    <row r="135" spans="1:31" ht="15.75" customHeight="1">
      <c r="A135" s="7" t="s">
        <v>613</v>
      </c>
      <c r="B135" s="78">
        <v>0</v>
      </c>
      <c r="C135" s="78">
        <v>39</v>
      </c>
      <c r="D135" s="42">
        <f t="shared" si="0"/>
        <v>39</v>
      </c>
      <c r="E135" s="78">
        <v>0</v>
      </c>
      <c r="F135" s="78">
        <v>0.53</v>
      </c>
      <c r="G135" s="42">
        <f t="shared" si="1"/>
        <v>0.53</v>
      </c>
      <c r="H135" s="41">
        <v>44550</v>
      </c>
      <c r="I135" s="41">
        <v>303545</v>
      </c>
      <c r="J135" s="41">
        <f t="shared" si="2"/>
        <v>348095</v>
      </c>
      <c r="K135" s="41">
        <v>636647</v>
      </c>
      <c r="L135" s="79">
        <f t="shared" si="3"/>
        <v>0.54676296283497761</v>
      </c>
      <c r="M135" s="89">
        <v>1</v>
      </c>
      <c r="N135" s="89">
        <v>1</v>
      </c>
      <c r="O135" s="89">
        <v>1</v>
      </c>
      <c r="P135" s="89">
        <v>1</v>
      </c>
      <c r="Q135" s="89">
        <v>1</v>
      </c>
      <c r="R135" s="89">
        <v>1</v>
      </c>
      <c r="S135" s="7"/>
      <c r="T135" s="89" t="s">
        <v>1353</v>
      </c>
      <c r="U135" s="89" t="s">
        <v>1353</v>
      </c>
      <c r="V135" s="89" t="s">
        <v>1353</v>
      </c>
      <c r="W135" s="7"/>
      <c r="X135" s="7"/>
      <c r="Y135" s="7"/>
      <c r="Z135" s="81"/>
      <c r="AA135" s="6">
        <f t="shared" si="4"/>
        <v>2</v>
      </c>
      <c r="AB135" s="80" t="str">
        <f>+IF(AND(D135&gt;'Indices y Outliers'!$I$145,D135&lt;&gt;""),1,"")</f>
        <v/>
      </c>
      <c r="AC135" s="80" t="str">
        <f>+IF(AND(G135&gt;'Indices y Outliers'!$I$153,G135&lt;&gt;""),1,"")</f>
        <v/>
      </c>
      <c r="AD135" s="7"/>
      <c r="AE135" s="7">
        <f t="shared" si="5"/>
        <v>0</v>
      </c>
    </row>
    <row r="136" spans="1:31" ht="15.75" customHeight="1">
      <c r="A136" s="7" t="s">
        <v>616</v>
      </c>
      <c r="B136" s="78">
        <v>151.32</v>
      </c>
      <c r="C136" s="78">
        <v>0</v>
      </c>
      <c r="D136" s="42">
        <f t="shared" si="0"/>
        <v>151.32</v>
      </c>
      <c r="E136" s="78">
        <v>2.02</v>
      </c>
      <c r="F136" s="78">
        <v>0</v>
      </c>
      <c r="G136" s="42">
        <f t="shared" si="1"/>
        <v>2.02</v>
      </c>
      <c r="H136" s="41">
        <v>0</v>
      </c>
      <c r="I136" s="41">
        <v>386277</v>
      </c>
      <c r="J136" s="41">
        <f t="shared" si="2"/>
        <v>386277</v>
      </c>
      <c r="K136" s="41">
        <v>389341</v>
      </c>
      <c r="L136" s="79">
        <f t="shared" si="3"/>
        <v>0.99213029195486735</v>
      </c>
      <c r="M136" s="89">
        <v>1</v>
      </c>
      <c r="N136" s="89">
        <v>1</v>
      </c>
      <c r="O136" s="89">
        <v>1</v>
      </c>
      <c r="P136" s="89">
        <v>1</v>
      </c>
      <c r="Q136" s="89">
        <v>1</v>
      </c>
      <c r="R136" s="89">
        <v>1</v>
      </c>
      <c r="S136" s="89" t="s">
        <v>1353</v>
      </c>
      <c r="T136" s="89" t="s">
        <v>1353</v>
      </c>
      <c r="U136" s="89" t="s">
        <v>1353</v>
      </c>
      <c r="V136" s="89" t="s">
        <v>1353</v>
      </c>
      <c r="W136" s="7"/>
      <c r="X136" s="89" t="s">
        <v>1353</v>
      </c>
      <c r="Y136" s="7"/>
      <c r="Z136" s="81"/>
      <c r="AA136" s="6">
        <f t="shared" si="4"/>
        <v>2</v>
      </c>
      <c r="AB136" s="80" t="str">
        <f>+IF(AND(D136&gt;'Indices y Outliers'!$I$145,D136&lt;&gt;""),1,"")</f>
        <v/>
      </c>
      <c r="AC136" s="80" t="str">
        <f>+IF(AND(G136&gt;'Indices y Outliers'!$I$153,G136&lt;&gt;""),1,"")</f>
        <v/>
      </c>
      <c r="AD136" s="7"/>
      <c r="AE136" s="7">
        <f t="shared" si="5"/>
        <v>0</v>
      </c>
    </row>
    <row r="137" spans="1:31" ht="15.75" customHeight="1">
      <c r="A137" s="7" t="s">
        <v>619</v>
      </c>
      <c r="B137" s="78">
        <v>52.15</v>
      </c>
      <c r="C137" s="78">
        <v>0</v>
      </c>
      <c r="D137" s="42">
        <f t="shared" si="0"/>
        <v>52.15</v>
      </c>
      <c r="E137" s="78">
        <v>0.56999999999999995</v>
      </c>
      <c r="F137" s="78">
        <v>0</v>
      </c>
      <c r="G137" s="42">
        <f t="shared" si="1"/>
        <v>0.56999999999999995</v>
      </c>
      <c r="H137" s="41">
        <v>0</v>
      </c>
      <c r="I137" s="41">
        <v>1067059</v>
      </c>
      <c r="J137" s="41">
        <f t="shared" si="2"/>
        <v>1067059</v>
      </c>
      <c r="K137" s="41">
        <v>1070740</v>
      </c>
      <c r="L137" s="79">
        <f t="shared" si="3"/>
        <v>0.99656219063451446</v>
      </c>
      <c r="M137" s="89">
        <v>1</v>
      </c>
      <c r="N137" s="89">
        <v>1</v>
      </c>
      <c r="O137" s="89">
        <v>1</v>
      </c>
      <c r="P137" s="89">
        <v>1</v>
      </c>
      <c r="Q137" s="89">
        <v>1</v>
      </c>
      <c r="R137" s="89">
        <v>1</v>
      </c>
      <c r="S137" s="89" t="s">
        <v>1353</v>
      </c>
      <c r="T137" s="89" t="s">
        <v>1353</v>
      </c>
      <c r="U137" s="89" t="s">
        <v>1353</v>
      </c>
      <c r="V137" s="89" t="s">
        <v>1353</v>
      </c>
      <c r="W137" s="7"/>
      <c r="X137" s="89" t="s">
        <v>1353</v>
      </c>
      <c r="Y137" s="7"/>
      <c r="Z137" s="81"/>
      <c r="AA137" s="6">
        <f t="shared" si="4"/>
        <v>2</v>
      </c>
      <c r="AB137" s="80" t="str">
        <f>+IF(AND(D137&gt;'Indices y Outliers'!$I$145,D137&lt;&gt;""),1,"")</f>
        <v/>
      </c>
      <c r="AC137" s="80" t="str">
        <f>+IF(AND(G137&gt;'Indices y Outliers'!$I$153,G137&lt;&gt;""),1,"")</f>
        <v/>
      </c>
      <c r="AD137" s="7"/>
      <c r="AE137" s="7">
        <f t="shared" si="5"/>
        <v>0</v>
      </c>
    </row>
    <row r="138" spans="1:31" ht="15.75" customHeight="1">
      <c r="A138" s="7" t="s">
        <v>622</v>
      </c>
      <c r="B138" s="78">
        <v>127.613</v>
      </c>
      <c r="C138" s="78">
        <v>0</v>
      </c>
      <c r="D138" s="42">
        <f t="shared" si="0"/>
        <v>127.613</v>
      </c>
      <c r="E138" s="78">
        <v>3.8260000000000001</v>
      </c>
      <c r="F138" s="78">
        <v>0</v>
      </c>
      <c r="G138" s="42">
        <f t="shared" si="1"/>
        <v>3.8260000000000001</v>
      </c>
      <c r="H138" s="41">
        <v>426</v>
      </c>
      <c r="I138" s="41">
        <v>45009</v>
      </c>
      <c r="J138" s="41">
        <f t="shared" si="2"/>
        <v>45435</v>
      </c>
      <c r="K138" s="41">
        <v>47380</v>
      </c>
      <c r="L138" s="79">
        <f t="shared" si="3"/>
        <v>0.95894892359645423</v>
      </c>
      <c r="M138" s="89">
        <v>1</v>
      </c>
      <c r="N138" s="89">
        <v>1</v>
      </c>
      <c r="O138" s="89">
        <v>1</v>
      </c>
      <c r="P138" s="89">
        <v>1</v>
      </c>
      <c r="Q138" s="89">
        <v>1</v>
      </c>
      <c r="R138" s="89">
        <v>1</v>
      </c>
      <c r="S138" s="89" t="s">
        <v>1353</v>
      </c>
      <c r="T138" s="89" t="s">
        <v>1353</v>
      </c>
      <c r="U138" s="89" t="s">
        <v>1353</v>
      </c>
      <c r="V138" s="89" t="s">
        <v>1353</v>
      </c>
      <c r="W138" s="7"/>
      <c r="X138" s="89" t="s">
        <v>1353</v>
      </c>
      <c r="Y138" s="7"/>
      <c r="Z138" s="81"/>
      <c r="AA138" s="6">
        <f t="shared" si="4"/>
        <v>2</v>
      </c>
      <c r="AB138" s="80" t="str">
        <f>+IF(AND(D138&gt;'Indices y Outliers'!$I$145,D138&lt;&gt;""),1,"")</f>
        <v/>
      </c>
      <c r="AC138" s="80" t="str">
        <f>+IF(AND(G138&gt;'Indices y Outliers'!$I$153,G138&lt;&gt;""),1,"")</f>
        <v/>
      </c>
      <c r="AD138" s="7"/>
      <c r="AE138" s="7">
        <f t="shared" si="5"/>
        <v>0</v>
      </c>
    </row>
    <row r="139" spans="1:31" ht="15.75" customHeight="1">
      <c r="A139" s="7" t="s">
        <v>625</v>
      </c>
      <c r="B139" s="78">
        <v>0</v>
      </c>
      <c r="C139" s="78">
        <v>0</v>
      </c>
      <c r="D139" s="42" t="str">
        <f t="shared" si="0"/>
        <v/>
      </c>
      <c r="E139" s="78">
        <v>0</v>
      </c>
      <c r="F139" s="78">
        <v>0</v>
      </c>
      <c r="G139" s="42" t="str">
        <f t="shared" si="1"/>
        <v/>
      </c>
      <c r="H139" s="41">
        <v>0</v>
      </c>
      <c r="I139" s="41">
        <v>0</v>
      </c>
      <c r="J139" s="41">
        <f t="shared" si="2"/>
        <v>0</v>
      </c>
      <c r="K139" s="41">
        <v>0</v>
      </c>
      <c r="L139" s="79" t="str">
        <f t="shared" si="3"/>
        <v/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81"/>
      <c r="AA139" s="6">
        <f t="shared" si="4"/>
        <v>0</v>
      </c>
      <c r="AB139" s="80" t="str">
        <f>+IF(AND(D139&gt;'Indices y Outliers'!$I$145,D139&lt;&gt;""),1,"")</f>
        <v/>
      </c>
      <c r="AC139" s="80" t="str">
        <f>+IF(AND(G139&gt;'Indices y Outliers'!$I$153,G139&lt;&gt;""),1,"")</f>
        <v/>
      </c>
      <c r="AD139" s="7"/>
      <c r="AE139" s="7">
        <f t="shared" si="5"/>
        <v>0</v>
      </c>
    </row>
    <row r="140" spans="1:31" ht="15.75" customHeight="1">
      <c r="A140" s="7" t="s">
        <v>628</v>
      </c>
      <c r="B140" s="78">
        <v>0</v>
      </c>
      <c r="C140" s="78">
        <v>0</v>
      </c>
      <c r="D140" s="42" t="str">
        <f t="shared" si="0"/>
        <v/>
      </c>
      <c r="E140" s="78">
        <v>0</v>
      </c>
      <c r="F140" s="78">
        <v>0</v>
      </c>
      <c r="G140" s="42" t="str">
        <f t="shared" si="1"/>
        <v/>
      </c>
      <c r="H140" s="41">
        <v>0</v>
      </c>
      <c r="I140" s="41">
        <v>0</v>
      </c>
      <c r="J140" s="41">
        <f t="shared" si="2"/>
        <v>0</v>
      </c>
      <c r="K140" s="41">
        <v>0</v>
      </c>
      <c r="L140" s="79" t="str">
        <f t="shared" si="3"/>
        <v/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81"/>
      <c r="AA140" s="6">
        <f t="shared" si="4"/>
        <v>0</v>
      </c>
      <c r="AB140" s="80" t="str">
        <f>+IF(AND(D140&gt;'Indices y Outliers'!$I$145,D140&lt;&gt;""),1,"")</f>
        <v/>
      </c>
      <c r="AC140" s="80" t="str">
        <f>+IF(AND(G140&gt;'Indices y Outliers'!$I$153,G140&lt;&gt;""),1,"")</f>
        <v/>
      </c>
      <c r="AD140" s="7"/>
      <c r="AE140" s="7">
        <f t="shared" si="5"/>
        <v>0</v>
      </c>
    </row>
    <row r="141" spans="1:31" ht="15.75" customHeight="1">
      <c r="A141" s="7" t="s">
        <v>631</v>
      </c>
      <c r="B141" s="78">
        <v>0</v>
      </c>
      <c r="C141" s="78">
        <v>0</v>
      </c>
      <c r="D141" s="42" t="str">
        <f t="shared" si="0"/>
        <v/>
      </c>
      <c r="E141" s="78">
        <v>0</v>
      </c>
      <c r="F141" s="78">
        <v>0</v>
      </c>
      <c r="G141" s="42" t="str">
        <f t="shared" si="1"/>
        <v/>
      </c>
      <c r="H141" s="41">
        <v>0</v>
      </c>
      <c r="I141" s="41">
        <v>0</v>
      </c>
      <c r="J141" s="41">
        <f t="shared" si="2"/>
        <v>0</v>
      </c>
      <c r="K141" s="41">
        <v>0</v>
      </c>
      <c r="L141" s="79" t="str">
        <f t="shared" si="3"/>
        <v/>
      </c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81"/>
      <c r="AA141" s="6">
        <f t="shared" si="4"/>
        <v>0</v>
      </c>
      <c r="AB141" s="80" t="str">
        <f>+IF(AND(D141&gt;'Indices y Outliers'!$I$145,D141&lt;&gt;""),1,"")</f>
        <v/>
      </c>
      <c r="AC141" s="80" t="str">
        <f>+IF(AND(G141&gt;'Indices y Outliers'!$I$153,G141&lt;&gt;""),1,"")</f>
        <v/>
      </c>
      <c r="AD141" s="7"/>
      <c r="AE141" s="7">
        <f t="shared" si="5"/>
        <v>0</v>
      </c>
    </row>
    <row r="142" spans="1:31" ht="15.75" customHeight="1">
      <c r="A142" s="7" t="s">
        <v>634</v>
      </c>
      <c r="B142" s="78">
        <v>112.7</v>
      </c>
      <c r="C142" s="78">
        <v>0</v>
      </c>
      <c r="D142" s="42">
        <f t="shared" si="0"/>
        <v>112.7</v>
      </c>
      <c r="E142" s="78">
        <v>2.0499999999999998</v>
      </c>
      <c r="F142" s="78">
        <v>0</v>
      </c>
      <c r="G142" s="42">
        <f t="shared" si="1"/>
        <v>2.0499999999999998</v>
      </c>
      <c r="H142" s="41">
        <v>89</v>
      </c>
      <c r="I142" s="41">
        <v>150375</v>
      </c>
      <c r="J142" s="41">
        <f t="shared" si="2"/>
        <v>150464</v>
      </c>
      <c r="K142" s="41">
        <v>150464</v>
      </c>
      <c r="L142" s="79">
        <f t="shared" si="3"/>
        <v>1</v>
      </c>
      <c r="M142" s="89">
        <v>1</v>
      </c>
      <c r="N142" s="89">
        <v>1</v>
      </c>
      <c r="O142" s="89">
        <v>1</v>
      </c>
      <c r="P142" s="89">
        <v>1</v>
      </c>
      <c r="Q142" s="89">
        <v>1</v>
      </c>
      <c r="R142" s="89">
        <v>1</v>
      </c>
      <c r="S142" s="89" t="s">
        <v>1353</v>
      </c>
      <c r="T142" s="89" t="s">
        <v>1353</v>
      </c>
      <c r="U142" s="89" t="s">
        <v>1353</v>
      </c>
      <c r="V142" s="89" t="s">
        <v>1353</v>
      </c>
      <c r="W142" s="7"/>
      <c r="X142" s="89" t="s">
        <v>1353</v>
      </c>
      <c r="Y142" s="7"/>
      <c r="Z142" s="81"/>
      <c r="AA142" s="6">
        <f t="shared" si="4"/>
        <v>2</v>
      </c>
      <c r="AB142" s="80" t="str">
        <f>+IF(AND(D142&gt;'Indices y Outliers'!$I$145,D142&lt;&gt;""),1,"")</f>
        <v/>
      </c>
      <c r="AC142" s="80" t="str">
        <f>+IF(AND(G142&gt;'Indices y Outliers'!$I$153,G142&lt;&gt;""),1,"")</f>
        <v/>
      </c>
      <c r="AD142" s="7"/>
      <c r="AE142" s="7">
        <f t="shared" si="5"/>
        <v>0</v>
      </c>
    </row>
    <row r="143" spans="1:31" ht="15.75" customHeight="1">
      <c r="A143" s="7" t="s">
        <v>637</v>
      </c>
      <c r="B143" s="78">
        <v>0</v>
      </c>
      <c r="C143" s="78">
        <v>0</v>
      </c>
      <c r="D143" s="42" t="str">
        <f t="shared" si="0"/>
        <v/>
      </c>
      <c r="E143" s="78">
        <v>0</v>
      </c>
      <c r="F143" s="78">
        <v>0</v>
      </c>
      <c r="G143" s="42" t="str">
        <f t="shared" si="1"/>
        <v/>
      </c>
      <c r="H143" s="41">
        <v>0</v>
      </c>
      <c r="I143" s="41">
        <v>0</v>
      </c>
      <c r="J143" s="41">
        <f t="shared" si="2"/>
        <v>0</v>
      </c>
      <c r="K143" s="41">
        <v>0</v>
      </c>
      <c r="L143" s="79" t="str">
        <f t="shared" si="3"/>
        <v/>
      </c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81"/>
      <c r="AA143" s="6">
        <f t="shared" si="4"/>
        <v>0</v>
      </c>
      <c r="AB143" s="80" t="str">
        <f>+IF(AND(D143&gt;'Indices y Outliers'!$I$145,D143&lt;&gt;""),1,"")</f>
        <v/>
      </c>
      <c r="AC143" s="80" t="str">
        <f>+IF(AND(G143&gt;'Indices y Outliers'!$I$153,G143&lt;&gt;""),1,"")</f>
        <v/>
      </c>
      <c r="AD143" s="7"/>
      <c r="AE143" s="7">
        <f t="shared" si="5"/>
        <v>0</v>
      </c>
    </row>
    <row r="144" spans="1:31" ht="15.75" customHeight="1">
      <c r="A144" s="7" t="s">
        <v>640</v>
      </c>
      <c r="B144" s="78">
        <v>87.347999999999999</v>
      </c>
      <c r="C144" s="78">
        <v>0</v>
      </c>
      <c r="D144" s="42">
        <f t="shared" si="0"/>
        <v>87.347999999999999</v>
      </c>
      <c r="E144" s="78">
        <v>1.696</v>
      </c>
      <c r="F144" s="78">
        <v>0</v>
      </c>
      <c r="G144" s="42">
        <f t="shared" si="1"/>
        <v>1.696</v>
      </c>
      <c r="H144" s="41">
        <v>0</v>
      </c>
      <c r="I144" s="41">
        <v>100423</v>
      </c>
      <c r="J144" s="41">
        <f t="shared" si="2"/>
        <v>100423</v>
      </c>
      <c r="K144" s="41">
        <v>100423</v>
      </c>
      <c r="L144" s="79">
        <f t="shared" si="3"/>
        <v>1</v>
      </c>
      <c r="M144" s="89">
        <v>1</v>
      </c>
      <c r="N144" s="7"/>
      <c r="O144" s="89">
        <v>1</v>
      </c>
      <c r="P144" s="7"/>
      <c r="Q144" s="89">
        <v>1</v>
      </c>
      <c r="R144" s="89">
        <v>1</v>
      </c>
      <c r="S144" s="89" t="s">
        <v>1353</v>
      </c>
      <c r="T144" s="89" t="s">
        <v>1353</v>
      </c>
      <c r="U144" s="89" t="s">
        <v>1353</v>
      </c>
      <c r="V144" s="89" t="s">
        <v>1353</v>
      </c>
      <c r="W144" s="7"/>
      <c r="X144" s="89" t="s">
        <v>1353</v>
      </c>
      <c r="Y144" s="7"/>
      <c r="Z144" s="81"/>
      <c r="AA144" s="6">
        <f t="shared" si="4"/>
        <v>2</v>
      </c>
      <c r="AB144" s="80" t="str">
        <f>+IF(AND(D144&gt;'Indices y Outliers'!$I$145,D144&lt;&gt;""),1,"")</f>
        <v/>
      </c>
      <c r="AC144" s="80" t="str">
        <f>+IF(AND(G144&gt;'Indices y Outliers'!$I$153,G144&lt;&gt;""),1,"")</f>
        <v/>
      </c>
      <c r="AD144" s="7"/>
      <c r="AE144" s="7">
        <f t="shared" si="5"/>
        <v>0</v>
      </c>
    </row>
    <row r="145" spans="1:31" ht="15.75" customHeight="1">
      <c r="A145" s="7" t="s">
        <v>643</v>
      </c>
      <c r="B145" s="78">
        <v>0</v>
      </c>
      <c r="C145" s="78">
        <v>0</v>
      </c>
      <c r="D145" s="42" t="str">
        <f t="shared" si="0"/>
        <v/>
      </c>
      <c r="E145" s="78">
        <v>0</v>
      </c>
      <c r="F145" s="78">
        <v>0</v>
      </c>
      <c r="G145" s="42" t="str">
        <f t="shared" si="1"/>
        <v/>
      </c>
      <c r="H145" s="41">
        <v>0</v>
      </c>
      <c r="I145" s="41">
        <v>0</v>
      </c>
      <c r="J145" s="41">
        <f t="shared" si="2"/>
        <v>0</v>
      </c>
      <c r="K145" s="41">
        <v>0</v>
      </c>
      <c r="L145" s="79" t="str">
        <f t="shared" si="3"/>
        <v/>
      </c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81"/>
      <c r="AA145" s="6">
        <f t="shared" si="4"/>
        <v>0</v>
      </c>
      <c r="AB145" s="80" t="str">
        <f>+IF(AND(D145&gt;'Indices y Outliers'!$I$145,D145&lt;&gt;""),1,"")</f>
        <v/>
      </c>
      <c r="AC145" s="80" t="str">
        <f>+IF(AND(G145&gt;'Indices y Outliers'!$I$153,G145&lt;&gt;""),1,"")</f>
        <v/>
      </c>
      <c r="AD145" s="7"/>
      <c r="AE145" s="7">
        <f t="shared" si="5"/>
        <v>0</v>
      </c>
    </row>
    <row r="146" spans="1:31" ht="15.75" customHeight="1">
      <c r="A146" s="7" t="s">
        <v>646</v>
      </c>
      <c r="B146" s="78">
        <v>0</v>
      </c>
      <c r="C146" s="78">
        <v>0</v>
      </c>
      <c r="D146" s="42" t="str">
        <f t="shared" si="0"/>
        <v/>
      </c>
      <c r="E146" s="78">
        <v>0</v>
      </c>
      <c r="F146" s="78">
        <v>0</v>
      </c>
      <c r="G146" s="42" t="str">
        <f t="shared" si="1"/>
        <v/>
      </c>
      <c r="H146" s="41">
        <v>50</v>
      </c>
      <c r="I146" s="41">
        <v>100</v>
      </c>
      <c r="J146" s="41">
        <f t="shared" si="2"/>
        <v>150</v>
      </c>
      <c r="K146" s="41">
        <v>154</v>
      </c>
      <c r="L146" s="79">
        <f t="shared" si="3"/>
        <v>0.97402597402597402</v>
      </c>
      <c r="M146" s="89">
        <v>1</v>
      </c>
      <c r="N146" s="7"/>
      <c r="O146" s="89">
        <v>1</v>
      </c>
      <c r="P146" s="7"/>
      <c r="Q146" s="7"/>
      <c r="R146" s="7"/>
      <c r="S146" s="89" t="s">
        <v>1353</v>
      </c>
      <c r="T146" s="7"/>
      <c r="U146" s="7"/>
      <c r="V146" s="89" t="s">
        <v>1353</v>
      </c>
      <c r="W146" s="7"/>
      <c r="X146" s="7"/>
      <c r="Y146" s="7"/>
      <c r="Z146" s="81"/>
      <c r="AA146" s="6">
        <f t="shared" si="4"/>
        <v>0</v>
      </c>
      <c r="AB146" s="80" t="str">
        <f>+IF(AND(D146&gt;'Indices y Outliers'!$I$145,D146&lt;&gt;""),1,"")</f>
        <v/>
      </c>
      <c r="AC146" s="80" t="str">
        <f>+IF(AND(G146&gt;'Indices y Outliers'!$I$153,G146&lt;&gt;""),1,"")</f>
        <v/>
      </c>
      <c r="AD146" s="7"/>
      <c r="AE146" s="7">
        <f t="shared" si="5"/>
        <v>0</v>
      </c>
    </row>
    <row r="147" spans="1:31" ht="15.75" customHeight="1">
      <c r="A147" s="7" t="s">
        <v>649</v>
      </c>
      <c r="B147" s="78">
        <v>0</v>
      </c>
      <c r="C147" s="78">
        <v>280.8</v>
      </c>
      <c r="D147" s="42">
        <f t="shared" si="0"/>
        <v>280.8</v>
      </c>
      <c r="E147" s="78">
        <v>0</v>
      </c>
      <c r="F147" s="78">
        <v>2.77</v>
      </c>
      <c r="G147" s="42">
        <f t="shared" si="1"/>
        <v>2.77</v>
      </c>
      <c r="H147" s="41">
        <v>0</v>
      </c>
      <c r="I147" s="41">
        <v>275840</v>
      </c>
      <c r="J147" s="41">
        <f t="shared" si="2"/>
        <v>275840</v>
      </c>
      <c r="K147" s="41">
        <v>285688</v>
      </c>
      <c r="L147" s="79">
        <f t="shared" si="3"/>
        <v>0.96552882865223599</v>
      </c>
      <c r="M147" s="89">
        <v>1</v>
      </c>
      <c r="N147" s="89">
        <v>1</v>
      </c>
      <c r="O147" s="89">
        <v>1</v>
      </c>
      <c r="P147" s="89">
        <v>1</v>
      </c>
      <c r="Q147" s="7"/>
      <c r="R147" s="89">
        <v>1</v>
      </c>
      <c r="S147" s="89" t="s">
        <v>1353</v>
      </c>
      <c r="T147" s="89" t="s">
        <v>1353</v>
      </c>
      <c r="U147" s="89" t="s">
        <v>1353</v>
      </c>
      <c r="V147" s="89" t="s">
        <v>1353</v>
      </c>
      <c r="W147" s="89" t="s">
        <v>1353</v>
      </c>
      <c r="X147" s="89" t="s">
        <v>1353</v>
      </c>
      <c r="Y147" s="89" t="s">
        <v>1353</v>
      </c>
      <c r="Z147" s="81"/>
      <c r="AA147" s="6">
        <f t="shared" si="4"/>
        <v>2</v>
      </c>
      <c r="AB147" s="80" t="str">
        <f>+IF(AND(D147&gt;'Indices y Outliers'!$I$145,D147&lt;&gt;""),1,"")</f>
        <v/>
      </c>
      <c r="AC147" s="80" t="str">
        <f>+IF(AND(G147&gt;'Indices y Outliers'!$I$153,G147&lt;&gt;""),1,"")</f>
        <v/>
      </c>
      <c r="AD147" s="7"/>
      <c r="AE147" s="7">
        <f t="shared" si="5"/>
        <v>0</v>
      </c>
    </row>
    <row r="148" spans="1:31" ht="15.75" customHeight="1">
      <c r="A148" s="7" t="s">
        <v>652</v>
      </c>
      <c r="B148" s="78">
        <v>0</v>
      </c>
      <c r="C148" s="78">
        <v>135.88999999999999</v>
      </c>
      <c r="D148" s="42">
        <f t="shared" si="0"/>
        <v>135.88999999999999</v>
      </c>
      <c r="E148" s="78">
        <v>0</v>
      </c>
      <c r="F148" s="78">
        <v>0.95699999999999996</v>
      </c>
      <c r="G148" s="42">
        <f t="shared" si="1"/>
        <v>0.95699999999999996</v>
      </c>
      <c r="H148" s="41">
        <v>0</v>
      </c>
      <c r="I148" s="41">
        <v>71329</v>
      </c>
      <c r="J148" s="41">
        <f t="shared" si="2"/>
        <v>71329</v>
      </c>
      <c r="K148" s="41">
        <v>71347</v>
      </c>
      <c r="L148" s="79">
        <f t="shared" si="3"/>
        <v>0.99974771188697498</v>
      </c>
      <c r="M148" s="89">
        <v>1</v>
      </c>
      <c r="N148" s="89">
        <v>1</v>
      </c>
      <c r="O148" s="89">
        <v>1</v>
      </c>
      <c r="P148" s="89">
        <v>1</v>
      </c>
      <c r="Q148" s="89">
        <v>1</v>
      </c>
      <c r="R148" s="89">
        <v>1</v>
      </c>
      <c r="S148" s="89" t="s">
        <v>1353</v>
      </c>
      <c r="T148" s="89" t="s">
        <v>1353</v>
      </c>
      <c r="U148" s="89" t="s">
        <v>1353</v>
      </c>
      <c r="V148" s="89" t="s">
        <v>1353</v>
      </c>
      <c r="W148" s="89" t="s">
        <v>1353</v>
      </c>
      <c r="X148" s="89" t="s">
        <v>1353</v>
      </c>
      <c r="Y148" s="7"/>
      <c r="Z148" s="81"/>
      <c r="AA148" s="6">
        <f t="shared" si="4"/>
        <v>2</v>
      </c>
      <c r="AB148" s="80" t="str">
        <f>+IF(AND(D148&gt;'Indices y Outliers'!$I$145,D148&lt;&gt;""),1,"")</f>
        <v/>
      </c>
      <c r="AC148" s="80" t="str">
        <f>+IF(AND(G148&gt;'Indices y Outliers'!$I$153,G148&lt;&gt;""),1,"")</f>
        <v/>
      </c>
      <c r="AD148" s="7"/>
      <c r="AE148" s="7">
        <f t="shared" si="5"/>
        <v>0</v>
      </c>
    </row>
    <row r="149" spans="1:31" ht="15.75" customHeight="1">
      <c r="A149" s="7" t="s">
        <v>655</v>
      </c>
      <c r="B149" s="78">
        <v>118.554</v>
      </c>
      <c r="C149" s="78">
        <v>0</v>
      </c>
      <c r="D149" s="42">
        <f t="shared" si="0"/>
        <v>118.554</v>
      </c>
      <c r="E149" s="78">
        <v>1.1419999999999999</v>
      </c>
      <c r="F149" s="78">
        <v>0</v>
      </c>
      <c r="G149" s="42">
        <f t="shared" si="1"/>
        <v>1.1419999999999999</v>
      </c>
      <c r="H149" s="41">
        <v>373943</v>
      </c>
      <c r="I149" s="41">
        <v>0</v>
      </c>
      <c r="J149" s="41">
        <f t="shared" si="2"/>
        <v>373943</v>
      </c>
      <c r="K149" s="41">
        <v>396123</v>
      </c>
      <c r="L149" s="79">
        <f t="shared" si="3"/>
        <v>0.94400729066476829</v>
      </c>
      <c r="M149" s="89">
        <v>1</v>
      </c>
      <c r="N149" s="7"/>
      <c r="O149" s="89">
        <v>1</v>
      </c>
      <c r="P149" s="7"/>
      <c r="Q149" s="89">
        <v>1</v>
      </c>
      <c r="R149" s="89">
        <v>1</v>
      </c>
      <c r="S149" s="89" t="s">
        <v>1353</v>
      </c>
      <c r="T149" s="89" t="s">
        <v>1353</v>
      </c>
      <c r="U149" s="89" t="s">
        <v>1353</v>
      </c>
      <c r="V149" s="89" t="s">
        <v>1353</v>
      </c>
      <c r="W149" s="7"/>
      <c r="X149" s="7"/>
      <c r="Y149" s="89" t="s">
        <v>1353</v>
      </c>
      <c r="Z149" s="81"/>
      <c r="AA149" s="6">
        <f t="shared" si="4"/>
        <v>2</v>
      </c>
      <c r="AB149" s="80" t="str">
        <f>+IF(AND(D149&gt;'Indices y Outliers'!$I$145,D149&lt;&gt;""),1,"")</f>
        <v/>
      </c>
      <c r="AC149" s="80" t="str">
        <f>+IF(AND(G149&gt;'Indices y Outliers'!$I$153,G149&lt;&gt;""),1,"")</f>
        <v/>
      </c>
      <c r="AD149" s="7"/>
      <c r="AE149" s="7">
        <f t="shared" si="5"/>
        <v>0</v>
      </c>
    </row>
    <row r="150" spans="1:31" ht="15.75" customHeight="1">
      <c r="A150" s="7" t="s">
        <v>658</v>
      </c>
      <c r="B150" s="78">
        <v>170.15</v>
      </c>
      <c r="C150" s="78">
        <v>0</v>
      </c>
      <c r="D150" s="42">
        <f t="shared" si="0"/>
        <v>170.15</v>
      </c>
      <c r="E150" s="78">
        <v>1.9370000000000001</v>
      </c>
      <c r="F150" s="78">
        <v>0</v>
      </c>
      <c r="G150" s="42">
        <f t="shared" si="1"/>
        <v>1.9370000000000001</v>
      </c>
      <c r="H150" s="41">
        <v>10379</v>
      </c>
      <c r="I150" s="41">
        <v>2712661</v>
      </c>
      <c r="J150" s="41">
        <f t="shared" si="2"/>
        <v>2723040</v>
      </c>
      <c r="K150" s="41">
        <v>2723180</v>
      </c>
      <c r="L150" s="79">
        <f t="shared" si="3"/>
        <v>0.99994858951666798</v>
      </c>
      <c r="M150" s="89">
        <v>1</v>
      </c>
      <c r="N150" s="89">
        <v>1</v>
      </c>
      <c r="O150" s="89">
        <v>1</v>
      </c>
      <c r="P150" s="7"/>
      <c r="Q150" s="89">
        <v>1</v>
      </c>
      <c r="R150" s="7"/>
      <c r="S150" s="7"/>
      <c r="T150" s="89" t="s">
        <v>1353</v>
      </c>
      <c r="U150" s="89" t="s">
        <v>1353</v>
      </c>
      <c r="V150" s="89" t="s">
        <v>1353</v>
      </c>
      <c r="W150" s="7"/>
      <c r="X150" s="7"/>
      <c r="Y150" s="7"/>
      <c r="Z150" s="81"/>
      <c r="AA150" s="6">
        <f t="shared" si="4"/>
        <v>2</v>
      </c>
      <c r="AB150" s="80" t="str">
        <f>+IF(AND(D150&gt;'Indices y Outliers'!$I$145,D150&lt;&gt;""),1,"")</f>
        <v/>
      </c>
      <c r="AC150" s="80" t="str">
        <f>+IF(AND(G150&gt;'Indices y Outliers'!$I$153,G150&lt;&gt;""),1,"")</f>
        <v/>
      </c>
      <c r="AD150" s="7"/>
      <c r="AE150" s="7">
        <f t="shared" si="5"/>
        <v>0</v>
      </c>
    </row>
    <row r="151" spans="1:31" ht="15.75" customHeight="1">
      <c r="A151" s="7" t="s">
        <v>661</v>
      </c>
      <c r="B151" s="78">
        <v>0</v>
      </c>
      <c r="C151" s="78">
        <v>0</v>
      </c>
      <c r="D151" s="42" t="str">
        <f t="shared" si="0"/>
        <v/>
      </c>
      <c r="E151" s="78">
        <v>0</v>
      </c>
      <c r="F151" s="78">
        <v>1.204</v>
      </c>
      <c r="G151" s="42">
        <f t="shared" si="1"/>
        <v>1.204</v>
      </c>
      <c r="H151" s="41">
        <v>25477</v>
      </c>
      <c r="I151" s="41">
        <v>0</v>
      </c>
      <c r="J151" s="41">
        <f t="shared" si="2"/>
        <v>25477</v>
      </c>
      <c r="K151" s="41">
        <v>25477</v>
      </c>
      <c r="L151" s="79">
        <f t="shared" si="3"/>
        <v>1</v>
      </c>
      <c r="M151" s="89">
        <v>1</v>
      </c>
      <c r="N151" s="89">
        <v>1</v>
      </c>
      <c r="O151" s="89">
        <v>1</v>
      </c>
      <c r="P151" s="89">
        <v>1</v>
      </c>
      <c r="Q151" s="89">
        <v>1</v>
      </c>
      <c r="R151" s="89">
        <v>1</v>
      </c>
      <c r="S151" s="89" t="s">
        <v>1353</v>
      </c>
      <c r="T151" s="89" t="s">
        <v>1353</v>
      </c>
      <c r="U151" s="89" t="s">
        <v>1353</v>
      </c>
      <c r="V151" s="89" t="s">
        <v>1353</v>
      </c>
      <c r="W151" s="7"/>
      <c r="X151" s="89" t="s">
        <v>1354</v>
      </c>
      <c r="Y151" s="7"/>
      <c r="Z151" s="81"/>
      <c r="AA151" s="6">
        <f t="shared" si="4"/>
        <v>0</v>
      </c>
      <c r="AB151" s="80" t="str">
        <f>+IF(AND(D151&gt;'Indices y Outliers'!$I$145,D151&lt;&gt;""),1,"")</f>
        <v/>
      </c>
      <c r="AC151" s="80" t="str">
        <f>+IF(AND(G151&gt;'Indices y Outliers'!$I$153,G151&lt;&gt;""),1,"")</f>
        <v/>
      </c>
      <c r="AD151" s="7"/>
      <c r="AE151" s="7">
        <f t="shared" si="5"/>
        <v>0</v>
      </c>
    </row>
    <row r="152" spans="1:31" ht="15.75" customHeight="1">
      <c r="A152" s="7" t="s">
        <v>664</v>
      </c>
      <c r="B152" s="78">
        <v>0</v>
      </c>
      <c r="C152" s="78">
        <v>0</v>
      </c>
      <c r="D152" s="42" t="str">
        <f t="shared" si="0"/>
        <v/>
      </c>
      <c r="E152" s="78">
        <v>0</v>
      </c>
      <c r="F152" s="78">
        <v>0</v>
      </c>
      <c r="G152" s="42" t="str">
        <f t="shared" si="1"/>
        <v/>
      </c>
      <c r="H152" s="41">
        <v>0</v>
      </c>
      <c r="I152" s="41">
        <v>0</v>
      </c>
      <c r="J152" s="41">
        <f t="shared" si="2"/>
        <v>0</v>
      </c>
      <c r="K152" s="41">
        <v>0</v>
      </c>
      <c r="L152" s="79" t="str">
        <f t="shared" si="3"/>
        <v/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81"/>
      <c r="AA152" s="6">
        <f t="shared" si="4"/>
        <v>0</v>
      </c>
      <c r="AB152" s="80" t="str">
        <f>+IF(AND(D152&gt;'Indices y Outliers'!$I$145,D152&lt;&gt;""),1,"")</f>
        <v/>
      </c>
      <c r="AC152" s="80" t="str">
        <f>+IF(AND(G152&gt;'Indices y Outliers'!$I$153,G152&lt;&gt;""),1,"")</f>
        <v/>
      </c>
      <c r="AD152" s="7"/>
      <c r="AE152" s="7">
        <f t="shared" si="5"/>
        <v>0</v>
      </c>
    </row>
    <row r="153" spans="1:31" ht="15.75" customHeight="1">
      <c r="A153" s="7" t="s">
        <v>667</v>
      </c>
      <c r="B153" s="78">
        <v>0</v>
      </c>
      <c r="C153" s="78">
        <v>0</v>
      </c>
      <c r="D153" s="42" t="str">
        <f t="shared" si="0"/>
        <v/>
      </c>
      <c r="E153" s="78">
        <v>0</v>
      </c>
      <c r="F153" s="78">
        <v>0</v>
      </c>
      <c r="G153" s="42" t="str">
        <f t="shared" si="1"/>
        <v/>
      </c>
      <c r="H153" s="41">
        <v>0</v>
      </c>
      <c r="I153" s="41">
        <v>0</v>
      </c>
      <c r="J153" s="41">
        <f t="shared" si="2"/>
        <v>0</v>
      </c>
      <c r="K153" s="41">
        <v>0</v>
      </c>
      <c r="L153" s="79" t="str">
        <f t="shared" si="3"/>
        <v/>
      </c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81"/>
      <c r="AA153" s="6">
        <f t="shared" si="4"/>
        <v>0</v>
      </c>
      <c r="AB153" s="80" t="str">
        <f>+IF(AND(D153&gt;'Indices y Outliers'!$I$145,D153&lt;&gt;""),1,"")</f>
        <v/>
      </c>
      <c r="AC153" s="80" t="str">
        <f>+IF(AND(G153&gt;'Indices y Outliers'!$I$153,G153&lt;&gt;""),1,"")</f>
        <v/>
      </c>
      <c r="AD153" s="7"/>
      <c r="AE153" s="7">
        <f t="shared" si="5"/>
        <v>0</v>
      </c>
    </row>
    <row r="154" spans="1:31" ht="15.75" customHeight="1">
      <c r="A154" s="7" t="s">
        <v>670</v>
      </c>
      <c r="B154" s="78">
        <v>111</v>
      </c>
      <c r="C154" s="78">
        <v>0</v>
      </c>
      <c r="D154" s="42">
        <f t="shared" si="0"/>
        <v>111</v>
      </c>
      <c r="E154" s="78">
        <v>0.87</v>
      </c>
      <c r="F154" s="78">
        <v>0</v>
      </c>
      <c r="G154" s="42">
        <f t="shared" si="1"/>
        <v>0.87</v>
      </c>
      <c r="H154" s="41">
        <v>59646</v>
      </c>
      <c r="I154" s="41">
        <v>0</v>
      </c>
      <c r="J154" s="41">
        <f t="shared" si="2"/>
        <v>59646</v>
      </c>
      <c r="K154" s="41">
        <v>63756</v>
      </c>
      <c r="L154" s="79">
        <f t="shared" si="3"/>
        <v>0.9355354790137399</v>
      </c>
      <c r="M154" s="89">
        <v>1</v>
      </c>
      <c r="N154" s="7"/>
      <c r="O154" s="89">
        <v>1</v>
      </c>
      <c r="P154" s="89">
        <v>1</v>
      </c>
      <c r="Q154" s="89">
        <v>1</v>
      </c>
      <c r="R154" s="89">
        <v>1</v>
      </c>
      <c r="S154" s="7"/>
      <c r="T154" s="89" t="s">
        <v>1353</v>
      </c>
      <c r="U154" s="89" t="s">
        <v>1353</v>
      </c>
      <c r="V154" s="89" t="s">
        <v>1353</v>
      </c>
      <c r="W154" s="7"/>
      <c r="X154" s="7"/>
      <c r="Y154" s="89" t="s">
        <v>1353</v>
      </c>
      <c r="Z154" s="81"/>
      <c r="AA154" s="6">
        <f t="shared" si="4"/>
        <v>2</v>
      </c>
      <c r="AB154" s="80" t="str">
        <f>+IF(AND(D154&gt;'Indices y Outliers'!$I$145,D154&lt;&gt;""),1,"")</f>
        <v/>
      </c>
      <c r="AC154" s="80" t="str">
        <f>+IF(AND(G154&gt;'Indices y Outliers'!$I$153,G154&lt;&gt;""),1,"")</f>
        <v/>
      </c>
      <c r="AD154" s="7"/>
      <c r="AE154" s="7">
        <f t="shared" si="5"/>
        <v>0</v>
      </c>
    </row>
    <row r="155" spans="1:31" ht="15.75" customHeight="1">
      <c r="A155" s="7" t="s">
        <v>673</v>
      </c>
      <c r="B155" s="78">
        <v>0</v>
      </c>
      <c r="C155" s="78">
        <v>0</v>
      </c>
      <c r="D155" s="42" t="str">
        <f t="shared" si="0"/>
        <v/>
      </c>
      <c r="E155" s="78">
        <v>0</v>
      </c>
      <c r="F155" s="78">
        <v>0</v>
      </c>
      <c r="G155" s="42" t="str">
        <f t="shared" si="1"/>
        <v/>
      </c>
      <c r="H155" s="41">
        <v>0</v>
      </c>
      <c r="I155" s="41">
        <v>0</v>
      </c>
      <c r="J155" s="41">
        <f t="shared" si="2"/>
        <v>0</v>
      </c>
      <c r="K155" s="41">
        <v>0</v>
      </c>
      <c r="L155" s="79" t="str">
        <f t="shared" si="3"/>
        <v/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81"/>
      <c r="AA155" s="6">
        <f t="shared" si="4"/>
        <v>0</v>
      </c>
      <c r="AB155" s="80" t="str">
        <f>+IF(AND(D155&gt;'Indices y Outliers'!$I$145,D155&lt;&gt;""),1,"")</f>
        <v/>
      </c>
      <c r="AC155" s="80" t="str">
        <f>+IF(AND(G155&gt;'Indices y Outliers'!$I$153,G155&lt;&gt;""),1,"")</f>
        <v/>
      </c>
      <c r="AD155" s="7"/>
      <c r="AE155" s="7">
        <f t="shared" si="5"/>
        <v>0</v>
      </c>
    </row>
    <row r="156" spans="1:31" ht="15.75" customHeight="1">
      <c r="A156" s="7" t="s">
        <v>676</v>
      </c>
      <c r="B156" s="78">
        <v>0</v>
      </c>
      <c r="C156" s="78">
        <v>0</v>
      </c>
      <c r="D156" s="42" t="str">
        <f t="shared" si="0"/>
        <v/>
      </c>
      <c r="E156" s="78">
        <v>0</v>
      </c>
      <c r="F156" s="78">
        <v>0</v>
      </c>
      <c r="G156" s="42" t="str">
        <f t="shared" si="1"/>
        <v/>
      </c>
      <c r="H156" s="41">
        <v>0</v>
      </c>
      <c r="I156" s="41">
        <v>0</v>
      </c>
      <c r="J156" s="41">
        <f t="shared" si="2"/>
        <v>0</v>
      </c>
      <c r="K156" s="41">
        <v>0</v>
      </c>
      <c r="L156" s="79" t="str">
        <f t="shared" si="3"/>
        <v/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81"/>
      <c r="AA156" s="6">
        <f t="shared" si="4"/>
        <v>0</v>
      </c>
      <c r="AB156" s="80" t="str">
        <f>+IF(AND(D156&gt;'Indices y Outliers'!$I$145,D156&lt;&gt;""),1,"")</f>
        <v/>
      </c>
      <c r="AC156" s="80" t="str">
        <f>+IF(AND(G156&gt;'Indices y Outliers'!$I$153,G156&lt;&gt;""),1,"")</f>
        <v/>
      </c>
      <c r="AD156" s="7"/>
      <c r="AE156" s="7">
        <f t="shared" si="5"/>
        <v>0</v>
      </c>
    </row>
    <row r="157" spans="1:31" ht="15.75" customHeight="1">
      <c r="A157" s="7" t="s">
        <v>679</v>
      </c>
      <c r="B157" s="78">
        <v>0</v>
      </c>
      <c r="C157" s="78">
        <v>0</v>
      </c>
      <c r="D157" s="42" t="str">
        <f t="shared" si="0"/>
        <v/>
      </c>
      <c r="E157" s="78">
        <v>0</v>
      </c>
      <c r="F157" s="78">
        <v>0</v>
      </c>
      <c r="G157" s="42" t="str">
        <f t="shared" si="1"/>
        <v/>
      </c>
      <c r="H157" s="41">
        <v>0</v>
      </c>
      <c r="I157" s="41">
        <v>0</v>
      </c>
      <c r="J157" s="41">
        <f t="shared" si="2"/>
        <v>0</v>
      </c>
      <c r="K157" s="41">
        <v>0</v>
      </c>
      <c r="L157" s="79" t="str">
        <f t="shared" si="3"/>
        <v/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81"/>
      <c r="AA157" s="6">
        <f t="shared" si="4"/>
        <v>0</v>
      </c>
      <c r="AB157" s="80" t="str">
        <f>+IF(AND(D157&gt;'Indices y Outliers'!$I$145,D157&lt;&gt;""),1,"")</f>
        <v/>
      </c>
      <c r="AC157" s="80" t="str">
        <f>+IF(AND(G157&gt;'Indices y Outliers'!$I$153,G157&lt;&gt;""),1,"")</f>
        <v/>
      </c>
      <c r="AD157" s="7"/>
      <c r="AE157" s="7">
        <f t="shared" si="5"/>
        <v>0</v>
      </c>
    </row>
    <row r="158" spans="1:31" ht="15.75" customHeight="1">
      <c r="A158" s="7" t="s">
        <v>682</v>
      </c>
      <c r="B158" s="78">
        <v>0</v>
      </c>
      <c r="C158" s="78">
        <v>0</v>
      </c>
      <c r="D158" s="42" t="str">
        <f t="shared" si="0"/>
        <v/>
      </c>
      <c r="E158" s="78">
        <v>0</v>
      </c>
      <c r="F158" s="78">
        <v>0</v>
      </c>
      <c r="G158" s="42" t="str">
        <f t="shared" si="1"/>
        <v/>
      </c>
      <c r="H158" s="41">
        <v>0</v>
      </c>
      <c r="I158" s="41">
        <v>0</v>
      </c>
      <c r="J158" s="41">
        <f t="shared" si="2"/>
        <v>0</v>
      </c>
      <c r="K158" s="41">
        <v>0</v>
      </c>
      <c r="L158" s="79" t="str">
        <f t="shared" si="3"/>
        <v/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81"/>
      <c r="AA158" s="6">
        <f t="shared" si="4"/>
        <v>0</v>
      </c>
      <c r="AB158" s="80" t="str">
        <f>+IF(AND(D158&gt;'Indices y Outliers'!$I$145,D158&lt;&gt;""),1,"")</f>
        <v/>
      </c>
      <c r="AC158" s="80" t="str">
        <f>+IF(AND(G158&gt;'Indices y Outliers'!$I$153,G158&lt;&gt;""),1,"")</f>
        <v/>
      </c>
      <c r="AD158" s="7"/>
      <c r="AE158" s="7">
        <f t="shared" si="5"/>
        <v>0</v>
      </c>
    </row>
    <row r="159" spans="1:31" ht="15.75" customHeight="1">
      <c r="A159" s="7" t="s">
        <v>685</v>
      </c>
      <c r="B159" s="78">
        <v>0</v>
      </c>
      <c r="C159" s="78">
        <v>0</v>
      </c>
      <c r="D159" s="42" t="str">
        <f t="shared" si="0"/>
        <v/>
      </c>
      <c r="E159" s="78">
        <v>0</v>
      </c>
      <c r="F159" s="78">
        <v>0</v>
      </c>
      <c r="G159" s="42" t="str">
        <f t="shared" si="1"/>
        <v/>
      </c>
      <c r="H159" s="41">
        <v>0</v>
      </c>
      <c r="I159" s="41">
        <v>0</v>
      </c>
      <c r="J159" s="41">
        <f t="shared" si="2"/>
        <v>0</v>
      </c>
      <c r="K159" s="41">
        <v>0</v>
      </c>
      <c r="L159" s="79" t="str">
        <f t="shared" si="3"/>
        <v/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81"/>
      <c r="AA159" s="6">
        <f t="shared" si="4"/>
        <v>0</v>
      </c>
      <c r="AB159" s="80" t="str">
        <f>+IF(AND(D159&gt;'Indices y Outliers'!$I$145,D159&lt;&gt;""),1,"")</f>
        <v/>
      </c>
      <c r="AC159" s="80" t="str">
        <f>+IF(AND(G159&gt;'Indices y Outliers'!$I$153,G159&lt;&gt;""),1,"")</f>
        <v/>
      </c>
      <c r="AD159" s="7"/>
      <c r="AE159" s="7">
        <f t="shared" si="5"/>
        <v>0</v>
      </c>
    </row>
    <row r="160" spans="1:31" ht="15.75" customHeight="1">
      <c r="A160" s="7" t="s">
        <v>688</v>
      </c>
      <c r="B160" s="78">
        <v>0</v>
      </c>
      <c r="C160" s="78">
        <v>0</v>
      </c>
      <c r="D160" s="42" t="str">
        <f t="shared" si="0"/>
        <v/>
      </c>
      <c r="E160" s="78">
        <v>0</v>
      </c>
      <c r="F160" s="78">
        <v>0</v>
      </c>
      <c r="G160" s="42" t="str">
        <f t="shared" si="1"/>
        <v/>
      </c>
      <c r="H160" s="41">
        <v>0</v>
      </c>
      <c r="I160" s="41">
        <v>0</v>
      </c>
      <c r="J160" s="41">
        <f t="shared" si="2"/>
        <v>0</v>
      </c>
      <c r="K160" s="41">
        <v>0</v>
      </c>
      <c r="L160" s="79" t="str">
        <f t="shared" si="3"/>
        <v/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81"/>
      <c r="AA160" s="6">
        <f t="shared" si="4"/>
        <v>0</v>
      </c>
      <c r="AB160" s="80" t="str">
        <f>+IF(AND(D160&gt;'Indices y Outliers'!$I$145,D160&lt;&gt;""),1,"")</f>
        <v/>
      </c>
      <c r="AC160" s="80" t="str">
        <f>+IF(AND(G160&gt;'Indices y Outliers'!$I$153,G160&lt;&gt;""),1,"")</f>
        <v/>
      </c>
      <c r="AD160" s="7"/>
      <c r="AE160" s="7">
        <f t="shared" si="5"/>
        <v>0</v>
      </c>
    </row>
    <row r="161" spans="1:31" ht="15.75" customHeight="1">
      <c r="A161" s="7" t="s">
        <v>691</v>
      </c>
      <c r="B161" s="78">
        <v>0</v>
      </c>
      <c r="C161" s="78">
        <v>0</v>
      </c>
      <c r="D161" s="42" t="str">
        <f t="shared" si="0"/>
        <v/>
      </c>
      <c r="E161" s="78">
        <v>0</v>
      </c>
      <c r="F161" s="78">
        <v>0</v>
      </c>
      <c r="G161" s="42" t="str">
        <f t="shared" si="1"/>
        <v/>
      </c>
      <c r="H161" s="41">
        <v>0</v>
      </c>
      <c r="I161" s="41">
        <v>0</v>
      </c>
      <c r="J161" s="41">
        <f t="shared" si="2"/>
        <v>0</v>
      </c>
      <c r="K161" s="41">
        <v>0</v>
      </c>
      <c r="L161" s="79" t="str">
        <f t="shared" si="3"/>
        <v/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81"/>
      <c r="AA161" s="6">
        <f t="shared" si="4"/>
        <v>0</v>
      </c>
      <c r="AB161" s="80" t="str">
        <f>+IF(AND(D161&gt;'Indices y Outliers'!$I$145,D161&lt;&gt;""),1,"")</f>
        <v/>
      </c>
      <c r="AC161" s="80" t="str">
        <f>+IF(AND(G161&gt;'Indices y Outliers'!$I$153,G161&lt;&gt;""),1,"")</f>
        <v/>
      </c>
      <c r="AD161" s="7"/>
      <c r="AE161" s="7">
        <f t="shared" si="5"/>
        <v>0</v>
      </c>
    </row>
    <row r="162" spans="1:31" ht="15.75" customHeight="1">
      <c r="A162" s="7" t="s">
        <v>694</v>
      </c>
      <c r="B162" s="78">
        <v>0</v>
      </c>
      <c r="C162" s="78">
        <v>0</v>
      </c>
      <c r="D162" s="42" t="str">
        <f t="shared" si="0"/>
        <v/>
      </c>
      <c r="E162" s="78">
        <v>0</v>
      </c>
      <c r="F162" s="78">
        <v>0</v>
      </c>
      <c r="G162" s="42" t="str">
        <f t="shared" si="1"/>
        <v/>
      </c>
      <c r="H162" s="41">
        <v>0</v>
      </c>
      <c r="I162" s="41">
        <v>0</v>
      </c>
      <c r="J162" s="41">
        <f t="shared" si="2"/>
        <v>0</v>
      </c>
      <c r="K162" s="41">
        <v>0</v>
      </c>
      <c r="L162" s="79" t="str">
        <f t="shared" si="3"/>
        <v/>
      </c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81"/>
      <c r="AA162" s="6">
        <f t="shared" si="4"/>
        <v>0</v>
      </c>
      <c r="AB162" s="80" t="str">
        <f>+IF(AND(D162&gt;'Indices y Outliers'!$I$145,D162&lt;&gt;""),1,"")</f>
        <v/>
      </c>
      <c r="AC162" s="80" t="str">
        <f>+IF(AND(G162&gt;'Indices y Outliers'!$I$153,G162&lt;&gt;""),1,"")</f>
        <v/>
      </c>
      <c r="AD162" s="7"/>
      <c r="AE162" s="7">
        <f t="shared" si="5"/>
        <v>0</v>
      </c>
    </row>
    <row r="163" spans="1:31" ht="15.75" customHeight="1">
      <c r="A163" s="7" t="s">
        <v>697</v>
      </c>
      <c r="B163" s="78">
        <v>22.27</v>
      </c>
      <c r="C163" s="78">
        <v>0</v>
      </c>
      <c r="D163" s="42">
        <f t="shared" si="0"/>
        <v>22.27</v>
      </c>
      <c r="E163" s="78">
        <v>0.39</v>
      </c>
      <c r="F163" s="78">
        <v>0</v>
      </c>
      <c r="G163" s="42">
        <f t="shared" si="1"/>
        <v>0.39</v>
      </c>
      <c r="H163" s="41">
        <v>149794</v>
      </c>
      <c r="I163" s="41">
        <v>14342</v>
      </c>
      <c r="J163" s="41">
        <f t="shared" si="2"/>
        <v>164136</v>
      </c>
      <c r="K163" s="41">
        <v>164136</v>
      </c>
      <c r="L163" s="79">
        <f t="shared" si="3"/>
        <v>1</v>
      </c>
      <c r="M163" s="89">
        <v>1</v>
      </c>
      <c r="N163" s="7"/>
      <c r="O163" s="89">
        <v>1</v>
      </c>
      <c r="P163" s="89">
        <v>1</v>
      </c>
      <c r="Q163" s="7"/>
      <c r="R163" s="89">
        <v>1</v>
      </c>
      <c r="S163" s="89" t="s">
        <v>1353</v>
      </c>
      <c r="T163" s="7"/>
      <c r="U163" s="89" t="s">
        <v>1353</v>
      </c>
      <c r="V163" s="89" t="s">
        <v>1353</v>
      </c>
      <c r="W163" s="7"/>
      <c r="X163" s="7"/>
      <c r="Y163" s="89" t="s">
        <v>1353</v>
      </c>
      <c r="Z163" s="81"/>
      <c r="AA163" s="6">
        <f t="shared" si="4"/>
        <v>2</v>
      </c>
      <c r="AB163" s="80" t="str">
        <f>+IF(AND(D163&gt;'Indices y Outliers'!$I$145,D163&lt;&gt;""),1,"")</f>
        <v/>
      </c>
      <c r="AC163" s="80" t="str">
        <f>+IF(AND(G163&gt;'Indices y Outliers'!$I$153,G163&lt;&gt;""),1,"")</f>
        <v/>
      </c>
      <c r="AD163" s="7"/>
      <c r="AE163" s="7">
        <f t="shared" si="5"/>
        <v>0</v>
      </c>
    </row>
    <row r="164" spans="1:31" ht="15.75" customHeight="1">
      <c r="A164" s="7" t="s">
        <v>700</v>
      </c>
      <c r="B164" s="78">
        <v>0</v>
      </c>
      <c r="C164" s="78">
        <v>0</v>
      </c>
      <c r="D164" s="42" t="str">
        <f t="shared" si="0"/>
        <v/>
      </c>
      <c r="E164" s="78">
        <v>0</v>
      </c>
      <c r="F164" s="78">
        <v>0</v>
      </c>
      <c r="G164" s="42" t="str">
        <f t="shared" si="1"/>
        <v/>
      </c>
      <c r="H164" s="41">
        <v>0</v>
      </c>
      <c r="I164" s="41">
        <v>0</v>
      </c>
      <c r="J164" s="41">
        <f t="shared" si="2"/>
        <v>0</v>
      </c>
      <c r="K164" s="41">
        <v>0</v>
      </c>
      <c r="L164" s="79" t="str">
        <f t="shared" si="3"/>
        <v/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81"/>
      <c r="AA164" s="6">
        <f t="shared" si="4"/>
        <v>0</v>
      </c>
      <c r="AB164" s="80" t="str">
        <f>+IF(AND(D164&gt;'Indices y Outliers'!$I$145,D164&lt;&gt;""),1,"")</f>
        <v/>
      </c>
      <c r="AC164" s="80" t="str">
        <f>+IF(AND(G164&gt;'Indices y Outliers'!$I$153,G164&lt;&gt;""),1,"")</f>
        <v/>
      </c>
      <c r="AD164" s="7"/>
      <c r="AE164" s="7">
        <f t="shared" si="5"/>
        <v>0</v>
      </c>
    </row>
    <row r="165" spans="1:31" ht="15.75" customHeight="1">
      <c r="A165" s="7" t="s">
        <v>703</v>
      </c>
      <c r="B165" s="78">
        <v>0</v>
      </c>
      <c r="C165" s="78">
        <v>0</v>
      </c>
      <c r="D165" s="42" t="str">
        <f t="shared" si="0"/>
        <v/>
      </c>
      <c r="E165" s="78">
        <v>0</v>
      </c>
      <c r="F165" s="78">
        <v>0</v>
      </c>
      <c r="G165" s="42" t="str">
        <f t="shared" si="1"/>
        <v/>
      </c>
      <c r="H165" s="41">
        <v>0</v>
      </c>
      <c r="I165" s="41">
        <v>0</v>
      </c>
      <c r="J165" s="41">
        <f t="shared" si="2"/>
        <v>0</v>
      </c>
      <c r="K165" s="41">
        <v>0</v>
      </c>
      <c r="L165" s="79" t="str">
        <f t="shared" si="3"/>
        <v/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81"/>
      <c r="AA165" s="6">
        <f t="shared" si="4"/>
        <v>0</v>
      </c>
      <c r="AB165" s="80" t="str">
        <f>+IF(AND(D165&gt;'Indices y Outliers'!$I$145,D165&lt;&gt;""),1,"")</f>
        <v/>
      </c>
      <c r="AC165" s="80" t="str">
        <f>+IF(AND(G165&gt;'Indices y Outliers'!$I$153,G165&lt;&gt;""),1,"")</f>
        <v/>
      </c>
      <c r="AD165" s="7"/>
      <c r="AE165" s="7">
        <f t="shared" si="5"/>
        <v>0</v>
      </c>
    </row>
    <row r="166" spans="1:31" ht="15.75" customHeight="1">
      <c r="A166" s="7" t="s">
        <v>706</v>
      </c>
      <c r="B166" s="78">
        <v>0</v>
      </c>
      <c r="C166" s="78">
        <v>0</v>
      </c>
      <c r="D166" s="42" t="str">
        <f t="shared" si="0"/>
        <v/>
      </c>
      <c r="E166" s="78">
        <v>0</v>
      </c>
      <c r="F166" s="78">
        <v>0</v>
      </c>
      <c r="G166" s="42" t="str">
        <f t="shared" si="1"/>
        <v/>
      </c>
      <c r="H166" s="41">
        <v>0</v>
      </c>
      <c r="I166" s="41">
        <v>0</v>
      </c>
      <c r="J166" s="41">
        <f t="shared" si="2"/>
        <v>0</v>
      </c>
      <c r="K166" s="41">
        <v>0</v>
      </c>
      <c r="L166" s="79" t="str">
        <f t="shared" si="3"/>
        <v/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81"/>
      <c r="AA166" s="6">
        <f t="shared" si="4"/>
        <v>0</v>
      </c>
      <c r="AB166" s="80" t="str">
        <f>+IF(AND(D166&gt;'Indices y Outliers'!$I$145,D166&lt;&gt;""),1,"")</f>
        <v/>
      </c>
      <c r="AC166" s="80" t="str">
        <f>+IF(AND(G166&gt;'Indices y Outliers'!$I$153,G166&lt;&gt;""),1,"")</f>
        <v/>
      </c>
      <c r="AD166" s="7"/>
      <c r="AE166" s="7">
        <f t="shared" si="5"/>
        <v>0</v>
      </c>
    </row>
    <row r="167" spans="1:31" ht="15.75" customHeight="1">
      <c r="A167" s="7" t="s">
        <v>709</v>
      </c>
      <c r="B167" s="78">
        <v>0</v>
      </c>
      <c r="C167" s="78">
        <v>0</v>
      </c>
      <c r="D167" s="42" t="str">
        <f t="shared" si="0"/>
        <v/>
      </c>
      <c r="E167" s="78">
        <v>0</v>
      </c>
      <c r="F167" s="78">
        <v>0</v>
      </c>
      <c r="G167" s="42" t="str">
        <f t="shared" si="1"/>
        <v/>
      </c>
      <c r="H167" s="41">
        <v>0</v>
      </c>
      <c r="I167" s="41">
        <v>0</v>
      </c>
      <c r="J167" s="41">
        <f t="shared" si="2"/>
        <v>0</v>
      </c>
      <c r="K167" s="41">
        <v>0</v>
      </c>
      <c r="L167" s="79" t="str">
        <f t="shared" si="3"/>
        <v/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81"/>
      <c r="AA167" s="6">
        <f t="shared" si="4"/>
        <v>0</v>
      </c>
      <c r="AB167" s="80" t="str">
        <f>+IF(AND(D167&gt;'Indices y Outliers'!$I$145,D167&lt;&gt;""),1,"")</f>
        <v/>
      </c>
      <c r="AC167" s="80" t="str">
        <f>+IF(AND(G167&gt;'Indices y Outliers'!$I$153,G167&lt;&gt;""),1,"")</f>
        <v/>
      </c>
      <c r="AD167" s="7"/>
      <c r="AE167" s="7">
        <f t="shared" si="5"/>
        <v>0</v>
      </c>
    </row>
    <row r="168" spans="1:31" ht="15.75" customHeight="1">
      <c r="A168" s="7" t="s">
        <v>712</v>
      </c>
      <c r="B168" s="78">
        <v>0</v>
      </c>
      <c r="C168" s="78">
        <v>0</v>
      </c>
      <c r="D168" s="42" t="str">
        <f t="shared" si="0"/>
        <v/>
      </c>
      <c r="E168" s="78">
        <v>0</v>
      </c>
      <c r="F168" s="78">
        <v>0</v>
      </c>
      <c r="G168" s="42" t="str">
        <f t="shared" si="1"/>
        <v/>
      </c>
      <c r="H168" s="41">
        <v>0</v>
      </c>
      <c r="I168" s="41">
        <v>0</v>
      </c>
      <c r="J168" s="41">
        <f t="shared" si="2"/>
        <v>0</v>
      </c>
      <c r="K168" s="41">
        <v>0</v>
      </c>
      <c r="L168" s="79" t="str">
        <f t="shared" si="3"/>
        <v/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81"/>
      <c r="AA168" s="6">
        <f t="shared" si="4"/>
        <v>0</v>
      </c>
      <c r="AB168" s="80" t="str">
        <f>+IF(AND(D168&gt;'Indices y Outliers'!$I$145,D168&lt;&gt;""),1,"")</f>
        <v/>
      </c>
      <c r="AC168" s="80" t="str">
        <f>+IF(AND(G168&gt;'Indices y Outliers'!$I$153,G168&lt;&gt;""),1,"")</f>
        <v/>
      </c>
      <c r="AD168" s="7"/>
      <c r="AE168" s="7">
        <f t="shared" si="5"/>
        <v>0</v>
      </c>
    </row>
    <row r="169" spans="1:31" ht="15.75" customHeight="1">
      <c r="A169" s="7" t="s">
        <v>715</v>
      </c>
      <c r="B169" s="78">
        <v>0</v>
      </c>
      <c r="C169" s="78">
        <v>0</v>
      </c>
      <c r="D169" s="42" t="str">
        <f t="shared" si="0"/>
        <v/>
      </c>
      <c r="E169" s="78">
        <v>0</v>
      </c>
      <c r="F169" s="78">
        <v>0</v>
      </c>
      <c r="G169" s="42" t="str">
        <f t="shared" si="1"/>
        <v/>
      </c>
      <c r="H169" s="41">
        <v>0</v>
      </c>
      <c r="I169" s="41">
        <v>0</v>
      </c>
      <c r="J169" s="41">
        <f t="shared" si="2"/>
        <v>0</v>
      </c>
      <c r="K169" s="41">
        <v>0</v>
      </c>
      <c r="L169" s="79" t="str">
        <f t="shared" si="3"/>
        <v/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81"/>
      <c r="AA169" s="6">
        <f t="shared" si="4"/>
        <v>0</v>
      </c>
      <c r="AB169" s="80" t="str">
        <f>+IF(AND(D169&gt;'Indices y Outliers'!$I$145,D169&lt;&gt;""),1,"")</f>
        <v/>
      </c>
      <c r="AC169" s="80" t="str">
        <f>+IF(AND(G169&gt;'Indices y Outliers'!$I$153,G169&lt;&gt;""),1,"")</f>
        <v/>
      </c>
      <c r="AD169" s="7"/>
      <c r="AE169" s="7">
        <f t="shared" si="5"/>
        <v>0</v>
      </c>
    </row>
    <row r="170" spans="1:31" ht="15.75" customHeight="1">
      <c r="A170" s="7" t="s">
        <v>718</v>
      </c>
      <c r="B170" s="78">
        <v>0</v>
      </c>
      <c r="C170" s="78">
        <v>0</v>
      </c>
      <c r="D170" s="42" t="str">
        <f t="shared" si="0"/>
        <v/>
      </c>
      <c r="E170" s="78">
        <v>0</v>
      </c>
      <c r="F170" s="78">
        <v>0</v>
      </c>
      <c r="G170" s="42" t="str">
        <f t="shared" si="1"/>
        <v/>
      </c>
      <c r="H170" s="41">
        <v>0</v>
      </c>
      <c r="I170" s="41">
        <v>0</v>
      </c>
      <c r="J170" s="41">
        <f t="shared" si="2"/>
        <v>0</v>
      </c>
      <c r="K170" s="41">
        <v>0</v>
      </c>
      <c r="L170" s="79" t="str">
        <f t="shared" si="3"/>
        <v/>
      </c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81"/>
      <c r="AA170" s="6">
        <f t="shared" si="4"/>
        <v>0</v>
      </c>
      <c r="AB170" s="80" t="str">
        <f>+IF(AND(D170&gt;'Indices y Outliers'!$I$145,D170&lt;&gt;""),1,"")</f>
        <v/>
      </c>
      <c r="AC170" s="80" t="str">
        <f>+IF(AND(G170&gt;'Indices y Outliers'!$I$153,G170&lt;&gt;""),1,"")</f>
        <v/>
      </c>
      <c r="AD170" s="7"/>
      <c r="AE170" s="7">
        <f t="shared" si="5"/>
        <v>0</v>
      </c>
    </row>
    <row r="171" spans="1:31" ht="15.75" customHeight="1">
      <c r="A171" s="7" t="s">
        <v>721</v>
      </c>
      <c r="B171" s="78">
        <v>0</v>
      </c>
      <c r="C171" s="78">
        <v>0</v>
      </c>
      <c r="D171" s="42" t="str">
        <f t="shared" si="0"/>
        <v/>
      </c>
      <c r="E171" s="78">
        <v>0</v>
      </c>
      <c r="F171" s="78">
        <v>0</v>
      </c>
      <c r="G171" s="42" t="str">
        <f t="shared" si="1"/>
        <v/>
      </c>
      <c r="H171" s="41">
        <v>0</v>
      </c>
      <c r="I171" s="41">
        <v>0</v>
      </c>
      <c r="J171" s="41">
        <f t="shared" si="2"/>
        <v>0</v>
      </c>
      <c r="K171" s="41">
        <v>0</v>
      </c>
      <c r="L171" s="79" t="str">
        <f t="shared" si="3"/>
        <v/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81"/>
      <c r="AA171" s="6">
        <f t="shared" si="4"/>
        <v>0</v>
      </c>
      <c r="AB171" s="80" t="str">
        <f>+IF(AND(D171&gt;'Indices y Outliers'!$I$145,D171&lt;&gt;""),1,"")</f>
        <v/>
      </c>
      <c r="AC171" s="80" t="str">
        <f>+IF(AND(G171&gt;'Indices y Outliers'!$I$153,G171&lt;&gt;""),1,"")</f>
        <v/>
      </c>
      <c r="AD171" s="7"/>
      <c r="AE171" s="7">
        <f t="shared" si="5"/>
        <v>0</v>
      </c>
    </row>
    <row r="172" spans="1:31" ht="15.75" customHeight="1">
      <c r="A172" s="7" t="s">
        <v>724</v>
      </c>
      <c r="B172" s="78">
        <v>0</v>
      </c>
      <c r="C172" s="78">
        <v>0</v>
      </c>
      <c r="D172" s="42" t="str">
        <f t="shared" si="0"/>
        <v/>
      </c>
      <c r="E172" s="78">
        <v>0</v>
      </c>
      <c r="F172" s="78">
        <v>0</v>
      </c>
      <c r="G172" s="42" t="str">
        <f t="shared" si="1"/>
        <v/>
      </c>
      <c r="H172" s="41">
        <v>0</v>
      </c>
      <c r="I172" s="41">
        <v>0</v>
      </c>
      <c r="J172" s="41">
        <f t="shared" si="2"/>
        <v>0</v>
      </c>
      <c r="K172" s="41">
        <v>0</v>
      </c>
      <c r="L172" s="79" t="str">
        <f t="shared" si="3"/>
        <v/>
      </c>
      <c r="M172" s="7"/>
      <c r="N172" s="7"/>
      <c r="O172" s="7"/>
      <c r="P172" s="7"/>
      <c r="Q172" s="7"/>
      <c r="R172" s="7"/>
      <c r="S172" s="89" t="s">
        <v>1353</v>
      </c>
      <c r="T172" s="7"/>
      <c r="U172" s="7"/>
      <c r="V172" s="7"/>
      <c r="W172" s="7"/>
      <c r="X172" s="7"/>
      <c r="Y172" s="7"/>
      <c r="Z172" s="81"/>
      <c r="AA172" s="6">
        <f t="shared" si="4"/>
        <v>0</v>
      </c>
      <c r="AB172" s="80" t="str">
        <f>+IF(AND(D172&gt;'Indices y Outliers'!$I$145,D172&lt;&gt;""),1,"")</f>
        <v/>
      </c>
      <c r="AC172" s="80" t="str">
        <f>+IF(AND(G172&gt;'Indices y Outliers'!$I$153,G172&lt;&gt;""),1,"")</f>
        <v/>
      </c>
      <c r="AD172" s="7"/>
      <c r="AE172" s="7">
        <f t="shared" si="5"/>
        <v>0</v>
      </c>
    </row>
    <row r="173" spans="1:31" ht="15.75" customHeight="1">
      <c r="A173" s="7" t="s">
        <v>727</v>
      </c>
      <c r="B173" s="78">
        <v>0</v>
      </c>
      <c r="C173" s="78">
        <v>0</v>
      </c>
      <c r="D173" s="42" t="str">
        <f t="shared" si="0"/>
        <v/>
      </c>
      <c r="E173" s="78">
        <v>0</v>
      </c>
      <c r="F173" s="78">
        <v>0</v>
      </c>
      <c r="G173" s="42" t="str">
        <f t="shared" si="1"/>
        <v/>
      </c>
      <c r="H173" s="41">
        <v>0</v>
      </c>
      <c r="I173" s="41">
        <v>0</v>
      </c>
      <c r="J173" s="41">
        <f t="shared" si="2"/>
        <v>0</v>
      </c>
      <c r="K173" s="41">
        <v>0</v>
      </c>
      <c r="L173" s="79" t="str">
        <f t="shared" si="3"/>
        <v/>
      </c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81"/>
      <c r="AA173" s="6">
        <f t="shared" si="4"/>
        <v>0</v>
      </c>
      <c r="AB173" s="80" t="str">
        <f>+IF(AND(D173&gt;'Indices y Outliers'!$I$145,D173&lt;&gt;""),1,"")</f>
        <v/>
      </c>
      <c r="AC173" s="80" t="str">
        <f>+IF(AND(G173&gt;'Indices y Outliers'!$I$153,G173&lt;&gt;""),1,"")</f>
        <v/>
      </c>
      <c r="AD173" s="7"/>
      <c r="AE173" s="7">
        <f t="shared" si="5"/>
        <v>0</v>
      </c>
    </row>
    <row r="174" spans="1:31" ht="15.75" customHeight="1">
      <c r="A174" s="7" t="s">
        <v>730</v>
      </c>
      <c r="B174" s="78">
        <v>0</v>
      </c>
      <c r="C174" s="78">
        <v>0</v>
      </c>
      <c r="D174" s="42" t="str">
        <f t="shared" si="0"/>
        <v/>
      </c>
      <c r="E174" s="78">
        <v>0</v>
      </c>
      <c r="F174" s="78">
        <v>0</v>
      </c>
      <c r="G174" s="42" t="str">
        <f t="shared" si="1"/>
        <v/>
      </c>
      <c r="H174" s="41">
        <v>0</v>
      </c>
      <c r="I174" s="41">
        <v>0</v>
      </c>
      <c r="J174" s="41">
        <f t="shared" si="2"/>
        <v>0</v>
      </c>
      <c r="K174" s="41">
        <v>0</v>
      </c>
      <c r="L174" s="79" t="str">
        <f t="shared" si="3"/>
        <v/>
      </c>
      <c r="M174" s="7"/>
      <c r="N174" s="7"/>
      <c r="O174" s="7"/>
      <c r="P174" s="7"/>
      <c r="Q174" s="7"/>
      <c r="R174" s="7"/>
      <c r="S174" s="89" t="s">
        <v>1353</v>
      </c>
      <c r="T174" s="89" t="s">
        <v>1353</v>
      </c>
      <c r="U174" s="89" t="s">
        <v>1353</v>
      </c>
      <c r="V174" s="7"/>
      <c r="W174" s="7"/>
      <c r="X174" s="89" t="s">
        <v>1353</v>
      </c>
      <c r="Y174" s="7"/>
      <c r="Z174" s="81"/>
      <c r="AA174" s="6">
        <f t="shared" si="4"/>
        <v>0</v>
      </c>
      <c r="AB174" s="80" t="str">
        <f>+IF(AND(D174&gt;'Indices y Outliers'!$I$145,D174&lt;&gt;""),1,"")</f>
        <v/>
      </c>
      <c r="AC174" s="80" t="str">
        <f>+IF(AND(G174&gt;'Indices y Outliers'!$I$153,G174&lt;&gt;""),1,"")</f>
        <v/>
      </c>
      <c r="AD174" s="7"/>
      <c r="AE174" s="7">
        <f t="shared" si="5"/>
        <v>0</v>
      </c>
    </row>
    <row r="175" spans="1:31" ht="15.75" customHeight="1">
      <c r="A175" s="7" t="s">
        <v>733</v>
      </c>
      <c r="B175" s="78">
        <v>0</v>
      </c>
      <c r="C175" s="78">
        <v>0</v>
      </c>
      <c r="D175" s="42" t="str">
        <f t="shared" si="0"/>
        <v/>
      </c>
      <c r="E175" s="78">
        <v>0</v>
      </c>
      <c r="F175" s="78">
        <v>0</v>
      </c>
      <c r="G175" s="42" t="str">
        <f t="shared" si="1"/>
        <v/>
      </c>
      <c r="H175" s="41">
        <v>0</v>
      </c>
      <c r="I175" s="41">
        <v>1</v>
      </c>
      <c r="J175" s="41">
        <f t="shared" si="2"/>
        <v>1</v>
      </c>
      <c r="K175" s="41">
        <v>1</v>
      </c>
      <c r="L175" s="79">
        <f t="shared" si="3"/>
        <v>1</v>
      </c>
      <c r="M175" s="89">
        <v>1</v>
      </c>
      <c r="N175" s="7"/>
      <c r="O175" s="89">
        <v>1</v>
      </c>
      <c r="P175" s="7"/>
      <c r="Q175" s="7"/>
      <c r="R175" s="7"/>
      <c r="S175" s="89" t="s">
        <v>1353</v>
      </c>
      <c r="T175" s="89" t="s">
        <v>1353</v>
      </c>
      <c r="U175" s="89" t="s">
        <v>1353</v>
      </c>
      <c r="V175" s="89" t="s">
        <v>1353</v>
      </c>
      <c r="W175" s="7"/>
      <c r="X175" s="89" t="s">
        <v>1353</v>
      </c>
      <c r="Y175" s="7"/>
      <c r="Z175" s="81"/>
      <c r="AA175" s="6">
        <f t="shared" si="4"/>
        <v>0</v>
      </c>
      <c r="AB175" s="80" t="str">
        <f>+IF(AND(D175&gt;'Indices y Outliers'!$I$145,D175&lt;&gt;""),1,"")</f>
        <v/>
      </c>
      <c r="AC175" s="80" t="str">
        <f>+IF(AND(G175&gt;'Indices y Outliers'!$I$153,G175&lt;&gt;""),1,"")</f>
        <v/>
      </c>
      <c r="AD175" s="7"/>
      <c r="AE175" s="7">
        <f t="shared" si="5"/>
        <v>0</v>
      </c>
    </row>
    <row r="176" spans="1:31" ht="15.75" customHeight="1">
      <c r="A176" s="7" t="s">
        <v>736</v>
      </c>
      <c r="B176" s="78">
        <v>0</v>
      </c>
      <c r="C176" s="78">
        <v>0</v>
      </c>
      <c r="D176" s="42" t="str">
        <f t="shared" si="0"/>
        <v/>
      </c>
      <c r="E176" s="78">
        <v>0</v>
      </c>
      <c r="F176" s="78">
        <v>0</v>
      </c>
      <c r="G176" s="42" t="str">
        <f t="shared" si="1"/>
        <v/>
      </c>
      <c r="H176" s="41">
        <v>0</v>
      </c>
      <c r="I176" s="41">
        <v>0</v>
      </c>
      <c r="J176" s="41">
        <f t="shared" si="2"/>
        <v>0</v>
      </c>
      <c r="K176" s="41">
        <v>0</v>
      </c>
      <c r="L176" s="79" t="str">
        <f t="shared" si="3"/>
        <v/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81"/>
      <c r="AA176" s="6">
        <f t="shared" si="4"/>
        <v>0</v>
      </c>
      <c r="AB176" s="80" t="str">
        <f>+IF(AND(D176&gt;'Indices y Outliers'!$I$145,D176&lt;&gt;""),1,"")</f>
        <v/>
      </c>
      <c r="AC176" s="80" t="str">
        <f>+IF(AND(G176&gt;'Indices y Outliers'!$I$153,G176&lt;&gt;""),1,"")</f>
        <v/>
      </c>
      <c r="AD176" s="7"/>
      <c r="AE176" s="7">
        <f t="shared" si="5"/>
        <v>0</v>
      </c>
    </row>
    <row r="177" spans="1:31" ht="15.75" customHeight="1">
      <c r="A177" s="7" t="s">
        <v>739</v>
      </c>
      <c r="B177" s="78">
        <v>96.88</v>
      </c>
      <c r="C177" s="78">
        <v>0</v>
      </c>
      <c r="D177" s="42">
        <f t="shared" si="0"/>
        <v>96.88</v>
      </c>
      <c r="E177" s="78">
        <v>1.252</v>
      </c>
      <c r="F177" s="78">
        <v>0</v>
      </c>
      <c r="G177" s="42">
        <f t="shared" si="1"/>
        <v>1.252</v>
      </c>
      <c r="H177" s="41">
        <v>0</v>
      </c>
      <c r="I177" s="41">
        <v>340010</v>
      </c>
      <c r="J177" s="41">
        <f t="shared" si="2"/>
        <v>340010</v>
      </c>
      <c r="K177" s="41">
        <v>340236</v>
      </c>
      <c r="L177" s="79">
        <f t="shared" si="3"/>
        <v>0.99933575518169737</v>
      </c>
      <c r="M177" s="89">
        <v>1</v>
      </c>
      <c r="N177" s="89">
        <v>1</v>
      </c>
      <c r="O177" s="89">
        <v>1</v>
      </c>
      <c r="P177" s="89">
        <v>1</v>
      </c>
      <c r="Q177" s="7"/>
      <c r="R177" s="89">
        <v>1</v>
      </c>
      <c r="S177" s="89" t="s">
        <v>1353</v>
      </c>
      <c r="T177" s="89" t="s">
        <v>1353</v>
      </c>
      <c r="U177" s="89" t="s">
        <v>1353</v>
      </c>
      <c r="V177" s="89" t="s">
        <v>1353</v>
      </c>
      <c r="W177" s="89" t="s">
        <v>1354</v>
      </c>
      <c r="X177" s="89" t="s">
        <v>1353</v>
      </c>
      <c r="Y177" s="7"/>
      <c r="Z177" s="81"/>
      <c r="AA177" s="6">
        <f t="shared" si="4"/>
        <v>2</v>
      </c>
      <c r="AB177" s="80" t="str">
        <f>+IF(AND(D177&gt;'Indices y Outliers'!$I$145,D177&lt;&gt;""),1,"")</f>
        <v/>
      </c>
      <c r="AC177" s="80" t="str">
        <f>+IF(AND(G177&gt;'Indices y Outliers'!$I$153,G177&lt;&gt;""),1,"")</f>
        <v/>
      </c>
      <c r="AD177" s="7"/>
      <c r="AE177" s="7">
        <f t="shared" si="5"/>
        <v>0</v>
      </c>
    </row>
    <row r="178" spans="1:31" ht="15.75" customHeight="1">
      <c r="A178" s="7" t="s">
        <v>1048</v>
      </c>
      <c r="B178" s="78">
        <v>0</v>
      </c>
      <c r="C178" s="78">
        <v>0</v>
      </c>
      <c r="D178" s="42" t="str">
        <f t="shared" si="0"/>
        <v/>
      </c>
      <c r="E178" s="78">
        <v>0</v>
      </c>
      <c r="F178" s="78">
        <v>0</v>
      </c>
      <c r="G178" s="42" t="str">
        <f t="shared" si="1"/>
        <v/>
      </c>
      <c r="H178" s="41">
        <v>0</v>
      </c>
      <c r="I178" s="41">
        <v>0</v>
      </c>
      <c r="J178" s="41">
        <f t="shared" si="2"/>
        <v>0</v>
      </c>
      <c r="K178" s="41">
        <v>0</v>
      </c>
      <c r="L178" s="79" t="str">
        <f t="shared" si="3"/>
        <v/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81"/>
      <c r="AA178" s="6">
        <f t="shared" si="4"/>
        <v>0</v>
      </c>
      <c r="AB178" s="80" t="str">
        <f>+IF(AND(D178&gt;'Indices y Outliers'!$I$145,D178&lt;&gt;""),1,"")</f>
        <v/>
      </c>
      <c r="AC178" s="80" t="str">
        <f>+IF(AND(G178&gt;'Indices y Outliers'!$I$153,G178&lt;&gt;""),1,"")</f>
        <v/>
      </c>
      <c r="AD178" s="7"/>
      <c r="AE178" s="7">
        <f t="shared" si="5"/>
        <v>0</v>
      </c>
    </row>
    <row r="179" spans="1:31" ht="15.75" customHeight="1">
      <c r="A179" s="7" t="s">
        <v>742</v>
      </c>
      <c r="B179" s="78">
        <v>0</v>
      </c>
      <c r="C179" s="78">
        <v>0</v>
      </c>
      <c r="D179" s="42" t="str">
        <f t="shared" si="0"/>
        <v/>
      </c>
      <c r="E179" s="78">
        <v>0</v>
      </c>
      <c r="F179" s="78">
        <v>0</v>
      </c>
      <c r="G179" s="42" t="str">
        <f t="shared" si="1"/>
        <v/>
      </c>
      <c r="H179" s="41">
        <v>0</v>
      </c>
      <c r="I179" s="41">
        <v>0</v>
      </c>
      <c r="J179" s="41">
        <f t="shared" si="2"/>
        <v>0</v>
      </c>
      <c r="K179" s="41">
        <v>0</v>
      </c>
      <c r="L179" s="79" t="str">
        <f t="shared" si="3"/>
        <v/>
      </c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81"/>
      <c r="AA179" s="6">
        <f t="shared" si="4"/>
        <v>0</v>
      </c>
      <c r="AB179" s="80" t="str">
        <f>+IF(AND(D179&gt;'Indices y Outliers'!$I$145,D179&lt;&gt;""),1,"")</f>
        <v/>
      </c>
      <c r="AC179" s="80" t="str">
        <f>+IF(AND(G179&gt;'Indices y Outliers'!$I$153,G179&lt;&gt;""),1,"")</f>
        <v/>
      </c>
      <c r="AD179" s="7"/>
      <c r="AE179" s="7">
        <f t="shared" si="5"/>
        <v>0</v>
      </c>
    </row>
    <row r="180" spans="1:31" ht="15.75" customHeight="1">
      <c r="A180" s="7" t="s">
        <v>745</v>
      </c>
      <c r="B180" s="78">
        <v>0</v>
      </c>
      <c r="C180" s="78">
        <v>0</v>
      </c>
      <c r="D180" s="42" t="str">
        <f t="shared" si="0"/>
        <v/>
      </c>
      <c r="E180" s="78">
        <v>0</v>
      </c>
      <c r="F180" s="78">
        <v>0</v>
      </c>
      <c r="G180" s="42" t="str">
        <f t="shared" si="1"/>
        <v/>
      </c>
      <c r="H180" s="41">
        <v>0</v>
      </c>
      <c r="I180" s="41">
        <v>0</v>
      </c>
      <c r="J180" s="41">
        <f t="shared" si="2"/>
        <v>0</v>
      </c>
      <c r="K180" s="41">
        <v>0</v>
      </c>
      <c r="L180" s="79" t="str">
        <f t="shared" si="3"/>
        <v/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81"/>
      <c r="AA180" s="6">
        <f t="shared" si="4"/>
        <v>0</v>
      </c>
      <c r="AB180" s="80" t="str">
        <f>+IF(AND(D180&gt;'Indices y Outliers'!$I$145,D180&lt;&gt;""),1,"")</f>
        <v/>
      </c>
      <c r="AC180" s="80" t="str">
        <f>+IF(AND(G180&gt;'Indices y Outliers'!$I$153,G180&lt;&gt;""),1,"")</f>
        <v/>
      </c>
      <c r="AD180" s="7"/>
      <c r="AE180" s="7">
        <f t="shared" si="5"/>
        <v>0</v>
      </c>
    </row>
    <row r="181" spans="1:31" ht="15.75" customHeight="1">
      <c r="A181" s="7" t="s">
        <v>748</v>
      </c>
      <c r="B181" s="78">
        <v>0</v>
      </c>
      <c r="C181" s="78">
        <v>0</v>
      </c>
      <c r="D181" s="42" t="str">
        <f t="shared" si="0"/>
        <v/>
      </c>
      <c r="E181" s="78">
        <v>0</v>
      </c>
      <c r="F181" s="78">
        <v>0</v>
      </c>
      <c r="G181" s="42" t="str">
        <f t="shared" si="1"/>
        <v/>
      </c>
      <c r="H181" s="41">
        <v>0</v>
      </c>
      <c r="I181" s="41">
        <v>0</v>
      </c>
      <c r="J181" s="41">
        <f t="shared" si="2"/>
        <v>0</v>
      </c>
      <c r="K181" s="41">
        <v>0</v>
      </c>
      <c r="L181" s="79" t="str">
        <f t="shared" si="3"/>
        <v/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81"/>
      <c r="AA181" s="6">
        <f t="shared" si="4"/>
        <v>0</v>
      </c>
      <c r="AB181" s="80" t="str">
        <f>+IF(AND(D181&gt;'Indices y Outliers'!$I$145,D181&lt;&gt;""),1,"")</f>
        <v/>
      </c>
      <c r="AC181" s="80" t="str">
        <f>+IF(AND(G181&gt;'Indices y Outliers'!$I$153,G181&lt;&gt;""),1,"")</f>
        <v/>
      </c>
      <c r="AD181" s="7"/>
      <c r="AE181" s="7">
        <f t="shared" si="5"/>
        <v>0</v>
      </c>
    </row>
    <row r="182" spans="1:31" ht="15.75" customHeight="1">
      <c r="A182" s="7" t="s">
        <v>751</v>
      </c>
      <c r="B182" s="78">
        <v>233.8</v>
      </c>
      <c r="C182" s="78">
        <v>0</v>
      </c>
      <c r="D182" s="42">
        <f t="shared" si="0"/>
        <v>233.8</v>
      </c>
      <c r="E182" s="78">
        <v>1.752</v>
      </c>
      <c r="F182" s="78">
        <v>0</v>
      </c>
      <c r="G182" s="42">
        <f t="shared" si="1"/>
        <v>1.752</v>
      </c>
      <c r="H182" s="41">
        <v>482</v>
      </c>
      <c r="I182" s="41">
        <v>1190087</v>
      </c>
      <c r="J182" s="41">
        <f t="shared" si="2"/>
        <v>1190569</v>
      </c>
      <c r="K182" s="41">
        <v>1265363</v>
      </c>
      <c r="L182" s="79">
        <f t="shared" si="3"/>
        <v>0.94089126993597882</v>
      </c>
      <c r="M182" s="89">
        <v>1</v>
      </c>
      <c r="N182" s="89">
        <v>1</v>
      </c>
      <c r="O182" s="89">
        <v>1</v>
      </c>
      <c r="P182" s="89">
        <v>1</v>
      </c>
      <c r="Q182" s="89">
        <v>1</v>
      </c>
      <c r="R182" s="89">
        <v>1</v>
      </c>
      <c r="S182" s="89" t="s">
        <v>1353</v>
      </c>
      <c r="T182" s="89" t="s">
        <v>1353</v>
      </c>
      <c r="U182" s="89" t="s">
        <v>1353</v>
      </c>
      <c r="V182" s="89" t="s">
        <v>1353</v>
      </c>
      <c r="W182" s="89" t="s">
        <v>1353</v>
      </c>
      <c r="X182" s="7"/>
      <c r="Y182" s="7"/>
      <c r="Z182" s="81"/>
      <c r="AA182" s="6">
        <f t="shared" si="4"/>
        <v>2</v>
      </c>
      <c r="AB182" s="80" t="str">
        <f>+IF(AND(D182&gt;'Indices y Outliers'!$I$145,D182&lt;&gt;""),1,"")</f>
        <v/>
      </c>
      <c r="AC182" s="80" t="str">
        <f>+IF(AND(G182&gt;'Indices y Outliers'!$I$153,G182&lt;&gt;""),1,"")</f>
        <v/>
      </c>
      <c r="AD182" s="7"/>
      <c r="AE182" s="7">
        <f t="shared" si="5"/>
        <v>0</v>
      </c>
    </row>
    <row r="183" spans="1:31" ht="15.75" customHeight="1">
      <c r="A183" s="7" t="s">
        <v>754</v>
      </c>
      <c r="B183" s="78">
        <v>0</v>
      </c>
      <c r="C183" s="78">
        <v>0</v>
      </c>
      <c r="D183" s="42" t="str">
        <f t="shared" si="0"/>
        <v/>
      </c>
      <c r="E183" s="78">
        <v>0</v>
      </c>
      <c r="F183" s="78">
        <v>0</v>
      </c>
      <c r="G183" s="42" t="str">
        <f t="shared" si="1"/>
        <v/>
      </c>
      <c r="H183" s="41">
        <v>0</v>
      </c>
      <c r="I183" s="41">
        <v>0</v>
      </c>
      <c r="J183" s="41">
        <f t="shared" si="2"/>
        <v>0</v>
      </c>
      <c r="K183" s="41">
        <v>0</v>
      </c>
      <c r="L183" s="79" t="str">
        <f t="shared" si="3"/>
        <v/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81"/>
      <c r="AA183" s="6">
        <f t="shared" si="4"/>
        <v>0</v>
      </c>
      <c r="AB183" s="80" t="str">
        <f>+IF(AND(D183&gt;'Indices y Outliers'!$I$145,D183&lt;&gt;""),1,"")</f>
        <v/>
      </c>
      <c r="AC183" s="80" t="str">
        <f>+IF(AND(G183&gt;'Indices y Outliers'!$I$153,G183&lt;&gt;""),1,"")</f>
        <v/>
      </c>
      <c r="AD183" s="7"/>
      <c r="AE183" s="7">
        <f t="shared" si="5"/>
        <v>0</v>
      </c>
    </row>
    <row r="184" spans="1:31" ht="15.75" customHeight="1">
      <c r="A184" s="7" t="s">
        <v>757</v>
      </c>
      <c r="B184" s="78">
        <v>0</v>
      </c>
      <c r="C184" s="78">
        <v>0</v>
      </c>
      <c r="D184" s="42" t="str">
        <f t="shared" si="0"/>
        <v/>
      </c>
      <c r="E184" s="78">
        <v>0</v>
      </c>
      <c r="F184" s="78">
        <v>0</v>
      </c>
      <c r="G184" s="42" t="str">
        <f t="shared" si="1"/>
        <v/>
      </c>
      <c r="H184" s="41">
        <v>0</v>
      </c>
      <c r="I184" s="41">
        <v>0</v>
      </c>
      <c r="J184" s="41">
        <f t="shared" si="2"/>
        <v>0</v>
      </c>
      <c r="K184" s="41">
        <v>0</v>
      </c>
      <c r="L184" s="79" t="str">
        <f t="shared" si="3"/>
        <v/>
      </c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81"/>
      <c r="AA184" s="6">
        <f t="shared" si="4"/>
        <v>0</v>
      </c>
      <c r="AB184" s="80" t="str">
        <f>+IF(AND(D184&gt;'Indices y Outliers'!$I$145,D184&lt;&gt;""),1,"")</f>
        <v/>
      </c>
      <c r="AC184" s="80" t="str">
        <f>+IF(AND(G184&gt;'Indices y Outliers'!$I$153,G184&lt;&gt;""),1,"")</f>
        <v/>
      </c>
      <c r="AD184" s="7"/>
      <c r="AE184" s="7">
        <f t="shared" si="5"/>
        <v>0</v>
      </c>
    </row>
    <row r="185" spans="1:31" ht="15.75" customHeight="1">
      <c r="A185" s="7" t="s">
        <v>760</v>
      </c>
      <c r="B185" s="78">
        <v>0</v>
      </c>
      <c r="C185" s="78">
        <v>0</v>
      </c>
      <c r="D185" s="42" t="str">
        <f t="shared" si="0"/>
        <v/>
      </c>
      <c r="E185" s="78">
        <v>0</v>
      </c>
      <c r="F185" s="78">
        <v>0</v>
      </c>
      <c r="G185" s="42" t="str">
        <f t="shared" si="1"/>
        <v/>
      </c>
      <c r="H185" s="41">
        <v>0</v>
      </c>
      <c r="I185" s="41">
        <v>0</v>
      </c>
      <c r="J185" s="41">
        <f t="shared" si="2"/>
        <v>0</v>
      </c>
      <c r="K185" s="41">
        <v>0</v>
      </c>
      <c r="L185" s="79" t="str">
        <f t="shared" si="3"/>
        <v/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81"/>
      <c r="AA185" s="6">
        <f t="shared" si="4"/>
        <v>0</v>
      </c>
      <c r="AB185" s="80" t="str">
        <f>+IF(AND(D185&gt;'Indices y Outliers'!$I$145,D185&lt;&gt;""),1,"")</f>
        <v/>
      </c>
      <c r="AC185" s="80" t="str">
        <f>+IF(AND(G185&gt;'Indices y Outliers'!$I$153,G185&lt;&gt;""),1,"")</f>
        <v/>
      </c>
      <c r="AD185" s="7"/>
      <c r="AE185" s="7">
        <f t="shared" si="5"/>
        <v>0</v>
      </c>
    </row>
    <row r="186" spans="1:31" ht="15.75" customHeight="1">
      <c r="A186" s="7" t="s">
        <v>763</v>
      </c>
      <c r="B186" s="78">
        <v>0</v>
      </c>
      <c r="C186" s="78">
        <v>0</v>
      </c>
      <c r="D186" s="42" t="str">
        <f t="shared" si="0"/>
        <v/>
      </c>
      <c r="E186" s="78">
        <v>0</v>
      </c>
      <c r="F186" s="78">
        <v>0</v>
      </c>
      <c r="G186" s="42" t="str">
        <f t="shared" si="1"/>
        <v/>
      </c>
      <c r="H186" s="41">
        <v>0</v>
      </c>
      <c r="I186" s="41">
        <v>0</v>
      </c>
      <c r="J186" s="41">
        <f t="shared" si="2"/>
        <v>0</v>
      </c>
      <c r="K186" s="41">
        <v>0</v>
      </c>
      <c r="L186" s="79" t="str">
        <f t="shared" si="3"/>
        <v/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81"/>
      <c r="AA186" s="6">
        <f t="shared" si="4"/>
        <v>0</v>
      </c>
      <c r="AB186" s="80" t="str">
        <f>+IF(AND(D186&gt;'Indices y Outliers'!$I$145,D186&lt;&gt;""),1,"")</f>
        <v/>
      </c>
      <c r="AC186" s="80" t="str">
        <f>+IF(AND(G186&gt;'Indices y Outliers'!$I$153,G186&lt;&gt;""),1,"")</f>
        <v/>
      </c>
      <c r="AD186" s="7"/>
      <c r="AE186" s="7">
        <f t="shared" si="5"/>
        <v>0</v>
      </c>
    </row>
    <row r="187" spans="1:31" ht="15.75" customHeight="1">
      <c r="A187" s="7" t="s">
        <v>766</v>
      </c>
      <c r="B187" s="78">
        <v>286</v>
      </c>
      <c r="C187" s="78">
        <v>0</v>
      </c>
      <c r="D187" s="42">
        <f t="shared" si="0"/>
        <v>286</v>
      </c>
      <c r="E187" s="78">
        <v>2.34</v>
      </c>
      <c r="F187" s="78">
        <v>0</v>
      </c>
      <c r="G187" s="42">
        <f t="shared" si="1"/>
        <v>2.34</v>
      </c>
      <c r="H187" s="41">
        <v>405</v>
      </c>
      <c r="I187" s="41">
        <v>37406</v>
      </c>
      <c r="J187" s="41">
        <f t="shared" si="2"/>
        <v>37811</v>
      </c>
      <c r="K187" s="41">
        <v>37821</v>
      </c>
      <c r="L187" s="79">
        <f t="shared" si="3"/>
        <v>0.99973559662621292</v>
      </c>
      <c r="M187" s="89">
        <v>1</v>
      </c>
      <c r="N187" s="89">
        <v>1</v>
      </c>
      <c r="O187" s="89">
        <v>1</v>
      </c>
      <c r="P187" s="89">
        <v>1</v>
      </c>
      <c r="Q187" s="7"/>
      <c r="R187" s="89">
        <v>1</v>
      </c>
      <c r="S187" s="89" t="s">
        <v>1353</v>
      </c>
      <c r="T187" s="7"/>
      <c r="U187" s="89" t="s">
        <v>1353</v>
      </c>
      <c r="V187" s="89" t="s">
        <v>1353</v>
      </c>
      <c r="W187" s="89" t="s">
        <v>1353</v>
      </c>
      <c r="X187" s="89" t="s">
        <v>1353</v>
      </c>
      <c r="Y187" s="89" t="s">
        <v>1353</v>
      </c>
      <c r="Z187" s="81"/>
      <c r="AA187" s="6">
        <f t="shared" si="4"/>
        <v>2</v>
      </c>
      <c r="AB187" s="80" t="str">
        <f>+IF(AND(D187&gt;'Indices y Outliers'!$I$145,D187&lt;&gt;""),1,"")</f>
        <v/>
      </c>
      <c r="AC187" s="80" t="str">
        <f>+IF(AND(G187&gt;'Indices y Outliers'!$I$153,G187&lt;&gt;""),1,"")</f>
        <v/>
      </c>
      <c r="AD187" s="7"/>
      <c r="AE187" s="7">
        <f t="shared" si="5"/>
        <v>0</v>
      </c>
    </row>
    <row r="188" spans="1:31" ht="15.75" customHeight="1">
      <c r="A188" s="7" t="s">
        <v>769</v>
      </c>
      <c r="B188" s="78">
        <v>0</v>
      </c>
      <c r="C188" s="78">
        <v>0</v>
      </c>
      <c r="D188" s="42" t="str">
        <f t="shared" si="0"/>
        <v/>
      </c>
      <c r="E188" s="78">
        <v>0</v>
      </c>
      <c r="F188" s="78">
        <v>0</v>
      </c>
      <c r="G188" s="42" t="str">
        <f t="shared" si="1"/>
        <v/>
      </c>
      <c r="H188" s="41">
        <v>0</v>
      </c>
      <c r="I188" s="41">
        <v>0</v>
      </c>
      <c r="J188" s="41">
        <f t="shared" si="2"/>
        <v>0</v>
      </c>
      <c r="K188" s="41">
        <v>0</v>
      </c>
      <c r="L188" s="79" t="str">
        <f t="shared" si="3"/>
        <v/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81"/>
      <c r="AA188" s="6">
        <f t="shared" si="4"/>
        <v>0</v>
      </c>
      <c r="AB188" s="80" t="str">
        <f>+IF(AND(D188&gt;'Indices y Outliers'!$I$145,D188&lt;&gt;""),1,"")</f>
        <v/>
      </c>
      <c r="AC188" s="80" t="str">
        <f>+IF(AND(G188&gt;'Indices y Outliers'!$I$153,G188&lt;&gt;""),1,"")</f>
        <v/>
      </c>
      <c r="AD188" s="7"/>
      <c r="AE188" s="7">
        <f t="shared" si="5"/>
        <v>0</v>
      </c>
    </row>
    <row r="189" spans="1:31" ht="15.75" customHeight="1">
      <c r="A189" s="7" t="s">
        <v>772</v>
      </c>
      <c r="B189" s="78">
        <v>0</v>
      </c>
      <c r="C189" s="78">
        <v>0</v>
      </c>
      <c r="D189" s="42" t="str">
        <f t="shared" si="0"/>
        <v/>
      </c>
      <c r="E189" s="78">
        <v>0</v>
      </c>
      <c r="F189" s="78">
        <v>0</v>
      </c>
      <c r="G189" s="42" t="str">
        <f t="shared" si="1"/>
        <v/>
      </c>
      <c r="H189" s="41">
        <v>0</v>
      </c>
      <c r="I189" s="41">
        <v>0</v>
      </c>
      <c r="J189" s="41">
        <f t="shared" si="2"/>
        <v>0</v>
      </c>
      <c r="K189" s="41">
        <v>0</v>
      </c>
      <c r="L189" s="79" t="str">
        <f t="shared" si="3"/>
        <v/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81"/>
      <c r="AA189" s="6">
        <f t="shared" si="4"/>
        <v>0</v>
      </c>
      <c r="AB189" s="80" t="str">
        <f>+IF(AND(D189&gt;'Indices y Outliers'!$I$145,D189&lt;&gt;""),1,"")</f>
        <v/>
      </c>
      <c r="AC189" s="80" t="str">
        <f>+IF(AND(G189&gt;'Indices y Outliers'!$I$153,G189&lt;&gt;""),1,"")</f>
        <v/>
      </c>
      <c r="AD189" s="7"/>
      <c r="AE189" s="7">
        <f t="shared" si="5"/>
        <v>0</v>
      </c>
    </row>
    <row r="190" spans="1:31" ht="15.75" customHeight="1">
      <c r="A190" s="7" t="s">
        <v>775</v>
      </c>
      <c r="B190" s="78">
        <v>0</v>
      </c>
      <c r="C190" s="78">
        <v>0</v>
      </c>
      <c r="D190" s="42" t="str">
        <f t="shared" si="0"/>
        <v/>
      </c>
      <c r="E190" s="78">
        <v>0</v>
      </c>
      <c r="F190" s="78">
        <v>0</v>
      </c>
      <c r="G190" s="42" t="str">
        <f t="shared" si="1"/>
        <v/>
      </c>
      <c r="H190" s="41">
        <v>0</v>
      </c>
      <c r="I190" s="41">
        <v>0</v>
      </c>
      <c r="J190" s="41">
        <f t="shared" si="2"/>
        <v>0</v>
      </c>
      <c r="K190" s="41">
        <v>0</v>
      </c>
      <c r="L190" s="79" t="str">
        <f t="shared" si="3"/>
        <v/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81"/>
      <c r="AA190" s="6">
        <f t="shared" si="4"/>
        <v>0</v>
      </c>
      <c r="AB190" s="80" t="str">
        <f>+IF(AND(D190&gt;'Indices y Outliers'!$I$145,D190&lt;&gt;""),1,"")</f>
        <v/>
      </c>
      <c r="AC190" s="80" t="str">
        <f>+IF(AND(G190&gt;'Indices y Outliers'!$I$153,G190&lt;&gt;""),1,"")</f>
        <v/>
      </c>
      <c r="AD190" s="7"/>
      <c r="AE190" s="7">
        <f t="shared" si="5"/>
        <v>0</v>
      </c>
    </row>
    <row r="191" spans="1:31" ht="15.75" customHeight="1">
      <c r="A191" s="7" t="s">
        <v>778</v>
      </c>
      <c r="B191" s="78">
        <v>0</v>
      </c>
      <c r="C191" s="78">
        <v>0</v>
      </c>
      <c r="D191" s="42" t="str">
        <f t="shared" si="0"/>
        <v/>
      </c>
      <c r="E191" s="78">
        <v>0</v>
      </c>
      <c r="F191" s="78">
        <v>0</v>
      </c>
      <c r="G191" s="42" t="str">
        <f t="shared" si="1"/>
        <v/>
      </c>
      <c r="H191" s="41">
        <v>0</v>
      </c>
      <c r="I191" s="41">
        <v>0</v>
      </c>
      <c r="J191" s="41">
        <f t="shared" si="2"/>
        <v>0</v>
      </c>
      <c r="K191" s="41">
        <v>0</v>
      </c>
      <c r="L191" s="79" t="str">
        <f t="shared" si="3"/>
        <v/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81"/>
      <c r="AA191" s="6">
        <f t="shared" si="4"/>
        <v>0</v>
      </c>
      <c r="AB191" s="80" t="str">
        <f>+IF(AND(D191&gt;'Indices y Outliers'!$I$145,D191&lt;&gt;""),1,"")</f>
        <v/>
      </c>
      <c r="AC191" s="80" t="str">
        <f>+IF(AND(G191&gt;'Indices y Outliers'!$I$153,G191&lt;&gt;""),1,"")</f>
        <v/>
      </c>
      <c r="AD191" s="7"/>
      <c r="AE191" s="7">
        <f t="shared" si="5"/>
        <v>0</v>
      </c>
    </row>
    <row r="192" spans="1:31" ht="15.75" customHeight="1">
      <c r="A192" s="7" t="s">
        <v>781</v>
      </c>
      <c r="B192" s="78">
        <v>0</v>
      </c>
      <c r="C192" s="78">
        <v>0</v>
      </c>
      <c r="D192" s="42" t="str">
        <f t="shared" si="0"/>
        <v/>
      </c>
      <c r="E192" s="78">
        <v>0</v>
      </c>
      <c r="F192" s="78">
        <v>0</v>
      </c>
      <c r="G192" s="42" t="str">
        <f t="shared" si="1"/>
        <v/>
      </c>
      <c r="H192" s="41">
        <v>0</v>
      </c>
      <c r="I192" s="41">
        <v>0</v>
      </c>
      <c r="J192" s="41">
        <f t="shared" si="2"/>
        <v>0</v>
      </c>
      <c r="K192" s="41">
        <v>0</v>
      </c>
      <c r="L192" s="79" t="str">
        <f t="shared" si="3"/>
        <v/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81"/>
      <c r="AA192" s="6">
        <f t="shared" si="4"/>
        <v>0</v>
      </c>
      <c r="AB192" s="80" t="str">
        <f>+IF(AND(D192&gt;'Indices y Outliers'!$I$145,D192&lt;&gt;""),1,"")</f>
        <v/>
      </c>
      <c r="AC192" s="80" t="str">
        <f>+IF(AND(G192&gt;'Indices y Outliers'!$I$153,G192&lt;&gt;""),1,"")</f>
        <v/>
      </c>
      <c r="AD192" s="7"/>
      <c r="AE192" s="7">
        <f t="shared" si="5"/>
        <v>0</v>
      </c>
    </row>
    <row r="193" spans="1:31" ht="15.75" customHeight="1">
      <c r="A193" s="7" t="s">
        <v>784</v>
      </c>
      <c r="B193" s="78">
        <v>0</v>
      </c>
      <c r="C193" s="78">
        <v>0</v>
      </c>
      <c r="D193" s="42" t="str">
        <f t="shared" si="0"/>
        <v/>
      </c>
      <c r="E193" s="78">
        <v>0</v>
      </c>
      <c r="F193" s="78">
        <v>0</v>
      </c>
      <c r="G193" s="42" t="str">
        <f t="shared" si="1"/>
        <v/>
      </c>
      <c r="H193" s="41">
        <v>0</v>
      </c>
      <c r="I193" s="41">
        <v>0</v>
      </c>
      <c r="J193" s="41">
        <f t="shared" si="2"/>
        <v>0</v>
      </c>
      <c r="K193" s="41">
        <v>0</v>
      </c>
      <c r="L193" s="79" t="str">
        <f t="shared" si="3"/>
        <v/>
      </c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81"/>
      <c r="AA193" s="6">
        <f t="shared" si="4"/>
        <v>0</v>
      </c>
      <c r="AB193" s="80" t="str">
        <f>+IF(AND(D193&gt;'Indices y Outliers'!$I$145,D193&lt;&gt;""),1,"")</f>
        <v/>
      </c>
      <c r="AC193" s="80" t="str">
        <f>+IF(AND(G193&gt;'Indices y Outliers'!$I$153,G193&lt;&gt;""),1,"")</f>
        <v/>
      </c>
      <c r="AD193" s="7"/>
      <c r="AE193" s="7">
        <f t="shared" si="5"/>
        <v>0</v>
      </c>
    </row>
    <row r="194" spans="1:31" ht="15.75" customHeight="1">
      <c r="A194" s="7" t="s">
        <v>787</v>
      </c>
      <c r="B194" s="78">
        <v>0</v>
      </c>
      <c r="C194" s="78">
        <v>0</v>
      </c>
      <c r="D194" s="42" t="str">
        <f t="shared" si="0"/>
        <v/>
      </c>
      <c r="E194" s="78">
        <v>0</v>
      </c>
      <c r="F194" s="78">
        <v>0</v>
      </c>
      <c r="G194" s="42" t="str">
        <f t="shared" si="1"/>
        <v/>
      </c>
      <c r="H194" s="41">
        <v>0</v>
      </c>
      <c r="I194" s="41">
        <v>0</v>
      </c>
      <c r="J194" s="41">
        <f t="shared" si="2"/>
        <v>0</v>
      </c>
      <c r="K194" s="41">
        <v>0</v>
      </c>
      <c r="L194" s="79" t="str">
        <f t="shared" si="3"/>
        <v/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81"/>
      <c r="AA194" s="6">
        <f t="shared" si="4"/>
        <v>0</v>
      </c>
      <c r="AB194" s="80" t="str">
        <f>+IF(AND(D194&gt;'Indices y Outliers'!$I$145,D194&lt;&gt;""),1,"")</f>
        <v/>
      </c>
      <c r="AC194" s="80" t="str">
        <f>+IF(AND(G194&gt;'Indices y Outliers'!$I$153,G194&lt;&gt;""),1,"")</f>
        <v/>
      </c>
      <c r="AD194" s="7"/>
      <c r="AE194" s="7">
        <f t="shared" si="5"/>
        <v>0</v>
      </c>
    </row>
    <row r="195" spans="1:31" ht="15.75" customHeight="1">
      <c r="A195" s="7" t="s">
        <v>790</v>
      </c>
      <c r="B195" s="78">
        <v>0</v>
      </c>
      <c r="C195" s="78">
        <v>0</v>
      </c>
      <c r="D195" s="42" t="str">
        <f t="shared" si="0"/>
        <v/>
      </c>
      <c r="E195" s="78">
        <v>0</v>
      </c>
      <c r="F195" s="78">
        <v>0</v>
      </c>
      <c r="G195" s="42" t="str">
        <f t="shared" si="1"/>
        <v/>
      </c>
      <c r="H195" s="41">
        <v>0</v>
      </c>
      <c r="I195" s="41">
        <v>0</v>
      </c>
      <c r="J195" s="41">
        <f t="shared" si="2"/>
        <v>0</v>
      </c>
      <c r="K195" s="41">
        <v>0</v>
      </c>
      <c r="L195" s="79" t="str">
        <f t="shared" si="3"/>
        <v/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81"/>
      <c r="AA195" s="6">
        <f t="shared" si="4"/>
        <v>0</v>
      </c>
      <c r="AB195" s="80" t="str">
        <f>+IF(AND(D195&gt;'Indices y Outliers'!$I$145,D195&lt;&gt;""),1,"")</f>
        <v/>
      </c>
      <c r="AC195" s="80" t="str">
        <f>+IF(AND(G195&gt;'Indices y Outliers'!$I$153,G195&lt;&gt;""),1,"")</f>
        <v/>
      </c>
      <c r="AD195" s="7"/>
      <c r="AE195" s="7">
        <f t="shared" si="5"/>
        <v>0</v>
      </c>
    </row>
    <row r="196" spans="1:31" ht="15.75" customHeight="1">
      <c r="A196" s="7" t="s">
        <v>793</v>
      </c>
      <c r="B196" s="78">
        <v>173.2</v>
      </c>
      <c r="C196" s="78">
        <v>0</v>
      </c>
      <c r="D196" s="42">
        <f t="shared" si="0"/>
        <v>173.2</v>
      </c>
      <c r="E196" s="78">
        <v>1.4690000000000001</v>
      </c>
      <c r="F196" s="78">
        <v>0</v>
      </c>
      <c r="G196" s="42">
        <f t="shared" si="1"/>
        <v>1.4690000000000001</v>
      </c>
      <c r="H196" s="41">
        <v>667</v>
      </c>
      <c r="I196" s="41">
        <v>314592</v>
      </c>
      <c r="J196" s="41">
        <f t="shared" si="2"/>
        <v>315259</v>
      </c>
      <c r="K196" s="41">
        <v>317658</v>
      </c>
      <c r="L196" s="79">
        <f t="shared" si="3"/>
        <v>0.99244785272210989</v>
      </c>
      <c r="M196" s="89">
        <v>1</v>
      </c>
      <c r="N196" s="89">
        <v>1</v>
      </c>
      <c r="O196" s="89">
        <v>1</v>
      </c>
      <c r="P196" s="7"/>
      <c r="Q196" s="89">
        <v>1</v>
      </c>
      <c r="R196" s="89">
        <v>1</v>
      </c>
      <c r="S196" s="89" t="s">
        <v>1353</v>
      </c>
      <c r="T196" s="89" t="s">
        <v>1353</v>
      </c>
      <c r="U196" s="89" t="s">
        <v>1353</v>
      </c>
      <c r="V196" s="89" t="s">
        <v>1353</v>
      </c>
      <c r="W196" s="89" t="s">
        <v>1353</v>
      </c>
      <c r="X196" s="7"/>
      <c r="Y196" s="7"/>
      <c r="Z196" s="81"/>
      <c r="AA196" s="6">
        <f t="shared" si="4"/>
        <v>2</v>
      </c>
      <c r="AB196" s="80" t="str">
        <f>+IF(AND(D196&gt;'Indices y Outliers'!$I$145,D196&lt;&gt;""),1,"")</f>
        <v/>
      </c>
      <c r="AC196" s="80" t="str">
        <f>+IF(AND(G196&gt;'Indices y Outliers'!$I$153,G196&lt;&gt;""),1,"")</f>
        <v/>
      </c>
      <c r="AD196" s="7"/>
      <c r="AE196" s="7">
        <f t="shared" si="5"/>
        <v>0</v>
      </c>
    </row>
    <row r="197" spans="1:31" ht="15.75" customHeight="1">
      <c r="A197" s="7" t="s">
        <v>796</v>
      </c>
      <c r="B197" s="78">
        <v>0</v>
      </c>
      <c r="C197" s="78">
        <v>0</v>
      </c>
      <c r="D197" s="42" t="str">
        <f t="shared" si="0"/>
        <v/>
      </c>
      <c r="E197" s="78">
        <v>0</v>
      </c>
      <c r="F197" s="78">
        <v>0</v>
      </c>
      <c r="G197" s="42" t="str">
        <f t="shared" si="1"/>
        <v/>
      </c>
      <c r="H197" s="41">
        <v>0</v>
      </c>
      <c r="I197" s="41">
        <v>0</v>
      </c>
      <c r="J197" s="41">
        <f t="shared" si="2"/>
        <v>0</v>
      </c>
      <c r="K197" s="41">
        <v>0</v>
      </c>
      <c r="L197" s="79" t="str">
        <f t="shared" si="3"/>
        <v/>
      </c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81"/>
      <c r="AA197" s="6">
        <f t="shared" si="4"/>
        <v>0</v>
      </c>
      <c r="AB197" s="80" t="str">
        <f>+IF(AND(D197&gt;'Indices y Outliers'!$I$145,D197&lt;&gt;""),1,"")</f>
        <v/>
      </c>
      <c r="AC197" s="80" t="str">
        <f>+IF(AND(G197&gt;'Indices y Outliers'!$I$153,G197&lt;&gt;""),1,"")</f>
        <v/>
      </c>
      <c r="AD197" s="7"/>
      <c r="AE197" s="7">
        <f t="shared" si="5"/>
        <v>0</v>
      </c>
    </row>
    <row r="198" spans="1:31" ht="15.75" customHeight="1">
      <c r="A198" s="7" t="s">
        <v>799</v>
      </c>
      <c r="B198" s="78">
        <v>0</v>
      </c>
      <c r="C198" s="78">
        <v>0</v>
      </c>
      <c r="D198" s="42" t="str">
        <f t="shared" si="0"/>
        <v/>
      </c>
      <c r="E198" s="78">
        <v>0</v>
      </c>
      <c r="F198" s="78">
        <v>0</v>
      </c>
      <c r="G198" s="42" t="str">
        <f t="shared" si="1"/>
        <v/>
      </c>
      <c r="H198" s="41">
        <v>0</v>
      </c>
      <c r="I198" s="41">
        <v>0</v>
      </c>
      <c r="J198" s="41">
        <f t="shared" si="2"/>
        <v>0</v>
      </c>
      <c r="K198" s="41">
        <v>0</v>
      </c>
      <c r="L198" s="79" t="str">
        <f t="shared" si="3"/>
        <v/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81"/>
      <c r="AA198" s="6">
        <f t="shared" si="4"/>
        <v>0</v>
      </c>
      <c r="AB198" s="80" t="str">
        <f>+IF(AND(D198&gt;'Indices y Outliers'!$I$145,D198&lt;&gt;""),1,"")</f>
        <v/>
      </c>
      <c r="AC198" s="80" t="str">
        <f>+IF(AND(G198&gt;'Indices y Outliers'!$I$153,G198&lt;&gt;""),1,"")</f>
        <v/>
      </c>
      <c r="AD198" s="7"/>
      <c r="AE198" s="7">
        <f t="shared" si="5"/>
        <v>0</v>
      </c>
    </row>
    <row r="199" spans="1:31" ht="15.75" customHeight="1">
      <c r="A199" s="7" t="s">
        <v>802</v>
      </c>
      <c r="B199" s="78">
        <v>393.6</v>
      </c>
      <c r="C199" s="78">
        <v>0</v>
      </c>
      <c r="D199" s="42">
        <f t="shared" si="0"/>
        <v>393.6</v>
      </c>
      <c r="E199" s="78">
        <v>2.302</v>
      </c>
      <c r="F199" s="78">
        <v>0</v>
      </c>
      <c r="G199" s="42">
        <f t="shared" si="1"/>
        <v>2.302</v>
      </c>
      <c r="H199" s="41">
        <v>63</v>
      </c>
      <c r="I199" s="41">
        <v>724228</v>
      </c>
      <c r="J199" s="41">
        <f t="shared" si="2"/>
        <v>724291</v>
      </c>
      <c r="K199" s="41">
        <v>732061</v>
      </c>
      <c r="L199" s="79">
        <f t="shared" si="3"/>
        <v>0.9893861303907735</v>
      </c>
      <c r="M199" s="89">
        <v>1</v>
      </c>
      <c r="N199" s="89">
        <v>1</v>
      </c>
      <c r="O199" s="89">
        <v>1</v>
      </c>
      <c r="P199" s="89">
        <v>1</v>
      </c>
      <c r="Q199" s="89">
        <v>1</v>
      </c>
      <c r="R199" s="89">
        <v>1</v>
      </c>
      <c r="S199" s="89" t="s">
        <v>1353</v>
      </c>
      <c r="T199" s="89" t="s">
        <v>1353</v>
      </c>
      <c r="U199" s="89" t="s">
        <v>1353</v>
      </c>
      <c r="V199" s="89" t="s">
        <v>1353</v>
      </c>
      <c r="W199" s="89" t="s">
        <v>1353</v>
      </c>
      <c r="X199" s="7"/>
      <c r="Y199" s="7"/>
      <c r="Z199" s="81"/>
      <c r="AA199" s="6">
        <f t="shared" si="4"/>
        <v>2</v>
      </c>
      <c r="AB199" s="80" t="str">
        <f>+IF(AND(D199&gt;'Indices y Outliers'!$I$145,D199&lt;&gt;""),1,"")</f>
        <v/>
      </c>
      <c r="AC199" s="80" t="str">
        <f>+IF(AND(G199&gt;'Indices y Outliers'!$I$153,G199&lt;&gt;""),1,"")</f>
        <v/>
      </c>
      <c r="AD199" s="7"/>
      <c r="AE199" s="7">
        <f t="shared" si="5"/>
        <v>0</v>
      </c>
    </row>
    <row r="200" spans="1:31" ht="15.75" customHeight="1">
      <c r="A200" s="7" t="s">
        <v>805</v>
      </c>
      <c r="B200" s="78">
        <v>331.2</v>
      </c>
      <c r="C200" s="78">
        <v>0</v>
      </c>
      <c r="D200" s="42">
        <f t="shared" si="0"/>
        <v>331.2</v>
      </c>
      <c r="E200" s="78">
        <v>2.38</v>
      </c>
      <c r="F200" s="78">
        <v>0</v>
      </c>
      <c r="G200" s="42">
        <f t="shared" si="1"/>
        <v>2.38</v>
      </c>
      <c r="H200" s="41">
        <v>24</v>
      </c>
      <c r="I200" s="41">
        <v>460244</v>
      </c>
      <c r="J200" s="41">
        <f t="shared" si="2"/>
        <v>460268</v>
      </c>
      <c r="K200" s="41">
        <v>462401</v>
      </c>
      <c r="L200" s="79">
        <f t="shared" si="3"/>
        <v>0.99538712070259361</v>
      </c>
      <c r="M200" s="89">
        <v>1</v>
      </c>
      <c r="N200" s="89">
        <v>1</v>
      </c>
      <c r="O200" s="89">
        <v>1</v>
      </c>
      <c r="P200" s="89">
        <v>1</v>
      </c>
      <c r="Q200" s="89">
        <v>1</v>
      </c>
      <c r="R200" s="89">
        <v>1</v>
      </c>
      <c r="S200" s="89" t="s">
        <v>1353</v>
      </c>
      <c r="T200" s="89" t="s">
        <v>1353</v>
      </c>
      <c r="U200" s="89" t="s">
        <v>1353</v>
      </c>
      <c r="V200" s="89" t="s">
        <v>1353</v>
      </c>
      <c r="W200" s="89" t="s">
        <v>1353</v>
      </c>
      <c r="X200" s="7"/>
      <c r="Y200" s="7"/>
      <c r="Z200" s="81"/>
      <c r="AA200" s="6">
        <f t="shared" si="4"/>
        <v>2</v>
      </c>
      <c r="AB200" s="80" t="str">
        <f>+IF(AND(D200&gt;'Indices y Outliers'!$I$145,D200&lt;&gt;""),1,"")</f>
        <v/>
      </c>
      <c r="AC200" s="80" t="str">
        <f>+IF(AND(G200&gt;'Indices y Outliers'!$I$153,G200&lt;&gt;""),1,"")</f>
        <v/>
      </c>
      <c r="AD200" s="7"/>
      <c r="AE200" s="7">
        <f t="shared" si="5"/>
        <v>0</v>
      </c>
    </row>
    <row r="201" spans="1:31" ht="15.75" customHeight="1">
      <c r="A201" s="7" t="s">
        <v>808</v>
      </c>
      <c r="B201" s="78">
        <v>0</v>
      </c>
      <c r="C201" s="78">
        <v>0</v>
      </c>
      <c r="D201" s="42" t="str">
        <f t="shared" si="0"/>
        <v/>
      </c>
      <c r="E201" s="78">
        <v>0</v>
      </c>
      <c r="F201" s="78">
        <v>0</v>
      </c>
      <c r="G201" s="42" t="str">
        <f t="shared" si="1"/>
        <v/>
      </c>
      <c r="H201" s="41">
        <v>0</v>
      </c>
      <c r="I201" s="41">
        <v>0</v>
      </c>
      <c r="J201" s="41">
        <f t="shared" si="2"/>
        <v>0</v>
      </c>
      <c r="K201" s="41">
        <v>0</v>
      </c>
      <c r="L201" s="79" t="str">
        <f t="shared" si="3"/>
        <v/>
      </c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81"/>
      <c r="AA201" s="6">
        <f t="shared" si="4"/>
        <v>0</v>
      </c>
      <c r="AB201" s="80" t="str">
        <f>+IF(AND(D201&gt;'Indices y Outliers'!$I$145,D201&lt;&gt;""),1,"")</f>
        <v/>
      </c>
      <c r="AC201" s="80" t="str">
        <f>+IF(AND(G201&gt;'Indices y Outliers'!$I$153,G201&lt;&gt;""),1,"")</f>
        <v/>
      </c>
      <c r="AD201" s="7"/>
      <c r="AE201" s="7">
        <f t="shared" si="5"/>
        <v>0</v>
      </c>
    </row>
    <row r="202" spans="1:31" ht="15.75" customHeight="1">
      <c r="A202" s="7" t="s">
        <v>811</v>
      </c>
      <c r="B202" s="78">
        <v>0</v>
      </c>
      <c r="C202" s="78">
        <v>0</v>
      </c>
      <c r="D202" s="42" t="str">
        <f t="shared" si="0"/>
        <v/>
      </c>
      <c r="E202" s="78">
        <v>0</v>
      </c>
      <c r="F202" s="78">
        <v>0</v>
      </c>
      <c r="G202" s="42" t="str">
        <f t="shared" si="1"/>
        <v/>
      </c>
      <c r="H202" s="41">
        <v>0</v>
      </c>
      <c r="I202" s="41">
        <v>0</v>
      </c>
      <c r="J202" s="41">
        <f t="shared" si="2"/>
        <v>0</v>
      </c>
      <c r="K202" s="41">
        <v>0</v>
      </c>
      <c r="L202" s="79" t="str">
        <f t="shared" si="3"/>
        <v/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81"/>
      <c r="AA202" s="6">
        <f t="shared" si="4"/>
        <v>0</v>
      </c>
      <c r="AB202" s="80" t="str">
        <f>+IF(AND(D202&gt;'Indices y Outliers'!$I$145,D202&lt;&gt;""),1,"")</f>
        <v/>
      </c>
      <c r="AC202" s="80" t="str">
        <f>+IF(AND(G202&gt;'Indices y Outliers'!$I$153,G202&lt;&gt;""),1,"")</f>
        <v/>
      </c>
      <c r="AD202" s="7"/>
      <c r="AE202" s="7">
        <f t="shared" si="5"/>
        <v>0</v>
      </c>
    </row>
    <row r="203" spans="1:31" ht="15.75" customHeight="1">
      <c r="A203" s="7" t="s">
        <v>841</v>
      </c>
      <c r="B203" s="78">
        <v>140.32</v>
      </c>
      <c r="C203" s="78">
        <v>0</v>
      </c>
      <c r="D203" s="42">
        <f t="shared" si="0"/>
        <v>140.32</v>
      </c>
      <c r="E203" s="78">
        <v>4.08</v>
      </c>
      <c r="F203" s="78">
        <v>0</v>
      </c>
      <c r="G203" s="42">
        <f t="shared" si="1"/>
        <v>4.08</v>
      </c>
      <c r="H203" s="41">
        <v>17583</v>
      </c>
      <c r="I203" s="41">
        <v>0</v>
      </c>
      <c r="J203" s="41">
        <f t="shared" si="2"/>
        <v>17583</v>
      </c>
      <c r="K203" s="41">
        <v>17884</v>
      </c>
      <c r="L203" s="79">
        <f t="shared" si="3"/>
        <v>0.98316931335271751</v>
      </c>
      <c r="M203" s="89">
        <v>1</v>
      </c>
      <c r="N203" s="89">
        <v>1</v>
      </c>
      <c r="O203" s="89">
        <v>1</v>
      </c>
      <c r="P203" s="89">
        <v>1</v>
      </c>
      <c r="Q203" s="7"/>
      <c r="R203" s="7"/>
      <c r="S203" s="89" t="s">
        <v>1353</v>
      </c>
      <c r="T203" s="89" t="s">
        <v>1353</v>
      </c>
      <c r="U203" s="7"/>
      <c r="V203" s="89" t="s">
        <v>1353</v>
      </c>
      <c r="W203" s="7"/>
      <c r="X203" s="7"/>
      <c r="Y203" s="7"/>
      <c r="Z203" s="81"/>
      <c r="AA203" s="6">
        <f t="shared" si="4"/>
        <v>2</v>
      </c>
      <c r="AB203" s="80" t="str">
        <f>+IF(AND(D203&gt;'Indices y Outliers'!$I$145,D203&lt;&gt;""),1,"")</f>
        <v/>
      </c>
      <c r="AC203" s="80" t="str">
        <f>+IF(AND(G203&gt;'Indices y Outliers'!$I$153,G203&lt;&gt;""),1,"")</f>
        <v/>
      </c>
      <c r="AD203" s="7"/>
      <c r="AE203" s="7">
        <f t="shared" si="5"/>
        <v>0</v>
      </c>
    </row>
    <row r="204" spans="1:31" ht="15.75" customHeight="1">
      <c r="A204" s="7" t="s">
        <v>844</v>
      </c>
      <c r="B204" s="78">
        <v>35.729999999999997</v>
      </c>
      <c r="C204" s="78">
        <v>0</v>
      </c>
      <c r="D204" s="42">
        <f t="shared" si="0"/>
        <v>35.729999999999997</v>
      </c>
      <c r="E204" s="78">
        <v>0.64</v>
      </c>
      <c r="F204" s="78">
        <v>0</v>
      </c>
      <c r="G204" s="42">
        <f t="shared" si="1"/>
        <v>0.64</v>
      </c>
      <c r="H204" s="41">
        <v>14896</v>
      </c>
      <c r="I204" s="41">
        <v>0</v>
      </c>
      <c r="J204" s="41">
        <f t="shared" si="2"/>
        <v>14896</v>
      </c>
      <c r="K204" s="41">
        <v>15242</v>
      </c>
      <c r="L204" s="79">
        <f t="shared" si="3"/>
        <v>0.97729956698595988</v>
      </c>
      <c r="M204" s="89">
        <v>1</v>
      </c>
      <c r="N204" s="7"/>
      <c r="O204" s="89">
        <v>1</v>
      </c>
      <c r="P204" s="89">
        <v>1</v>
      </c>
      <c r="Q204" s="7"/>
      <c r="R204" s="7"/>
      <c r="S204" s="7"/>
      <c r="T204" s="7"/>
      <c r="U204" s="7"/>
      <c r="V204" s="7"/>
      <c r="W204" s="7"/>
      <c r="X204" s="7"/>
      <c r="Y204" s="7"/>
      <c r="Z204" s="81"/>
      <c r="AA204" s="6">
        <f t="shared" si="4"/>
        <v>2</v>
      </c>
      <c r="AB204" s="80" t="str">
        <f>+IF(AND(D204&gt;'Indices y Outliers'!$I$145,D204&lt;&gt;""),1,"")</f>
        <v/>
      </c>
      <c r="AC204" s="80" t="str">
        <f>+IF(AND(G204&gt;'Indices y Outliers'!$I$153,G204&lt;&gt;""),1,"")</f>
        <v/>
      </c>
      <c r="AD204" s="7"/>
      <c r="AE204" s="7">
        <f t="shared" si="5"/>
        <v>0</v>
      </c>
    </row>
    <row r="205" spans="1:31" ht="15.75" customHeight="1">
      <c r="A205" s="7" t="s">
        <v>850</v>
      </c>
      <c r="B205" s="78">
        <v>0</v>
      </c>
      <c r="C205" s="78">
        <v>107.136</v>
      </c>
      <c r="D205" s="42">
        <f t="shared" si="0"/>
        <v>107.136</v>
      </c>
      <c r="E205" s="78">
        <v>0</v>
      </c>
      <c r="F205" s="78">
        <v>3.43</v>
      </c>
      <c r="G205" s="42">
        <f t="shared" si="1"/>
        <v>3.43</v>
      </c>
      <c r="H205" s="41">
        <v>0</v>
      </c>
      <c r="I205" s="41">
        <v>0</v>
      </c>
      <c r="J205" s="41">
        <f t="shared" si="2"/>
        <v>0</v>
      </c>
      <c r="K205" s="41">
        <v>5602</v>
      </c>
      <c r="L205" s="79">
        <f t="shared" si="3"/>
        <v>0</v>
      </c>
      <c r="M205" s="89">
        <v>1</v>
      </c>
      <c r="N205" s="7"/>
      <c r="O205" s="89">
        <v>1</v>
      </c>
      <c r="P205" s="7"/>
      <c r="Q205" s="7"/>
      <c r="R205" s="89">
        <v>1</v>
      </c>
      <c r="S205" s="7"/>
      <c r="T205" s="89" t="s">
        <v>1354</v>
      </c>
      <c r="U205" s="89" t="s">
        <v>1353</v>
      </c>
      <c r="V205" s="89" t="s">
        <v>1353</v>
      </c>
      <c r="W205" s="7"/>
      <c r="X205" s="7"/>
      <c r="Y205" s="7"/>
      <c r="Z205" s="81"/>
      <c r="AA205" s="6">
        <f t="shared" si="4"/>
        <v>1</v>
      </c>
      <c r="AB205" s="80" t="str">
        <f>+IF(AND(D205&gt;'Indices y Outliers'!$I$145,D205&lt;&gt;""),1,"")</f>
        <v/>
      </c>
      <c r="AC205" s="80" t="str">
        <f>+IF(AND(G205&gt;'Indices y Outliers'!$I$153,G205&lt;&gt;""),1,"")</f>
        <v/>
      </c>
      <c r="AD205" s="7"/>
      <c r="AE205" s="7">
        <f t="shared" si="5"/>
        <v>0</v>
      </c>
    </row>
    <row r="206" spans="1:31" ht="15.75" customHeight="1">
      <c r="A206" s="7" t="s">
        <v>853</v>
      </c>
      <c r="B206" s="78">
        <v>0</v>
      </c>
      <c r="C206" s="78">
        <v>0</v>
      </c>
      <c r="D206" s="42" t="str">
        <f t="shared" si="0"/>
        <v/>
      </c>
      <c r="E206" s="78">
        <v>0</v>
      </c>
      <c r="F206" s="78">
        <v>0</v>
      </c>
      <c r="G206" s="42" t="str">
        <f t="shared" si="1"/>
        <v/>
      </c>
      <c r="H206" s="41">
        <v>0</v>
      </c>
      <c r="I206" s="41">
        <v>0</v>
      </c>
      <c r="J206" s="41">
        <f t="shared" si="2"/>
        <v>0</v>
      </c>
      <c r="K206" s="41">
        <v>0</v>
      </c>
      <c r="L206" s="79" t="str">
        <f t="shared" si="3"/>
        <v/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81"/>
      <c r="AA206" s="6">
        <f t="shared" si="4"/>
        <v>0</v>
      </c>
      <c r="AB206" s="80" t="str">
        <f>+IF(AND(D206&gt;'Indices y Outliers'!$I$145,D206&lt;&gt;""),1,"")</f>
        <v/>
      </c>
      <c r="AC206" s="80" t="str">
        <f>+IF(AND(G206&gt;'Indices y Outliers'!$I$153,G206&lt;&gt;""),1,"")</f>
        <v/>
      </c>
      <c r="AD206" s="7"/>
      <c r="AE206" s="7">
        <f t="shared" si="5"/>
        <v>0</v>
      </c>
    </row>
    <row r="207" spans="1:31" ht="15.75" customHeight="1">
      <c r="A207" s="7" t="s">
        <v>856</v>
      </c>
      <c r="B207" s="78">
        <v>0</v>
      </c>
      <c r="C207" s="78">
        <v>0</v>
      </c>
      <c r="D207" s="42" t="str">
        <f t="shared" si="0"/>
        <v/>
      </c>
      <c r="E207" s="78">
        <v>0</v>
      </c>
      <c r="F207" s="78">
        <v>0</v>
      </c>
      <c r="G207" s="42" t="str">
        <f t="shared" si="1"/>
        <v/>
      </c>
      <c r="H207" s="41">
        <v>0</v>
      </c>
      <c r="I207" s="41">
        <v>0</v>
      </c>
      <c r="J207" s="41">
        <f t="shared" si="2"/>
        <v>0</v>
      </c>
      <c r="K207" s="41">
        <v>0</v>
      </c>
      <c r="L207" s="79" t="str">
        <f t="shared" si="3"/>
        <v/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81"/>
      <c r="AA207" s="6">
        <f t="shared" si="4"/>
        <v>0</v>
      </c>
      <c r="AB207" s="80" t="str">
        <f>+IF(AND(D207&gt;'Indices y Outliers'!$I$145,D207&lt;&gt;""),1,"")</f>
        <v/>
      </c>
      <c r="AC207" s="80" t="str">
        <f>+IF(AND(G207&gt;'Indices y Outliers'!$I$153,G207&lt;&gt;""),1,"")</f>
        <v/>
      </c>
      <c r="AD207" s="7"/>
      <c r="AE207" s="7">
        <f t="shared" si="5"/>
        <v>0</v>
      </c>
    </row>
    <row r="208" spans="1:31" ht="15.75" customHeight="1">
      <c r="A208" s="7" t="s">
        <v>859</v>
      </c>
      <c r="B208" s="78">
        <v>0</v>
      </c>
      <c r="C208" s="78">
        <v>0</v>
      </c>
      <c r="D208" s="42" t="str">
        <f t="shared" si="0"/>
        <v/>
      </c>
      <c r="E208" s="78">
        <v>0</v>
      </c>
      <c r="F208" s="78">
        <v>0</v>
      </c>
      <c r="G208" s="42" t="str">
        <f t="shared" si="1"/>
        <v/>
      </c>
      <c r="H208" s="41">
        <v>96</v>
      </c>
      <c r="I208" s="41">
        <v>0</v>
      </c>
      <c r="J208" s="41">
        <f t="shared" si="2"/>
        <v>96</v>
      </c>
      <c r="K208" s="41">
        <v>120</v>
      </c>
      <c r="L208" s="79">
        <f t="shared" si="3"/>
        <v>0.8</v>
      </c>
      <c r="M208" s="89">
        <v>1</v>
      </c>
      <c r="N208" s="89">
        <v>1</v>
      </c>
      <c r="O208" s="89">
        <v>1</v>
      </c>
      <c r="P208" s="89">
        <v>1</v>
      </c>
      <c r="Q208" s="7"/>
      <c r="R208" s="89">
        <v>1</v>
      </c>
      <c r="S208" s="89" t="s">
        <v>1353</v>
      </c>
      <c r="T208" s="89" t="s">
        <v>1353</v>
      </c>
      <c r="U208" s="89" t="s">
        <v>1353</v>
      </c>
      <c r="V208" s="89" t="s">
        <v>1353</v>
      </c>
      <c r="W208" s="7"/>
      <c r="X208" s="89" t="s">
        <v>1353</v>
      </c>
      <c r="Y208" s="89" t="s">
        <v>1353</v>
      </c>
      <c r="Z208" s="81"/>
      <c r="AA208" s="6">
        <f t="shared" si="4"/>
        <v>0</v>
      </c>
      <c r="AB208" s="80" t="str">
        <f>+IF(AND(D208&gt;'Indices y Outliers'!$I$145,D208&lt;&gt;""),1,"")</f>
        <v/>
      </c>
      <c r="AC208" s="80" t="str">
        <f>+IF(AND(G208&gt;'Indices y Outliers'!$I$153,G208&lt;&gt;""),1,"")</f>
        <v/>
      </c>
      <c r="AD208" s="7"/>
      <c r="AE208" s="7">
        <f t="shared" si="5"/>
        <v>0</v>
      </c>
    </row>
    <row r="209" spans="1:31" ht="15.75" customHeight="1">
      <c r="A209" s="7" t="s">
        <v>862</v>
      </c>
      <c r="B209" s="78">
        <v>179.4</v>
      </c>
      <c r="C209" s="78">
        <v>0</v>
      </c>
      <c r="D209" s="42">
        <f t="shared" si="0"/>
        <v>179.4</v>
      </c>
      <c r="E209" s="78">
        <v>2.14</v>
      </c>
      <c r="F209" s="78">
        <v>0</v>
      </c>
      <c r="G209" s="42">
        <f t="shared" si="1"/>
        <v>2.14</v>
      </c>
      <c r="H209" s="41">
        <v>0</v>
      </c>
      <c r="I209" s="41">
        <v>50306</v>
      </c>
      <c r="J209" s="41">
        <f t="shared" si="2"/>
        <v>50306</v>
      </c>
      <c r="K209" s="41">
        <v>50306</v>
      </c>
      <c r="L209" s="79">
        <f t="shared" si="3"/>
        <v>1</v>
      </c>
      <c r="M209" s="89">
        <v>1</v>
      </c>
      <c r="N209" s="7"/>
      <c r="O209" s="89">
        <v>1</v>
      </c>
      <c r="P209" s="7"/>
      <c r="Q209" s="7"/>
      <c r="R209" s="7"/>
      <c r="S209" s="89" t="s">
        <v>1353</v>
      </c>
      <c r="T209" s="89" t="s">
        <v>1353</v>
      </c>
      <c r="U209" s="89" t="s">
        <v>1353</v>
      </c>
      <c r="V209" s="89" t="s">
        <v>1353</v>
      </c>
      <c r="W209" s="7"/>
      <c r="X209" s="89" t="s">
        <v>1353</v>
      </c>
      <c r="Y209" s="89" t="s">
        <v>1353</v>
      </c>
      <c r="Z209" s="81"/>
      <c r="AA209" s="6">
        <f t="shared" si="4"/>
        <v>2</v>
      </c>
      <c r="AB209" s="80" t="str">
        <f>+IF(AND(D209&gt;'Indices y Outliers'!$I$145,D209&lt;&gt;""),1,"")</f>
        <v/>
      </c>
      <c r="AC209" s="80" t="str">
        <f>+IF(AND(G209&gt;'Indices y Outliers'!$I$153,G209&lt;&gt;""),1,"")</f>
        <v/>
      </c>
      <c r="AD209" s="7"/>
      <c r="AE209" s="7">
        <f t="shared" si="5"/>
        <v>0</v>
      </c>
    </row>
    <row r="210" spans="1:31" ht="15.75" customHeight="1">
      <c r="A210" s="7" t="s">
        <v>865</v>
      </c>
      <c r="B210" s="78">
        <v>0</v>
      </c>
      <c r="C210" s="78">
        <v>0</v>
      </c>
      <c r="D210" s="42" t="str">
        <f t="shared" si="0"/>
        <v/>
      </c>
      <c r="E210" s="78">
        <v>0</v>
      </c>
      <c r="F210" s="78">
        <v>0</v>
      </c>
      <c r="G210" s="42" t="str">
        <f t="shared" si="1"/>
        <v/>
      </c>
      <c r="H210" s="41">
        <v>2264</v>
      </c>
      <c r="I210" s="41">
        <v>0</v>
      </c>
      <c r="J210" s="41">
        <f t="shared" si="2"/>
        <v>2264</v>
      </c>
      <c r="K210" s="41">
        <v>2274</v>
      </c>
      <c r="L210" s="79">
        <f t="shared" si="3"/>
        <v>0.99560246262093233</v>
      </c>
      <c r="M210" s="89">
        <v>1</v>
      </c>
      <c r="N210" s="7"/>
      <c r="O210" s="89">
        <v>1</v>
      </c>
      <c r="P210" s="89">
        <v>1</v>
      </c>
      <c r="Q210" s="7"/>
      <c r="R210" s="7"/>
      <c r="S210" s="7"/>
      <c r="T210" s="89" t="s">
        <v>1354</v>
      </c>
      <c r="U210" s="7"/>
      <c r="V210" s="89" t="s">
        <v>1353</v>
      </c>
      <c r="W210" s="7"/>
      <c r="X210" s="7"/>
      <c r="Y210" s="7"/>
      <c r="Z210" s="81"/>
      <c r="AA210" s="6">
        <f t="shared" si="4"/>
        <v>0</v>
      </c>
      <c r="AB210" s="80" t="str">
        <f>+IF(AND(D210&gt;'Indices y Outliers'!$I$145,D210&lt;&gt;""),1,"")</f>
        <v/>
      </c>
      <c r="AC210" s="80" t="str">
        <f>+IF(AND(G210&gt;'Indices y Outliers'!$I$153,G210&lt;&gt;""),1,"")</f>
        <v/>
      </c>
      <c r="AD210" s="7"/>
      <c r="AE210" s="7">
        <f t="shared" si="5"/>
        <v>0</v>
      </c>
    </row>
    <row r="211" spans="1:31" ht="15.75" customHeight="1">
      <c r="A211" s="7" t="s">
        <v>1302</v>
      </c>
      <c r="B211" s="78">
        <v>0</v>
      </c>
      <c r="C211" s="78">
        <v>0</v>
      </c>
      <c r="D211" s="42" t="str">
        <f t="shared" si="0"/>
        <v/>
      </c>
      <c r="E211" s="78">
        <v>0</v>
      </c>
      <c r="F211" s="78">
        <v>0</v>
      </c>
      <c r="G211" s="42" t="str">
        <f t="shared" si="1"/>
        <v/>
      </c>
      <c r="H211" s="41">
        <v>0</v>
      </c>
      <c r="I211" s="41">
        <v>0</v>
      </c>
      <c r="J211" s="41">
        <f t="shared" si="2"/>
        <v>0</v>
      </c>
      <c r="K211" s="41">
        <v>0</v>
      </c>
      <c r="L211" s="79" t="str">
        <f t="shared" si="3"/>
        <v/>
      </c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81"/>
      <c r="AA211" s="6">
        <f t="shared" si="4"/>
        <v>0</v>
      </c>
      <c r="AB211" s="80" t="str">
        <f>+IF(AND(D211&gt;'Indices y Outliers'!$I$145,D211&lt;&gt;""),1,"")</f>
        <v/>
      </c>
      <c r="AC211" s="80" t="str">
        <f>+IF(AND(G211&gt;'Indices y Outliers'!$I$153,G211&lt;&gt;""),1,"")</f>
        <v/>
      </c>
      <c r="AD211" s="7"/>
      <c r="AE211" s="7">
        <f t="shared" si="5"/>
        <v>0</v>
      </c>
    </row>
    <row r="212" spans="1:31" ht="15.75" customHeight="1">
      <c r="A212" s="7" t="s">
        <v>1083</v>
      </c>
      <c r="B212" s="78">
        <v>0</v>
      </c>
      <c r="C212" s="78">
        <v>0</v>
      </c>
      <c r="D212" s="42" t="str">
        <f t="shared" si="0"/>
        <v/>
      </c>
      <c r="E212" s="78">
        <v>0</v>
      </c>
      <c r="F212" s="78">
        <v>0</v>
      </c>
      <c r="G212" s="42" t="str">
        <f t="shared" si="1"/>
        <v/>
      </c>
      <c r="H212" s="41">
        <v>0</v>
      </c>
      <c r="I212" s="41">
        <v>0</v>
      </c>
      <c r="J212" s="41">
        <f t="shared" si="2"/>
        <v>0</v>
      </c>
      <c r="K212" s="41">
        <v>0</v>
      </c>
      <c r="L212" s="79" t="str">
        <f t="shared" si="3"/>
        <v/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81"/>
      <c r="AA212" s="6">
        <f t="shared" si="4"/>
        <v>0</v>
      </c>
      <c r="AB212" s="80" t="str">
        <f>+IF(AND(D212&gt;'Indices y Outliers'!$I$145,D212&lt;&gt;""),1,"")</f>
        <v/>
      </c>
      <c r="AC212" s="80" t="str">
        <f>+IF(AND(G212&gt;'Indices y Outliers'!$I$153,G212&lt;&gt;""),1,"")</f>
        <v/>
      </c>
      <c r="AD212" s="7"/>
      <c r="AE212" s="7">
        <f t="shared" si="5"/>
        <v>0</v>
      </c>
    </row>
    <row r="213" spans="1:31" ht="15.75" customHeight="1">
      <c r="A213" s="7"/>
      <c r="B213" s="90"/>
      <c r="C213" s="90"/>
      <c r="D213" s="78"/>
      <c r="E213" s="90"/>
      <c r="F213" s="90"/>
      <c r="G213" s="7"/>
      <c r="H213" s="6"/>
      <c r="I213" s="6"/>
      <c r="J213" s="41"/>
      <c r="K213" s="41"/>
      <c r="L213" s="41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80"/>
      <c r="AB213" s="7"/>
      <c r="AC213" s="7"/>
      <c r="AD213" s="7"/>
      <c r="AE213" s="7" t="str">
        <f t="shared" ref="AE213:AE220" si="6">+IF(AA213=1,SUM(AB213:AD213),"")</f>
        <v/>
      </c>
    </row>
    <row r="214" spans="1:31" ht="15.75" customHeight="1">
      <c r="A214" s="7"/>
      <c r="B214" s="90"/>
      <c r="C214" s="90"/>
      <c r="D214" s="78"/>
      <c r="E214" s="90"/>
      <c r="F214" s="90"/>
      <c r="G214" s="7"/>
      <c r="H214" s="6"/>
      <c r="I214" s="6"/>
      <c r="J214" s="41"/>
      <c r="K214" s="41"/>
      <c r="L214" s="41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80"/>
      <c r="AB214" s="7"/>
      <c r="AC214" s="7"/>
      <c r="AD214" s="7"/>
      <c r="AE214" s="7" t="str">
        <f t="shared" si="6"/>
        <v/>
      </c>
    </row>
    <row r="215" spans="1:31" ht="15.75" customHeight="1">
      <c r="A215" s="7"/>
      <c r="B215" s="90"/>
      <c r="C215" s="90"/>
      <c r="D215" s="78"/>
      <c r="E215" s="90"/>
      <c r="F215" s="90"/>
      <c r="G215" s="7"/>
      <c r="H215" s="6"/>
      <c r="I215" s="6"/>
      <c r="J215" s="41"/>
      <c r="K215" s="41"/>
      <c r="L215" s="41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80"/>
      <c r="AB215" s="7"/>
      <c r="AC215" s="7"/>
      <c r="AD215" s="7"/>
      <c r="AE215" s="7" t="str">
        <f t="shared" si="6"/>
        <v/>
      </c>
    </row>
    <row r="216" spans="1:31" ht="15.75" customHeight="1">
      <c r="A216" s="7"/>
      <c r="B216" s="90"/>
      <c r="C216" s="90"/>
      <c r="D216" s="78"/>
      <c r="E216" s="90"/>
      <c r="F216" s="90"/>
      <c r="G216" s="7"/>
      <c r="H216" s="6"/>
      <c r="I216" s="6"/>
      <c r="J216" s="41"/>
      <c r="K216" s="41"/>
      <c r="L216" s="41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80"/>
      <c r="AB216" s="7"/>
      <c r="AC216" s="7"/>
      <c r="AD216" s="7"/>
      <c r="AE216" s="7" t="str">
        <f t="shared" si="6"/>
        <v/>
      </c>
    </row>
    <row r="217" spans="1:31" ht="15.75" customHeight="1">
      <c r="A217" s="7"/>
      <c r="B217" s="90"/>
      <c r="C217" s="90"/>
      <c r="D217" s="78"/>
      <c r="E217" s="90"/>
      <c r="F217" s="90"/>
      <c r="G217" s="7"/>
      <c r="H217" s="6"/>
      <c r="I217" s="6"/>
      <c r="J217" s="41"/>
      <c r="K217" s="41"/>
      <c r="L217" s="41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80"/>
      <c r="AB217" s="7"/>
      <c r="AC217" s="7"/>
      <c r="AD217" s="7"/>
      <c r="AE217" s="7" t="str">
        <f t="shared" si="6"/>
        <v/>
      </c>
    </row>
    <row r="218" spans="1:31" ht="15.75" customHeight="1">
      <c r="A218" s="7"/>
      <c r="B218" s="90"/>
      <c r="C218" s="90"/>
      <c r="D218" s="78"/>
      <c r="E218" s="90"/>
      <c r="F218" s="90"/>
      <c r="G218" s="7"/>
      <c r="H218" s="6"/>
      <c r="I218" s="6"/>
      <c r="J218" s="41"/>
      <c r="K218" s="41"/>
      <c r="L218" s="41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80"/>
      <c r="AB218" s="7"/>
      <c r="AC218" s="7"/>
      <c r="AD218" s="7"/>
      <c r="AE218" s="7" t="str">
        <f t="shared" si="6"/>
        <v/>
      </c>
    </row>
    <row r="219" spans="1:31" ht="15.75" customHeight="1">
      <c r="A219" s="7"/>
      <c r="B219" s="90"/>
      <c r="C219" s="90"/>
      <c r="D219" s="78"/>
      <c r="E219" s="90"/>
      <c r="F219" s="90"/>
      <c r="G219" s="7"/>
      <c r="H219" s="6"/>
      <c r="I219" s="6"/>
      <c r="J219" s="41"/>
      <c r="K219" s="41"/>
      <c r="L219" s="41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80"/>
      <c r="AB219" s="7"/>
      <c r="AC219" s="7"/>
      <c r="AD219" s="7"/>
      <c r="AE219" s="7" t="str">
        <f t="shared" si="6"/>
        <v/>
      </c>
    </row>
    <row r="220" spans="1:31" ht="15.75" customHeight="1">
      <c r="A220" s="7"/>
      <c r="B220" s="90"/>
      <c r="C220" s="90"/>
      <c r="D220" s="78"/>
      <c r="E220" s="90"/>
      <c r="F220" s="90"/>
      <c r="G220" s="7"/>
      <c r="H220" s="6"/>
      <c r="I220" s="6"/>
      <c r="J220" s="41"/>
      <c r="K220" s="41"/>
      <c r="L220" s="41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80"/>
      <c r="AB220" s="7"/>
      <c r="AC220" s="7"/>
      <c r="AD220" s="7"/>
      <c r="AE220" s="7" t="str">
        <f t="shared" si="6"/>
        <v/>
      </c>
    </row>
    <row r="221" spans="1:31" ht="15.75" customHeight="1">
      <c r="A221" s="7"/>
      <c r="B221" s="90"/>
      <c r="C221" s="90"/>
      <c r="D221" s="77"/>
      <c r="E221" s="90"/>
      <c r="F221" s="90"/>
      <c r="G221" s="7"/>
      <c r="H221" s="6"/>
      <c r="I221" s="6"/>
      <c r="J221" s="77"/>
      <c r="K221" s="77"/>
      <c r="L221" s="7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80"/>
      <c r="AB221" s="7"/>
      <c r="AC221" s="7"/>
      <c r="AD221" s="7"/>
      <c r="AE221" s="7"/>
    </row>
    <row r="222" spans="1:31" ht="15.75" customHeight="1">
      <c r="A222" s="7"/>
      <c r="B222" s="90"/>
      <c r="C222" s="90"/>
      <c r="D222" s="77"/>
      <c r="E222" s="90"/>
      <c r="F222" s="90"/>
      <c r="G222" s="7"/>
      <c r="H222" s="6"/>
      <c r="I222" s="6"/>
      <c r="J222" s="77"/>
      <c r="K222" s="77"/>
      <c r="L222" s="7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80"/>
      <c r="AB222" s="7"/>
      <c r="AC222" s="7"/>
      <c r="AD222" s="7"/>
      <c r="AE222" s="7"/>
    </row>
    <row r="223" spans="1:31" ht="15.75" customHeight="1">
      <c r="A223" s="7"/>
      <c r="B223" s="90"/>
      <c r="C223" s="90"/>
      <c r="D223" s="77"/>
      <c r="E223" s="90"/>
      <c r="F223" s="90"/>
      <c r="G223" s="7"/>
      <c r="H223" s="6"/>
      <c r="I223" s="6"/>
      <c r="J223" s="77"/>
      <c r="K223" s="77"/>
      <c r="L223" s="7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80"/>
      <c r="AB223" s="7"/>
      <c r="AC223" s="7"/>
      <c r="AD223" s="7"/>
      <c r="AE223" s="7"/>
    </row>
    <row r="224" spans="1:31" ht="15.75" customHeight="1">
      <c r="A224" s="7"/>
      <c r="B224" s="90"/>
      <c r="C224" s="90"/>
      <c r="D224" s="77"/>
      <c r="E224" s="90"/>
      <c r="F224" s="90"/>
      <c r="G224" s="7"/>
      <c r="H224" s="6"/>
      <c r="I224" s="6"/>
      <c r="J224" s="77"/>
      <c r="K224" s="77"/>
      <c r="L224" s="7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80"/>
      <c r="AB224" s="7"/>
      <c r="AC224" s="7"/>
      <c r="AD224" s="7"/>
      <c r="AE224" s="7"/>
    </row>
    <row r="225" spans="1:31" ht="15.75" customHeight="1">
      <c r="A225" s="7"/>
      <c r="B225" s="90"/>
      <c r="C225" s="90"/>
      <c r="D225" s="77"/>
      <c r="E225" s="90"/>
      <c r="F225" s="90"/>
      <c r="G225" s="7"/>
      <c r="H225" s="6"/>
      <c r="I225" s="6"/>
      <c r="J225" s="77"/>
      <c r="K225" s="77"/>
      <c r="L225" s="7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80"/>
      <c r="AB225" s="7"/>
      <c r="AC225" s="7"/>
      <c r="AD225" s="7"/>
      <c r="AE225" s="7"/>
    </row>
    <row r="226" spans="1:31" ht="15.75" customHeight="1">
      <c r="A226" s="7"/>
      <c r="B226" s="90"/>
      <c r="C226" s="90"/>
      <c r="D226" s="77"/>
      <c r="E226" s="90"/>
      <c r="F226" s="90"/>
      <c r="G226" s="7"/>
      <c r="H226" s="6"/>
      <c r="I226" s="6"/>
      <c r="J226" s="77"/>
      <c r="K226" s="77"/>
      <c r="L226" s="7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80"/>
      <c r="AB226" s="7"/>
      <c r="AC226" s="7"/>
      <c r="AD226" s="7"/>
      <c r="AE226" s="7"/>
    </row>
    <row r="227" spans="1:31" ht="15.75" customHeight="1">
      <c r="A227" s="7"/>
      <c r="B227" s="90"/>
      <c r="C227" s="90"/>
      <c r="D227" s="77"/>
      <c r="E227" s="90"/>
      <c r="F227" s="90"/>
      <c r="G227" s="7"/>
      <c r="H227" s="6"/>
      <c r="I227" s="6"/>
      <c r="J227" s="77"/>
      <c r="K227" s="77"/>
      <c r="L227" s="7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80"/>
      <c r="AB227" s="7"/>
      <c r="AC227" s="7"/>
      <c r="AD227" s="7"/>
      <c r="AE227" s="7"/>
    </row>
    <row r="228" spans="1:31" ht="15.75" customHeight="1">
      <c r="A228" s="7"/>
      <c r="B228" s="90"/>
      <c r="C228" s="90"/>
      <c r="D228" s="77"/>
      <c r="E228" s="90"/>
      <c r="F228" s="90"/>
      <c r="G228" s="7"/>
      <c r="H228" s="6"/>
      <c r="I228" s="6"/>
      <c r="J228" s="77"/>
      <c r="K228" s="77"/>
      <c r="L228" s="7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80"/>
      <c r="AB228" s="7"/>
      <c r="AC228" s="7"/>
      <c r="AD228" s="7"/>
      <c r="AE228" s="7"/>
    </row>
    <row r="229" spans="1:31" ht="15.75" customHeight="1">
      <c r="A229" s="7"/>
      <c r="B229" s="90"/>
      <c r="C229" s="90"/>
      <c r="D229" s="77"/>
      <c r="E229" s="90"/>
      <c r="F229" s="90"/>
      <c r="G229" s="7"/>
      <c r="H229" s="6"/>
      <c r="I229" s="6"/>
      <c r="J229" s="77"/>
      <c r="K229" s="77"/>
      <c r="L229" s="7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80"/>
      <c r="AB229" s="7"/>
      <c r="AC229" s="7"/>
      <c r="AD229" s="7"/>
      <c r="AE229" s="7"/>
    </row>
    <row r="230" spans="1:31" ht="15.75" customHeight="1">
      <c r="A230" s="7"/>
      <c r="B230" s="90"/>
      <c r="C230" s="90"/>
      <c r="D230" s="77"/>
      <c r="E230" s="90"/>
      <c r="F230" s="90"/>
      <c r="G230" s="7"/>
      <c r="H230" s="6"/>
      <c r="I230" s="6"/>
      <c r="J230" s="77"/>
      <c r="K230" s="77"/>
      <c r="L230" s="7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80"/>
      <c r="AB230" s="7"/>
      <c r="AC230" s="7"/>
      <c r="AD230" s="7"/>
      <c r="AE230" s="7"/>
    </row>
    <row r="231" spans="1:31" ht="15.75" customHeight="1">
      <c r="A231" s="7"/>
      <c r="B231" s="90"/>
      <c r="C231" s="90"/>
      <c r="D231" s="77"/>
      <c r="E231" s="90"/>
      <c r="F231" s="90"/>
      <c r="G231" s="7"/>
      <c r="H231" s="6"/>
      <c r="I231" s="6"/>
      <c r="J231" s="77"/>
      <c r="K231" s="77"/>
      <c r="L231" s="7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80"/>
      <c r="AB231" s="7"/>
      <c r="AC231" s="7"/>
      <c r="AD231" s="7"/>
      <c r="AE231" s="7"/>
    </row>
    <row r="232" spans="1:31" ht="15.75" customHeight="1">
      <c r="A232" s="7"/>
      <c r="B232" s="90"/>
      <c r="C232" s="90"/>
      <c r="D232" s="77"/>
      <c r="E232" s="90"/>
      <c r="F232" s="90"/>
      <c r="G232" s="7"/>
      <c r="H232" s="6"/>
      <c r="I232" s="6"/>
      <c r="J232" s="77"/>
      <c r="K232" s="77"/>
      <c r="L232" s="7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80"/>
      <c r="AB232" s="7"/>
      <c r="AC232" s="7"/>
      <c r="AD232" s="7"/>
      <c r="AE232" s="7"/>
    </row>
    <row r="233" spans="1:31" ht="15.75" customHeight="1">
      <c r="A233" s="7"/>
      <c r="B233" s="90"/>
      <c r="C233" s="90"/>
      <c r="D233" s="77"/>
      <c r="E233" s="90"/>
      <c r="F233" s="90"/>
      <c r="G233" s="7"/>
      <c r="H233" s="6"/>
      <c r="I233" s="6"/>
      <c r="J233" s="77"/>
      <c r="K233" s="77"/>
      <c r="L233" s="7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80"/>
      <c r="AB233" s="7"/>
      <c r="AC233" s="7"/>
      <c r="AD233" s="7"/>
      <c r="AE233" s="7"/>
    </row>
    <row r="234" spans="1:31" ht="15.75" customHeight="1">
      <c r="A234" s="7"/>
      <c r="B234" s="90"/>
      <c r="C234" s="90"/>
      <c r="D234" s="77"/>
      <c r="E234" s="90"/>
      <c r="F234" s="90"/>
      <c r="G234" s="7"/>
      <c r="H234" s="6"/>
      <c r="I234" s="6"/>
      <c r="J234" s="77"/>
      <c r="K234" s="77"/>
      <c r="L234" s="7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80"/>
      <c r="AB234" s="7"/>
      <c r="AC234" s="7"/>
      <c r="AD234" s="7"/>
      <c r="AE234" s="7"/>
    </row>
    <row r="235" spans="1:31" ht="15.75" customHeight="1">
      <c r="A235" s="7"/>
      <c r="B235" s="90"/>
      <c r="C235" s="90"/>
      <c r="D235" s="77"/>
      <c r="E235" s="90"/>
      <c r="F235" s="90"/>
      <c r="G235" s="7"/>
      <c r="H235" s="6"/>
      <c r="I235" s="6"/>
      <c r="J235" s="77"/>
      <c r="K235" s="77"/>
      <c r="L235" s="7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80"/>
      <c r="AB235" s="7"/>
      <c r="AC235" s="7"/>
      <c r="AD235" s="7"/>
      <c r="AE235" s="7"/>
    </row>
    <row r="236" spans="1:31" ht="15.75" customHeight="1">
      <c r="A236" s="7"/>
      <c r="B236" s="90"/>
      <c r="C236" s="90"/>
      <c r="D236" s="77"/>
      <c r="E236" s="90"/>
      <c r="F236" s="90"/>
      <c r="G236" s="7"/>
      <c r="H236" s="6"/>
      <c r="I236" s="6"/>
      <c r="J236" s="77"/>
      <c r="K236" s="77"/>
      <c r="L236" s="7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80"/>
      <c r="AB236" s="7"/>
      <c r="AC236" s="7"/>
      <c r="AD236" s="7"/>
      <c r="AE236" s="7"/>
    </row>
    <row r="237" spans="1:31" ht="15.75" customHeight="1">
      <c r="A237" s="7"/>
      <c r="B237" s="90"/>
      <c r="C237" s="90"/>
      <c r="D237" s="77"/>
      <c r="E237" s="90"/>
      <c r="F237" s="90"/>
      <c r="G237" s="7"/>
      <c r="H237" s="6"/>
      <c r="I237" s="6"/>
      <c r="J237" s="77"/>
      <c r="K237" s="77"/>
      <c r="L237" s="7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80"/>
      <c r="AB237" s="7"/>
      <c r="AC237" s="7"/>
      <c r="AD237" s="7"/>
      <c r="AE237" s="7"/>
    </row>
    <row r="238" spans="1:31" ht="15.75" customHeight="1">
      <c r="A238" s="7"/>
      <c r="B238" s="90"/>
      <c r="C238" s="90"/>
      <c r="D238" s="77"/>
      <c r="E238" s="90"/>
      <c r="F238" s="90"/>
      <c r="G238" s="7"/>
      <c r="H238" s="6"/>
      <c r="I238" s="6"/>
      <c r="J238" s="77"/>
      <c r="K238" s="77"/>
      <c r="L238" s="7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80"/>
      <c r="AB238" s="7"/>
      <c r="AC238" s="7"/>
      <c r="AD238" s="7"/>
      <c r="AE238" s="7"/>
    </row>
    <row r="239" spans="1:31" ht="15.75" customHeight="1">
      <c r="A239" s="7"/>
      <c r="B239" s="90"/>
      <c r="C239" s="90"/>
      <c r="D239" s="77"/>
      <c r="E239" s="90"/>
      <c r="F239" s="90"/>
      <c r="G239" s="7"/>
      <c r="H239" s="6"/>
      <c r="I239" s="6"/>
      <c r="J239" s="77"/>
      <c r="K239" s="77"/>
      <c r="L239" s="7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80"/>
      <c r="AB239" s="7"/>
      <c r="AC239" s="7"/>
      <c r="AD239" s="7"/>
      <c r="AE239" s="7"/>
    </row>
    <row r="240" spans="1:31" ht="15.75" customHeight="1">
      <c r="A240" s="7"/>
      <c r="B240" s="90"/>
      <c r="C240" s="90"/>
      <c r="D240" s="77"/>
      <c r="E240" s="90"/>
      <c r="F240" s="90"/>
      <c r="G240" s="7"/>
      <c r="H240" s="6"/>
      <c r="I240" s="6"/>
      <c r="J240" s="77"/>
      <c r="K240" s="77"/>
      <c r="L240" s="7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80"/>
      <c r="AB240" s="7"/>
      <c r="AC240" s="7"/>
      <c r="AD240" s="7"/>
      <c r="AE240" s="7"/>
    </row>
    <row r="241" spans="1:31" ht="15.75" customHeight="1">
      <c r="A241" s="7"/>
      <c r="B241" s="90"/>
      <c r="C241" s="90"/>
      <c r="D241" s="77"/>
      <c r="E241" s="90"/>
      <c r="F241" s="90"/>
      <c r="G241" s="7"/>
      <c r="H241" s="6"/>
      <c r="I241" s="6"/>
      <c r="J241" s="77"/>
      <c r="K241" s="77"/>
      <c r="L241" s="7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80"/>
      <c r="AB241" s="7"/>
      <c r="AC241" s="7"/>
      <c r="AD241" s="7"/>
      <c r="AE241" s="7"/>
    </row>
    <row r="242" spans="1:31" ht="15.75" customHeight="1">
      <c r="A242" s="7"/>
      <c r="B242" s="90"/>
      <c r="C242" s="90"/>
      <c r="D242" s="77"/>
      <c r="E242" s="90"/>
      <c r="F242" s="90"/>
      <c r="G242" s="7"/>
      <c r="H242" s="6"/>
      <c r="I242" s="6"/>
      <c r="J242" s="77"/>
      <c r="K242" s="77"/>
      <c r="L242" s="7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80"/>
      <c r="AB242" s="7"/>
      <c r="AC242" s="7"/>
      <c r="AD242" s="7"/>
      <c r="AE242" s="7"/>
    </row>
    <row r="243" spans="1:31" ht="15.75" customHeight="1">
      <c r="A243" s="7"/>
      <c r="B243" s="90"/>
      <c r="C243" s="90"/>
      <c r="D243" s="77"/>
      <c r="E243" s="90"/>
      <c r="F243" s="90"/>
      <c r="G243" s="7"/>
      <c r="H243" s="6"/>
      <c r="I243" s="6"/>
      <c r="J243" s="77"/>
      <c r="K243" s="77"/>
      <c r="L243" s="7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80"/>
      <c r="AB243" s="7"/>
      <c r="AC243" s="7"/>
      <c r="AD243" s="7"/>
      <c r="AE243" s="7"/>
    </row>
    <row r="244" spans="1:31" ht="15.75" customHeight="1">
      <c r="A244" s="7"/>
      <c r="B244" s="90"/>
      <c r="C244" s="90"/>
      <c r="D244" s="77"/>
      <c r="E244" s="90"/>
      <c r="F244" s="90"/>
      <c r="G244" s="7"/>
      <c r="H244" s="6"/>
      <c r="I244" s="6"/>
      <c r="J244" s="77"/>
      <c r="K244" s="77"/>
      <c r="L244" s="7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80"/>
      <c r="AB244" s="7"/>
      <c r="AC244" s="7"/>
      <c r="AD244" s="7"/>
      <c r="AE244" s="7"/>
    </row>
    <row r="245" spans="1:31" ht="15.75" customHeight="1">
      <c r="A245" s="7"/>
      <c r="B245" s="90"/>
      <c r="C245" s="90"/>
      <c r="D245" s="77"/>
      <c r="E245" s="90"/>
      <c r="F245" s="90"/>
      <c r="G245" s="7"/>
      <c r="H245" s="6"/>
      <c r="I245" s="6"/>
      <c r="J245" s="77"/>
      <c r="K245" s="77"/>
      <c r="L245" s="7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80"/>
      <c r="AB245" s="7"/>
      <c r="AC245" s="7"/>
      <c r="AD245" s="7"/>
      <c r="AE245" s="7"/>
    </row>
    <row r="246" spans="1:31" ht="15.75" customHeight="1">
      <c r="A246" s="7"/>
      <c r="B246" s="90"/>
      <c r="C246" s="90"/>
      <c r="D246" s="77"/>
      <c r="E246" s="90"/>
      <c r="F246" s="90"/>
      <c r="G246" s="7"/>
      <c r="H246" s="6"/>
      <c r="I246" s="6"/>
      <c r="J246" s="77"/>
      <c r="K246" s="77"/>
      <c r="L246" s="7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80"/>
      <c r="AB246" s="7"/>
      <c r="AC246" s="7"/>
      <c r="AD246" s="7"/>
      <c r="AE246" s="7"/>
    </row>
    <row r="247" spans="1:31" ht="15.75" customHeight="1">
      <c r="A247" s="7"/>
      <c r="B247" s="90"/>
      <c r="C247" s="90"/>
      <c r="D247" s="77"/>
      <c r="E247" s="90"/>
      <c r="F247" s="90"/>
      <c r="G247" s="7"/>
      <c r="H247" s="6"/>
      <c r="I247" s="6"/>
      <c r="J247" s="77"/>
      <c r="K247" s="77"/>
      <c r="L247" s="7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80"/>
      <c r="AB247" s="7"/>
      <c r="AC247" s="7"/>
      <c r="AD247" s="7"/>
      <c r="AE247" s="7"/>
    </row>
    <row r="248" spans="1:31" ht="15.75" customHeight="1">
      <c r="A248" s="7"/>
      <c r="B248" s="90"/>
      <c r="C248" s="90"/>
      <c r="D248" s="77"/>
      <c r="E248" s="90"/>
      <c r="F248" s="90"/>
      <c r="G248" s="7"/>
      <c r="H248" s="6"/>
      <c r="I248" s="6"/>
      <c r="J248" s="77"/>
      <c r="K248" s="77"/>
      <c r="L248" s="7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80"/>
      <c r="AB248" s="7"/>
      <c r="AC248" s="7"/>
      <c r="AD248" s="7"/>
      <c r="AE248" s="7"/>
    </row>
    <row r="249" spans="1:31" ht="15.75" customHeight="1">
      <c r="A249" s="7"/>
      <c r="B249" s="90"/>
      <c r="C249" s="90"/>
      <c r="D249" s="77"/>
      <c r="E249" s="90"/>
      <c r="F249" s="90"/>
      <c r="G249" s="7"/>
      <c r="H249" s="6"/>
      <c r="I249" s="6"/>
      <c r="J249" s="77"/>
      <c r="K249" s="77"/>
      <c r="L249" s="7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80"/>
      <c r="AB249" s="7"/>
      <c r="AC249" s="7"/>
      <c r="AD249" s="7"/>
      <c r="AE249" s="7"/>
    </row>
    <row r="250" spans="1:31" ht="15.75" customHeight="1">
      <c r="A250" s="7"/>
      <c r="B250" s="90"/>
      <c r="C250" s="90"/>
      <c r="D250" s="77"/>
      <c r="E250" s="90"/>
      <c r="F250" s="90"/>
      <c r="G250" s="7"/>
      <c r="H250" s="6"/>
      <c r="I250" s="6"/>
      <c r="J250" s="77"/>
      <c r="K250" s="77"/>
      <c r="L250" s="7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80"/>
      <c r="AB250" s="7"/>
      <c r="AC250" s="7"/>
      <c r="AD250" s="7"/>
      <c r="AE250" s="7"/>
    </row>
    <row r="251" spans="1:31" ht="15.75" customHeight="1">
      <c r="A251" s="7"/>
      <c r="B251" s="90"/>
      <c r="C251" s="90"/>
      <c r="D251" s="77"/>
      <c r="E251" s="90"/>
      <c r="F251" s="90"/>
      <c r="G251" s="7"/>
      <c r="H251" s="6"/>
      <c r="I251" s="6"/>
      <c r="J251" s="77"/>
      <c r="K251" s="77"/>
      <c r="L251" s="7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80"/>
      <c r="AB251" s="7"/>
      <c r="AC251" s="7"/>
      <c r="AD251" s="7"/>
      <c r="AE251" s="7"/>
    </row>
    <row r="252" spans="1:31" ht="15.75" customHeight="1">
      <c r="A252" s="7"/>
      <c r="B252" s="90"/>
      <c r="C252" s="90"/>
      <c r="D252" s="77"/>
      <c r="E252" s="90"/>
      <c r="F252" s="90"/>
      <c r="G252" s="7"/>
      <c r="H252" s="6"/>
      <c r="I252" s="6"/>
      <c r="J252" s="77"/>
      <c r="K252" s="77"/>
      <c r="L252" s="7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80"/>
      <c r="AB252" s="7"/>
      <c r="AC252" s="7"/>
      <c r="AD252" s="7"/>
      <c r="AE252" s="7"/>
    </row>
    <row r="253" spans="1:31" ht="15.75" customHeight="1">
      <c r="A253" s="7"/>
      <c r="B253" s="90"/>
      <c r="C253" s="90"/>
      <c r="D253" s="77"/>
      <c r="E253" s="90"/>
      <c r="F253" s="90"/>
      <c r="G253" s="7"/>
      <c r="H253" s="6"/>
      <c r="I253" s="6"/>
      <c r="J253" s="77"/>
      <c r="K253" s="77"/>
      <c r="L253" s="7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80"/>
      <c r="AB253" s="7"/>
      <c r="AC253" s="7"/>
      <c r="AD253" s="7"/>
      <c r="AE253" s="7"/>
    </row>
    <row r="254" spans="1:31" ht="15.75" customHeight="1">
      <c r="A254" s="7"/>
      <c r="B254" s="90"/>
      <c r="C254" s="90"/>
      <c r="D254" s="77"/>
      <c r="E254" s="90"/>
      <c r="F254" s="90"/>
      <c r="G254" s="7"/>
      <c r="H254" s="6"/>
      <c r="I254" s="6"/>
      <c r="J254" s="77"/>
      <c r="K254" s="77"/>
      <c r="L254" s="7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80"/>
      <c r="AB254" s="7"/>
      <c r="AC254" s="7"/>
      <c r="AD254" s="7"/>
      <c r="AE254" s="7"/>
    </row>
    <row r="255" spans="1:31" ht="15.75" customHeight="1">
      <c r="A255" s="7"/>
      <c r="B255" s="90"/>
      <c r="C255" s="90"/>
      <c r="D255" s="77"/>
      <c r="E255" s="90"/>
      <c r="F255" s="90"/>
      <c r="G255" s="7"/>
      <c r="H255" s="6"/>
      <c r="I255" s="6"/>
      <c r="J255" s="77"/>
      <c r="K255" s="77"/>
      <c r="L255" s="7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80"/>
      <c r="AB255" s="7"/>
      <c r="AC255" s="7"/>
      <c r="AD255" s="7"/>
      <c r="AE255" s="7"/>
    </row>
    <row r="256" spans="1:31" ht="15.75" customHeight="1">
      <c r="A256" s="7"/>
      <c r="B256" s="90"/>
      <c r="C256" s="90"/>
      <c r="D256" s="77"/>
      <c r="E256" s="90"/>
      <c r="F256" s="90"/>
      <c r="G256" s="7"/>
      <c r="H256" s="6"/>
      <c r="I256" s="6"/>
      <c r="J256" s="77"/>
      <c r="K256" s="77"/>
      <c r="L256" s="7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80"/>
      <c r="AB256" s="7"/>
      <c r="AC256" s="7"/>
      <c r="AD256" s="7"/>
      <c r="AE256" s="7"/>
    </row>
    <row r="257" spans="1:31" ht="15.75" customHeight="1">
      <c r="A257" s="7"/>
      <c r="B257" s="90"/>
      <c r="C257" s="90"/>
      <c r="D257" s="77"/>
      <c r="E257" s="90"/>
      <c r="F257" s="90"/>
      <c r="G257" s="7"/>
      <c r="H257" s="6"/>
      <c r="I257" s="6"/>
      <c r="J257" s="77"/>
      <c r="K257" s="77"/>
      <c r="L257" s="7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80"/>
      <c r="AB257" s="7"/>
      <c r="AC257" s="7"/>
      <c r="AD257" s="7"/>
      <c r="AE257" s="7"/>
    </row>
    <row r="258" spans="1:31" ht="15.75" customHeight="1">
      <c r="A258" s="7"/>
      <c r="B258" s="90"/>
      <c r="C258" s="90"/>
      <c r="D258" s="77"/>
      <c r="E258" s="90"/>
      <c r="F258" s="90"/>
      <c r="G258" s="7"/>
      <c r="H258" s="6"/>
      <c r="I258" s="6"/>
      <c r="J258" s="77"/>
      <c r="K258" s="77"/>
      <c r="L258" s="7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80"/>
      <c r="AB258" s="7"/>
      <c r="AC258" s="7"/>
      <c r="AD258" s="7"/>
      <c r="AE258" s="7"/>
    </row>
    <row r="259" spans="1:31" ht="15.75" customHeight="1">
      <c r="A259" s="7"/>
      <c r="B259" s="90"/>
      <c r="C259" s="90"/>
      <c r="D259" s="77"/>
      <c r="E259" s="90"/>
      <c r="F259" s="90"/>
      <c r="G259" s="7"/>
      <c r="H259" s="6"/>
      <c r="I259" s="6"/>
      <c r="J259" s="77"/>
      <c r="K259" s="77"/>
      <c r="L259" s="7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80"/>
      <c r="AB259" s="7"/>
      <c r="AC259" s="7"/>
      <c r="AD259" s="7"/>
      <c r="AE259" s="7"/>
    </row>
    <row r="260" spans="1:31" ht="15.75" customHeight="1">
      <c r="A260" s="7"/>
      <c r="B260" s="90"/>
      <c r="C260" s="90"/>
      <c r="D260" s="77"/>
      <c r="E260" s="90"/>
      <c r="F260" s="90"/>
      <c r="G260" s="7"/>
      <c r="H260" s="6"/>
      <c r="I260" s="6"/>
      <c r="J260" s="77"/>
      <c r="K260" s="77"/>
      <c r="L260" s="7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80"/>
      <c r="AB260" s="7"/>
      <c r="AC260" s="7"/>
      <c r="AD260" s="7"/>
      <c r="AE260" s="7"/>
    </row>
    <row r="261" spans="1:31" ht="15.75" customHeight="1">
      <c r="A261" s="7"/>
      <c r="B261" s="90"/>
      <c r="C261" s="90"/>
      <c r="D261" s="77"/>
      <c r="E261" s="90"/>
      <c r="F261" s="90"/>
      <c r="G261" s="7"/>
      <c r="H261" s="6"/>
      <c r="I261" s="6"/>
      <c r="J261" s="77"/>
      <c r="K261" s="77"/>
      <c r="L261" s="7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80"/>
      <c r="AB261" s="7"/>
      <c r="AC261" s="7"/>
      <c r="AD261" s="7"/>
      <c r="AE261" s="7"/>
    </row>
    <row r="262" spans="1:31" ht="15.75" customHeight="1">
      <c r="A262" s="7"/>
      <c r="B262" s="90"/>
      <c r="C262" s="90"/>
      <c r="D262" s="77"/>
      <c r="E262" s="90"/>
      <c r="F262" s="90"/>
      <c r="G262" s="7"/>
      <c r="H262" s="6"/>
      <c r="I262" s="6"/>
      <c r="J262" s="77"/>
      <c r="K262" s="77"/>
      <c r="L262" s="7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80"/>
      <c r="AB262" s="7"/>
      <c r="AC262" s="7"/>
      <c r="AD262" s="7"/>
      <c r="AE262" s="7"/>
    </row>
    <row r="263" spans="1:31" ht="15.75" customHeight="1">
      <c r="A263" s="7"/>
      <c r="B263" s="90"/>
      <c r="C263" s="90"/>
      <c r="D263" s="77"/>
      <c r="E263" s="90"/>
      <c r="F263" s="90"/>
      <c r="G263" s="7"/>
      <c r="H263" s="6"/>
      <c r="I263" s="6"/>
      <c r="J263" s="77"/>
      <c r="K263" s="77"/>
      <c r="L263" s="7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80"/>
      <c r="AB263" s="7"/>
      <c r="AC263" s="7"/>
      <c r="AD263" s="7"/>
      <c r="AE263" s="7"/>
    </row>
    <row r="264" spans="1:31" ht="15.75" customHeight="1">
      <c r="A264" s="7"/>
      <c r="B264" s="90"/>
      <c r="C264" s="90"/>
      <c r="D264" s="77"/>
      <c r="E264" s="90"/>
      <c r="F264" s="90"/>
      <c r="G264" s="7"/>
      <c r="H264" s="6"/>
      <c r="I264" s="6"/>
      <c r="J264" s="77"/>
      <c r="K264" s="77"/>
      <c r="L264" s="7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80"/>
      <c r="AB264" s="7"/>
      <c r="AC264" s="7"/>
      <c r="AD264" s="7"/>
      <c r="AE264" s="7"/>
    </row>
    <row r="265" spans="1:31" ht="15.75" customHeight="1">
      <c r="A265" s="7"/>
      <c r="B265" s="90"/>
      <c r="C265" s="90"/>
      <c r="D265" s="77"/>
      <c r="E265" s="90"/>
      <c r="F265" s="90"/>
      <c r="G265" s="7"/>
      <c r="H265" s="6"/>
      <c r="I265" s="6"/>
      <c r="J265" s="77"/>
      <c r="K265" s="77"/>
      <c r="L265" s="7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80"/>
      <c r="AB265" s="7"/>
      <c r="AC265" s="7"/>
      <c r="AD265" s="7"/>
      <c r="AE265" s="7"/>
    </row>
    <row r="266" spans="1:31" ht="15.75" customHeight="1">
      <c r="A266" s="7"/>
      <c r="B266" s="90"/>
      <c r="C266" s="90"/>
      <c r="D266" s="77"/>
      <c r="E266" s="90"/>
      <c r="F266" s="90"/>
      <c r="G266" s="7"/>
      <c r="H266" s="6"/>
      <c r="I266" s="6"/>
      <c r="J266" s="77"/>
      <c r="K266" s="77"/>
      <c r="L266" s="7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80"/>
      <c r="AB266" s="7"/>
      <c r="AC266" s="7"/>
      <c r="AD266" s="7"/>
      <c r="AE266" s="7"/>
    </row>
    <row r="267" spans="1:31" ht="15.75" customHeight="1">
      <c r="A267" s="7"/>
      <c r="B267" s="90"/>
      <c r="C267" s="90"/>
      <c r="D267" s="77"/>
      <c r="E267" s="90"/>
      <c r="F267" s="90"/>
      <c r="G267" s="7"/>
      <c r="H267" s="6"/>
      <c r="I267" s="6"/>
      <c r="J267" s="77"/>
      <c r="K267" s="77"/>
      <c r="L267" s="7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80"/>
      <c r="AB267" s="7"/>
      <c r="AC267" s="7"/>
      <c r="AD267" s="7"/>
      <c r="AE267" s="7"/>
    </row>
    <row r="268" spans="1:31" ht="15.75" customHeight="1">
      <c r="A268" s="7"/>
      <c r="B268" s="90"/>
      <c r="C268" s="90"/>
      <c r="D268" s="77"/>
      <c r="E268" s="90"/>
      <c r="F268" s="90"/>
      <c r="G268" s="7"/>
      <c r="H268" s="6"/>
      <c r="I268" s="6"/>
      <c r="J268" s="77"/>
      <c r="K268" s="77"/>
      <c r="L268" s="7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80"/>
      <c r="AB268" s="7"/>
      <c r="AC268" s="7"/>
      <c r="AD268" s="7"/>
      <c r="AE268" s="7"/>
    </row>
    <row r="269" spans="1:31" ht="15.75" customHeight="1">
      <c r="A269" s="7"/>
      <c r="B269" s="90"/>
      <c r="C269" s="90"/>
      <c r="D269" s="77"/>
      <c r="E269" s="90"/>
      <c r="F269" s="90"/>
      <c r="G269" s="7"/>
      <c r="H269" s="6"/>
      <c r="I269" s="6"/>
      <c r="J269" s="77"/>
      <c r="K269" s="77"/>
      <c r="L269" s="7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80"/>
      <c r="AB269" s="7"/>
      <c r="AC269" s="7"/>
      <c r="AD269" s="7"/>
      <c r="AE269" s="7"/>
    </row>
    <row r="270" spans="1:31" ht="15.75" customHeight="1">
      <c r="A270" s="7"/>
      <c r="B270" s="90"/>
      <c r="C270" s="90"/>
      <c r="D270" s="77"/>
      <c r="E270" s="90"/>
      <c r="F270" s="90"/>
      <c r="G270" s="7"/>
      <c r="H270" s="6"/>
      <c r="I270" s="6"/>
      <c r="J270" s="77"/>
      <c r="K270" s="77"/>
      <c r="L270" s="7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80"/>
      <c r="AB270" s="7"/>
      <c r="AC270" s="7"/>
      <c r="AD270" s="7"/>
      <c r="AE270" s="7"/>
    </row>
    <row r="271" spans="1:31" ht="15.75" customHeight="1">
      <c r="A271" s="7"/>
      <c r="B271" s="90"/>
      <c r="C271" s="90"/>
      <c r="D271" s="77"/>
      <c r="E271" s="90"/>
      <c r="F271" s="90"/>
      <c r="G271" s="7"/>
      <c r="H271" s="6"/>
      <c r="I271" s="6"/>
      <c r="J271" s="77"/>
      <c r="K271" s="77"/>
      <c r="L271" s="7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80"/>
      <c r="AB271" s="7"/>
      <c r="AC271" s="7"/>
      <c r="AD271" s="7"/>
      <c r="AE271" s="7"/>
    </row>
    <row r="272" spans="1:31" ht="15.75" customHeight="1">
      <c r="A272" s="7"/>
      <c r="B272" s="90"/>
      <c r="C272" s="90"/>
      <c r="D272" s="77"/>
      <c r="E272" s="90"/>
      <c r="F272" s="90"/>
      <c r="G272" s="7"/>
      <c r="H272" s="6"/>
      <c r="I272" s="6"/>
      <c r="J272" s="77"/>
      <c r="K272" s="77"/>
      <c r="L272" s="7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80"/>
      <c r="AB272" s="7"/>
      <c r="AC272" s="7"/>
      <c r="AD272" s="7"/>
      <c r="AE272" s="7"/>
    </row>
    <row r="273" spans="1:31" ht="15.75" customHeight="1">
      <c r="A273" s="7"/>
      <c r="B273" s="90"/>
      <c r="C273" s="90"/>
      <c r="D273" s="77"/>
      <c r="E273" s="90"/>
      <c r="F273" s="90"/>
      <c r="G273" s="7"/>
      <c r="H273" s="6"/>
      <c r="I273" s="6"/>
      <c r="J273" s="77"/>
      <c r="K273" s="77"/>
      <c r="L273" s="7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80"/>
      <c r="AB273" s="7"/>
      <c r="AC273" s="7"/>
      <c r="AD273" s="7"/>
      <c r="AE273" s="7"/>
    </row>
    <row r="274" spans="1:31" ht="15.75" customHeight="1">
      <c r="A274" s="7"/>
      <c r="B274" s="90"/>
      <c r="C274" s="90"/>
      <c r="D274" s="77"/>
      <c r="E274" s="90"/>
      <c r="F274" s="90"/>
      <c r="G274" s="7"/>
      <c r="H274" s="6"/>
      <c r="I274" s="6"/>
      <c r="J274" s="77"/>
      <c r="K274" s="77"/>
      <c r="L274" s="7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80"/>
      <c r="AB274" s="7"/>
      <c r="AC274" s="7"/>
      <c r="AD274" s="7"/>
      <c r="AE274" s="7"/>
    </row>
    <row r="275" spans="1:31" ht="15.75" customHeight="1">
      <c r="A275" s="7"/>
      <c r="B275" s="90"/>
      <c r="C275" s="90"/>
      <c r="D275" s="77"/>
      <c r="E275" s="90"/>
      <c r="F275" s="90"/>
      <c r="G275" s="7"/>
      <c r="H275" s="6"/>
      <c r="I275" s="6"/>
      <c r="J275" s="77"/>
      <c r="K275" s="77"/>
      <c r="L275" s="7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80"/>
      <c r="AB275" s="7"/>
      <c r="AC275" s="7"/>
      <c r="AD275" s="7"/>
      <c r="AE275" s="7"/>
    </row>
    <row r="276" spans="1:31" ht="15.75" customHeight="1">
      <c r="A276" s="7"/>
      <c r="B276" s="90"/>
      <c r="C276" s="90"/>
      <c r="D276" s="77"/>
      <c r="E276" s="90"/>
      <c r="F276" s="90"/>
      <c r="G276" s="7"/>
      <c r="H276" s="6"/>
      <c r="I276" s="6"/>
      <c r="J276" s="77"/>
      <c r="K276" s="77"/>
      <c r="L276" s="7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80"/>
      <c r="AB276" s="7"/>
      <c r="AC276" s="7"/>
      <c r="AD276" s="7"/>
      <c r="AE276" s="7"/>
    </row>
    <row r="277" spans="1:31" ht="15.75" customHeight="1">
      <c r="A277" s="7"/>
      <c r="B277" s="90"/>
      <c r="C277" s="90"/>
      <c r="D277" s="77"/>
      <c r="E277" s="90"/>
      <c r="F277" s="90"/>
      <c r="G277" s="7"/>
      <c r="H277" s="6"/>
      <c r="I277" s="6"/>
      <c r="J277" s="77"/>
      <c r="K277" s="77"/>
      <c r="L277" s="7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80"/>
      <c r="AB277" s="7"/>
      <c r="AC277" s="7"/>
      <c r="AD277" s="7"/>
      <c r="AE277" s="7"/>
    </row>
    <row r="278" spans="1:31" ht="15.75" customHeight="1">
      <c r="A278" s="7"/>
      <c r="B278" s="90"/>
      <c r="C278" s="90"/>
      <c r="D278" s="77"/>
      <c r="E278" s="90"/>
      <c r="F278" s="90"/>
      <c r="G278" s="7"/>
      <c r="H278" s="6"/>
      <c r="I278" s="6"/>
      <c r="J278" s="77"/>
      <c r="K278" s="77"/>
      <c r="L278" s="7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80"/>
      <c r="AB278" s="7"/>
      <c r="AC278" s="7"/>
      <c r="AD278" s="7"/>
      <c r="AE278" s="7"/>
    </row>
    <row r="279" spans="1:31" ht="15.75" customHeight="1">
      <c r="A279" s="7"/>
      <c r="B279" s="90"/>
      <c r="C279" s="90"/>
      <c r="D279" s="77"/>
      <c r="E279" s="90"/>
      <c r="F279" s="90"/>
      <c r="G279" s="7"/>
      <c r="H279" s="6"/>
      <c r="I279" s="6"/>
      <c r="J279" s="77"/>
      <c r="K279" s="77"/>
      <c r="L279" s="7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80"/>
      <c r="AB279" s="7"/>
      <c r="AC279" s="7"/>
      <c r="AD279" s="7"/>
      <c r="AE279" s="7"/>
    </row>
    <row r="280" spans="1:31" ht="15.75" customHeight="1">
      <c r="A280" s="7"/>
      <c r="B280" s="90"/>
      <c r="C280" s="90"/>
      <c r="D280" s="77"/>
      <c r="E280" s="90"/>
      <c r="F280" s="90"/>
      <c r="G280" s="7"/>
      <c r="H280" s="6"/>
      <c r="I280" s="6"/>
      <c r="J280" s="77"/>
      <c r="K280" s="77"/>
      <c r="L280" s="7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80"/>
      <c r="AB280" s="7"/>
      <c r="AC280" s="7"/>
      <c r="AD280" s="7"/>
      <c r="AE280" s="7"/>
    </row>
    <row r="281" spans="1:31" ht="15.75" customHeight="1">
      <c r="A281" s="7"/>
      <c r="B281" s="90"/>
      <c r="C281" s="90"/>
      <c r="D281" s="77"/>
      <c r="E281" s="90"/>
      <c r="F281" s="90"/>
      <c r="G281" s="7"/>
      <c r="H281" s="6"/>
      <c r="I281" s="6"/>
      <c r="J281" s="77"/>
      <c r="K281" s="77"/>
      <c r="L281" s="7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80"/>
      <c r="AB281" s="7"/>
      <c r="AC281" s="7"/>
      <c r="AD281" s="7"/>
      <c r="AE281" s="7"/>
    </row>
    <row r="282" spans="1:31" ht="15.75" customHeight="1">
      <c r="A282" s="7"/>
      <c r="B282" s="90"/>
      <c r="C282" s="90"/>
      <c r="D282" s="77"/>
      <c r="E282" s="90"/>
      <c r="F282" s="90"/>
      <c r="G282" s="7"/>
      <c r="H282" s="6"/>
      <c r="I282" s="6"/>
      <c r="J282" s="77"/>
      <c r="K282" s="77"/>
      <c r="L282" s="7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80"/>
      <c r="AB282" s="7"/>
      <c r="AC282" s="7"/>
      <c r="AD282" s="7"/>
      <c r="AE282" s="7"/>
    </row>
    <row r="283" spans="1:31" ht="15.75" customHeight="1">
      <c r="A283" s="7"/>
      <c r="B283" s="90"/>
      <c r="C283" s="90"/>
      <c r="D283" s="77"/>
      <c r="E283" s="90"/>
      <c r="F283" s="90"/>
      <c r="G283" s="7"/>
      <c r="H283" s="6"/>
      <c r="I283" s="6"/>
      <c r="J283" s="77"/>
      <c r="K283" s="77"/>
      <c r="L283" s="7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80"/>
      <c r="AB283" s="7"/>
      <c r="AC283" s="7"/>
      <c r="AD283" s="7"/>
      <c r="AE283" s="7"/>
    </row>
    <row r="284" spans="1:31" ht="15.75" customHeight="1">
      <c r="A284" s="7"/>
      <c r="B284" s="90"/>
      <c r="C284" s="90"/>
      <c r="D284" s="77"/>
      <c r="E284" s="90"/>
      <c r="F284" s="90"/>
      <c r="G284" s="7"/>
      <c r="H284" s="6"/>
      <c r="I284" s="6"/>
      <c r="J284" s="77"/>
      <c r="K284" s="77"/>
      <c r="L284" s="7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80"/>
      <c r="AB284" s="7"/>
      <c r="AC284" s="7"/>
      <c r="AD284" s="7"/>
      <c r="AE284" s="7"/>
    </row>
    <row r="285" spans="1:31" ht="15.75" customHeight="1">
      <c r="A285" s="7"/>
      <c r="B285" s="90"/>
      <c r="C285" s="90"/>
      <c r="D285" s="77"/>
      <c r="E285" s="90"/>
      <c r="F285" s="90"/>
      <c r="G285" s="7"/>
      <c r="H285" s="6"/>
      <c r="I285" s="6"/>
      <c r="J285" s="77"/>
      <c r="K285" s="77"/>
      <c r="L285" s="7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80"/>
      <c r="AB285" s="7"/>
      <c r="AC285" s="7"/>
      <c r="AD285" s="7"/>
      <c r="AE285" s="7"/>
    </row>
    <row r="286" spans="1:31" ht="15.75" customHeight="1">
      <c r="A286" s="7"/>
      <c r="B286" s="90"/>
      <c r="C286" s="90"/>
      <c r="D286" s="77"/>
      <c r="E286" s="90"/>
      <c r="F286" s="90"/>
      <c r="G286" s="7"/>
      <c r="H286" s="6"/>
      <c r="I286" s="6"/>
      <c r="J286" s="77"/>
      <c r="K286" s="77"/>
      <c r="L286" s="7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80"/>
      <c r="AB286" s="7"/>
      <c r="AC286" s="7"/>
      <c r="AD286" s="7"/>
      <c r="AE286" s="7"/>
    </row>
    <row r="287" spans="1:31" ht="15.75" customHeight="1">
      <c r="A287" s="7"/>
      <c r="B287" s="90"/>
      <c r="C287" s="90"/>
      <c r="D287" s="77"/>
      <c r="E287" s="90"/>
      <c r="F287" s="90"/>
      <c r="G287" s="7"/>
      <c r="H287" s="6"/>
      <c r="I287" s="6"/>
      <c r="J287" s="77"/>
      <c r="K287" s="77"/>
      <c r="L287" s="7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80"/>
      <c r="AB287" s="7"/>
      <c r="AC287" s="7"/>
      <c r="AD287" s="7"/>
      <c r="AE287" s="7"/>
    </row>
    <row r="288" spans="1:31" ht="15.75" customHeight="1">
      <c r="A288" s="7"/>
      <c r="B288" s="90"/>
      <c r="C288" s="90"/>
      <c r="D288" s="77"/>
      <c r="E288" s="90"/>
      <c r="F288" s="90"/>
      <c r="G288" s="7"/>
      <c r="H288" s="6"/>
      <c r="I288" s="6"/>
      <c r="J288" s="77"/>
      <c r="K288" s="77"/>
      <c r="L288" s="7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80"/>
      <c r="AB288" s="7"/>
      <c r="AC288" s="7"/>
      <c r="AD288" s="7"/>
      <c r="AE288" s="7"/>
    </row>
    <row r="289" spans="1:31" ht="15.75" customHeight="1">
      <c r="A289" s="7"/>
      <c r="B289" s="90"/>
      <c r="C289" s="90"/>
      <c r="D289" s="77"/>
      <c r="E289" s="90"/>
      <c r="F289" s="90"/>
      <c r="G289" s="7"/>
      <c r="H289" s="6"/>
      <c r="I289" s="6"/>
      <c r="J289" s="77"/>
      <c r="K289" s="77"/>
      <c r="L289" s="7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80"/>
      <c r="AB289" s="7"/>
      <c r="AC289" s="7"/>
      <c r="AD289" s="7"/>
      <c r="AE289" s="7"/>
    </row>
    <row r="290" spans="1:31" ht="15.75" customHeight="1">
      <c r="A290" s="7"/>
      <c r="B290" s="90"/>
      <c r="C290" s="90"/>
      <c r="D290" s="77"/>
      <c r="E290" s="90"/>
      <c r="F290" s="90"/>
      <c r="G290" s="7"/>
      <c r="H290" s="6"/>
      <c r="I290" s="6"/>
      <c r="J290" s="77"/>
      <c r="K290" s="77"/>
      <c r="L290" s="7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80"/>
      <c r="AB290" s="7"/>
      <c r="AC290" s="7"/>
      <c r="AD290" s="7"/>
      <c r="AE290" s="7"/>
    </row>
    <row r="291" spans="1:31" ht="15.75" customHeight="1">
      <c r="A291" s="7"/>
      <c r="B291" s="90"/>
      <c r="C291" s="90"/>
      <c r="D291" s="77"/>
      <c r="E291" s="90"/>
      <c r="F291" s="90"/>
      <c r="G291" s="7"/>
      <c r="H291" s="6"/>
      <c r="I291" s="6"/>
      <c r="J291" s="77"/>
      <c r="K291" s="77"/>
      <c r="L291" s="7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80"/>
      <c r="AB291" s="7"/>
      <c r="AC291" s="7"/>
      <c r="AD291" s="7"/>
      <c r="AE291" s="7"/>
    </row>
    <row r="292" spans="1:31" ht="15.75" customHeight="1">
      <c r="A292" s="7"/>
      <c r="B292" s="90"/>
      <c r="C292" s="90"/>
      <c r="D292" s="77"/>
      <c r="E292" s="90"/>
      <c r="F292" s="90"/>
      <c r="G292" s="7"/>
      <c r="H292" s="6"/>
      <c r="I292" s="6"/>
      <c r="J292" s="77"/>
      <c r="K292" s="77"/>
      <c r="L292" s="7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80"/>
      <c r="AB292" s="7"/>
      <c r="AC292" s="7"/>
      <c r="AD292" s="7"/>
      <c r="AE292" s="7"/>
    </row>
    <row r="293" spans="1:31" ht="15.75" customHeight="1">
      <c r="A293" s="7"/>
      <c r="B293" s="90"/>
      <c r="C293" s="90"/>
      <c r="D293" s="77"/>
      <c r="E293" s="90"/>
      <c r="F293" s="90"/>
      <c r="G293" s="7"/>
      <c r="H293" s="6"/>
      <c r="I293" s="6"/>
      <c r="J293" s="77"/>
      <c r="K293" s="77"/>
      <c r="L293" s="7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80"/>
      <c r="AB293" s="7"/>
      <c r="AC293" s="7"/>
      <c r="AD293" s="7"/>
      <c r="AE293" s="7"/>
    </row>
    <row r="294" spans="1:31" ht="15.75" customHeight="1">
      <c r="A294" s="7"/>
      <c r="B294" s="90"/>
      <c r="C294" s="90"/>
      <c r="D294" s="77"/>
      <c r="E294" s="90"/>
      <c r="F294" s="90"/>
      <c r="G294" s="7"/>
      <c r="H294" s="6"/>
      <c r="I294" s="6"/>
      <c r="J294" s="77"/>
      <c r="K294" s="77"/>
      <c r="L294" s="7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80"/>
      <c r="AB294" s="7"/>
      <c r="AC294" s="7"/>
      <c r="AD294" s="7"/>
      <c r="AE294" s="7"/>
    </row>
    <row r="295" spans="1:31" ht="15.75" customHeight="1">
      <c r="A295" s="7"/>
      <c r="B295" s="90"/>
      <c r="C295" s="90"/>
      <c r="D295" s="77"/>
      <c r="E295" s="90"/>
      <c r="F295" s="90"/>
      <c r="G295" s="7"/>
      <c r="H295" s="6"/>
      <c r="I295" s="6"/>
      <c r="J295" s="77"/>
      <c r="K295" s="77"/>
      <c r="L295" s="7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80"/>
      <c r="AB295" s="7"/>
      <c r="AC295" s="7"/>
      <c r="AD295" s="7"/>
      <c r="AE295" s="7"/>
    </row>
    <row r="296" spans="1:31" ht="15.75" customHeight="1">
      <c r="A296" s="7"/>
      <c r="B296" s="90"/>
      <c r="C296" s="90"/>
      <c r="D296" s="77"/>
      <c r="E296" s="90"/>
      <c r="F296" s="90"/>
      <c r="G296" s="7"/>
      <c r="H296" s="6"/>
      <c r="I296" s="6"/>
      <c r="J296" s="77"/>
      <c r="K296" s="77"/>
      <c r="L296" s="7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80"/>
      <c r="AB296" s="7"/>
      <c r="AC296" s="7"/>
      <c r="AD296" s="7"/>
      <c r="AE296" s="7"/>
    </row>
    <row r="297" spans="1:31" ht="15.75" customHeight="1">
      <c r="A297" s="7"/>
      <c r="B297" s="90"/>
      <c r="C297" s="90"/>
      <c r="D297" s="77"/>
      <c r="E297" s="90"/>
      <c r="F297" s="90"/>
      <c r="G297" s="7"/>
      <c r="H297" s="6"/>
      <c r="I297" s="6"/>
      <c r="J297" s="77"/>
      <c r="K297" s="77"/>
      <c r="L297" s="7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80"/>
      <c r="AB297" s="7"/>
      <c r="AC297" s="7"/>
      <c r="AD297" s="7"/>
      <c r="AE297" s="7"/>
    </row>
    <row r="298" spans="1:31" ht="15.75" customHeight="1">
      <c r="A298" s="7"/>
      <c r="B298" s="90"/>
      <c r="C298" s="90"/>
      <c r="D298" s="77"/>
      <c r="E298" s="90"/>
      <c r="F298" s="90"/>
      <c r="G298" s="7"/>
      <c r="H298" s="6"/>
      <c r="I298" s="6"/>
      <c r="J298" s="77"/>
      <c r="K298" s="77"/>
      <c r="L298" s="7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80"/>
      <c r="AB298" s="7"/>
      <c r="AC298" s="7"/>
      <c r="AD298" s="7"/>
      <c r="AE298" s="7"/>
    </row>
    <row r="299" spans="1:31" ht="15.75" customHeight="1">
      <c r="A299" s="7"/>
      <c r="B299" s="90"/>
      <c r="C299" s="90"/>
      <c r="D299" s="77"/>
      <c r="E299" s="90"/>
      <c r="F299" s="90"/>
      <c r="G299" s="7"/>
      <c r="H299" s="6"/>
      <c r="I299" s="6"/>
      <c r="J299" s="77"/>
      <c r="K299" s="77"/>
      <c r="L299" s="7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80"/>
      <c r="AB299" s="7"/>
      <c r="AC299" s="7"/>
      <c r="AD299" s="7"/>
      <c r="AE299" s="7"/>
    </row>
    <row r="300" spans="1:31" ht="15.75" customHeight="1">
      <c r="A300" s="7"/>
      <c r="B300" s="90"/>
      <c r="C300" s="90"/>
      <c r="D300" s="77"/>
      <c r="E300" s="90"/>
      <c r="F300" s="90"/>
      <c r="G300" s="7"/>
      <c r="H300" s="6"/>
      <c r="I300" s="6"/>
      <c r="J300" s="77"/>
      <c r="K300" s="77"/>
      <c r="L300" s="7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80"/>
      <c r="AB300" s="7"/>
      <c r="AC300" s="7"/>
      <c r="AD300" s="7"/>
      <c r="AE300" s="7"/>
    </row>
    <row r="301" spans="1:31" ht="15.75" customHeight="1">
      <c r="A301" s="7"/>
      <c r="B301" s="90"/>
      <c r="C301" s="90"/>
      <c r="D301" s="77"/>
      <c r="E301" s="90"/>
      <c r="F301" s="90"/>
      <c r="G301" s="7"/>
      <c r="H301" s="6"/>
      <c r="I301" s="6"/>
      <c r="J301" s="77"/>
      <c r="K301" s="77"/>
      <c r="L301" s="7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80"/>
      <c r="AB301" s="7"/>
      <c r="AC301" s="7"/>
      <c r="AD301" s="7"/>
      <c r="AE301" s="7"/>
    </row>
    <row r="302" spans="1:31" ht="15.75" customHeight="1">
      <c r="A302" s="7"/>
      <c r="B302" s="90"/>
      <c r="C302" s="90"/>
      <c r="D302" s="77"/>
      <c r="E302" s="90"/>
      <c r="F302" s="90"/>
      <c r="G302" s="7"/>
      <c r="H302" s="6"/>
      <c r="I302" s="6"/>
      <c r="J302" s="77"/>
      <c r="K302" s="77"/>
      <c r="L302" s="7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80"/>
      <c r="AB302" s="7"/>
      <c r="AC302" s="7"/>
      <c r="AD302" s="7"/>
      <c r="AE302" s="7"/>
    </row>
    <row r="303" spans="1:31" ht="15.75" customHeight="1">
      <c r="A303" s="7"/>
      <c r="B303" s="90"/>
      <c r="C303" s="90"/>
      <c r="D303" s="77"/>
      <c r="E303" s="90"/>
      <c r="F303" s="90"/>
      <c r="G303" s="7"/>
      <c r="H303" s="6"/>
      <c r="I303" s="6"/>
      <c r="J303" s="77"/>
      <c r="K303" s="77"/>
      <c r="L303" s="7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80"/>
      <c r="AB303" s="7"/>
      <c r="AC303" s="7"/>
      <c r="AD303" s="7"/>
      <c r="AE303" s="7"/>
    </row>
    <row r="304" spans="1:31" ht="15.75" customHeight="1">
      <c r="A304" s="7"/>
      <c r="B304" s="90"/>
      <c r="C304" s="90"/>
      <c r="D304" s="77"/>
      <c r="E304" s="90"/>
      <c r="F304" s="90"/>
      <c r="G304" s="7"/>
      <c r="H304" s="6"/>
      <c r="I304" s="6"/>
      <c r="J304" s="77"/>
      <c r="K304" s="77"/>
      <c r="L304" s="7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80"/>
      <c r="AB304" s="7"/>
      <c r="AC304" s="7"/>
      <c r="AD304" s="7"/>
      <c r="AE304" s="7"/>
    </row>
    <row r="305" spans="1:31" ht="15.75" customHeight="1">
      <c r="A305" s="7"/>
      <c r="B305" s="90"/>
      <c r="C305" s="90"/>
      <c r="D305" s="77"/>
      <c r="E305" s="90"/>
      <c r="F305" s="90"/>
      <c r="G305" s="7"/>
      <c r="H305" s="6"/>
      <c r="I305" s="6"/>
      <c r="J305" s="77"/>
      <c r="K305" s="77"/>
      <c r="L305" s="7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80"/>
      <c r="AB305" s="7"/>
      <c r="AC305" s="7"/>
      <c r="AD305" s="7"/>
      <c r="AE305" s="7"/>
    </row>
    <row r="306" spans="1:31" ht="15.75" customHeight="1">
      <c r="A306" s="7"/>
      <c r="B306" s="90"/>
      <c r="C306" s="90"/>
      <c r="D306" s="77"/>
      <c r="E306" s="90"/>
      <c r="F306" s="90"/>
      <c r="G306" s="7"/>
      <c r="H306" s="6"/>
      <c r="I306" s="6"/>
      <c r="J306" s="77"/>
      <c r="K306" s="77"/>
      <c r="L306" s="7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80"/>
      <c r="AB306" s="7"/>
      <c r="AC306" s="7"/>
      <c r="AD306" s="7"/>
      <c r="AE306" s="7"/>
    </row>
    <row r="307" spans="1:31" ht="15.75" customHeight="1">
      <c r="A307" s="7"/>
      <c r="B307" s="90"/>
      <c r="C307" s="90"/>
      <c r="D307" s="77"/>
      <c r="E307" s="90"/>
      <c r="F307" s="90"/>
      <c r="G307" s="7"/>
      <c r="H307" s="6"/>
      <c r="I307" s="6"/>
      <c r="J307" s="77"/>
      <c r="K307" s="77"/>
      <c r="L307" s="7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80"/>
      <c r="AB307" s="7"/>
      <c r="AC307" s="7"/>
      <c r="AD307" s="7"/>
      <c r="AE307" s="7"/>
    </row>
    <row r="308" spans="1:31" ht="15.75" customHeight="1">
      <c r="A308" s="7"/>
      <c r="B308" s="90"/>
      <c r="C308" s="90"/>
      <c r="D308" s="77"/>
      <c r="E308" s="90"/>
      <c r="F308" s="90"/>
      <c r="G308" s="7"/>
      <c r="H308" s="6"/>
      <c r="I308" s="6"/>
      <c r="J308" s="77"/>
      <c r="K308" s="77"/>
      <c r="L308" s="7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80"/>
      <c r="AB308" s="7"/>
      <c r="AC308" s="7"/>
      <c r="AD308" s="7"/>
      <c r="AE308" s="7"/>
    </row>
    <row r="309" spans="1:31" ht="15.75" customHeight="1">
      <c r="A309" s="7"/>
      <c r="B309" s="90"/>
      <c r="C309" s="90"/>
      <c r="D309" s="77"/>
      <c r="E309" s="90"/>
      <c r="F309" s="90"/>
      <c r="G309" s="7"/>
      <c r="H309" s="6"/>
      <c r="I309" s="6"/>
      <c r="J309" s="77"/>
      <c r="K309" s="77"/>
      <c r="L309" s="7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80"/>
      <c r="AB309" s="7"/>
      <c r="AC309" s="7"/>
      <c r="AD309" s="7"/>
      <c r="AE309" s="7"/>
    </row>
    <row r="310" spans="1:31" ht="15.75" customHeight="1">
      <c r="A310" s="7"/>
      <c r="B310" s="90"/>
      <c r="C310" s="90"/>
      <c r="D310" s="77"/>
      <c r="E310" s="90"/>
      <c r="F310" s="90"/>
      <c r="G310" s="7"/>
      <c r="H310" s="6"/>
      <c r="I310" s="6"/>
      <c r="J310" s="77"/>
      <c r="K310" s="77"/>
      <c r="L310" s="7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80"/>
      <c r="AB310" s="7"/>
      <c r="AC310" s="7"/>
      <c r="AD310" s="7"/>
      <c r="AE310" s="7"/>
    </row>
    <row r="311" spans="1:31" ht="15.75" customHeight="1">
      <c r="A311" s="7"/>
      <c r="B311" s="90"/>
      <c r="C311" s="90"/>
      <c r="D311" s="77"/>
      <c r="E311" s="90"/>
      <c r="F311" s="90"/>
      <c r="G311" s="7"/>
      <c r="H311" s="6"/>
      <c r="I311" s="6"/>
      <c r="J311" s="77"/>
      <c r="K311" s="77"/>
      <c r="L311" s="7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80"/>
      <c r="AB311" s="7"/>
      <c r="AC311" s="7"/>
      <c r="AD311" s="7"/>
      <c r="AE311" s="7"/>
    </row>
    <row r="312" spans="1:31" ht="15.75" customHeight="1">
      <c r="A312" s="7"/>
      <c r="B312" s="90"/>
      <c r="C312" s="90"/>
      <c r="D312" s="77"/>
      <c r="E312" s="90"/>
      <c r="F312" s="90"/>
      <c r="G312" s="7"/>
      <c r="H312" s="6"/>
      <c r="I312" s="6"/>
      <c r="J312" s="77"/>
      <c r="K312" s="77"/>
      <c r="L312" s="7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80"/>
      <c r="AB312" s="7"/>
      <c r="AC312" s="7"/>
      <c r="AD312" s="7"/>
      <c r="AE312" s="7"/>
    </row>
    <row r="313" spans="1:31" ht="15.75" customHeight="1">
      <c r="A313" s="7"/>
      <c r="B313" s="90"/>
      <c r="C313" s="90"/>
      <c r="D313" s="77"/>
      <c r="E313" s="90"/>
      <c r="F313" s="90"/>
      <c r="G313" s="7"/>
      <c r="H313" s="6"/>
      <c r="I313" s="6"/>
      <c r="J313" s="77"/>
      <c r="K313" s="77"/>
      <c r="L313" s="7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80"/>
      <c r="AB313" s="7"/>
      <c r="AC313" s="7"/>
      <c r="AD313" s="7"/>
      <c r="AE313" s="7"/>
    </row>
    <row r="314" spans="1:31" ht="15.75" customHeight="1">
      <c r="A314" s="7"/>
      <c r="B314" s="90"/>
      <c r="C314" s="90"/>
      <c r="D314" s="77"/>
      <c r="E314" s="90"/>
      <c r="F314" s="90"/>
      <c r="G314" s="7"/>
      <c r="H314" s="6"/>
      <c r="I314" s="6"/>
      <c r="J314" s="77"/>
      <c r="K314" s="77"/>
      <c r="L314" s="7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80"/>
      <c r="AB314" s="7"/>
      <c r="AC314" s="7"/>
      <c r="AD314" s="7"/>
      <c r="AE314" s="7"/>
    </row>
    <row r="315" spans="1:31" ht="15.75" customHeight="1">
      <c r="A315" s="7"/>
      <c r="B315" s="90"/>
      <c r="C315" s="90"/>
      <c r="D315" s="77"/>
      <c r="E315" s="90"/>
      <c r="F315" s="90"/>
      <c r="G315" s="7"/>
      <c r="H315" s="6"/>
      <c r="I315" s="6"/>
      <c r="J315" s="77"/>
      <c r="K315" s="77"/>
      <c r="L315" s="7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80"/>
      <c r="AB315" s="7"/>
      <c r="AC315" s="7"/>
      <c r="AD315" s="7"/>
      <c r="AE315" s="7"/>
    </row>
    <row r="316" spans="1:31" ht="15.75" customHeight="1">
      <c r="A316" s="7"/>
      <c r="B316" s="90"/>
      <c r="C316" s="90"/>
      <c r="D316" s="77"/>
      <c r="E316" s="90"/>
      <c r="F316" s="90"/>
      <c r="G316" s="7"/>
      <c r="H316" s="6"/>
      <c r="I316" s="6"/>
      <c r="J316" s="77"/>
      <c r="K316" s="77"/>
      <c r="L316" s="7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80"/>
      <c r="AB316" s="7"/>
      <c r="AC316" s="7"/>
      <c r="AD316" s="7"/>
      <c r="AE316" s="7"/>
    </row>
    <row r="317" spans="1:31" ht="15.75" customHeight="1">
      <c r="A317" s="7"/>
      <c r="B317" s="90"/>
      <c r="C317" s="90"/>
      <c r="D317" s="77"/>
      <c r="E317" s="90"/>
      <c r="F317" s="90"/>
      <c r="G317" s="7"/>
      <c r="H317" s="6"/>
      <c r="I317" s="6"/>
      <c r="J317" s="77"/>
      <c r="K317" s="77"/>
      <c r="L317" s="7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80"/>
      <c r="AB317" s="7"/>
      <c r="AC317" s="7"/>
      <c r="AD317" s="7"/>
      <c r="AE317" s="7"/>
    </row>
    <row r="318" spans="1:31" ht="15.75" customHeight="1">
      <c r="A318" s="7"/>
      <c r="B318" s="90"/>
      <c r="C318" s="90"/>
      <c r="D318" s="77"/>
      <c r="E318" s="90"/>
      <c r="F318" s="90"/>
      <c r="G318" s="7"/>
      <c r="H318" s="6"/>
      <c r="I318" s="6"/>
      <c r="J318" s="77"/>
      <c r="K318" s="77"/>
      <c r="L318" s="7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80"/>
      <c r="AB318" s="7"/>
      <c r="AC318" s="7"/>
      <c r="AD318" s="7"/>
      <c r="AE318" s="7"/>
    </row>
    <row r="319" spans="1:31" ht="15.75" customHeight="1">
      <c r="A319" s="7"/>
      <c r="B319" s="90"/>
      <c r="C319" s="90"/>
      <c r="D319" s="77"/>
      <c r="E319" s="90"/>
      <c r="F319" s="90"/>
      <c r="G319" s="7"/>
      <c r="H319" s="6"/>
      <c r="I319" s="6"/>
      <c r="J319" s="77"/>
      <c r="K319" s="77"/>
      <c r="L319" s="7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80"/>
      <c r="AB319" s="7"/>
      <c r="AC319" s="7"/>
      <c r="AD319" s="7"/>
      <c r="AE319" s="7"/>
    </row>
    <row r="320" spans="1:31" ht="15.75" customHeight="1">
      <c r="A320" s="7"/>
      <c r="B320" s="90"/>
      <c r="C320" s="90"/>
      <c r="D320" s="77"/>
      <c r="E320" s="90"/>
      <c r="F320" s="90"/>
      <c r="G320" s="7"/>
      <c r="H320" s="6"/>
      <c r="I320" s="6"/>
      <c r="J320" s="77"/>
      <c r="K320" s="77"/>
      <c r="L320" s="7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80"/>
      <c r="AB320" s="7"/>
      <c r="AC320" s="7"/>
      <c r="AD320" s="7"/>
      <c r="AE320" s="7"/>
    </row>
    <row r="321" spans="1:31" ht="15.75" customHeight="1">
      <c r="A321" s="7"/>
      <c r="B321" s="90"/>
      <c r="C321" s="90"/>
      <c r="D321" s="77"/>
      <c r="E321" s="90"/>
      <c r="F321" s="90"/>
      <c r="G321" s="7"/>
      <c r="H321" s="6"/>
      <c r="I321" s="6"/>
      <c r="J321" s="77"/>
      <c r="K321" s="77"/>
      <c r="L321" s="7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80"/>
      <c r="AB321" s="7"/>
      <c r="AC321" s="7"/>
      <c r="AD321" s="7"/>
      <c r="AE321" s="7"/>
    </row>
    <row r="322" spans="1:31" ht="15.75" customHeight="1">
      <c r="A322" s="7"/>
      <c r="B322" s="90"/>
      <c r="C322" s="90"/>
      <c r="D322" s="77"/>
      <c r="E322" s="90"/>
      <c r="F322" s="90"/>
      <c r="G322" s="7"/>
      <c r="H322" s="6"/>
      <c r="I322" s="6"/>
      <c r="J322" s="77"/>
      <c r="K322" s="77"/>
      <c r="L322" s="7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80"/>
      <c r="AB322" s="7"/>
      <c r="AC322" s="7"/>
      <c r="AD322" s="7"/>
      <c r="AE322" s="7"/>
    </row>
    <row r="323" spans="1:31" ht="15.75" customHeight="1">
      <c r="A323" s="7"/>
      <c r="B323" s="90"/>
      <c r="C323" s="90"/>
      <c r="D323" s="77"/>
      <c r="E323" s="90"/>
      <c r="F323" s="90"/>
      <c r="G323" s="7"/>
      <c r="H323" s="6"/>
      <c r="I323" s="6"/>
      <c r="J323" s="77"/>
      <c r="K323" s="77"/>
      <c r="L323" s="7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80"/>
      <c r="AB323" s="7"/>
      <c r="AC323" s="7"/>
      <c r="AD323" s="7"/>
      <c r="AE323" s="7"/>
    </row>
    <row r="324" spans="1:31" ht="15.75" customHeight="1">
      <c r="A324" s="7"/>
      <c r="B324" s="90"/>
      <c r="C324" s="90"/>
      <c r="D324" s="77"/>
      <c r="E324" s="90"/>
      <c r="F324" s="90"/>
      <c r="G324" s="7"/>
      <c r="H324" s="6"/>
      <c r="I324" s="6"/>
      <c r="J324" s="77"/>
      <c r="K324" s="77"/>
      <c r="L324" s="7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80"/>
      <c r="AB324" s="7"/>
      <c r="AC324" s="7"/>
      <c r="AD324" s="7"/>
      <c r="AE324" s="7"/>
    </row>
    <row r="325" spans="1:31" ht="15.75" customHeight="1">
      <c r="A325" s="7"/>
      <c r="B325" s="90"/>
      <c r="C325" s="90"/>
      <c r="D325" s="77"/>
      <c r="E325" s="90"/>
      <c r="F325" s="90"/>
      <c r="G325" s="7"/>
      <c r="H325" s="6"/>
      <c r="I325" s="6"/>
      <c r="J325" s="77"/>
      <c r="K325" s="77"/>
      <c r="L325" s="7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80"/>
      <c r="AB325" s="7"/>
      <c r="AC325" s="7"/>
      <c r="AD325" s="7"/>
      <c r="AE325" s="7"/>
    </row>
    <row r="326" spans="1:31" ht="15.75" customHeight="1">
      <c r="A326" s="7"/>
      <c r="B326" s="90"/>
      <c r="C326" s="90"/>
      <c r="D326" s="77"/>
      <c r="E326" s="90"/>
      <c r="F326" s="90"/>
      <c r="G326" s="7"/>
      <c r="H326" s="6"/>
      <c r="I326" s="6"/>
      <c r="J326" s="77"/>
      <c r="K326" s="77"/>
      <c r="L326" s="7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80"/>
      <c r="AB326" s="7"/>
      <c r="AC326" s="7"/>
      <c r="AD326" s="7"/>
      <c r="AE326" s="7"/>
    </row>
    <row r="327" spans="1:31" ht="15.75" customHeight="1">
      <c r="A327" s="7"/>
      <c r="B327" s="90"/>
      <c r="C327" s="90"/>
      <c r="D327" s="77"/>
      <c r="E327" s="90"/>
      <c r="F327" s="90"/>
      <c r="G327" s="7"/>
      <c r="H327" s="6"/>
      <c r="I327" s="6"/>
      <c r="J327" s="77"/>
      <c r="K327" s="77"/>
      <c r="L327" s="7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80"/>
      <c r="AB327" s="7"/>
      <c r="AC327" s="7"/>
      <c r="AD327" s="7"/>
      <c r="AE327" s="7"/>
    </row>
    <row r="328" spans="1:31" ht="15.75" customHeight="1">
      <c r="A328" s="7"/>
      <c r="B328" s="90"/>
      <c r="C328" s="90"/>
      <c r="D328" s="77"/>
      <c r="E328" s="90"/>
      <c r="F328" s="90"/>
      <c r="G328" s="7"/>
      <c r="H328" s="6"/>
      <c r="I328" s="6"/>
      <c r="J328" s="77"/>
      <c r="K328" s="77"/>
      <c r="L328" s="7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80"/>
      <c r="AB328" s="7"/>
      <c r="AC328" s="7"/>
      <c r="AD328" s="7"/>
      <c r="AE328" s="7"/>
    </row>
    <row r="329" spans="1:31" ht="15.75" customHeight="1">
      <c r="A329" s="7"/>
      <c r="B329" s="90"/>
      <c r="C329" s="90"/>
      <c r="D329" s="77"/>
      <c r="E329" s="90"/>
      <c r="F329" s="90"/>
      <c r="G329" s="7"/>
      <c r="H329" s="6"/>
      <c r="I329" s="6"/>
      <c r="J329" s="77"/>
      <c r="K329" s="77"/>
      <c r="L329" s="7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80"/>
      <c r="AB329" s="7"/>
      <c r="AC329" s="7"/>
      <c r="AD329" s="7"/>
      <c r="AE329" s="7"/>
    </row>
    <row r="330" spans="1:31" ht="15.75" customHeight="1">
      <c r="A330" s="7"/>
      <c r="B330" s="90"/>
      <c r="C330" s="90"/>
      <c r="D330" s="77"/>
      <c r="E330" s="90"/>
      <c r="F330" s="90"/>
      <c r="G330" s="7"/>
      <c r="H330" s="6"/>
      <c r="I330" s="6"/>
      <c r="J330" s="77"/>
      <c r="K330" s="77"/>
      <c r="L330" s="7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80"/>
      <c r="AB330" s="7"/>
      <c r="AC330" s="7"/>
      <c r="AD330" s="7"/>
      <c r="AE330" s="7"/>
    </row>
    <row r="331" spans="1:31" ht="15.75" customHeight="1">
      <c r="A331" s="7"/>
      <c r="B331" s="90"/>
      <c r="C331" s="90"/>
      <c r="D331" s="77"/>
      <c r="E331" s="90"/>
      <c r="F331" s="90"/>
      <c r="G331" s="7"/>
      <c r="H331" s="6"/>
      <c r="I331" s="6"/>
      <c r="J331" s="77"/>
      <c r="K331" s="77"/>
      <c r="L331" s="7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80"/>
      <c r="AB331" s="7"/>
      <c r="AC331" s="7"/>
      <c r="AD331" s="7"/>
      <c r="AE331" s="7"/>
    </row>
    <row r="332" spans="1:31" ht="15.75" customHeight="1">
      <c r="A332" s="7"/>
      <c r="B332" s="90"/>
      <c r="C332" s="90"/>
      <c r="D332" s="77"/>
      <c r="E332" s="90"/>
      <c r="F332" s="90"/>
      <c r="G332" s="7"/>
      <c r="H332" s="6"/>
      <c r="I332" s="6"/>
      <c r="J332" s="77"/>
      <c r="K332" s="77"/>
      <c r="L332" s="7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80"/>
      <c r="AB332" s="7"/>
      <c r="AC332" s="7"/>
      <c r="AD332" s="7"/>
      <c r="AE332" s="7"/>
    </row>
    <row r="333" spans="1:31" ht="15.75" customHeight="1">
      <c r="A333" s="7"/>
      <c r="B333" s="90"/>
      <c r="C333" s="90"/>
      <c r="D333" s="77"/>
      <c r="E333" s="90"/>
      <c r="F333" s="90"/>
      <c r="G333" s="7"/>
      <c r="H333" s="6"/>
      <c r="I333" s="6"/>
      <c r="J333" s="77"/>
      <c r="K333" s="77"/>
      <c r="L333" s="7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80"/>
      <c r="AB333" s="7"/>
      <c r="AC333" s="7"/>
      <c r="AD333" s="7"/>
      <c r="AE333" s="7"/>
    </row>
    <row r="334" spans="1:31" ht="15.75" customHeight="1">
      <c r="A334" s="7"/>
      <c r="B334" s="90"/>
      <c r="C334" s="90"/>
      <c r="D334" s="77"/>
      <c r="E334" s="90"/>
      <c r="F334" s="90"/>
      <c r="G334" s="7"/>
      <c r="H334" s="6"/>
      <c r="I334" s="6"/>
      <c r="J334" s="77"/>
      <c r="K334" s="77"/>
      <c r="L334" s="7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80"/>
      <c r="AB334" s="7"/>
      <c r="AC334" s="7"/>
      <c r="AD334" s="7"/>
      <c r="AE334" s="7"/>
    </row>
    <row r="335" spans="1:31" ht="15.75" customHeight="1">
      <c r="A335" s="7"/>
      <c r="B335" s="90"/>
      <c r="C335" s="90"/>
      <c r="D335" s="77"/>
      <c r="E335" s="90"/>
      <c r="F335" s="90"/>
      <c r="G335" s="7"/>
      <c r="H335" s="6"/>
      <c r="I335" s="6"/>
      <c r="J335" s="77"/>
      <c r="K335" s="77"/>
      <c r="L335" s="7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80"/>
      <c r="AB335" s="7"/>
      <c r="AC335" s="7"/>
      <c r="AD335" s="7"/>
      <c r="AE335" s="7"/>
    </row>
    <row r="336" spans="1:31" ht="15.75" customHeight="1">
      <c r="A336" s="7"/>
      <c r="B336" s="90"/>
      <c r="C336" s="90"/>
      <c r="D336" s="77"/>
      <c r="E336" s="90"/>
      <c r="F336" s="90"/>
      <c r="G336" s="7"/>
      <c r="H336" s="6"/>
      <c r="I336" s="6"/>
      <c r="J336" s="77"/>
      <c r="K336" s="77"/>
      <c r="L336" s="7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80"/>
      <c r="AB336" s="7"/>
      <c r="AC336" s="7"/>
      <c r="AD336" s="7"/>
      <c r="AE336" s="7"/>
    </row>
    <row r="337" spans="1:31" ht="15.75" customHeight="1">
      <c r="A337" s="7"/>
      <c r="B337" s="90"/>
      <c r="C337" s="90"/>
      <c r="D337" s="77"/>
      <c r="E337" s="90"/>
      <c r="F337" s="90"/>
      <c r="G337" s="7"/>
      <c r="H337" s="6"/>
      <c r="I337" s="6"/>
      <c r="J337" s="77"/>
      <c r="K337" s="77"/>
      <c r="L337" s="7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80"/>
      <c r="AB337" s="7"/>
      <c r="AC337" s="7"/>
      <c r="AD337" s="7"/>
      <c r="AE337" s="7"/>
    </row>
    <row r="338" spans="1:31" ht="15.75" customHeight="1">
      <c r="A338" s="7"/>
      <c r="B338" s="90"/>
      <c r="C338" s="90"/>
      <c r="D338" s="77"/>
      <c r="E338" s="90"/>
      <c r="F338" s="90"/>
      <c r="G338" s="7"/>
      <c r="H338" s="6"/>
      <c r="I338" s="6"/>
      <c r="J338" s="77"/>
      <c r="K338" s="77"/>
      <c r="L338" s="7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80"/>
      <c r="AB338" s="7"/>
      <c r="AC338" s="7"/>
      <c r="AD338" s="7"/>
      <c r="AE338" s="7"/>
    </row>
    <row r="339" spans="1:31" ht="15.75" customHeight="1">
      <c r="A339" s="7"/>
      <c r="B339" s="90"/>
      <c r="C339" s="90"/>
      <c r="D339" s="77"/>
      <c r="E339" s="90"/>
      <c r="F339" s="90"/>
      <c r="G339" s="7"/>
      <c r="H339" s="6"/>
      <c r="I339" s="6"/>
      <c r="J339" s="77"/>
      <c r="K339" s="77"/>
      <c r="L339" s="7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80"/>
      <c r="AB339" s="7"/>
      <c r="AC339" s="7"/>
      <c r="AD339" s="7"/>
      <c r="AE339" s="7"/>
    </row>
    <row r="340" spans="1:31" ht="15.75" customHeight="1">
      <c r="A340" s="7"/>
      <c r="B340" s="90"/>
      <c r="C340" s="90"/>
      <c r="D340" s="77"/>
      <c r="E340" s="90"/>
      <c r="F340" s="90"/>
      <c r="G340" s="7"/>
      <c r="H340" s="6"/>
      <c r="I340" s="6"/>
      <c r="J340" s="77"/>
      <c r="K340" s="77"/>
      <c r="L340" s="7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80"/>
      <c r="AB340" s="7"/>
      <c r="AC340" s="7"/>
      <c r="AD340" s="7"/>
      <c r="AE340" s="7"/>
    </row>
    <row r="341" spans="1:31" ht="15.75" customHeight="1">
      <c r="A341" s="7"/>
      <c r="B341" s="90"/>
      <c r="C341" s="90"/>
      <c r="D341" s="77"/>
      <c r="E341" s="90"/>
      <c r="F341" s="90"/>
      <c r="G341" s="7"/>
      <c r="H341" s="6"/>
      <c r="I341" s="6"/>
      <c r="J341" s="77"/>
      <c r="K341" s="77"/>
      <c r="L341" s="7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80"/>
      <c r="AB341" s="7"/>
      <c r="AC341" s="7"/>
      <c r="AD341" s="7"/>
      <c r="AE341" s="7"/>
    </row>
    <row r="342" spans="1:31" ht="15.75" customHeight="1">
      <c r="A342" s="7"/>
      <c r="B342" s="90"/>
      <c r="C342" s="90"/>
      <c r="D342" s="77"/>
      <c r="E342" s="90"/>
      <c r="F342" s="90"/>
      <c r="G342" s="7"/>
      <c r="H342" s="6"/>
      <c r="I342" s="6"/>
      <c r="J342" s="77"/>
      <c r="K342" s="77"/>
      <c r="L342" s="7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80"/>
      <c r="AB342" s="7"/>
      <c r="AC342" s="7"/>
      <c r="AD342" s="7"/>
      <c r="AE342" s="7"/>
    </row>
    <row r="343" spans="1:31" ht="15.75" customHeight="1">
      <c r="A343" s="7"/>
      <c r="B343" s="90"/>
      <c r="C343" s="90"/>
      <c r="D343" s="77"/>
      <c r="E343" s="90"/>
      <c r="F343" s="90"/>
      <c r="G343" s="7"/>
      <c r="H343" s="6"/>
      <c r="I343" s="6"/>
      <c r="J343" s="77"/>
      <c r="K343" s="77"/>
      <c r="L343" s="7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80"/>
      <c r="AB343" s="7"/>
      <c r="AC343" s="7"/>
      <c r="AD343" s="7"/>
      <c r="AE343" s="7"/>
    </row>
    <row r="344" spans="1:31" ht="15.75" customHeight="1">
      <c r="A344" s="7"/>
      <c r="B344" s="90"/>
      <c r="C344" s="90"/>
      <c r="D344" s="77"/>
      <c r="E344" s="90"/>
      <c r="F344" s="90"/>
      <c r="G344" s="7"/>
      <c r="H344" s="6"/>
      <c r="I344" s="6"/>
      <c r="J344" s="77"/>
      <c r="K344" s="77"/>
      <c r="L344" s="7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80"/>
      <c r="AB344" s="7"/>
      <c r="AC344" s="7"/>
      <c r="AD344" s="7"/>
      <c r="AE344" s="7"/>
    </row>
    <row r="345" spans="1:31" ht="15.75" customHeight="1">
      <c r="A345" s="7"/>
      <c r="B345" s="90"/>
      <c r="C345" s="90"/>
      <c r="D345" s="77"/>
      <c r="E345" s="90"/>
      <c r="F345" s="90"/>
      <c r="G345" s="7"/>
      <c r="H345" s="6"/>
      <c r="I345" s="6"/>
      <c r="J345" s="77"/>
      <c r="K345" s="77"/>
      <c r="L345" s="7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80"/>
      <c r="AB345" s="7"/>
      <c r="AC345" s="7"/>
      <c r="AD345" s="7"/>
      <c r="AE345" s="7"/>
    </row>
    <row r="346" spans="1:31" ht="15.75" customHeight="1">
      <c r="A346" s="7"/>
      <c r="B346" s="90"/>
      <c r="C346" s="90"/>
      <c r="D346" s="77"/>
      <c r="E346" s="90"/>
      <c r="F346" s="90"/>
      <c r="G346" s="7"/>
      <c r="H346" s="6"/>
      <c r="I346" s="6"/>
      <c r="J346" s="77"/>
      <c r="K346" s="77"/>
      <c r="L346" s="7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80"/>
      <c r="AB346" s="7"/>
      <c r="AC346" s="7"/>
      <c r="AD346" s="7"/>
      <c r="AE346" s="7"/>
    </row>
    <row r="347" spans="1:31" ht="15.75" customHeight="1">
      <c r="A347" s="7"/>
      <c r="B347" s="90"/>
      <c r="C347" s="90"/>
      <c r="D347" s="77"/>
      <c r="E347" s="90"/>
      <c r="F347" s="90"/>
      <c r="G347" s="7"/>
      <c r="H347" s="6"/>
      <c r="I347" s="6"/>
      <c r="J347" s="77"/>
      <c r="K347" s="77"/>
      <c r="L347" s="7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80"/>
      <c r="AB347" s="7"/>
      <c r="AC347" s="7"/>
      <c r="AD347" s="7"/>
      <c r="AE347" s="7"/>
    </row>
    <row r="348" spans="1:31" ht="15.75" customHeight="1">
      <c r="A348" s="7"/>
      <c r="B348" s="90"/>
      <c r="C348" s="90"/>
      <c r="D348" s="77"/>
      <c r="E348" s="90"/>
      <c r="F348" s="90"/>
      <c r="G348" s="7"/>
      <c r="H348" s="6"/>
      <c r="I348" s="6"/>
      <c r="J348" s="77"/>
      <c r="K348" s="77"/>
      <c r="L348" s="7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80"/>
      <c r="AB348" s="7"/>
      <c r="AC348" s="7"/>
      <c r="AD348" s="7"/>
      <c r="AE348" s="7"/>
    </row>
    <row r="349" spans="1:31" ht="15.75" customHeight="1">
      <c r="A349" s="7"/>
      <c r="B349" s="90"/>
      <c r="C349" s="90"/>
      <c r="D349" s="77"/>
      <c r="E349" s="90"/>
      <c r="F349" s="90"/>
      <c r="G349" s="7"/>
      <c r="H349" s="6"/>
      <c r="I349" s="6"/>
      <c r="J349" s="77"/>
      <c r="K349" s="77"/>
      <c r="L349" s="7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80"/>
      <c r="AB349" s="7"/>
      <c r="AC349" s="7"/>
      <c r="AD349" s="7"/>
      <c r="AE349" s="7"/>
    </row>
    <row r="350" spans="1:31" ht="15.75" customHeight="1">
      <c r="A350" s="7"/>
      <c r="B350" s="90"/>
      <c r="C350" s="90"/>
      <c r="D350" s="77"/>
      <c r="E350" s="90"/>
      <c r="F350" s="90"/>
      <c r="G350" s="7"/>
      <c r="H350" s="6"/>
      <c r="I350" s="6"/>
      <c r="J350" s="77"/>
      <c r="K350" s="77"/>
      <c r="L350" s="7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80"/>
      <c r="AB350" s="7"/>
      <c r="AC350" s="7"/>
      <c r="AD350" s="7"/>
      <c r="AE350" s="7"/>
    </row>
    <row r="351" spans="1:31" ht="15.75" customHeight="1">
      <c r="A351" s="7"/>
      <c r="B351" s="90"/>
      <c r="C351" s="90"/>
      <c r="D351" s="77"/>
      <c r="E351" s="90"/>
      <c r="F351" s="90"/>
      <c r="G351" s="7"/>
      <c r="H351" s="6"/>
      <c r="I351" s="6"/>
      <c r="J351" s="77"/>
      <c r="K351" s="77"/>
      <c r="L351" s="7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80"/>
      <c r="AB351" s="7"/>
      <c r="AC351" s="7"/>
      <c r="AD351" s="7"/>
      <c r="AE351" s="7"/>
    </row>
    <row r="352" spans="1:31" ht="15.75" customHeight="1">
      <c r="A352" s="7"/>
      <c r="B352" s="90"/>
      <c r="C352" s="90"/>
      <c r="D352" s="77"/>
      <c r="E352" s="90"/>
      <c r="F352" s="90"/>
      <c r="G352" s="7"/>
      <c r="H352" s="6"/>
      <c r="I352" s="6"/>
      <c r="J352" s="77"/>
      <c r="K352" s="77"/>
      <c r="L352" s="7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80"/>
      <c r="AB352" s="7"/>
      <c r="AC352" s="7"/>
      <c r="AD352" s="7"/>
      <c r="AE352" s="7"/>
    </row>
    <row r="353" spans="1:31" ht="15.75" customHeight="1">
      <c r="A353" s="7"/>
      <c r="B353" s="90"/>
      <c r="C353" s="90"/>
      <c r="D353" s="77"/>
      <c r="E353" s="90"/>
      <c r="F353" s="90"/>
      <c r="G353" s="7"/>
      <c r="H353" s="6"/>
      <c r="I353" s="6"/>
      <c r="J353" s="77"/>
      <c r="K353" s="77"/>
      <c r="L353" s="7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80"/>
      <c r="AB353" s="7"/>
      <c r="AC353" s="7"/>
      <c r="AD353" s="7"/>
      <c r="AE353" s="7"/>
    </row>
    <row r="354" spans="1:31" ht="15.75" customHeight="1">
      <c r="A354" s="7"/>
      <c r="B354" s="90"/>
      <c r="C354" s="90"/>
      <c r="D354" s="77"/>
      <c r="E354" s="90"/>
      <c r="F354" s="90"/>
      <c r="G354" s="7"/>
      <c r="H354" s="6"/>
      <c r="I354" s="6"/>
      <c r="J354" s="77"/>
      <c r="K354" s="77"/>
      <c r="L354" s="7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80"/>
      <c r="AB354" s="7"/>
      <c r="AC354" s="7"/>
      <c r="AD354" s="7"/>
      <c r="AE354" s="7"/>
    </row>
    <row r="355" spans="1:31" ht="15.75" customHeight="1">
      <c r="A355" s="7"/>
      <c r="B355" s="90"/>
      <c r="C355" s="90"/>
      <c r="D355" s="77"/>
      <c r="E355" s="90"/>
      <c r="F355" s="90"/>
      <c r="G355" s="7"/>
      <c r="H355" s="6"/>
      <c r="I355" s="6"/>
      <c r="J355" s="77"/>
      <c r="K355" s="77"/>
      <c r="L355" s="7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80"/>
      <c r="AB355" s="7"/>
      <c r="AC355" s="7"/>
      <c r="AD355" s="7"/>
      <c r="AE355" s="7"/>
    </row>
    <row r="356" spans="1:31" ht="15.75" customHeight="1">
      <c r="A356" s="7"/>
      <c r="B356" s="90"/>
      <c r="C356" s="90"/>
      <c r="D356" s="77"/>
      <c r="E356" s="90"/>
      <c r="F356" s="90"/>
      <c r="G356" s="7"/>
      <c r="H356" s="6"/>
      <c r="I356" s="6"/>
      <c r="J356" s="77"/>
      <c r="K356" s="77"/>
      <c r="L356" s="7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80"/>
      <c r="AB356" s="7"/>
      <c r="AC356" s="7"/>
      <c r="AD356" s="7"/>
      <c r="AE356" s="7"/>
    </row>
    <row r="357" spans="1:31" ht="15.75" customHeight="1">
      <c r="A357" s="7"/>
      <c r="B357" s="90"/>
      <c r="C357" s="90"/>
      <c r="D357" s="77"/>
      <c r="E357" s="90"/>
      <c r="F357" s="90"/>
      <c r="G357" s="7"/>
      <c r="H357" s="6"/>
      <c r="I357" s="6"/>
      <c r="J357" s="77"/>
      <c r="K357" s="77"/>
      <c r="L357" s="7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80"/>
      <c r="AB357" s="7"/>
      <c r="AC357" s="7"/>
      <c r="AD357" s="7"/>
      <c r="AE357" s="7"/>
    </row>
    <row r="358" spans="1:31" ht="15.75" customHeight="1">
      <c r="A358" s="7"/>
      <c r="B358" s="90"/>
      <c r="C358" s="90"/>
      <c r="D358" s="77"/>
      <c r="E358" s="90"/>
      <c r="F358" s="90"/>
      <c r="G358" s="7"/>
      <c r="H358" s="6"/>
      <c r="I358" s="6"/>
      <c r="J358" s="77"/>
      <c r="K358" s="77"/>
      <c r="L358" s="7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80"/>
      <c r="AB358" s="7"/>
      <c r="AC358" s="7"/>
      <c r="AD358" s="7"/>
      <c r="AE358" s="7"/>
    </row>
    <row r="359" spans="1:31" ht="15.75" customHeight="1">
      <c r="A359" s="7"/>
      <c r="B359" s="90"/>
      <c r="C359" s="90"/>
      <c r="D359" s="77"/>
      <c r="E359" s="90"/>
      <c r="F359" s="90"/>
      <c r="G359" s="7"/>
      <c r="H359" s="6"/>
      <c r="I359" s="6"/>
      <c r="J359" s="77"/>
      <c r="K359" s="77"/>
      <c r="L359" s="7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80"/>
      <c r="AB359" s="7"/>
      <c r="AC359" s="7"/>
      <c r="AD359" s="7"/>
      <c r="AE359" s="7"/>
    </row>
    <row r="360" spans="1:31" ht="15.75" customHeight="1">
      <c r="A360" s="7"/>
      <c r="B360" s="90"/>
      <c r="C360" s="90"/>
      <c r="D360" s="77"/>
      <c r="E360" s="90"/>
      <c r="F360" s="90"/>
      <c r="G360" s="7"/>
      <c r="H360" s="6"/>
      <c r="I360" s="6"/>
      <c r="J360" s="77"/>
      <c r="K360" s="77"/>
      <c r="L360" s="7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80"/>
      <c r="AB360" s="7"/>
      <c r="AC360" s="7"/>
      <c r="AD360" s="7"/>
      <c r="AE360" s="7"/>
    </row>
    <row r="361" spans="1:31" ht="15.75" customHeight="1">
      <c r="A361" s="7"/>
      <c r="B361" s="90"/>
      <c r="C361" s="90"/>
      <c r="D361" s="77"/>
      <c r="E361" s="90"/>
      <c r="F361" s="90"/>
      <c r="G361" s="7"/>
      <c r="H361" s="6"/>
      <c r="I361" s="6"/>
      <c r="J361" s="77"/>
      <c r="K361" s="77"/>
      <c r="L361" s="7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80"/>
      <c r="AB361" s="7"/>
      <c r="AC361" s="7"/>
      <c r="AD361" s="7"/>
      <c r="AE361" s="7"/>
    </row>
    <row r="362" spans="1:31" ht="15.75" customHeight="1">
      <c r="A362" s="7"/>
      <c r="B362" s="90"/>
      <c r="C362" s="90"/>
      <c r="D362" s="77"/>
      <c r="E362" s="90"/>
      <c r="F362" s="90"/>
      <c r="G362" s="7"/>
      <c r="H362" s="6"/>
      <c r="I362" s="6"/>
      <c r="J362" s="77"/>
      <c r="K362" s="77"/>
      <c r="L362" s="7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80"/>
      <c r="AB362" s="7"/>
      <c r="AC362" s="7"/>
      <c r="AD362" s="7"/>
      <c r="AE362" s="7"/>
    </row>
    <row r="363" spans="1:31" ht="15.75" customHeight="1">
      <c r="A363" s="7"/>
      <c r="B363" s="90"/>
      <c r="C363" s="90"/>
      <c r="D363" s="77"/>
      <c r="E363" s="90"/>
      <c r="F363" s="90"/>
      <c r="G363" s="7"/>
      <c r="H363" s="6"/>
      <c r="I363" s="6"/>
      <c r="J363" s="77"/>
      <c r="K363" s="77"/>
      <c r="L363" s="7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80"/>
      <c r="AB363" s="7"/>
      <c r="AC363" s="7"/>
      <c r="AD363" s="7"/>
      <c r="AE363" s="7"/>
    </row>
    <row r="364" spans="1:31" ht="15.75" customHeight="1">
      <c r="A364" s="7"/>
      <c r="B364" s="90"/>
      <c r="C364" s="90"/>
      <c r="D364" s="77"/>
      <c r="E364" s="90"/>
      <c r="F364" s="90"/>
      <c r="G364" s="7"/>
      <c r="H364" s="6"/>
      <c r="I364" s="6"/>
      <c r="J364" s="77"/>
      <c r="K364" s="77"/>
      <c r="L364" s="7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80"/>
      <c r="AB364" s="7"/>
      <c r="AC364" s="7"/>
      <c r="AD364" s="7"/>
      <c r="AE364" s="7"/>
    </row>
    <row r="365" spans="1:31" ht="15.75" customHeight="1">
      <c r="A365" s="7"/>
      <c r="B365" s="90"/>
      <c r="C365" s="90"/>
      <c r="D365" s="77"/>
      <c r="E365" s="90"/>
      <c r="F365" s="90"/>
      <c r="G365" s="7"/>
      <c r="H365" s="6"/>
      <c r="I365" s="6"/>
      <c r="J365" s="77"/>
      <c r="K365" s="77"/>
      <c r="L365" s="7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80"/>
      <c r="AB365" s="7"/>
      <c r="AC365" s="7"/>
      <c r="AD365" s="7"/>
      <c r="AE365" s="7"/>
    </row>
    <row r="366" spans="1:31" ht="15.75" customHeight="1">
      <c r="A366" s="7"/>
      <c r="B366" s="90"/>
      <c r="C366" s="90"/>
      <c r="D366" s="77"/>
      <c r="E366" s="90"/>
      <c r="F366" s="90"/>
      <c r="G366" s="7"/>
      <c r="H366" s="6"/>
      <c r="I366" s="6"/>
      <c r="J366" s="77"/>
      <c r="K366" s="77"/>
      <c r="L366" s="7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80"/>
      <c r="AB366" s="7"/>
      <c r="AC366" s="7"/>
      <c r="AD366" s="7"/>
      <c r="AE366" s="7"/>
    </row>
    <row r="367" spans="1:31" ht="15.75" customHeight="1">
      <c r="A367" s="7"/>
      <c r="B367" s="90"/>
      <c r="C367" s="90"/>
      <c r="D367" s="77"/>
      <c r="E367" s="90"/>
      <c r="F367" s="90"/>
      <c r="G367" s="7"/>
      <c r="H367" s="6"/>
      <c r="I367" s="6"/>
      <c r="J367" s="77"/>
      <c r="K367" s="77"/>
      <c r="L367" s="7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80"/>
      <c r="AB367" s="7"/>
      <c r="AC367" s="7"/>
      <c r="AD367" s="7"/>
      <c r="AE367" s="7"/>
    </row>
    <row r="368" spans="1:31" ht="15.75" customHeight="1">
      <c r="A368" s="7"/>
      <c r="B368" s="90"/>
      <c r="C368" s="90"/>
      <c r="D368" s="77"/>
      <c r="E368" s="90"/>
      <c r="F368" s="90"/>
      <c r="G368" s="7"/>
      <c r="H368" s="6"/>
      <c r="I368" s="6"/>
      <c r="J368" s="77"/>
      <c r="K368" s="77"/>
      <c r="L368" s="7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80"/>
      <c r="AB368" s="7"/>
      <c r="AC368" s="7"/>
      <c r="AD368" s="7"/>
      <c r="AE368" s="7"/>
    </row>
    <row r="369" spans="1:31" ht="15.75" customHeight="1">
      <c r="A369" s="7"/>
      <c r="B369" s="90"/>
      <c r="C369" s="90"/>
      <c r="D369" s="77"/>
      <c r="E369" s="90"/>
      <c r="F369" s="90"/>
      <c r="G369" s="7"/>
      <c r="H369" s="6"/>
      <c r="I369" s="6"/>
      <c r="J369" s="77"/>
      <c r="K369" s="77"/>
      <c r="L369" s="7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80"/>
      <c r="AB369" s="7"/>
      <c r="AC369" s="7"/>
      <c r="AD369" s="7"/>
      <c r="AE369" s="7"/>
    </row>
    <row r="370" spans="1:31" ht="15.75" customHeight="1">
      <c r="A370" s="7"/>
      <c r="B370" s="90"/>
      <c r="C370" s="90"/>
      <c r="D370" s="77"/>
      <c r="E370" s="90"/>
      <c r="F370" s="90"/>
      <c r="G370" s="7"/>
      <c r="H370" s="6"/>
      <c r="I370" s="6"/>
      <c r="J370" s="77"/>
      <c r="K370" s="77"/>
      <c r="L370" s="7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80"/>
      <c r="AB370" s="7"/>
      <c r="AC370" s="7"/>
      <c r="AD370" s="7"/>
      <c r="AE370" s="7"/>
    </row>
    <row r="371" spans="1:31" ht="15.75" customHeight="1">
      <c r="A371" s="7"/>
      <c r="B371" s="90"/>
      <c r="C371" s="90"/>
      <c r="D371" s="77"/>
      <c r="E371" s="90"/>
      <c r="F371" s="90"/>
      <c r="G371" s="7"/>
      <c r="H371" s="6"/>
      <c r="I371" s="6"/>
      <c r="J371" s="77"/>
      <c r="K371" s="77"/>
      <c r="L371" s="7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80"/>
      <c r="AB371" s="7"/>
      <c r="AC371" s="7"/>
      <c r="AD371" s="7"/>
      <c r="AE371" s="7"/>
    </row>
    <row r="372" spans="1:31" ht="15.75" customHeight="1">
      <c r="A372" s="7"/>
      <c r="B372" s="90"/>
      <c r="C372" s="90"/>
      <c r="D372" s="77"/>
      <c r="E372" s="90"/>
      <c r="F372" s="90"/>
      <c r="G372" s="7"/>
      <c r="H372" s="6"/>
      <c r="I372" s="6"/>
      <c r="J372" s="77"/>
      <c r="K372" s="77"/>
      <c r="L372" s="7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80"/>
      <c r="AB372" s="7"/>
      <c r="AC372" s="7"/>
      <c r="AD372" s="7"/>
      <c r="AE372" s="7"/>
    </row>
    <row r="373" spans="1:31" ht="15.75" customHeight="1">
      <c r="A373" s="7"/>
      <c r="B373" s="90"/>
      <c r="C373" s="90"/>
      <c r="D373" s="77"/>
      <c r="E373" s="90"/>
      <c r="F373" s="90"/>
      <c r="G373" s="7"/>
      <c r="H373" s="6"/>
      <c r="I373" s="6"/>
      <c r="J373" s="77"/>
      <c r="K373" s="77"/>
      <c r="L373" s="7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80"/>
      <c r="AB373" s="7"/>
      <c r="AC373" s="7"/>
      <c r="AD373" s="7"/>
      <c r="AE373" s="7"/>
    </row>
    <row r="374" spans="1:31" ht="15.75" customHeight="1">
      <c r="A374" s="7"/>
      <c r="B374" s="90"/>
      <c r="C374" s="90"/>
      <c r="D374" s="77"/>
      <c r="E374" s="90"/>
      <c r="F374" s="90"/>
      <c r="G374" s="7"/>
      <c r="H374" s="6"/>
      <c r="I374" s="6"/>
      <c r="J374" s="77"/>
      <c r="K374" s="77"/>
      <c r="L374" s="7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80"/>
      <c r="AB374" s="7"/>
      <c r="AC374" s="7"/>
      <c r="AD374" s="7"/>
      <c r="AE374" s="7"/>
    </row>
    <row r="375" spans="1:31" ht="15.75" customHeight="1">
      <c r="A375" s="7"/>
      <c r="B375" s="90"/>
      <c r="C375" s="90"/>
      <c r="D375" s="77"/>
      <c r="E375" s="90"/>
      <c r="F375" s="90"/>
      <c r="G375" s="7"/>
      <c r="H375" s="6"/>
      <c r="I375" s="6"/>
      <c r="J375" s="77"/>
      <c r="K375" s="77"/>
      <c r="L375" s="7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80"/>
      <c r="AB375" s="7"/>
      <c r="AC375" s="7"/>
      <c r="AD375" s="7"/>
      <c r="AE375" s="7"/>
    </row>
    <row r="376" spans="1:31" ht="15.75" customHeight="1">
      <c r="A376" s="7"/>
      <c r="B376" s="90"/>
      <c r="C376" s="90"/>
      <c r="D376" s="77"/>
      <c r="E376" s="90"/>
      <c r="F376" s="90"/>
      <c r="G376" s="7"/>
      <c r="H376" s="6"/>
      <c r="I376" s="6"/>
      <c r="J376" s="77"/>
      <c r="K376" s="77"/>
      <c r="L376" s="7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80"/>
      <c r="AB376" s="7"/>
      <c r="AC376" s="7"/>
      <c r="AD376" s="7"/>
      <c r="AE376" s="7"/>
    </row>
    <row r="377" spans="1:31" ht="15.75" customHeight="1">
      <c r="A377" s="7"/>
      <c r="B377" s="90"/>
      <c r="C377" s="90"/>
      <c r="D377" s="77"/>
      <c r="E377" s="90"/>
      <c r="F377" s="90"/>
      <c r="G377" s="7"/>
      <c r="H377" s="6"/>
      <c r="I377" s="6"/>
      <c r="J377" s="77"/>
      <c r="K377" s="77"/>
      <c r="L377" s="7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80"/>
      <c r="AB377" s="7"/>
      <c r="AC377" s="7"/>
      <c r="AD377" s="7"/>
      <c r="AE377" s="7"/>
    </row>
    <row r="378" spans="1:31" ht="15.75" customHeight="1">
      <c r="A378" s="7"/>
      <c r="B378" s="90"/>
      <c r="C378" s="90"/>
      <c r="D378" s="77"/>
      <c r="E378" s="90"/>
      <c r="F378" s="90"/>
      <c r="G378" s="7"/>
      <c r="H378" s="6"/>
      <c r="I378" s="6"/>
      <c r="J378" s="77"/>
      <c r="K378" s="77"/>
      <c r="L378" s="7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80"/>
      <c r="AB378" s="7"/>
      <c r="AC378" s="7"/>
      <c r="AD378" s="7"/>
      <c r="AE378" s="7"/>
    </row>
    <row r="379" spans="1:31" ht="15.75" customHeight="1">
      <c r="A379" s="7"/>
      <c r="B379" s="90"/>
      <c r="C379" s="90"/>
      <c r="D379" s="77"/>
      <c r="E379" s="90"/>
      <c r="F379" s="90"/>
      <c r="G379" s="7"/>
      <c r="H379" s="6"/>
      <c r="I379" s="6"/>
      <c r="J379" s="77"/>
      <c r="K379" s="77"/>
      <c r="L379" s="7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80"/>
      <c r="AB379" s="7"/>
      <c r="AC379" s="7"/>
      <c r="AD379" s="7"/>
      <c r="AE379" s="7"/>
    </row>
    <row r="380" spans="1:31" ht="15.75" customHeight="1">
      <c r="A380" s="7"/>
      <c r="B380" s="90"/>
      <c r="C380" s="90"/>
      <c r="D380" s="77"/>
      <c r="E380" s="90"/>
      <c r="F380" s="90"/>
      <c r="G380" s="7"/>
      <c r="H380" s="6"/>
      <c r="I380" s="6"/>
      <c r="J380" s="77"/>
      <c r="K380" s="77"/>
      <c r="L380" s="7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80"/>
      <c r="AB380" s="7"/>
      <c r="AC380" s="7"/>
      <c r="AD380" s="7"/>
      <c r="AE380" s="7"/>
    </row>
    <row r="381" spans="1:31" ht="15.75" customHeight="1">
      <c r="A381" s="7"/>
      <c r="B381" s="90"/>
      <c r="C381" s="90"/>
      <c r="D381" s="77"/>
      <c r="E381" s="90"/>
      <c r="F381" s="90"/>
      <c r="G381" s="7"/>
      <c r="H381" s="6"/>
      <c r="I381" s="6"/>
      <c r="J381" s="77"/>
      <c r="K381" s="77"/>
      <c r="L381" s="7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80"/>
      <c r="AB381" s="7"/>
      <c r="AC381" s="7"/>
      <c r="AD381" s="7"/>
      <c r="AE381" s="7"/>
    </row>
    <row r="382" spans="1:31" ht="15.75" customHeight="1">
      <c r="A382" s="7"/>
      <c r="B382" s="90"/>
      <c r="C382" s="90"/>
      <c r="D382" s="77"/>
      <c r="E382" s="90"/>
      <c r="F382" s="90"/>
      <c r="G382" s="7"/>
      <c r="H382" s="6"/>
      <c r="I382" s="6"/>
      <c r="J382" s="77"/>
      <c r="K382" s="77"/>
      <c r="L382" s="7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80"/>
      <c r="AB382" s="7"/>
      <c r="AC382" s="7"/>
      <c r="AD382" s="7"/>
      <c r="AE382" s="7"/>
    </row>
    <row r="383" spans="1:31" ht="15.75" customHeight="1">
      <c r="A383" s="7"/>
      <c r="B383" s="90"/>
      <c r="C383" s="90"/>
      <c r="D383" s="77"/>
      <c r="E383" s="90"/>
      <c r="F383" s="90"/>
      <c r="G383" s="7"/>
      <c r="H383" s="6"/>
      <c r="I383" s="6"/>
      <c r="J383" s="77"/>
      <c r="K383" s="77"/>
      <c r="L383" s="7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80"/>
      <c r="AB383" s="7"/>
      <c r="AC383" s="7"/>
      <c r="AD383" s="7"/>
      <c r="AE383" s="7"/>
    </row>
    <row r="384" spans="1:31" ht="15.75" customHeight="1">
      <c r="A384" s="7"/>
      <c r="B384" s="90"/>
      <c r="C384" s="90"/>
      <c r="D384" s="77"/>
      <c r="E384" s="90"/>
      <c r="F384" s="90"/>
      <c r="G384" s="7"/>
      <c r="H384" s="6"/>
      <c r="I384" s="6"/>
      <c r="J384" s="77"/>
      <c r="K384" s="77"/>
      <c r="L384" s="7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80"/>
      <c r="AB384" s="7"/>
      <c r="AC384" s="7"/>
      <c r="AD384" s="7"/>
      <c r="AE384" s="7"/>
    </row>
    <row r="385" spans="1:31" ht="15.75" customHeight="1">
      <c r="A385" s="7"/>
      <c r="B385" s="90"/>
      <c r="C385" s="90"/>
      <c r="D385" s="77"/>
      <c r="E385" s="90"/>
      <c r="F385" s="90"/>
      <c r="G385" s="7"/>
      <c r="H385" s="6"/>
      <c r="I385" s="6"/>
      <c r="J385" s="77"/>
      <c r="K385" s="77"/>
      <c r="L385" s="7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80"/>
      <c r="AB385" s="7"/>
      <c r="AC385" s="7"/>
      <c r="AD385" s="7"/>
      <c r="AE385" s="7"/>
    </row>
    <row r="386" spans="1:31" ht="15.75" customHeight="1">
      <c r="A386" s="7"/>
      <c r="B386" s="90"/>
      <c r="C386" s="90"/>
      <c r="D386" s="77"/>
      <c r="E386" s="90"/>
      <c r="F386" s="90"/>
      <c r="G386" s="7"/>
      <c r="H386" s="6"/>
      <c r="I386" s="6"/>
      <c r="J386" s="77"/>
      <c r="K386" s="77"/>
      <c r="L386" s="7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80"/>
      <c r="AB386" s="7"/>
      <c r="AC386" s="7"/>
      <c r="AD386" s="7"/>
      <c r="AE386" s="7"/>
    </row>
    <row r="387" spans="1:31" ht="15.75" customHeight="1">
      <c r="A387" s="7"/>
      <c r="B387" s="90"/>
      <c r="C387" s="90"/>
      <c r="D387" s="77"/>
      <c r="E387" s="90"/>
      <c r="F387" s="90"/>
      <c r="G387" s="7"/>
      <c r="H387" s="6"/>
      <c r="I387" s="6"/>
      <c r="J387" s="77"/>
      <c r="K387" s="77"/>
      <c r="L387" s="7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80"/>
      <c r="AB387" s="7"/>
      <c r="AC387" s="7"/>
      <c r="AD387" s="7"/>
      <c r="AE387" s="7"/>
    </row>
    <row r="388" spans="1:31" ht="15.75" customHeight="1">
      <c r="A388" s="7"/>
      <c r="B388" s="90"/>
      <c r="C388" s="90"/>
      <c r="D388" s="77"/>
      <c r="E388" s="90"/>
      <c r="F388" s="90"/>
      <c r="G388" s="7"/>
      <c r="H388" s="6"/>
      <c r="I388" s="6"/>
      <c r="J388" s="77"/>
      <c r="K388" s="77"/>
      <c r="L388" s="7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80"/>
      <c r="AB388" s="7"/>
      <c r="AC388" s="7"/>
      <c r="AD388" s="7"/>
      <c r="AE388" s="7"/>
    </row>
    <row r="389" spans="1:31" ht="15.75" customHeight="1">
      <c r="A389" s="7"/>
      <c r="B389" s="90"/>
      <c r="C389" s="90"/>
      <c r="D389" s="77"/>
      <c r="E389" s="90"/>
      <c r="F389" s="90"/>
      <c r="G389" s="7"/>
      <c r="H389" s="6"/>
      <c r="I389" s="6"/>
      <c r="J389" s="77"/>
      <c r="K389" s="77"/>
      <c r="L389" s="7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80"/>
      <c r="AB389" s="7"/>
      <c r="AC389" s="7"/>
      <c r="AD389" s="7"/>
      <c r="AE389" s="7"/>
    </row>
    <row r="390" spans="1:31" ht="15.75" customHeight="1">
      <c r="A390" s="7"/>
      <c r="B390" s="90"/>
      <c r="C390" s="90"/>
      <c r="D390" s="77"/>
      <c r="E390" s="90"/>
      <c r="F390" s="90"/>
      <c r="G390" s="7"/>
      <c r="H390" s="6"/>
      <c r="I390" s="6"/>
      <c r="J390" s="77"/>
      <c r="K390" s="77"/>
      <c r="L390" s="7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80"/>
      <c r="AB390" s="7"/>
      <c r="AC390" s="7"/>
      <c r="AD390" s="7"/>
      <c r="AE390" s="7"/>
    </row>
    <row r="391" spans="1:31" ht="15.75" customHeight="1">
      <c r="A391" s="7"/>
      <c r="B391" s="90"/>
      <c r="C391" s="90"/>
      <c r="D391" s="77"/>
      <c r="E391" s="90"/>
      <c r="F391" s="90"/>
      <c r="G391" s="7"/>
      <c r="H391" s="6"/>
      <c r="I391" s="6"/>
      <c r="J391" s="77"/>
      <c r="K391" s="77"/>
      <c r="L391" s="7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80"/>
      <c r="AB391" s="7"/>
      <c r="AC391" s="7"/>
      <c r="AD391" s="7"/>
      <c r="AE391" s="7"/>
    </row>
    <row r="392" spans="1:31" ht="15.75" customHeight="1">
      <c r="A392" s="7"/>
      <c r="B392" s="90"/>
      <c r="C392" s="90"/>
      <c r="D392" s="77"/>
      <c r="E392" s="90"/>
      <c r="F392" s="90"/>
      <c r="G392" s="7"/>
      <c r="H392" s="6"/>
      <c r="I392" s="6"/>
      <c r="J392" s="77"/>
      <c r="K392" s="77"/>
      <c r="L392" s="7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80"/>
      <c r="AB392" s="7"/>
      <c r="AC392" s="7"/>
      <c r="AD392" s="7"/>
      <c r="AE392" s="7"/>
    </row>
    <row r="393" spans="1:31" ht="15.75" customHeight="1">
      <c r="A393" s="7"/>
      <c r="B393" s="90"/>
      <c r="C393" s="90"/>
      <c r="D393" s="77"/>
      <c r="E393" s="90"/>
      <c r="F393" s="90"/>
      <c r="G393" s="7"/>
      <c r="H393" s="6"/>
      <c r="I393" s="6"/>
      <c r="J393" s="77"/>
      <c r="K393" s="77"/>
      <c r="L393" s="7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80"/>
      <c r="AB393" s="7"/>
      <c r="AC393" s="7"/>
      <c r="AD393" s="7"/>
      <c r="AE393" s="7"/>
    </row>
    <row r="394" spans="1:31" ht="15.75" customHeight="1">
      <c r="A394" s="7"/>
      <c r="B394" s="90"/>
      <c r="C394" s="90"/>
      <c r="D394" s="77"/>
      <c r="E394" s="90"/>
      <c r="F394" s="90"/>
      <c r="G394" s="7"/>
      <c r="H394" s="6"/>
      <c r="I394" s="6"/>
      <c r="J394" s="77"/>
      <c r="K394" s="77"/>
      <c r="L394" s="7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80"/>
      <c r="AB394" s="7"/>
      <c r="AC394" s="7"/>
      <c r="AD394" s="7"/>
      <c r="AE394" s="7"/>
    </row>
    <row r="395" spans="1:31" ht="15.75" customHeight="1">
      <c r="A395" s="7"/>
      <c r="B395" s="90"/>
      <c r="C395" s="90"/>
      <c r="D395" s="77"/>
      <c r="E395" s="90"/>
      <c r="F395" s="90"/>
      <c r="G395" s="7"/>
      <c r="H395" s="6"/>
      <c r="I395" s="6"/>
      <c r="J395" s="77"/>
      <c r="K395" s="77"/>
      <c r="L395" s="7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80"/>
      <c r="AB395" s="7"/>
      <c r="AC395" s="7"/>
      <c r="AD395" s="7"/>
      <c r="AE395" s="7"/>
    </row>
    <row r="396" spans="1:31" ht="15.75" customHeight="1">
      <c r="A396" s="7"/>
      <c r="B396" s="90"/>
      <c r="C396" s="90"/>
      <c r="D396" s="77"/>
      <c r="E396" s="90"/>
      <c r="F396" s="90"/>
      <c r="G396" s="7"/>
      <c r="H396" s="6"/>
      <c r="I396" s="6"/>
      <c r="J396" s="77"/>
      <c r="K396" s="77"/>
      <c r="L396" s="7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80"/>
      <c r="AB396" s="7"/>
      <c r="AC396" s="7"/>
      <c r="AD396" s="7"/>
      <c r="AE396" s="7"/>
    </row>
    <row r="397" spans="1:31" ht="15.75" customHeight="1">
      <c r="A397" s="7"/>
      <c r="B397" s="90"/>
      <c r="C397" s="90"/>
      <c r="D397" s="77"/>
      <c r="E397" s="90"/>
      <c r="F397" s="90"/>
      <c r="G397" s="7"/>
      <c r="H397" s="6"/>
      <c r="I397" s="6"/>
      <c r="J397" s="77"/>
      <c r="K397" s="77"/>
      <c r="L397" s="7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80"/>
      <c r="AB397" s="7"/>
      <c r="AC397" s="7"/>
      <c r="AD397" s="7"/>
      <c r="AE397" s="7"/>
    </row>
    <row r="398" spans="1:31" ht="15.75" customHeight="1">
      <c r="A398" s="7"/>
      <c r="B398" s="90"/>
      <c r="C398" s="90"/>
      <c r="D398" s="77"/>
      <c r="E398" s="90"/>
      <c r="F398" s="90"/>
      <c r="G398" s="7"/>
      <c r="H398" s="6"/>
      <c r="I398" s="6"/>
      <c r="J398" s="77"/>
      <c r="K398" s="77"/>
      <c r="L398" s="7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80"/>
      <c r="AB398" s="7"/>
      <c r="AC398" s="7"/>
      <c r="AD398" s="7"/>
      <c r="AE398" s="7"/>
    </row>
    <row r="399" spans="1:31" ht="15.75" customHeight="1">
      <c r="A399" s="7"/>
      <c r="B399" s="90"/>
      <c r="C399" s="90"/>
      <c r="D399" s="77"/>
      <c r="E399" s="90"/>
      <c r="F399" s="90"/>
      <c r="G399" s="7"/>
      <c r="H399" s="6"/>
      <c r="I399" s="6"/>
      <c r="J399" s="77"/>
      <c r="K399" s="77"/>
      <c r="L399" s="7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80"/>
      <c r="AB399" s="7"/>
      <c r="AC399" s="7"/>
      <c r="AD399" s="7"/>
      <c r="AE399" s="7"/>
    </row>
    <row r="400" spans="1:31" ht="15.75" customHeight="1">
      <c r="A400" s="7"/>
      <c r="B400" s="90"/>
      <c r="C400" s="90"/>
      <c r="D400" s="77"/>
      <c r="E400" s="90"/>
      <c r="F400" s="90"/>
      <c r="G400" s="7"/>
      <c r="H400" s="6"/>
      <c r="I400" s="6"/>
      <c r="J400" s="77"/>
      <c r="K400" s="77"/>
      <c r="L400" s="7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80"/>
      <c r="AB400" s="7"/>
      <c r="AC400" s="7"/>
      <c r="AD400" s="7"/>
      <c r="AE400" s="7"/>
    </row>
    <row r="401" spans="1:31" ht="15.75" customHeight="1">
      <c r="A401" s="7"/>
      <c r="B401" s="90"/>
      <c r="C401" s="90"/>
      <c r="D401" s="77"/>
      <c r="E401" s="90"/>
      <c r="F401" s="90"/>
      <c r="G401" s="7"/>
      <c r="H401" s="6"/>
      <c r="I401" s="6"/>
      <c r="J401" s="77"/>
      <c r="K401" s="77"/>
      <c r="L401" s="7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80"/>
      <c r="AB401" s="7"/>
      <c r="AC401" s="7"/>
      <c r="AD401" s="7"/>
      <c r="AE401" s="7"/>
    </row>
    <row r="402" spans="1:31" ht="15.75" customHeight="1">
      <c r="A402" s="7"/>
      <c r="B402" s="90"/>
      <c r="C402" s="90"/>
      <c r="D402" s="77"/>
      <c r="E402" s="90"/>
      <c r="F402" s="90"/>
      <c r="G402" s="7"/>
      <c r="H402" s="6"/>
      <c r="I402" s="6"/>
      <c r="J402" s="77"/>
      <c r="K402" s="77"/>
      <c r="L402" s="7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80"/>
      <c r="AB402" s="7"/>
      <c r="AC402" s="7"/>
      <c r="AD402" s="7"/>
      <c r="AE402" s="7"/>
    </row>
    <row r="403" spans="1:31" ht="15.75" customHeight="1">
      <c r="A403" s="7"/>
      <c r="B403" s="90"/>
      <c r="C403" s="90"/>
      <c r="D403" s="77"/>
      <c r="E403" s="90"/>
      <c r="F403" s="90"/>
      <c r="G403" s="7"/>
      <c r="H403" s="6"/>
      <c r="I403" s="6"/>
      <c r="J403" s="77"/>
      <c r="K403" s="77"/>
      <c r="L403" s="7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80"/>
      <c r="AB403" s="7"/>
      <c r="AC403" s="7"/>
      <c r="AD403" s="7"/>
      <c r="AE403" s="7"/>
    </row>
    <row r="404" spans="1:31" ht="15.75" customHeight="1">
      <c r="A404" s="7"/>
      <c r="B404" s="90"/>
      <c r="C404" s="90"/>
      <c r="D404" s="77"/>
      <c r="E404" s="90"/>
      <c r="F404" s="90"/>
      <c r="G404" s="7"/>
      <c r="H404" s="6"/>
      <c r="I404" s="6"/>
      <c r="J404" s="77"/>
      <c r="K404" s="77"/>
      <c r="L404" s="7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80"/>
      <c r="AB404" s="7"/>
      <c r="AC404" s="7"/>
      <c r="AD404" s="7"/>
      <c r="AE404" s="7"/>
    </row>
    <row r="405" spans="1:31" ht="15.75" customHeight="1">
      <c r="A405" s="7"/>
      <c r="B405" s="90"/>
      <c r="C405" s="90"/>
      <c r="D405" s="77"/>
      <c r="E405" s="90"/>
      <c r="F405" s="90"/>
      <c r="G405" s="7"/>
      <c r="H405" s="6"/>
      <c r="I405" s="6"/>
      <c r="J405" s="77"/>
      <c r="K405" s="77"/>
      <c r="L405" s="7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80"/>
      <c r="AB405" s="7"/>
      <c r="AC405" s="7"/>
      <c r="AD405" s="7"/>
      <c r="AE405" s="7"/>
    </row>
    <row r="406" spans="1:31" ht="15.75" customHeight="1">
      <c r="A406" s="7"/>
      <c r="B406" s="90"/>
      <c r="C406" s="90"/>
      <c r="D406" s="77"/>
      <c r="E406" s="90"/>
      <c r="F406" s="90"/>
      <c r="G406" s="7"/>
      <c r="H406" s="6"/>
      <c r="I406" s="6"/>
      <c r="J406" s="77"/>
      <c r="K406" s="77"/>
      <c r="L406" s="7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80"/>
      <c r="AB406" s="7"/>
      <c r="AC406" s="7"/>
      <c r="AD406" s="7"/>
      <c r="AE406" s="7"/>
    </row>
    <row r="407" spans="1:31" ht="15.75" customHeight="1">
      <c r="A407" s="7"/>
      <c r="B407" s="90"/>
      <c r="C407" s="90"/>
      <c r="D407" s="77"/>
      <c r="E407" s="90"/>
      <c r="F407" s="90"/>
      <c r="G407" s="7"/>
      <c r="H407" s="6"/>
      <c r="I407" s="6"/>
      <c r="J407" s="77"/>
      <c r="K407" s="77"/>
      <c r="L407" s="7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80"/>
      <c r="AB407" s="7"/>
      <c r="AC407" s="7"/>
      <c r="AD407" s="7"/>
      <c r="AE407" s="7"/>
    </row>
    <row r="408" spans="1:31" ht="15.75" customHeight="1">
      <c r="A408" s="7"/>
      <c r="B408" s="90"/>
      <c r="C408" s="90"/>
      <c r="D408" s="77"/>
      <c r="E408" s="90"/>
      <c r="F408" s="90"/>
      <c r="G408" s="7"/>
      <c r="H408" s="6"/>
      <c r="I408" s="6"/>
      <c r="J408" s="77"/>
      <c r="K408" s="77"/>
      <c r="L408" s="7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80"/>
      <c r="AB408" s="7"/>
      <c r="AC408" s="7"/>
      <c r="AD408" s="7"/>
      <c r="AE408" s="7"/>
    </row>
    <row r="409" spans="1:31" ht="15.75" customHeight="1">
      <c r="A409" s="7"/>
      <c r="B409" s="90"/>
      <c r="C409" s="90"/>
      <c r="D409" s="77"/>
      <c r="E409" s="90"/>
      <c r="F409" s="90"/>
      <c r="G409" s="7"/>
      <c r="H409" s="6"/>
      <c r="I409" s="6"/>
      <c r="J409" s="77"/>
      <c r="K409" s="77"/>
      <c r="L409" s="7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80"/>
      <c r="AB409" s="7"/>
      <c r="AC409" s="7"/>
      <c r="AD409" s="7"/>
      <c r="AE409" s="7"/>
    </row>
    <row r="410" spans="1:31" ht="15.75" customHeight="1">
      <c r="A410" s="7"/>
      <c r="B410" s="90"/>
      <c r="C410" s="90"/>
      <c r="D410" s="77"/>
      <c r="E410" s="90"/>
      <c r="F410" s="90"/>
      <c r="G410" s="7"/>
      <c r="H410" s="6"/>
      <c r="I410" s="6"/>
      <c r="J410" s="77"/>
      <c r="K410" s="77"/>
      <c r="L410" s="7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80"/>
      <c r="AB410" s="7"/>
      <c r="AC410" s="7"/>
      <c r="AD410" s="7"/>
      <c r="AE410" s="7"/>
    </row>
    <row r="411" spans="1:31" ht="15.75" customHeight="1">
      <c r="A411" s="7"/>
      <c r="B411" s="90"/>
      <c r="C411" s="90"/>
      <c r="D411" s="77"/>
      <c r="E411" s="90"/>
      <c r="F411" s="90"/>
      <c r="G411" s="7"/>
      <c r="H411" s="6"/>
      <c r="I411" s="6"/>
      <c r="J411" s="77"/>
      <c r="K411" s="77"/>
      <c r="L411" s="7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80"/>
      <c r="AB411" s="7"/>
      <c r="AC411" s="7"/>
      <c r="AD411" s="7"/>
      <c r="AE411" s="7"/>
    </row>
    <row r="412" spans="1:31" ht="15.75" customHeight="1">
      <c r="A412" s="7"/>
      <c r="B412" s="90"/>
      <c r="C412" s="90"/>
      <c r="D412" s="77"/>
      <c r="E412" s="90"/>
      <c r="F412" s="90"/>
      <c r="G412" s="7"/>
      <c r="H412" s="6"/>
      <c r="I412" s="6"/>
      <c r="J412" s="77"/>
      <c r="K412" s="77"/>
      <c r="L412" s="7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80"/>
      <c r="AB412" s="7"/>
      <c r="AC412" s="7"/>
      <c r="AD412" s="7"/>
      <c r="AE412" s="7"/>
    </row>
    <row r="413" spans="1:31" ht="15.75" customHeight="1">
      <c r="A413" s="7"/>
      <c r="B413" s="90"/>
      <c r="C413" s="90"/>
      <c r="D413" s="77"/>
      <c r="E413" s="90"/>
      <c r="F413" s="90"/>
      <c r="G413" s="7"/>
      <c r="H413" s="6"/>
      <c r="I413" s="6"/>
      <c r="J413" s="77"/>
      <c r="K413" s="77"/>
      <c r="L413" s="7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80"/>
      <c r="AB413" s="7"/>
      <c r="AC413" s="7"/>
      <c r="AD413" s="7"/>
      <c r="AE413" s="7"/>
    </row>
    <row r="414" spans="1:31" ht="15.75" customHeight="1">
      <c r="A414" s="7"/>
      <c r="B414" s="90"/>
      <c r="C414" s="90"/>
      <c r="D414" s="77"/>
      <c r="E414" s="90"/>
      <c r="F414" s="90"/>
      <c r="G414" s="7"/>
      <c r="H414" s="6"/>
      <c r="I414" s="6"/>
      <c r="J414" s="77"/>
      <c r="K414" s="77"/>
      <c r="L414" s="7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80"/>
      <c r="AB414" s="7"/>
      <c r="AC414" s="7"/>
      <c r="AD414" s="7"/>
      <c r="AE414" s="7"/>
    </row>
    <row r="415" spans="1:31" ht="15.75" customHeight="1">
      <c r="A415" s="7"/>
      <c r="B415" s="90"/>
      <c r="C415" s="90"/>
      <c r="D415" s="77"/>
      <c r="E415" s="90"/>
      <c r="F415" s="90"/>
      <c r="G415" s="7"/>
      <c r="H415" s="6"/>
      <c r="I415" s="6"/>
      <c r="J415" s="77"/>
      <c r="K415" s="77"/>
      <c r="L415" s="7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80"/>
      <c r="AB415" s="7"/>
      <c r="AC415" s="7"/>
      <c r="AD415" s="7"/>
      <c r="AE415" s="7"/>
    </row>
    <row r="416" spans="1:31" ht="15.75" customHeight="1">
      <c r="A416" s="7"/>
      <c r="B416" s="90"/>
      <c r="C416" s="90"/>
      <c r="D416" s="77"/>
      <c r="E416" s="90"/>
      <c r="F416" s="90"/>
      <c r="G416" s="7"/>
      <c r="H416" s="6"/>
      <c r="I416" s="6"/>
      <c r="J416" s="77"/>
      <c r="K416" s="77"/>
      <c r="L416" s="7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80"/>
      <c r="AB416" s="7"/>
      <c r="AC416" s="7"/>
      <c r="AD416" s="7"/>
      <c r="AE416" s="7"/>
    </row>
    <row r="417" spans="1:31" ht="15.75" customHeight="1">
      <c r="A417" s="7"/>
      <c r="B417" s="90"/>
      <c r="C417" s="90"/>
      <c r="D417" s="77"/>
      <c r="E417" s="90"/>
      <c r="F417" s="90"/>
      <c r="G417" s="7"/>
      <c r="H417" s="6"/>
      <c r="I417" s="6"/>
      <c r="J417" s="77"/>
      <c r="K417" s="77"/>
      <c r="L417" s="7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80"/>
      <c r="AB417" s="7"/>
      <c r="AC417" s="7"/>
      <c r="AD417" s="7"/>
      <c r="AE417" s="7"/>
    </row>
    <row r="418" spans="1:31" ht="15.75" customHeight="1">
      <c r="A418" s="7"/>
      <c r="B418" s="90"/>
      <c r="C418" s="90"/>
      <c r="D418" s="77"/>
      <c r="E418" s="90"/>
      <c r="F418" s="90"/>
      <c r="G418" s="7"/>
      <c r="H418" s="6"/>
      <c r="I418" s="6"/>
      <c r="J418" s="77"/>
      <c r="K418" s="77"/>
      <c r="L418" s="7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80"/>
      <c r="AB418" s="7"/>
      <c r="AC418" s="7"/>
      <c r="AD418" s="7"/>
      <c r="AE418" s="7"/>
    </row>
    <row r="419" spans="1:31" ht="15.75" customHeight="1">
      <c r="A419" s="7"/>
      <c r="B419" s="90"/>
      <c r="C419" s="90"/>
      <c r="D419" s="77"/>
      <c r="E419" s="90"/>
      <c r="F419" s="90"/>
      <c r="G419" s="7"/>
      <c r="H419" s="6"/>
      <c r="I419" s="6"/>
      <c r="J419" s="77"/>
      <c r="K419" s="77"/>
      <c r="L419" s="7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80"/>
      <c r="AB419" s="7"/>
      <c r="AC419" s="7"/>
      <c r="AD419" s="7"/>
      <c r="AE419" s="7"/>
    </row>
    <row r="420" spans="1:31" ht="15.75" customHeight="1">
      <c r="A420" s="7"/>
      <c r="B420" s="90"/>
      <c r="C420" s="90"/>
      <c r="D420" s="77"/>
      <c r="E420" s="90"/>
      <c r="F420" s="90"/>
      <c r="G420" s="7"/>
      <c r="H420" s="6"/>
      <c r="I420" s="6"/>
      <c r="J420" s="77"/>
      <c r="K420" s="77"/>
      <c r="L420" s="7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80"/>
      <c r="AB420" s="7"/>
      <c r="AC420" s="7"/>
      <c r="AD420" s="7"/>
      <c r="AE420" s="7"/>
    </row>
    <row r="421" spans="1:3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spans="1:31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spans="1:31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spans="1:31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spans="1:31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spans="1:31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spans="1:31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spans="1:31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1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spans="1:31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spans="1: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spans="1:31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</row>
    <row r="433" spans="1:31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spans="1:31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spans="1:31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spans="1:31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spans="1:31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</row>
    <row r="438" spans="1:31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1:31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1:31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1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1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1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1:31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1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1:31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1:31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1:31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1:31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1:3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spans="1:31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spans="1:31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spans="1:31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spans="1:31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1:31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1:31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31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1:31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1:31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1:3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31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31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31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1:31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1:31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1:31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1:31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1:31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1:31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1:3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1:31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1:31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1:31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1:31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1:31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1:31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1:31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1:31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1:31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1:3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spans="1:31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1:31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spans="1:31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spans="1:31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spans="1:31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1:31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1:31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1:31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1:31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1:3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1:31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1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1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1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1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1:31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1:31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1:31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1:31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1:3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1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1:31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1:31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1:31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1:31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1:31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1:31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1:31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1:31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1:3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1:31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1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1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1:31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1:31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1:31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1:31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1:31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1:31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1:3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1:31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spans="1:31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spans="1:31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spans="1:31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spans="1:31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spans="1:31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spans="1:31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spans="1:31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1:31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1: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1:31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1:31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1:31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1:31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1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1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1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1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1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1:31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1:31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1:31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1:31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1:31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1:31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1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1:31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1:31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1:3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1:31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1:31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1:31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1:31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1:31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1:31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1:31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1:31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1:31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spans="1:31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1:31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1:31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1:31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1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spans="1:31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spans="1:31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spans="1:31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spans="1:31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spans="1:3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spans="1:31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1:31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1:31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1:31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1:31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1:31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1:31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1:31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1:31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1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1:31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1:31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1:31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1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1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1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1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1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1:3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1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1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1:31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1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1:31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1:31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1:31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1:31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1:31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spans="1:3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1:31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spans="1:31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1:31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1:31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1:31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1:31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1:31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1:31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1:31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1:3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1:31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1:31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1:31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1:31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1:31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1:31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1:31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1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1:31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1:3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1:31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1:31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1:31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1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1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1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1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1:31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spans="1:31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1: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1:31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1:31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1:31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1:31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spans="1:31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1:31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1:31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1:31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1:31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1:3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1:31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1:31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1:31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spans="1:31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spans="1:31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spans="1:31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spans="1:31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spans="1:31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spans="1:31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spans="1:3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spans="1:31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spans="1:31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spans="1:31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spans="1:31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1:31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1:31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1:31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1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1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1:31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1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1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1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1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1:31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1:31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1:31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1:31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1:3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spans="1:31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spans="1:31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1:31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1:31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1:31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1:31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spans="1:31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1:31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1:31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1:3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1:31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1:31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1:31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spans="1:31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1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1:31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spans="1:31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spans="1:31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spans="1:31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spans="1:3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spans="1:31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spans="1:31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spans="1:31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spans="1:31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1:31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1:31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1:31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1:31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1:31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1:3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1:31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1:31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1:31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1:31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1:31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1:31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1:31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1:31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1:31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1:3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1:31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1:31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spans="1:31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spans="1:31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1:31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1:31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1:31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spans="1:31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1:31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1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1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1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1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1:31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1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1:31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spans="1:31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spans="1:31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spans="1: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spans="1:31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spans="1:31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spans="1:31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spans="1:31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spans="1:31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1:31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1:31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1:31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spans="1:31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1:3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1:31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1:31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1:31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1:31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1:31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spans="1:31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1:31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spans="1:31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spans="1:31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1:3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1:31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1:31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1:31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spans="1:31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spans="1:31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1:31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1:31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1:31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spans="1:31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1:3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1:31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1:31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1:31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1:31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1:31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1:31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1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spans="1:31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1:31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1:3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1:31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spans="1:31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1:31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1:31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1:31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1:31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1:31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1:31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spans="1:31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1:3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1:31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1:31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1:31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1:31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1:31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1:31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1:31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spans="1:31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spans="1:31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spans="1:3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spans="1:31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spans="1:31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spans="1:31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spans="1:31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spans="1:31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spans="1:31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1:31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1:31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1:31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1:3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1:31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1:31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1:31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1:31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1:31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1:31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spans="1:31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1:31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spans="1:31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spans="1:3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spans="1:31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spans="1:31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spans="1:31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spans="1:31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spans="1:31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1:31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31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1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31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31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31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31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31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31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31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1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1:31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1:31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1: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1:31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1:31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1:31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spans="1:31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spans="1:31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spans="1:31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spans="1:31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1:31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1:31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spans="1:3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spans="1:31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spans="1:31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spans="1:31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spans="1:31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spans="1:31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spans="1:31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spans="1:31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spans="1:31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spans="1:31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spans="1:3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spans="1:31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spans="1:31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spans="1:31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spans="1:31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spans="1:31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spans="1:31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1:31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1:31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1:31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spans="1:3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1:31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1:31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1:31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1:31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1:31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1:31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spans="1:31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1:31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1:31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1:3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1:31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1:31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1:31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1:31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1:31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1:31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1:31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1:31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1:31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1:3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1:31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1:31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1:31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1:31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1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1:31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spans="1:31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spans="1:31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spans="1:31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spans="1:3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spans="1:31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spans="1:31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spans="1:31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spans="1:31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spans="1:31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spans="1:31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spans="1:31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1:31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1:31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1:3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spans="1:31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1:31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1:31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1:31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1:31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1:31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1:31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spans="1:31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1:31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spans="1:3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spans="1:31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spans="1:31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1:31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1:31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1:31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1:31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1:31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1:31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1:31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1:3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1:31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1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1:31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spans="1:31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spans="1:31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spans="1:31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1:31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1:31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1:31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1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1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1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1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1:31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1:31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1:31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1:31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1:31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spans="1:3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1:31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1:31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1:31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1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1:31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1:31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spans="1:31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1:31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spans="1:31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spans="1:3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spans="1:31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spans="1:31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spans="1:31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spans="1:31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1:31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1:31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1:31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1:31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1:31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1:3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1:31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1:31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1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1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spans="1:31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spans="1:31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spans="1:31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spans="1:31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spans="1:31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spans="1:3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spans="1:31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spans="1:31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spans="1:31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spans="1:31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1:31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1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1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1:31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1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1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1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1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1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1:31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1:31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spans="1:31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spans="1:31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spans="1:31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spans="1:3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spans="1:31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spans="1:31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  <row r="994" spans="1:31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</row>
    <row r="995" spans="1:31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</row>
    <row r="996" spans="1:31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</row>
    <row r="997" spans="1:31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</row>
    <row r="998" spans="1:31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</row>
    <row r="999" spans="1:31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</row>
    <row r="1000" spans="1:31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4.453125" defaultRowHeight="15" customHeight="1"/>
  <cols>
    <col min="1" max="29" width="10.7265625" customWidth="1"/>
  </cols>
  <sheetData>
    <row r="1" spans="1:31" ht="16.5" customHeight="1">
      <c r="A1" s="73" t="s">
        <v>1326</v>
      </c>
      <c r="B1" s="73" t="s">
        <v>1327</v>
      </c>
      <c r="C1" s="73" t="s">
        <v>1328</v>
      </c>
      <c r="D1" s="86" t="s">
        <v>1329</v>
      </c>
      <c r="E1" s="73" t="s">
        <v>1330</v>
      </c>
      <c r="F1" s="73" t="s">
        <v>1331</v>
      </c>
      <c r="G1" s="86" t="s">
        <v>1332</v>
      </c>
      <c r="H1" s="73" t="s">
        <v>1333</v>
      </c>
      <c r="I1" s="73" t="s">
        <v>1334</v>
      </c>
      <c r="J1" s="86" t="s">
        <v>1335</v>
      </c>
      <c r="K1" s="86" t="s">
        <v>1355</v>
      </c>
      <c r="L1" s="76" t="s">
        <v>1337</v>
      </c>
      <c r="M1" s="73" t="s">
        <v>1338</v>
      </c>
      <c r="N1" s="73" t="s">
        <v>1339</v>
      </c>
      <c r="O1" s="73" t="s">
        <v>1340</v>
      </c>
      <c r="P1" s="73" t="s">
        <v>1341</v>
      </c>
      <c r="Q1" s="73" t="s">
        <v>1342</v>
      </c>
      <c r="R1" s="73" t="s">
        <v>1343</v>
      </c>
      <c r="S1" s="73" t="s">
        <v>1344</v>
      </c>
      <c r="T1" s="73" t="s">
        <v>1345</v>
      </c>
      <c r="U1" s="73" t="s">
        <v>1346</v>
      </c>
      <c r="V1" s="73" t="s">
        <v>55</v>
      </c>
      <c r="W1" s="73" t="s">
        <v>1347</v>
      </c>
      <c r="X1" s="73" t="s">
        <v>1348</v>
      </c>
      <c r="Y1" s="73" t="s">
        <v>1349</v>
      </c>
      <c r="Z1" s="73"/>
      <c r="AA1" s="73" t="s">
        <v>155</v>
      </c>
      <c r="AB1" s="73" t="s">
        <v>1350</v>
      </c>
      <c r="AC1" s="73" t="s">
        <v>1351</v>
      </c>
      <c r="AD1" s="73"/>
      <c r="AE1" s="73" t="s">
        <v>1352</v>
      </c>
    </row>
    <row r="2" spans="1:31" ht="14.5">
      <c r="A2" s="7" t="s">
        <v>210</v>
      </c>
      <c r="B2" s="78">
        <v>0</v>
      </c>
      <c r="C2" s="78">
        <v>0</v>
      </c>
      <c r="D2" s="42" t="str">
        <f t="shared" ref="D2:D217" si="0">+IF(B2+C2=0,"",B2+C2)</f>
        <v/>
      </c>
      <c r="E2" s="78">
        <v>0</v>
      </c>
      <c r="F2" s="78">
        <v>0</v>
      </c>
      <c r="G2" s="42" t="str">
        <f t="shared" ref="G2:G217" si="1">+IF(E2+F2=0,"",E2+F2)</f>
        <v/>
      </c>
      <c r="H2" s="41">
        <v>0</v>
      </c>
      <c r="I2" s="41">
        <v>0</v>
      </c>
      <c r="J2" s="41">
        <f t="shared" ref="J2:J217" si="2">H2+I2</f>
        <v>0</v>
      </c>
      <c r="K2" s="41">
        <v>0</v>
      </c>
      <c r="L2" s="79" t="str">
        <f t="shared" ref="L2:L217" si="3">IF(K2&gt;0,+J2/K2,"")</f>
        <v/>
      </c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81"/>
      <c r="AA2" s="6">
        <f t="shared" ref="AA2:AA217" si="4">+IF(AND(D2&lt;&gt;"",G2&lt;&gt;""),IF(J2&gt;0,2,1),0)</f>
        <v>0</v>
      </c>
      <c r="AB2" s="80" t="str">
        <f>+IF(AND(D2&gt;'Indices y Outliers'!$I$146,D2&lt;&gt;""),1,"")</f>
        <v/>
      </c>
      <c r="AC2" s="80" t="str">
        <f>+IF(AND(G2&gt;'Indices y Outliers'!$I$154,G2&lt;&gt;""),1,"")</f>
        <v/>
      </c>
      <c r="AD2" s="7"/>
      <c r="AE2" s="7">
        <f t="shared" ref="AE2:AE217" si="5">SUM(AB2:AD2)</f>
        <v>0</v>
      </c>
    </row>
    <row r="3" spans="1:31" ht="14.5">
      <c r="A3" s="7" t="s">
        <v>213</v>
      </c>
      <c r="B3" s="78">
        <v>0</v>
      </c>
      <c r="C3" s="78">
        <v>0</v>
      </c>
      <c r="D3" s="42" t="str">
        <f t="shared" si="0"/>
        <v/>
      </c>
      <c r="E3" s="78">
        <v>0</v>
      </c>
      <c r="F3" s="78">
        <v>0</v>
      </c>
      <c r="G3" s="42" t="str">
        <f t="shared" si="1"/>
        <v/>
      </c>
      <c r="H3" s="41">
        <v>0</v>
      </c>
      <c r="I3" s="41">
        <v>0</v>
      </c>
      <c r="J3" s="41">
        <f t="shared" si="2"/>
        <v>0</v>
      </c>
      <c r="K3" s="41">
        <v>0</v>
      </c>
      <c r="L3" s="79" t="str">
        <f t="shared" si="3"/>
        <v/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1"/>
      <c r="AA3" s="6">
        <f t="shared" si="4"/>
        <v>0</v>
      </c>
      <c r="AB3" s="80" t="str">
        <f>+IF(AND(D3&gt;'Indices y Outliers'!$I$146,D3&lt;&gt;""),1,"")</f>
        <v/>
      </c>
      <c r="AC3" s="80" t="str">
        <f>+IF(AND(G3&gt;'Indices y Outliers'!$I$154,G3&lt;&gt;""),1,"")</f>
        <v/>
      </c>
      <c r="AD3" s="7"/>
      <c r="AE3" s="7">
        <f t="shared" si="5"/>
        <v>0</v>
      </c>
    </row>
    <row r="4" spans="1:31" ht="14.5">
      <c r="A4" s="7" t="s">
        <v>216</v>
      </c>
      <c r="B4" s="78">
        <v>0</v>
      </c>
      <c r="C4" s="78">
        <v>0</v>
      </c>
      <c r="D4" s="42" t="str">
        <f t="shared" si="0"/>
        <v/>
      </c>
      <c r="E4" s="78">
        <v>0</v>
      </c>
      <c r="F4" s="78">
        <v>0</v>
      </c>
      <c r="G4" s="42" t="str">
        <f t="shared" si="1"/>
        <v/>
      </c>
      <c r="H4" s="41">
        <v>0</v>
      </c>
      <c r="I4" s="41">
        <v>0</v>
      </c>
      <c r="J4" s="41">
        <f t="shared" si="2"/>
        <v>0</v>
      </c>
      <c r="K4" s="41">
        <v>0</v>
      </c>
      <c r="L4" s="79" t="str">
        <f t="shared" si="3"/>
        <v/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6">
        <f t="shared" si="4"/>
        <v>0</v>
      </c>
      <c r="AB4" s="80" t="str">
        <f>+IF(AND(D4&gt;'Indices y Outliers'!$I$146,D4&lt;&gt;""),1,"")</f>
        <v/>
      </c>
      <c r="AC4" s="80" t="str">
        <f>+IF(AND(G4&gt;'Indices y Outliers'!$I$154,G4&lt;&gt;""),1,"")</f>
        <v/>
      </c>
      <c r="AD4" s="7"/>
      <c r="AE4" s="7">
        <f t="shared" si="5"/>
        <v>0</v>
      </c>
    </row>
    <row r="5" spans="1:31" ht="14.5">
      <c r="A5" s="7" t="s">
        <v>219</v>
      </c>
      <c r="B5" s="78">
        <v>95.855999999999995</v>
      </c>
      <c r="C5" s="78">
        <v>0</v>
      </c>
      <c r="D5" s="42">
        <f t="shared" si="0"/>
        <v>95.855999999999995</v>
      </c>
      <c r="E5" s="78">
        <v>1.036</v>
      </c>
      <c r="F5" s="78">
        <v>0</v>
      </c>
      <c r="G5" s="42">
        <f t="shared" si="1"/>
        <v>1.036</v>
      </c>
      <c r="H5" s="41">
        <v>25357</v>
      </c>
      <c r="I5" s="41">
        <v>5670178</v>
      </c>
      <c r="J5" s="41">
        <f t="shared" si="2"/>
        <v>5695535</v>
      </c>
      <c r="K5" s="41">
        <v>5713855</v>
      </c>
      <c r="L5" s="79">
        <f t="shared" si="3"/>
        <v>0.9967937583295341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 t="s">
        <v>1353</v>
      </c>
      <c r="T5" s="89" t="s">
        <v>1353</v>
      </c>
      <c r="U5" s="89" t="s">
        <v>1353</v>
      </c>
      <c r="V5" s="89" t="s">
        <v>1353</v>
      </c>
      <c r="W5" s="89" t="s">
        <v>1353</v>
      </c>
      <c r="X5" s="89" t="s">
        <v>1353</v>
      </c>
      <c r="Y5" s="89" t="s">
        <v>1353</v>
      </c>
      <c r="Z5" s="81"/>
      <c r="AA5" s="6">
        <f t="shared" si="4"/>
        <v>2</v>
      </c>
      <c r="AB5" s="80" t="str">
        <f>+IF(AND(D5&gt;'Indices y Outliers'!$I$146,D5&lt;&gt;""),1,"")</f>
        <v/>
      </c>
      <c r="AC5" s="80" t="str">
        <f>+IF(AND(G5&gt;'Indices y Outliers'!$I$154,G5&lt;&gt;""),1,"")</f>
        <v/>
      </c>
      <c r="AD5" s="7"/>
      <c r="AE5" s="7">
        <f t="shared" si="5"/>
        <v>0</v>
      </c>
    </row>
    <row r="6" spans="1:31" ht="14.5">
      <c r="A6" s="7" t="s">
        <v>222</v>
      </c>
      <c r="B6" s="78">
        <v>0</v>
      </c>
      <c r="C6" s="78">
        <v>0</v>
      </c>
      <c r="D6" s="42" t="str">
        <f t="shared" si="0"/>
        <v/>
      </c>
      <c r="E6" s="78">
        <v>0</v>
      </c>
      <c r="F6" s="78">
        <v>0</v>
      </c>
      <c r="G6" s="42" t="str">
        <f t="shared" si="1"/>
        <v/>
      </c>
      <c r="H6" s="41">
        <v>0</v>
      </c>
      <c r="I6" s="41">
        <v>0</v>
      </c>
      <c r="J6" s="41">
        <f t="shared" si="2"/>
        <v>0</v>
      </c>
      <c r="K6" s="41">
        <v>0</v>
      </c>
      <c r="L6" s="79" t="str">
        <f t="shared" si="3"/>
        <v/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81"/>
      <c r="AA6" s="6">
        <f t="shared" si="4"/>
        <v>0</v>
      </c>
      <c r="AB6" s="80" t="str">
        <f>+IF(AND(D6&gt;'Indices y Outliers'!$I$146,D6&lt;&gt;""),1,"")</f>
        <v/>
      </c>
      <c r="AC6" s="80" t="str">
        <f>+IF(AND(G6&gt;'Indices y Outliers'!$I$154,G6&lt;&gt;""),1,"")</f>
        <v/>
      </c>
      <c r="AD6" s="7"/>
      <c r="AE6" s="7">
        <f t="shared" si="5"/>
        <v>0</v>
      </c>
    </row>
    <row r="7" spans="1:31" ht="14.5">
      <c r="A7" s="7" t="s">
        <v>225</v>
      </c>
      <c r="B7" s="78">
        <v>60.67</v>
      </c>
      <c r="C7" s="78">
        <v>0</v>
      </c>
      <c r="D7" s="42">
        <f t="shared" si="0"/>
        <v>60.67</v>
      </c>
      <c r="E7" s="78">
        <v>1.42</v>
      </c>
      <c r="F7" s="78">
        <v>0</v>
      </c>
      <c r="G7" s="42">
        <f t="shared" si="1"/>
        <v>1.42</v>
      </c>
      <c r="H7" s="41">
        <v>0</v>
      </c>
      <c r="I7" s="41">
        <v>832016</v>
      </c>
      <c r="J7" s="41">
        <f t="shared" si="2"/>
        <v>832016</v>
      </c>
      <c r="K7" s="41">
        <v>834144</v>
      </c>
      <c r="L7" s="79">
        <f t="shared" si="3"/>
        <v>0.99744888172785517</v>
      </c>
      <c r="M7" s="89">
        <v>1</v>
      </c>
      <c r="N7" s="89">
        <v>1</v>
      </c>
      <c r="O7" s="89">
        <v>1</v>
      </c>
      <c r="P7" s="89">
        <v>1</v>
      </c>
      <c r="Q7" s="89">
        <v>1</v>
      </c>
      <c r="R7" s="89">
        <v>1</v>
      </c>
      <c r="S7" s="89" t="s">
        <v>1353</v>
      </c>
      <c r="T7" s="89" t="s">
        <v>1353</v>
      </c>
      <c r="U7" s="89" t="s">
        <v>1353</v>
      </c>
      <c r="V7" s="89" t="s">
        <v>1353</v>
      </c>
      <c r="W7" s="7"/>
      <c r="X7" s="89" t="s">
        <v>1353</v>
      </c>
      <c r="Y7" s="7"/>
      <c r="Z7" s="81"/>
      <c r="AA7" s="6">
        <f t="shared" si="4"/>
        <v>2</v>
      </c>
      <c r="AB7" s="80" t="str">
        <f>+IF(AND(D7&gt;'Indices y Outliers'!$I$146,D7&lt;&gt;""),1,"")</f>
        <v/>
      </c>
      <c r="AC7" s="80" t="str">
        <f>+IF(AND(G7&gt;'Indices y Outliers'!$I$154,G7&lt;&gt;""),1,"")</f>
        <v/>
      </c>
      <c r="AD7" s="7"/>
      <c r="AE7" s="7">
        <f t="shared" si="5"/>
        <v>0</v>
      </c>
    </row>
    <row r="8" spans="1:31" ht="14.5">
      <c r="A8" s="7" t="s">
        <v>228</v>
      </c>
      <c r="B8" s="78">
        <v>303</v>
      </c>
      <c r="C8" s="78">
        <v>0</v>
      </c>
      <c r="D8" s="42">
        <f t="shared" si="0"/>
        <v>303</v>
      </c>
      <c r="E8" s="78">
        <v>3.9129999999999998</v>
      </c>
      <c r="F8" s="78">
        <v>0</v>
      </c>
      <c r="G8" s="42">
        <f t="shared" si="1"/>
        <v>3.9129999999999998</v>
      </c>
      <c r="H8" s="41">
        <v>0</v>
      </c>
      <c r="I8" s="41">
        <v>128280</v>
      </c>
      <c r="J8" s="41">
        <f t="shared" si="2"/>
        <v>128280</v>
      </c>
      <c r="K8" s="41">
        <v>128567</v>
      </c>
      <c r="L8" s="79">
        <f t="shared" si="3"/>
        <v>0.99776770088747502</v>
      </c>
      <c r="M8" s="89">
        <v>1</v>
      </c>
      <c r="N8" s="7"/>
      <c r="O8" s="89">
        <v>1</v>
      </c>
      <c r="P8" s="7"/>
      <c r="Q8" s="7"/>
      <c r="R8" s="89">
        <v>1</v>
      </c>
      <c r="S8" s="89" t="s">
        <v>1354</v>
      </c>
      <c r="T8" s="89" t="s">
        <v>1353</v>
      </c>
      <c r="U8" s="7"/>
      <c r="V8" s="89" t="s">
        <v>1353</v>
      </c>
      <c r="W8" s="7"/>
      <c r="X8" s="7"/>
      <c r="Y8" s="7"/>
      <c r="Z8" s="81"/>
      <c r="AA8" s="6">
        <f t="shared" si="4"/>
        <v>2</v>
      </c>
      <c r="AB8" s="80" t="str">
        <f>+IF(AND(D8&gt;'Indices y Outliers'!$I$146,D8&lt;&gt;""),1,"")</f>
        <v/>
      </c>
      <c r="AC8" s="80" t="str">
        <f>+IF(AND(G8&gt;'Indices y Outliers'!$I$154,G8&lt;&gt;""),1,"")</f>
        <v/>
      </c>
      <c r="AD8" s="7"/>
      <c r="AE8" s="7">
        <f t="shared" si="5"/>
        <v>0</v>
      </c>
    </row>
    <row r="9" spans="1:31" ht="14.5">
      <c r="A9" s="7" t="s">
        <v>231</v>
      </c>
      <c r="B9" s="78">
        <v>0</v>
      </c>
      <c r="C9" s="78">
        <v>14.768000000000001</v>
      </c>
      <c r="D9" s="42">
        <f t="shared" si="0"/>
        <v>14.768000000000001</v>
      </c>
      <c r="E9" s="78">
        <v>0</v>
      </c>
      <c r="F9" s="78">
        <v>0.11899999999999999</v>
      </c>
      <c r="G9" s="42">
        <f t="shared" si="1"/>
        <v>0.11899999999999999</v>
      </c>
      <c r="H9" s="41">
        <v>0</v>
      </c>
      <c r="I9" s="41">
        <v>0</v>
      </c>
      <c r="J9" s="41">
        <f t="shared" si="2"/>
        <v>0</v>
      </c>
      <c r="K9" s="41">
        <v>3644013</v>
      </c>
      <c r="L9" s="79">
        <f t="shared" si="3"/>
        <v>0</v>
      </c>
      <c r="M9" s="89">
        <v>1</v>
      </c>
      <c r="N9" s="89">
        <v>1</v>
      </c>
      <c r="O9" s="89">
        <v>1</v>
      </c>
      <c r="P9" s="89">
        <v>1</v>
      </c>
      <c r="Q9" s="89">
        <v>1</v>
      </c>
      <c r="R9" s="89">
        <v>1</v>
      </c>
      <c r="S9" s="89" t="s">
        <v>1353</v>
      </c>
      <c r="T9" s="89" t="s">
        <v>1353</v>
      </c>
      <c r="U9" s="89" t="s">
        <v>1353</v>
      </c>
      <c r="V9" s="89" t="s">
        <v>1353</v>
      </c>
      <c r="W9" s="7"/>
      <c r="X9" s="89" t="s">
        <v>1353</v>
      </c>
      <c r="Y9" s="7"/>
      <c r="Z9" s="81"/>
      <c r="AA9" s="6">
        <f t="shared" si="4"/>
        <v>1</v>
      </c>
      <c r="AB9" s="80" t="str">
        <f>+IF(AND(D9&gt;'Indices y Outliers'!$I$146,D9&lt;&gt;""),1,"")</f>
        <v/>
      </c>
      <c r="AC9" s="80" t="str">
        <f>+IF(AND(G9&gt;'Indices y Outliers'!$I$154,G9&lt;&gt;""),1,"")</f>
        <v/>
      </c>
      <c r="AD9" s="7"/>
      <c r="AE9" s="7">
        <f t="shared" si="5"/>
        <v>0</v>
      </c>
    </row>
    <row r="10" spans="1:31" ht="14.5">
      <c r="A10" s="7" t="s">
        <v>234</v>
      </c>
      <c r="B10" s="78">
        <v>145.59</v>
      </c>
      <c r="C10" s="78">
        <v>0</v>
      </c>
      <c r="D10" s="42">
        <f t="shared" si="0"/>
        <v>145.59</v>
      </c>
      <c r="E10" s="78">
        <v>1.54</v>
      </c>
      <c r="F10" s="78">
        <v>0</v>
      </c>
      <c r="G10" s="42">
        <f t="shared" si="1"/>
        <v>1.54</v>
      </c>
      <c r="H10" s="41">
        <v>3409</v>
      </c>
      <c r="I10" s="41">
        <v>1560465</v>
      </c>
      <c r="J10" s="41">
        <f t="shared" si="2"/>
        <v>1563874</v>
      </c>
      <c r="K10" s="41">
        <v>1567442</v>
      </c>
      <c r="L10" s="79">
        <f t="shared" si="3"/>
        <v>0.99772367972786236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 t="s">
        <v>1353</v>
      </c>
      <c r="T10" s="89" t="s">
        <v>1353</v>
      </c>
      <c r="U10" s="89" t="s">
        <v>1353</v>
      </c>
      <c r="V10" s="89" t="s">
        <v>1353</v>
      </c>
      <c r="W10" s="7"/>
      <c r="X10" s="89" t="s">
        <v>1353</v>
      </c>
      <c r="Y10" s="7"/>
      <c r="Z10" s="81"/>
      <c r="AA10" s="6">
        <f t="shared" si="4"/>
        <v>2</v>
      </c>
      <c r="AB10" s="80" t="str">
        <f>+IF(AND(D10&gt;'Indices y Outliers'!$I$146,D10&lt;&gt;""),1,"")</f>
        <v/>
      </c>
      <c r="AC10" s="80" t="str">
        <f>+IF(AND(G10&gt;'Indices y Outliers'!$I$154,G10&lt;&gt;""),1,"")</f>
        <v/>
      </c>
      <c r="AD10" s="7"/>
      <c r="AE10" s="7">
        <f t="shared" si="5"/>
        <v>0</v>
      </c>
    </row>
    <row r="11" spans="1:31" ht="14.5">
      <c r="A11" s="7" t="s">
        <v>237</v>
      </c>
      <c r="B11" s="78">
        <v>83.62</v>
      </c>
      <c r="C11" s="78">
        <v>0</v>
      </c>
      <c r="D11" s="42">
        <f t="shared" si="0"/>
        <v>83.62</v>
      </c>
      <c r="E11" s="78">
        <v>1.08</v>
      </c>
      <c r="F11" s="78">
        <v>0</v>
      </c>
      <c r="G11" s="42">
        <f t="shared" si="1"/>
        <v>1.08</v>
      </c>
      <c r="H11" s="41">
        <v>168</v>
      </c>
      <c r="I11" s="41">
        <v>2001086</v>
      </c>
      <c r="J11" s="41">
        <f t="shared" si="2"/>
        <v>2001254</v>
      </c>
      <c r="K11" s="41">
        <v>2003159</v>
      </c>
      <c r="L11" s="79">
        <f t="shared" si="3"/>
        <v>0.99904900210118119</v>
      </c>
      <c r="M11" s="89">
        <v>1</v>
      </c>
      <c r="N11" s="89">
        <v>1</v>
      </c>
      <c r="O11" s="89">
        <v>1</v>
      </c>
      <c r="P11" s="89">
        <v>1</v>
      </c>
      <c r="Q11" s="89">
        <v>1</v>
      </c>
      <c r="R11" s="89">
        <v>1</v>
      </c>
      <c r="S11" s="89" t="s">
        <v>1353</v>
      </c>
      <c r="T11" s="89" t="s">
        <v>1353</v>
      </c>
      <c r="U11" s="89" t="s">
        <v>1353</v>
      </c>
      <c r="V11" s="89" t="s">
        <v>1353</v>
      </c>
      <c r="W11" s="7"/>
      <c r="X11" s="89" t="s">
        <v>1353</v>
      </c>
      <c r="Y11" s="7"/>
      <c r="Z11" s="81"/>
      <c r="AA11" s="6">
        <f t="shared" si="4"/>
        <v>2</v>
      </c>
      <c r="AB11" s="80" t="str">
        <f>+IF(AND(D11&gt;'Indices y Outliers'!$I$146,D11&lt;&gt;""),1,"")</f>
        <v/>
      </c>
      <c r="AC11" s="80" t="str">
        <f>+IF(AND(G11&gt;'Indices y Outliers'!$I$154,G11&lt;&gt;""),1,"")</f>
        <v/>
      </c>
      <c r="AD11" s="7"/>
      <c r="AE11" s="7">
        <f t="shared" si="5"/>
        <v>0</v>
      </c>
    </row>
    <row r="12" spans="1:31" ht="14.5">
      <c r="A12" s="7" t="s">
        <v>240</v>
      </c>
      <c r="B12" s="78">
        <v>167</v>
      </c>
      <c r="C12" s="78">
        <v>0</v>
      </c>
      <c r="D12" s="42">
        <f t="shared" si="0"/>
        <v>167</v>
      </c>
      <c r="E12" s="78">
        <v>1.3</v>
      </c>
      <c r="F12" s="78">
        <v>0</v>
      </c>
      <c r="G12" s="42">
        <f t="shared" si="1"/>
        <v>1.3</v>
      </c>
      <c r="H12" s="41">
        <v>22103</v>
      </c>
      <c r="I12" s="41">
        <v>1239423</v>
      </c>
      <c r="J12" s="41">
        <f t="shared" si="2"/>
        <v>1261526</v>
      </c>
      <c r="K12" s="41">
        <v>1263354</v>
      </c>
      <c r="L12" s="79">
        <f t="shared" si="3"/>
        <v>0.99855305797108329</v>
      </c>
      <c r="M12" s="89">
        <v>1</v>
      </c>
      <c r="N12" s="89">
        <v>1</v>
      </c>
      <c r="O12" s="89">
        <v>1</v>
      </c>
      <c r="P12" s="7"/>
      <c r="Q12" s="89">
        <v>1</v>
      </c>
      <c r="R12" s="89">
        <v>1</v>
      </c>
      <c r="S12" s="89" t="s">
        <v>1353</v>
      </c>
      <c r="T12" s="89" t="s">
        <v>1353</v>
      </c>
      <c r="U12" s="89" t="s">
        <v>1353</v>
      </c>
      <c r="V12" s="89" t="s">
        <v>1353</v>
      </c>
      <c r="W12" s="7"/>
      <c r="X12" s="89" t="s">
        <v>1353</v>
      </c>
      <c r="Y12" s="89" t="s">
        <v>1354</v>
      </c>
      <c r="Z12" s="81"/>
      <c r="AA12" s="6">
        <f t="shared" si="4"/>
        <v>2</v>
      </c>
      <c r="AB12" s="80" t="str">
        <f>+IF(AND(D12&gt;'Indices y Outliers'!$I$146,D12&lt;&gt;""),1,"")</f>
        <v/>
      </c>
      <c r="AC12" s="80" t="str">
        <f>+IF(AND(G12&gt;'Indices y Outliers'!$I$154,G12&lt;&gt;""),1,"")</f>
        <v/>
      </c>
      <c r="AD12" s="7"/>
      <c r="AE12" s="7">
        <f t="shared" si="5"/>
        <v>0</v>
      </c>
    </row>
    <row r="13" spans="1:31" ht="14.5">
      <c r="A13" s="7" t="s">
        <v>243</v>
      </c>
      <c r="B13" s="78">
        <v>176.38</v>
      </c>
      <c r="C13" s="78">
        <v>0</v>
      </c>
      <c r="D13" s="42">
        <f t="shared" si="0"/>
        <v>176.38</v>
      </c>
      <c r="E13" s="78">
        <v>1.371</v>
      </c>
      <c r="F13" s="78">
        <v>0</v>
      </c>
      <c r="G13" s="42">
        <f t="shared" si="1"/>
        <v>1.371</v>
      </c>
      <c r="H13" s="41">
        <v>0</v>
      </c>
      <c r="I13" s="41">
        <v>1853584</v>
      </c>
      <c r="J13" s="41">
        <f t="shared" si="2"/>
        <v>1853584</v>
      </c>
      <c r="K13" s="41">
        <v>1867292</v>
      </c>
      <c r="L13" s="79">
        <f t="shared" si="3"/>
        <v>0.9926588878440008</v>
      </c>
      <c r="M13" s="89">
        <v>1</v>
      </c>
      <c r="N13" s="89">
        <v>1</v>
      </c>
      <c r="O13" s="89">
        <v>1</v>
      </c>
      <c r="P13" s="89">
        <v>1</v>
      </c>
      <c r="Q13" s="89">
        <v>1</v>
      </c>
      <c r="R13" s="89">
        <v>1</v>
      </c>
      <c r="S13" s="89" t="s">
        <v>1353</v>
      </c>
      <c r="T13" s="89" t="s">
        <v>1354</v>
      </c>
      <c r="U13" s="89" t="s">
        <v>1353</v>
      </c>
      <c r="V13" s="89" t="s">
        <v>1353</v>
      </c>
      <c r="W13" s="7"/>
      <c r="X13" s="7"/>
      <c r="Y13" s="7"/>
      <c r="Z13" s="81"/>
      <c r="AA13" s="6">
        <f t="shared" si="4"/>
        <v>2</v>
      </c>
      <c r="AB13" s="80" t="str">
        <f>+IF(AND(D13&gt;'Indices y Outliers'!$I$146,D13&lt;&gt;""),1,"")</f>
        <v/>
      </c>
      <c r="AC13" s="80" t="str">
        <f>+IF(AND(G13&gt;'Indices y Outliers'!$I$154,G13&lt;&gt;""),1,"")</f>
        <v/>
      </c>
      <c r="AD13" s="7"/>
      <c r="AE13" s="7">
        <f t="shared" si="5"/>
        <v>0</v>
      </c>
    </row>
    <row r="14" spans="1:31" ht="14.5">
      <c r="A14" s="7" t="s">
        <v>246</v>
      </c>
      <c r="B14" s="78">
        <v>0</v>
      </c>
      <c r="C14" s="78">
        <v>130.149</v>
      </c>
      <c r="D14" s="42">
        <f t="shared" si="0"/>
        <v>130.149</v>
      </c>
      <c r="E14" s="78">
        <v>0</v>
      </c>
      <c r="F14" s="78">
        <v>1.177</v>
      </c>
      <c r="G14" s="42">
        <f t="shared" si="1"/>
        <v>1.177</v>
      </c>
      <c r="H14" s="41">
        <v>58126</v>
      </c>
      <c r="I14" s="41">
        <v>76796</v>
      </c>
      <c r="J14" s="41">
        <f t="shared" si="2"/>
        <v>134922</v>
      </c>
      <c r="K14" s="41">
        <v>136881</v>
      </c>
      <c r="L14" s="79">
        <f t="shared" si="3"/>
        <v>0.98568829859513007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 t="s">
        <v>1353</v>
      </c>
      <c r="T14" s="89" t="s">
        <v>1353</v>
      </c>
      <c r="U14" s="7"/>
      <c r="V14" s="89" t="s">
        <v>1353</v>
      </c>
      <c r="W14" s="7"/>
      <c r="X14" s="7"/>
      <c r="Y14" s="7"/>
      <c r="Z14" s="81"/>
      <c r="AA14" s="6">
        <f t="shared" si="4"/>
        <v>2</v>
      </c>
      <c r="AB14" s="80" t="str">
        <f>+IF(AND(D14&gt;'Indices y Outliers'!$I$146,D14&lt;&gt;""),1,"")</f>
        <v/>
      </c>
      <c r="AC14" s="80" t="str">
        <f>+IF(AND(G14&gt;'Indices y Outliers'!$I$154,G14&lt;&gt;""),1,"")</f>
        <v/>
      </c>
      <c r="AD14" s="7"/>
      <c r="AE14" s="7">
        <f t="shared" si="5"/>
        <v>0</v>
      </c>
    </row>
    <row r="15" spans="1:31" ht="14.5">
      <c r="A15" s="7" t="s">
        <v>249</v>
      </c>
      <c r="B15" s="78">
        <v>35.04</v>
      </c>
      <c r="C15" s="78">
        <v>0</v>
      </c>
      <c r="D15" s="42">
        <f t="shared" si="0"/>
        <v>35.04</v>
      </c>
      <c r="E15" s="78">
        <v>0.61</v>
      </c>
      <c r="F15" s="78">
        <v>0</v>
      </c>
      <c r="G15" s="42">
        <f t="shared" si="1"/>
        <v>0.61</v>
      </c>
      <c r="H15" s="41">
        <v>10</v>
      </c>
      <c r="I15" s="41">
        <v>4277592</v>
      </c>
      <c r="J15" s="41">
        <f t="shared" si="2"/>
        <v>4277602</v>
      </c>
      <c r="K15" s="41">
        <v>4283300</v>
      </c>
      <c r="L15" s="79">
        <f t="shared" si="3"/>
        <v>0.99866971727406439</v>
      </c>
      <c r="M15" s="89">
        <v>1</v>
      </c>
      <c r="N15" s="89">
        <v>1</v>
      </c>
      <c r="O15" s="89">
        <v>1</v>
      </c>
      <c r="P15" s="89">
        <v>1</v>
      </c>
      <c r="Q15" s="89">
        <v>1</v>
      </c>
      <c r="R15" s="89">
        <v>1</v>
      </c>
      <c r="S15" s="7"/>
      <c r="T15" s="89" t="s">
        <v>1353</v>
      </c>
      <c r="U15" s="89" t="s">
        <v>1353</v>
      </c>
      <c r="V15" s="89" t="s">
        <v>1353</v>
      </c>
      <c r="W15" s="7"/>
      <c r="X15" s="7"/>
      <c r="Y15" s="7"/>
      <c r="Z15" s="81"/>
      <c r="AA15" s="6">
        <f t="shared" si="4"/>
        <v>2</v>
      </c>
      <c r="AB15" s="80" t="str">
        <f>+IF(AND(D15&gt;'Indices y Outliers'!$I$146,D15&lt;&gt;""),1,"")</f>
        <v/>
      </c>
      <c r="AC15" s="80" t="str">
        <f>+IF(AND(G15&gt;'Indices y Outliers'!$I$154,G15&lt;&gt;""),1,"")</f>
        <v/>
      </c>
      <c r="AD15" s="7"/>
      <c r="AE15" s="7">
        <f t="shared" si="5"/>
        <v>0</v>
      </c>
    </row>
    <row r="16" spans="1:31" ht="14.5">
      <c r="A16" s="7" t="s">
        <v>252</v>
      </c>
      <c r="B16" s="78">
        <v>0</v>
      </c>
      <c r="C16" s="78">
        <v>0</v>
      </c>
      <c r="D16" s="42" t="str">
        <f t="shared" si="0"/>
        <v/>
      </c>
      <c r="E16" s="78">
        <v>0</v>
      </c>
      <c r="F16" s="78">
        <v>0</v>
      </c>
      <c r="G16" s="42" t="str">
        <f t="shared" si="1"/>
        <v/>
      </c>
      <c r="H16" s="41">
        <v>0</v>
      </c>
      <c r="I16" s="41">
        <v>0</v>
      </c>
      <c r="J16" s="41">
        <f t="shared" si="2"/>
        <v>0</v>
      </c>
      <c r="K16" s="41">
        <v>0</v>
      </c>
      <c r="L16" s="79" t="str">
        <f t="shared" si="3"/>
        <v/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81"/>
      <c r="AA16" s="6">
        <f t="shared" si="4"/>
        <v>0</v>
      </c>
      <c r="AB16" s="80" t="str">
        <f>+IF(AND(D16&gt;'Indices y Outliers'!$I$146,D16&lt;&gt;""),1,"")</f>
        <v/>
      </c>
      <c r="AC16" s="80" t="str">
        <f>+IF(AND(G16&gt;'Indices y Outliers'!$I$154,G16&lt;&gt;""),1,"")</f>
        <v/>
      </c>
      <c r="AD16" s="7"/>
      <c r="AE16" s="7">
        <f t="shared" si="5"/>
        <v>0</v>
      </c>
    </row>
    <row r="17" spans="1:31" ht="14.5">
      <c r="A17" s="7" t="s">
        <v>255</v>
      </c>
      <c r="B17" s="78">
        <v>79</v>
      </c>
      <c r="C17" s="78">
        <v>0</v>
      </c>
      <c r="D17" s="42">
        <f t="shared" si="0"/>
        <v>79</v>
      </c>
      <c r="E17" s="78">
        <v>0.88</v>
      </c>
      <c r="F17" s="78">
        <v>0</v>
      </c>
      <c r="G17" s="42">
        <f t="shared" si="1"/>
        <v>0.88</v>
      </c>
      <c r="H17" s="41">
        <v>367</v>
      </c>
      <c r="I17" s="41">
        <v>1755905</v>
      </c>
      <c r="J17" s="41">
        <f t="shared" si="2"/>
        <v>1756272</v>
      </c>
      <c r="K17" s="41">
        <v>1756272</v>
      </c>
      <c r="L17" s="79">
        <f t="shared" si="3"/>
        <v>1</v>
      </c>
      <c r="M17" s="89">
        <v>1</v>
      </c>
      <c r="N17" s="7"/>
      <c r="O17" s="89">
        <v>1</v>
      </c>
      <c r="P17" s="89">
        <v>1</v>
      </c>
      <c r="Q17" s="89">
        <v>1</v>
      </c>
      <c r="R17" s="89">
        <v>1</v>
      </c>
      <c r="S17" s="7"/>
      <c r="T17" s="89" t="s">
        <v>1353</v>
      </c>
      <c r="U17" s="7"/>
      <c r="V17" s="89" t="s">
        <v>1353</v>
      </c>
      <c r="W17" s="7"/>
      <c r="X17" s="7"/>
      <c r="Y17" s="7"/>
      <c r="Z17" s="81"/>
      <c r="AA17" s="6">
        <f t="shared" si="4"/>
        <v>2</v>
      </c>
      <c r="AB17" s="80" t="str">
        <f>+IF(AND(D17&gt;'Indices y Outliers'!$I$146,D17&lt;&gt;""),1,"")</f>
        <v/>
      </c>
      <c r="AC17" s="80" t="str">
        <f>+IF(AND(G17&gt;'Indices y Outliers'!$I$154,G17&lt;&gt;""),1,"")</f>
        <v/>
      </c>
      <c r="AD17" s="7"/>
      <c r="AE17" s="7">
        <f t="shared" si="5"/>
        <v>0</v>
      </c>
    </row>
    <row r="18" spans="1:31" ht="14.5">
      <c r="A18" s="7" t="s">
        <v>258</v>
      </c>
      <c r="B18" s="78">
        <v>89.9</v>
      </c>
      <c r="C18" s="78">
        <v>0</v>
      </c>
      <c r="D18" s="42">
        <f t="shared" si="0"/>
        <v>89.9</v>
      </c>
      <c r="E18" s="78">
        <v>1.48</v>
      </c>
      <c r="F18" s="78">
        <v>0</v>
      </c>
      <c r="G18" s="42">
        <f t="shared" si="1"/>
        <v>1.48</v>
      </c>
      <c r="H18" s="41">
        <v>117972</v>
      </c>
      <c r="I18" s="41">
        <v>670722</v>
      </c>
      <c r="J18" s="41">
        <f t="shared" si="2"/>
        <v>788694</v>
      </c>
      <c r="K18" s="41">
        <v>788721</v>
      </c>
      <c r="L18" s="79">
        <f t="shared" si="3"/>
        <v>0.99996576736260345</v>
      </c>
      <c r="M18" s="89">
        <v>1</v>
      </c>
      <c r="N18" s="89">
        <v>1</v>
      </c>
      <c r="O18" s="89">
        <v>1</v>
      </c>
      <c r="P18" s="89">
        <v>1</v>
      </c>
      <c r="Q18" s="89">
        <v>1</v>
      </c>
      <c r="R18" s="89">
        <v>1</v>
      </c>
      <c r="S18" s="89" t="s">
        <v>1353</v>
      </c>
      <c r="T18" s="89" t="s">
        <v>1353</v>
      </c>
      <c r="U18" s="89" t="s">
        <v>1353</v>
      </c>
      <c r="V18" s="89" t="s">
        <v>1353</v>
      </c>
      <c r="W18" s="7"/>
      <c r="X18" s="89" t="s">
        <v>1353</v>
      </c>
      <c r="Y18" s="7"/>
      <c r="Z18" s="81"/>
      <c r="AA18" s="6">
        <f t="shared" si="4"/>
        <v>2</v>
      </c>
      <c r="AB18" s="80" t="str">
        <f>+IF(AND(D18&gt;'Indices y Outliers'!$I$146,D18&lt;&gt;""),1,"")</f>
        <v/>
      </c>
      <c r="AC18" s="80" t="str">
        <f>+IF(AND(G18&gt;'Indices y Outliers'!$I$154,G18&lt;&gt;""),1,"")</f>
        <v/>
      </c>
      <c r="AD18" s="7"/>
      <c r="AE18" s="7">
        <f t="shared" si="5"/>
        <v>0</v>
      </c>
    </row>
    <row r="19" spans="1:31" ht="14.5">
      <c r="A19" s="7" t="s">
        <v>261</v>
      </c>
      <c r="B19" s="78">
        <v>97.99</v>
      </c>
      <c r="C19" s="78">
        <v>0</v>
      </c>
      <c r="D19" s="42">
        <f t="shared" si="0"/>
        <v>97.99</v>
      </c>
      <c r="E19" s="78">
        <v>1.484</v>
      </c>
      <c r="F19" s="78">
        <v>0</v>
      </c>
      <c r="G19" s="42">
        <f t="shared" si="1"/>
        <v>1.484</v>
      </c>
      <c r="H19" s="41">
        <v>613</v>
      </c>
      <c r="I19" s="41">
        <v>913354</v>
      </c>
      <c r="J19" s="41">
        <f t="shared" si="2"/>
        <v>913967</v>
      </c>
      <c r="K19" s="41">
        <v>918957</v>
      </c>
      <c r="L19" s="79">
        <f t="shared" si="3"/>
        <v>0.99456993091080437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 t="s">
        <v>1353</v>
      </c>
      <c r="T19" s="89" t="s">
        <v>1353</v>
      </c>
      <c r="U19" s="89" t="s">
        <v>1353</v>
      </c>
      <c r="V19" s="89" t="s">
        <v>1353</v>
      </c>
      <c r="W19" s="7"/>
      <c r="X19" s="89" t="s">
        <v>1353</v>
      </c>
      <c r="Y19" s="89" t="s">
        <v>1354</v>
      </c>
      <c r="Z19" s="81"/>
      <c r="AA19" s="6">
        <f t="shared" si="4"/>
        <v>2</v>
      </c>
      <c r="AB19" s="80" t="str">
        <f>+IF(AND(D19&gt;'Indices y Outliers'!$I$146,D19&lt;&gt;""),1,"")</f>
        <v/>
      </c>
      <c r="AC19" s="80" t="str">
        <f>+IF(AND(G19&gt;'Indices y Outliers'!$I$154,G19&lt;&gt;""),1,"")</f>
        <v/>
      </c>
      <c r="AD19" s="7"/>
      <c r="AE19" s="7">
        <f t="shared" si="5"/>
        <v>0</v>
      </c>
    </row>
    <row r="20" spans="1:31" ht="14.5">
      <c r="A20" s="7" t="s">
        <v>264</v>
      </c>
      <c r="B20" s="78">
        <v>197.1</v>
      </c>
      <c r="C20" s="78">
        <v>0</v>
      </c>
      <c r="D20" s="42">
        <f t="shared" si="0"/>
        <v>197.1</v>
      </c>
      <c r="E20" s="78">
        <v>1.6120000000000001</v>
      </c>
      <c r="F20" s="78">
        <v>0</v>
      </c>
      <c r="G20" s="42">
        <f t="shared" si="1"/>
        <v>1.6120000000000001</v>
      </c>
      <c r="H20" s="41">
        <v>10146</v>
      </c>
      <c r="I20" s="41">
        <v>2208983</v>
      </c>
      <c r="J20" s="41">
        <f t="shared" si="2"/>
        <v>2219129</v>
      </c>
      <c r="K20" s="41">
        <v>2219441</v>
      </c>
      <c r="L20" s="79">
        <f t="shared" si="3"/>
        <v>0.99985942406218498</v>
      </c>
      <c r="M20" s="89">
        <v>1</v>
      </c>
      <c r="N20" s="89">
        <v>1</v>
      </c>
      <c r="O20" s="89">
        <v>1</v>
      </c>
      <c r="P20" s="89">
        <v>1</v>
      </c>
      <c r="Q20" s="89">
        <v>1</v>
      </c>
      <c r="R20" s="89">
        <v>1</v>
      </c>
      <c r="S20" s="89" t="s">
        <v>1353</v>
      </c>
      <c r="T20" s="89" t="s">
        <v>1353</v>
      </c>
      <c r="U20" s="89" t="s">
        <v>1353</v>
      </c>
      <c r="V20" s="89" t="s">
        <v>1353</v>
      </c>
      <c r="W20" s="7"/>
      <c r="X20" s="89" t="s">
        <v>1353</v>
      </c>
      <c r="Y20" s="7"/>
      <c r="Z20" s="81"/>
      <c r="AA20" s="6">
        <f t="shared" si="4"/>
        <v>2</v>
      </c>
      <c r="AB20" s="80" t="str">
        <f>+IF(AND(D20&gt;'Indices y Outliers'!$I$146,D20&lt;&gt;""),1,"")</f>
        <v/>
      </c>
      <c r="AC20" s="80" t="str">
        <f>+IF(AND(G20&gt;'Indices y Outliers'!$I$154,G20&lt;&gt;""),1,"")</f>
        <v/>
      </c>
      <c r="AD20" s="7"/>
      <c r="AE20" s="7">
        <f t="shared" si="5"/>
        <v>0</v>
      </c>
    </row>
    <row r="21" spans="1:31" ht="15.75" customHeight="1">
      <c r="A21" s="7" t="s">
        <v>267</v>
      </c>
      <c r="B21" s="78">
        <v>72.099999999999994</v>
      </c>
      <c r="C21" s="78">
        <v>0</v>
      </c>
      <c r="D21" s="42">
        <f t="shared" si="0"/>
        <v>72.099999999999994</v>
      </c>
      <c r="E21" s="78">
        <v>0.73599999999999999</v>
      </c>
      <c r="F21" s="78">
        <v>0</v>
      </c>
      <c r="G21" s="42">
        <f t="shared" si="1"/>
        <v>0.73599999999999999</v>
      </c>
      <c r="H21" s="41">
        <v>80</v>
      </c>
      <c r="I21" s="41">
        <v>155423</v>
      </c>
      <c r="J21" s="41">
        <f t="shared" si="2"/>
        <v>155503</v>
      </c>
      <c r="K21" s="41">
        <v>156422</v>
      </c>
      <c r="L21" s="79">
        <f t="shared" si="3"/>
        <v>0.99412486734602545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 t="s">
        <v>1353</v>
      </c>
      <c r="T21" s="89" t="s">
        <v>1353</v>
      </c>
      <c r="U21" s="89" t="s">
        <v>1353</v>
      </c>
      <c r="V21" s="89" t="s">
        <v>1353</v>
      </c>
      <c r="W21" s="7"/>
      <c r="X21" s="89" t="s">
        <v>1353</v>
      </c>
      <c r="Y21" s="7"/>
      <c r="Z21" s="81"/>
      <c r="AA21" s="6">
        <f t="shared" si="4"/>
        <v>2</v>
      </c>
      <c r="AB21" s="80" t="str">
        <f>+IF(AND(D21&gt;'Indices y Outliers'!$I$146,D21&lt;&gt;""),1,"")</f>
        <v/>
      </c>
      <c r="AC21" s="80" t="str">
        <f>+IF(AND(G21&gt;'Indices y Outliers'!$I$154,G21&lt;&gt;""),1,"")</f>
        <v/>
      </c>
      <c r="AD21" s="7"/>
      <c r="AE21" s="7">
        <f t="shared" si="5"/>
        <v>0</v>
      </c>
    </row>
    <row r="22" spans="1:31" ht="15.75" customHeight="1">
      <c r="A22" s="7" t="s">
        <v>270</v>
      </c>
      <c r="B22" s="78">
        <v>103.58</v>
      </c>
      <c r="C22" s="78">
        <v>0</v>
      </c>
      <c r="D22" s="42">
        <f t="shared" si="0"/>
        <v>103.58</v>
      </c>
      <c r="E22" s="78">
        <v>0.99</v>
      </c>
      <c r="F22" s="78">
        <v>0</v>
      </c>
      <c r="G22" s="42">
        <f t="shared" si="1"/>
        <v>0.99</v>
      </c>
      <c r="H22" s="41">
        <v>57</v>
      </c>
      <c r="I22" s="41">
        <v>765117</v>
      </c>
      <c r="J22" s="41">
        <f t="shared" si="2"/>
        <v>765174</v>
      </c>
      <c r="K22" s="41">
        <v>772760</v>
      </c>
      <c r="L22" s="79">
        <f t="shared" si="3"/>
        <v>0.99018323929810037</v>
      </c>
      <c r="M22" s="89">
        <v>1</v>
      </c>
      <c r="N22" s="7"/>
      <c r="O22" s="89">
        <v>1</v>
      </c>
      <c r="P22" s="89">
        <v>1</v>
      </c>
      <c r="Q22" s="7"/>
      <c r="R22" s="89">
        <v>1</v>
      </c>
      <c r="S22" s="89" t="s">
        <v>1354</v>
      </c>
      <c r="T22" s="89" t="s">
        <v>1353</v>
      </c>
      <c r="U22" s="89" t="s">
        <v>1353</v>
      </c>
      <c r="V22" s="89" t="s">
        <v>1353</v>
      </c>
      <c r="W22" s="7"/>
      <c r="X22" s="89" t="s">
        <v>1353</v>
      </c>
      <c r="Y22" s="7"/>
      <c r="Z22" s="81"/>
      <c r="AA22" s="6">
        <f t="shared" si="4"/>
        <v>2</v>
      </c>
      <c r="AB22" s="80" t="str">
        <f>+IF(AND(D22&gt;'Indices y Outliers'!$I$146,D22&lt;&gt;""),1,"")</f>
        <v/>
      </c>
      <c r="AC22" s="80" t="str">
        <f>+IF(AND(G22&gt;'Indices y Outliers'!$I$154,G22&lt;&gt;""),1,"")</f>
        <v/>
      </c>
      <c r="AD22" s="7"/>
      <c r="AE22" s="7">
        <f t="shared" si="5"/>
        <v>0</v>
      </c>
    </row>
    <row r="23" spans="1:31" ht="15.75" customHeight="1">
      <c r="A23" s="7" t="s">
        <v>273</v>
      </c>
      <c r="B23" s="78">
        <v>220.27</v>
      </c>
      <c r="C23" s="78">
        <v>0</v>
      </c>
      <c r="D23" s="42">
        <f t="shared" si="0"/>
        <v>220.27</v>
      </c>
      <c r="E23" s="78">
        <v>1.67</v>
      </c>
      <c r="F23" s="78">
        <v>0</v>
      </c>
      <c r="G23" s="42">
        <f t="shared" si="1"/>
        <v>1.67</v>
      </c>
      <c r="H23" s="41">
        <v>9003</v>
      </c>
      <c r="I23" s="41">
        <v>357346</v>
      </c>
      <c r="J23" s="41">
        <f t="shared" si="2"/>
        <v>366349</v>
      </c>
      <c r="K23" s="41">
        <v>1174729</v>
      </c>
      <c r="L23" s="79">
        <f t="shared" si="3"/>
        <v>0.31185830944839193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 t="s">
        <v>1354</v>
      </c>
      <c r="T23" s="89" t="s">
        <v>1353</v>
      </c>
      <c r="U23" s="89" t="s">
        <v>1354</v>
      </c>
      <c r="V23" s="89" t="s">
        <v>1353</v>
      </c>
      <c r="W23" s="7"/>
      <c r="X23" s="89" t="s">
        <v>1353</v>
      </c>
      <c r="Y23" s="89" t="s">
        <v>1353</v>
      </c>
      <c r="Z23" s="81"/>
      <c r="AA23" s="6">
        <f t="shared" si="4"/>
        <v>2</v>
      </c>
      <c r="AB23" s="80" t="str">
        <f>+IF(AND(D23&gt;'Indices y Outliers'!$I$146,D23&lt;&gt;""),1,"")</f>
        <v/>
      </c>
      <c r="AC23" s="80" t="str">
        <f>+IF(AND(G23&gt;'Indices y Outliers'!$I$154,G23&lt;&gt;""),1,"")</f>
        <v/>
      </c>
      <c r="AD23" s="7"/>
      <c r="AE23" s="7">
        <f t="shared" si="5"/>
        <v>0</v>
      </c>
    </row>
    <row r="24" spans="1:31" ht="15.75" customHeight="1">
      <c r="A24" s="7" t="s">
        <v>276</v>
      </c>
      <c r="B24" s="78">
        <v>107.23</v>
      </c>
      <c r="C24" s="78">
        <v>0</v>
      </c>
      <c r="D24" s="42">
        <f t="shared" si="0"/>
        <v>107.23</v>
      </c>
      <c r="E24" s="78">
        <v>1.4830000000000001</v>
      </c>
      <c r="F24" s="78">
        <v>0</v>
      </c>
      <c r="G24" s="42">
        <f t="shared" si="1"/>
        <v>1.4830000000000001</v>
      </c>
      <c r="H24" s="41">
        <v>77537</v>
      </c>
      <c r="I24" s="41">
        <v>280301</v>
      </c>
      <c r="J24" s="41">
        <f t="shared" si="2"/>
        <v>357838</v>
      </c>
      <c r="K24" s="41">
        <v>1089775</v>
      </c>
      <c r="L24" s="79">
        <f t="shared" si="3"/>
        <v>0.32835952375490352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 t="s">
        <v>1354</v>
      </c>
      <c r="T24" s="89" t="s">
        <v>1354</v>
      </c>
      <c r="U24" s="7"/>
      <c r="V24" s="89" t="s">
        <v>1353</v>
      </c>
      <c r="W24" s="7"/>
      <c r="X24" s="89" t="s">
        <v>1353</v>
      </c>
      <c r="Y24" s="89" t="s">
        <v>1354</v>
      </c>
      <c r="Z24" s="81"/>
      <c r="AA24" s="6">
        <f t="shared" si="4"/>
        <v>2</v>
      </c>
      <c r="AB24" s="80" t="str">
        <f>+IF(AND(D24&gt;'Indices y Outliers'!$I$146,D24&lt;&gt;""),1,"")</f>
        <v/>
      </c>
      <c r="AC24" s="80" t="str">
        <f>+IF(AND(G24&gt;'Indices y Outliers'!$I$154,G24&lt;&gt;""),1,"")</f>
        <v/>
      </c>
      <c r="AD24" s="7"/>
      <c r="AE24" s="7">
        <f t="shared" si="5"/>
        <v>0</v>
      </c>
    </row>
    <row r="25" spans="1:31" ht="15.75" customHeight="1">
      <c r="A25" s="7" t="s">
        <v>279</v>
      </c>
      <c r="B25" s="78">
        <v>117.688</v>
      </c>
      <c r="C25" s="78">
        <v>0</v>
      </c>
      <c r="D25" s="42">
        <f t="shared" si="0"/>
        <v>117.688</v>
      </c>
      <c r="E25" s="78">
        <v>1.242</v>
      </c>
      <c r="F25" s="78">
        <v>0</v>
      </c>
      <c r="G25" s="42">
        <f t="shared" si="1"/>
        <v>1.242</v>
      </c>
      <c r="H25" s="41">
        <v>26233</v>
      </c>
      <c r="I25" s="41">
        <v>305562</v>
      </c>
      <c r="J25" s="41">
        <f t="shared" si="2"/>
        <v>331795</v>
      </c>
      <c r="K25" s="41">
        <v>774595</v>
      </c>
      <c r="L25" s="79">
        <f t="shared" si="3"/>
        <v>0.42834642619691582</v>
      </c>
      <c r="M25" s="89">
        <v>1</v>
      </c>
      <c r="N25" s="89">
        <v>1</v>
      </c>
      <c r="O25" s="89">
        <v>1</v>
      </c>
      <c r="P25" s="89">
        <v>1</v>
      </c>
      <c r="Q25" s="89">
        <v>1</v>
      </c>
      <c r="R25" s="89">
        <v>1</v>
      </c>
      <c r="S25" s="89" t="s">
        <v>1354</v>
      </c>
      <c r="T25" s="89" t="s">
        <v>1354</v>
      </c>
      <c r="U25" s="89" t="s">
        <v>1354</v>
      </c>
      <c r="V25" s="89" t="s">
        <v>1353</v>
      </c>
      <c r="W25" s="7"/>
      <c r="X25" s="89" t="s">
        <v>1353</v>
      </c>
      <c r="Y25" s="89" t="s">
        <v>1354</v>
      </c>
      <c r="Z25" s="81"/>
      <c r="AA25" s="6">
        <f t="shared" si="4"/>
        <v>2</v>
      </c>
      <c r="AB25" s="80" t="str">
        <f>+IF(AND(D25&gt;'Indices y Outliers'!$I$146,D25&lt;&gt;""),1,"")</f>
        <v/>
      </c>
      <c r="AC25" s="80" t="str">
        <f>+IF(AND(G25&gt;'Indices y Outliers'!$I$154,G25&lt;&gt;""),1,"")</f>
        <v/>
      </c>
      <c r="AD25" s="7"/>
      <c r="AE25" s="7">
        <f t="shared" si="5"/>
        <v>0</v>
      </c>
    </row>
    <row r="26" spans="1:31" ht="15.75" customHeight="1">
      <c r="A26" s="7" t="s">
        <v>282</v>
      </c>
      <c r="B26" s="78">
        <v>79.900000000000006</v>
      </c>
      <c r="C26" s="78">
        <v>0</v>
      </c>
      <c r="D26" s="42">
        <f t="shared" si="0"/>
        <v>79.900000000000006</v>
      </c>
      <c r="E26" s="78">
        <v>1.014</v>
      </c>
      <c r="F26" s="78">
        <v>0</v>
      </c>
      <c r="G26" s="42">
        <f t="shared" si="1"/>
        <v>1.014</v>
      </c>
      <c r="H26" s="41">
        <v>1375</v>
      </c>
      <c r="I26" s="41">
        <v>128319</v>
      </c>
      <c r="J26" s="41">
        <f t="shared" si="2"/>
        <v>129694</v>
      </c>
      <c r="K26" s="41">
        <v>320981</v>
      </c>
      <c r="L26" s="79">
        <f t="shared" si="3"/>
        <v>0.40405506868007762</v>
      </c>
      <c r="M26" s="89">
        <v>1</v>
      </c>
      <c r="N26" s="89">
        <v>1</v>
      </c>
      <c r="O26" s="89">
        <v>1</v>
      </c>
      <c r="P26" s="89">
        <v>1</v>
      </c>
      <c r="Q26" s="89">
        <v>1</v>
      </c>
      <c r="R26" s="89">
        <v>1</v>
      </c>
      <c r="S26" s="89" t="s">
        <v>1354</v>
      </c>
      <c r="T26" s="89" t="s">
        <v>1354</v>
      </c>
      <c r="U26" s="89" t="s">
        <v>1354</v>
      </c>
      <c r="V26" s="89" t="s">
        <v>1353</v>
      </c>
      <c r="W26" s="7"/>
      <c r="X26" s="89" t="s">
        <v>1353</v>
      </c>
      <c r="Y26" s="89" t="s">
        <v>1354</v>
      </c>
      <c r="Z26" s="81"/>
      <c r="AA26" s="6">
        <f t="shared" si="4"/>
        <v>2</v>
      </c>
      <c r="AB26" s="80" t="str">
        <f>+IF(AND(D26&gt;'Indices y Outliers'!$I$146,D26&lt;&gt;""),1,"")</f>
        <v/>
      </c>
      <c r="AC26" s="80" t="str">
        <f>+IF(AND(G26&gt;'Indices y Outliers'!$I$154,G26&lt;&gt;""),1,"")</f>
        <v/>
      </c>
      <c r="AD26" s="7"/>
      <c r="AE26" s="7">
        <f t="shared" si="5"/>
        <v>0</v>
      </c>
    </row>
    <row r="27" spans="1:31" ht="15.75" customHeight="1">
      <c r="A27" s="7" t="s">
        <v>285</v>
      </c>
      <c r="B27" s="78">
        <v>118.54</v>
      </c>
      <c r="C27" s="78">
        <v>0</v>
      </c>
      <c r="D27" s="42">
        <f t="shared" si="0"/>
        <v>118.54</v>
      </c>
      <c r="E27" s="78">
        <v>1.5089999999999999</v>
      </c>
      <c r="F27" s="78">
        <v>0</v>
      </c>
      <c r="G27" s="42">
        <f t="shared" si="1"/>
        <v>1.5089999999999999</v>
      </c>
      <c r="H27" s="41">
        <v>17</v>
      </c>
      <c r="I27" s="41">
        <v>174204</v>
      </c>
      <c r="J27" s="41">
        <f t="shared" si="2"/>
        <v>174221</v>
      </c>
      <c r="K27" s="41">
        <v>174222</v>
      </c>
      <c r="L27" s="79">
        <f t="shared" si="3"/>
        <v>0.99999426019676041</v>
      </c>
      <c r="M27" s="89">
        <v>1</v>
      </c>
      <c r="N27" s="7"/>
      <c r="O27" s="89">
        <v>1</v>
      </c>
      <c r="P27" s="89">
        <v>1</v>
      </c>
      <c r="Q27" s="89">
        <v>1</v>
      </c>
      <c r="R27" s="89">
        <v>1</v>
      </c>
      <c r="S27" s="7"/>
      <c r="T27" s="89" t="s">
        <v>1354</v>
      </c>
      <c r="U27" s="7"/>
      <c r="V27" s="89" t="s">
        <v>1353</v>
      </c>
      <c r="W27" s="7"/>
      <c r="X27" s="89" t="s">
        <v>1353</v>
      </c>
      <c r="Y27" s="89" t="s">
        <v>1354</v>
      </c>
      <c r="Z27" s="81"/>
      <c r="AA27" s="6">
        <f t="shared" si="4"/>
        <v>2</v>
      </c>
      <c r="AB27" s="80" t="str">
        <f>+IF(AND(D27&gt;'Indices y Outliers'!$I$146,D27&lt;&gt;""),1,"")</f>
        <v/>
      </c>
      <c r="AC27" s="80" t="str">
        <f>+IF(AND(G27&gt;'Indices y Outliers'!$I$154,G27&lt;&gt;""),1,"")</f>
        <v/>
      </c>
      <c r="AD27" s="7"/>
      <c r="AE27" s="7">
        <f t="shared" si="5"/>
        <v>0</v>
      </c>
    </row>
    <row r="28" spans="1:31" ht="15.75" customHeight="1">
      <c r="A28" s="7" t="s">
        <v>288</v>
      </c>
      <c r="B28" s="78">
        <v>230.13</v>
      </c>
      <c r="C28" s="78">
        <v>0</v>
      </c>
      <c r="D28" s="42">
        <f t="shared" si="0"/>
        <v>230.13</v>
      </c>
      <c r="E28" s="78">
        <v>2.048</v>
      </c>
      <c r="F28" s="78">
        <v>0</v>
      </c>
      <c r="G28" s="42">
        <f t="shared" si="1"/>
        <v>2.048</v>
      </c>
      <c r="H28" s="41">
        <v>16</v>
      </c>
      <c r="I28" s="41">
        <v>5</v>
      </c>
      <c r="J28" s="41">
        <f t="shared" si="2"/>
        <v>21</v>
      </c>
      <c r="K28" s="41">
        <v>4008</v>
      </c>
      <c r="L28" s="79">
        <f t="shared" si="3"/>
        <v>5.239520958083832E-3</v>
      </c>
      <c r="M28" s="89">
        <v>1</v>
      </c>
      <c r="N28" s="7"/>
      <c r="O28" s="89">
        <v>1</v>
      </c>
      <c r="P28" s="89">
        <v>1</v>
      </c>
      <c r="Q28" s="89">
        <v>1</v>
      </c>
      <c r="R28" s="89">
        <v>1</v>
      </c>
      <c r="S28" s="89" t="s">
        <v>1354</v>
      </c>
      <c r="T28" s="89" t="s">
        <v>1354</v>
      </c>
      <c r="U28" s="89" t="s">
        <v>1354</v>
      </c>
      <c r="V28" s="89" t="s">
        <v>1353</v>
      </c>
      <c r="W28" s="7"/>
      <c r="X28" s="89" t="s">
        <v>1353</v>
      </c>
      <c r="Y28" s="89" t="s">
        <v>1354</v>
      </c>
      <c r="Z28" s="81"/>
      <c r="AA28" s="6">
        <f t="shared" si="4"/>
        <v>2</v>
      </c>
      <c r="AB28" s="80" t="str">
        <f>+IF(AND(D28&gt;'Indices y Outliers'!$I$146,D28&lt;&gt;""),1,"")</f>
        <v/>
      </c>
      <c r="AC28" s="80" t="str">
        <f>+IF(AND(G28&gt;'Indices y Outliers'!$I$154,G28&lt;&gt;""),1,"")</f>
        <v/>
      </c>
      <c r="AD28" s="7"/>
      <c r="AE28" s="7">
        <f t="shared" si="5"/>
        <v>0</v>
      </c>
    </row>
    <row r="29" spans="1:31" ht="15.75" customHeight="1">
      <c r="A29" s="7" t="s">
        <v>291</v>
      </c>
      <c r="B29" s="78">
        <v>208.91</v>
      </c>
      <c r="C29" s="78">
        <v>0</v>
      </c>
      <c r="D29" s="42">
        <f t="shared" si="0"/>
        <v>208.91</v>
      </c>
      <c r="E29" s="78">
        <v>1.458</v>
      </c>
      <c r="F29" s="78">
        <v>0</v>
      </c>
      <c r="G29" s="42">
        <f t="shared" si="1"/>
        <v>1.458</v>
      </c>
      <c r="H29" s="41">
        <v>169</v>
      </c>
      <c r="I29" s="41">
        <v>597035</v>
      </c>
      <c r="J29" s="41">
        <f t="shared" si="2"/>
        <v>597204</v>
      </c>
      <c r="K29" s="41">
        <v>597494</v>
      </c>
      <c r="L29" s="79">
        <f t="shared" si="3"/>
        <v>0.99951463947755126</v>
      </c>
      <c r="M29" s="89">
        <v>1</v>
      </c>
      <c r="N29" s="7"/>
      <c r="O29" s="89">
        <v>1</v>
      </c>
      <c r="P29" s="89">
        <v>1</v>
      </c>
      <c r="Q29" s="89">
        <v>1</v>
      </c>
      <c r="R29" s="89">
        <v>1</v>
      </c>
      <c r="S29" s="89" t="s">
        <v>1354</v>
      </c>
      <c r="T29" s="89" t="s">
        <v>1354</v>
      </c>
      <c r="U29" s="89" t="s">
        <v>1354</v>
      </c>
      <c r="V29" s="89" t="s">
        <v>1353</v>
      </c>
      <c r="W29" s="7"/>
      <c r="X29" s="89" t="s">
        <v>1353</v>
      </c>
      <c r="Y29" s="89" t="s">
        <v>1354</v>
      </c>
      <c r="Z29" s="81"/>
      <c r="AA29" s="6">
        <f t="shared" si="4"/>
        <v>2</v>
      </c>
      <c r="AB29" s="80" t="str">
        <f>+IF(AND(D29&gt;'Indices y Outliers'!$I$146,D29&lt;&gt;""),1,"")</f>
        <v/>
      </c>
      <c r="AC29" s="80" t="str">
        <f>+IF(AND(G29&gt;'Indices y Outliers'!$I$154,G29&lt;&gt;""),1,"")</f>
        <v/>
      </c>
      <c r="AD29" s="7"/>
      <c r="AE29" s="7">
        <f t="shared" si="5"/>
        <v>0</v>
      </c>
    </row>
    <row r="30" spans="1:31" ht="15.75" customHeight="1">
      <c r="A30" s="7" t="s">
        <v>294</v>
      </c>
      <c r="B30" s="78">
        <v>0</v>
      </c>
      <c r="C30" s="78">
        <v>0</v>
      </c>
      <c r="D30" s="42" t="str">
        <f t="shared" si="0"/>
        <v/>
      </c>
      <c r="E30" s="78">
        <v>0</v>
      </c>
      <c r="F30" s="78">
        <v>0</v>
      </c>
      <c r="G30" s="42" t="str">
        <f t="shared" si="1"/>
        <v/>
      </c>
      <c r="H30" s="41">
        <v>0</v>
      </c>
      <c r="I30" s="41">
        <v>0</v>
      </c>
      <c r="J30" s="41">
        <f t="shared" si="2"/>
        <v>0</v>
      </c>
      <c r="K30" s="41">
        <v>0</v>
      </c>
      <c r="L30" s="79" t="str">
        <f t="shared" si="3"/>
        <v/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81"/>
      <c r="AA30" s="6">
        <f t="shared" si="4"/>
        <v>0</v>
      </c>
      <c r="AB30" s="80" t="str">
        <f>+IF(AND(D30&gt;'Indices y Outliers'!$I$146,D30&lt;&gt;""),1,"")</f>
        <v/>
      </c>
      <c r="AC30" s="80" t="str">
        <f>+IF(AND(G30&gt;'Indices y Outliers'!$I$154,G30&lt;&gt;""),1,"")</f>
        <v/>
      </c>
      <c r="AD30" s="7"/>
      <c r="AE30" s="7">
        <f t="shared" si="5"/>
        <v>0</v>
      </c>
    </row>
    <row r="31" spans="1:31" ht="15.75" customHeight="1">
      <c r="A31" s="7" t="s">
        <v>300</v>
      </c>
      <c r="B31" s="78">
        <v>163</v>
      </c>
      <c r="C31" s="78">
        <v>0</v>
      </c>
      <c r="D31" s="42">
        <f t="shared" si="0"/>
        <v>163</v>
      </c>
      <c r="E31" s="78">
        <v>1.02</v>
      </c>
      <c r="F31" s="78">
        <v>0</v>
      </c>
      <c r="G31" s="42">
        <f t="shared" si="1"/>
        <v>1.02</v>
      </c>
      <c r="H31" s="41">
        <v>145955</v>
      </c>
      <c r="I31" s="41">
        <v>1</v>
      </c>
      <c r="J31" s="41">
        <f t="shared" si="2"/>
        <v>145956</v>
      </c>
      <c r="K31" s="41">
        <v>146014</v>
      </c>
      <c r="L31" s="79">
        <f t="shared" si="3"/>
        <v>0.99960277781582585</v>
      </c>
      <c r="M31" s="89">
        <v>1</v>
      </c>
      <c r="N31" s="7"/>
      <c r="O31" s="89">
        <v>1</v>
      </c>
      <c r="P31" s="7"/>
      <c r="Q31" s="89">
        <v>1</v>
      </c>
      <c r="R31" s="89">
        <v>1</v>
      </c>
      <c r="S31" s="89" t="s">
        <v>1353</v>
      </c>
      <c r="T31" s="89" t="s">
        <v>1353</v>
      </c>
      <c r="U31" s="89" t="s">
        <v>1353</v>
      </c>
      <c r="V31" s="89" t="s">
        <v>1353</v>
      </c>
      <c r="W31" s="7"/>
      <c r="X31" s="89" t="s">
        <v>1353</v>
      </c>
      <c r="Y31" s="7"/>
      <c r="Z31" s="81"/>
      <c r="AA31" s="6">
        <f t="shared" si="4"/>
        <v>2</v>
      </c>
      <c r="AB31" s="80" t="str">
        <f>+IF(AND(D31&gt;'Indices y Outliers'!$I$146,D31&lt;&gt;""),1,"")</f>
        <v/>
      </c>
      <c r="AC31" s="80" t="str">
        <f>+IF(AND(G31&gt;'Indices y Outliers'!$I$154,G31&lt;&gt;""),1,"")</f>
        <v/>
      </c>
      <c r="AD31" s="7"/>
      <c r="AE31" s="7">
        <f t="shared" si="5"/>
        <v>0</v>
      </c>
    </row>
    <row r="32" spans="1:31" ht="15.75" customHeight="1">
      <c r="A32" s="7" t="s">
        <v>303</v>
      </c>
      <c r="B32" s="78">
        <v>255.9</v>
      </c>
      <c r="C32" s="78">
        <v>0</v>
      </c>
      <c r="D32" s="42">
        <f t="shared" si="0"/>
        <v>255.9</v>
      </c>
      <c r="E32" s="78">
        <v>2.222</v>
      </c>
      <c r="F32" s="78">
        <v>0</v>
      </c>
      <c r="G32" s="42">
        <f t="shared" si="1"/>
        <v>2.222</v>
      </c>
      <c r="H32" s="41">
        <v>6743</v>
      </c>
      <c r="I32" s="41">
        <v>5664218</v>
      </c>
      <c r="J32" s="41">
        <f t="shared" si="2"/>
        <v>5670961</v>
      </c>
      <c r="K32" s="41">
        <v>5716480</v>
      </c>
      <c r="L32" s="79">
        <f t="shared" si="3"/>
        <v>0.99203723270264221</v>
      </c>
      <c r="M32" s="89">
        <v>1</v>
      </c>
      <c r="N32" s="89">
        <v>1</v>
      </c>
      <c r="O32" s="89">
        <v>1</v>
      </c>
      <c r="P32" s="89">
        <v>1</v>
      </c>
      <c r="Q32" s="89">
        <v>1</v>
      </c>
      <c r="R32" s="89">
        <v>1</v>
      </c>
      <c r="S32" s="89" t="s">
        <v>1353</v>
      </c>
      <c r="T32" s="89" t="s">
        <v>1353</v>
      </c>
      <c r="U32" s="89" t="s">
        <v>1353</v>
      </c>
      <c r="V32" s="89" t="s">
        <v>1353</v>
      </c>
      <c r="W32" s="89" t="s">
        <v>1354</v>
      </c>
      <c r="X32" s="89" t="s">
        <v>1354</v>
      </c>
      <c r="Y32" s="89" t="s">
        <v>1354</v>
      </c>
      <c r="Z32" s="81"/>
      <c r="AA32" s="6">
        <f t="shared" si="4"/>
        <v>2</v>
      </c>
      <c r="AB32" s="80" t="str">
        <f>+IF(AND(D32&gt;'Indices y Outliers'!$I$146,D32&lt;&gt;""),1,"")</f>
        <v/>
      </c>
      <c r="AC32" s="80" t="str">
        <f>+IF(AND(G32&gt;'Indices y Outliers'!$I$154,G32&lt;&gt;""),1,"")</f>
        <v/>
      </c>
      <c r="AD32" s="7"/>
      <c r="AE32" s="7">
        <f t="shared" si="5"/>
        <v>0</v>
      </c>
    </row>
    <row r="33" spans="1:31" ht="15.75" customHeight="1">
      <c r="A33" s="7" t="s">
        <v>306</v>
      </c>
      <c r="B33" s="78">
        <v>156.84299999999999</v>
      </c>
      <c r="C33" s="78">
        <v>0</v>
      </c>
      <c r="D33" s="42">
        <f t="shared" si="0"/>
        <v>156.84299999999999</v>
      </c>
      <c r="E33" s="78">
        <v>1.722</v>
      </c>
      <c r="F33" s="78">
        <v>0</v>
      </c>
      <c r="G33" s="42">
        <f t="shared" si="1"/>
        <v>1.722</v>
      </c>
      <c r="H33" s="41">
        <v>0</v>
      </c>
      <c r="I33" s="41">
        <v>2585342</v>
      </c>
      <c r="J33" s="41">
        <f t="shared" si="2"/>
        <v>2585342</v>
      </c>
      <c r="K33" s="41">
        <v>2585584</v>
      </c>
      <c r="L33" s="79">
        <f t="shared" si="3"/>
        <v>0.99990640412378784</v>
      </c>
      <c r="M33" s="89">
        <v>1</v>
      </c>
      <c r="N33" s="89">
        <v>1</v>
      </c>
      <c r="O33" s="89">
        <v>1</v>
      </c>
      <c r="P33" s="89">
        <v>1</v>
      </c>
      <c r="Q33" s="89">
        <v>1</v>
      </c>
      <c r="R33" s="89">
        <v>1</v>
      </c>
      <c r="S33" s="89" t="s">
        <v>1353</v>
      </c>
      <c r="T33" s="7"/>
      <c r="U33" s="89" t="s">
        <v>1353</v>
      </c>
      <c r="V33" s="89" t="s">
        <v>1353</v>
      </c>
      <c r="W33" s="7"/>
      <c r="X33" s="89" t="s">
        <v>1353</v>
      </c>
      <c r="Y33" s="89" t="s">
        <v>1353</v>
      </c>
      <c r="Z33" s="81"/>
      <c r="AA33" s="6">
        <f t="shared" si="4"/>
        <v>2</v>
      </c>
      <c r="AB33" s="80" t="str">
        <f>+IF(AND(D33&gt;'Indices y Outliers'!$I$146,D33&lt;&gt;""),1,"")</f>
        <v/>
      </c>
      <c r="AC33" s="80" t="str">
        <f>+IF(AND(G33&gt;'Indices y Outliers'!$I$154,G33&lt;&gt;""),1,"")</f>
        <v/>
      </c>
      <c r="AD33" s="7"/>
      <c r="AE33" s="7">
        <f t="shared" si="5"/>
        <v>0</v>
      </c>
    </row>
    <row r="34" spans="1:31" ht="15.75" customHeight="1">
      <c r="A34" s="7" t="s">
        <v>309</v>
      </c>
      <c r="B34" s="78">
        <v>0</v>
      </c>
      <c r="C34" s="78">
        <v>146.4</v>
      </c>
      <c r="D34" s="42">
        <f t="shared" si="0"/>
        <v>146.4</v>
      </c>
      <c r="E34" s="78">
        <v>0</v>
      </c>
      <c r="F34" s="78">
        <v>2.72</v>
      </c>
      <c r="G34" s="42">
        <f t="shared" si="1"/>
        <v>2.72</v>
      </c>
      <c r="H34" s="41">
        <v>0</v>
      </c>
      <c r="I34" s="41">
        <v>294505</v>
      </c>
      <c r="J34" s="41">
        <f t="shared" si="2"/>
        <v>294505</v>
      </c>
      <c r="K34" s="41">
        <v>294566</v>
      </c>
      <c r="L34" s="79">
        <f t="shared" si="3"/>
        <v>0.99979291567933837</v>
      </c>
      <c r="M34" s="89">
        <v>1</v>
      </c>
      <c r="N34" s="7"/>
      <c r="O34" s="89">
        <v>1</v>
      </c>
      <c r="P34" s="7"/>
      <c r="Q34" s="89">
        <v>1</v>
      </c>
      <c r="R34" s="89">
        <v>1</v>
      </c>
      <c r="S34" s="89" t="s">
        <v>1353</v>
      </c>
      <c r="T34" s="89" t="s">
        <v>1353</v>
      </c>
      <c r="U34" s="89" t="s">
        <v>1353</v>
      </c>
      <c r="V34" s="89" t="s">
        <v>1353</v>
      </c>
      <c r="W34" s="7"/>
      <c r="X34" s="89" t="s">
        <v>1353</v>
      </c>
      <c r="Y34" s="89" t="s">
        <v>1353</v>
      </c>
      <c r="Z34" s="81"/>
      <c r="AA34" s="6">
        <f t="shared" si="4"/>
        <v>2</v>
      </c>
      <c r="AB34" s="80" t="str">
        <f>+IF(AND(D34&gt;'Indices y Outliers'!$I$146,D34&lt;&gt;""),1,"")</f>
        <v/>
      </c>
      <c r="AC34" s="80" t="str">
        <f>+IF(AND(G34&gt;'Indices y Outliers'!$I$154,G34&lt;&gt;""),1,"")</f>
        <v/>
      </c>
      <c r="AD34" s="7"/>
      <c r="AE34" s="7">
        <f t="shared" si="5"/>
        <v>0</v>
      </c>
    </row>
    <row r="35" spans="1:31" ht="15.75" customHeight="1">
      <c r="A35" s="7" t="s">
        <v>312</v>
      </c>
      <c r="B35" s="78">
        <v>79.768000000000001</v>
      </c>
      <c r="C35" s="78">
        <v>0</v>
      </c>
      <c r="D35" s="42">
        <f t="shared" si="0"/>
        <v>79.768000000000001</v>
      </c>
      <c r="E35" s="78">
        <v>1.1399999999999999</v>
      </c>
      <c r="F35" s="78">
        <v>0</v>
      </c>
      <c r="G35" s="42">
        <f t="shared" si="1"/>
        <v>1.1399999999999999</v>
      </c>
      <c r="H35" s="41">
        <v>63438</v>
      </c>
      <c r="I35" s="41">
        <v>56643</v>
      </c>
      <c r="J35" s="41">
        <f t="shared" si="2"/>
        <v>120081</v>
      </c>
      <c r="K35" s="41">
        <v>120460</v>
      </c>
      <c r="L35" s="79">
        <f t="shared" si="3"/>
        <v>0.99685372737838285</v>
      </c>
      <c r="M35" s="89">
        <v>1</v>
      </c>
      <c r="N35" s="89">
        <v>1</v>
      </c>
      <c r="O35" s="89">
        <v>1</v>
      </c>
      <c r="P35" s="89">
        <v>1</v>
      </c>
      <c r="Q35" s="89">
        <v>1</v>
      </c>
      <c r="R35" s="89">
        <v>1</v>
      </c>
      <c r="S35" s="89" t="s">
        <v>1353</v>
      </c>
      <c r="T35" s="89" t="s">
        <v>1353</v>
      </c>
      <c r="U35" s="89" t="s">
        <v>1353</v>
      </c>
      <c r="V35" s="89" t="s">
        <v>1353</v>
      </c>
      <c r="W35" s="7"/>
      <c r="X35" s="89" t="s">
        <v>1353</v>
      </c>
      <c r="Y35" s="7"/>
      <c r="Z35" s="81"/>
      <c r="AA35" s="6">
        <f t="shared" si="4"/>
        <v>2</v>
      </c>
      <c r="AB35" s="80" t="str">
        <f>+IF(AND(D35&gt;'Indices y Outliers'!$I$146,D35&lt;&gt;""),1,"")</f>
        <v/>
      </c>
      <c r="AC35" s="80" t="str">
        <f>+IF(AND(G35&gt;'Indices y Outliers'!$I$154,G35&lt;&gt;""),1,"")</f>
        <v/>
      </c>
      <c r="AD35" s="7"/>
      <c r="AE35" s="7">
        <f t="shared" si="5"/>
        <v>0</v>
      </c>
    </row>
    <row r="36" spans="1:31" ht="15.75" customHeight="1">
      <c r="A36" s="7" t="s">
        <v>315</v>
      </c>
      <c r="B36" s="78">
        <v>74</v>
      </c>
      <c r="C36" s="78">
        <v>0</v>
      </c>
      <c r="D36" s="42">
        <f t="shared" si="0"/>
        <v>74</v>
      </c>
      <c r="E36" s="78">
        <v>0.85</v>
      </c>
      <c r="F36" s="78">
        <v>0</v>
      </c>
      <c r="G36" s="42">
        <f t="shared" si="1"/>
        <v>0.85</v>
      </c>
      <c r="H36" s="41">
        <v>4</v>
      </c>
      <c r="I36" s="41">
        <v>470294</v>
      </c>
      <c r="J36" s="41">
        <f t="shared" si="2"/>
        <v>470298</v>
      </c>
      <c r="K36" s="41">
        <v>470371</v>
      </c>
      <c r="L36" s="79">
        <f t="shared" si="3"/>
        <v>0.99984480335734982</v>
      </c>
      <c r="M36" s="89">
        <v>1</v>
      </c>
      <c r="N36" s="7"/>
      <c r="O36" s="89">
        <v>1</v>
      </c>
      <c r="P36" s="89">
        <v>1</v>
      </c>
      <c r="Q36" s="7"/>
      <c r="R36" s="89">
        <v>1</v>
      </c>
      <c r="S36" s="89" t="s">
        <v>1353</v>
      </c>
      <c r="T36" s="7"/>
      <c r="U36" s="89" t="s">
        <v>1353</v>
      </c>
      <c r="V36" s="89" t="s">
        <v>1353</v>
      </c>
      <c r="W36" s="89" t="s">
        <v>1353</v>
      </c>
      <c r="X36" s="89" t="s">
        <v>1353</v>
      </c>
      <c r="Y36" s="89" t="s">
        <v>1354</v>
      </c>
      <c r="Z36" s="81"/>
      <c r="AA36" s="6">
        <f t="shared" si="4"/>
        <v>2</v>
      </c>
      <c r="AB36" s="80" t="str">
        <f>+IF(AND(D36&gt;'Indices y Outliers'!$I$146,D36&lt;&gt;""),1,"")</f>
        <v/>
      </c>
      <c r="AC36" s="80" t="str">
        <f>+IF(AND(G36&gt;'Indices y Outliers'!$I$154,G36&lt;&gt;""),1,"")</f>
        <v/>
      </c>
      <c r="AD36" s="7"/>
      <c r="AE36" s="7">
        <f t="shared" si="5"/>
        <v>0</v>
      </c>
    </row>
    <row r="37" spans="1:31" ht="15.75" customHeight="1">
      <c r="A37" s="7" t="s">
        <v>318</v>
      </c>
      <c r="B37" s="78">
        <v>140.6</v>
      </c>
      <c r="C37" s="78">
        <v>0</v>
      </c>
      <c r="D37" s="42">
        <f t="shared" si="0"/>
        <v>140.6</v>
      </c>
      <c r="E37" s="78">
        <v>1.58</v>
      </c>
      <c r="F37" s="78">
        <v>0</v>
      </c>
      <c r="G37" s="42">
        <f t="shared" si="1"/>
        <v>1.58</v>
      </c>
      <c r="H37" s="41">
        <v>131</v>
      </c>
      <c r="I37" s="41">
        <v>58754</v>
      </c>
      <c r="J37" s="41">
        <f t="shared" si="2"/>
        <v>58885</v>
      </c>
      <c r="K37" s="41">
        <v>59204</v>
      </c>
      <c r="L37" s="79">
        <f t="shared" si="3"/>
        <v>0.9946118505506385</v>
      </c>
      <c r="M37" s="89">
        <v>1</v>
      </c>
      <c r="N37" s="7"/>
      <c r="O37" s="89">
        <v>1</v>
      </c>
      <c r="P37" s="89">
        <v>1</v>
      </c>
      <c r="Q37" s="89">
        <v>1</v>
      </c>
      <c r="R37" s="89">
        <v>1</v>
      </c>
      <c r="S37" s="89" t="s">
        <v>1353</v>
      </c>
      <c r="T37" s="7"/>
      <c r="U37" s="89" t="s">
        <v>1353</v>
      </c>
      <c r="V37" s="89" t="s">
        <v>1353</v>
      </c>
      <c r="W37" s="7"/>
      <c r="X37" s="89" t="s">
        <v>1353</v>
      </c>
      <c r="Y37" s="7"/>
      <c r="Z37" s="81"/>
      <c r="AA37" s="6">
        <f t="shared" si="4"/>
        <v>2</v>
      </c>
      <c r="AB37" s="80" t="str">
        <f>+IF(AND(D37&gt;'Indices y Outliers'!$I$146,D37&lt;&gt;""),1,"")</f>
        <v/>
      </c>
      <c r="AC37" s="80" t="str">
        <f>+IF(AND(G37&gt;'Indices y Outliers'!$I$154,G37&lt;&gt;""),1,"")</f>
        <v/>
      </c>
      <c r="AD37" s="7"/>
      <c r="AE37" s="7">
        <f t="shared" si="5"/>
        <v>0</v>
      </c>
    </row>
    <row r="38" spans="1:31" ht="15.75" customHeight="1">
      <c r="A38" s="7" t="s">
        <v>321</v>
      </c>
      <c r="B38" s="78">
        <v>0</v>
      </c>
      <c r="C38" s="78">
        <v>0</v>
      </c>
      <c r="D38" s="42" t="str">
        <f t="shared" si="0"/>
        <v/>
      </c>
      <c r="E38" s="78">
        <v>0</v>
      </c>
      <c r="F38" s="78">
        <v>0</v>
      </c>
      <c r="G38" s="42" t="str">
        <f t="shared" si="1"/>
        <v/>
      </c>
      <c r="H38" s="41">
        <v>0</v>
      </c>
      <c r="I38" s="41">
        <v>0</v>
      </c>
      <c r="J38" s="41">
        <f t="shared" si="2"/>
        <v>0</v>
      </c>
      <c r="K38" s="41">
        <v>0</v>
      </c>
      <c r="L38" s="79" t="str">
        <f t="shared" si="3"/>
        <v/>
      </c>
      <c r="M38" s="7"/>
      <c r="N38" s="7"/>
      <c r="O38" s="7"/>
      <c r="P38" s="7"/>
      <c r="Q38" s="7"/>
      <c r="R38" s="7"/>
      <c r="S38" s="89" t="s">
        <v>1353</v>
      </c>
      <c r="T38" s="7"/>
      <c r="U38" s="7"/>
      <c r="V38" s="7"/>
      <c r="W38" s="7"/>
      <c r="X38" s="7"/>
      <c r="Y38" s="7"/>
      <c r="Z38" s="81"/>
      <c r="AA38" s="6">
        <f t="shared" si="4"/>
        <v>0</v>
      </c>
      <c r="AB38" s="80" t="str">
        <f>+IF(AND(D38&gt;'Indices y Outliers'!$I$146,D38&lt;&gt;""),1,"")</f>
        <v/>
      </c>
      <c r="AC38" s="80" t="str">
        <f>+IF(AND(G38&gt;'Indices y Outliers'!$I$154,G38&lt;&gt;""),1,"")</f>
        <v/>
      </c>
      <c r="AD38" s="7"/>
      <c r="AE38" s="7">
        <f t="shared" si="5"/>
        <v>0</v>
      </c>
    </row>
    <row r="39" spans="1:31" ht="15.75" customHeight="1">
      <c r="A39" s="7" t="s">
        <v>324</v>
      </c>
      <c r="B39" s="78">
        <v>0</v>
      </c>
      <c r="C39" s="78">
        <v>110.21</v>
      </c>
      <c r="D39" s="42">
        <f t="shared" si="0"/>
        <v>110.21</v>
      </c>
      <c r="E39" s="78">
        <v>0</v>
      </c>
      <c r="F39" s="78">
        <v>1.4910000000000001</v>
      </c>
      <c r="G39" s="42">
        <f t="shared" si="1"/>
        <v>1.4910000000000001</v>
      </c>
      <c r="H39" s="41">
        <v>0</v>
      </c>
      <c r="I39" s="41">
        <v>240626</v>
      </c>
      <c r="J39" s="41">
        <f t="shared" si="2"/>
        <v>240626</v>
      </c>
      <c r="K39" s="41">
        <v>242813</v>
      </c>
      <c r="L39" s="79">
        <f t="shared" si="3"/>
        <v>0.99099306874014159</v>
      </c>
      <c r="M39" s="89">
        <v>1</v>
      </c>
      <c r="N39" s="89">
        <v>1</v>
      </c>
      <c r="O39" s="89">
        <v>1</v>
      </c>
      <c r="P39" s="7"/>
      <c r="Q39" s="89">
        <v>1</v>
      </c>
      <c r="R39" s="89">
        <v>1</v>
      </c>
      <c r="S39" s="7"/>
      <c r="T39" s="89" t="s">
        <v>1354</v>
      </c>
      <c r="U39" s="7"/>
      <c r="V39" s="89" t="s">
        <v>1353</v>
      </c>
      <c r="W39" s="7"/>
      <c r="X39" s="7"/>
      <c r="Y39" s="7"/>
      <c r="Z39" s="81"/>
      <c r="AA39" s="6">
        <f t="shared" si="4"/>
        <v>2</v>
      </c>
      <c r="AB39" s="80" t="str">
        <f>+IF(AND(D39&gt;'Indices y Outliers'!$I$146,D39&lt;&gt;""),1,"")</f>
        <v/>
      </c>
      <c r="AC39" s="80" t="str">
        <f>+IF(AND(G39&gt;'Indices y Outliers'!$I$154,G39&lt;&gt;""),1,"")</f>
        <v/>
      </c>
      <c r="AD39" s="7"/>
      <c r="AE39" s="7">
        <f t="shared" si="5"/>
        <v>0</v>
      </c>
    </row>
    <row r="40" spans="1:31" ht="15.75" customHeight="1">
      <c r="A40" s="7" t="s">
        <v>327</v>
      </c>
      <c r="B40" s="78">
        <v>0</v>
      </c>
      <c r="C40" s="78">
        <v>118.22</v>
      </c>
      <c r="D40" s="42">
        <f t="shared" si="0"/>
        <v>118.22</v>
      </c>
      <c r="E40" s="78">
        <v>0</v>
      </c>
      <c r="F40" s="78">
        <v>0.91500000000000004</v>
      </c>
      <c r="G40" s="42">
        <f t="shared" si="1"/>
        <v>0.91500000000000004</v>
      </c>
      <c r="H40" s="41">
        <v>0</v>
      </c>
      <c r="I40" s="41">
        <v>75074</v>
      </c>
      <c r="J40" s="41">
        <f t="shared" si="2"/>
        <v>75074</v>
      </c>
      <c r="K40" s="41">
        <v>75774</v>
      </c>
      <c r="L40" s="79">
        <f t="shared" si="3"/>
        <v>0.99076200279779347</v>
      </c>
      <c r="M40" s="89">
        <v>1</v>
      </c>
      <c r="N40" s="89">
        <v>1</v>
      </c>
      <c r="O40" s="89">
        <v>1</v>
      </c>
      <c r="P40" s="7"/>
      <c r="Q40" s="89">
        <v>1</v>
      </c>
      <c r="R40" s="89">
        <v>1</v>
      </c>
      <c r="S40" s="7"/>
      <c r="T40" s="89" t="s">
        <v>1353</v>
      </c>
      <c r="U40" s="7"/>
      <c r="V40" s="89" t="s">
        <v>1353</v>
      </c>
      <c r="W40" s="7"/>
      <c r="X40" s="7"/>
      <c r="Y40" s="7"/>
      <c r="Z40" s="81"/>
      <c r="AA40" s="6">
        <f t="shared" si="4"/>
        <v>2</v>
      </c>
      <c r="AB40" s="80" t="str">
        <f>+IF(AND(D40&gt;'Indices y Outliers'!$I$146,D40&lt;&gt;""),1,"")</f>
        <v/>
      </c>
      <c r="AC40" s="80" t="str">
        <f>+IF(AND(G40&gt;'Indices y Outliers'!$I$154,G40&lt;&gt;""),1,"")</f>
        <v/>
      </c>
      <c r="AD40" s="7"/>
      <c r="AE40" s="7">
        <f t="shared" si="5"/>
        <v>0</v>
      </c>
    </row>
    <row r="41" spans="1:31" ht="15.75" customHeight="1">
      <c r="A41" s="7" t="s">
        <v>330</v>
      </c>
      <c r="B41" s="78">
        <v>0</v>
      </c>
      <c r="C41" s="78">
        <v>0</v>
      </c>
      <c r="D41" s="42" t="str">
        <f t="shared" si="0"/>
        <v/>
      </c>
      <c r="E41" s="78">
        <v>0</v>
      </c>
      <c r="F41" s="78">
        <v>0</v>
      </c>
      <c r="G41" s="42" t="str">
        <f t="shared" si="1"/>
        <v/>
      </c>
      <c r="H41" s="41">
        <v>0</v>
      </c>
      <c r="I41" s="41">
        <v>0</v>
      </c>
      <c r="J41" s="41">
        <f t="shared" si="2"/>
        <v>0</v>
      </c>
      <c r="K41" s="41">
        <v>0</v>
      </c>
      <c r="L41" s="79" t="str">
        <f t="shared" si="3"/>
        <v/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81"/>
      <c r="AA41" s="6">
        <f t="shared" si="4"/>
        <v>0</v>
      </c>
      <c r="AB41" s="80" t="str">
        <f>+IF(AND(D41&gt;'Indices y Outliers'!$I$146,D41&lt;&gt;""),1,"")</f>
        <v/>
      </c>
      <c r="AC41" s="80" t="str">
        <f>+IF(AND(G41&gt;'Indices y Outliers'!$I$154,G41&lt;&gt;""),1,"")</f>
        <v/>
      </c>
      <c r="AD41" s="7"/>
      <c r="AE41" s="7">
        <f t="shared" si="5"/>
        <v>0</v>
      </c>
    </row>
    <row r="42" spans="1:31" ht="15.75" customHeight="1">
      <c r="A42" s="7" t="s">
        <v>333</v>
      </c>
      <c r="B42" s="78">
        <v>0</v>
      </c>
      <c r="C42" s="78">
        <v>0</v>
      </c>
      <c r="D42" s="42" t="str">
        <f t="shared" si="0"/>
        <v/>
      </c>
      <c r="E42" s="78">
        <v>0</v>
      </c>
      <c r="F42" s="78">
        <v>0</v>
      </c>
      <c r="G42" s="42" t="str">
        <f t="shared" si="1"/>
        <v/>
      </c>
      <c r="H42" s="41">
        <v>0</v>
      </c>
      <c r="I42" s="41">
        <v>0</v>
      </c>
      <c r="J42" s="41">
        <f t="shared" si="2"/>
        <v>0</v>
      </c>
      <c r="K42" s="41">
        <v>0</v>
      </c>
      <c r="L42" s="79" t="str">
        <f t="shared" si="3"/>
        <v/>
      </c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81"/>
      <c r="AA42" s="6">
        <f t="shared" si="4"/>
        <v>0</v>
      </c>
      <c r="AB42" s="80" t="str">
        <f>+IF(AND(D42&gt;'Indices y Outliers'!$I$146,D42&lt;&gt;""),1,"")</f>
        <v/>
      </c>
      <c r="AC42" s="80" t="str">
        <f>+IF(AND(G42&gt;'Indices y Outliers'!$I$154,G42&lt;&gt;""),1,"")</f>
        <v/>
      </c>
      <c r="AD42" s="7"/>
      <c r="AE42" s="7">
        <f t="shared" si="5"/>
        <v>0</v>
      </c>
    </row>
    <row r="43" spans="1:31" ht="15.75" customHeight="1">
      <c r="A43" s="7" t="s">
        <v>336</v>
      </c>
      <c r="B43" s="78">
        <v>0</v>
      </c>
      <c r="C43" s="78">
        <v>0</v>
      </c>
      <c r="D43" s="42" t="str">
        <f t="shared" si="0"/>
        <v/>
      </c>
      <c r="E43" s="78">
        <v>0</v>
      </c>
      <c r="F43" s="78">
        <v>0</v>
      </c>
      <c r="G43" s="42" t="str">
        <f t="shared" si="1"/>
        <v/>
      </c>
      <c r="H43" s="41">
        <v>0</v>
      </c>
      <c r="I43" s="41">
        <v>0</v>
      </c>
      <c r="J43" s="41">
        <f t="shared" si="2"/>
        <v>0</v>
      </c>
      <c r="K43" s="41">
        <v>0</v>
      </c>
      <c r="L43" s="79" t="str">
        <f t="shared" si="3"/>
        <v/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81"/>
      <c r="AA43" s="6">
        <f t="shared" si="4"/>
        <v>0</v>
      </c>
      <c r="AB43" s="80" t="str">
        <f>+IF(AND(D43&gt;'Indices y Outliers'!$I$146,D43&lt;&gt;""),1,"")</f>
        <v/>
      </c>
      <c r="AC43" s="80" t="str">
        <f>+IF(AND(G43&gt;'Indices y Outliers'!$I$154,G43&lt;&gt;""),1,"")</f>
        <v/>
      </c>
      <c r="AD43" s="7"/>
      <c r="AE43" s="7">
        <f t="shared" si="5"/>
        <v>0</v>
      </c>
    </row>
    <row r="44" spans="1:31" ht="15.75" customHeight="1">
      <c r="A44" s="7" t="s">
        <v>339</v>
      </c>
      <c r="B44" s="78">
        <v>0</v>
      </c>
      <c r="C44" s="78">
        <v>0</v>
      </c>
      <c r="D44" s="42" t="str">
        <f t="shared" si="0"/>
        <v/>
      </c>
      <c r="E44" s="78">
        <v>0</v>
      </c>
      <c r="F44" s="78">
        <v>0</v>
      </c>
      <c r="G44" s="42" t="str">
        <f t="shared" si="1"/>
        <v/>
      </c>
      <c r="H44" s="41">
        <v>0</v>
      </c>
      <c r="I44" s="41">
        <v>0</v>
      </c>
      <c r="J44" s="41">
        <f t="shared" si="2"/>
        <v>0</v>
      </c>
      <c r="K44" s="41">
        <v>0</v>
      </c>
      <c r="L44" s="79" t="str">
        <f t="shared" si="3"/>
        <v/>
      </c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81"/>
      <c r="AA44" s="6">
        <f t="shared" si="4"/>
        <v>0</v>
      </c>
      <c r="AB44" s="80" t="str">
        <f>+IF(AND(D44&gt;'Indices y Outliers'!$I$146,D44&lt;&gt;""),1,"")</f>
        <v/>
      </c>
      <c r="AC44" s="80" t="str">
        <f>+IF(AND(G44&gt;'Indices y Outliers'!$I$154,G44&lt;&gt;""),1,"")</f>
        <v/>
      </c>
      <c r="AD44" s="7"/>
      <c r="AE44" s="7">
        <f t="shared" si="5"/>
        <v>0</v>
      </c>
    </row>
    <row r="45" spans="1:31" ht="15.75" customHeight="1">
      <c r="A45" s="7" t="s">
        <v>342</v>
      </c>
      <c r="B45" s="78">
        <v>0</v>
      </c>
      <c r="C45" s="78">
        <v>0</v>
      </c>
      <c r="D45" s="42" t="str">
        <f t="shared" si="0"/>
        <v/>
      </c>
      <c r="E45" s="78">
        <v>0</v>
      </c>
      <c r="F45" s="78">
        <v>0</v>
      </c>
      <c r="G45" s="42" t="str">
        <f t="shared" si="1"/>
        <v/>
      </c>
      <c r="H45" s="41">
        <v>0</v>
      </c>
      <c r="I45" s="41">
        <v>0</v>
      </c>
      <c r="J45" s="41">
        <f t="shared" si="2"/>
        <v>0</v>
      </c>
      <c r="K45" s="41">
        <v>0</v>
      </c>
      <c r="L45" s="79" t="str">
        <f t="shared" si="3"/>
        <v/>
      </c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81"/>
      <c r="AA45" s="6">
        <f t="shared" si="4"/>
        <v>0</v>
      </c>
      <c r="AB45" s="80" t="str">
        <f>+IF(AND(D45&gt;'Indices y Outliers'!$I$146,D45&lt;&gt;""),1,"")</f>
        <v/>
      </c>
      <c r="AC45" s="80" t="str">
        <f>+IF(AND(G45&gt;'Indices y Outliers'!$I$154,G45&lt;&gt;""),1,"")</f>
        <v/>
      </c>
      <c r="AD45" s="7"/>
      <c r="AE45" s="7">
        <f t="shared" si="5"/>
        <v>0</v>
      </c>
    </row>
    <row r="46" spans="1:31" ht="15.75" customHeight="1">
      <c r="A46" s="7" t="s">
        <v>345</v>
      </c>
      <c r="B46" s="78">
        <v>0</v>
      </c>
      <c r="C46" s="78">
        <v>0</v>
      </c>
      <c r="D46" s="42" t="str">
        <f t="shared" si="0"/>
        <v/>
      </c>
      <c r="E46" s="78">
        <v>0</v>
      </c>
      <c r="F46" s="78">
        <v>0</v>
      </c>
      <c r="G46" s="42" t="str">
        <f t="shared" si="1"/>
        <v/>
      </c>
      <c r="H46" s="41">
        <v>0</v>
      </c>
      <c r="I46" s="41">
        <v>0</v>
      </c>
      <c r="J46" s="41">
        <f t="shared" si="2"/>
        <v>0</v>
      </c>
      <c r="K46" s="41">
        <v>0</v>
      </c>
      <c r="L46" s="79" t="str">
        <f t="shared" si="3"/>
        <v/>
      </c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81"/>
      <c r="AA46" s="6">
        <f t="shared" si="4"/>
        <v>0</v>
      </c>
      <c r="AB46" s="80" t="str">
        <f>+IF(AND(D46&gt;'Indices y Outliers'!$I$146,D46&lt;&gt;""),1,"")</f>
        <v/>
      </c>
      <c r="AC46" s="80" t="str">
        <f>+IF(AND(G46&gt;'Indices y Outliers'!$I$154,G46&lt;&gt;""),1,"")</f>
        <v/>
      </c>
      <c r="AD46" s="7"/>
      <c r="AE46" s="7">
        <f t="shared" si="5"/>
        <v>0</v>
      </c>
    </row>
    <row r="47" spans="1:31" ht="15.75" customHeight="1">
      <c r="A47" s="7" t="s">
        <v>348</v>
      </c>
      <c r="B47" s="78">
        <v>356.6</v>
      </c>
      <c r="C47" s="78">
        <v>0</v>
      </c>
      <c r="D47" s="42">
        <f t="shared" si="0"/>
        <v>356.6</v>
      </c>
      <c r="E47" s="78">
        <v>1.645</v>
      </c>
      <c r="F47" s="78">
        <v>0</v>
      </c>
      <c r="G47" s="42">
        <f t="shared" si="1"/>
        <v>1.645</v>
      </c>
      <c r="H47" s="41">
        <v>8182</v>
      </c>
      <c r="I47" s="41">
        <v>560909</v>
      </c>
      <c r="J47" s="41">
        <f t="shared" si="2"/>
        <v>569091</v>
      </c>
      <c r="K47" s="41">
        <v>569412</v>
      </c>
      <c r="L47" s="79">
        <f t="shared" si="3"/>
        <v>0.99943626056352874</v>
      </c>
      <c r="M47" s="89">
        <v>1</v>
      </c>
      <c r="N47" s="89">
        <v>1</v>
      </c>
      <c r="O47" s="89">
        <v>1</v>
      </c>
      <c r="P47" s="89">
        <v>1</v>
      </c>
      <c r="Q47" s="89">
        <v>1</v>
      </c>
      <c r="R47" s="89">
        <v>1</v>
      </c>
      <c r="S47" s="89" t="s">
        <v>1353</v>
      </c>
      <c r="T47" s="89" t="s">
        <v>1353</v>
      </c>
      <c r="U47" s="89" t="s">
        <v>1353</v>
      </c>
      <c r="V47" s="89" t="s">
        <v>1353</v>
      </c>
      <c r="W47" s="89" t="s">
        <v>1354</v>
      </c>
      <c r="X47" s="89" t="s">
        <v>1353</v>
      </c>
      <c r="Y47" s="7"/>
      <c r="Z47" s="81"/>
      <c r="AA47" s="6">
        <f t="shared" si="4"/>
        <v>2</v>
      </c>
      <c r="AB47" s="80" t="str">
        <f>+IF(AND(D47&gt;'Indices y Outliers'!$I$146,D47&lt;&gt;""),1,"")</f>
        <v/>
      </c>
      <c r="AC47" s="80" t="str">
        <f>+IF(AND(G47&gt;'Indices y Outliers'!$I$154,G47&lt;&gt;""),1,"")</f>
        <v/>
      </c>
      <c r="AD47" s="7"/>
      <c r="AE47" s="7">
        <f t="shared" si="5"/>
        <v>0</v>
      </c>
    </row>
    <row r="48" spans="1:31" ht="15.75" customHeight="1">
      <c r="A48" s="7" t="s">
        <v>351</v>
      </c>
      <c r="B48" s="78">
        <v>94.6</v>
      </c>
      <c r="C48" s="78">
        <v>0</v>
      </c>
      <c r="D48" s="42">
        <f t="shared" si="0"/>
        <v>94.6</v>
      </c>
      <c r="E48" s="78">
        <v>0.84799999999999998</v>
      </c>
      <c r="F48" s="78">
        <v>0</v>
      </c>
      <c r="G48" s="42">
        <f t="shared" si="1"/>
        <v>0.84799999999999998</v>
      </c>
      <c r="H48" s="41">
        <v>159447</v>
      </c>
      <c r="I48" s="41">
        <v>331202</v>
      </c>
      <c r="J48" s="41">
        <f t="shared" si="2"/>
        <v>490649</v>
      </c>
      <c r="K48" s="41">
        <v>490916</v>
      </c>
      <c r="L48" s="79">
        <f t="shared" si="3"/>
        <v>0.99945611876573592</v>
      </c>
      <c r="M48" s="89">
        <v>1</v>
      </c>
      <c r="N48" s="89">
        <v>1</v>
      </c>
      <c r="O48" s="89">
        <v>1</v>
      </c>
      <c r="P48" s="89">
        <v>1</v>
      </c>
      <c r="Q48" s="89">
        <v>1</v>
      </c>
      <c r="R48" s="89">
        <v>1</v>
      </c>
      <c r="S48" s="89" t="s">
        <v>1353</v>
      </c>
      <c r="T48" s="89" t="s">
        <v>1353</v>
      </c>
      <c r="U48" s="89" t="s">
        <v>1353</v>
      </c>
      <c r="V48" s="89" t="s">
        <v>1353</v>
      </c>
      <c r="W48" s="7"/>
      <c r="X48" s="89" t="s">
        <v>1353</v>
      </c>
      <c r="Y48" s="7"/>
      <c r="Z48" s="81"/>
      <c r="AA48" s="6">
        <f t="shared" si="4"/>
        <v>2</v>
      </c>
      <c r="AB48" s="80" t="str">
        <f>+IF(AND(D48&gt;'Indices y Outliers'!$I$146,D48&lt;&gt;""),1,"")</f>
        <v/>
      </c>
      <c r="AC48" s="80" t="str">
        <f>+IF(AND(G48&gt;'Indices y Outliers'!$I$154,G48&lt;&gt;""),1,"")</f>
        <v/>
      </c>
      <c r="AD48" s="7"/>
      <c r="AE48" s="7">
        <f t="shared" si="5"/>
        <v>0</v>
      </c>
    </row>
    <row r="49" spans="1:31" ht="15.75" customHeight="1">
      <c r="A49" s="7" t="s">
        <v>354</v>
      </c>
      <c r="B49" s="78">
        <v>331.8</v>
      </c>
      <c r="C49" s="78">
        <v>0</v>
      </c>
      <c r="D49" s="42">
        <f t="shared" si="0"/>
        <v>331.8</v>
      </c>
      <c r="E49" s="78">
        <v>2.347</v>
      </c>
      <c r="F49" s="78">
        <v>0</v>
      </c>
      <c r="G49" s="42">
        <f t="shared" si="1"/>
        <v>2.347</v>
      </c>
      <c r="H49" s="41">
        <v>168243</v>
      </c>
      <c r="I49" s="41">
        <v>0</v>
      </c>
      <c r="J49" s="41">
        <f t="shared" si="2"/>
        <v>168243</v>
      </c>
      <c r="K49" s="41">
        <v>168700</v>
      </c>
      <c r="L49" s="79">
        <f t="shared" si="3"/>
        <v>0.99729104919976286</v>
      </c>
      <c r="M49" s="89">
        <v>1</v>
      </c>
      <c r="N49" s="7"/>
      <c r="O49" s="89">
        <v>1</v>
      </c>
      <c r="P49" s="89">
        <v>1</v>
      </c>
      <c r="Q49" s="89">
        <v>1</v>
      </c>
      <c r="R49" s="89">
        <v>1</v>
      </c>
      <c r="S49" s="89" t="s">
        <v>1353</v>
      </c>
      <c r="T49" s="89" t="s">
        <v>1353</v>
      </c>
      <c r="U49" s="89" t="s">
        <v>1353</v>
      </c>
      <c r="V49" s="89" t="s">
        <v>1353</v>
      </c>
      <c r="W49" s="7"/>
      <c r="X49" s="89" t="s">
        <v>1353</v>
      </c>
      <c r="Y49" s="7"/>
      <c r="Z49" s="81"/>
      <c r="AA49" s="6">
        <f t="shared" si="4"/>
        <v>2</v>
      </c>
      <c r="AB49" s="80" t="str">
        <f>+IF(AND(D49&gt;'Indices y Outliers'!$I$146,D49&lt;&gt;""),1,"")</f>
        <v/>
      </c>
      <c r="AC49" s="80" t="str">
        <f>+IF(AND(G49&gt;'Indices y Outliers'!$I$154,G49&lt;&gt;""),1,"")</f>
        <v/>
      </c>
      <c r="AD49" s="7"/>
      <c r="AE49" s="7">
        <f t="shared" si="5"/>
        <v>0</v>
      </c>
    </row>
    <row r="50" spans="1:31" ht="15.75" customHeight="1">
      <c r="A50" s="7" t="s">
        <v>357</v>
      </c>
      <c r="B50" s="78">
        <v>191.5</v>
      </c>
      <c r="C50" s="78">
        <v>0</v>
      </c>
      <c r="D50" s="42">
        <f t="shared" si="0"/>
        <v>191.5</v>
      </c>
      <c r="E50" s="78">
        <v>2.0739999999999998</v>
      </c>
      <c r="F50" s="78">
        <v>0</v>
      </c>
      <c r="G50" s="42">
        <f t="shared" si="1"/>
        <v>2.0739999999999998</v>
      </c>
      <c r="H50" s="41">
        <v>27</v>
      </c>
      <c r="I50" s="41">
        <v>51280</v>
      </c>
      <c r="J50" s="41">
        <f t="shared" si="2"/>
        <v>51307</v>
      </c>
      <c r="K50" s="41">
        <v>51324</v>
      </c>
      <c r="L50" s="79">
        <f t="shared" si="3"/>
        <v>0.99966877094536666</v>
      </c>
      <c r="M50" s="89">
        <v>1</v>
      </c>
      <c r="N50" s="7"/>
      <c r="O50" s="89">
        <v>1</v>
      </c>
      <c r="P50" s="89">
        <v>1</v>
      </c>
      <c r="Q50" s="7"/>
      <c r="R50" s="89">
        <v>1</v>
      </c>
      <c r="S50" s="7"/>
      <c r="T50" s="89" t="s">
        <v>1353</v>
      </c>
      <c r="U50" s="7"/>
      <c r="V50" s="89" t="s">
        <v>1353</v>
      </c>
      <c r="W50" s="89" t="s">
        <v>1354</v>
      </c>
      <c r="X50" s="7"/>
      <c r="Y50" s="7"/>
      <c r="Z50" s="81"/>
      <c r="AA50" s="6">
        <f t="shared" si="4"/>
        <v>2</v>
      </c>
      <c r="AB50" s="80" t="str">
        <f>+IF(AND(D50&gt;'Indices y Outliers'!$I$146,D50&lt;&gt;""),1,"")</f>
        <v/>
      </c>
      <c r="AC50" s="80" t="str">
        <f>+IF(AND(G50&gt;'Indices y Outliers'!$I$154,G50&lt;&gt;""),1,"")</f>
        <v/>
      </c>
      <c r="AD50" s="7"/>
      <c r="AE50" s="7">
        <f t="shared" si="5"/>
        <v>0</v>
      </c>
    </row>
    <row r="51" spans="1:31" ht="15.75" customHeight="1">
      <c r="A51" s="7" t="s">
        <v>360</v>
      </c>
      <c r="B51" s="78">
        <v>147.6</v>
      </c>
      <c r="C51" s="78">
        <v>0</v>
      </c>
      <c r="D51" s="42">
        <f t="shared" si="0"/>
        <v>147.6</v>
      </c>
      <c r="E51" s="78">
        <v>1.236</v>
      </c>
      <c r="F51" s="78">
        <v>0</v>
      </c>
      <c r="G51" s="42">
        <f t="shared" si="1"/>
        <v>1.236</v>
      </c>
      <c r="H51" s="41">
        <v>480048</v>
      </c>
      <c r="I51" s="41">
        <v>1083774</v>
      </c>
      <c r="J51" s="41">
        <f t="shared" si="2"/>
        <v>1563822</v>
      </c>
      <c r="K51" s="41">
        <v>1566742</v>
      </c>
      <c r="L51" s="79">
        <f t="shared" si="3"/>
        <v>0.99813625983091026</v>
      </c>
      <c r="M51" s="89">
        <v>1</v>
      </c>
      <c r="N51" s="7"/>
      <c r="O51" s="89">
        <v>1</v>
      </c>
      <c r="P51" s="89">
        <v>1</v>
      </c>
      <c r="Q51" s="7"/>
      <c r="R51" s="89">
        <v>1</v>
      </c>
      <c r="S51" s="89" t="s">
        <v>1354</v>
      </c>
      <c r="T51" s="89" t="s">
        <v>1353</v>
      </c>
      <c r="U51" s="89" t="s">
        <v>1353</v>
      </c>
      <c r="V51" s="89" t="s">
        <v>1353</v>
      </c>
      <c r="W51" s="7"/>
      <c r="X51" s="89" t="s">
        <v>1353</v>
      </c>
      <c r="Y51" s="7"/>
      <c r="Z51" s="81"/>
      <c r="AA51" s="6">
        <f t="shared" si="4"/>
        <v>2</v>
      </c>
      <c r="AB51" s="80" t="str">
        <f>+IF(AND(D51&gt;'Indices y Outliers'!$I$146,D51&lt;&gt;""),1,"")</f>
        <v/>
      </c>
      <c r="AC51" s="80" t="str">
        <f>+IF(AND(G51&gt;'Indices y Outliers'!$I$154,G51&lt;&gt;""),1,"")</f>
        <v/>
      </c>
      <c r="AD51" s="7"/>
      <c r="AE51" s="7">
        <f t="shared" si="5"/>
        <v>0</v>
      </c>
    </row>
    <row r="52" spans="1:31" ht="15.75" customHeight="1">
      <c r="A52" s="7" t="s">
        <v>363</v>
      </c>
      <c r="B52" s="78">
        <v>106.8</v>
      </c>
      <c r="C52" s="78">
        <v>0</v>
      </c>
      <c r="D52" s="42">
        <f t="shared" si="0"/>
        <v>106.8</v>
      </c>
      <c r="E52" s="78">
        <v>1.9750000000000001</v>
      </c>
      <c r="F52" s="78">
        <v>0</v>
      </c>
      <c r="G52" s="42">
        <f t="shared" si="1"/>
        <v>1.9750000000000001</v>
      </c>
      <c r="H52" s="41">
        <v>225</v>
      </c>
      <c r="I52" s="41">
        <v>605996</v>
      </c>
      <c r="J52" s="41">
        <f t="shared" si="2"/>
        <v>606221</v>
      </c>
      <c r="K52" s="41">
        <v>606342</v>
      </c>
      <c r="L52" s="79">
        <f t="shared" si="3"/>
        <v>0.99980044265447554</v>
      </c>
      <c r="M52" s="89">
        <v>1</v>
      </c>
      <c r="N52" s="89">
        <v>1</v>
      </c>
      <c r="O52" s="89">
        <v>1</v>
      </c>
      <c r="P52" s="89">
        <v>1</v>
      </c>
      <c r="Q52" s="89">
        <v>1</v>
      </c>
      <c r="R52" s="89">
        <v>1</v>
      </c>
      <c r="S52" s="89" t="s">
        <v>1353</v>
      </c>
      <c r="T52" s="89" t="s">
        <v>1353</v>
      </c>
      <c r="U52" s="89" t="s">
        <v>1353</v>
      </c>
      <c r="V52" s="89" t="s">
        <v>1353</v>
      </c>
      <c r="W52" s="89" t="s">
        <v>1354</v>
      </c>
      <c r="X52" s="89" t="s">
        <v>1353</v>
      </c>
      <c r="Y52" s="7"/>
      <c r="Z52" s="81"/>
      <c r="AA52" s="6">
        <f t="shared" si="4"/>
        <v>2</v>
      </c>
      <c r="AB52" s="80" t="str">
        <f>+IF(AND(D52&gt;'Indices y Outliers'!$I$146,D52&lt;&gt;""),1,"")</f>
        <v/>
      </c>
      <c r="AC52" s="80" t="str">
        <f>+IF(AND(G52&gt;'Indices y Outliers'!$I$154,G52&lt;&gt;""),1,"")</f>
        <v/>
      </c>
      <c r="AD52" s="7"/>
      <c r="AE52" s="7">
        <f t="shared" si="5"/>
        <v>0</v>
      </c>
    </row>
    <row r="53" spans="1:31" ht="15.75" customHeight="1">
      <c r="A53" s="7" t="s">
        <v>366</v>
      </c>
      <c r="B53" s="78">
        <v>195.1</v>
      </c>
      <c r="C53" s="78">
        <v>0</v>
      </c>
      <c r="D53" s="42">
        <f t="shared" si="0"/>
        <v>195.1</v>
      </c>
      <c r="E53" s="78">
        <v>2.0880000000000001</v>
      </c>
      <c r="F53" s="78">
        <v>0</v>
      </c>
      <c r="G53" s="42">
        <f t="shared" si="1"/>
        <v>2.0880000000000001</v>
      </c>
      <c r="H53" s="41">
        <v>122318</v>
      </c>
      <c r="I53" s="41">
        <v>1881</v>
      </c>
      <c r="J53" s="41">
        <f t="shared" si="2"/>
        <v>124199</v>
      </c>
      <c r="K53" s="41">
        <v>130849</v>
      </c>
      <c r="L53" s="79">
        <f t="shared" si="3"/>
        <v>0.94917806020680329</v>
      </c>
      <c r="M53" s="89">
        <v>1</v>
      </c>
      <c r="N53" s="89">
        <v>1</v>
      </c>
      <c r="O53" s="89">
        <v>1</v>
      </c>
      <c r="P53" s="89">
        <v>1</v>
      </c>
      <c r="Q53" s="89">
        <v>1</v>
      </c>
      <c r="R53" s="89">
        <v>1</v>
      </c>
      <c r="S53" s="89" t="s">
        <v>1353</v>
      </c>
      <c r="T53" s="89" t="s">
        <v>1353</v>
      </c>
      <c r="U53" s="89" t="s">
        <v>1353</v>
      </c>
      <c r="V53" s="89" t="s">
        <v>1353</v>
      </c>
      <c r="W53" s="89" t="s">
        <v>1354</v>
      </c>
      <c r="X53" s="89" t="s">
        <v>1353</v>
      </c>
      <c r="Y53" s="7"/>
      <c r="Z53" s="81"/>
      <c r="AA53" s="6">
        <f t="shared" si="4"/>
        <v>2</v>
      </c>
      <c r="AB53" s="80" t="str">
        <f>+IF(AND(D53&gt;'Indices y Outliers'!$I$146,D53&lt;&gt;""),1,"")</f>
        <v/>
      </c>
      <c r="AC53" s="80" t="str">
        <f>+IF(AND(G53&gt;'Indices y Outliers'!$I$154,G53&lt;&gt;""),1,"")</f>
        <v/>
      </c>
      <c r="AD53" s="7"/>
      <c r="AE53" s="7">
        <f t="shared" si="5"/>
        <v>0</v>
      </c>
    </row>
    <row r="54" spans="1:31" ht="15.75" customHeight="1">
      <c r="A54" s="7" t="s">
        <v>369</v>
      </c>
      <c r="B54" s="78">
        <v>593.79999999999995</v>
      </c>
      <c r="C54" s="78">
        <v>0</v>
      </c>
      <c r="D54" s="42">
        <f t="shared" si="0"/>
        <v>593.79999999999995</v>
      </c>
      <c r="E54" s="78">
        <v>2.2450000000000001</v>
      </c>
      <c r="F54" s="78">
        <v>0</v>
      </c>
      <c r="G54" s="42">
        <f t="shared" si="1"/>
        <v>2.2450000000000001</v>
      </c>
      <c r="H54" s="41">
        <v>719</v>
      </c>
      <c r="I54" s="41">
        <v>41572</v>
      </c>
      <c r="J54" s="41">
        <f t="shared" si="2"/>
        <v>42291</v>
      </c>
      <c r="K54" s="41">
        <v>42588</v>
      </c>
      <c r="L54" s="79">
        <f t="shared" si="3"/>
        <v>0.99302620456466606</v>
      </c>
      <c r="M54" s="89">
        <v>1</v>
      </c>
      <c r="N54" s="89">
        <v>1</v>
      </c>
      <c r="O54" s="89">
        <v>1</v>
      </c>
      <c r="P54" s="89">
        <v>1</v>
      </c>
      <c r="Q54" s="89">
        <v>1</v>
      </c>
      <c r="R54" s="89">
        <v>1</v>
      </c>
      <c r="S54" s="89" t="s">
        <v>1353</v>
      </c>
      <c r="T54" s="89" t="s">
        <v>1353</v>
      </c>
      <c r="U54" s="7"/>
      <c r="V54" s="89" t="s">
        <v>1353</v>
      </c>
      <c r="W54" s="7"/>
      <c r="X54" s="89" t="s">
        <v>1353</v>
      </c>
      <c r="Y54" s="7"/>
      <c r="Z54" s="81"/>
      <c r="AA54" s="6">
        <f t="shared" si="4"/>
        <v>2</v>
      </c>
      <c r="AB54" s="80">
        <f>+IF(AND(D54&gt;'Indices y Outliers'!$I$146,D54&lt;&gt;""),1,"")</f>
        <v>1</v>
      </c>
      <c r="AC54" s="80" t="str">
        <f>+IF(AND(G54&gt;'Indices y Outliers'!$I$154,G54&lt;&gt;""),1,"")</f>
        <v/>
      </c>
      <c r="AD54" s="7"/>
      <c r="AE54" s="7">
        <f t="shared" si="5"/>
        <v>1</v>
      </c>
    </row>
    <row r="55" spans="1:31" ht="15.75" customHeight="1">
      <c r="A55" s="7" t="s">
        <v>372</v>
      </c>
      <c r="B55" s="78">
        <v>149</v>
      </c>
      <c r="C55" s="78">
        <v>0</v>
      </c>
      <c r="D55" s="42">
        <f t="shared" si="0"/>
        <v>149</v>
      </c>
      <c r="E55" s="78">
        <v>1.1399999999999999</v>
      </c>
      <c r="F55" s="78">
        <v>0</v>
      </c>
      <c r="G55" s="42">
        <f t="shared" si="1"/>
        <v>1.1399999999999999</v>
      </c>
      <c r="H55" s="41">
        <v>487327</v>
      </c>
      <c r="I55" s="41">
        <v>0</v>
      </c>
      <c r="J55" s="41">
        <f t="shared" si="2"/>
        <v>487327</v>
      </c>
      <c r="K55" s="41">
        <v>488841</v>
      </c>
      <c r="L55" s="79">
        <f t="shared" si="3"/>
        <v>0.9969028784410473</v>
      </c>
      <c r="M55" s="89">
        <v>1</v>
      </c>
      <c r="N55" s="7"/>
      <c r="O55" s="89">
        <v>1</v>
      </c>
      <c r="P55" s="7"/>
      <c r="Q55" s="89">
        <v>1</v>
      </c>
      <c r="R55" s="89">
        <v>1</v>
      </c>
      <c r="S55" s="89" t="s">
        <v>1353</v>
      </c>
      <c r="T55" s="89" t="s">
        <v>1353</v>
      </c>
      <c r="U55" s="89" t="s">
        <v>1353</v>
      </c>
      <c r="V55" s="89" t="s">
        <v>1353</v>
      </c>
      <c r="W55" s="7"/>
      <c r="X55" s="89" t="s">
        <v>1353</v>
      </c>
      <c r="Y55" s="7"/>
      <c r="Z55" s="81"/>
      <c r="AA55" s="6">
        <f t="shared" si="4"/>
        <v>2</v>
      </c>
      <c r="AB55" s="80" t="str">
        <f>+IF(AND(D55&gt;'Indices y Outliers'!$I$146,D55&lt;&gt;""),1,"")</f>
        <v/>
      </c>
      <c r="AC55" s="80" t="str">
        <f>+IF(AND(G55&gt;'Indices y Outliers'!$I$154,G55&lt;&gt;""),1,"")</f>
        <v/>
      </c>
      <c r="AD55" s="7"/>
      <c r="AE55" s="7">
        <f t="shared" si="5"/>
        <v>0</v>
      </c>
    </row>
    <row r="56" spans="1:31" ht="15.75" customHeight="1">
      <c r="A56" s="7" t="s">
        <v>375</v>
      </c>
      <c r="B56" s="78">
        <v>68.882000000000005</v>
      </c>
      <c r="C56" s="78">
        <v>0</v>
      </c>
      <c r="D56" s="42">
        <f t="shared" si="0"/>
        <v>68.882000000000005</v>
      </c>
      <c r="E56" s="78">
        <v>1.4730000000000001</v>
      </c>
      <c r="F56" s="78">
        <v>0</v>
      </c>
      <c r="G56" s="42">
        <f t="shared" si="1"/>
        <v>1.4730000000000001</v>
      </c>
      <c r="H56" s="41">
        <v>27164</v>
      </c>
      <c r="I56" s="41">
        <v>135748</v>
      </c>
      <c r="J56" s="41">
        <f t="shared" si="2"/>
        <v>162912</v>
      </c>
      <c r="K56" s="41">
        <v>441131</v>
      </c>
      <c r="L56" s="79">
        <f t="shared" si="3"/>
        <v>0.36930526306244632</v>
      </c>
      <c r="M56" s="89">
        <v>1</v>
      </c>
      <c r="N56" s="89">
        <v>1</v>
      </c>
      <c r="O56" s="89">
        <v>1</v>
      </c>
      <c r="P56" s="89">
        <v>1</v>
      </c>
      <c r="Q56" s="89">
        <v>1</v>
      </c>
      <c r="R56" s="89">
        <v>1</v>
      </c>
      <c r="S56" s="89" t="s">
        <v>1353</v>
      </c>
      <c r="T56" s="89" t="s">
        <v>1353</v>
      </c>
      <c r="U56" s="89" t="s">
        <v>1353</v>
      </c>
      <c r="V56" s="89" t="s">
        <v>1353</v>
      </c>
      <c r="W56" s="7"/>
      <c r="X56" s="89" t="s">
        <v>1353</v>
      </c>
      <c r="Y56" s="89" t="s">
        <v>1354</v>
      </c>
      <c r="Z56" s="81"/>
      <c r="AA56" s="6">
        <f t="shared" si="4"/>
        <v>2</v>
      </c>
      <c r="AB56" s="80" t="str">
        <f>+IF(AND(D56&gt;'Indices y Outliers'!$I$146,D56&lt;&gt;""),1,"")</f>
        <v/>
      </c>
      <c r="AC56" s="80" t="str">
        <f>+IF(AND(G56&gt;'Indices y Outliers'!$I$154,G56&lt;&gt;""),1,"")</f>
        <v/>
      </c>
      <c r="AD56" s="7"/>
      <c r="AE56" s="7">
        <f t="shared" si="5"/>
        <v>0</v>
      </c>
    </row>
    <row r="57" spans="1:31" ht="15.75" customHeight="1">
      <c r="A57" s="7" t="s">
        <v>378</v>
      </c>
      <c r="B57" s="78">
        <v>74.59</v>
      </c>
      <c r="C57" s="78">
        <v>0</v>
      </c>
      <c r="D57" s="42">
        <f t="shared" si="0"/>
        <v>74.59</v>
      </c>
      <c r="E57" s="78">
        <v>1.3440000000000001</v>
      </c>
      <c r="F57" s="78">
        <v>0</v>
      </c>
      <c r="G57" s="42">
        <f t="shared" si="1"/>
        <v>1.3440000000000001</v>
      </c>
      <c r="H57" s="41">
        <v>15274</v>
      </c>
      <c r="I57" s="41">
        <v>218256</v>
      </c>
      <c r="J57" s="41">
        <f t="shared" si="2"/>
        <v>233530</v>
      </c>
      <c r="K57" s="41">
        <v>543069</v>
      </c>
      <c r="L57" s="79">
        <f t="shared" si="3"/>
        <v>0.43001902152396843</v>
      </c>
      <c r="M57" s="89">
        <v>1</v>
      </c>
      <c r="N57" s="89">
        <v>1</v>
      </c>
      <c r="O57" s="89">
        <v>1</v>
      </c>
      <c r="P57" s="89">
        <v>1</v>
      </c>
      <c r="Q57" s="89">
        <v>1</v>
      </c>
      <c r="R57" s="89">
        <v>1</v>
      </c>
      <c r="S57" s="89" t="s">
        <v>1353</v>
      </c>
      <c r="T57" s="89" t="s">
        <v>1353</v>
      </c>
      <c r="U57" s="89" t="s">
        <v>1353</v>
      </c>
      <c r="V57" s="89" t="s">
        <v>1353</v>
      </c>
      <c r="W57" s="7"/>
      <c r="X57" s="89" t="s">
        <v>1353</v>
      </c>
      <c r="Y57" s="7"/>
      <c r="Z57" s="81"/>
      <c r="AA57" s="6">
        <f t="shared" si="4"/>
        <v>2</v>
      </c>
      <c r="AB57" s="80" t="str">
        <f>+IF(AND(D57&gt;'Indices y Outliers'!$I$146,D57&lt;&gt;""),1,"")</f>
        <v/>
      </c>
      <c r="AC57" s="80" t="str">
        <f>+IF(AND(G57&gt;'Indices y Outliers'!$I$154,G57&lt;&gt;""),1,"")</f>
        <v/>
      </c>
      <c r="AD57" s="7"/>
      <c r="AE57" s="7">
        <f t="shared" si="5"/>
        <v>0</v>
      </c>
    </row>
    <row r="58" spans="1:31" ht="15.75" customHeight="1">
      <c r="A58" s="7" t="s">
        <v>381</v>
      </c>
      <c r="B58" s="78">
        <v>96.2</v>
      </c>
      <c r="C58" s="78">
        <v>0</v>
      </c>
      <c r="D58" s="42">
        <f t="shared" si="0"/>
        <v>96.2</v>
      </c>
      <c r="E58" s="78">
        <v>0.99</v>
      </c>
      <c r="F58" s="78">
        <v>0</v>
      </c>
      <c r="G58" s="42">
        <f t="shared" si="1"/>
        <v>0.99</v>
      </c>
      <c r="H58" s="41">
        <v>177588</v>
      </c>
      <c r="I58" s="41">
        <v>311301</v>
      </c>
      <c r="J58" s="41">
        <f t="shared" si="2"/>
        <v>488889</v>
      </c>
      <c r="K58" s="41">
        <v>546641</v>
      </c>
      <c r="L58" s="79">
        <f t="shared" si="3"/>
        <v>0.89435113721802795</v>
      </c>
      <c r="M58" s="89">
        <v>1</v>
      </c>
      <c r="N58" s="7"/>
      <c r="O58" s="89">
        <v>1</v>
      </c>
      <c r="P58" s="7"/>
      <c r="Q58" s="7"/>
      <c r="R58" s="89">
        <v>1</v>
      </c>
      <c r="S58" s="89" t="s">
        <v>1354</v>
      </c>
      <c r="T58" s="89" t="s">
        <v>1353</v>
      </c>
      <c r="U58" s="89" t="s">
        <v>1353</v>
      </c>
      <c r="V58" s="89" t="s">
        <v>1353</v>
      </c>
      <c r="W58" s="7"/>
      <c r="X58" s="89" t="s">
        <v>1353</v>
      </c>
      <c r="Y58" s="7"/>
      <c r="Z58" s="81"/>
      <c r="AA58" s="6">
        <f t="shared" si="4"/>
        <v>2</v>
      </c>
      <c r="AB58" s="80" t="str">
        <f>+IF(AND(D58&gt;'Indices y Outliers'!$I$146,D58&lt;&gt;""),1,"")</f>
        <v/>
      </c>
      <c r="AC58" s="80" t="str">
        <f>+IF(AND(G58&gt;'Indices y Outliers'!$I$154,G58&lt;&gt;""),1,"")</f>
        <v/>
      </c>
      <c r="AD58" s="7"/>
      <c r="AE58" s="7">
        <f t="shared" si="5"/>
        <v>0</v>
      </c>
    </row>
    <row r="59" spans="1:31" ht="15.75" customHeight="1">
      <c r="A59" s="7" t="s">
        <v>384</v>
      </c>
      <c r="B59" s="78">
        <v>190.3</v>
      </c>
      <c r="C59" s="78">
        <v>0</v>
      </c>
      <c r="D59" s="42">
        <f t="shared" si="0"/>
        <v>190.3</v>
      </c>
      <c r="E59" s="78">
        <v>3.01</v>
      </c>
      <c r="F59" s="78">
        <v>0</v>
      </c>
      <c r="G59" s="42">
        <f t="shared" si="1"/>
        <v>3.01</v>
      </c>
      <c r="H59" s="41">
        <v>0</v>
      </c>
      <c r="I59" s="41">
        <v>664866</v>
      </c>
      <c r="J59" s="41">
        <f t="shared" si="2"/>
        <v>664866</v>
      </c>
      <c r="K59" s="41">
        <v>668961</v>
      </c>
      <c r="L59" s="79">
        <f t="shared" si="3"/>
        <v>0.99387856691197241</v>
      </c>
      <c r="M59" s="89">
        <v>1</v>
      </c>
      <c r="N59" s="7"/>
      <c r="O59" s="89">
        <v>1</v>
      </c>
      <c r="P59" s="89">
        <v>1</v>
      </c>
      <c r="Q59" s="7"/>
      <c r="R59" s="89">
        <v>1</v>
      </c>
      <c r="S59" s="7"/>
      <c r="T59" s="89" t="s">
        <v>1353</v>
      </c>
      <c r="U59" s="89" t="s">
        <v>1353</v>
      </c>
      <c r="V59" s="89" t="s">
        <v>1353</v>
      </c>
      <c r="W59" s="7"/>
      <c r="X59" s="7"/>
      <c r="Y59" s="7"/>
      <c r="Z59" s="81"/>
      <c r="AA59" s="6">
        <f t="shared" si="4"/>
        <v>2</v>
      </c>
      <c r="AB59" s="80" t="str">
        <f>+IF(AND(D59&gt;'Indices y Outliers'!$I$146,D59&lt;&gt;""),1,"")</f>
        <v/>
      </c>
      <c r="AC59" s="80" t="str">
        <f>+IF(AND(G59&gt;'Indices y Outliers'!$I$154,G59&lt;&gt;""),1,"")</f>
        <v/>
      </c>
      <c r="AD59" s="7"/>
      <c r="AE59" s="7">
        <f t="shared" si="5"/>
        <v>0</v>
      </c>
    </row>
    <row r="60" spans="1:31" ht="15.75" customHeight="1">
      <c r="A60" s="7" t="s">
        <v>387</v>
      </c>
      <c r="B60" s="78">
        <v>0</v>
      </c>
      <c r="C60" s="78">
        <v>0</v>
      </c>
      <c r="D60" s="42" t="str">
        <f t="shared" si="0"/>
        <v/>
      </c>
      <c r="E60" s="78">
        <v>0</v>
      </c>
      <c r="F60" s="78">
        <v>0</v>
      </c>
      <c r="G60" s="42" t="str">
        <f t="shared" si="1"/>
        <v/>
      </c>
      <c r="H60" s="41">
        <v>0</v>
      </c>
      <c r="I60" s="41">
        <v>0</v>
      </c>
      <c r="J60" s="41">
        <f t="shared" si="2"/>
        <v>0</v>
      </c>
      <c r="K60" s="41">
        <v>0</v>
      </c>
      <c r="L60" s="79" t="str">
        <f t="shared" si="3"/>
        <v/>
      </c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81"/>
      <c r="AA60" s="6">
        <f t="shared" si="4"/>
        <v>0</v>
      </c>
      <c r="AB60" s="80" t="str">
        <f>+IF(AND(D60&gt;'Indices y Outliers'!$I$146,D60&lt;&gt;""),1,"")</f>
        <v/>
      </c>
      <c r="AC60" s="80" t="str">
        <f>+IF(AND(G60&gt;'Indices y Outliers'!$I$154,G60&lt;&gt;""),1,"")</f>
        <v/>
      </c>
      <c r="AD60" s="7"/>
      <c r="AE60" s="7">
        <f t="shared" si="5"/>
        <v>0</v>
      </c>
    </row>
    <row r="61" spans="1:31" ht="15.75" customHeight="1">
      <c r="A61" s="7" t="s">
        <v>390</v>
      </c>
      <c r="B61" s="78">
        <v>0</v>
      </c>
      <c r="C61" s="78">
        <v>72.73</v>
      </c>
      <c r="D61" s="42">
        <f t="shared" si="0"/>
        <v>72.73</v>
      </c>
      <c r="E61" s="78">
        <v>0</v>
      </c>
      <c r="F61" s="78">
        <v>0.84</v>
      </c>
      <c r="G61" s="42">
        <f t="shared" si="1"/>
        <v>0.84</v>
      </c>
      <c r="H61" s="41">
        <v>1104</v>
      </c>
      <c r="I61" s="41">
        <v>145658</v>
      </c>
      <c r="J61" s="41">
        <f t="shared" si="2"/>
        <v>146762</v>
      </c>
      <c r="K61" s="41">
        <v>391614</v>
      </c>
      <c r="L61" s="79">
        <f t="shared" si="3"/>
        <v>0.3747618828744631</v>
      </c>
      <c r="M61" s="89">
        <v>1</v>
      </c>
      <c r="N61" s="89">
        <v>1</v>
      </c>
      <c r="O61" s="89">
        <v>1</v>
      </c>
      <c r="P61" s="89">
        <v>1</v>
      </c>
      <c r="Q61" s="89">
        <v>1</v>
      </c>
      <c r="R61" s="89">
        <v>1</v>
      </c>
      <c r="S61" s="89" t="s">
        <v>1353</v>
      </c>
      <c r="T61" s="89" t="s">
        <v>1353</v>
      </c>
      <c r="U61" s="89" t="s">
        <v>1353</v>
      </c>
      <c r="V61" s="89" t="s">
        <v>1353</v>
      </c>
      <c r="W61" s="89" t="s">
        <v>1353</v>
      </c>
      <c r="X61" s="89" t="s">
        <v>1353</v>
      </c>
      <c r="Y61" s="89" t="s">
        <v>1353</v>
      </c>
      <c r="Z61" s="81"/>
      <c r="AA61" s="6">
        <f t="shared" si="4"/>
        <v>2</v>
      </c>
      <c r="AB61" s="80" t="str">
        <f>+IF(AND(D61&gt;'Indices y Outliers'!$I$146,D61&lt;&gt;""),1,"")</f>
        <v/>
      </c>
      <c r="AC61" s="80" t="str">
        <f>+IF(AND(G61&gt;'Indices y Outliers'!$I$154,G61&lt;&gt;""),1,"")</f>
        <v/>
      </c>
      <c r="AD61" s="7"/>
      <c r="AE61" s="7">
        <f t="shared" si="5"/>
        <v>0</v>
      </c>
    </row>
    <row r="62" spans="1:31" ht="15.75" customHeight="1">
      <c r="A62" s="7" t="s">
        <v>393</v>
      </c>
      <c r="B62" s="78">
        <v>0</v>
      </c>
      <c r="C62" s="78">
        <v>151.28</v>
      </c>
      <c r="D62" s="42">
        <f t="shared" si="0"/>
        <v>151.28</v>
      </c>
      <c r="E62" s="78">
        <v>0</v>
      </c>
      <c r="F62" s="78">
        <v>1.86</v>
      </c>
      <c r="G62" s="42">
        <f t="shared" si="1"/>
        <v>1.86</v>
      </c>
      <c r="H62" s="41">
        <v>1538</v>
      </c>
      <c r="I62" s="41">
        <v>137288</v>
      </c>
      <c r="J62" s="41">
        <f t="shared" si="2"/>
        <v>138826</v>
      </c>
      <c r="K62" s="41">
        <v>919140</v>
      </c>
      <c r="L62" s="79">
        <f t="shared" si="3"/>
        <v>0.15103901473116174</v>
      </c>
      <c r="M62" s="89">
        <v>1</v>
      </c>
      <c r="N62" s="89">
        <v>1</v>
      </c>
      <c r="O62" s="89">
        <v>1</v>
      </c>
      <c r="P62" s="89">
        <v>1</v>
      </c>
      <c r="Q62" s="89">
        <v>1</v>
      </c>
      <c r="R62" s="89">
        <v>1</v>
      </c>
      <c r="S62" s="89" t="s">
        <v>1353</v>
      </c>
      <c r="T62" s="89" t="s">
        <v>1353</v>
      </c>
      <c r="U62" s="89" t="s">
        <v>1353</v>
      </c>
      <c r="V62" s="89" t="s">
        <v>1353</v>
      </c>
      <c r="W62" s="89" t="s">
        <v>1353</v>
      </c>
      <c r="X62" s="89" t="s">
        <v>1353</v>
      </c>
      <c r="Y62" s="7"/>
      <c r="Z62" s="81"/>
      <c r="AA62" s="6">
        <f t="shared" si="4"/>
        <v>2</v>
      </c>
      <c r="AB62" s="80" t="str">
        <f>+IF(AND(D62&gt;'Indices y Outliers'!$I$146,D62&lt;&gt;""),1,"")</f>
        <v/>
      </c>
      <c r="AC62" s="80" t="str">
        <f>+IF(AND(G62&gt;'Indices y Outliers'!$I$154,G62&lt;&gt;""),1,"")</f>
        <v/>
      </c>
      <c r="AD62" s="7"/>
      <c r="AE62" s="7">
        <f t="shared" si="5"/>
        <v>0</v>
      </c>
    </row>
    <row r="63" spans="1:31" ht="15.75" customHeight="1">
      <c r="A63" s="7" t="s">
        <v>396</v>
      </c>
      <c r="B63" s="78">
        <v>119.71</v>
      </c>
      <c r="C63" s="78">
        <v>0</v>
      </c>
      <c r="D63" s="42">
        <f t="shared" si="0"/>
        <v>119.71</v>
      </c>
      <c r="E63" s="78">
        <v>1.07</v>
      </c>
      <c r="F63" s="78">
        <v>0</v>
      </c>
      <c r="G63" s="42">
        <f t="shared" si="1"/>
        <v>1.07</v>
      </c>
      <c r="H63" s="41">
        <v>670</v>
      </c>
      <c r="I63" s="41">
        <v>604230</v>
      </c>
      <c r="J63" s="41">
        <f t="shared" si="2"/>
        <v>604900</v>
      </c>
      <c r="K63" s="41">
        <v>605404</v>
      </c>
      <c r="L63" s="79">
        <f t="shared" si="3"/>
        <v>0.99916749806740623</v>
      </c>
      <c r="M63" s="89">
        <v>1</v>
      </c>
      <c r="N63" s="89">
        <v>1</v>
      </c>
      <c r="O63" s="89">
        <v>1</v>
      </c>
      <c r="P63" s="89">
        <v>1</v>
      </c>
      <c r="Q63" s="89">
        <v>1</v>
      </c>
      <c r="R63" s="89">
        <v>1</v>
      </c>
      <c r="S63" s="89" t="s">
        <v>1353</v>
      </c>
      <c r="T63" s="89" t="s">
        <v>1353</v>
      </c>
      <c r="U63" s="89" t="s">
        <v>1353</v>
      </c>
      <c r="V63" s="89" t="s">
        <v>1353</v>
      </c>
      <c r="W63" s="7"/>
      <c r="X63" s="89" t="s">
        <v>1353</v>
      </c>
      <c r="Y63" s="7"/>
      <c r="Z63" s="81"/>
      <c r="AA63" s="6">
        <f t="shared" si="4"/>
        <v>2</v>
      </c>
      <c r="AB63" s="80" t="str">
        <f>+IF(AND(D63&gt;'Indices y Outliers'!$I$146,D63&lt;&gt;""),1,"")</f>
        <v/>
      </c>
      <c r="AC63" s="80" t="str">
        <f>+IF(AND(G63&gt;'Indices y Outliers'!$I$154,G63&lt;&gt;""),1,"")</f>
        <v/>
      </c>
      <c r="AD63" s="7"/>
      <c r="AE63" s="7">
        <f t="shared" si="5"/>
        <v>0</v>
      </c>
    </row>
    <row r="64" spans="1:31" ht="15.75" customHeight="1">
      <c r="A64" s="7" t="s">
        <v>399</v>
      </c>
      <c r="B64" s="78">
        <v>0</v>
      </c>
      <c r="C64" s="78">
        <v>0</v>
      </c>
      <c r="D64" s="42" t="str">
        <f t="shared" si="0"/>
        <v/>
      </c>
      <c r="E64" s="78">
        <v>0</v>
      </c>
      <c r="F64" s="78">
        <v>0</v>
      </c>
      <c r="G64" s="42" t="str">
        <f t="shared" si="1"/>
        <v/>
      </c>
      <c r="H64" s="41">
        <v>1</v>
      </c>
      <c r="I64" s="41">
        <v>0</v>
      </c>
      <c r="J64" s="41">
        <f t="shared" si="2"/>
        <v>1</v>
      </c>
      <c r="K64" s="41">
        <v>1</v>
      </c>
      <c r="L64" s="79">
        <f t="shared" si="3"/>
        <v>1</v>
      </c>
      <c r="M64" s="89">
        <v>1</v>
      </c>
      <c r="N64" s="7"/>
      <c r="O64" s="7"/>
      <c r="P64" s="7"/>
      <c r="Q64" s="7"/>
      <c r="R64" s="7"/>
      <c r="S64" s="89" t="s">
        <v>1353</v>
      </c>
      <c r="T64" s="7"/>
      <c r="U64" s="7"/>
      <c r="V64" s="7"/>
      <c r="W64" s="7"/>
      <c r="X64" s="7"/>
      <c r="Y64" s="7"/>
      <c r="Z64" s="81"/>
      <c r="AA64" s="6">
        <f t="shared" si="4"/>
        <v>0</v>
      </c>
      <c r="AB64" s="80" t="str">
        <f>+IF(AND(D64&gt;'Indices y Outliers'!$I$146,D64&lt;&gt;""),1,"")</f>
        <v/>
      </c>
      <c r="AC64" s="80" t="str">
        <f>+IF(AND(G64&gt;'Indices y Outliers'!$I$154,G64&lt;&gt;""),1,"")</f>
        <v/>
      </c>
      <c r="AD64" s="7"/>
      <c r="AE64" s="7">
        <f t="shared" si="5"/>
        <v>0</v>
      </c>
    </row>
    <row r="65" spans="1:31" ht="15.75" customHeight="1">
      <c r="A65" s="7" t="s">
        <v>402</v>
      </c>
      <c r="B65" s="78">
        <v>70.59</v>
      </c>
      <c r="C65" s="78">
        <v>0</v>
      </c>
      <c r="D65" s="42">
        <f t="shared" si="0"/>
        <v>70.59</v>
      </c>
      <c r="E65" s="78">
        <v>0.58699999999999997</v>
      </c>
      <c r="F65" s="78">
        <v>0</v>
      </c>
      <c r="G65" s="42">
        <f t="shared" si="1"/>
        <v>0.58699999999999997</v>
      </c>
      <c r="H65" s="41">
        <v>184</v>
      </c>
      <c r="I65" s="41">
        <v>1516238</v>
      </c>
      <c r="J65" s="41">
        <f t="shared" si="2"/>
        <v>1516422</v>
      </c>
      <c r="K65" s="41">
        <v>1518906</v>
      </c>
      <c r="L65" s="79">
        <f t="shared" si="3"/>
        <v>0.99836461242499541</v>
      </c>
      <c r="M65" s="89">
        <v>1</v>
      </c>
      <c r="N65" s="89">
        <v>1</v>
      </c>
      <c r="O65" s="89">
        <v>1</v>
      </c>
      <c r="P65" s="89">
        <v>1</v>
      </c>
      <c r="Q65" s="89">
        <v>1</v>
      </c>
      <c r="R65" s="89">
        <v>1</v>
      </c>
      <c r="S65" s="89" t="s">
        <v>1353</v>
      </c>
      <c r="T65" s="89" t="s">
        <v>1353</v>
      </c>
      <c r="U65" s="89" t="s">
        <v>1353</v>
      </c>
      <c r="V65" s="89" t="s">
        <v>1353</v>
      </c>
      <c r="W65" s="7"/>
      <c r="X65" s="7"/>
      <c r="Y65" s="7"/>
      <c r="Z65" s="81"/>
      <c r="AA65" s="6">
        <f t="shared" si="4"/>
        <v>2</v>
      </c>
      <c r="AB65" s="80" t="str">
        <f>+IF(AND(D65&gt;'Indices y Outliers'!$I$146,D65&lt;&gt;""),1,"")</f>
        <v/>
      </c>
      <c r="AC65" s="80" t="str">
        <f>+IF(AND(G65&gt;'Indices y Outliers'!$I$154,G65&lt;&gt;""),1,"")</f>
        <v/>
      </c>
      <c r="AD65" s="7"/>
      <c r="AE65" s="7">
        <f t="shared" si="5"/>
        <v>0</v>
      </c>
    </row>
    <row r="66" spans="1:31" ht="15.75" customHeight="1">
      <c r="A66" s="7" t="s">
        <v>405</v>
      </c>
      <c r="B66" s="78">
        <v>0</v>
      </c>
      <c r="C66" s="78">
        <v>56.7</v>
      </c>
      <c r="D66" s="42">
        <f t="shared" si="0"/>
        <v>56.7</v>
      </c>
      <c r="E66" s="78">
        <v>0</v>
      </c>
      <c r="F66" s="78">
        <v>0.78</v>
      </c>
      <c r="G66" s="42">
        <f t="shared" si="1"/>
        <v>0.78</v>
      </c>
      <c r="H66" s="41">
        <v>47</v>
      </c>
      <c r="I66" s="41">
        <v>497621</v>
      </c>
      <c r="J66" s="41">
        <f t="shared" si="2"/>
        <v>497668</v>
      </c>
      <c r="K66" s="41">
        <v>499776</v>
      </c>
      <c r="L66" s="79">
        <f t="shared" si="3"/>
        <v>0.99578211038545272</v>
      </c>
      <c r="M66" s="89">
        <v>1</v>
      </c>
      <c r="N66" s="89">
        <v>1</v>
      </c>
      <c r="O66" s="89">
        <v>1</v>
      </c>
      <c r="P66" s="89">
        <v>1</v>
      </c>
      <c r="Q66" s="89">
        <v>1</v>
      </c>
      <c r="R66" s="89">
        <v>1</v>
      </c>
      <c r="S66" s="89" t="s">
        <v>1353</v>
      </c>
      <c r="T66" s="7"/>
      <c r="U66" s="89" t="s">
        <v>1353</v>
      </c>
      <c r="V66" s="89" t="s">
        <v>1353</v>
      </c>
      <c r="W66" s="89" t="s">
        <v>1353</v>
      </c>
      <c r="X66" s="89" t="s">
        <v>1353</v>
      </c>
      <c r="Y66" s="89" t="s">
        <v>1353</v>
      </c>
      <c r="Z66" s="81"/>
      <c r="AA66" s="6">
        <f t="shared" si="4"/>
        <v>2</v>
      </c>
      <c r="AB66" s="80" t="str">
        <f>+IF(AND(D66&gt;'Indices y Outliers'!$I$146,D66&lt;&gt;""),1,"")</f>
        <v/>
      </c>
      <c r="AC66" s="80" t="str">
        <f>+IF(AND(G66&gt;'Indices y Outliers'!$I$154,G66&lt;&gt;""),1,"")</f>
        <v/>
      </c>
      <c r="AD66" s="7"/>
      <c r="AE66" s="7">
        <f t="shared" si="5"/>
        <v>0</v>
      </c>
    </row>
    <row r="67" spans="1:31" ht="15.75" customHeight="1">
      <c r="A67" s="7" t="s">
        <v>408</v>
      </c>
      <c r="B67" s="78">
        <v>0</v>
      </c>
      <c r="C67" s="78">
        <v>88.2</v>
      </c>
      <c r="D67" s="42">
        <f t="shared" si="0"/>
        <v>88.2</v>
      </c>
      <c r="E67" s="78">
        <v>0</v>
      </c>
      <c r="F67" s="78">
        <v>1</v>
      </c>
      <c r="G67" s="42">
        <f t="shared" si="1"/>
        <v>1</v>
      </c>
      <c r="H67" s="41">
        <v>120</v>
      </c>
      <c r="I67" s="41">
        <v>490091</v>
      </c>
      <c r="J67" s="41">
        <f t="shared" si="2"/>
        <v>490211</v>
      </c>
      <c r="K67" s="41">
        <v>497658</v>
      </c>
      <c r="L67" s="79">
        <f t="shared" si="3"/>
        <v>0.98503590819398057</v>
      </c>
      <c r="M67" s="89">
        <v>1</v>
      </c>
      <c r="N67" s="89">
        <v>1</v>
      </c>
      <c r="O67" s="89">
        <v>1</v>
      </c>
      <c r="P67" s="89">
        <v>1</v>
      </c>
      <c r="Q67" s="89">
        <v>1</v>
      </c>
      <c r="R67" s="89">
        <v>1</v>
      </c>
      <c r="S67" s="89" t="s">
        <v>1353</v>
      </c>
      <c r="T67" s="7"/>
      <c r="U67" s="89" t="s">
        <v>1353</v>
      </c>
      <c r="V67" s="89" t="s">
        <v>1353</v>
      </c>
      <c r="W67" s="89" t="s">
        <v>1353</v>
      </c>
      <c r="X67" s="89" t="s">
        <v>1353</v>
      </c>
      <c r="Y67" s="89" t="s">
        <v>1354</v>
      </c>
      <c r="Z67" s="81"/>
      <c r="AA67" s="6">
        <f t="shared" si="4"/>
        <v>2</v>
      </c>
      <c r="AB67" s="80" t="str">
        <f>+IF(AND(D67&gt;'Indices y Outliers'!$I$146,D67&lt;&gt;""),1,"")</f>
        <v/>
      </c>
      <c r="AC67" s="80" t="str">
        <f>+IF(AND(G67&gt;'Indices y Outliers'!$I$154,G67&lt;&gt;""),1,"")</f>
        <v/>
      </c>
      <c r="AD67" s="7"/>
      <c r="AE67" s="7">
        <f t="shared" si="5"/>
        <v>0</v>
      </c>
    </row>
    <row r="68" spans="1:31" ht="15.75" customHeight="1">
      <c r="A68" s="7" t="s">
        <v>411</v>
      </c>
      <c r="B68" s="78">
        <v>93</v>
      </c>
      <c r="C68" s="78">
        <v>0</v>
      </c>
      <c r="D68" s="42">
        <f t="shared" si="0"/>
        <v>93</v>
      </c>
      <c r="E68" s="78">
        <v>1.18</v>
      </c>
      <c r="F68" s="78">
        <v>0</v>
      </c>
      <c r="G68" s="42">
        <f t="shared" si="1"/>
        <v>1.18</v>
      </c>
      <c r="H68" s="41">
        <v>150435</v>
      </c>
      <c r="I68" s="41">
        <v>1100407</v>
      </c>
      <c r="J68" s="41">
        <f t="shared" si="2"/>
        <v>1250842</v>
      </c>
      <c r="K68" s="41">
        <v>1251654</v>
      </c>
      <c r="L68" s="79">
        <f t="shared" si="3"/>
        <v>0.9993512584148655</v>
      </c>
      <c r="M68" s="89">
        <v>1</v>
      </c>
      <c r="N68" s="89">
        <v>1</v>
      </c>
      <c r="O68" s="89">
        <v>1</v>
      </c>
      <c r="P68" s="89">
        <v>1</v>
      </c>
      <c r="Q68" s="89">
        <v>1</v>
      </c>
      <c r="R68" s="89">
        <v>1</v>
      </c>
      <c r="S68" s="89" t="s">
        <v>1353</v>
      </c>
      <c r="T68" s="89" t="s">
        <v>1353</v>
      </c>
      <c r="U68" s="89" t="s">
        <v>1353</v>
      </c>
      <c r="V68" s="89" t="s">
        <v>1353</v>
      </c>
      <c r="W68" s="7"/>
      <c r="X68" s="89" t="s">
        <v>1353</v>
      </c>
      <c r="Y68" s="7"/>
      <c r="Z68" s="81"/>
      <c r="AA68" s="6">
        <f t="shared" si="4"/>
        <v>2</v>
      </c>
      <c r="AB68" s="80" t="str">
        <f>+IF(AND(D68&gt;'Indices y Outliers'!$I$146,D68&lt;&gt;""),1,"")</f>
        <v/>
      </c>
      <c r="AC68" s="80" t="str">
        <f>+IF(AND(G68&gt;'Indices y Outliers'!$I$154,G68&lt;&gt;""),1,"")</f>
        <v/>
      </c>
      <c r="AD68" s="7"/>
      <c r="AE68" s="7">
        <f t="shared" si="5"/>
        <v>0</v>
      </c>
    </row>
    <row r="69" spans="1:31" ht="15.75" customHeight="1">
      <c r="A69" s="7" t="s">
        <v>414</v>
      </c>
      <c r="B69" s="78">
        <v>113.9</v>
      </c>
      <c r="C69" s="78">
        <v>0</v>
      </c>
      <c r="D69" s="42">
        <f t="shared" si="0"/>
        <v>113.9</v>
      </c>
      <c r="E69" s="78">
        <v>1.33</v>
      </c>
      <c r="F69" s="78">
        <v>0</v>
      </c>
      <c r="G69" s="42">
        <f t="shared" si="1"/>
        <v>1.33</v>
      </c>
      <c r="H69" s="41">
        <v>288</v>
      </c>
      <c r="I69" s="41">
        <v>1220304</v>
      </c>
      <c r="J69" s="41">
        <f t="shared" si="2"/>
        <v>1220592</v>
      </c>
      <c r="K69" s="41">
        <v>1221431</v>
      </c>
      <c r="L69" s="79">
        <f t="shared" si="3"/>
        <v>0.99931310078096924</v>
      </c>
      <c r="M69" s="89">
        <v>1</v>
      </c>
      <c r="N69" s="7"/>
      <c r="O69" s="89">
        <v>1</v>
      </c>
      <c r="P69" s="89">
        <v>1</v>
      </c>
      <c r="Q69" s="89">
        <v>1</v>
      </c>
      <c r="R69" s="89">
        <v>1</v>
      </c>
      <c r="S69" s="7"/>
      <c r="T69" s="89" t="s">
        <v>1353</v>
      </c>
      <c r="U69" s="89" t="s">
        <v>1353</v>
      </c>
      <c r="V69" s="89" t="s">
        <v>1353</v>
      </c>
      <c r="W69" s="7"/>
      <c r="X69" s="7"/>
      <c r="Y69" s="7"/>
      <c r="Z69" s="81"/>
      <c r="AA69" s="6">
        <f t="shared" si="4"/>
        <v>2</v>
      </c>
      <c r="AB69" s="80" t="str">
        <f>+IF(AND(D69&gt;'Indices y Outliers'!$I$146,D69&lt;&gt;""),1,"")</f>
        <v/>
      </c>
      <c r="AC69" s="80" t="str">
        <f>+IF(AND(G69&gt;'Indices y Outliers'!$I$154,G69&lt;&gt;""),1,"")</f>
        <v/>
      </c>
      <c r="AD69" s="7"/>
      <c r="AE69" s="7">
        <f t="shared" si="5"/>
        <v>0</v>
      </c>
    </row>
    <row r="70" spans="1:31" ht="15.75" customHeight="1">
      <c r="A70" s="7" t="s">
        <v>417</v>
      </c>
      <c r="B70" s="78">
        <v>0</v>
      </c>
      <c r="C70" s="78">
        <v>0</v>
      </c>
      <c r="D70" s="42" t="str">
        <f t="shared" si="0"/>
        <v/>
      </c>
      <c r="E70" s="78">
        <v>0</v>
      </c>
      <c r="F70" s="78">
        <v>0</v>
      </c>
      <c r="G70" s="42" t="str">
        <f t="shared" si="1"/>
        <v/>
      </c>
      <c r="H70" s="41">
        <v>0</v>
      </c>
      <c r="I70" s="41">
        <v>0</v>
      </c>
      <c r="J70" s="41">
        <f t="shared" si="2"/>
        <v>0</v>
      </c>
      <c r="K70" s="41">
        <v>0</v>
      </c>
      <c r="L70" s="79" t="str">
        <f t="shared" si="3"/>
        <v/>
      </c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81"/>
      <c r="AA70" s="6">
        <f t="shared" si="4"/>
        <v>0</v>
      </c>
      <c r="AB70" s="80" t="str">
        <f>+IF(AND(D70&gt;'Indices y Outliers'!$I$146,D70&lt;&gt;""),1,"")</f>
        <v/>
      </c>
      <c r="AC70" s="80" t="str">
        <f>+IF(AND(G70&gt;'Indices y Outliers'!$I$154,G70&lt;&gt;""),1,"")</f>
        <v/>
      </c>
      <c r="AD70" s="7"/>
      <c r="AE70" s="7">
        <f t="shared" si="5"/>
        <v>0</v>
      </c>
    </row>
    <row r="71" spans="1:31" ht="15.75" customHeight="1">
      <c r="A71" s="7" t="s">
        <v>420</v>
      </c>
      <c r="B71" s="78">
        <v>96.72</v>
      </c>
      <c r="C71" s="78">
        <v>0</v>
      </c>
      <c r="D71" s="42">
        <f t="shared" si="0"/>
        <v>96.72</v>
      </c>
      <c r="E71" s="78">
        <v>1.2569999999999999</v>
      </c>
      <c r="F71" s="78">
        <v>0</v>
      </c>
      <c r="G71" s="42">
        <f t="shared" si="1"/>
        <v>1.2569999999999999</v>
      </c>
      <c r="H71" s="41">
        <v>0</v>
      </c>
      <c r="I71" s="41">
        <v>403116</v>
      </c>
      <c r="J71" s="41">
        <f t="shared" si="2"/>
        <v>403116</v>
      </c>
      <c r="K71" s="41">
        <v>403207</v>
      </c>
      <c r="L71" s="79">
        <f t="shared" si="3"/>
        <v>0.99977430947379387</v>
      </c>
      <c r="M71" s="89">
        <v>1</v>
      </c>
      <c r="N71" s="89">
        <v>1</v>
      </c>
      <c r="O71" s="89">
        <v>1</v>
      </c>
      <c r="P71" s="89">
        <v>1</v>
      </c>
      <c r="Q71" s="7"/>
      <c r="R71" s="89">
        <v>1</v>
      </c>
      <c r="S71" s="89" t="s">
        <v>1353</v>
      </c>
      <c r="T71" s="89" t="s">
        <v>1353</v>
      </c>
      <c r="U71" s="89" t="s">
        <v>1353</v>
      </c>
      <c r="V71" s="89" t="s">
        <v>1353</v>
      </c>
      <c r="W71" s="89" t="s">
        <v>1354</v>
      </c>
      <c r="X71" s="89" t="s">
        <v>1353</v>
      </c>
      <c r="Y71" s="7"/>
      <c r="Z71" s="81"/>
      <c r="AA71" s="6">
        <f t="shared" si="4"/>
        <v>2</v>
      </c>
      <c r="AB71" s="80" t="str">
        <f>+IF(AND(D71&gt;'Indices y Outliers'!$I$146,D71&lt;&gt;""),1,"")</f>
        <v/>
      </c>
      <c r="AC71" s="80" t="str">
        <f>+IF(AND(G71&gt;'Indices y Outliers'!$I$154,G71&lt;&gt;""),1,"")</f>
        <v/>
      </c>
      <c r="AD71" s="7"/>
      <c r="AE71" s="7">
        <f t="shared" si="5"/>
        <v>0</v>
      </c>
    </row>
    <row r="72" spans="1:31" ht="15.75" customHeight="1">
      <c r="A72" s="7" t="s">
        <v>423</v>
      </c>
      <c r="B72" s="78">
        <v>104.2</v>
      </c>
      <c r="C72" s="78">
        <v>0</v>
      </c>
      <c r="D72" s="42">
        <f t="shared" si="0"/>
        <v>104.2</v>
      </c>
      <c r="E72" s="78">
        <v>1.02</v>
      </c>
      <c r="F72" s="78">
        <v>0</v>
      </c>
      <c r="G72" s="42">
        <f t="shared" si="1"/>
        <v>1.02</v>
      </c>
      <c r="H72" s="41">
        <v>359325</v>
      </c>
      <c r="I72" s="41">
        <v>1073071</v>
      </c>
      <c r="J72" s="41">
        <f t="shared" si="2"/>
        <v>1432396</v>
      </c>
      <c r="K72" s="41">
        <v>1582501</v>
      </c>
      <c r="L72" s="79">
        <f t="shared" si="3"/>
        <v>0.90514697936999722</v>
      </c>
      <c r="M72" s="89">
        <v>1</v>
      </c>
      <c r="N72" s="89">
        <v>1</v>
      </c>
      <c r="O72" s="89">
        <v>1</v>
      </c>
      <c r="P72" s="89">
        <v>1</v>
      </c>
      <c r="Q72" s="89">
        <v>1</v>
      </c>
      <c r="R72" s="89">
        <v>1</v>
      </c>
      <c r="S72" s="89" t="s">
        <v>1353</v>
      </c>
      <c r="T72" s="89" t="s">
        <v>1353</v>
      </c>
      <c r="U72" s="89" t="s">
        <v>1353</v>
      </c>
      <c r="V72" s="89" t="s">
        <v>1353</v>
      </c>
      <c r="W72" s="7"/>
      <c r="X72" s="89" t="s">
        <v>1353</v>
      </c>
      <c r="Y72" s="7"/>
      <c r="Z72" s="81"/>
      <c r="AA72" s="6">
        <f t="shared" si="4"/>
        <v>2</v>
      </c>
      <c r="AB72" s="80" t="str">
        <f>+IF(AND(D72&gt;'Indices y Outliers'!$I$146,D72&lt;&gt;""),1,"")</f>
        <v/>
      </c>
      <c r="AC72" s="80" t="str">
        <f>+IF(AND(G72&gt;'Indices y Outliers'!$I$154,G72&lt;&gt;""),1,"")</f>
        <v/>
      </c>
      <c r="AD72" s="7"/>
      <c r="AE72" s="7">
        <f t="shared" si="5"/>
        <v>0</v>
      </c>
    </row>
    <row r="73" spans="1:31" ht="15.75" customHeight="1">
      <c r="A73" s="7" t="s">
        <v>426</v>
      </c>
      <c r="B73" s="78">
        <v>163.47999999999999</v>
      </c>
      <c r="C73" s="78">
        <v>0</v>
      </c>
      <c r="D73" s="42">
        <f t="shared" si="0"/>
        <v>163.47999999999999</v>
      </c>
      <c r="E73" s="78">
        <v>1.59</v>
      </c>
      <c r="F73" s="78">
        <v>0</v>
      </c>
      <c r="G73" s="42">
        <f t="shared" si="1"/>
        <v>1.59</v>
      </c>
      <c r="H73" s="41">
        <v>9151</v>
      </c>
      <c r="I73" s="41">
        <v>0</v>
      </c>
      <c r="J73" s="41">
        <f t="shared" si="2"/>
        <v>9151</v>
      </c>
      <c r="K73" s="41">
        <v>9152</v>
      </c>
      <c r="L73" s="79">
        <f t="shared" si="3"/>
        <v>0.99989073426573427</v>
      </c>
      <c r="M73" s="89">
        <v>1</v>
      </c>
      <c r="N73" s="89">
        <v>1</v>
      </c>
      <c r="O73" s="89">
        <v>1</v>
      </c>
      <c r="P73" s="89">
        <v>1</v>
      </c>
      <c r="Q73" s="89">
        <v>1</v>
      </c>
      <c r="R73" s="89">
        <v>1</v>
      </c>
      <c r="S73" s="89" t="s">
        <v>1353</v>
      </c>
      <c r="T73" s="89" t="s">
        <v>1353</v>
      </c>
      <c r="U73" s="89" t="s">
        <v>1353</v>
      </c>
      <c r="V73" s="89" t="s">
        <v>1353</v>
      </c>
      <c r="W73" s="7"/>
      <c r="X73" s="89" t="s">
        <v>1353</v>
      </c>
      <c r="Y73" s="7"/>
      <c r="Z73" s="81"/>
      <c r="AA73" s="6">
        <f t="shared" si="4"/>
        <v>2</v>
      </c>
      <c r="AB73" s="80" t="str">
        <f>+IF(AND(D73&gt;'Indices y Outliers'!$I$146,D73&lt;&gt;""),1,"")</f>
        <v/>
      </c>
      <c r="AC73" s="80" t="str">
        <f>+IF(AND(G73&gt;'Indices y Outliers'!$I$154,G73&lt;&gt;""),1,"")</f>
        <v/>
      </c>
      <c r="AD73" s="7"/>
      <c r="AE73" s="7">
        <f t="shared" si="5"/>
        <v>0</v>
      </c>
    </row>
    <row r="74" spans="1:31" ht="15.75" customHeight="1">
      <c r="A74" s="7" t="s">
        <v>429</v>
      </c>
      <c r="B74" s="78">
        <v>83.46</v>
      </c>
      <c r="C74" s="78">
        <v>0</v>
      </c>
      <c r="D74" s="42">
        <f t="shared" si="0"/>
        <v>83.46</v>
      </c>
      <c r="E74" s="78">
        <v>1.06</v>
      </c>
      <c r="F74" s="78">
        <v>0</v>
      </c>
      <c r="G74" s="42">
        <f t="shared" si="1"/>
        <v>1.06</v>
      </c>
      <c r="H74" s="41">
        <v>712371</v>
      </c>
      <c r="I74" s="41">
        <v>675338</v>
      </c>
      <c r="J74" s="41">
        <f t="shared" si="2"/>
        <v>1387709</v>
      </c>
      <c r="K74" s="41">
        <v>1390166</v>
      </c>
      <c r="L74" s="79">
        <f t="shared" si="3"/>
        <v>0.99823258517328151</v>
      </c>
      <c r="M74" s="89">
        <v>1</v>
      </c>
      <c r="N74" s="89">
        <v>1</v>
      </c>
      <c r="O74" s="89">
        <v>1</v>
      </c>
      <c r="P74" s="89">
        <v>1</v>
      </c>
      <c r="Q74" s="89">
        <v>1</v>
      </c>
      <c r="R74" s="89">
        <v>1</v>
      </c>
      <c r="S74" s="89" t="s">
        <v>1353</v>
      </c>
      <c r="T74" s="89" t="s">
        <v>1353</v>
      </c>
      <c r="U74" s="89" t="s">
        <v>1353</v>
      </c>
      <c r="V74" s="89" t="s">
        <v>1353</v>
      </c>
      <c r="W74" s="7"/>
      <c r="X74" s="89" t="s">
        <v>1353</v>
      </c>
      <c r="Y74" s="7"/>
      <c r="Z74" s="81"/>
      <c r="AA74" s="6">
        <f t="shared" si="4"/>
        <v>2</v>
      </c>
      <c r="AB74" s="80" t="str">
        <f>+IF(AND(D74&gt;'Indices y Outliers'!$I$146,D74&lt;&gt;""),1,"")</f>
        <v/>
      </c>
      <c r="AC74" s="80" t="str">
        <f>+IF(AND(G74&gt;'Indices y Outliers'!$I$154,G74&lt;&gt;""),1,"")</f>
        <v/>
      </c>
      <c r="AD74" s="7"/>
      <c r="AE74" s="7">
        <f t="shared" si="5"/>
        <v>0</v>
      </c>
    </row>
    <row r="75" spans="1:31" ht="15.75" customHeight="1">
      <c r="A75" s="7" t="s">
        <v>432</v>
      </c>
      <c r="B75" s="78">
        <v>116.41</v>
      </c>
      <c r="C75" s="78">
        <v>0</v>
      </c>
      <c r="D75" s="42">
        <f t="shared" si="0"/>
        <v>116.41</v>
      </c>
      <c r="E75" s="78">
        <v>1.39</v>
      </c>
      <c r="F75" s="78">
        <v>0</v>
      </c>
      <c r="G75" s="42">
        <f t="shared" si="1"/>
        <v>1.39</v>
      </c>
      <c r="H75" s="41">
        <v>7999</v>
      </c>
      <c r="I75" s="41">
        <v>0</v>
      </c>
      <c r="J75" s="41">
        <f t="shared" si="2"/>
        <v>7999</v>
      </c>
      <c r="K75" s="41">
        <v>124584</v>
      </c>
      <c r="L75" s="79">
        <f t="shared" si="3"/>
        <v>6.4205676491363259E-2</v>
      </c>
      <c r="M75" s="89">
        <v>1</v>
      </c>
      <c r="N75" s="89">
        <v>1</v>
      </c>
      <c r="O75" s="89">
        <v>1</v>
      </c>
      <c r="P75" s="89">
        <v>1</v>
      </c>
      <c r="Q75" s="89">
        <v>1</v>
      </c>
      <c r="R75" s="89">
        <v>1</v>
      </c>
      <c r="S75" s="89" t="s">
        <v>1353</v>
      </c>
      <c r="T75" s="89" t="s">
        <v>1353</v>
      </c>
      <c r="U75" s="89" t="s">
        <v>1353</v>
      </c>
      <c r="V75" s="89" t="s">
        <v>1353</v>
      </c>
      <c r="W75" s="7"/>
      <c r="X75" s="89" t="s">
        <v>1353</v>
      </c>
      <c r="Y75" s="7"/>
      <c r="Z75" s="81"/>
      <c r="AA75" s="6">
        <f t="shared" si="4"/>
        <v>2</v>
      </c>
      <c r="AB75" s="80" t="str">
        <f>+IF(AND(D75&gt;'Indices y Outliers'!$I$146,D75&lt;&gt;""),1,"")</f>
        <v/>
      </c>
      <c r="AC75" s="80" t="str">
        <f>+IF(AND(G75&gt;'Indices y Outliers'!$I$154,G75&lt;&gt;""),1,"")</f>
        <v/>
      </c>
      <c r="AD75" s="7"/>
      <c r="AE75" s="7">
        <f t="shared" si="5"/>
        <v>0</v>
      </c>
    </row>
    <row r="76" spans="1:31" ht="15.75" customHeight="1">
      <c r="A76" s="7" t="s">
        <v>435</v>
      </c>
      <c r="B76" s="78">
        <v>309</v>
      </c>
      <c r="C76" s="78">
        <v>0</v>
      </c>
      <c r="D76" s="42">
        <f t="shared" si="0"/>
        <v>309</v>
      </c>
      <c r="E76" s="78">
        <v>2.375</v>
      </c>
      <c r="F76" s="78">
        <v>0</v>
      </c>
      <c r="G76" s="42">
        <f t="shared" si="1"/>
        <v>2.375</v>
      </c>
      <c r="H76" s="41">
        <v>143</v>
      </c>
      <c r="I76" s="41">
        <v>576551</v>
      </c>
      <c r="J76" s="41">
        <f t="shared" si="2"/>
        <v>576694</v>
      </c>
      <c r="K76" s="41">
        <v>584107</v>
      </c>
      <c r="L76" s="79">
        <f t="shared" si="3"/>
        <v>0.98730883211466391</v>
      </c>
      <c r="M76" s="89">
        <v>1</v>
      </c>
      <c r="N76" s="89">
        <v>1</v>
      </c>
      <c r="O76" s="89">
        <v>1</v>
      </c>
      <c r="P76" s="89">
        <v>1</v>
      </c>
      <c r="Q76" s="89">
        <v>1</v>
      </c>
      <c r="R76" s="89">
        <v>1</v>
      </c>
      <c r="S76" s="89" t="s">
        <v>1353</v>
      </c>
      <c r="T76" s="89" t="s">
        <v>1353</v>
      </c>
      <c r="U76" s="89" t="s">
        <v>1353</v>
      </c>
      <c r="V76" s="89" t="s">
        <v>1353</v>
      </c>
      <c r="W76" s="89" t="s">
        <v>1353</v>
      </c>
      <c r="X76" s="7"/>
      <c r="Y76" s="7"/>
      <c r="Z76" s="81"/>
      <c r="AA76" s="6">
        <f t="shared" si="4"/>
        <v>2</v>
      </c>
      <c r="AB76" s="80" t="str">
        <f>+IF(AND(D76&gt;'Indices y Outliers'!$I$146,D76&lt;&gt;""),1,"")</f>
        <v/>
      </c>
      <c r="AC76" s="80" t="str">
        <f>+IF(AND(G76&gt;'Indices y Outliers'!$I$154,G76&lt;&gt;""),1,"")</f>
        <v/>
      </c>
      <c r="AD76" s="7"/>
      <c r="AE76" s="7">
        <f t="shared" si="5"/>
        <v>0</v>
      </c>
    </row>
    <row r="77" spans="1:31" ht="15.75" customHeight="1">
      <c r="A77" s="7" t="s">
        <v>438</v>
      </c>
      <c r="B77" s="78">
        <v>0</v>
      </c>
      <c r="C77" s="78">
        <v>0</v>
      </c>
      <c r="D77" s="42" t="str">
        <f t="shared" si="0"/>
        <v/>
      </c>
      <c r="E77" s="78">
        <v>0</v>
      </c>
      <c r="F77" s="78">
        <v>0</v>
      </c>
      <c r="G77" s="42" t="str">
        <f t="shared" si="1"/>
        <v/>
      </c>
      <c r="H77" s="41">
        <v>0</v>
      </c>
      <c r="I77" s="41">
        <v>0</v>
      </c>
      <c r="J77" s="41">
        <f t="shared" si="2"/>
        <v>0</v>
      </c>
      <c r="K77" s="41">
        <v>0</v>
      </c>
      <c r="L77" s="79" t="str">
        <f t="shared" si="3"/>
        <v/>
      </c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81"/>
      <c r="AA77" s="6">
        <f t="shared" si="4"/>
        <v>0</v>
      </c>
      <c r="AB77" s="80" t="str">
        <f>+IF(AND(D77&gt;'Indices y Outliers'!$I$146,D77&lt;&gt;""),1,"")</f>
        <v/>
      </c>
      <c r="AC77" s="80" t="str">
        <f>+IF(AND(G77&gt;'Indices y Outliers'!$I$154,G77&lt;&gt;""),1,"")</f>
        <v/>
      </c>
      <c r="AD77" s="7"/>
      <c r="AE77" s="7">
        <f t="shared" si="5"/>
        <v>0</v>
      </c>
    </row>
    <row r="78" spans="1:31" ht="15.75" customHeight="1">
      <c r="A78" s="7" t="s">
        <v>441</v>
      </c>
      <c r="B78" s="78">
        <v>0</v>
      </c>
      <c r="C78" s="78">
        <v>0</v>
      </c>
      <c r="D78" s="42" t="str">
        <f t="shared" si="0"/>
        <v/>
      </c>
      <c r="E78" s="78">
        <v>0</v>
      </c>
      <c r="F78" s="78">
        <v>0</v>
      </c>
      <c r="G78" s="42" t="str">
        <f t="shared" si="1"/>
        <v/>
      </c>
      <c r="H78" s="41">
        <v>0</v>
      </c>
      <c r="I78" s="41">
        <v>0</v>
      </c>
      <c r="J78" s="41">
        <f t="shared" si="2"/>
        <v>0</v>
      </c>
      <c r="K78" s="41">
        <v>0</v>
      </c>
      <c r="L78" s="79" t="str">
        <f t="shared" si="3"/>
        <v/>
      </c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81"/>
      <c r="AA78" s="6">
        <f t="shared" si="4"/>
        <v>0</v>
      </c>
      <c r="AB78" s="80" t="str">
        <f>+IF(AND(D78&gt;'Indices y Outliers'!$I$146,D78&lt;&gt;""),1,"")</f>
        <v/>
      </c>
      <c r="AC78" s="80" t="str">
        <f>+IF(AND(G78&gt;'Indices y Outliers'!$I$154,G78&lt;&gt;""),1,"")</f>
        <v/>
      </c>
      <c r="AD78" s="7"/>
      <c r="AE78" s="7">
        <f t="shared" si="5"/>
        <v>0</v>
      </c>
    </row>
    <row r="79" spans="1:31" ht="15.75" customHeight="1">
      <c r="A79" s="7" t="s">
        <v>444</v>
      </c>
      <c r="B79" s="78">
        <v>160.12</v>
      </c>
      <c r="C79" s="78">
        <v>0</v>
      </c>
      <c r="D79" s="42">
        <f t="shared" si="0"/>
        <v>160.12</v>
      </c>
      <c r="E79" s="78">
        <v>1.411</v>
      </c>
      <c r="F79" s="78">
        <v>0</v>
      </c>
      <c r="G79" s="42">
        <f t="shared" si="1"/>
        <v>1.411</v>
      </c>
      <c r="H79" s="41">
        <v>64</v>
      </c>
      <c r="I79" s="41">
        <v>749639</v>
      </c>
      <c r="J79" s="41">
        <f t="shared" si="2"/>
        <v>749703</v>
      </c>
      <c r="K79" s="41">
        <v>749736</v>
      </c>
      <c r="L79" s="79">
        <f t="shared" si="3"/>
        <v>0.99995598450654632</v>
      </c>
      <c r="M79" s="89">
        <v>1</v>
      </c>
      <c r="N79" s="7"/>
      <c r="O79" s="89">
        <v>1</v>
      </c>
      <c r="P79" s="89">
        <v>1</v>
      </c>
      <c r="Q79" s="89">
        <v>1</v>
      </c>
      <c r="R79" s="89">
        <v>1</v>
      </c>
      <c r="S79" s="7"/>
      <c r="T79" s="89" t="s">
        <v>1353</v>
      </c>
      <c r="U79" s="7"/>
      <c r="V79" s="89" t="s">
        <v>1353</v>
      </c>
      <c r="W79" s="7"/>
      <c r="X79" s="89" t="s">
        <v>1353</v>
      </c>
      <c r="Y79" s="7"/>
      <c r="Z79" s="81"/>
      <c r="AA79" s="6">
        <f t="shared" si="4"/>
        <v>2</v>
      </c>
      <c r="AB79" s="80" t="str">
        <f>+IF(AND(D79&gt;'Indices y Outliers'!$I$146,D79&lt;&gt;""),1,"")</f>
        <v/>
      </c>
      <c r="AC79" s="80" t="str">
        <f>+IF(AND(G79&gt;'Indices y Outliers'!$I$154,G79&lt;&gt;""),1,"")</f>
        <v/>
      </c>
      <c r="AD79" s="7"/>
      <c r="AE79" s="7">
        <f t="shared" si="5"/>
        <v>0</v>
      </c>
    </row>
    <row r="80" spans="1:31" ht="15.75" customHeight="1">
      <c r="A80" s="7" t="s">
        <v>447</v>
      </c>
      <c r="B80" s="78">
        <v>357.23</v>
      </c>
      <c r="C80" s="78">
        <v>0</v>
      </c>
      <c r="D80" s="42">
        <f t="shared" si="0"/>
        <v>357.23</v>
      </c>
      <c r="E80" s="78">
        <v>2.57</v>
      </c>
      <c r="F80" s="78">
        <v>0</v>
      </c>
      <c r="G80" s="42">
        <f t="shared" si="1"/>
        <v>2.57</v>
      </c>
      <c r="H80" s="41">
        <v>99132</v>
      </c>
      <c r="I80" s="41">
        <v>0</v>
      </c>
      <c r="J80" s="41">
        <f t="shared" si="2"/>
        <v>99132</v>
      </c>
      <c r="K80" s="41">
        <v>403274</v>
      </c>
      <c r="L80" s="79">
        <f t="shared" si="3"/>
        <v>0.2458179798350501</v>
      </c>
      <c r="M80" s="89">
        <v>1</v>
      </c>
      <c r="N80" s="7"/>
      <c r="O80" s="89">
        <v>1</v>
      </c>
      <c r="P80" s="7"/>
      <c r="Q80" s="7"/>
      <c r="R80" s="89">
        <v>1</v>
      </c>
      <c r="S80" s="89" t="s">
        <v>1353</v>
      </c>
      <c r="T80" s="89" t="s">
        <v>1353</v>
      </c>
      <c r="U80" s="7"/>
      <c r="V80" s="89" t="s">
        <v>1353</v>
      </c>
      <c r="W80" s="7"/>
      <c r="X80" s="89" t="s">
        <v>1353</v>
      </c>
      <c r="Y80" s="7"/>
      <c r="Z80" s="81"/>
      <c r="AA80" s="6">
        <f t="shared" si="4"/>
        <v>2</v>
      </c>
      <c r="AB80" s="80" t="str">
        <f>+IF(AND(D80&gt;'Indices y Outliers'!$I$146,D80&lt;&gt;""),1,"")</f>
        <v/>
      </c>
      <c r="AC80" s="80" t="str">
        <f>+IF(AND(G80&gt;'Indices y Outliers'!$I$154,G80&lt;&gt;""),1,"")</f>
        <v/>
      </c>
      <c r="AD80" s="7"/>
      <c r="AE80" s="7">
        <f t="shared" si="5"/>
        <v>0</v>
      </c>
    </row>
    <row r="81" spans="1:31" ht="15.75" customHeight="1">
      <c r="A81" s="7" t="s">
        <v>450</v>
      </c>
      <c r="B81" s="78">
        <v>0</v>
      </c>
      <c r="C81" s="78">
        <v>0</v>
      </c>
      <c r="D81" s="42" t="str">
        <f t="shared" si="0"/>
        <v/>
      </c>
      <c r="E81" s="78">
        <v>0</v>
      </c>
      <c r="F81" s="78">
        <v>0</v>
      </c>
      <c r="G81" s="42" t="str">
        <f t="shared" si="1"/>
        <v/>
      </c>
      <c r="H81" s="41">
        <v>0</v>
      </c>
      <c r="I81" s="41">
        <v>0</v>
      </c>
      <c r="J81" s="41">
        <f t="shared" si="2"/>
        <v>0</v>
      </c>
      <c r="K81" s="41">
        <v>0</v>
      </c>
      <c r="L81" s="79" t="str">
        <f t="shared" si="3"/>
        <v/>
      </c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81"/>
      <c r="AA81" s="6">
        <f t="shared" si="4"/>
        <v>0</v>
      </c>
      <c r="AB81" s="80" t="str">
        <f>+IF(AND(D81&gt;'Indices y Outliers'!$I$146,D81&lt;&gt;""),1,"")</f>
        <v/>
      </c>
      <c r="AC81" s="80" t="str">
        <f>+IF(AND(G81&gt;'Indices y Outliers'!$I$154,G81&lt;&gt;""),1,"")</f>
        <v/>
      </c>
      <c r="AD81" s="7"/>
      <c r="AE81" s="7">
        <f t="shared" si="5"/>
        <v>0</v>
      </c>
    </row>
    <row r="82" spans="1:31" ht="15.75" customHeight="1">
      <c r="A82" s="7" t="s">
        <v>453</v>
      </c>
      <c r="B82" s="78">
        <v>123.1</v>
      </c>
      <c r="C82" s="78">
        <v>0</v>
      </c>
      <c r="D82" s="42">
        <f t="shared" si="0"/>
        <v>123.1</v>
      </c>
      <c r="E82" s="78">
        <v>1.0489999999999999</v>
      </c>
      <c r="F82" s="78">
        <v>0</v>
      </c>
      <c r="G82" s="42">
        <f t="shared" si="1"/>
        <v>1.0489999999999999</v>
      </c>
      <c r="H82" s="41">
        <v>41761</v>
      </c>
      <c r="I82" s="41">
        <v>0</v>
      </c>
      <c r="J82" s="41">
        <f t="shared" si="2"/>
        <v>41761</v>
      </c>
      <c r="K82" s="41">
        <v>289958</v>
      </c>
      <c r="L82" s="79">
        <f t="shared" si="3"/>
        <v>0.14402430696859544</v>
      </c>
      <c r="M82" s="89">
        <v>1</v>
      </c>
      <c r="N82" s="7"/>
      <c r="O82" s="89">
        <v>1</v>
      </c>
      <c r="P82" s="89">
        <v>1</v>
      </c>
      <c r="Q82" s="89">
        <v>1</v>
      </c>
      <c r="R82" s="89">
        <v>1</v>
      </c>
      <c r="S82" s="7"/>
      <c r="T82" s="89" t="s">
        <v>1353</v>
      </c>
      <c r="U82" s="7"/>
      <c r="V82" s="89" t="s">
        <v>1353</v>
      </c>
      <c r="W82" s="7"/>
      <c r="X82" s="89" t="s">
        <v>1353</v>
      </c>
      <c r="Y82" s="89" t="s">
        <v>1354</v>
      </c>
      <c r="Z82" s="81"/>
      <c r="AA82" s="6">
        <f t="shared" si="4"/>
        <v>2</v>
      </c>
      <c r="AB82" s="80" t="str">
        <f>+IF(AND(D82&gt;'Indices y Outliers'!$I$146,D82&lt;&gt;""),1,"")</f>
        <v/>
      </c>
      <c r="AC82" s="80" t="str">
        <f>+IF(AND(G82&gt;'Indices y Outliers'!$I$154,G82&lt;&gt;""),1,"")</f>
        <v/>
      </c>
      <c r="AD82" s="7"/>
      <c r="AE82" s="7">
        <f t="shared" si="5"/>
        <v>0</v>
      </c>
    </row>
    <row r="83" spans="1:31" ht="15.75" customHeight="1">
      <c r="A83" s="7" t="s">
        <v>456</v>
      </c>
      <c r="B83" s="78">
        <v>264.63</v>
      </c>
      <c r="C83" s="78">
        <v>0</v>
      </c>
      <c r="D83" s="42">
        <f t="shared" si="0"/>
        <v>264.63</v>
      </c>
      <c r="E83" s="78">
        <v>1.9670000000000001</v>
      </c>
      <c r="F83" s="78">
        <v>0</v>
      </c>
      <c r="G83" s="42">
        <f t="shared" si="1"/>
        <v>1.9670000000000001</v>
      </c>
      <c r="H83" s="41">
        <v>15287</v>
      </c>
      <c r="I83" s="41">
        <v>0</v>
      </c>
      <c r="J83" s="41">
        <f t="shared" si="2"/>
        <v>15287</v>
      </c>
      <c r="K83" s="41">
        <v>51185</v>
      </c>
      <c r="L83" s="79">
        <f t="shared" si="3"/>
        <v>0.29866171729999025</v>
      </c>
      <c r="M83" s="89">
        <v>1</v>
      </c>
      <c r="N83" s="7"/>
      <c r="O83" s="89">
        <v>1</v>
      </c>
      <c r="P83" s="89">
        <v>1</v>
      </c>
      <c r="Q83" s="89">
        <v>1</v>
      </c>
      <c r="R83" s="89">
        <v>1</v>
      </c>
      <c r="S83" s="89" t="s">
        <v>1353</v>
      </c>
      <c r="T83" s="7"/>
      <c r="U83" s="89" t="s">
        <v>1353</v>
      </c>
      <c r="V83" s="89" t="s">
        <v>1353</v>
      </c>
      <c r="W83" s="7"/>
      <c r="X83" s="7"/>
      <c r="Y83" s="7"/>
      <c r="Z83" s="81"/>
      <c r="AA83" s="6">
        <f t="shared" si="4"/>
        <v>2</v>
      </c>
      <c r="AB83" s="80" t="str">
        <f>+IF(AND(D83&gt;'Indices y Outliers'!$I$146,D83&lt;&gt;""),1,"")</f>
        <v/>
      </c>
      <c r="AC83" s="80" t="str">
        <f>+IF(AND(G83&gt;'Indices y Outliers'!$I$154,G83&lt;&gt;""),1,"")</f>
        <v/>
      </c>
      <c r="AD83" s="7"/>
      <c r="AE83" s="7">
        <f t="shared" si="5"/>
        <v>0</v>
      </c>
    </row>
    <row r="84" spans="1:31" ht="15.75" customHeight="1">
      <c r="A84" s="7" t="s">
        <v>459</v>
      </c>
      <c r="B84" s="78">
        <v>0</v>
      </c>
      <c r="C84" s="78">
        <v>79.8</v>
      </c>
      <c r="D84" s="42">
        <f t="shared" si="0"/>
        <v>79.8</v>
      </c>
      <c r="E84" s="78">
        <v>0</v>
      </c>
      <c r="F84" s="78">
        <v>1.57</v>
      </c>
      <c r="G84" s="42">
        <f t="shared" si="1"/>
        <v>1.57</v>
      </c>
      <c r="H84" s="41">
        <v>0</v>
      </c>
      <c r="I84" s="41">
        <v>156277</v>
      </c>
      <c r="J84" s="41">
        <f t="shared" si="2"/>
        <v>156277</v>
      </c>
      <c r="K84" s="41">
        <v>156277</v>
      </c>
      <c r="L84" s="79">
        <f t="shared" si="3"/>
        <v>1</v>
      </c>
      <c r="M84" s="89">
        <v>1</v>
      </c>
      <c r="N84" s="89">
        <v>1</v>
      </c>
      <c r="O84" s="89">
        <v>1</v>
      </c>
      <c r="P84" s="7"/>
      <c r="Q84" s="89">
        <v>1</v>
      </c>
      <c r="R84" s="89">
        <v>1</v>
      </c>
      <c r="S84" s="89" t="s">
        <v>1353</v>
      </c>
      <c r="T84" s="89" t="s">
        <v>1353</v>
      </c>
      <c r="U84" s="89" t="s">
        <v>1353</v>
      </c>
      <c r="V84" s="89" t="s">
        <v>1353</v>
      </c>
      <c r="W84" s="7"/>
      <c r="X84" s="89" t="s">
        <v>1353</v>
      </c>
      <c r="Y84" s="7"/>
      <c r="Z84" s="81"/>
      <c r="AA84" s="6">
        <f t="shared" si="4"/>
        <v>2</v>
      </c>
      <c r="AB84" s="80" t="str">
        <f>+IF(AND(D84&gt;'Indices y Outliers'!$I$146,D84&lt;&gt;""),1,"")</f>
        <v/>
      </c>
      <c r="AC84" s="80" t="str">
        <f>+IF(AND(G84&gt;'Indices y Outliers'!$I$154,G84&lt;&gt;""),1,"")</f>
        <v/>
      </c>
      <c r="AD84" s="7"/>
      <c r="AE84" s="7">
        <f t="shared" si="5"/>
        <v>0</v>
      </c>
    </row>
    <row r="85" spans="1:31" ht="15.75" customHeight="1">
      <c r="A85" s="7" t="s">
        <v>462</v>
      </c>
      <c r="B85" s="78">
        <v>75.599999999999994</v>
      </c>
      <c r="C85" s="78">
        <v>0</v>
      </c>
      <c r="D85" s="42">
        <f t="shared" si="0"/>
        <v>75.599999999999994</v>
      </c>
      <c r="E85" s="78">
        <v>0.88400000000000001</v>
      </c>
      <c r="F85" s="78">
        <v>0</v>
      </c>
      <c r="G85" s="42">
        <f t="shared" si="1"/>
        <v>0.88400000000000001</v>
      </c>
      <c r="H85" s="41">
        <v>1307812</v>
      </c>
      <c r="I85" s="41">
        <v>0</v>
      </c>
      <c r="J85" s="41">
        <f t="shared" si="2"/>
        <v>1307812</v>
      </c>
      <c r="K85" s="41">
        <v>1307817</v>
      </c>
      <c r="L85" s="79">
        <f t="shared" si="3"/>
        <v>0.9999961768351382</v>
      </c>
      <c r="M85" s="89">
        <v>1</v>
      </c>
      <c r="N85" s="89">
        <v>1</v>
      </c>
      <c r="O85" s="89">
        <v>1</v>
      </c>
      <c r="P85" s="89">
        <v>1</v>
      </c>
      <c r="Q85" s="89">
        <v>1</v>
      </c>
      <c r="R85" s="89">
        <v>1</v>
      </c>
      <c r="S85" s="7"/>
      <c r="T85" s="89" t="s">
        <v>1353</v>
      </c>
      <c r="U85" s="89" t="s">
        <v>1353</v>
      </c>
      <c r="V85" s="89" t="s">
        <v>1353</v>
      </c>
      <c r="W85" s="7"/>
      <c r="X85" s="89" t="s">
        <v>1353</v>
      </c>
      <c r="Y85" s="89" t="s">
        <v>1353</v>
      </c>
      <c r="Z85" s="81"/>
      <c r="AA85" s="6">
        <f t="shared" si="4"/>
        <v>2</v>
      </c>
      <c r="AB85" s="80" t="str">
        <f>+IF(AND(D85&gt;'Indices y Outliers'!$I$146,D85&lt;&gt;""),1,"")</f>
        <v/>
      </c>
      <c r="AC85" s="80" t="str">
        <f>+IF(AND(G85&gt;'Indices y Outliers'!$I$154,G85&lt;&gt;""),1,"")</f>
        <v/>
      </c>
      <c r="AD85" s="7"/>
      <c r="AE85" s="7">
        <f t="shared" si="5"/>
        <v>0</v>
      </c>
    </row>
    <row r="86" spans="1:31" ht="15.75" customHeight="1">
      <c r="A86" s="7" t="s">
        <v>465</v>
      </c>
      <c r="B86" s="78">
        <v>83.7</v>
      </c>
      <c r="C86" s="78">
        <v>0</v>
      </c>
      <c r="D86" s="42">
        <f t="shared" si="0"/>
        <v>83.7</v>
      </c>
      <c r="E86" s="78">
        <v>1.504</v>
      </c>
      <c r="F86" s="78">
        <v>0</v>
      </c>
      <c r="G86" s="42">
        <f t="shared" si="1"/>
        <v>1.504</v>
      </c>
      <c r="H86" s="41">
        <v>577958</v>
      </c>
      <c r="I86" s="41">
        <v>0</v>
      </c>
      <c r="J86" s="41">
        <f t="shared" si="2"/>
        <v>577958</v>
      </c>
      <c r="K86" s="41">
        <v>578118</v>
      </c>
      <c r="L86" s="79">
        <f t="shared" si="3"/>
        <v>0.99972323989220191</v>
      </c>
      <c r="M86" s="89">
        <v>1</v>
      </c>
      <c r="N86" s="89">
        <v>1</v>
      </c>
      <c r="O86" s="89">
        <v>1</v>
      </c>
      <c r="P86" s="89">
        <v>1</v>
      </c>
      <c r="Q86" s="89">
        <v>1</v>
      </c>
      <c r="R86" s="89">
        <v>1</v>
      </c>
      <c r="S86" s="89" t="s">
        <v>1354</v>
      </c>
      <c r="T86" s="89" t="s">
        <v>1353</v>
      </c>
      <c r="U86" s="89" t="s">
        <v>1353</v>
      </c>
      <c r="V86" s="89" t="s">
        <v>1353</v>
      </c>
      <c r="W86" s="7"/>
      <c r="X86" s="89" t="s">
        <v>1353</v>
      </c>
      <c r="Y86" s="89" t="s">
        <v>1353</v>
      </c>
      <c r="Z86" s="81"/>
      <c r="AA86" s="6">
        <f t="shared" si="4"/>
        <v>2</v>
      </c>
      <c r="AB86" s="80" t="str">
        <f>+IF(AND(D86&gt;'Indices y Outliers'!$I$146,D86&lt;&gt;""),1,"")</f>
        <v/>
      </c>
      <c r="AC86" s="80" t="str">
        <f>+IF(AND(G86&gt;'Indices y Outliers'!$I$154,G86&lt;&gt;""),1,"")</f>
        <v/>
      </c>
      <c r="AD86" s="7"/>
      <c r="AE86" s="7">
        <f t="shared" si="5"/>
        <v>0</v>
      </c>
    </row>
    <row r="87" spans="1:31" ht="15.75" customHeight="1">
      <c r="A87" s="7" t="s">
        <v>468</v>
      </c>
      <c r="B87" s="78">
        <v>0</v>
      </c>
      <c r="C87" s="78">
        <v>150.6</v>
      </c>
      <c r="D87" s="42">
        <f t="shared" si="0"/>
        <v>150.6</v>
      </c>
      <c r="E87" s="78">
        <v>0</v>
      </c>
      <c r="F87" s="78">
        <v>1.5</v>
      </c>
      <c r="G87" s="42">
        <f t="shared" si="1"/>
        <v>1.5</v>
      </c>
      <c r="H87" s="41">
        <v>163740</v>
      </c>
      <c r="I87" s="41">
        <v>1381</v>
      </c>
      <c r="J87" s="41">
        <f t="shared" si="2"/>
        <v>165121</v>
      </c>
      <c r="K87" s="41">
        <v>318821</v>
      </c>
      <c r="L87" s="79">
        <f t="shared" si="3"/>
        <v>0.51791130446237854</v>
      </c>
      <c r="M87" s="89">
        <v>1</v>
      </c>
      <c r="N87" s="89">
        <v>1</v>
      </c>
      <c r="O87" s="89">
        <v>1</v>
      </c>
      <c r="P87" s="89">
        <v>1</v>
      </c>
      <c r="Q87" s="89">
        <v>1</v>
      </c>
      <c r="R87" s="89">
        <v>1</v>
      </c>
      <c r="S87" s="89" t="s">
        <v>1353</v>
      </c>
      <c r="T87" s="89" t="s">
        <v>1353</v>
      </c>
      <c r="U87" s="7"/>
      <c r="V87" s="89" t="s">
        <v>1353</v>
      </c>
      <c r="W87" s="7"/>
      <c r="X87" s="89" t="s">
        <v>1353</v>
      </c>
      <c r="Y87" s="7"/>
      <c r="Z87" s="81"/>
      <c r="AA87" s="6">
        <f t="shared" si="4"/>
        <v>2</v>
      </c>
      <c r="AB87" s="80" t="str">
        <f>+IF(AND(D87&gt;'Indices y Outliers'!$I$146,D87&lt;&gt;""),1,"")</f>
        <v/>
      </c>
      <c r="AC87" s="80" t="str">
        <f>+IF(AND(G87&gt;'Indices y Outliers'!$I$154,G87&lt;&gt;""),1,"")</f>
        <v/>
      </c>
      <c r="AD87" s="7"/>
      <c r="AE87" s="7">
        <f t="shared" si="5"/>
        <v>0</v>
      </c>
    </row>
    <row r="88" spans="1:31" ht="15.75" customHeight="1">
      <c r="A88" s="7" t="s">
        <v>471</v>
      </c>
      <c r="B88" s="78">
        <v>49.67</v>
      </c>
      <c r="C88" s="78">
        <v>0</v>
      </c>
      <c r="D88" s="42">
        <f t="shared" si="0"/>
        <v>49.67</v>
      </c>
      <c r="E88" s="78">
        <v>0.64</v>
      </c>
      <c r="F88" s="78">
        <v>0</v>
      </c>
      <c r="G88" s="42">
        <f t="shared" si="1"/>
        <v>0.64</v>
      </c>
      <c r="H88" s="41">
        <v>181</v>
      </c>
      <c r="I88" s="41">
        <v>5979359</v>
      </c>
      <c r="J88" s="41">
        <f t="shared" si="2"/>
        <v>5979540</v>
      </c>
      <c r="K88" s="41">
        <v>6021752</v>
      </c>
      <c r="L88" s="79">
        <f t="shared" si="3"/>
        <v>0.99299007996343924</v>
      </c>
      <c r="M88" s="89">
        <v>1</v>
      </c>
      <c r="N88" s="89">
        <v>1</v>
      </c>
      <c r="O88" s="89">
        <v>1</v>
      </c>
      <c r="P88" s="7"/>
      <c r="Q88" s="89">
        <v>1</v>
      </c>
      <c r="R88" s="89">
        <v>1</v>
      </c>
      <c r="S88" s="89" t="s">
        <v>1353</v>
      </c>
      <c r="T88" s="89" t="s">
        <v>1353</v>
      </c>
      <c r="U88" s="89" t="s">
        <v>1353</v>
      </c>
      <c r="V88" s="89" t="s">
        <v>1353</v>
      </c>
      <c r="W88" s="7"/>
      <c r="X88" s="89" t="s">
        <v>1353</v>
      </c>
      <c r="Y88" s="7"/>
      <c r="Z88" s="81"/>
      <c r="AA88" s="6">
        <f t="shared" si="4"/>
        <v>2</v>
      </c>
      <c r="AB88" s="80" t="str">
        <f>+IF(AND(D88&gt;'Indices y Outliers'!$I$146,D88&lt;&gt;""),1,"")</f>
        <v/>
      </c>
      <c r="AC88" s="80" t="str">
        <f>+IF(AND(G88&gt;'Indices y Outliers'!$I$154,G88&lt;&gt;""),1,"")</f>
        <v/>
      </c>
      <c r="AD88" s="7"/>
      <c r="AE88" s="7">
        <f t="shared" si="5"/>
        <v>0</v>
      </c>
    </row>
    <row r="89" spans="1:31" ht="15.75" customHeight="1">
      <c r="A89" s="7" t="s">
        <v>474</v>
      </c>
      <c r="B89" s="78">
        <v>60.44</v>
      </c>
      <c r="C89" s="78">
        <v>0</v>
      </c>
      <c r="D89" s="42">
        <f t="shared" si="0"/>
        <v>60.44</v>
      </c>
      <c r="E89" s="78">
        <v>0.96199999999999997</v>
      </c>
      <c r="F89" s="78">
        <v>0</v>
      </c>
      <c r="G89" s="42">
        <f t="shared" si="1"/>
        <v>0.96199999999999997</v>
      </c>
      <c r="H89" s="41">
        <v>27775</v>
      </c>
      <c r="I89" s="41">
        <v>1333999</v>
      </c>
      <c r="J89" s="41">
        <f t="shared" si="2"/>
        <v>1361774</v>
      </c>
      <c r="K89" s="41">
        <v>1367938</v>
      </c>
      <c r="L89" s="79">
        <f t="shared" si="3"/>
        <v>0.99549394782512068</v>
      </c>
      <c r="M89" s="89">
        <v>1</v>
      </c>
      <c r="N89" s="89">
        <v>1</v>
      </c>
      <c r="O89" s="89">
        <v>1</v>
      </c>
      <c r="P89" s="89">
        <v>1</v>
      </c>
      <c r="Q89" s="89">
        <v>1</v>
      </c>
      <c r="R89" s="89">
        <v>1</v>
      </c>
      <c r="S89" s="7"/>
      <c r="T89" s="89" t="s">
        <v>1353</v>
      </c>
      <c r="U89" s="7"/>
      <c r="V89" s="89" t="s">
        <v>1353</v>
      </c>
      <c r="W89" s="7"/>
      <c r="X89" s="7"/>
      <c r="Y89" s="7"/>
      <c r="Z89" s="81"/>
      <c r="AA89" s="6">
        <f t="shared" si="4"/>
        <v>2</v>
      </c>
      <c r="AB89" s="80" t="str">
        <f>+IF(AND(D89&gt;'Indices y Outliers'!$I$146,D89&lt;&gt;""),1,"")</f>
        <v/>
      </c>
      <c r="AC89" s="80" t="str">
        <f>+IF(AND(G89&gt;'Indices y Outliers'!$I$154,G89&lt;&gt;""),1,"")</f>
        <v/>
      </c>
      <c r="AD89" s="7"/>
      <c r="AE89" s="7">
        <f t="shared" si="5"/>
        <v>0</v>
      </c>
    </row>
    <row r="90" spans="1:31" ht="15.75" customHeight="1">
      <c r="A90" s="7" t="s">
        <v>477</v>
      </c>
      <c r="B90" s="78">
        <v>85.34</v>
      </c>
      <c r="C90" s="78">
        <v>0</v>
      </c>
      <c r="D90" s="42">
        <f t="shared" si="0"/>
        <v>85.34</v>
      </c>
      <c r="E90" s="78">
        <v>2.609</v>
      </c>
      <c r="F90" s="78">
        <v>0</v>
      </c>
      <c r="G90" s="42">
        <f t="shared" si="1"/>
        <v>2.609</v>
      </c>
      <c r="H90" s="41">
        <v>0</v>
      </c>
      <c r="I90" s="41">
        <v>5655</v>
      </c>
      <c r="J90" s="41">
        <f t="shared" si="2"/>
        <v>5655</v>
      </c>
      <c r="K90" s="41">
        <v>5691</v>
      </c>
      <c r="L90" s="79">
        <f t="shared" si="3"/>
        <v>0.99367422245651027</v>
      </c>
      <c r="M90" s="89">
        <v>1</v>
      </c>
      <c r="N90" s="7"/>
      <c r="O90" s="89">
        <v>1</v>
      </c>
      <c r="P90" s="89">
        <v>1</v>
      </c>
      <c r="Q90" s="89">
        <v>1</v>
      </c>
      <c r="R90" s="89">
        <v>1</v>
      </c>
      <c r="S90" s="89" t="s">
        <v>1353</v>
      </c>
      <c r="T90" s="89" t="s">
        <v>1353</v>
      </c>
      <c r="U90" s="89" t="s">
        <v>1353</v>
      </c>
      <c r="V90" s="89" t="s">
        <v>1353</v>
      </c>
      <c r="W90" s="7"/>
      <c r="X90" s="89" t="s">
        <v>1353</v>
      </c>
      <c r="Y90" s="7"/>
      <c r="Z90" s="81"/>
      <c r="AA90" s="6">
        <f t="shared" si="4"/>
        <v>2</v>
      </c>
      <c r="AB90" s="80" t="str">
        <f>+IF(AND(D90&gt;'Indices y Outliers'!$I$146,D90&lt;&gt;""),1,"")</f>
        <v/>
      </c>
      <c r="AC90" s="80" t="str">
        <f>+IF(AND(G90&gt;'Indices y Outliers'!$I$154,G90&lt;&gt;""),1,"")</f>
        <v/>
      </c>
      <c r="AD90" s="7"/>
      <c r="AE90" s="7">
        <f t="shared" si="5"/>
        <v>0</v>
      </c>
    </row>
    <row r="91" spans="1:31" ht="15.75" customHeight="1">
      <c r="A91" s="7" t="s">
        <v>480</v>
      </c>
      <c r="B91" s="78">
        <v>109</v>
      </c>
      <c r="C91" s="78">
        <v>0</v>
      </c>
      <c r="D91" s="42">
        <f t="shared" si="0"/>
        <v>109</v>
      </c>
      <c r="E91" s="78">
        <v>0.65</v>
      </c>
      <c r="F91" s="78">
        <v>0</v>
      </c>
      <c r="G91" s="42">
        <f t="shared" si="1"/>
        <v>0.65</v>
      </c>
      <c r="H91" s="41">
        <v>0</v>
      </c>
      <c r="I91" s="41">
        <v>928861</v>
      </c>
      <c r="J91" s="41">
        <f t="shared" si="2"/>
        <v>928861</v>
      </c>
      <c r="K91" s="41">
        <v>928861</v>
      </c>
      <c r="L91" s="79">
        <f t="shared" si="3"/>
        <v>1</v>
      </c>
      <c r="M91" s="89">
        <v>1</v>
      </c>
      <c r="N91" s="89">
        <v>1</v>
      </c>
      <c r="O91" s="89">
        <v>1</v>
      </c>
      <c r="P91" s="89">
        <v>1</v>
      </c>
      <c r="Q91" s="7"/>
      <c r="R91" s="89">
        <v>1</v>
      </c>
      <c r="S91" s="89" t="s">
        <v>1353</v>
      </c>
      <c r="T91" s="89" t="s">
        <v>1353</v>
      </c>
      <c r="U91" s="89" t="s">
        <v>1353</v>
      </c>
      <c r="V91" s="89" t="s">
        <v>1353</v>
      </c>
      <c r="W91" s="7"/>
      <c r="X91" s="89" t="s">
        <v>1353</v>
      </c>
      <c r="Y91" s="89" t="s">
        <v>1353</v>
      </c>
      <c r="Z91" s="81"/>
      <c r="AA91" s="6">
        <f t="shared" si="4"/>
        <v>2</v>
      </c>
      <c r="AB91" s="80" t="str">
        <f>+IF(AND(D91&gt;'Indices y Outliers'!$I$146,D91&lt;&gt;""),1,"")</f>
        <v/>
      </c>
      <c r="AC91" s="80" t="str">
        <f>+IF(AND(G91&gt;'Indices y Outliers'!$I$154,G91&lt;&gt;""),1,"")</f>
        <v/>
      </c>
      <c r="AD91" s="7"/>
      <c r="AE91" s="7">
        <f t="shared" si="5"/>
        <v>0</v>
      </c>
    </row>
    <row r="92" spans="1:31" ht="15.75" customHeight="1">
      <c r="A92" s="7" t="s">
        <v>483</v>
      </c>
      <c r="B92" s="78">
        <v>59</v>
      </c>
      <c r="C92" s="78">
        <v>0</v>
      </c>
      <c r="D92" s="42">
        <f t="shared" si="0"/>
        <v>59</v>
      </c>
      <c r="E92" s="78">
        <v>0.83</v>
      </c>
      <c r="F92" s="78">
        <v>0</v>
      </c>
      <c r="G92" s="42">
        <f t="shared" si="1"/>
        <v>0.83</v>
      </c>
      <c r="H92" s="41">
        <v>731635</v>
      </c>
      <c r="I92" s="41">
        <v>0</v>
      </c>
      <c r="J92" s="41">
        <f t="shared" si="2"/>
        <v>731635</v>
      </c>
      <c r="K92" s="41">
        <v>732221</v>
      </c>
      <c r="L92" s="79">
        <f t="shared" si="3"/>
        <v>0.99919969517399798</v>
      </c>
      <c r="M92" s="89">
        <v>1</v>
      </c>
      <c r="N92" s="89">
        <v>1</v>
      </c>
      <c r="O92" s="89">
        <v>1</v>
      </c>
      <c r="P92" s="89">
        <v>1</v>
      </c>
      <c r="Q92" s="89">
        <v>1</v>
      </c>
      <c r="R92" s="89">
        <v>1</v>
      </c>
      <c r="S92" s="89" t="s">
        <v>1353</v>
      </c>
      <c r="T92" s="89" t="s">
        <v>1353</v>
      </c>
      <c r="U92" s="89" t="s">
        <v>1353</v>
      </c>
      <c r="V92" s="89" t="s">
        <v>1353</v>
      </c>
      <c r="W92" s="89" t="s">
        <v>1354</v>
      </c>
      <c r="X92" s="89" t="s">
        <v>1353</v>
      </c>
      <c r="Y92" s="89" t="s">
        <v>1354</v>
      </c>
      <c r="Z92" s="81"/>
      <c r="AA92" s="6">
        <f t="shared" si="4"/>
        <v>2</v>
      </c>
      <c r="AB92" s="80" t="str">
        <f>+IF(AND(D92&gt;'Indices y Outliers'!$I$146,D92&lt;&gt;""),1,"")</f>
        <v/>
      </c>
      <c r="AC92" s="80" t="str">
        <f>+IF(AND(G92&gt;'Indices y Outliers'!$I$154,G92&lt;&gt;""),1,"")</f>
        <v/>
      </c>
      <c r="AD92" s="7"/>
      <c r="AE92" s="7">
        <f t="shared" si="5"/>
        <v>0</v>
      </c>
    </row>
    <row r="93" spans="1:31" ht="15.75" customHeight="1">
      <c r="A93" s="7" t="s">
        <v>486</v>
      </c>
      <c r="B93" s="78">
        <v>0</v>
      </c>
      <c r="C93" s="78">
        <v>0</v>
      </c>
      <c r="D93" s="42" t="str">
        <f t="shared" si="0"/>
        <v/>
      </c>
      <c r="E93" s="78">
        <v>0</v>
      </c>
      <c r="F93" s="78">
        <v>0</v>
      </c>
      <c r="G93" s="42" t="str">
        <f t="shared" si="1"/>
        <v/>
      </c>
      <c r="H93" s="41">
        <v>6298</v>
      </c>
      <c r="I93" s="41">
        <v>0</v>
      </c>
      <c r="J93" s="41">
        <f t="shared" si="2"/>
        <v>6298</v>
      </c>
      <c r="K93" s="41">
        <v>6298</v>
      </c>
      <c r="L93" s="79">
        <f t="shared" si="3"/>
        <v>1</v>
      </c>
      <c r="M93" s="89">
        <v>1</v>
      </c>
      <c r="N93" s="7"/>
      <c r="O93" s="89">
        <v>1</v>
      </c>
      <c r="P93" s="7"/>
      <c r="Q93" s="7"/>
      <c r="R93" s="7"/>
      <c r="S93" s="89" t="s">
        <v>1353</v>
      </c>
      <c r="T93" s="89" t="s">
        <v>1354</v>
      </c>
      <c r="U93" s="7"/>
      <c r="V93" s="89" t="s">
        <v>1353</v>
      </c>
      <c r="W93" s="89" t="s">
        <v>1353</v>
      </c>
      <c r="X93" s="7"/>
      <c r="Y93" s="7"/>
      <c r="Z93" s="81"/>
      <c r="AA93" s="6">
        <f t="shared" si="4"/>
        <v>0</v>
      </c>
      <c r="AB93" s="80" t="str">
        <f>+IF(AND(D93&gt;'Indices y Outliers'!$I$146,D93&lt;&gt;""),1,"")</f>
        <v/>
      </c>
      <c r="AC93" s="80" t="str">
        <f>+IF(AND(G93&gt;'Indices y Outliers'!$I$154,G93&lt;&gt;""),1,"")</f>
        <v/>
      </c>
      <c r="AD93" s="7"/>
      <c r="AE93" s="7">
        <f t="shared" si="5"/>
        <v>0</v>
      </c>
    </row>
    <row r="94" spans="1:31" ht="15.75" customHeight="1">
      <c r="A94" s="7" t="s">
        <v>490</v>
      </c>
      <c r="B94" s="78">
        <v>78.08</v>
      </c>
      <c r="C94" s="78">
        <v>0</v>
      </c>
      <c r="D94" s="42">
        <f t="shared" si="0"/>
        <v>78.08</v>
      </c>
      <c r="E94" s="78">
        <v>1.3779999999999999</v>
      </c>
      <c r="F94" s="78">
        <v>0</v>
      </c>
      <c r="G94" s="42">
        <f t="shared" si="1"/>
        <v>1.3779999999999999</v>
      </c>
      <c r="H94" s="41">
        <v>0</v>
      </c>
      <c r="I94" s="41">
        <v>286098</v>
      </c>
      <c r="J94" s="41">
        <f t="shared" si="2"/>
        <v>286098</v>
      </c>
      <c r="K94" s="41">
        <v>286106</v>
      </c>
      <c r="L94" s="79">
        <f t="shared" si="3"/>
        <v>0.99997203833544213</v>
      </c>
      <c r="M94" s="89">
        <v>1</v>
      </c>
      <c r="N94" s="89">
        <v>1</v>
      </c>
      <c r="O94" s="89">
        <v>1</v>
      </c>
      <c r="P94" s="89">
        <v>1</v>
      </c>
      <c r="Q94" s="89">
        <v>1</v>
      </c>
      <c r="R94" s="89">
        <v>1</v>
      </c>
      <c r="S94" s="89" t="s">
        <v>1353</v>
      </c>
      <c r="T94" s="89" t="s">
        <v>1353</v>
      </c>
      <c r="U94" s="89" t="s">
        <v>1353</v>
      </c>
      <c r="V94" s="89" t="s">
        <v>1353</v>
      </c>
      <c r="W94" s="7"/>
      <c r="X94" s="89" t="s">
        <v>1353</v>
      </c>
      <c r="Y94" s="7"/>
      <c r="Z94" s="81"/>
      <c r="AA94" s="6">
        <f t="shared" si="4"/>
        <v>2</v>
      </c>
      <c r="AB94" s="80" t="str">
        <f>+IF(AND(D94&gt;'Indices y Outliers'!$I$146,D94&lt;&gt;""),1,"")</f>
        <v/>
      </c>
      <c r="AC94" s="80" t="str">
        <f>+IF(AND(G94&gt;'Indices y Outliers'!$I$154,G94&lt;&gt;""),1,"")</f>
        <v/>
      </c>
      <c r="AD94" s="7"/>
      <c r="AE94" s="7">
        <f t="shared" si="5"/>
        <v>0</v>
      </c>
    </row>
    <row r="95" spans="1:31" ht="15.75" customHeight="1">
      <c r="A95" s="7" t="s">
        <v>493</v>
      </c>
      <c r="B95" s="78">
        <v>119.1</v>
      </c>
      <c r="C95" s="78">
        <v>0</v>
      </c>
      <c r="D95" s="42">
        <f t="shared" si="0"/>
        <v>119.1</v>
      </c>
      <c r="E95" s="78">
        <v>1.5680000000000001</v>
      </c>
      <c r="F95" s="78">
        <v>0</v>
      </c>
      <c r="G95" s="42">
        <f t="shared" si="1"/>
        <v>1.5680000000000001</v>
      </c>
      <c r="H95" s="41">
        <v>0</v>
      </c>
      <c r="I95" s="41">
        <v>347803</v>
      </c>
      <c r="J95" s="41">
        <f t="shared" si="2"/>
        <v>347803</v>
      </c>
      <c r="K95" s="41">
        <v>348081</v>
      </c>
      <c r="L95" s="79">
        <f t="shared" si="3"/>
        <v>0.99920133532137634</v>
      </c>
      <c r="M95" s="89">
        <v>1</v>
      </c>
      <c r="N95" s="89">
        <v>1</v>
      </c>
      <c r="O95" s="89">
        <v>1</v>
      </c>
      <c r="P95" s="89">
        <v>1</v>
      </c>
      <c r="Q95" s="89">
        <v>1</v>
      </c>
      <c r="R95" s="89">
        <v>1</v>
      </c>
      <c r="S95" s="89" t="s">
        <v>1353</v>
      </c>
      <c r="T95" s="89" t="s">
        <v>1353</v>
      </c>
      <c r="U95" s="89" t="s">
        <v>1353</v>
      </c>
      <c r="V95" s="89" t="s">
        <v>1353</v>
      </c>
      <c r="W95" s="7"/>
      <c r="X95" s="89" t="s">
        <v>1353</v>
      </c>
      <c r="Y95" s="7"/>
      <c r="Z95" s="81"/>
      <c r="AA95" s="6">
        <f t="shared" si="4"/>
        <v>2</v>
      </c>
      <c r="AB95" s="80" t="str">
        <f>+IF(AND(D95&gt;'Indices y Outliers'!$I$146,D95&lt;&gt;""),1,"")</f>
        <v/>
      </c>
      <c r="AC95" s="80" t="str">
        <f>+IF(AND(G95&gt;'Indices y Outliers'!$I$154,G95&lt;&gt;""),1,"")</f>
        <v/>
      </c>
      <c r="AD95" s="7"/>
      <c r="AE95" s="7">
        <f t="shared" si="5"/>
        <v>0</v>
      </c>
    </row>
    <row r="96" spans="1:31" ht="15.75" customHeight="1">
      <c r="A96" s="7" t="s">
        <v>496</v>
      </c>
      <c r="B96" s="78">
        <v>0</v>
      </c>
      <c r="C96" s="78">
        <v>0</v>
      </c>
      <c r="D96" s="42" t="str">
        <f t="shared" si="0"/>
        <v/>
      </c>
      <c r="E96" s="78">
        <v>0</v>
      </c>
      <c r="F96" s="78">
        <v>0</v>
      </c>
      <c r="G96" s="42" t="str">
        <f t="shared" si="1"/>
        <v/>
      </c>
      <c r="H96" s="41">
        <v>0</v>
      </c>
      <c r="I96" s="41">
        <v>0</v>
      </c>
      <c r="J96" s="41">
        <f t="shared" si="2"/>
        <v>0</v>
      </c>
      <c r="K96" s="41">
        <v>0</v>
      </c>
      <c r="L96" s="79" t="str">
        <f t="shared" si="3"/>
        <v/>
      </c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81"/>
      <c r="AA96" s="6">
        <f t="shared" si="4"/>
        <v>0</v>
      </c>
      <c r="AB96" s="80" t="str">
        <f>+IF(AND(D96&gt;'Indices y Outliers'!$I$146,D96&lt;&gt;""),1,"")</f>
        <v/>
      </c>
      <c r="AC96" s="80" t="str">
        <f>+IF(AND(G96&gt;'Indices y Outliers'!$I$154,G96&lt;&gt;""),1,"")</f>
        <v/>
      </c>
      <c r="AD96" s="7"/>
      <c r="AE96" s="7">
        <f t="shared" si="5"/>
        <v>0</v>
      </c>
    </row>
    <row r="97" spans="1:31" ht="15.75" customHeight="1">
      <c r="A97" s="7" t="s">
        <v>499</v>
      </c>
      <c r="B97" s="78">
        <v>61.87</v>
      </c>
      <c r="C97" s="78">
        <v>0</v>
      </c>
      <c r="D97" s="42">
        <f t="shared" si="0"/>
        <v>61.87</v>
      </c>
      <c r="E97" s="78">
        <v>0.97599999999999998</v>
      </c>
      <c r="F97" s="78">
        <v>0</v>
      </c>
      <c r="G97" s="42">
        <f t="shared" si="1"/>
        <v>0.97599999999999998</v>
      </c>
      <c r="H97" s="41">
        <v>62503</v>
      </c>
      <c r="I97" s="41">
        <v>432134</v>
      </c>
      <c r="J97" s="41">
        <f t="shared" si="2"/>
        <v>494637</v>
      </c>
      <c r="K97" s="41">
        <v>494812</v>
      </c>
      <c r="L97" s="79">
        <f t="shared" si="3"/>
        <v>0.99964633032343597</v>
      </c>
      <c r="M97" s="89">
        <v>1</v>
      </c>
      <c r="N97" s="89">
        <v>1</v>
      </c>
      <c r="O97" s="89">
        <v>1</v>
      </c>
      <c r="P97" s="89">
        <v>1</v>
      </c>
      <c r="Q97" s="89">
        <v>1</v>
      </c>
      <c r="R97" s="89">
        <v>1</v>
      </c>
      <c r="S97" s="89" t="s">
        <v>1353</v>
      </c>
      <c r="T97" s="89" t="s">
        <v>1353</v>
      </c>
      <c r="U97" s="89" t="s">
        <v>1353</v>
      </c>
      <c r="V97" s="89" t="s">
        <v>1353</v>
      </c>
      <c r="W97" s="7"/>
      <c r="X97" s="89" t="s">
        <v>1353</v>
      </c>
      <c r="Y97" s="7"/>
      <c r="Z97" s="81"/>
      <c r="AA97" s="6">
        <f t="shared" si="4"/>
        <v>2</v>
      </c>
      <c r="AB97" s="80" t="str">
        <f>+IF(AND(D97&gt;'Indices y Outliers'!$I$146,D97&lt;&gt;""),1,"")</f>
        <v/>
      </c>
      <c r="AC97" s="80" t="str">
        <f>+IF(AND(G97&gt;'Indices y Outliers'!$I$154,G97&lt;&gt;""),1,"")</f>
        <v/>
      </c>
      <c r="AD97" s="7"/>
      <c r="AE97" s="7">
        <f t="shared" si="5"/>
        <v>0</v>
      </c>
    </row>
    <row r="98" spans="1:31" ht="15.75" customHeight="1">
      <c r="A98" s="7" t="s">
        <v>502</v>
      </c>
      <c r="B98" s="78">
        <v>44.09</v>
      </c>
      <c r="C98" s="78">
        <v>0</v>
      </c>
      <c r="D98" s="42">
        <f t="shared" si="0"/>
        <v>44.09</v>
      </c>
      <c r="E98" s="78">
        <v>0.77600000000000002</v>
      </c>
      <c r="F98" s="78">
        <v>0</v>
      </c>
      <c r="G98" s="42">
        <f t="shared" si="1"/>
        <v>0.77600000000000002</v>
      </c>
      <c r="H98" s="41">
        <v>35329</v>
      </c>
      <c r="I98" s="41">
        <v>76459</v>
      </c>
      <c r="J98" s="41">
        <f t="shared" si="2"/>
        <v>111788</v>
      </c>
      <c r="K98" s="41">
        <v>111916</v>
      </c>
      <c r="L98" s="79">
        <f t="shared" si="3"/>
        <v>0.99885628507094604</v>
      </c>
      <c r="M98" s="89">
        <v>1</v>
      </c>
      <c r="N98" s="89">
        <v>1</v>
      </c>
      <c r="O98" s="89">
        <v>1</v>
      </c>
      <c r="P98" s="89">
        <v>1</v>
      </c>
      <c r="Q98" s="89">
        <v>1</v>
      </c>
      <c r="R98" s="89">
        <v>1</v>
      </c>
      <c r="S98" s="89" t="s">
        <v>1353</v>
      </c>
      <c r="T98" s="89" t="s">
        <v>1353</v>
      </c>
      <c r="U98" s="89" t="s">
        <v>1353</v>
      </c>
      <c r="V98" s="89" t="s">
        <v>1353</v>
      </c>
      <c r="W98" s="7"/>
      <c r="X98" s="89" t="s">
        <v>1353</v>
      </c>
      <c r="Y98" s="7"/>
      <c r="Z98" s="81"/>
      <c r="AA98" s="6">
        <f t="shared" si="4"/>
        <v>2</v>
      </c>
      <c r="AB98" s="80" t="str">
        <f>+IF(AND(D98&gt;'Indices y Outliers'!$I$146,D98&lt;&gt;""),1,"")</f>
        <v/>
      </c>
      <c r="AC98" s="80" t="str">
        <f>+IF(AND(G98&gt;'Indices y Outliers'!$I$154,G98&lt;&gt;""),1,"")</f>
        <v/>
      </c>
      <c r="AD98" s="7"/>
      <c r="AE98" s="7">
        <f t="shared" si="5"/>
        <v>0</v>
      </c>
    </row>
    <row r="99" spans="1:31" ht="15.75" customHeight="1">
      <c r="A99" s="7" t="s">
        <v>505</v>
      </c>
      <c r="B99" s="78">
        <v>0</v>
      </c>
      <c r="C99" s="78">
        <v>0</v>
      </c>
      <c r="D99" s="42" t="str">
        <f t="shared" si="0"/>
        <v/>
      </c>
      <c r="E99" s="78">
        <v>0</v>
      </c>
      <c r="F99" s="78">
        <v>0</v>
      </c>
      <c r="G99" s="42" t="str">
        <f t="shared" si="1"/>
        <v/>
      </c>
      <c r="H99" s="41">
        <v>0</v>
      </c>
      <c r="I99" s="41">
        <v>0</v>
      </c>
      <c r="J99" s="41">
        <f t="shared" si="2"/>
        <v>0</v>
      </c>
      <c r="K99" s="41">
        <v>0</v>
      </c>
      <c r="L99" s="79" t="str">
        <f t="shared" si="3"/>
        <v/>
      </c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81"/>
      <c r="AA99" s="6">
        <f t="shared" si="4"/>
        <v>0</v>
      </c>
      <c r="AB99" s="80" t="str">
        <f>+IF(AND(D99&gt;'Indices y Outliers'!$I$146,D99&lt;&gt;""),1,"")</f>
        <v/>
      </c>
      <c r="AC99" s="80" t="str">
        <f>+IF(AND(G99&gt;'Indices y Outliers'!$I$154,G99&lt;&gt;""),1,"")</f>
        <v/>
      </c>
      <c r="AD99" s="7"/>
      <c r="AE99" s="7">
        <f t="shared" si="5"/>
        <v>0</v>
      </c>
    </row>
    <row r="100" spans="1:31" ht="15.75" customHeight="1">
      <c r="A100" s="7" t="s">
        <v>508</v>
      </c>
      <c r="B100" s="78">
        <v>35.65</v>
      </c>
      <c r="C100" s="78">
        <v>0</v>
      </c>
      <c r="D100" s="42">
        <f t="shared" si="0"/>
        <v>35.65</v>
      </c>
      <c r="E100" s="78">
        <v>0.56999999999999995</v>
      </c>
      <c r="F100" s="78">
        <v>0</v>
      </c>
      <c r="G100" s="42">
        <f t="shared" si="1"/>
        <v>0.56999999999999995</v>
      </c>
      <c r="H100" s="41">
        <v>0</v>
      </c>
      <c r="I100" s="41">
        <v>1580555</v>
      </c>
      <c r="J100" s="41">
        <f t="shared" si="2"/>
        <v>1580555</v>
      </c>
      <c r="K100" s="41">
        <v>2320990</v>
      </c>
      <c r="L100" s="79">
        <f t="shared" si="3"/>
        <v>0.6809831149638732</v>
      </c>
      <c r="M100" s="89">
        <v>1</v>
      </c>
      <c r="N100" s="7"/>
      <c r="O100" s="89">
        <v>1</v>
      </c>
      <c r="P100" s="7"/>
      <c r="Q100" s="89">
        <v>1</v>
      </c>
      <c r="R100" s="89">
        <v>1</v>
      </c>
      <c r="S100" s="89" t="s">
        <v>1353</v>
      </c>
      <c r="T100" s="89" t="s">
        <v>1353</v>
      </c>
      <c r="U100" s="7"/>
      <c r="V100" s="89" t="s">
        <v>1353</v>
      </c>
      <c r="W100" s="7"/>
      <c r="X100" s="7"/>
      <c r="Y100" s="7"/>
      <c r="Z100" s="81"/>
      <c r="AA100" s="6">
        <f t="shared" si="4"/>
        <v>2</v>
      </c>
      <c r="AB100" s="80" t="str">
        <f>+IF(AND(D100&gt;'Indices y Outliers'!$I$146,D100&lt;&gt;""),1,"")</f>
        <v/>
      </c>
      <c r="AC100" s="80" t="str">
        <f>+IF(AND(G100&gt;'Indices y Outliers'!$I$154,G100&lt;&gt;""),1,"")</f>
        <v/>
      </c>
      <c r="AD100" s="7"/>
      <c r="AE100" s="7">
        <f t="shared" si="5"/>
        <v>0</v>
      </c>
    </row>
    <row r="101" spans="1:31" ht="15.75" customHeight="1">
      <c r="A101" s="7" t="s">
        <v>511</v>
      </c>
      <c r="B101" s="78">
        <v>92.17</v>
      </c>
      <c r="C101" s="78">
        <v>0</v>
      </c>
      <c r="D101" s="42">
        <f t="shared" si="0"/>
        <v>92.17</v>
      </c>
      <c r="E101" s="78">
        <v>0.84499999999999997</v>
      </c>
      <c r="F101" s="78">
        <v>0</v>
      </c>
      <c r="G101" s="42">
        <f t="shared" si="1"/>
        <v>0.84499999999999997</v>
      </c>
      <c r="H101" s="41">
        <v>35858</v>
      </c>
      <c r="I101" s="41">
        <v>0</v>
      </c>
      <c r="J101" s="41">
        <f t="shared" si="2"/>
        <v>35858</v>
      </c>
      <c r="K101" s="41">
        <v>573805</v>
      </c>
      <c r="L101" s="79">
        <f t="shared" si="3"/>
        <v>6.2491613004417877E-2</v>
      </c>
      <c r="M101" s="89">
        <v>1</v>
      </c>
      <c r="N101" s="89">
        <v>1</v>
      </c>
      <c r="O101" s="89">
        <v>1</v>
      </c>
      <c r="P101" s="89">
        <v>1</v>
      </c>
      <c r="Q101" s="89">
        <v>1</v>
      </c>
      <c r="R101" s="89">
        <v>1</v>
      </c>
      <c r="S101" s="89" t="s">
        <v>1353</v>
      </c>
      <c r="T101" s="89" t="s">
        <v>1353</v>
      </c>
      <c r="U101" s="89" t="s">
        <v>1354</v>
      </c>
      <c r="V101" s="89" t="s">
        <v>1353</v>
      </c>
      <c r="W101" s="7"/>
      <c r="X101" s="89" t="s">
        <v>1353</v>
      </c>
      <c r="Y101" s="7"/>
      <c r="Z101" s="81"/>
      <c r="AA101" s="6">
        <f t="shared" si="4"/>
        <v>2</v>
      </c>
      <c r="AB101" s="80" t="str">
        <f>+IF(AND(D101&gt;'Indices y Outliers'!$I$146,D101&lt;&gt;""),1,"")</f>
        <v/>
      </c>
      <c r="AC101" s="80" t="str">
        <f>+IF(AND(G101&gt;'Indices y Outliers'!$I$154,G101&lt;&gt;""),1,"")</f>
        <v/>
      </c>
      <c r="AD101" s="7"/>
      <c r="AE101" s="7">
        <f t="shared" si="5"/>
        <v>0</v>
      </c>
    </row>
    <row r="102" spans="1:31" ht="15.75" customHeight="1">
      <c r="A102" s="7" t="s">
        <v>514</v>
      </c>
      <c r="B102" s="78">
        <v>90.364999999999995</v>
      </c>
      <c r="C102" s="78">
        <v>0</v>
      </c>
      <c r="D102" s="42">
        <f t="shared" si="0"/>
        <v>90.364999999999995</v>
      </c>
      <c r="E102" s="78">
        <v>2.4470000000000001</v>
      </c>
      <c r="F102" s="78">
        <v>0</v>
      </c>
      <c r="G102" s="42">
        <f t="shared" si="1"/>
        <v>2.4470000000000001</v>
      </c>
      <c r="H102" s="41">
        <v>1</v>
      </c>
      <c r="I102" s="41">
        <v>30941</v>
      </c>
      <c r="J102" s="41">
        <f t="shared" si="2"/>
        <v>30942</v>
      </c>
      <c r="K102" s="41">
        <v>30942</v>
      </c>
      <c r="L102" s="79">
        <f t="shared" si="3"/>
        <v>1</v>
      </c>
      <c r="M102" s="89">
        <v>1</v>
      </c>
      <c r="N102" s="89">
        <v>1</v>
      </c>
      <c r="O102" s="89">
        <v>1</v>
      </c>
      <c r="P102" s="89">
        <v>1</v>
      </c>
      <c r="Q102" s="89">
        <v>1</v>
      </c>
      <c r="R102" s="89">
        <v>1</v>
      </c>
      <c r="S102" s="89" t="s">
        <v>1354</v>
      </c>
      <c r="T102" s="89" t="s">
        <v>1353</v>
      </c>
      <c r="U102" s="89" t="s">
        <v>1353</v>
      </c>
      <c r="V102" s="89" t="s">
        <v>1353</v>
      </c>
      <c r="W102" s="7"/>
      <c r="X102" s="89" t="s">
        <v>1353</v>
      </c>
      <c r="Y102" s="7"/>
      <c r="Z102" s="81"/>
      <c r="AA102" s="6">
        <f t="shared" si="4"/>
        <v>2</v>
      </c>
      <c r="AB102" s="80" t="str">
        <f>+IF(AND(D102&gt;'Indices y Outliers'!$I$146,D102&lt;&gt;""),1,"")</f>
        <v/>
      </c>
      <c r="AC102" s="80" t="str">
        <f>+IF(AND(G102&gt;'Indices y Outliers'!$I$154,G102&lt;&gt;""),1,"")</f>
        <v/>
      </c>
      <c r="AD102" s="7"/>
      <c r="AE102" s="7">
        <f t="shared" si="5"/>
        <v>0</v>
      </c>
    </row>
    <row r="103" spans="1:31" ht="15.75" customHeight="1">
      <c r="A103" s="7" t="s">
        <v>517</v>
      </c>
      <c r="B103" s="78">
        <v>90.94</v>
      </c>
      <c r="C103" s="78">
        <v>0</v>
      </c>
      <c r="D103" s="42">
        <f t="shared" si="0"/>
        <v>90.94</v>
      </c>
      <c r="E103" s="78">
        <v>1.5469999999999999</v>
      </c>
      <c r="F103" s="78">
        <v>0</v>
      </c>
      <c r="G103" s="42">
        <f t="shared" si="1"/>
        <v>1.5469999999999999</v>
      </c>
      <c r="H103" s="41">
        <v>286</v>
      </c>
      <c r="I103" s="41">
        <v>79798</v>
      </c>
      <c r="J103" s="41">
        <f t="shared" si="2"/>
        <v>80084</v>
      </c>
      <c r="K103" s="41">
        <v>80084</v>
      </c>
      <c r="L103" s="79">
        <f t="shared" si="3"/>
        <v>1</v>
      </c>
      <c r="M103" s="89">
        <v>1</v>
      </c>
      <c r="N103" s="89">
        <v>1</v>
      </c>
      <c r="O103" s="89">
        <v>1</v>
      </c>
      <c r="P103" s="89">
        <v>1</v>
      </c>
      <c r="Q103" s="89">
        <v>1</v>
      </c>
      <c r="R103" s="89">
        <v>1</v>
      </c>
      <c r="S103" s="7"/>
      <c r="T103" s="89" t="s">
        <v>1354</v>
      </c>
      <c r="U103" s="89" t="s">
        <v>1353</v>
      </c>
      <c r="V103" s="89" t="s">
        <v>1353</v>
      </c>
      <c r="W103" s="7"/>
      <c r="X103" s="89" t="s">
        <v>1354</v>
      </c>
      <c r="Y103" s="7"/>
      <c r="Z103" s="81"/>
      <c r="AA103" s="6">
        <f t="shared" si="4"/>
        <v>2</v>
      </c>
      <c r="AB103" s="80" t="str">
        <f>+IF(AND(D103&gt;'Indices y Outliers'!$I$146,D103&lt;&gt;""),1,"")</f>
        <v/>
      </c>
      <c r="AC103" s="80" t="str">
        <f>+IF(AND(G103&gt;'Indices y Outliers'!$I$154,G103&lt;&gt;""),1,"")</f>
        <v/>
      </c>
      <c r="AD103" s="7"/>
      <c r="AE103" s="7">
        <f t="shared" si="5"/>
        <v>0</v>
      </c>
    </row>
    <row r="104" spans="1:31" ht="15.75" customHeight="1">
      <c r="A104" s="7" t="s">
        <v>520</v>
      </c>
      <c r="B104" s="78">
        <v>91.5</v>
      </c>
      <c r="C104" s="78">
        <v>0</v>
      </c>
      <c r="D104" s="42">
        <f t="shared" si="0"/>
        <v>91.5</v>
      </c>
      <c r="E104" s="78">
        <v>0.8</v>
      </c>
      <c r="F104" s="78">
        <v>0</v>
      </c>
      <c r="G104" s="42">
        <f t="shared" si="1"/>
        <v>0.8</v>
      </c>
      <c r="H104" s="41">
        <v>0</v>
      </c>
      <c r="I104" s="41">
        <v>1494299</v>
      </c>
      <c r="J104" s="41">
        <f t="shared" si="2"/>
        <v>1494299</v>
      </c>
      <c r="K104" s="41">
        <v>1494299</v>
      </c>
      <c r="L104" s="79">
        <f t="shared" si="3"/>
        <v>1</v>
      </c>
      <c r="M104" s="89">
        <v>1</v>
      </c>
      <c r="N104" s="7"/>
      <c r="O104" s="89">
        <v>1</v>
      </c>
      <c r="P104" s="89">
        <v>1</v>
      </c>
      <c r="Q104" s="89">
        <v>1</v>
      </c>
      <c r="R104" s="89">
        <v>1</v>
      </c>
      <c r="S104" s="7"/>
      <c r="T104" s="89" t="s">
        <v>1353</v>
      </c>
      <c r="U104" s="7"/>
      <c r="V104" s="89" t="s">
        <v>1353</v>
      </c>
      <c r="W104" s="7"/>
      <c r="X104" s="7"/>
      <c r="Y104" s="7"/>
      <c r="Z104" s="81"/>
      <c r="AA104" s="6">
        <f t="shared" si="4"/>
        <v>2</v>
      </c>
      <c r="AB104" s="80" t="str">
        <f>+IF(AND(D104&gt;'Indices y Outliers'!$I$146,D104&lt;&gt;""),1,"")</f>
        <v/>
      </c>
      <c r="AC104" s="80" t="str">
        <f>+IF(AND(G104&gt;'Indices y Outliers'!$I$154,G104&lt;&gt;""),1,"")</f>
        <v/>
      </c>
      <c r="AD104" s="7"/>
      <c r="AE104" s="7">
        <f t="shared" si="5"/>
        <v>0</v>
      </c>
    </row>
    <row r="105" spans="1:31" ht="15.75" customHeight="1">
      <c r="A105" s="7" t="s">
        <v>523</v>
      </c>
      <c r="B105" s="78">
        <v>0</v>
      </c>
      <c r="C105" s="78">
        <v>0</v>
      </c>
      <c r="D105" s="42" t="str">
        <f t="shared" si="0"/>
        <v/>
      </c>
      <c r="E105" s="78">
        <v>0</v>
      </c>
      <c r="F105" s="78">
        <v>0</v>
      </c>
      <c r="G105" s="42" t="str">
        <f t="shared" si="1"/>
        <v/>
      </c>
      <c r="H105" s="41">
        <v>0</v>
      </c>
      <c r="I105" s="41">
        <v>0</v>
      </c>
      <c r="J105" s="41">
        <f t="shared" si="2"/>
        <v>0</v>
      </c>
      <c r="K105" s="41">
        <v>0</v>
      </c>
      <c r="L105" s="79" t="str">
        <f t="shared" si="3"/>
        <v/>
      </c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81"/>
      <c r="AA105" s="6">
        <f t="shared" si="4"/>
        <v>0</v>
      </c>
      <c r="AB105" s="80" t="str">
        <f>+IF(AND(D105&gt;'Indices y Outliers'!$I$146,D105&lt;&gt;""),1,"")</f>
        <v/>
      </c>
      <c r="AC105" s="80" t="str">
        <f>+IF(AND(G105&gt;'Indices y Outliers'!$I$154,G105&lt;&gt;""),1,"")</f>
        <v/>
      </c>
      <c r="AD105" s="7"/>
      <c r="AE105" s="7">
        <f t="shared" si="5"/>
        <v>0</v>
      </c>
    </row>
    <row r="106" spans="1:31" ht="15.75" customHeight="1">
      <c r="A106" s="7" t="s">
        <v>526</v>
      </c>
      <c r="B106" s="78">
        <v>0</v>
      </c>
      <c r="C106" s="78">
        <v>0</v>
      </c>
      <c r="D106" s="42" t="str">
        <f t="shared" si="0"/>
        <v/>
      </c>
      <c r="E106" s="78">
        <v>0</v>
      </c>
      <c r="F106" s="78">
        <v>0</v>
      </c>
      <c r="G106" s="42" t="str">
        <f t="shared" si="1"/>
        <v/>
      </c>
      <c r="H106" s="41">
        <v>0</v>
      </c>
      <c r="I106" s="41">
        <v>0</v>
      </c>
      <c r="J106" s="41">
        <f t="shared" si="2"/>
        <v>0</v>
      </c>
      <c r="K106" s="41">
        <v>0</v>
      </c>
      <c r="L106" s="79" t="str">
        <f t="shared" si="3"/>
        <v/>
      </c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81"/>
      <c r="AA106" s="6">
        <f t="shared" si="4"/>
        <v>0</v>
      </c>
      <c r="AB106" s="80" t="str">
        <f>+IF(AND(D106&gt;'Indices y Outliers'!$I$146,D106&lt;&gt;""),1,"")</f>
        <v/>
      </c>
      <c r="AC106" s="80" t="str">
        <f>+IF(AND(G106&gt;'Indices y Outliers'!$I$154,G106&lt;&gt;""),1,"")</f>
        <v/>
      </c>
      <c r="AD106" s="7"/>
      <c r="AE106" s="7">
        <f t="shared" si="5"/>
        <v>0</v>
      </c>
    </row>
    <row r="107" spans="1:31" ht="15.75" customHeight="1">
      <c r="A107" s="7" t="s">
        <v>529</v>
      </c>
      <c r="B107" s="78">
        <v>75.599999999999994</v>
      </c>
      <c r="C107" s="78">
        <v>0</v>
      </c>
      <c r="D107" s="42">
        <f t="shared" si="0"/>
        <v>75.599999999999994</v>
      </c>
      <c r="E107" s="78">
        <v>0.88400000000000001</v>
      </c>
      <c r="F107" s="78">
        <v>0</v>
      </c>
      <c r="G107" s="42">
        <f t="shared" si="1"/>
        <v>0.88400000000000001</v>
      </c>
      <c r="H107" s="41">
        <v>1564096</v>
      </c>
      <c r="I107" s="41">
        <v>0</v>
      </c>
      <c r="J107" s="41">
        <f t="shared" si="2"/>
        <v>1564096</v>
      </c>
      <c r="K107" s="41">
        <v>1564096</v>
      </c>
      <c r="L107" s="79">
        <f t="shared" si="3"/>
        <v>1</v>
      </c>
      <c r="M107" s="89">
        <v>1</v>
      </c>
      <c r="N107" s="89">
        <v>1</v>
      </c>
      <c r="O107" s="89">
        <v>1</v>
      </c>
      <c r="P107" s="89">
        <v>1</v>
      </c>
      <c r="Q107" s="89">
        <v>1</v>
      </c>
      <c r="R107" s="89">
        <v>1</v>
      </c>
      <c r="S107" s="89" t="s">
        <v>1353</v>
      </c>
      <c r="T107" s="89" t="s">
        <v>1353</v>
      </c>
      <c r="U107" s="89" t="s">
        <v>1353</v>
      </c>
      <c r="V107" s="89" t="s">
        <v>1353</v>
      </c>
      <c r="W107" s="7"/>
      <c r="X107" s="89" t="s">
        <v>1353</v>
      </c>
      <c r="Y107" s="89" t="s">
        <v>1353</v>
      </c>
      <c r="Z107" s="81"/>
      <c r="AA107" s="6">
        <f t="shared" si="4"/>
        <v>2</v>
      </c>
      <c r="AB107" s="80" t="str">
        <f>+IF(AND(D107&gt;'Indices y Outliers'!$I$146,D107&lt;&gt;""),1,"")</f>
        <v/>
      </c>
      <c r="AC107" s="80" t="str">
        <f>+IF(AND(G107&gt;'Indices y Outliers'!$I$154,G107&lt;&gt;""),1,"")</f>
        <v/>
      </c>
      <c r="AD107" s="7"/>
      <c r="AE107" s="7">
        <f t="shared" si="5"/>
        <v>0</v>
      </c>
    </row>
    <row r="108" spans="1:31" ht="15.75" customHeight="1">
      <c r="A108" s="7" t="s">
        <v>532</v>
      </c>
      <c r="B108" s="78">
        <v>96.28</v>
      </c>
      <c r="C108" s="78">
        <v>0</v>
      </c>
      <c r="D108" s="42">
        <f t="shared" si="0"/>
        <v>96.28</v>
      </c>
      <c r="E108" s="78">
        <v>1.38</v>
      </c>
      <c r="F108" s="78">
        <v>0</v>
      </c>
      <c r="G108" s="42">
        <f t="shared" si="1"/>
        <v>1.38</v>
      </c>
      <c r="H108" s="41">
        <v>223</v>
      </c>
      <c r="I108" s="41">
        <v>1056</v>
      </c>
      <c r="J108" s="41">
        <f t="shared" si="2"/>
        <v>1279</v>
      </c>
      <c r="K108" s="41">
        <v>82368</v>
      </c>
      <c r="L108" s="79">
        <f t="shared" si="3"/>
        <v>1.5527874902874902E-2</v>
      </c>
      <c r="M108" s="89">
        <v>1</v>
      </c>
      <c r="N108" s="89">
        <v>1</v>
      </c>
      <c r="O108" s="89">
        <v>1</v>
      </c>
      <c r="P108" s="89">
        <v>1</v>
      </c>
      <c r="Q108" s="89">
        <v>1</v>
      </c>
      <c r="R108" s="89">
        <v>1</v>
      </c>
      <c r="S108" s="89" t="s">
        <v>1353</v>
      </c>
      <c r="T108" s="89" t="s">
        <v>1353</v>
      </c>
      <c r="U108" s="89" t="s">
        <v>1353</v>
      </c>
      <c r="V108" s="89" t="s">
        <v>1353</v>
      </c>
      <c r="W108" s="7"/>
      <c r="X108" s="89" t="s">
        <v>1353</v>
      </c>
      <c r="Y108" s="7"/>
      <c r="Z108" s="81"/>
      <c r="AA108" s="6">
        <f t="shared" si="4"/>
        <v>2</v>
      </c>
      <c r="AB108" s="80" t="str">
        <f>+IF(AND(D108&gt;'Indices y Outliers'!$I$146,D108&lt;&gt;""),1,"")</f>
        <v/>
      </c>
      <c r="AC108" s="80" t="str">
        <f>+IF(AND(G108&gt;'Indices y Outliers'!$I$154,G108&lt;&gt;""),1,"")</f>
        <v/>
      </c>
      <c r="AD108" s="7"/>
      <c r="AE108" s="7">
        <f t="shared" si="5"/>
        <v>0</v>
      </c>
    </row>
    <row r="109" spans="1:31" ht="15.75" customHeight="1">
      <c r="A109" s="7" t="s">
        <v>535</v>
      </c>
      <c r="B109" s="78">
        <v>0</v>
      </c>
      <c r="C109" s="78">
        <v>0</v>
      </c>
      <c r="D109" s="42" t="str">
        <f t="shared" si="0"/>
        <v/>
      </c>
      <c r="E109" s="78">
        <v>0</v>
      </c>
      <c r="F109" s="78">
        <v>0</v>
      </c>
      <c r="G109" s="42" t="str">
        <f t="shared" si="1"/>
        <v/>
      </c>
      <c r="H109" s="41">
        <v>0</v>
      </c>
      <c r="I109" s="41">
        <v>0</v>
      </c>
      <c r="J109" s="41">
        <f t="shared" si="2"/>
        <v>0</v>
      </c>
      <c r="K109" s="41">
        <v>0</v>
      </c>
      <c r="L109" s="79" t="str">
        <f t="shared" si="3"/>
        <v/>
      </c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81"/>
      <c r="AA109" s="6">
        <f t="shared" si="4"/>
        <v>0</v>
      </c>
      <c r="AB109" s="80" t="str">
        <f>+IF(AND(D109&gt;'Indices y Outliers'!$I$146,D109&lt;&gt;""),1,"")</f>
        <v/>
      </c>
      <c r="AC109" s="80" t="str">
        <f>+IF(AND(G109&gt;'Indices y Outliers'!$I$154,G109&lt;&gt;""),1,"")</f>
        <v/>
      </c>
      <c r="AD109" s="7"/>
      <c r="AE109" s="7">
        <f t="shared" si="5"/>
        <v>0</v>
      </c>
    </row>
    <row r="110" spans="1:31" ht="15.75" customHeight="1">
      <c r="A110" s="7" t="s">
        <v>538</v>
      </c>
      <c r="B110" s="78">
        <v>0</v>
      </c>
      <c r="C110" s="78">
        <v>0</v>
      </c>
      <c r="D110" s="42" t="str">
        <f t="shared" si="0"/>
        <v/>
      </c>
      <c r="E110" s="78">
        <v>0</v>
      </c>
      <c r="F110" s="78">
        <v>0</v>
      </c>
      <c r="G110" s="42" t="str">
        <f t="shared" si="1"/>
        <v/>
      </c>
      <c r="H110" s="41">
        <v>0</v>
      </c>
      <c r="I110" s="41">
        <v>0</v>
      </c>
      <c r="J110" s="41">
        <f t="shared" si="2"/>
        <v>0</v>
      </c>
      <c r="K110" s="41">
        <v>0</v>
      </c>
      <c r="L110" s="79" t="str">
        <f t="shared" si="3"/>
        <v/>
      </c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81"/>
      <c r="AA110" s="6">
        <f t="shared" si="4"/>
        <v>0</v>
      </c>
      <c r="AB110" s="80" t="str">
        <f>+IF(AND(D110&gt;'Indices y Outliers'!$I$146,D110&lt;&gt;""),1,"")</f>
        <v/>
      </c>
      <c r="AC110" s="80" t="str">
        <f>+IF(AND(G110&gt;'Indices y Outliers'!$I$154,G110&lt;&gt;""),1,"")</f>
        <v/>
      </c>
      <c r="AD110" s="7"/>
      <c r="AE110" s="7">
        <f t="shared" si="5"/>
        <v>0</v>
      </c>
    </row>
    <row r="111" spans="1:31" ht="15.75" customHeight="1">
      <c r="A111" s="7" t="s">
        <v>541</v>
      </c>
      <c r="B111" s="78">
        <v>132.43</v>
      </c>
      <c r="C111" s="78">
        <v>0</v>
      </c>
      <c r="D111" s="42">
        <f t="shared" si="0"/>
        <v>132.43</v>
      </c>
      <c r="E111" s="78">
        <v>1.1419999999999999</v>
      </c>
      <c r="F111" s="78">
        <v>0</v>
      </c>
      <c r="G111" s="42">
        <f t="shared" si="1"/>
        <v>1.1419999999999999</v>
      </c>
      <c r="H111" s="41">
        <v>1697808</v>
      </c>
      <c r="I111" s="41">
        <v>47257</v>
      </c>
      <c r="J111" s="41">
        <f t="shared" si="2"/>
        <v>1745065</v>
      </c>
      <c r="K111" s="41">
        <v>1747196</v>
      </c>
      <c r="L111" s="79">
        <f t="shared" si="3"/>
        <v>0.99878033145680278</v>
      </c>
      <c r="M111" s="89">
        <v>1</v>
      </c>
      <c r="N111" s="89">
        <v>1</v>
      </c>
      <c r="O111" s="89">
        <v>1</v>
      </c>
      <c r="P111" s="89">
        <v>1</v>
      </c>
      <c r="Q111" s="89">
        <v>1</v>
      </c>
      <c r="R111" s="89">
        <v>1</v>
      </c>
      <c r="S111" s="7"/>
      <c r="T111" s="89" t="s">
        <v>1353</v>
      </c>
      <c r="U111" s="89" t="s">
        <v>1353</v>
      </c>
      <c r="V111" s="89" t="s">
        <v>1353</v>
      </c>
      <c r="W111" s="89" t="s">
        <v>1353</v>
      </c>
      <c r="X111" s="89" t="s">
        <v>1353</v>
      </c>
      <c r="Y111" s="89" t="s">
        <v>1353</v>
      </c>
      <c r="Z111" s="81"/>
      <c r="AA111" s="6">
        <f t="shared" si="4"/>
        <v>2</v>
      </c>
      <c r="AB111" s="80" t="str">
        <f>+IF(AND(D111&gt;'Indices y Outliers'!$I$146,D111&lt;&gt;""),1,"")</f>
        <v/>
      </c>
      <c r="AC111" s="80" t="str">
        <f>+IF(AND(G111&gt;'Indices y Outliers'!$I$154,G111&lt;&gt;""),1,"")</f>
        <v/>
      </c>
      <c r="AD111" s="7"/>
      <c r="AE111" s="7">
        <f t="shared" si="5"/>
        <v>0</v>
      </c>
    </row>
    <row r="112" spans="1:31" ht="15.75" customHeight="1">
      <c r="A112" s="7" t="s">
        <v>544</v>
      </c>
      <c r="B112" s="78">
        <v>153.78</v>
      </c>
      <c r="C112" s="78">
        <v>0</v>
      </c>
      <c r="D112" s="42">
        <f t="shared" si="0"/>
        <v>153.78</v>
      </c>
      <c r="E112" s="78">
        <v>1.1519999999999999</v>
      </c>
      <c r="F112" s="78">
        <v>0</v>
      </c>
      <c r="G112" s="42">
        <f t="shared" si="1"/>
        <v>1.1519999999999999</v>
      </c>
      <c r="H112" s="41">
        <v>46150</v>
      </c>
      <c r="I112" s="41">
        <v>116</v>
      </c>
      <c r="J112" s="41">
        <f t="shared" si="2"/>
        <v>46266</v>
      </c>
      <c r="K112" s="41">
        <v>47490</v>
      </c>
      <c r="L112" s="79">
        <f t="shared" si="3"/>
        <v>0.97422615287428938</v>
      </c>
      <c r="M112" s="89">
        <v>1</v>
      </c>
      <c r="N112" s="7"/>
      <c r="O112" s="89">
        <v>1</v>
      </c>
      <c r="P112" s="89">
        <v>1</v>
      </c>
      <c r="Q112" s="89">
        <v>1</v>
      </c>
      <c r="R112" s="89">
        <v>1</v>
      </c>
      <c r="S112" s="7"/>
      <c r="T112" s="7"/>
      <c r="U112" s="7"/>
      <c r="V112" s="89" t="s">
        <v>1353</v>
      </c>
      <c r="W112" s="7"/>
      <c r="X112" s="7"/>
      <c r="Y112" s="7"/>
      <c r="Z112" s="81"/>
      <c r="AA112" s="6">
        <f t="shared" si="4"/>
        <v>2</v>
      </c>
      <c r="AB112" s="80" t="str">
        <f>+IF(AND(D112&gt;'Indices y Outliers'!$I$146,D112&lt;&gt;""),1,"")</f>
        <v/>
      </c>
      <c r="AC112" s="80" t="str">
        <f>+IF(AND(G112&gt;'Indices y Outliers'!$I$154,G112&lt;&gt;""),1,"")</f>
        <v/>
      </c>
      <c r="AD112" s="7"/>
      <c r="AE112" s="7">
        <f t="shared" si="5"/>
        <v>0</v>
      </c>
    </row>
    <row r="113" spans="1:31" ht="15.75" customHeight="1">
      <c r="A113" s="7" t="s">
        <v>547</v>
      </c>
      <c r="B113" s="78">
        <v>94.92</v>
      </c>
      <c r="C113" s="78">
        <v>0</v>
      </c>
      <c r="D113" s="42">
        <f t="shared" si="0"/>
        <v>94.92</v>
      </c>
      <c r="E113" s="78">
        <v>1.1619999999999999</v>
      </c>
      <c r="F113" s="78">
        <v>0</v>
      </c>
      <c r="G113" s="42">
        <f t="shared" si="1"/>
        <v>1.1619999999999999</v>
      </c>
      <c r="H113" s="41">
        <v>1365731</v>
      </c>
      <c r="I113" s="41">
        <v>15473</v>
      </c>
      <c r="J113" s="41">
        <f t="shared" si="2"/>
        <v>1381204</v>
      </c>
      <c r="K113" s="41">
        <v>1444498</v>
      </c>
      <c r="L113" s="79">
        <f t="shared" si="3"/>
        <v>0.95618270153368157</v>
      </c>
      <c r="M113" s="89">
        <v>1</v>
      </c>
      <c r="N113" s="7"/>
      <c r="O113" s="89">
        <v>1</v>
      </c>
      <c r="P113" s="7"/>
      <c r="Q113" s="89">
        <v>1</v>
      </c>
      <c r="R113" s="89">
        <v>1</v>
      </c>
      <c r="S113" s="7"/>
      <c r="T113" s="7"/>
      <c r="U113" s="7"/>
      <c r="V113" s="89" t="s">
        <v>1353</v>
      </c>
      <c r="W113" s="7"/>
      <c r="X113" s="7"/>
      <c r="Y113" s="7"/>
      <c r="Z113" s="81"/>
      <c r="AA113" s="6">
        <f t="shared" si="4"/>
        <v>2</v>
      </c>
      <c r="AB113" s="80" t="str">
        <f>+IF(AND(D113&gt;'Indices y Outliers'!$I$146,D113&lt;&gt;""),1,"")</f>
        <v/>
      </c>
      <c r="AC113" s="80" t="str">
        <f>+IF(AND(G113&gt;'Indices y Outliers'!$I$154,G113&lt;&gt;""),1,"")</f>
        <v/>
      </c>
      <c r="AD113" s="7"/>
      <c r="AE113" s="7">
        <f t="shared" si="5"/>
        <v>0</v>
      </c>
    </row>
    <row r="114" spans="1:31" ht="15.75" customHeight="1">
      <c r="A114" s="7" t="s">
        <v>550</v>
      </c>
      <c r="B114" s="78">
        <v>52.23</v>
      </c>
      <c r="C114" s="78">
        <v>0</v>
      </c>
      <c r="D114" s="42">
        <f t="shared" si="0"/>
        <v>52.23</v>
      </c>
      <c r="E114" s="78">
        <v>0.78200000000000003</v>
      </c>
      <c r="F114" s="78">
        <v>0</v>
      </c>
      <c r="G114" s="42">
        <f t="shared" si="1"/>
        <v>0.78200000000000003</v>
      </c>
      <c r="H114" s="41">
        <v>515800</v>
      </c>
      <c r="I114" s="41">
        <v>742</v>
      </c>
      <c r="J114" s="41">
        <f t="shared" si="2"/>
        <v>516542</v>
      </c>
      <c r="K114" s="41">
        <v>526156</v>
      </c>
      <c r="L114" s="79">
        <f t="shared" si="3"/>
        <v>0.98172785257604211</v>
      </c>
      <c r="M114" s="89">
        <v>1</v>
      </c>
      <c r="N114" s="7"/>
      <c r="O114" s="89">
        <v>1</v>
      </c>
      <c r="P114" s="7"/>
      <c r="Q114" s="89">
        <v>1</v>
      </c>
      <c r="R114" s="89">
        <v>1</v>
      </c>
      <c r="S114" s="7"/>
      <c r="T114" s="7"/>
      <c r="U114" s="7"/>
      <c r="V114" s="89" t="s">
        <v>1353</v>
      </c>
      <c r="W114" s="7"/>
      <c r="X114" s="7"/>
      <c r="Y114" s="7"/>
      <c r="Z114" s="81"/>
      <c r="AA114" s="6">
        <f t="shared" si="4"/>
        <v>2</v>
      </c>
      <c r="AB114" s="80" t="str">
        <f>+IF(AND(D114&gt;'Indices y Outliers'!$I$146,D114&lt;&gt;""),1,"")</f>
        <v/>
      </c>
      <c r="AC114" s="80" t="str">
        <f>+IF(AND(G114&gt;'Indices y Outliers'!$I$154,G114&lt;&gt;""),1,"")</f>
        <v/>
      </c>
      <c r="AD114" s="7"/>
      <c r="AE114" s="7">
        <f t="shared" si="5"/>
        <v>0</v>
      </c>
    </row>
    <row r="115" spans="1:31" ht="15.75" customHeight="1">
      <c r="A115" s="7" t="s">
        <v>553</v>
      </c>
      <c r="B115" s="78">
        <v>86.686000000000007</v>
      </c>
      <c r="C115" s="78">
        <v>0</v>
      </c>
      <c r="D115" s="42">
        <f t="shared" si="0"/>
        <v>86.686000000000007</v>
      </c>
      <c r="E115" s="78">
        <v>1.3839999999999999</v>
      </c>
      <c r="F115" s="78">
        <v>0</v>
      </c>
      <c r="G115" s="42">
        <f t="shared" si="1"/>
        <v>1.3839999999999999</v>
      </c>
      <c r="H115" s="41">
        <v>302</v>
      </c>
      <c r="I115" s="41">
        <v>529188</v>
      </c>
      <c r="J115" s="41">
        <f t="shared" si="2"/>
        <v>529490</v>
      </c>
      <c r="K115" s="41">
        <v>529490</v>
      </c>
      <c r="L115" s="79">
        <f t="shared" si="3"/>
        <v>1</v>
      </c>
      <c r="M115" s="89">
        <v>1</v>
      </c>
      <c r="N115" s="89">
        <v>1</v>
      </c>
      <c r="O115" s="89">
        <v>1</v>
      </c>
      <c r="P115" s="89">
        <v>1</v>
      </c>
      <c r="Q115" s="89">
        <v>1</v>
      </c>
      <c r="R115" s="89">
        <v>1</v>
      </c>
      <c r="S115" s="89" t="s">
        <v>1353</v>
      </c>
      <c r="T115" s="89" t="s">
        <v>1353</v>
      </c>
      <c r="U115" s="89" t="s">
        <v>1353</v>
      </c>
      <c r="V115" s="89" t="s">
        <v>1353</v>
      </c>
      <c r="W115" s="7"/>
      <c r="X115" s="89" t="s">
        <v>1353</v>
      </c>
      <c r="Y115" s="7"/>
      <c r="Z115" s="81"/>
      <c r="AA115" s="6">
        <f t="shared" si="4"/>
        <v>2</v>
      </c>
      <c r="AB115" s="80" t="str">
        <f>+IF(AND(D115&gt;'Indices y Outliers'!$I$146,D115&lt;&gt;""),1,"")</f>
        <v/>
      </c>
      <c r="AC115" s="80" t="str">
        <f>+IF(AND(G115&gt;'Indices y Outliers'!$I$154,G115&lt;&gt;""),1,"")</f>
        <v/>
      </c>
      <c r="AD115" s="7"/>
      <c r="AE115" s="7">
        <f t="shared" si="5"/>
        <v>0</v>
      </c>
    </row>
    <row r="116" spans="1:31" ht="15.75" customHeight="1">
      <c r="A116" s="7" t="s">
        <v>556</v>
      </c>
      <c r="B116" s="78">
        <v>85</v>
      </c>
      <c r="C116" s="78">
        <v>0</v>
      </c>
      <c r="D116" s="42">
        <f t="shared" si="0"/>
        <v>85</v>
      </c>
      <c r="E116" s="78">
        <v>1.04</v>
      </c>
      <c r="F116" s="78">
        <v>0</v>
      </c>
      <c r="G116" s="42">
        <f t="shared" si="1"/>
        <v>1.04</v>
      </c>
      <c r="H116" s="41">
        <v>213</v>
      </c>
      <c r="I116" s="41">
        <v>1192387</v>
      </c>
      <c r="J116" s="41">
        <f t="shared" si="2"/>
        <v>1192600</v>
      </c>
      <c r="K116" s="41">
        <v>1192610</v>
      </c>
      <c r="L116" s="79">
        <f t="shared" si="3"/>
        <v>0.99999161502922163</v>
      </c>
      <c r="M116" s="89">
        <v>1</v>
      </c>
      <c r="N116" s="89">
        <v>1</v>
      </c>
      <c r="O116" s="89">
        <v>1</v>
      </c>
      <c r="P116" s="89">
        <v>1</v>
      </c>
      <c r="Q116" s="7"/>
      <c r="R116" s="89">
        <v>1</v>
      </c>
      <c r="S116" s="89" t="s">
        <v>1353</v>
      </c>
      <c r="T116" s="7"/>
      <c r="U116" s="89" t="s">
        <v>1353</v>
      </c>
      <c r="V116" s="89" t="s">
        <v>1353</v>
      </c>
      <c r="W116" s="89" t="s">
        <v>1353</v>
      </c>
      <c r="X116" s="89" t="s">
        <v>1353</v>
      </c>
      <c r="Y116" s="7"/>
      <c r="Z116" s="81"/>
      <c r="AA116" s="6">
        <f t="shared" si="4"/>
        <v>2</v>
      </c>
      <c r="AB116" s="80" t="str">
        <f>+IF(AND(D116&gt;'Indices y Outliers'!$I$146,D116&lt;&gt;""),1,"")</f>
        <v/>
      </c>
      <c r="AC116" s="80" t="str">
        <f>+IF(AND(G116&gt;'Indices y Outliers'!$I$154,G116&lt;&gt;""),1,"")</f>
        <v/>
      </c>
      <c r="AD116" s="7"/>
      <c r="AE116" s="7">
        <f t="shared" si="5"/>
        <v>0</v>
      </c>
    </row>
    <row r="117" spans="1:31" ht="15.75" customHeight="1">
      <c r="A117" s="7" t="s">
        <v>559</v>
      </c>
      <c r="B117" s="78">
        <v>0</v>
      </c>
      <c r="C117" s="78">
        <v>0</v>
      </c>
      <c r="D117" s="42" t="str">
        <f t="shared" si="0"/>
        <v/>
      </c>
      <c r="E117" s="78">
        <v>0</v>
      </c>
      <c r="F117" s="78">
        <v>0</v>
      </c>
      <c r="G117" s="42" t="str">
        <f t="shared" si="1"/>
        <v/>
      </c>
      <c r="H117" s="41">
        <v>0</v>
      </c>
      <c r="I117" s="41">
        <v>0</v>
      </c>
      <c r="J117" s="41">
        <f t="shared" si="2"/>
        <v>0</v>
      </c>
      <c r="K117" s="41">
        <v>0</v>
      </c>
      <c r="L117" s="79" t="str">
        <f t="shared" si="3"/>
        <v/>
      </c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81"/>
      <c r="AA117" s="6">
        <f t="shared" si="4"/>
        <v>0</v>
      </c>
      <c r="AB117" s="80" t="str">
        <f>+IF(AND(D117&gt;'Indices y Outliers'!$I$146,D117&lt;&gt;""),1,"")</f>
        <v/>
      </c>
      <c r="AC117" s="80" t="str">
        <f>+IF(AND(G117&gt;'Indices y Outliers'!$I$154,G117&lt;&gt;""),1,"")</f>
        <v/>
      </c>
      <c r="AD117" s="7"/>
      <c r="AE117" s="7">
        <f t="shared" si="5"/>
        <v>0</v>
      </c>
    </row>
    <row r="118" spans="1:31" ht="15.75" customHeight="1">
      <c r="A118" s="7" t="s">
        <v>562</v>
      </c>
      <c r="B118" s="78">
        <v>0</v>
      </c>
      <c r="C118" s="78">
        <v>0</v>
      </c>
      <c r="D118" s="42" t="str">
        <f t="shared" si="0"/>
        <v/>
      </c>
      <c r="E118" s="78">
        <v>0</v>
      </c>
      <c r="F118" s="78">
        <v>0</v>
      </c>
      <c r="G118" s="42" t="str">
        <f t="shared" si="1"/>
        <v/>
      </c>
      <c r="H118" s="41">
        <v>0</v>
      </c>
      <c r="I118" s="41">
        <v>0</v>
      </c>
      <c r="J118" s="41">
        <f t="shared" si="2"/>
        <v>0</v>
      </c>
      <c r="K118" s="41">
        <v>0</v>
      </c>
      <c r="L118" s="79" t="str">
        <f t="shared" si="3"/>
        <v/>
      </c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81"/>
      <c r="AA118" s="6">
        <f t="shared" si="4"/>
        <v>0</v>
      </c>
      <c r="AB118" s="80" t="str">
        <f>+IF(AND(D118&gt;'Indices y Outliers'!$I$146,D118&lt;&gt;""),1,"")</f>
        <v/>
      </c>
      <c r="AC118" s="80" t="str">
        <f>+IF(AND(G118&gt;'Indices y Outliers'!$I$154,G118&lt;&gt;""),1,"")</f>
        <v/>
      </c>
      <c r="AD118" s="7"/>
      <c r="AE118" s="7">
        <f t="shared" si="5"/>
        <v>0</v>
      </c>
    </row>
    <row r="119" spans="1:31" ht="15.75" customHeight="1">
      <c r="A119" s="7" t="s">
        <v>565</v>
      </c>
      <c r="B119" s="78">
        <v>0</v>
      </c>
      <c r="C119" s="78">
        <v>0</v>
      </c>
      <c r="D119" s="42" t="str">
        <f t="shared" si="0"/>
        <v/>
      </c>
      <c r="E119" s="78">
        <v>0</v>
      </c>
      <c r="F119" s="78">
        <v>0</v>
      </c>
      <c r="G119" s="42" t="str">
        <f t="shared" si="1"/>
        <v/>
      </c>
      <c r="H119" s="41">
        <v>0</v>
      </c>
      <c r="I119" s="41">
        <v>0</v>
      </c>
      <c r="J119" s="41">
        <f t="shared" si="2"/>
        <v>0</v>
      </c>
      <c r="K119" s="41">
        <v>0</v>
      </c>
      <c r="L119" s="79" t="str">
        <f t="shared" si="3"/>
        <v/>
      </c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81"/>
      <c r="AA119" s="6">
        <f t="shared" si="4"/>
        <v>0</v>
      </c>
      <c r="AB119" s="80" t="str">
        <f>+IF(AND(D119&gt;'Indices y Outliers'!$I$146,D119&lt;&gt;""),1,"")</f>
        <v/>
      </c>
      <c r="AC119" s="80" t="str">
        <f>+IF(AND(G119&gt;'Indices y Outliers'!$I$154,G119&lt;&gt;""),1,"")</f>
        <v/>
      </c>
      <c r="AD119" s="7"/>
      <c r="AE119" s="7">
        <f t="shared" si="5"/>
        <v>0</v>
      </c>
    </row>
    <row r="120" spans="1:31" ht="15.75" customHeight="1">
      <c r="A120" s="7" t="s">
        <v>568</v>
      </c>
      <c r="B120" s="78">
        <v>0</v>
      </c>
      <c r="C120" s="78">
        <v>63</v>
      </c>
      <c r="D120" s="42">
        <f t="shared" si="0"/>
        <v>63</v>
      </c>
      <c r="E120" s="78">
        <v>0</v>
      </c>
      <c r="F120" s="78">
        <v>0.79</v>
      </c>
      <c r="G120" s="42">
        <f t="shared" si="1"/>
        <v>0.79</v>
      </c>
      <c r="H120" s="41">
        <v>68</v>
      </c>
      <c r="I120" s="41">
        <v>612832</v>
      </c>
      <c r="J120" s="41">
        <f t="shared" si="2"/>
        <v>612900</v>
      </c>
      <c r="K120" s="41">
        <v>612900</v>
      </c>
      <c r="L120" s="79">
        <f t="shared" si="3"/>
        <v>1</v>
      </c>
      <c r="M120" s="89">
        <v>1</v>
      </c>
      <c r="N120" s="7"/>
      <c r="O120" s="89">
        <v>1</v>
      </c>
      <c r="P120" s="89">
        <v>1</v>
      </c>
      <c r="Q120" s="89">
        <v>1</v>
      </c>
      <c r="R120" s="89">
        <v>1</v>
      </c>
      <c r="S120" s="7"/>
      <c r="T120" s="89" t="s">
        <v>1353</v>
      </c>
      <c r="U120" s="7"/>
      <c r="V120" s="89" t="s">
        <v>1353</v>
      </c>
      <c r="W120" s="7"/>
      <c r="X120" s="7"/>
      <c r="Y120" s="89" t="s">
        <v>1353</v>
      </c>
      <c r="Z120" s="81"/>
      <c r="AA120" s="6">
        <f t="shared" si="4"/>
        <v>2</v>
      </c>
      <c r="AB120" s="80" t="str">
        <f>+IF(AND(D120&gt;'Indices y Outliers'!$I$146,D120&lt;&gt;""),1,"")</f>
        <v/>
      </c>
      <c r="AC120" s="80" t="str">
        <f>+IF(AND(G120&gt;'Indices y Outliers'!$I$154,G120&lt;&gt;""),1,"")</f>
        <v/>
      </c>
      <c r="AD120" s="7"/>
      <c r="AE120" s="7">
        <f t="shared" si="5"/>
        <v>0</v>
      </c>
    </row>
    <row r="121" spans="1:31" ht="15.75" customHeight="1">
      <c r="A121" s="7" t="s">
        <v>571</v>
      </c>
      <c r="B121" s="78">
        <v>142.93299999999999</v>
      </c>
      <c r="C121" s="78">
        <v>0</v>
      </c>
      <c r="D121" s="42">
        <f t="shared" si="0"/>
        <v>142.93299999999999</v>
      </c>
      <c r="E121" s="78">
        <v>1.4</v>
      </c>
      <c r="F121" s="78">
        <v>0</v>
      </c>
      <c r="G121" s="42">
        <f t="shared" si="1"/>
        <v>1.4</v>
      </c>
      <c r="H121" s="41">
        <v>0</v>
      </c>
      <c r="I121" s="41">
        <v>40</v>
      </c>
      <c r="J121" s="41">
        <f t="shared" si="2"/>
        <v>40</v>
      </c>
      <c r="K121" s="41">
        <v>40</v>
      </c>
      <c r="L121" s="79">
        <f t="shared" si="3"/>
        <v>1</v>
      </c>
      <c r="M121" s="89">
        <v>1</v>
      </c>
      <c r="N121" s="7"/>
      <c r="O121" s="89">
        <v>1</v>
      </c>
      <c r="P121" s="7"/>
      <c r="Q121" s="89">
        <v>1</v>
      </c>
      <c r="R121" s="89">
        <v>1</v>
      </c>
      <c r="S121" s="89" t="s">
        <v>1353</v>
      </c>
      <c r="T121" s="89" t="s">
        <v>1353</v>
      </c>
      <c r="U121" s="89" t="s">
        <v>1353</v>
      </c>
      <c r="V121" s="89" t="s">
        <v>1353</v>
      </c>
      <c r="W121" s="7"/>
      <c r="X121" s="89" t="s">
        <v>1353</v>
      </c>
      <c r="Y121" s="89" t="s">
        <v>1354</v>
      </c>
      <c r="Z121" s="81"/>
      <c r="AA121" s="6">
        <f t="shared" si="4"/>
        <v>2</v>
      </c>
      <c r="AB121" s="80" t="str">
        <f>+IF(AND(D121&gt;'Indices y Outliers'!$I$146,D121&lt;&gt;""),1,"")</f>
        <v/>
      </c>
      <c r="AC121" s="80" t="str">
        <f>+IF(AND(G121&gt;'Indices y Outliers'!$I$154,G121&lt;&gt;""),1,"")</f>
        <v/>
      </c>
      <c r="AD121" s="7"/>
      <c r="AE121" s="7">
        <f t="shared" si="5"/>
        <v>0</v>
      </c>
    </row>
    <row r="122" spans="1:31" ht="15.75" customHeight="1">
      <c r="A122" s="7" t="s">
        <v>574</v>
      </c>
      <c r="B122" s="78">
        <v>82.07</v>
      </c>
      <c r="C122" s="78">
        <v>0</v>
      </c>
      <c r="D122" s="42">
        <f t="shared" si="0"/>
        <v>82.07</v>
      </c>
      <c r="E122" s="78">
        <v>0.88</v>
      </c>
      <c r="F122" s="78">
        <v>0</v>
      </c>
      <c r="G122" s="42">
        <f t="shared" si="1"/>
        <v>0.88</v>
      </c>
      <c r="H122" s="41">
        <v>100600</v>
      </c>
      <c r="I122" s="41">
        <v>1368188</v>
      </c>
      <c r="J122" s="41">
        <f t="shared" si="2"/>
        <v>1468788</v>
      </c>
      <c r="K122" s="41">
        <v>1468788</v>
      </c>
      <c r="L122" s="79">
        <f t="shared" si="3"/>
        <v>1</v>
      </c>
      <c r="M122" s="89">
        <v>1</v>
      </c>
      <c r="N122" s="89">
        <v>1</v>
      </c>
      <c r="O122" s="89">
        <v>1</v>
      </c>
      <c r="P122" s="89">
        <v>1</v>
      </c>
      <c r="Q122" s="89">
        <v>1</v>
      </c>
      <c r="R122" s="89">
        <v>1</v>
      </c>
      <c r="S122" s="89" t="s">
        <v>1353</v>
      </c>
      <c r="T122" s="89" t="s">
        <v>1353</v>
      </c>
      <c r="U122" s="7"/>
      <c r="V122" s="89" t="s">
        <v>1353</v>
      </c>
      <c r="W122" s="89" t="s">
        <v>1353</v>
      </c>
      <c r="X122" s="89" t="s">
        <v>1353</v>
      </c>
      <c r="Y122" s="7"/>
      <c r="Z122" s="81"/>
      <c r="AA122" s="6">
        <f t="shared" si="4"/>
        <v>2</v>
      </c>
      <c r="AB122" s="80" t="str">
        <f>+IF(AND(D122&gt;'Indices y Outliers'!$I$146,D122&lt;&gt;""),1,"")</f>
        <v/>
      </c>
      <c r="AC122" s="80" t="str">
        <f>+IF(AND(G122&gt;'Indices y Outliers'!$I$154,G122&lt;&gt;""),1,"")</f>
        <v/>
      </c>
      <c r="AD122" s="7"/>
      <c r="AE122" s="7">
        <f t="shared" si="5"/>
        <v>0</v>
      </c>
    </row>
    <row r="123" spans="1:31" ht="15.75" customHeight="1">
      <c r="A123" s="7" t="s">
        <v>577</v>
      </c>
      <c r="B123" s="78">
        <v>0</v>
      </c>
      <c r="C123" s="78">
        <v>0</v>
      </c>
      <c r="D123" s="42" t="str">
        <f t="shared" si="0"/>
        <v/>
      </c>
      <c r="E123" s="78">
        <v>0</v>
      </c>
      <c r="F123" s="78">
        <v>0</v>
      </c>
      <c r="G123" s="42" t="str">
        <f t="shared" si="1"/>
        <v/>
      </c>
      <c r="H123" s="41">
        <v>0</v>
      </c>
      <c r="I123" s="41">
        <v>0</v>
      </c>
      <c r="J123" s="41">
        <f t="shared" si="2"/>
        <v>0</v>
      </c>
      <c r="K123" s="41">
        <v>0</v>
      </c>
      <c r="L123" s="79" t="str">
        <f t="shared" si="3"/>
        <v/>
      </c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81"/>
      <c r="AA123" s="6">
        <f t="shared" si="4"/>
        <v>0</v>
      </c>
      <c r="AB123" s="80" t="str">
        <f>+IF(AND(D123&gt;'Indices y Outliers'!$I$146,D123&lt;&gt;""),1,"")</f>
        <v/>
      </c>
      <c r="AC123" s="80" t="str">
        <f>+IF(AND(G123&gt;'Indices y Outliers'!$I$154,G123&lt;&gt;""),1,"")</f>
        <v/>
      </c>
      <c r="AD123" s="7"/>
      <c r="AE123" s="7">
        <f t="shared" si="5"/>
        <v>0</v>
      </c>
    </row>
    <row r="124" spans="1:31" ht="15.75" customHeight="1">
      <c r="A124" s="7" t="s">
        <v>580</v>
      </c>
      <c r="B124" s="78">
        <v>0</v>
      </c>
      <c r="C124" s="78">
        <v>0</v>
      </c>
      <c r="D124" s="42" t="str">
        <f t="shared" si="0"/>
        <v/>
      </c>
      <c r="E124" s="78">
        <v>0</v>
      </c>
      <c r="F124" s="78">
        <v>0</v>
      </c>
      <c r="G124" s="42" t="str">
        <f t="shared" si="1"/>
        <v/>
      </c>
      <c r="H124" s="41">
        <v>0</v>
      </c>
      <c r="I124" s="41">
        <v>0</v>
      </c>
      <c r="J124" s="41">
        <f t="shared" si="2"/>
        <v>0</v>
      </c>
      <c r="K124" s="41">
        <v>0</v>
      </c>
      <c r="L124" s="79" t="str">
        <f t="shared" si="3"/>
        <v/>
      </c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81"/>
      <c r="AA124" s="6">
        <f t="shared" si="4"/>
        <v>0</v>
      </c>
      <c r="AB124" s="80" t="str">
        <f>+IF(AND(D124&gt;'Indices y Outliers'!$I$146,D124&lt;&gt;""),1,"")</f>
        <v/>
      </c>
      <c r="AC124" s="80" t="str">
        <f>+IF(AND(G124&gt;'Indices y Outliers'!$I$154,G124&lt;&gt;""),1,"")</f>
        <v/>
      </c>
      <c r="AD124" s="7"/>
      <c r="AE124" s="7">
        <f t="shared" si="5"/>
        <v>0</v>
      </c>
    </row>
    <row r="125" spans="1:31" ht="15.75" customHeight="1">
      <c r="A125" s="7" t="s">
        <v>583</v>
      </c>
      <c r="B125" s="78">
        <v>35.433999999999997</v>
      </c>
      <c r="C125" s="78">
        <v>0</v>
      </c>
      <c r="D125" s="42">
        <f t="shared" si="0"/>
        <v>35.433999999999997</v>
      </c>
      <c r="E125" s="78">
        <v>1.0489999999999999</v>
      </c>
      <c r="F125" s="78">
        <v>0</v>
      </c>
      <c r="G125" s="42">
        <f t="shared" si="1"/>
        <v>1.0489999999999999</v>
      </c>
      <c r="H125" s="41">
        <v>0</v>
      </c>
      <c r="I125" s="41">
        <v>44789</v>
      </c>
      <c r="J125" s="41">
        <f t="shared" si="2"/>
        <v>44789</v>
      </c>
      <c r="K125" s="41">
        <v>44789</v>
      </c>
      <c r="L125" s="79">
        <f t="shared" si="3"/>
        <v>1</v>
      </c>
      <c r="M125" s="89">
        <v>1</v>
      </c>
      <c r="N125" s="7"/>
      <c r="O125" s="89">
        <v>1</v>
      </c>
      <c r="P125" s="7"/>
      <c r="Q125" s="89">
        <v>1</v>
      </c>
      <c r="R125" s="89">
        <v>1</v>
      </c>
      <c r="S125" s="89" t="s">
        <v>1353</v>
      </c>
      <c r="T125" s="89" t="s">
        <v>1353</v>
      </c>
      <c r="U125" s="89" t="s">
        <v>1353</v>
      </c>
      <c r="V125" s="89" t="s">
        <v>1353</v>
      </c>
      <c r="W125" s="7"/>
      <c r="X125" s="89" t="s">
        <v>1353</v>
      </c>
      <c r="Y125" s="7"/>
      <c r="Z125" s="81"/>
      <c r="AA125" s="6">
        <f t="shared" si="4"/>
        <v>2</v>
      </c>
      <c r="AB125" s="80" t="str">
        <f>+IF(AND(D125&gt;'Indices y Outliers'!$I$146,D125&lt;&gt;""),1,"")</f>
        <v/>
      </c>
      <c r="AC125" s="80" t="str">
        <f>+IF(AND(G125&gt;'Indices y Outliers'!$I$154,G125&lt;&gt;""),1,"")</f>
        <v/>
      </c>
      <c r="AD125" s="7"/>
      <c r="AE125" s="7">
        <f t="shared" si="5"/>
        <v>0</v>
      </c>
    </row>
    <row r="126" spans="1:31" ht="15.75" customHeight="1">
      <c r="A126" s="7" t="s">
        <v>586</v>
      </c>
      <c r="B126" s="78">
        <v>33.250999999999998</v>
      </c>
      <c r="C126" s="78">
        <v>0</v>
      </c>
      <c r="D126" s="42">
        <f t="shared" si="0"/>
        <v>33.250999999999998</v>
      </c>
      <c r="E126" s="78">
        <v>0.37</v>
      </c>
      <c r="F126" s="78">
        <v>0</v>
      </c>
      <c r="G126" s="42">
        <f t="shared" si="1"/>
        <v>0.37</v>
      </c>
      <c r="H126" s="41">
        <v>94</v>
      </c>
      <c r="I126" s="41">
        <v>353643</v>
      </c>
      <c r="J126" s="41">
        <f t="shared" si="2"/>
        <v>353737</v>
      </c>
      <c r="K126" s="41">
        <v>355228</v>
      </c>
      <c r="L126" s="79">
        <f t="shared" si="3"/>
        <v>0.99580269573344449</v>
      </c>
      <c r="M126" s="89">
        <v>1</v>
      </c>
      <c r="N126" s="89">
        <v>1</v>
      </c>
      <c r="O126" s="89">
        <v>1</v>
      </c>
      <c r="P126" s="7"/>
      <c r="Q126" s="89">
        <v>1</v>
      </c>
      <c r="R126" s="89">
        <v>1</v>
      </c>
      <c r="S126" s="7"/>
      <c r="T126" s="89" t="s">
        <v>1353</v>
      </c>
      <c r="U126" s="89" t="s">
        <v>1353</v>
      </c>
      <c r="V126" s="89" t="s">
        <v>1353</v>
      </c>
      <c r="W126" s="89" t="s">
        <v>1354</v>
      </c>
      <c r="X126" s="89" t="s">
        <v>1353</v>
      </c>
      <c r="Y126" s="7"/>
      <c r="Z126" s="81"/>
      <c r="AA126" s="6">
        <f t="shared" si="4"/>
        <v>2</v>
      </c>
      <c r="AB126" s="80" t="str">
        <f>+IF(AND(D126&gt;'Indices y Outliers'!$I$146,D126&lt;&gt;""),1,"")</f>
        <v/>
      </c>
      <c r="AC126" s="80" t="str">
        <f>+IF(AND(G126&gt;'Indices y Outliers'!$I$154,G126&lt;&gt;""),1,"")</f>
        <v/>
      </c>
      <c r="AD126" s="7"/>
      <c r="AE126" s="7">
        <f t="shared" si="5"/>
        <v>0</v>
      </c>
    </row>
    <row r="127" spans="1:31" ht="15.75" customHeight="1">
      <c r="A127" s="7" t="s">
        <v>589</v>
      </c>
      <c r="B127" s="78">
        <v>60</v>
      </c>
      <c r="C127" s="78">
        <v>0</v>
      </c>
      <c r="D127" s="42">
        <f t="shared" si="0"/>
        <v>60</v>
      </c>
      <c r="E127" s="78">
        <v>0.71</v>
      </c>
      <c r="F127" s="78">
        <v>0</v>
      </c>
      <c r="G127" s="42">
        <f t="shared" si="1"/>
        <v>0.71</v>
      </c>
      <c r="H127" s="41">
        <v>30</v>
      </c>
      <c r="I127" s="41">
        <v>343636</v>
      </c>
      <c r="J127" s="41">
        <f t="shared" si="2"/>
        <v>343666</v>
      </c>
      <c r="K127" s="41">
        <v>343698</v>
      </c>
      <c r="L127" s="79">
        <f t="shared" si="3"/>
        <v>0.99990689500666285</v>
      </c>
      <c r="M127" s="89">
        <v>1</v>
      </c>
      <c r="N127" s="89">
        <v>1</v>
      </c>
      <c r="O127" s="89">
        <v>1</v>
      </c>
      <c r="P127" s="89">
        <v>1</v>
      </c>
      <c r="Q127" s="89">
        <v>1</v>
      </c>
      <c r="R127" s="89">
        <v>1</v>
      </c>
      <c r="S127" s="7"/>
      <c r="T127" s="89" t="s">
        <v>1353</v>
      </c>
      <c r="U127" s="89" t="s">
        <v>1353</v>
      </c>
      <c r="V127" s="89" t="s">
        <v>1353</v>
      </c>
      <c r="W127" s="89" t="s">
        <v>1354</v>
      </c>
      <c r="X127" s="89" t="s">
        <v>1353</v>
      </c>
      <c r="Y127" s="7"/>
      <c r="Z127" s="81"/>
      <c r="AA127" s="6">
        <f t="shared" si="4"/>
        <v>2</v>
      </c>
      <c r="AB127" s="80" t="str">
        <f>+IF(AND(D127&gt;'Indices y Outliers'!$I$146,D127&lt;&gt;""),1,"")</f>
        <v/>
      </c>
      <c r="AC127" s="80" t="str">
        <f>+IF(AND(G127&gt;'Indices y Outliers'!$I$154,G127&lt;&gt;""),1,"")</f>
        <v/>
      </c>
      <c r="AD127" s="7"/>
      <c r="AE127" s="7">
        <f t="shared" si="5"/>
        <v>0</v>
      </c>
    </row>
    <row r="128" spans="1:31" ht="15.75" customHeight="1">
      <c r="A128" s="7" t="s">
        <v>592</v>
      </c>
      <c r="B128" s="78">
        <v>53</v>
      </c>
      <c r="C128" s="78">
        <v>0</v>
      </c>
      <c r="D128" s="42">
        <f t="shared" si="0"/>
        <v>53</v>
      </c>
      <c r="E128" s="78">
        <v>0.66</v>
      </c>
      <c r="F128" s="78">
        <v>0</v>
      </c>
      <c r="G128" s="42">
        <f t="shared" si="1"/>
        <v>0.66</v>
      </c>
      <c r="H128" s="41">
        <v>594</v>
      </c>
      <c r="I128" s="41">
        <v>0</v>
      </c>
      <c r="J128" s="41">
        <f t="shared" si="2"/>
        <v>594</v>
      </c>
      <c r="K128" s="41">
        <v>570567</v>
      </c>
      <c r="L128" s="79">
        <f t="shared" si="3"/>
        <v>1.0410696727991629E-3</v>
      </c>
      <c r="M128" s="89">
        <v>1</v>
      </c>
      <c r="N128" s="7"/>
      <c r="O128" s="89">
        <v>1</v>
      </c>
      <c r="P128" s="7"/>
      <c r="Q128" s="89">
        <v>1</v>
      </c>
      <c r="R128" s="89">
        <v>1</v>
      </c>
      <c r="S128" s="7"/>
      <c r="T128" s="89" t="s">
        <v>1353</v>
      </c>
      <c r="U128" s="89" t="s">
        <v>1353</v>
      </c>
      <c r="V128" s="89" t="s">
        <v>1353</v>
      </c>
      <c r="W128" s="89" t="s">
        <v>1354</v>
      </c>
      <c r="X128" s="89" t="s">
        <v>1353</v>
      </c>
      <c r="Y128" s="89" t="s">
        <v>1354</v>
      </c>
      <c r="Z128" s="81"/>
      <c r="AA128" s="6">
        <f t="shared" si="4"/>
        <v>2</v>
      </c>
      <c r="AB128" s="80" t="str">
        <f>+IF(AND(D128&gt;'Indices y Outliers'!$I$146,D128&lt;&gt;""),1,"")</f>
        <v/>
      </c>
      <c r="AC128" s="80" t="str">
        <f>+IF(AND(G128&gt;'Indices y Outliers'!$I$154,G128&lt;&gt;""),1,"")</f>
        <v/>
      </c>
      <c r="AD128" s="7"/>
      <c r="AE128" s="7">
        <f t="shared" si="5"/>
        <v>0</v>
      </c>
    </row>
    <row r="129" spans="1:31" ht="15.75" customHeight="1">
      <c r="A129" s="7" t="s">
        <v>595</v>
      </c>
      <c r="B129" s="78">
        <v>0</v>
      </c>
      <c r="C129" s="78">
        <v>62.38</v>
      </c>
      <c r="D129" s="42">
        <f t="shared" si="0"/>
        <v>62.38</v>
      </c>
      <c r="E129" s="78">
        <v>0</v>
      </c>
      <c r="F129" s="78">
        <v>1.52</v>
      </c>
      <c r="G129" s="42">
        <f t="shared" si="1"/>
        <v>1.52</v>
      </c>
      <c r="H129" s="41">
        <v>0</v>
      </c>
      <c r="I129" s="41">
        <v>3969417</v>
      </c>
      <c r="J129" s="41">
        <f t="shared" si="2"/>
        <v>3969417</v>
      </c>
      <c r="K129" s="41">
        <v>3979384</v>
      </c>
      <c r="L129" s="79">
        <f t="shared" si="3"/>
        <v>0.9974953409874493</v>
      </c>
      <c r="M129" s="89">
        <v>1</v>
      </c>
      <c r="N129" s="89">
        <v>1</v>
      </c>
      <c r="O129" s="89">
        <v>1</v>
      </c>
      <c r="P129" s="7"/>
      <c r="Q129" s="89">
        <v>1</v>
      </c>
      <c r="R129" s="7"/>
      <c r="S129" s="7"/>
      <c r="T129" s="89" t="s">
        <v>1353</v>
      </c>
      <c r="U129" s="89" t="s">
        <v>1353</v>
      </c>
      <c r="V129" s="89" t="s">
        <v>1353</v>
      </c>
      <c r="W129" s="89" t="s">
        <v>1353</v>
      </c>
      <c r="X129" s="7"/>
      <c r="Y129" s="7"/>
      <c r="Z129" s="81"/>
      <c r="AA129" s="6">
        <f t="shared" si="4"/>
        <v>2</v>
      </c>
      <c r="AB129" s="80" t="str">
        <f>+IF(AND(D129&gt;'Indices y Outliers'!$I$146,D129&lt;&gt;""),1,"")</f>
        <v/>
      </c>
      <c r="AC129" s="80" t="str">
        <f>+IF(AND(G129&gt;'Indices y Outliers'!$I$154,G129&lt;&gt;""),1,"")</f>
        <v/>
      </c>
      <c r="AD129" s="7"/>
      <c r="AE129" s="7">
        <f t="shared" si="5"/>
        <v>0</v>
      </c>
    </row>
    <row r="130" spans="1:31" ht="15.75" customHeight="1">
      <c r="A130" s="7" t="s">
        <v>598</v>
      </c>
      <c r="B130" s="78">
        <v>0</v>
      </c>
      <c r="C130" s="78">
        <v>104.8</v>
      </c>
      <c r="D130" s="42">
        <f t="shared" si="0"/>
        <v>104.8</v>
      </c>
      <c r="E130" s="78">
        <v>0</v>
      </c>
      <c r="F130" s="78">
        <v>1.496</v>
      </c>
      <c r="G130" s="42">
        <f t="shared" si="1"/>
        <v>1.496</v>
      </c>
      <c r="H130" s="41">
        <v>0</v>
      </c>
      <c r="I130" s="41">
        <v>1512319</v>
      </c>
      <c r="J130" s="41">
        <f t="shared" si="2"/>
        <v>1512319</v>
      </c>
      <c r="K130" s="41">
        <v>1512319</v>
      </c>
      <c r="L130" s="79">
        <f t="shared" si="3"/>
        <v>1</v>
      </c>
      <c r="M130" s="89">
        <v>1</v>
      </c>
      <c r="N130" s="89">
        <v>1</v>
      </c>
      <c r="O130" s="89">
        <v>1</v>
      </c>
      <c r="P130" s="89">
        <v>1</v>
      </c>
      <c r="Q130" s="89">
        <v>1</v>
      </c>
      <c r="R130" s="7"/>
      <c r="S130" s="89" t="s">
        <v>1353</v>
      </c>
      <c r="T130" s="89" t="s">
        <v>1353</v>
      </c>
      <c r="U130" s="89" t="s">
        <v>1353</v>
      </c>
      <c r="V130" s="89" t="s">
        <v>1353</v>
      </c>
      <c r="W130" s="7"/>
      <c r="X130" s="89" t="s">
        <v>1353</v>
      </c>
      <c r="Y130" s="89" t="s">
        <v>1353</v>
      </c>
      <c r="Z130" s="81"/>
      <c r="AA130" s="6">
        <f t="shared" si="4"/>
        <v>2</v>
      </c>
      <c r="AB130" s="80" t="str">
        <f>+IF(AND(D130&gt;'Indices y Outliers'!$I$146,D130&lt;&gt;""),1,"")</f>
        <v/>
      </c>
      <c r="AC130" s="80" t="str">
        <f>+IF(AND(G130&gt;'Indices y Outliers'!$I$154,G130&lt;&gt;""),1,"")</f>
        <v/>
      </c>
      <c r="AD130" s="7"/>
      <c r="AE130" s="7">
        <f t="shared" si="5"/>
        <v>0</v>
      </c>
    </row>
    <row r="131" spans="1:31" ht="15.75" customHeight="1">
      <c r="A131" s="7" t="s">
        <v>601</v>
      </c>
      <c r="B131" s="78">
        <v>139.61000000000001</v>
      </c>
      <c r="C131" s="78">
        <v>0</v>
      </c>
      <c r="D131" s="42">
        <f t="shared" si="0"/>
        <v>139.61000000000001</v>
      </c>
      <c r="E131" s="78">
        <v>1.75</v>
      </c>
      <c r="F131" s="78">
        <v>0</v>
      </c>
      <c r="G131" s="42">
        <f t="shared" si="1"/>
        <v>1.75</v>
      </c>
      <c r="H131" s="41">
        <v>0</v>
      </c>
      <c r="I131" s="41">
        <v>2717495</v>
      </c>
      <c r="J131" s="41">
        <f t="shared" si="2"/>
        <v>2717495</v>
      </c>
      <c r="K131" s="41">
        <v>2735261</v>
      </c>
      <c r="L131" s="79">
        <f t="shared" si="3"/>
        <v>0.99350482458529554</v>
      </c>
      <c r="M131" s="89">
        <v>1</v>
      </c>
      <c r="N131" s="89">
        <v>1</v>
      </c>
      <c r="O131" s="89">
        <v>1</v>
      </c>
      <c r="P131" s="89">
        <v>1</v>
      </c>
      <c r="Q131" s="89">
        <v>1</v>
      </c>
      <c r="R131" s="89">
        <v>1</v>
      </c>
      <c r="S131" s="89" t="s">
        <v>1353</v>
      </c>
      <c r="T131" s="89" t="s">
        <v>1353</v>
      </c>
      <c r="U131" s="89" t="s">
        <v>1353</v>
      </c>
      <c r="V131" s="89" t="s">
        <v>1353</v>
      </c>
      <c r="W131" s="7"/>
      <c r="X131" s="7"/>
      <c r="Y131" s="7"/>
      <c r="Z131" s="81"/>
      <c r="AA131" s="6">
        <f t="shared" si="4"/>
        <v>2</v>
      </c>
      <c r="AB131" s="80" t="str">
        <f>+IF(AND(D131&gt;'Indices y Outliers'!$I$146,D131&lt;&gt;""),1,"")</f>
        <v/>
      </c>
      <c r="AC131" s="80" t="str">
        <f>+IF(AND(G131&gt;'Indices y Outliers'!$I$154,G131&lt;&gt;""),1,"")</f>
        <v/>
      </c>
      <c r="AD131" s="7"/>
      <c r="AE131" s="7">
        <f t="shared" si="5"/>
        <v>0</v>
      </c>
    </row>
    <row r="132" spans="1:31" ht="15.75" customHeight="1">
      <c r="A132" s="7" t="s">
        <v>607</v>
      </c>
      <c r="B132" s="78">
        <v>82.1</v>
      </c>
      <c r="C132" s="78">
        <v>0</v>
      </c>
      <c r="D132" s="42">
        <f t="shared" si="0"/>
        <v>82.1</v>
      </c>
      <c r="E132" s="78">
        <v>1.0680000000000001</v>
      </c>
      <c r="F132" s="78">
        <v>0</v>
      </c>
      <c r="G132" s="42">
        <f t="shared" si="1"/>
        <v>1.0680000000000001</v>
      </c>
      <c r="H132" s="41">
        <v>191643</v>
      </c>
      <c r="I132" s="41">
        <v>21</v>
      </c>
      <c r="J132" s="41">
        <f t="shared" si="2"/>
        <v>191664</v>
      </c>
      <c r="K132" s="41">
        <v>191664</v>
      </c>
      <c r="L132" s="79">
        <f t="shared" si="3"/>
        <v>1</v>
      </c>
      <c r="M132" s="89">
        <v>1</v>
      </c>
      <c r="N132" s="89">
        <v>1</v>
      </c>
      <c r="O132" s="89">
        <v>1</v>
      </c>
      <c r="P132" s="89">
        <v>1</v>
      </c>
      <c r="Q132" s="89">
        <v>1</v>
      </c>
      <c r="R132" s="89">
        <v>1</v>
      </c>
      <c r="S132" s="89" t="s">
        <v>1353</v>
      </c>
      <c r="T132" s="89" t="s">
        <v>1353</v>
      </c>
      <c r="U132" s="89" t="s">
        <v>1353</v>
      </c>
      <c r="V132" s="89" t="s">
        <v>1353</v>
      </c>
      <c r="W132" s="89" t="s">
        <v>1353</v>
      </c>
      <c r="X132" s="89" t="s">
        <v>1353</v>
      </c>
      <c r="Y132" s="7"/>
      <c r="Z132" s="81"/>
      <c r="AA132" s="6">
        <f t="shared" si="4"/>
        <v>2</v>
      </c>
      <c r="AB132" s="80" t="str">
        <f>+IF(AND(D132&gt;'Indices y Outliers'!$I$146,D132&lt;&gt;""),1,"")</f>
        <v/>
      </c>
      <c r="AC132" s="80" t="str">
        <f>+IF(AND(G132&gt;'Indices y Outliers'!$I$154,G132&lt;&gt;""),1,"")</f>
        <v/>
      </c>
      <c r="AD132" s="7"/>
      <c r="AE132" s="7">
        <f t="shared" si="5"/>
        <v>0</v>
      </c>
    </row>
    <row r="133" spans="1:31" ht="15.75" customHeight="1">
      <c r="A133" s="7" t="s">
        <v>610</v>
      </c>
      <c r="B133" s="78">
        <v>0</v>
      </c>
      <c r="C133" s="78">
        <v>0</v>
      </c>
      <c r="D133" s="42" t="str">
        <f t="shared" si="0"/>
        <v/>
      </c>
      <c r="E133" s="78">
        <v>0</v>
      </c>
      <c r="F133" s="78">
        <v>0</v>
      </c>
      <c r="G133" s="42" t="str">
        <f t="shared" si="1"/>
        <v/>
      </c>
      <c r="H133" s="41">
        <v>0</v>
      </c>
      <c r="I133" s="41">
        <v>0</v>
      </c>
      <c r="J133" s="41">
        <f t="shared" si="2"/>
        <v>0</v>
      </c>
      <c r="K133" s="41">
        <v>0</v>
      </c>
      <c r="L133" s="79" t="str">
        <f t="shared" si="3"/>
        <v/>
      </c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81"/>
      <c r="AA133" s="6">
        <f t="shared" si="4"/>
        <v>0</v>
      </c>
      <c r="AB133" s="80" t="str">
        <f>+IF(AND(D133&gt;'Indices y Outliers'!$I$146,D133&lt;&gt;""),1,"")</f>
        <v/>
      </c>
      <c r="AC133" s="80" t="str">
        <f>+IF(AND(G133&gt;'Indices y Outliers'!$I$154,G133&lt;&gt;""),1,"")</f>
        <v/>
      </c>
      <c r="AD133" s="7"/>
      <c r="AE133" s="7">
        <f t="shared" si="5"/>
        <v>0</v>
      </c>
    </row>
    <row r="134" spans="1:31" ht="15.75" customHeight="1">
      <c r="A134" s="7" t="s">
        <v>613</v>
      </c>
      <c r="B134" s="78">
        <v>0</v>
      </c>
      <c r="C134" s="78">
        <v>43</v>
      </c>
      <c r="D134" s="42">
        <f t="shared" si="0"/>
        <v>43</v>
      </c>
      <c r="E134" s="78">
        <v>0</v>
      </c>
      <c r="F134" s="78">
        <v>0.75</v>
      </c>
      <c r="G134" s="42">
        <f t="shared" si="1"/>
        <v>0.75</v>
      </c>
      <c r="H134" s="41">
        <v>44663</v>
      </c>
      <c r="I134" s="41">
        <v>303547</v>
      </c>
      <c r="J134" s="41">
        <f t="shared" si="2"/>
        <v>348210</v>
      </c>
      <c r="K134" s="41">
        <v>348210</v>
      </c>
      <c r="L134" s="79">
        <f t="shared" si="3"/>
        <v>1</v>
      </c>
      <c r="M134" s="89">
        <v>1</v>
      </c>
      <c r="N134" s="89">
        <v>1</v>
      </c>
      <c r="O134" s="89">
        <v>1</v>
      </c>
      <c r="P134" s="89">
        <v>1</v>
      </c>
      <c r="Q134" s="89">
        <v>1</v>
      </c>
      <c r="R134" s="89">
        <v>1</v>
      </c>
      <c r="S134" s="7"/>
      <c r="T134" s="89" t="s">
        <v>1353</v>
      </c>
      <c r="U134" s="89" t="s">
        <v>1353</v>
      </c>
      <c r="V134" s="89" t="s">
        <v>1353</v>
      </c>
      <c r="W134" s="7"/>
      <c r="X134" s="7"/>
      <c r="Y134" s="7"/>
      <c r="Z134" s="81"/>
      <c r="AA134" s="6">
        <f t="shared" si="4"/>
        <v>2</v>
      </c>
      <c r="AB134" s="80" t="str">
        <f>+IF(AND(D134&gt;'Indices y Outliers'!$I$146,D134&lt;&gt;""),1,"")</f>
        <v/>
      </c>
      <c r="AC134" s="80" t="str">
        <f>+IF(AND(G134&gt;'Indices y Outliers'!$I$154,G134&lt;&gt;""),1,"")</f>
        <v/>
      </c>
      <c r="AD134" s="7"/>
      <c r="AE134" s="7">
        <f t="shared" si="5"/>
        <v>0</v>
      </c>
    </row>
    <row r="135" spans="1:31" ht="15.75" customHeight="1">
      <c r="A135" s="7" t="s">
        <v>616</v>
      </c>
      <c r="B135" s="78">
        <v>162.27000000000001</v>
      </c>
      <c r="C135" s="78">
        <v>0</v>
      </c>
      <c r="D135" s="42">
        <f t="shared" si="0"/>
        <v>162.27000000000001</v>
      </c>
      <c r="E135" s="78">
        <v>1.81</v>
      </c>
      <c r="F135" s="78">
        <v>0</v>
      </c>
      <c r="G135" s="42">
        <f t="shared" si="1"/>
        <v>1.81</v>
      </c>
      <c r="H135" s="41">
        <v>0</v>
      </c>
      <c r="I135" s="41">
        <v>399796</v>
      </c>
      <c r="J135" s="41">
        <f t="shared" si="2"/>
        <v>399796</v>
      </c>
      <c r="K135" s="41">
        <v>401296</v>
      </c>
      <c r="L135" s="79">
        <f t="shared" si="3"/>
        <v>0.99626211076113391</v>
      </c>
      <c r="M135" s="89">
        <v>1</v>
      </c>
      <c r="N135" s="89">
        <v>1</v>
      </c>
      <c r="O135" s="89">
        <v>1</v>
      </c>
      <c r="P135" s="89">
        <v>1</v>
      </c>
      <c r="Q135" s="89">
        <v>1</v>
      </c>
      <c r="R135" s="89">
        <v>1</v>
      </c>
      <c r="S135" s="89" t="s">
        <v>1353</v>
      </c>
      <c r="T135" s="89" t="s">
        <v>1353</v>
      </c>
      <c r="U135" s="89" t="s">
        <v>1353</v>
      </c>
      <c r="V135" s="89" t="s">
        <v>1353</v>
      </c>
      <c r="W135" s="7"/>
      <c r="X135" s="89" t="s">
        <v>1353</v>
      </c>
      <c r="Y135" s="7"/>
      <c r="Z135" s="81"/>
      <c r="AA135" s="6">
        <f t="shared" si="4"/>
        <v>2</v>
      </c>
      <c r="AB135" s="80" t="str">
        <f>+IF(AND(D135&gt;'Indices y Outliers'!$I$146,D135&lt;&gt;""),1,"")</f>
        <v/>
      </c>
      <c r="AC135" s="80" t="str">
        <f>+IF(AND(G135&gt;'Indices y Outliers'!$I$154,G135&lt;&gt;""),1,"")</f>
        <v/>
      </c>
      <c r="AD135" s="7"/>
      <c r="AE135" s="7">
        <f t="shared" si="5"/>
        <v>0</v>
      </c>
    </row>
    <row r="136" spans="1:31" ht="15.75" customHeight="1">
      <c r="A136" s="7" t="s">
        <v>619</v>
      </c>
      <c r="B136" s="78">
        <v>53.72</v>
      </c>
      <c r="C136" s="78">
        <v>0</v>
      </c>
      <c r="D136" s="42">
        <f t="shared" si="0"/>
        <v>53.72</v>
      </c>
      <c r="E136" s="78">
        <v>0.62</v>
      </c>
      <c r="F136" s="78">
        <v>0</v>
      </c>
      <c r="G136" s="42">
        <f t="shared" si="1"/>
        <v>0.62</v>
      </c>
      <c r="H136" s="41">
        <v>0</v>
      </c>
      <c r="I136" s="41">
        <v>1104717</v>
      </c>
      <c r="J136" s="41">
        <f t="shared" si="2"/>
        <v>1104717</v>
      </c>
      <c r="K136" s="41">
        <v>1105927</v>
      </c>
      <c r="L136" s="79">
        <f t="shared" si="3"/>
        <v>0.99890589523539985</v>
      </c>
      <c r="M136" s="89">
        <v>1</v>
      </c>
      <c r="N136" s="89">
        <v>1</v>
      </c>
      <c r="O136" s="89">
        <v>1</v>
      </c>
      <c r="P136" s="89">
        <v>1</v>
      </c>
      <c r="Q136" s="89">
        <v>1</v>
      </c>
      <c r="R136" s="89">
        <v>1</v>
      </c>
      <c r="S136" s="89" t="s">
        <v>1353</v>
      </c>
      <c r="T136" s="89" t="s">
        <v>1353</v>
      </c>
      <c r="U136" s="89" t="s">
        <v>1353</v>
      </c>
      <c r="V136" s="89" t="s">
        <v>1353</v>
      </c>
      <c r="W136" s="7"/>
      <c r="X136" s="89" t="s">
        <v>1353</v>
      </c>
      <c r="Y136" s="7"/>
      <c r="Z136" s="81"/>
      <c r="AA136" s="6">
        <f t="shared" si="4"/>
        <v>2</v>
      </c>
      <c r="AB136" s="80" t="str">
        <f>+IF(AND(D136&gt;'Indices y Outliers'!$I$146,D136&lt;&gt;""),1,"")</f>
        <v/>
      </c>
      <c r="AC136" s="80" t="str">
        <f>+IF(AND(G136&gt;'Indices y Outliers'!$I$154,G136&lt;&gt;""),1,"")</f>
        <v/>
      </c>
      <c r="AD136" s="7"/>
      <c r="AE136" s="7">
        <f t="shared" si="5"/>
        <v>0</v>
      </c>
    </row>
    <row r="137" spans="1:31" ht="15.75" customHeight="1">
      <c r="A137" s="7" t="s">
        <v>622</v>
      </c>
      <c r="B137" s="78">
        <v>177.23</v>
      </c>
      <c r="C137" s="78">
        <v>0</v>
      </c>
      <c r="D137" s="42">
        <f t="shared" si="0"/>
        <v>177.23</v>
      </c>
      <c r="E137" s="78">
        <v>3.87</v>
      </c>
      <c r="F137" s="78">
        <v>0</v>
      </c>
      <c r="G137" s="42">
        <f t="shared" si="1"/>
        <v>3.87</v>
      </c>
      <c r="H137" s="41">
        <v>434</v>
      </c>
      <c r="I137" s="41">
        <v>45429</v>
      </c>
      <c r="J137" s="41">
        <f t="shared" si="2"/>
        <v>45863</v>
      </c>
      <c r="K137" s="41">
        <v>47640</v>
      </c>
      <c r="L137" s="79">
        <f t="shared" si="3"/>
        <v>0.96269941225860622</v>
      </c>
      <c r="M137" s="89">
        <v>1</v>
      </c>
      <c r="N137" s="89">
        <v>1</v>
      </c>
      <c r="O137" s="89">
        <v>1</v>
      </c>
      <c r="P137" s="89">
        <v>1</v>
      </c>
      <c r="Q137" s="89">
        <v>1</v>
      </c>
      <c r="R137" s="89">
        <v>1</v>
      </c>
      <c r="S137" s="89" t="s">
        <v>1353</v>
      </c>
      <c r="T137" s="89" t="s">
        <v>1353</v>
      </c>
      <c r="U137" s="89" t="s">
        <v>1353</v>
      </c>
      <c r="V137" s="89" t="s">
        <v>1353</v>
      </c>
      <c r="W137" s="7"/>
      <c r="X137" s="89" t="s">
        <v>1353</v>
      </c>
      <c r="Y137" s="7"/>
      <c r="Z137" s="81"/>
      <c r="AA137" s="6">
        <f t="shared" si="4"/>
        <v>2</v>
      </c>
      <c r="AB137" s="80" t="str">
        <f>+IF(AND(D137&gt;'Indices y Outliers'!$I$146,D137&lt;&gt;""),1,"")</f>
        <v/>
      </c>
      <c r="AC137" s="80" t="str">
        <f>+IF(AND(G137&gt;'Indices y Outliers'!$I$154,G137&lt;&gt;""),1,"")</f>
        <v/>
      </c>
      <c r="AD137" s="7"/>
      <c r="AE137" s="7">
        <f t="shared" si="5"/>
        <v>0</v>
      </c>
    </row>
    <row r="138" spans="1:31" ht="15.75" customHeight="1">
      <c r="A138" s="7" t="s">
        <v>625</v>
      </c>
      <c r="B138" s="78">
        <v>0</v>
      </c>
      <c r="C138" s="78">
        <v>0</v>
      </c>
      <c r="D138" s="42" t="str">
        <f t="shared" si="0"/>
        <v/>
      </c>
      <c r="E138" s="78">
        <v>0</v>
      </c>
      <c r="F138" s="78">
        <v>0</v>
      </c>
      <c r="G138" s="42" t="str">
        <f t="shared" si="1"/>
        <v/>
      </c>
      <c r="H138" s="41">
        <v>0</v>
      </c>
      <c r="I138" s="41">
        <v>0</v>
      </c>
      <c r="J138" s="41">
        <f t="shared" si="2"/>
        <v>0</v>
      </c>
      <c r="K138" s="41">
        <v>0</v>
      </c>
      <c r="L138" s="79" t="str">
        <f t="shared" si="3"/>
        <v/>
      </c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81"/>
      <c r="AA138" s="6">
        <f t="shared" si="4"/>
        <v>0</v>
      </c>
      <c r="AB138" s="80" t="str">
        <f>+IF(AND(D138&gt;'Indices y Outliers'!$I$146,D138&lt;&gt;""),1,"")</f>
        <v/>
      </c>
      <c r="AC138" s="80" t="str">
        <f>+IF(AND(G138&gt;'Indices y Outliers'!$I$154,G138&lt;&gt;""),1,"")</f>
        <v/>
      </c>
      <c r="AD138" s="7"/>
      <c r="AE138" s="7">
        <f t="shared" si="5"/>
        <v>0</v>
      </c>
    </row>
    <row r="139" spans="1:31" ht="15.75" customHeight="1">
      <c r="A139" s="7" t="s">
        <v>628</v>
      </c>
      <c r="B139" s="78">
        <v>0</v>
      </c>
      <c r="C139" s="78">
        <v>0</v>
      </c>
      <c r="D139" s="42" t="str">
        <f t="shared" si="0"/>
        <v/>
      </c>
      <c r="E139" s="78">
        <v>0</v>
      </c>
      <c r="F139" s="78">
        <v>0</v>
      </c>
      <c r="G139" s="42" t="str">
        <f t="shared" si="1"/>
        <v/>
      </c>
      <c r="H139" s="41">
        <v>0</v>
      </c>
      <c r="I139" s="41">
        <v>0</v>
      </c>
      <c r="J139" s="41">
        <f t="shared" si="2"/>
        <v>0</v>
      </c>
      <c r="K139" s="41">
        <v>0</v>
      </c>
      <c r="L139" s="79" t="str">
        <f t="shared" si="3"/>
        <v/>
      </c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81"/>
      <c r="AA139" s="6">
        <f t="shared" si="4"/>
        <v>0</v>
      </c>
      <c r="AB139" s="80" t="str">
        <f>+IF(AND(D139&gt;'Indices y Outliers'!$I$146,D139&lt;&gt;""),1,"")</f>
        <v/>
      </c>
      <c r="AC139" s="80" t="str">
        <f>+IF(AND(G139&gt;'Indices y Outliers'!$I$154,G139&lt;&gt;""),1,"")</f>
        <v/>
      </c>
      <c r="AD139" s="7"/>
      <c r="AE139" s="7">
        <f t="shared" si="5"/>
        <v>0</v>
      </c>
    </row>
    <row r="140" spans="1:31" ht="15.75" customHeight="1">
      <c r="A140" s="7" t="s">
        <v>631</v>
      </c>
      <c r="B140" s="78">
        <v>0</v>
      </c>
      <c r="C140" s="78">
        <v>0</v>
      </c>
      <c r="D140" s="42" t="str">
        <f t="shared" si="0"/>
        <v/>
      </c>
      <c r="E140" s="78">
        <v>0</v>
      </c>
      <c r="F140" s="78">
        <v>0</v>
      </c>
      <c r="G140" s="42" t="str">
        <f t="shared" si="1"/>
        <v/>
      </c>
      <c r="H140" s="41">
        <v>0</v>
      </c>
      <c r="I140" s="41">
        <v>0</v>
      </c>
      <c r="J140" s="41">
        <f t="shared" si="2"/>
        <v>0</v>
      </c>
      <c r="K140" s="41">
        <v>0</v>
      </c>
      <c r="L140" s="79" t="str">
        <f t="shared" si="3"/>
        <v/>
      </c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81"/>
      <c r="AA140" s="6">
        <f t="shared" si="4"/>
        <v>0</v>
      </c>
      <c r="AB140" s="80" t="str">
        <f>+IF(AND(D140&gt;'Indices y Outliers'!$I$146,D140&lt;&gt;""),1,"")</f>
        <v/>
      </c>
      <c r="AC140" s="80" t="str">
        <f>+IF(AND(G140&gt;'Indices y Outliers'!$I$154,G140&lt;&gt;""),1,"")</f>
        <v/>
      </c>
      <c r="AD140" s="7"/>
      <c r="AE140" s="7">
        <f t="shared" si="5"/>
        <v>0</v>
      </c>
    </row>
    <row r="141" spans="1:31" ht="15.75" customHeight="1">
      <c r="A141" s="7" t="s">
        <v>634</v>
      </c>
      <c r="B141" s="78">
        <v>103.6</v>
      </c>
      <c r="C141" s="78">
        <v>0</v>
      </c>
      <c r="D141" s="42">
        <f t="shared" si="0"/>
        <v>103.6</v>
      </c>
      <c r="E141" s="78">
        <v>1.24</v>
      </c>
      <c r="F141" s="78">
        <v>0</v>
      </c>
      <c r="G141" s="42">
        <f t="shared" si="1"/>
        <v>1.24</v>
      </c>
      <c r="H141" s="41">
        <v>53</v>
      </c>
      <c r="I141" s="41">
        <v>151626</v>
      </c>
      <c r="J141" s="41">
        <f t="shared" si="2"/>
        <v>151679</v>
      </c>
      <c r="K141" s="41">
        <v>151679</v>
      </c>
      <c r="L141" s="79">
        <f t="shared" si="3"/>
        <v>1</v>
      </c>
      <c r="M141" s="89">
        <v>1</v>
      </c>
      <c r="N141" s="89">
        <v>1</v>
      </c>
      <c r="O141" s="89">
        <v>1</v>
      </c>
      <c r="P141" s="89">
        <v>1</v>
      </c>
      <c r="Q141" s="89">
        <v>1</v>
      </c>
      <c r="R141" s="89">
        <v>1</v>
      </c>
      <c r="S141" s="89" t="s">
        <v>1353</v>
      </c>
      <c r="T141" s="89" t="s">
        <v>1353</v>
      </c>
      <c r="U141" s="89" t="s">
        <v>1353</v>
      </c>
      <c r="V141" s="89" t="s">
        <v>1353</v>
      </c>
      <c r="W141" s="7"/>
      <c r="X141" s="89" t="s">
        <v>1353</v>
      </c>
      <c r="Y141" s="7"/>
      <c r="Z141" s="81"/>
      <c r="AA141" s="6">
        <f t="shared" si="4"/>
        <v>2</v>
      </c>
      <c r="AB141" s="80" t="str">
        <f>+IF(AND(D141&gt;'Indices y Outliers'!$I$146,D141&lt;&gt;""),1,"")</f>
        <v/>
      </c>
      <c r="AC141" s="80" t="str">
        <f>+IF(AND(G141&gt;'Indices y Outliers'!$I$154,G141&lt;&gt;""),1,"")</f>
        <v/>
      </c>
      <c r="AD141" s="7"/>
      <c r="AE141" s="7">
        <f t="shared" si="5"/>
        <v>0</v>
      </c>
    </row>
    <row r="142" spans="1:31" ht="15.75" customHeight="1">
      <c r="A142" s="7" t="s">
        <v>637</v>
      </c>
      <c r="B142" s="78">
        <v>0</v>
      </c>
      <c r="C142" s="78">
        <v>0</v>
      </c>
      <c r="D142" s="42" t="str">
        <f t="shared" si="0"/>
        <v/>
      </c>
      <c r="E142" s="78">
        <v>0</v>
      </c>
      <c r="F142" s="78">
        <v>0</v>
      </c>
      <c r="G142" s="42" t="str">
        <f t="shared" si="1"/>
        <v/>
      </c>
      <c r="H142" s="41">
        <v>0</v>
      </c>
      <c r="I142" s="41">
        <v>0</v>
      </c>
      <c r="J142" s="41">
        <f t="shared" si="2"/>
        <v>0</v>
      </c>
      <c r="K142" s="41">
        <v>0</v>
      </c>
      <c r="L142" s="79" t="str">
        <f t="shared" si="3"/>
        <v/>
      </c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81"/>
      <c r="AA142" s="6">
        <f t="shared" si="4"/>
        <v>0</v>
      </c>
      <c r="AB142" s="80" t="str">
        <f>+IF(AND(D142&gt;'Indices y Outliers'!$I$146,D142&lt;&gt;""),1,"")</f>
        <v/>
      </c>
      <c r="AC142" s="80" t="str">
        <f>+IF(AND(G142&gt;'Indices y Outliers'!$I$154,G142&lt;&gt;""),1,"")</f>
        <v/>
      </c>
      <c r="AD142" s="7"/>
      <c r="AE142" s="7">
        <f t="shared" si="5"/>
        <v>0</v>
      </c>
    </row>
    <row r="143" spans="1:31" ht="15.75" customHeight="1">
      <c r="A143" s="7" t="s">
        <v>640</v>
      </c>
      <c r="B143" s="78">
        <v>87.444999999999993</v>
      </c>
      <c r="C143" s="78">
        <v>0</v>
      </c>
      <c r="D143" s="42">
        <f t="shared" si="0"/>
        <v>87.444999999999993</v>
      </c>
      <c r="E143" s="78">
        <v>1.548</v>
      </c>
      <c r="F143" s="78">
        <v>0</v>
      </c>
      <c r="G143" s="42">
        <f t="shared" si="1"/>
        <v>1.548</v>
      </c>
      <c r="H143" s="41">
        <v>0</v>
      </c>
      <c r="I143" s="41">
        <v>101100</v>
      </c>
      <c r="J143" s="41">
        <f t="shared" si="2"/>
        <v>101100</v>
      </c>
      <c r="K143" s="41">
        <v>101100</v>
      </c>
      <c r="L143" s="79">
        <f t="shared" si="3"/>
        <v>1</v>
      </c>
      <c r="M143" s="89">
        <v>1</v>
      </c>
      <c r="N143" s="7"/>
      <c r="O143" s="89">
        <v>1</v>
      </c>
      <c r="P143" s="7"/>
      <c r="Q143" s="89">
        <v>1</v>
      </c>
      <c r="R143" s="89">
        <v>1</v>
      </c>
      <c r="S143" s="89" t="s">
        <v>1353</v>
      </c>
      <c r="T143" s="89" t="s">
        <v>1353</v>
      </c>
      <c r="U143" s="89" t="s">
        <v>1353</v>
      </c>
      <c r="V143" s="89" t="s">
        <v>1353</v>
      </c>
      <c r="W143" s="7"/>
      <c r="X143" s="89" t="s">
        <v>1353</v>
      </c>
      <c r="Y143" s="7"/>
      <c r="Z143" s="81"/>
      <c r="AA143" s="6">
        <f t="shared" si="4"/>
        <v>2</v>
      </c>
      <c r="AB143" s="80" t="str">
        <f>+IF(AND(D143&gt;'Indices y Outliers'!$I$146,D143&lt;&gt;""),1,"")</f>
        <v/>
      </c>
      <c r="AC143" s="80" t="str">
        <f>+IF(AND(G143&gt;'Indices y Outliers'!$I$154,G143&lt;&gt;""),1,"")</f>
        <v/>
      </c>
      <c r="AD143" s="7"/>
      <c r="AE143" s="7">
        <f t="shared" si="5"/>
        <v>0</v>
      </c>
    </row>
    <row r="144" spans="1:31" ht="15.75" customHeight="1">
      <c r="A144" s="7" t="s">
        <v>643</v>
      </c>
      <c r="B144" s="78">
        <v>0</v>
      </c>
      <c r="C144" s="78">
        <v>0</v>
      </c>
      <c r="D144" s="42" t="str">
        <f t="shared" si="0"/>
        <v/>
      </c>
      <c r="E144" s="78">
        <v>0</v>
      </c>
      <c r="F144" s="78">
        <v>0</v>
      </c>
      <c r="G144" s="42" t="str">
        <f t="shared" si="1"/>
        <v/>
      </c>
      <c r="H144" s="41">
        <v>0</v>
      </c>
      <c r="I144" s="41">
        <v>0</v>
      </c>
      <c r="J144" s="41">
        <f t="shared" si="2"/>
        <v>0</v>
      </c>
      <c r="K144" s="41">
        <v>0</v>
      </c>
      <c r="L144" s="79" t="str">
        <f t="shared" si="3"/>
        <v/>
      </c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81"/>
      <c r="AA144" s="6">
        <f t="shared" si="4"/>
        <v>0</v>
      </c>
      <c r="AB144" s="80" t="str">
        <f>+IF(AND(D144&gt;'Indices y Outliers'!$I$146,D144&lt;&gt;""),1,"")</f>
        <v/>
      </c>
      <c r="AC144" s="80" t="str">
        <f>+IF(AND(G144&gt;'Indices y Outliers'!$I$154,G144&lt;&gt;""),1,"")</f>
        <v/>
      </c>
      <c r="AD144" s="7"/>
      <c r="AE144" s="7">
        <f t="shared" si="5"/>
        <v>0</v>
      </c>
    </row>
    <row r="145" spans="1:31" ht="15.75" customHeight="1">
      <c r="A145" s="7" t="s">
        <v>646</v>
      </c>
      <c r="B145" s="78">
        <v>0</v>
      </c>
      <c r="C145" s="78">
        <v>0</v>
      </c>
      <c r="D145" s="42" t="str">
        <f t="shared" si="0"/>
        <v/>
      </c>
      <c r="E145" s="78">
        <v>0</v>
      </c>
      <c r="F145" s="78">
        <v>0</v>
      </c>
      <c r="G145" s="42" t="str">
        <f t="shared" si="1"/>
        <v/>
      </c>
      <c r="H145" s="41">
        <v>50</v>
      </c>
      <c r="I145" s="41">
        <v>100</v>
      </c>
      <c r="J145" s="41">
        <f t="shared" si="2"/>
        <v>150</v>
      </c>
      <c r="K145" s="41">
        <v>154</v>
      </c>
      <c r="L145" s="79">
        <f t="shared" si="3"/>
        <v>0.97402597402597402</v>
      </c>
      <c r="M145" s="89">
        <v>1</v>
      </c>
      <c r="N145" s="7"/>
      <c r="O145" s="89">
        <v>1</v>
      </c>
      <c r="P145" s="7"/>
      <c r="Q145" s="7"/>
      <c r="R145" s="7"/>
      <c r="S145" s="89" t="s">
        <v>1353</v>
      </c>
      <c r="T145" s="7"/>
      <c r="U145" s="7"/>
      <c r="V145" s="89" t="s">
        <v>1353</v>
      </c>
      <c r="W145" s="7"/>
      <c r="X145" s="7"/>
      <c r="Y145" s="7"/>
      <c r="Z145" s="81"/>
      <c r="AA145" s="6">
        <f t="shared" si="4"/>
        <v>0</v>
      </c>
      <c r="AB145" s="80" t="str">
        <f>+IF(AND(D145&gt;'Indices y Outliers'!$I$146,D145&lt;&gt;""),1,"")</f>
        <v/>
      </c>
      <c r="AC145" s="80" t="str">
        <f>+IF(AND(G145&gt;'Indices y Outliers'!$I$154,G145&lt;&gt;""),1,"")</f>
        <v/>
      </c>
      <c r="AD145" s="7"/>
      <c r="AE145" s="7">
        <f t="shared" si="5"/>
        <v>0</v>
      </c>
    </row>
    <row r="146" spans="1:31" ht="15.75" customHeight="1">
      <c r="A146" s="7" t="s">
        <v>649</v>
      </c>
      <c r="B146" s="78">
        <v>0</v>
      </c>
      <c r="C146" s="78">
        <v>223.8</v>
      </c>
      <c r="D146" s="42">
        <f t="shared" si="0"/>
        <v>223.8</v>
      </c>
      <c r="E146" s="78">
        <v>0</v>
      </c>
      <c r="F146" s="78">
        <v>2.5099999999999998</v>
      </c>
      <c r="G146" s="42">
        <f t="shared" si="1"/>
        <v>2.5099999999999998</v>
      </c>
      <c r="H146" s="41">
        <v>0</v>
      </c>
      <c r="I146" s="41">
        <v>277540</v>
      </c>
      <c r="J146" s="41">
        <f t="shared" si="2"/>
        <v>277540</v>
      </c>
      <c r="K146" s="41">
        <v>286495</v>
      </c>
      <c r="L146" s="79">
        <f t="shared" si="3"/>
        <v>0.96874290999842927</v>
      </c>
      <c r="M146" s="89">
        <v>1</v>
      </c>
      <c r="N146" s="89">
        <v>1</v>
      </c>
      <c r="O146" s="89">
        <v>1</v>
      </c>
      <c r="P146" s="89">
        <v>1</v>
      </c>
      <c r="Q146" s="7"/>
      <c r="R146" s="89">
        <v>1</v>
      </c>
      <c r="S146" s="89" t="s">
        <v>1353</v>
      </c>
      <c r="T146" s="89" t="s">
        <v>1353</v>
      </c>
      <c r="U146" s="89" t="s">
        <v>1353</v>
      </c>
      <c r="V146" s="89" t="s">
        <v>1353</v>
      </c>
      <c r="W146" s="89" t="s">
        <v>1353</v>
      </c>
      <c r="X146" s="89" t="s">
        <v>1353</v>
      </c>
      <c r="Y146" s="89" t="s">
        <v>1353</v>
      </c>
      <c r="Z146" s="81"/>
      <c r="AA146" s="6">
        <f t="shared" si="4"/>
        <v>2</v>
      </c>
      <c r="AB146" s="80" t="str">
        <f>+IF(AND(D146&gt;'Indices y Outliers'!$I$146,D146&lt;&gt;""),1,"")</f>
        <v/>
      </c>
      <c r="AC146" s="80" t="str">
        <f>+IF(AND(G146&gt;'Indices y Outliers'!$I$154,G146&lt;&gt;""),1,"")</f>
        <v/>
      </c>
      <c r="AD146" s="7"/>
      <c r="AE146" s="7">
        <f t="shared" si="5"/>
        <v>0</v>
      </c>
    </row>
    <row r="147" spans="1:31" ht="15.75" customHeight="1">
      <c r="A147" s="7" t="s">
        <v>652</v>
      </c>
      <c r="B147" s="78">
        <v>0</v>
      </c>
      <c r="C147" s="78">
        <v>135.928</v>
      </c>
      <c r="D147" s="42">
        <f t="shared" si="0"/>
        <v>135.928</v>
      </c>
      <c r="E147" s="78">
        <v>0</v>
      </c>
      <c r="F147" s="78">
        <v>1.7969999999999999</v>
      </c>
      <c r="G147" s="42">
        <f t="shared" si="1"/>
        <v>1.7969999999999999</v>
      </c>
      <c r="H147" s="41">
        <v>0</v>
      </c>
      <c r="I147" s="41">
        <v>71453</v>
      </c>
      <c r="J147" s="41">
        <f t="shared" si="2"/>
        <v>71453</v>
      </c>
      <c r="K147" s="41">
        <v>71463</v>
      </c>
      <c r="L147" s="79">
        <f t="shared" si="3"/>
        <v>0.99986006744749034</v>
      </c>
      <c r="M147" s="89">
        <v>1</v>
      </c>
      <c r="N147" s="89">
        <v>1</v>
      </c>
      <c r="O147" s="89">
        <v>1</v>
      </c>
      <c r="P147" s="89">
        <v>1</v>
      </c>
      <c r="Q147" s="89">
        <v>1</v>
      </c>
      <c r="R147" s="89">
        <v>1</v>
      </c>
      <c r="S147" s="89" t="s">
        <v>1353</v>
      </c>
      <c r="T147" s="89" t="s">
        <v>1353</v>
      </c>
      <c r="U147" s="89" t="s">
        <v>1353</v>
      </c>
      <c r="V147" s="89" t="s">
        <v>1353</v>
      </c>
      <c r="W147" s="89" t="s">
        <v>1353</v>
      </c>
      <c r="X147" s="89" t="s">
        <v>1353</v>
      </c>
      <c r="Y147" s="7"/>
      <c r="Z147" s="81"/>
      <c r="AA147" s="6">
        <f t="shared" si="4"/>
        <v>2</v>
      </c>
      <c r="AB147" s="80" t="str">
        <f>+IF(AND(D147&gt;'Indices y Outliers'!$I$146,D147&lt;&gt;""),1,"")</f>
        <v/>
      </c>
      <c r="AC147" s="80" t="str">
        <f>+IF(AND(G147&gt;'Indices y Outliers'!$I$154,G147&lt;&gt;""),1,"")</f>
        <v/>
      </c>
      <c r="AD147" s="7"/>
      <c r="AE147" s="7">
        <f t="shared" si="5"/>
        <v>0</v>
      </c>
    </row>
    <row r="148" spans="1:31" ht="15.75" customHeight="1">
      <c r="A148" s="7" t="s">
        <v>655</v>
      </c>
      <c r="B148" s="78">
        <v>102.517</v>
      </c>
      <c r="C148" s="78">
        <v>0</v>
      </c>
      <c r="D148" s="42">
        <f t="shared" si="0"/>
        <v>102.517</v>
      </c>
      <c r="E148" s="78">
        <v>0.93400000000000005</v>
      </c>
      <c r="F148" s="78">
        <v>0</v>
      </c>
      <c r="G148" s="42">
        <f t="shared" si="1"/>
        <v>0.93400000000000005</v>
      </c>
      <c r="H148" s="41">
        <v>380664</v>
      </c>
      <c r="I148" s="41">
        <v>0</v>
      </c>
      <c r="J148" s="41">
        <f t="shared" si="2"/>
        <v>380664</v>
      </c>
      <c r="K148" s="41">
        <v>402372</v>
      </c>
      <c r="L148" s="79">
        <f t="shared" si="3"/>
        <v>0.94604992395097076</v>
      </c>
      <c r="M148" s="89">
        <v>1</v>
      </c>
      <c r="N148" s="7"/>
      <c r="O148" s="89">
        <v>1</v>
      </c>
      <c r="P148" s="7"/>
      <c r="Q148" s="89">
        <v>1</v>
      </c>
      <c r="R148" s="89">
        <v>1</v>
      </c>
      <c r="S148" s="89" t="s">
        <v>1353</v>
      </c>
      <c r="T148" s="89" t="s">
        <v>1353</v>
      </c>
      <c r="U148" s="89" t="s">
        <v>1353</v>
      </c>
      <c r="V148" s="89" t="s">
        <v>1353</v>
      </c>
      <c r="W148" s="7"/>
      <c r="X148" s="7"/>
      <c r="Y148" s="89" t="s">
        <v>1353</v>
      </c>
      <c r="Z148" s="81"/>
      <c r="AA148" s="6">
        <f t="shared" si="4"/>
        <v>2</v>
      </c>
      <c r="AB148" s="80" t="str">
        <f>+IF(AND(D148&gt;'Indices y Outliers'!$I$146,D148&lt;&gt;""),1,"")</f>
        <v/>
      </c>
      <c r="AC148" s="80" t="str">
        <f>+IF(AND(G148&gt;'Indices y Outliers'!$I$154,G148&lt;&gt;""),1,"")</f>
        <v/>
      </c>
      <c r="AD148" s="7"/>
      <c r="AE148" s="7">
        <f t="shared" si="5"/>
        <v>0</v>
      </c>
    </row>
    <row r="149" spans="1:31" ht="15.75" customHeight="1">
      <c r="A149" s="7" t="s">
        <v>658</v>
      </c>
      <c r="B149" s="78">
        <v>144.292</v>
      </c>
      <c r="C149" s="78">
        <v>0</v>
      </c>
      <c r="D149" s="42">
        <f t="shared" si="0"/>
        <v>144.292</v>
      </c>
      <c r="E149" s="78">
        <v>2.1429999999999998</v>
      </c>
      <c r="F149" s="78">
        <v>0</v>
      </c>
      <c r="G149" s="42">
        <f t="shared" si="1"/>
        <v>2.1429999999999998</v>
      </c>
      <c r="H149" s="41">
        <v>10596</v>
      </c>
      <c r="I149" s="41">
        <v>2769108</v>
      </c>
      <c r="J149" s="41">
        <f t="shared" si="2"/>
        <v>2779704</v>
      </c>
      <c r="K149" s="41">
        <v>2779849</v>
      </c>
      <c r="L149" s="79">
        <f t="shared" si="3"/>
        <v>0.99994783889340755</v>
      </c>
      <c r="M149" s="89">
        <v>1</v>
      </c>
      <c r="N149" s="89">
        <v>1</v>
      </c>
      <c r="O149" s="89">
        <v>1</v>
      </c>
      <c r="P149" s="7"/>
      <c r="Q149" s="89">
        <v>1</v>
      </c>
      <c r="R149" s="7"/>
      <c r="S149" s="7"/>
      <c r="T149" s="89" t="s">
        <v>1353</v>
      </c>
      <c r="U149" s="89" t="s">
        <v>1353</v>
      </c>
      <c r="V149" s="89" t="s">
        <v>1353</v>
      </c>
      <c r="W149" s="7"/>
      <c r="X149" s="7"/>
      <c r="Y149" s="7"/>
      <c r="Z149" s="81"/>
      <c r="AA149" s="6">
        <f t="shared" si="4"/>
        <v>2</v>
      </c>
      <c r="AB149" s="80" t="str">
        <f>+IF(AND(D149&gt;'Indices y Outliers'!$I$146,D149&lt;&gt;""),1,"")</f>
        <v/>
      </c>
      <c r="AC149" s="80" t="str">
        <f>+IF(AND(G149&gt;'Indices y Outliers'!$I$154,G149&lt;&gt;""),1,"")</f>
        <v/>
      </c>
      <c r="AD149" s="7"/>
      <c r="AE149" s="7">
        <f t="shared" si="5"/>
        <v>0</v>
      </c>
    </row>
    <row r="150" spans="1:31" ht="15.75" customHeight="1">
      <c r="A150" s="7" t="s">
        <v>661</v>
      </c>
      <c r="B150" s="78">
        <v>0</v>
      </c>
      <c r="C150" s="78">
        <v>0</v>
      </c>
      <c r="D150" s="42" t="str">
        <f t="shared" si="0"/>
        <v/>
      </c>
      <c r="E150" s="78">
        <v>0</v>
      </c>
      <c r="F150" s="78">
        <v>1.2869999999999999</v>
      </c>
      <c r="G150" s="42">
        <f t="shared" si="1"/>
        <v>1.2869999999999999</v>
      </c>
      <c r="H150" s="41">
        <v>25469</v>
      </c>
      <c r="I150" s="41">
        <v>0</v>
      </c>
      <c r="J150" s="41">
        <f t="shared" si="2"/>
        <v>25469</v>
      </c>
      <c r="K150" s="41">
        <v>25469</v>
      </c>
      <c r="L150" s="79">
        <f t="shared" si="3"/>
        <v>1</v>
      </c>
      <c r="M150" s="89">
        <v>1</v>
      </c>
      <c r="N150" s="89">
        <v>1</v>
      </c>
      <c r="O150" s="89">
        <v>1</v>
      </c>
      <c r="P150" s="89">
        <v>1</v>
      </c>
      <c r="Q150" s="89">
        <v>1</v>
      </c>
      <c r="R150" s="89">
        <v>1</v>
      </c>
      <c r="S150" s="89" t="s">
        <v>1353</v>
      </c>
      <c r="T150" s="89" t="s">
        <v>1353</v>
      </c>
      <c r="U150" s="89" t="s">
        <v>1353</v>
      </c>
      <c r="V150" s="89" t="s">
        <v>1353</v>
      </c>
      <c r="W150" s="7"/>
      <c r="X150" s="89" t="s">
        <v>1354</v>
      </c>
      <c r="Y150" s="7"/>
      <c r="Z150" s="81"/>
      <c r="AA150" s="6">
        <f t="shared" si="4"/>
        <v>0</v>
      </c>
      <c r="AB150" s="80" t="str">
        <f>+IF(AND(D150&gt;'Indices y Outliers'!$I$146,D150&lt;&gt;""),1,"")</f>
        <v/>
      </c>
      <c r="AC150" s="80" t="str">
        <f>+IF(AND(G150&gt;'Indices y Outliers'!$I$154,G150&lt;&gt;""),1,"")</f>
        <v/>
      </c>
      <c r="AD150" s="7"/>
      <c r="AE150" s="7">
        <f t="shared" si="5"/>
        <v>0</v>
      </c>
    </row>
    <row r="151" spans="1:31" ht="15.75" customHeight="1">
      <c r="A151" s="7" t="s">
        <v>664</v>
      </c>
      <c r="B151" s="78">
        <v>0</v>
      </c>
      <c r="C151" s="78">
        <v>0</v>
      </c>
      <c r="D151" s="42" t="str">
        <f t="shared" si="0"/>
        <v/>
      </c>
      <c r="E151" s="78">
        <v>0</v>
      </c>
      <c r="F151" s="78">
        <v>0</v>
      </c>
      <c r="G151" s="42" t="str">
        <f t="shared" si="1"/>
        <v/>
      </c>
      <c r="H151" s="41">
        <v>0</v>
      </c>
      <c r="I151" s="41">
        <v>0</v>
      </c>
      <c r="J151" s="41">
        <f t="shared" si="2"/>
        <v>0</v>
      </c>
      <c r="K151" s="41">
        <v>0</v>
      </c>
      <c r="L151" s="79" t="str">
        <f t="shared" si="3"/>
        <v/>
      </c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81"/>
      <c r="AA151" s="6">
        <f t="shared" si="4"/>
        <v>0</v>
      </c>
      <c r="AB151" s="80" t="str">
        <f>+IF(AND(D151&gt;'Indices y Outliers'!$I$146,D151&lt;&gt;""),1,"")</f>
        <v/>
      </c>
      <c r="AC151" s="80" t="str">
        <f>+IF(AND(G151&gt;'Indices y Outliers'!$I$154,G151&lt;&gt;""),1,"")</f>
        <v/>
      </c>
      <c r="AD151" s="7"/>
      <c r="AE151" s="7">
        <f t="shared" si="5"/>
        <v>0</v>
      </c>
    </row>
    <row r="152" spans="1:31" ht="15.75" customHeight="1">
      <c r="A152" s="7" t="s">
        <v>667</v>
      </c>
      <c r="B152" s="78">
        <v>0</v>
      </c>
      <c r="C152" s="78">
        <v>0</v>
      </c>
      <c r="D152" s="42" t="str">
        <f t="shared" si="0"/>
        <v/>
      </c>
      <c r="E152" s="78">
        <v>0</v>
      </c>
      <c r="F152" s="78">
        <v>0</v>
      </c>
      <c r="G152" s="42" t="str">
        <f t="shared" si="1"/>
        <v/>
      </c>
      <c r="H152" s="41">
        <v>0</v>
      </c>
      <c r="I152" s="41">
        <v>0</v>
      </c>
      <c r="J152" s="41">
        <f t="shared" si="2"/>
        <v>0</v>
      </c>
      <c r="K152" s="41">
        <v>0</v>
      </c>
      <c r="L152" s="79" t="str">
        <f t="shared" si="3"/>
        <v/>
      </c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81"/>
      <c r="AA152" s="6">
        <f t="shared" si="4"/>
        <v>0</v>
      </c>
      <c r="AB152" s="80" t="str">
        <f>+IF(AND(D152&gt;'Indices y Outliers'!$I$146,D152&lt;&gt;""),1,"")</f>
        <v/>
      </c>
      <c r="AC152" s="80" t="str">
        <f>+IF(AND(G152&gt;'Indices y Outliers'!$I$154,G152&lt;&gt;""),1,"")</f>
        <v/>
      </c>
      <c r="AD152" s="7"/>
      <c r="AE152" s="7">
        <f t="shared" si="5"/>
        <v>0</v>
      </c>
    </row>
    <row r="153" spans="1:31" ht="15.75" customHeight="1">
      <c r="A153" s="7" t="s">
        <v>670</v>
      </c>
      <c r="B153" s="78">
        <v>85</v>
      </c>
      <c r="C153" s="78">
        <v>0</v>
      </c>
      <c r="D153" s="42">
        <f t="shared" si="0"/>
        <v>85</v>
      </c>
      <c r="E153" s="78">
        <v>0.83</v>
      </c>
      <c r="F153" s="78">
        <v>0</v>
      </c>
      <c r="G153" s="42">
        <f t="shared" si="1"/>
        <v>0.83</v>
      </c>
      <c r="H153" s="41">
        <v>58709</v>
      </c>
      <c r="I153" s="41">
        <v>0</v>
      </c>
      <c r="J153" s="41">
        <f t="shared" si="2"/>
        <v>58709</v>
      </c>
      <c r="K153" s="41">
        <v>62902</v>
      </c>
      <c r="L153" s="79">
        <f t="shared" si="3"/>
        <v>0.93334075228132651</v>
      </c>
      <c r="M153" s="89">
        <v>1</v>
      </c>
      <c r="N153" s="7"/>
      <c r="O153" s="89">
        <v>1</v>
      </c>
      <c r="P153" s="89">
        <v>1</v>
      </c>
      <c r="Q153" s="89">
        <v>1</v>
      </c>
      <c r="R153" s="89">
        <v>1</v>
      </c>
      <c r="S153" s="7"/>
      <c r="T153" s="89" t="s">
        <v>1353</v>
      </c>
      <c r="U153" s="89" t="s">
        <v>1353</v>
      </c>
      <c r="V153" s="89" t="s">
        <v>1353</v>
      </c>
      <c r="W153" s="7"/>
      <c r="X153" s="7"/>
      <c r="Y153" s="89" t="s">
        <v>1353</v>
      </c>
      <c r="Z153" s="81"/>
      <c r="AA153" s="6">
        <f t="shared" si="4"/>
        <v>2</v>
      </c>
      <c r="AB153" s="80" t="str">
        <f>+IF(AND(D153&gt;'Indices y Outliers'!$I$146,D153&lt;&gt;""),1,"")</f>
        <v/>
      </c>
      <c r="AC153" s="80" t="str">
        <f>+IF(AND(G153&gt;'Indices y Outliers'!$I$154,G153&lt;&gt;""),1,"")</f>
        <v/>
      </c>
      <c r="AD153" s="7"/>
      <c r="AE153" s="7">
        <f t="shared" si="5"/>
        <v>0</v>
      </c>
    </row>
    <row r="154" spans="1:31" ht="15.75" customHeight="1">
      <c r="A154" s="7" t="s">
        <v>673</v>
      </c>
      <c r="B154" s="78">
        <v>0</v>
      </c>
      <c r="C154" s="78">
        <v>0</v>
      </c>
      <c r="D154" s="42" t="str">
        <f t="shared" si="0"/>
        <v/>
      </c>
      <c r="E154" s="78">
        <v>0</v>
      </c>
      <c r="F154" s="78">
        <v>0</v>
      </c>
      <c r="G154" s="42" t="str">
        <f t="shared" si="1"/>
        <v/>
      </c>
      <c r="H154" s="41">
        <v>0</v>
      </c>
      <c r="I154" s="41">
        <v>0</v>
      </c>
      <c r="J154" s="41">
        <f t="shared" si="2"/>
        <v>0</v>
      </c>
      <c r="K154" s="41">
        <v>0</v>
      </c>
      <c r="L154" s="79" t="str">
        <f t="shared" si="3"/>
        <v/>
      </c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81"/>
      <c r="AA154" s="6">
        <f t="shared" si="4"/>
        <v>0</v>
      </c>
      <c r="AB154" s="80" t="str">
        <f>+IF(AND(D154&gt;'Indices y Outliers'!$I$146,D154&lt;&gt;""),1,"")</f>
        <v/>
      </c>
      <c r="AC154" s="80" t="str">
        <f>+IF(AND(G154&gt;'Indices y Outliers'!$I$154,G154&lt;&gt;""),1,"")</f>
        <v/>
      </c>
      <c r="AD154" s="7"/>
      <c r="AE154" s="7">
        <f t="shared" si="5"/>
        <v>0</v>
      </c>
    </row>
    <row r="155" spans="1:31" ht="15.75" customHeight="1">
      <c r="A155" s="7" t="s">
        <v>676</v>
      </c>
      <c r="B155" s="78">
        <v>0</v>
      </c>
      <c r="C155" s="78">
        <v>0</v>
      </c>
      <c r="D155" s="42" t="str">
        <f t="shared" si="0"/>
        <v/>
      </c>
      <c r="E155" s="78">
        <v>0</v>
      </c>
      <c r="F155" s="78">
        <v>0</v>
      </c>
      <c r="G155" s="42" t="str">
        <f t="shared" si="1"/>
        <v/>
      </c>
      <c r="H155" s="41">
        <v>0</v>
      </c>
      <c r="I155" s="41">
        <v>0</v>
      </c>
      <c r="J155" s="41">
        <f t="shared" si="2"/>
        <v>0</v>
      </c>
      <c r="K155" s="41">
        <v>0</v>
      </c>
      <c r="L155" s="79" t="str">
        <f t="shared" si="3"/>
        <v/>
      </c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81"/>
      <c r="AA155" s="6">
        <f t="shared" si="4"/>
        <v>0</v>
      </c>
      <c r="AB155" s="80" t="str">
        <f>+IF(AND(D155&gt;'Indices y Outliers'!$I$146,D155&lt;&gt;""),1,"")</f>
        <v/>
      </c>
      <c r="AC155" s="80" t="str">
        <f>+IF(AND(G155&gt;'Indices y Outliers'!$I$154,G155&lt;&gt;""),1,"")</f>
        <v/>
      </c>
      <c r="AD155" s="7"/>
      <c r="AE155" s="7">
        <f t="shared" si="5"/>
        <v>0</v>
      </c>
    </row>
    <row r="156" spans="1:31" ht="15.75" customHeight="1">
      <c r="A156" s="7" t="s">
        <v>679</v>
      </c>
      <c r="B156" s="78">
        <v>0</v>
      </c>
      <c r="C156" s="78">
        <v>0</v>
      </c>
      <c r="D156" s="42" t="str">
        <f t="shared" si="0"/>
        <v/>
      </c>
      <c r="E156" s="78">
        <v>0</v>
      </c>
      <c r="F156" s="78">
        <v>0</v>
      </c>
      <c r="G156" s="42" t="str">
        <f t="shared" si="1"/>
        <v/>
      </c>
      <c r="H156" s="41">
        <v>0</v>
      </c>
      <c r="I156" s="41">
        <v>0</v>
      </c>
      <c r="J156" s="41">
        <f t="shared" si="2"/>
        <v>0</v>
      </c>
      <c r="K156" s="41">
        <v>0</v>
      </c>
      <c r="L156" s="79" t="str">
        <f t="shared" si="3"/>
        <v/>
      </c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81"/>
      <c r="AA156" s="6">
        <f t="shared" si="4"/>
        <v>0</v>
      </c>
      <c r="AB156" s="80" t="str">
        <f>+IF(AND(D156&gt;'Indices y Outliers'!$I$146,D156&lt;&gt;""),1,"")</f>
        <v/>
      </c>
      <c r="AC156" s="80" t="str">
        <f>+IF(AND(G156&gt;'Indices y Outliers'!$I$154,G156&lt;&gt;""),1,"")</f>
        <v/>
      </c>
      <c r="AD156" s="7"/>
      <c r="AE156" s="7">
        <f t="shared" si="5"/>
        <v>0</v>
      </c>
    </row>
    <row r="157" spans="1:31" ht="15.75" customHeight="1">
      <c r="A157" s="7" t="s">
        <v>682</v>
      </c>
      <c r="B157" s="78">
        <v>0</v>
      </c>
      <c r="C157" s="78">
        <v>0</v>
      </c>
      <c r="D157" s="42" t="str">
        <f t="shared" si="0"/>
        <v/>
      </c>
      <c r="E157" s="78">
        <v>0</v>
      </c>
      <c r="F157" s="78">
        <v>0</v>
      </c>
      <c r="G157" s="42" t="str">
        <f t="shared" si="1"/>
        <v/>
      </c>
      <c r="H157" s="41">
        <v>0</v>
      </c>
      <c r="I157" s="41">
        <v>0</v>
      </c>
      <c r="J157" s="41">
        <f t="shared" si="2"/>
        <v>0</v>
      </c>
      <c r="K157" s="41">
        <v>0</v>
      </c>
      <c r="L157" s="79" t="str">
        <f t="shared" si="3"/>
        <v/>
      </c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81"/>
      <c r="AA157" s="6">
        <f t="shared" si="4"/>
        <v>0</v>
      </c>
      <c r="AB157" s="80" t="str">
        <f>+IF(AND(D157&gt;'Indices y Outliers'!$I$146,D157&lt;&gt;""),1,"")</f>
        <v/>
      </c>
      <c r="AC157" s="80" t="str">
        <f>+IF(AND(G157&gt;'Indices y Outliers'!$I$154,G157&lt;&gt;""),1,"")</f>
        <v/>
      </c>
      <c r="AD157" s="7"/>
      <c r="AE157" s="7">
        <f t="shared" si="5"/>
        <v>0</v>
      </c>
    </row>
    <row r="158" spans="1:31" ht="15.75" customHeight="1">
      <c r="A158" s="7" t="s">
        <v>685</v>
      </c>
      <c r="B158" s="78">
        <v>0</v>
      </c>
      <c r="C158" s="78">
        <v>0</v>
      </c>
      <c r="D158" s="42" t="str">
        <f t="shared" si="0"/>
        <v/>
      </c>
      <c r="E158" s="78">
        <v>0</v>
      </c>
      <c r="F158" s="78">
        <v>0</v>
      </c>
      <c r="G158" s="42" t="str">
        <f t="shared" si="1"/>
        <v/>
      </c>
      <c r="H158" s="41">
        <v>0</v>
      </c>
      <c r="I158" s="41">
        <v>0</v>
      </c>
      <c r="J158" s="41">
        <f t="shared" si="2"/>
        <v>0</v>
      </c>
      <c r="K158" s="41">
        <v>0</v>
      </c>
      <c r="L158" s="79" t="str">
        <f t="shared" si="3"/>
        <v/>
      </c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81"/>
      <c r="AA158" s="6">
        <f t="shared" si="4"/>
        <v>0</v>
      </c>
      <c r="AB158" s="80" t="str">
        <f>+IF(AND(D158&gt;'Indices y Outliers'!$I$146,D158&lt;&gt;""),1,"")</f>
        <v/>
      </c>
      <c r="AC158" s="80" t="str">
        <f>+IF(AND(G158&gt;'Indices y Outliers'!$I$154,G158&lt;&gt;""),1,"")</f>
        <v/>
      </c>
      <c r="AD158" s="7"/>
      <c r="AE158" s="7">
        <f t="shared" si="5"/>
        <v>0</v>
      </c>
    </row>
    <row r="159" spans="1:31" ht="15.75" customHeight="1">
      <c r="A159" s="7" t="s">
        <v>688</v>
      </c>
      <c r="B159" s="78">
        <v>0</v>
      </c>
      <c r="C159" s="78">
        <v>0</v>
      </c>
      <c r="D159" s="42" t="str">
        <f t="shared" si="0"/>
        <v/>
      </c>
      <c r="E159" s="78">
        <v>0</v>
      </c>
      <c r="F159" s="78">
        <v>0</v>
      </c>
      <c r="G159" s="42" t="str">
        <f t="shared" si="1"/>
        <v/>
      </c>
      <c r="H159" s="41">
        <v>0</v>
      </c>
      <c r="I159" s="41">
        <v>0</v>
      </c>
      <c r="J159" s="41">
        <f t="shared" si="2"/>
        <v>0</v>
      </c>
      <c r="K159" s="41">
        <v>0</v>
      </c>
      <c r="L159" s="79" t="str">
        <f t="shared" si="3"/>
        <v/>
      </c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81"/>
      <c r="AA159" s="6">
        <f t="shared" si="4"/>
        <v>0</v>
      </c>
      <c r="AB159" s="80" t="str">
        <f>+IF(AND(D159&gt;'Indices y Outliers'!$I$146,D159&lt;&gt;""),1,"")</f>
        <v/>
      </c>
      <c r="AC159" s="80" t="str">
        <f>+IF(AND(G159&gt;'Indices y Outliers'!$I$154,G159&lt;&gt;""),1,"")</f>
        <v/>
      </c>
      <c r="AD159" s="7"/>
      <c r="AE159" s="7">
        <f t="shared" si="5"/>
        <v>0</v>
      </c>
    </row>
    <row r="160" spans="1:31" ht="15.75" customHeight="1">
      <c r="A160" s="7" t="s">
        <v>691</v>
      </c>
      <c r="B160" s="78">
        <v>0</v>
      </c>
      <c r="C160" s="78">
        <v>0</v>
      </c>
      <c r="D160" s="42" t="str">
        <f t="shared" si="0"/>
        <v/>
      </c>
      <c r="E160" s="78">
        <v>0</v>
      </c>
      <c r="F160" s="78">
        <v>0</v>
      </c>
      <c r="G160" s="42" t="str">
        <f t="shared" si="1"/>
        <v/>
      </c>
      <c r="H160" s="41">
        <v>0</v>
      </c>
      <c r="I160" s="41">
        <v>0</v>
      </c>
      <c r="J160" s="41">
        <f t="shared" si="2"/>
        <v>0</v>
      </c>
      <c r="K160" s="41">
        <v>0</v>
      </c>
      <c r="L160" s="79" t="str">
        <f t="shared" si="3"/>
        <v/>
      </c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81"/>
      <c r="AA160" s="6">
        <f t="shared" si="4"/>
        <v>0</v>
      </c>
      <c r="AB160" s="80" t="str">
        <f>+IF(AND(D160&gt;'Indices y Outliers'!$I$146,D160&lt;&gt;""),1,"")</f>
        <v/>
      </c>
      <c r="AC160" s="80" t="str">
        <f>+IF(AND(G160&gt;'Indices y Outliers'!$I$154,G160&lt;&gt;""),1,"")</f>
        <v/>
      </c>
      <c r="AD160" s="7"/>
      <c r="AE160" s="7">
        <f t="shared" si="5"/>
        <v>0</v>
      </c>
    </row>
    <row r="161" spans="1:31" ht="15.75" customHeight="1">
      <c r="A161" s="7" t="s">
        <v>694</v>
      </c>
      <c r="B161" s="78">
        <v>0</v>
      </c>
      <c r="C161" s="78">
        <v>0</v>
      </c>
      <c r="D161" s="42" t="str">
        <f t="shared" si="0"/>
        <v/>
      </c>
      <c r="E161" s="78">
        <v>0</v>
      </c>
      <c r="F161" s="78">
        <v>0</v>
      </c>
      <c r="G161" s="42" t="str">
        <f t="shared" si="1"/>
        <v/>
      </c>
      <c r="H161" s="41">
        <v>0</v>
      </c>
      <c r="I161" s="41">
        <v>0</v>
      </c>
      <c r="J161" s="41">
        <f t="shared" si="2"/>
        <v>0</v>
      </c>
      <c r="K161" s="41">
        <v>0</v>
      </c>
      <c r="L161" s="79" t="str">
        <f t="shared" si="3"/>
        <v/>
      </c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81"/>
      <c r="AA161" s="6">
        <f t="shared" si="4"/>
        <v>0</v>
      </c>
      <c r="AB161" s="80" t="str">
        <f>+IF(AND(D161&gt;'Indices y Outliers'!$I$146,D161&lt;&gt;""),1,"")</f>
        <v/>
      </c>
      <c r="AC161" s="80" t="str">
        <f>+IF(AND(G161&gt;'Indices y Outliers'!$I$154,G161&lt;&gt;""),1,"")</f>
        <v/>
      </c>
      <c r="AD161" s="7"/>
      <c r="AE161" s="7">
        <f t="shared" si="5"/>
        <v>0</v>
      </c>
    </row>
    <row r="162" spans="1:31" ht="15.75" customHeight="1">
      <c r="A162" s="7" t="s">
        <v>697</v>
      </c>
      <c r="B162" s="78">
        <v>23.547000000000001</v>
      </c>
      <c r="C162" s="78">
        <v>0</v>
      </c>
      <c r="D162" s="42">
        <f t="shared" si="0"/>
        <v>23.547000000000001</v>
      </c>
      <c r="E162" s="78">
        <v>0.27500000000000002</v>
      </c>
      <c r="F162" s="78">
        <v>0</v>
      </c>
      <c r="G162" s="42">
        <f t="shared" si="1"/>
        <v>0.27500000000000002</v>
      </c>
      <c r="H162" s="41">
        <v>138902</v>
      </c>
      <c r="I162" s="41">
        <v>28815</v>
      </c>
      <c r="J162" s="41">
        <f t="shared" si="2"/>
        <v>167717</v>
      </c>
      <c r="K162" s="41">
        <v>168242</v>
      </c>
      <c r="L162" s="79">
        <f t="shared" si="3"/>
        <v>0.99687949501313589</v>
      </c>
      <c r="M162" s="89">
        <v>1</v>
      </c>
      <c r="N162" s="7"/>
      <c r="O162" s="89">
        <v>1</v>
      </c>
      <c r="P162" s="89">
        <v>1</v>
      </c>
      <c r="Q162" s="7"/>
      <c r="R162" s="89">
        <v>1</v>
      </c>
      <c r="S162" s="89" t="s">
        <v>1353</v>
      </c>
      <c r="T162" s="7"/>
      <c r="U162" s="89" t="s">
        <v>1353</v>
      </c>
      <c r="V162" s="89" t="s">
        <v>1353</v>
      </c>
      <c r="W162" s="7"/>
      <c r="X162" s="7"/>
      <c r="Y162" s="89" t="s">
        <v>1353</v>
      </c>
      <c r="Z162" s="81"/>
      <c r="AA162" s="6">
        <f t="shared" si="4"/>
        <v>2</v>
      </c>
      <c r="AB162" s="80" t="str">
        <f>+IF(AND(D162&gt;'Indices y Outliers'!$I$146,D162&lt;&gt;""),1,"")</f>
        <v/>
      </c>
      <c r="AC162" s="80" t="str">
        <f>+IF(AND(G162&gt;'Indices y Outliers'!$I$154,G162&lt;&gt;""),1,"")</f>
        <v/>
      </c>
      <c r="AD162" s="7"/>
      <c r="AE162" s="7">
        <f t="shared" si="5"/>
        <v>0</v>
      </c>
    </row>
    <row r="163" spans="1:31" ht="15.75" customHeight="1">
      <c r="A163" s="7" t="s">
        <v>700</v>
      </c>
      <c r="B163" s="78">
        <v>0</v>
      </c>
      <c r="C163" s="78">
        <v>0</v>
      </c>
      <c r="D163" s="42" t="str">
        <f t="shared" si="0"/>
        <v/>
      </c>
      <c r="E163" s="78">
        <v>0</v>
      </c>
      <c r="F163" s="78">
        <v>0</v>
      </c>
      <c r="G163" s="42" t="str">
        <f t="shared" si="1"/>
        <v/>
      </c>
      <c r="H163" s="41">
        <v>0</v>
      </c>
      <c r="I163" s="41">
        <v>0</v>
      </c>
      <c r="J163" s="41">
        <f t="shared" si="2"/>
        <v>0</v>
      </c>
      <c r="K163" s="41">
        <v>0</v>
      </c>
      <c r="L163" s="79" t="str">
        <f t="shared" si="3"/>
        <v/>
      </c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81"/>
      <c r="AA163" s="6">
        <f t="shared" si="4"/>
        <v>0</v>
      </c>
      <c r="AB163" s="80" t="str">
        <f>+IF(AND(D163&gt;'Indices y Outliers'!$I$146,D163&lt;&gt;""),1,"")</f>
        <v/>
      </c>
      <c r="AC163" s="80" t="str">
        <f>+IF(AND(G163&gt;'Indices y Outliers'!$I$154,G163&lt;&gt;""),1,"")</f>
        <v/>
      </c>
      <c r="AD163" s="7"/>
      <c r="AE163" s="7">
        <f t="shared" si="5"/>
        <v>0</v>
      </c>
    </row>
    <row r="164" spans="1:31" ht="15.75" customHeight="1">
      <c r="A164" s="7" t="s">
        <v>706</v>
      </c>
      <c r="B164" s="78">
        <v>0</v>
      </c>
      <c r="C164" s="78">
        <v>0</v>
      </c>
      <c r="D164" s="42" t="str">
        <f t="shared" si="0"/>
        <v/>
      </c>
      <c r="E164" s="78">
        <v>0</v>
      </c>
      <c r="F164" s="78">
        <v>0</v>
      </c>
      <c r="G164" s="42" t="str">
        <f t="shared" si="1"/>
        <v/>
      </c>
      <c r="H164" s="41">
        <v>0</v>
      </c>
      <c r="I164" s="41">
        <v>0</v>
      </c>
      <c r="J164" s="41">
        <f t="shared" si="2"/>
        <v>0</v>
      </c>
      <c r="K164" s="41">
        <v>0</v>
      </c>
      <c r="L164" s="79" t="str">
        <f t="shared" si="3"/>
        <v/>
      </c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81"/>
      <c r="AA164" s="6">
        <f t="shared" si="4"/>
        <v>0</v>
      </c>
      <c r="AB164" s="80" t="str">
        <f>+IF(AND(D164&gt;'Indices y Outliers'!$I$146,D164&lt;&gt;""),1,"")</f>
        <v/>
      </c>
      <c r="AC164" s="80" t="str">
        <f>+IF(AND(G164&gt;'Indices y Outliers'!$I$154,G164&lt;&gt;""),1,"")</f>
        <v/>
      </c>
      <c r="AD164" s="7"/>
      <c r="AE164" s="7">
        <f t="shared" si="5"/>
        <v>0</v>
      </c>
    </row>
    <row r="165" spans="1:31" ht="15.75" customHeight="1">
      <c r="A165" s="7" t="s">
        <v>709</v>
      </c>
      <c r="B165" s="78">
        <v>0</v>
      </c>
      <c r="C165" s="78">
        <v>0</v>
      </c>
      <c r="D165" s="42" t="str">
        <f t="shared" si="0"/>
        <v/>
      </c>
      <c r="E165" s="78">
        <v>0</v>
      </c>
      <c r="F165" s="78">
        <v>0</v>
      </c>
      <c r="G165" s="42" t="str">
        <f t="shared" si="1"/>
        <v/>
      </c>
      <c r="H165" s="41">
        <v>0</v>
      </c>
      <c r="I165" s="41">
        <v>0</v>
      </c>
      <c r="J165" s="41">
        <f t="shared" si="2"/>
        <v>0</v>
      </c>
      <c r="K165" s="41">
        <v>0</v>
      </c>
      <c r="L165" s="79" t="str">
        <f t="shared" si="3"/>
        <v/>
      </c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81"/>
      <c r="AA165" s="6">
        <f t="shared" si="4"/>
        <v>0</v>
      </c>
      <c r="AB165" s="80" t="str">
        <f>+IF(AND(D165&gt;'Indices y Outliers'!$I$146,D165&lt;&gt;""),1,"")</f>
        <v/>
      </c>
      <c r="AC165" s="80" t="str">
        <f>+IF(AND(G165&gt;'Indices y Outliers'!$I$154,G165&lt;&gt;""),1,"")</f>
        <v/>
      </c>
      <c r="AD165" s="7"/>
      <c r="AE165" s="7">
        <f t="shared" si="5"/>
        <v>0</v>
      </c>
    </row>
    <row r="166" spans="1:31" ht="15.75" customHeight="1">
      <c r="A166" s="7" t="s">
        <v>712</v>
      </c>
      <c r="B166" s="78">
        <v>0</v>
      </c>
      <c r="C166" s="78">
        <v>0</v>
      </c>
      <c r="D166" s="42" t="str">
        <f t="shared" si="0"/>
        <v/>
      </c>
      <c r="E166" s="78">
        <v>0</v>
      </c>
      <c r="F166" s="78">
        <v>0</v>
      </c>
      <c r="G166" s="42" t="str">
        <f t="shared" si="1"/>
        <v/>
      </c>
      <c r="H166" s="41">
        <v>0</v>
      </c>
      <c r="I166" s="41">
        <v>0</v>
      </c>
      <c r="J166" s="41">
        <f t="shared" si="2"/>
        <v>0</v>
      </c>
      <c r="K166" s="41">
        <v>0</v>
      </c>
      <c r="L166" s="79" t="str">
        <f t="shared" si="3"/>
        <v/>
      </c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81"/>
      <c r="AA166" s="6">
        <f t="shared" si="4"/>
        <v>0</v>
      </c>
      <c r="AB166" s="80" t="str">
        <f>+IF(AND(D166&gt;'Indices y Outliers'!$I$146,D166&lt;&gt;""),1,"")</f>
        <v/>
      </c>
      <c r="AC166" s="80" t="str">
        <f>+IF(AND(G166&gt;'Indices y Outliers'!$I$154,G166&lt;&gt;""),1,"")</f>
        <v/>
      </c>
      <c r="AD166" s="7"/>
      <c r="AE166" s="7">
        <f t="shared" si="5"/>
        <v>0</v>
      </c>
    </row>
    <row r="167" spans="1:31" ht="15.75" customHeight="1">
      <c r="A167" s="7" t="s">
        <v>715</v>
      </c>
      <c r="B167" s="78">
        <v>0</v>
      </c>
      <c r="C167" s="78">
        <v>0</v>
      </c>
      <c r="D167" s="42" t="str">
        <f t="shared" si="0"/>
        <v/>
      </c>
      <c r="E167" s="78">
        <v>0</v>
      </c>
      <c r="F167" s="78">
        <v>0</v>
      </c>
      <c r="G167" s="42" t="str">
        <f t="shared" si="1"/>
        <v/>
      </c>
      <c r="H167" s="41">
        <v>0</v>
      </c>
      <c r="I167" s="41">
        <v>0</v>
      </c>
      <c r="J167" s="41">
        <f t="shared" si="2"/>
        <v>0</v>
      </c>
      <c r="K167" s="41">
        <v>0</v>
      </c>
      <c r="L167" s="79" t="str">
        <f t="shared" si="3"/>
        <v/>
      </c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81"/>
      <c r="AA167" s="6">
        <f t="shared" si="4"/>
        <v>0</v>
      </c>
      <c r="AB167" s="80" t="str">
        <f>+IF(AND(D167&gt;'Indices y Outliers'!$I$146,D167&lt;&gt;""),1,"")</f>
        <v/>
      </c>
      <c r="AC167" s="80" t="str">
        <f>+IF(AND(G167&gt;'Indices y Outliers'!$I$154,G167&lt;&gt;""),1,"")</f>
        <v/>
      </c>
      <c r="AD167" s="7"/>
      <c r="AE167" s="7">
        <f t="shared" si="5"/>
        <v>0</v>
      </c>
    </row>
    <row r="168" spans="1:31" ht="15.75" customHeight="1">
      <c r="A168" s="7" t="s">
        <v>718</v>
      </c>
      <c r="B168" s="78">
        <v>0</v>
      </c>
      <c r="C168" s="78">
        <v>0</v>
      </c>
      <c r="D168" s="42" t="str">
        <f t="shared" si="0"/>
        <v/>
      </c>
      <c r="E168" s="78">
        <v>0</v>
      </c>
      <c r="F168" s="78">
        <v>0</v>
      </c>
      <c r="G168" s="42" t="str">
        <f t="shared" si="1"/>
        <v/>
      </c>
      <c r="H168" s="41">
        <v>0</v>
      </c>
      <c r="I168" s="41">
        <v>0</v>
      </c>
      <c r="J168" s="41">
        <f t="shared" si="2"/>
        <v>0</v>
      </c>
      <c r="K168" s="41">
        <v>0</v>
      </c>
      <c r="L168" s="79" t="str">
        <f t="shared" si="3"/>
        <v/>
      </c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81"/>
      <c r="AA168" s="6">
        <f t="shared" si="4"/>
        <v>0</v>
      </c>
      <c r="AB168" s="80" t="str">
        <f>+IF(AND(D168&gt;'Indices y Outliers'!$I$146,D168&lt;&gt;""),1,"")</f>
        <v/>
      </c>
      <c r="AC168" s="80" t="str">
        <f>+IF(AND(G168&gt;'Indices y Outliers'!$I$154,G168&lt;&gt;""),1,"")</f>
        <v/>
      </c>
      <c r="AD168" s="7"/>
      <c r="AE168" s="7">
        <f t="shared" si="5"/>
        <v>0</v>
      </c>
    </row>
    <row r="169" spans="1:31" ht="15.75" customHeight="1">
      <c r="A169" s="7" t="s">
        <v>721</v>
      </c>
      <c r="B169" s="78">
        <v>0</v>
      </c>
      <c r="C169" s="78">
        <v>0</v>
      </c>
      <c r="D169" s="42" t="str">
        <f t="shared" si="0"/>
        <v/>
      </c>
      <c r="E169" s="78">
        <v>0</v>
      </c>
      <c r="F169" s="78">
        <v>0</v>
      </c>
      <c r="G169" s="42" t="str">
        <f t="shared" si="1"/>
        <v/>
      </c>
      <c r="H169" s="41">
        <v>0</v>
      </c>
      <c r="I169" s="41">
        <v>0</v>
      </c>
      <c r="J169" s="41">
        <f t="shared" si="2"/>
        <v>0</v>
      </c>
      <c r="K169" s="41">
        <v>0</v>
      </c>
      <c r="L169" s="79" t="str">
        <f t="shared" si="3"/>
        <v/>
      </c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81"/>
      <c r="AA169" s="6">
        <f t="shared" si="4"/>
        <v>0</v>
      </c>
      <c r="AB169" s="80" t="str">
        <f>+IF(AND(D169&gt;'Indices y Outliers'!$I$146,D169&lt;&gt;""),1,"")</f>
        <v/>
      </c>
      <c r="AC169" s="80" t="str">
        <f>+IF(AND(G169&gt;'Indices y Outliers'!$I$154,G169&lt;&gt;""),1,"")</f>
        <v/>
      </c>
      <c r="AD169" s="7"/>
      <c r="AE169" s="7">
        <f t="shared" si="5"/>
        <v>0</v>
      </c>
    </row>
    <row r="170" spans="1:31" ht="15.75" customHeight="1">
      <c r="A170" s="7" t="s">
        <v>724</v>
      </c>
      <c r="B170" s="78">
        <v>0</v>
      </c>
      <c r="C170" s="78">
        <v>0</v>
      </c>
      <c r="D170" s="42" t="str">
        <f t="shared" si="0"/>
        <v/>
      </c>
      <c r="E170" s="78">
        <v>0</v>
      </c>
      <c r="F170" s="78">
        <v>0</v>
      </c>
      <c r="G170" s="42" t="str">
        <f t="shared" si="1"/>
        <v/>
      </c>
      <c r="H170" s="41">
        <v>0</v>
      </c>
      <c r="I170" s="41">
        <v>0</v>
      </c>
      <c r="J170" s="41">
        <f t="shared" si="2"/>
        <v>0</v>
      </c>
      <c r="K170" s="41">
        <v>0</v>
      </c>
      <c r="L170" s="79" t="str">
        <f t="shared" si="3"/>
        <v/>
      </c>
      <c r="M170" s="7"/>
      <c r="N170" s="7"/>
      <c r="O170" s="7"/>
      <c r="P170" s="7"/>
      <c r="Q170" s="7"/>
      <c r="R170" s="7"/>
      <c r="S170" s="89" t="s">
        <v>1353</v>
      </c>
      <c r="T170" s="7"/>
      <c r="U170" s="7"/>
      <c r="V170" s="7"/>
      <c r="W170" s="7"/>
      <c r="X170" s="7"/>
      <c r="Y170" s="7"/>
      <c r="Z170" s="81"/>
      <c r="AA170" s="6">
        <f t="shared" si="4"/>
        <v>0</v>
      </c>
      <c r="AB170" s="80" t="str">
        <f>+IF(AND(D170&gt;'Indices y Outliers'!$I$146,D170&lt;&gt;""),1,"")</f>
        <v/>
      </c>
      <c r="AC170" s="80" t="str">
        <f>+IF(AND(G170&gt;'Indices y Outliers'!$I$154,G170&lt;&gt;""),1,"")</f>
        <v/>
      </c>
      <c r="AD170" s="7"/>
      <c r="AE170" s="7">
        <f t="shared" si="5"/>
        <v>0</v>
      </c>
    </row>
    <row r="171" spans="1:31" ht="15.75" customHeight="1">
      <c r="A171" s="7" t="s">
        <v>727</v>
      </c>
      <c r="B171" s="78">
        <v>0</v>
      </c>
      <c r="C171" s="78">
        <v>0</v>
      </c>
      <c r="D171" s="42" t="str">
        <f t="shared" si="0"/>
        <v/>
      </c>
      <c r="E171" s="78">
        <v>0</v>
      </c>
      <c r="F171" s="78">
        <v>0</v>
      </c>
      <c r="G171" s="42" t="str">
        <f t="shared" si="1"/>
        <v/>
      </c>
      <c r="H171" s="41">
        <v>0</v>
      </c>
      <c r="I171" s="41">
        <v>0</v>
      </c>
      <c r="J171" s="41">
        <f t="shared" si="2"/>
        <v>0</v>
      </c>
      <c r="K171" s="41">
        <v>0</v>
      </c>
      <c r="L171" s="79" t="str">
        <f t="shared" si="3"/>
        <v/>
      </c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81"/>
      <c r="AA171" s="6">
        <f t="shared" si="4"/>
        <v>0</v>
      </c>
      <c r="AB171" s="80" t="str">
        <f>+IF(AND(D171&gt;'Indices y Outliers'!$I$146,D171&lt;&gt;""),1,"")</f>
        <v/>
      </c>
      <c r="AC171" s="80" t="str">
        <f>+IF(AND(G171&gt;'Indices y Outliers'!$I$154,G171&lt;&gt;""),1,"")</f>
        <v/>
      </c>
      <c r="AD171" s="7"/>
      <c r="AE171" s="7">
        <f t="shared" si="5"/>
        <v>0</v>
      </c>
    </row>
    <row r="172" spans="1:31" ht="15.75" customHeight="1">
      <c r="A172" s="7" t="s">
        <v>730</v>
      </c>
      <c r="B172" s="78">
        <v>0</v>
      </c>
      <c r="C172" s="78">
        <v>0</v>
      </c>
      <c r="D172" s="42" t="str">
        <f t="shared" si="0"/>
        <v/>
      </c>
      <c r="E172" s="78">
        <v>0</v>
      </c>
      <c r="F172" s="78">
        <v>0</v>
      </c>
      <c r="G172" s="42" t="str">
        <f t="shared" si="1"/>
        <v/>
      </c>
      <c r="H172" s="41">
        <v>0</v>
      </c>
      <c r="I172" s="41">
        <v>0</v>
      </c>
      <c r="J172" s="41">
        <f t="shared" si="2"/>
        <v>0</v>
      </c>
      <c r="K172" s="41">
        <v>0</v>
      </c>
      <c r="L172" s="79" t="str">
        <f t="shared" si="3"/>
        <v/>
      </c>
      <c r="M172" s="7"/>
      <c r="N172" s="7"/>
      <c r="O172" s="7"/>
      <c r="P172" s="7"/>
      <c r="Q172" s="7"/>
      <c r="R172" s="7"/>
      <c r="S172" s="89" t="s">
        <v>1353</v>
      </c>
      <c r="T172" s="89" t="s">
        <v>1353</v>
      </c>
      <c r="U172" s="89" t="s">
        <v>1353</v>
      </c>
      <c r="V172" s="7"/>
      <c r="W172" s="7"/>
      <c r="X172" s="89" t="s">
        <v>1353</v>
      </c>
      <c r="Y172" s="7"/>
      <c r="Z172" s="81"/>
      <c r="AA172" s="6">
        <f t="shared" si="4"/>
        <v>0</v>
      </c>
      <c r="AB172" s="80" t="str">
        <f>+IF(AND(D172&gt;'Indices y Outliers'!$I$146,D172&lt;&gt;""),1,"")</f>
        <v/>
      </c>
      <c r="AC172" s="80" t="str">
        <f>+IF(AND(G172&gt;'Indices y Outliers'!$I$154,G172&lt;&gt;""),1,"")</f>
        <v/>
      </c>
      <c r="AD172" s="7"/>
      <c r="AE172" s="7">
        <f t="shared" si="5"/>
        <v>0</v>
      </c>
    </row>
    <row r="173" spans="1:31" ht="15.75" customHeight="1">
      <c r="A173" s="7" t="s">
        <v>733</v>
      </c>
      <c r="B173" s="78">
        <v>0</v>
      </c>
      <c r="C173" s="78">
        <v>0</v>
      </c>
      <c r="D173" s="42" t="str">
        <f t="shared" si="0"/>
        <v/>
      </c>
      <c r="E173" s="78">
        <v>0</v>
      </c>
      <c r="F173" s="78">
        <v>0</v>
      </c>
      <c r="G173" s="42" t="str">
        <f t="shared" si="1"/>
        <v/>
      </c>
      <c r="H173" s="41">
        <v>0</v>
      </c>
      <c r="I173" s="41">
        <v>1</v>
      </c>
      <c r="J173" s="41">
        <f t="shared" si="2"/>
        <v>1</v>
      </c>
      <c r="K173" s="41">
        <v>1</v>
      </c>
      <c r="L173" s="79">
        <f t="shared" si="3"/>
        <v>1</v>
      </c>
      <c r="M173" s="89">
        <v>1</v>
      </c>
      <c r="N173" s="7"/>
      <c r="O173" s="89">
        <v>1</v>
      </c>
      <c r="P173" s="7"/>
      <c r="Q173" s="7"/>
      <c r="R173" s="7"/>
      <c r="S173" s="89" t="s">
        <v>1353</v>
      </c>
      <c r="T173" s="89" t="s">
        <v>1353</v>
      </c>
      <c r="U173" s="89" t="s">
        <v>1353</v>
      </c>
      <c r="V173" s="89" t="s">
        <v>1353</v>
      </c>
      <c r="W173" s="7"/>
      <c r="X173" s="89" t="s">
        <v>1353</v>
      </c>
      <c r="Y173" s="7"/>
      <c r="Z173" s="81"/>
      <c r="AA173" s="6">
        <f t="shared" si="4"/>
        <v>0</v>
      </c>
      <c r="AB173" s="80" t="str">
        <f>+IF(AND(D173&gt;'Indices y Outliers'!$I$146,D173&lt;&gt;""),1,"")</f>
        <v/>
      </c>
      <c r="AC173" s="80" t="str">
        <f>+IF(AND(G173&gt;'Indices y Outliers'!$I$154,G173&lt;&gt;""),1,"")</f>
        <v/>
      </c>
      <c r="AD173" s="7"/>
      <c r="AE173" s="7">
        <f t="shared" si="5"/>
        <v>0</v>
      </c>
    </row>
    <row r="174" spans="1:31" ht="15.75" customHeight="1">
      <c r="A174" s="7" t="s">
        <v>739</v>
      </c>
      <c r="B174" s="78">
        <v>84.41</v>
      </c>
      <c r="C174" s="78">
        <v>0</v>
      </c>
      <c r="D174" s="42">
        <f t="shared" si="0"/>
        <v>84.41</v>
      </c>
      <c r="E174" s="78">
        <v>1.0740000000000001</v>
      </c>
      <c r="F174" s="78">
        <v>0</v>
      </c>
      <c r="G174" s="42">
        <f t="shared" si="1"/>
        <v>1.0740000000000001</v>
      </c>
      <c r="H174" s="41">
        <v>0</v>
      </c>
      <c r="I174" s="41">
        <v>357443</v>
      </c>
      <c r="J174" s="41">
        <f t="shared" si="2"/>
        <v>357443</v>
      </c>
      <c r="K174" s="41">
        <v>357674</v>
      </c>
      <c r="L174" s="79">
        <f t="shared" si="3"/>
        <v>0.99935416049251558</v>
      </c>
      <c r="M174" s="89">
        <v>1</v>
      </c>
      <c r="N174" s="89">
        <v>1</v>
      </c>
      <c r="O174" s="89">
        <v>1</v>
      </c>
      <c r="P174" s="89">
        <v>1</v>
      </c>
      <c r="Q174" s="7"/>
      <c r="R174" s="89">
        <v>1</v>
      </c>
      <c r="S174" s="89" t="s">
        <v>1353</v>
      </c>
      <c r="T174" s="89" t="s">
        <v>1353</v>
      </c>
      <c r="U174" s="89" t="s">
        <v>1353</v>
      </c>
      <c r="V174" s="89" t="s">
        <v>1353</v>
      </c>
      <c r="W174" s="89" t="s">
        <v>1354</v>
      </c>
      <c r="X174" s="89" t="s">
        <v>1353</v>
      </c>
      <c r="Y174" s="7"/>
      <c r="Z174" s="81"/>
      <c r="AA174" s="6">
        <f t="shared" si="4"/>
        <v>2</v>
      </c>
      <c r="AB174" s="80" t="str">
        <f>+IF(AND(D174&gt;'Indices y Outliers'!$I$146,D174&lt;&gt;""),1,"")</f>
        <v/>
      </c>
      <c r="AC174" s="80" t="str">
        <f>+IF(AND(G174&gt;'Indices y Outliers'!$I$154,G174&lt;&gt;""),1,"")</f>
        <v/>
      </c>
      <c r="AD174" s="7"/>
      <c r="AE174" s="7">
        <f t="shared" si="5"/>
        <v>0</v>
      </c>
    </row>
    <row r="175" spans="1:31" ht="15.75" customHeight="1">
      <c r="A175" s="7" t="s">
        <v>1048</v>
      </c>
      <c r="B175" s="78">
        <v>0</v>
      </c>
      <c r="C175" s="78">
        <v>0</v>
      </c>
      <c r="D175" s="42" t="str">
        <f t="shared" si="0"/>
        <v/>
      </c>
      <c r="E175" s="78">
        <v>0</v>
      </c>
      <c r="F175" s="78">
        <v>0</v>
      </c>
      <c r="G175" s="42" t="str">
        <f t="shared" si="1"/>
        <v/>
      </c>
      <c r="H175" s="41">
        <v>0</v>
      </c>
      <c r="I175" s="41">
        <v>0</v>
      </c>
      <c r="J175" s="41">
        <f t="shared" si="2"/>
        <v>0</v>
      </c>
      <c r="K175" s="41">
        <v>0</v>
      </c>
      <c r="L175" s="79" t="str">
        <f t="shared" si="3"/>
        <v/>
      </c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81"/>
      <c r="AA175" s="6">
        <f t="shared" si="4"/>
        <v>0</v>
      </c>
      <c r="AB175" s="80" t="str">
        <f>+IF(AND(D175&gt;'Indices y Outliers'!$I$146,D175&lt;&gt;""),1,"")</f>
        <v/>
      </c>
      <c r="AC175" s="80" t="str">
        <f>+IF(AND(G175&gt;'Indices y Outliers'!$I$154,G175&lt;&gt;""),1,"")</f>
        <v/>
      </c>
      <c r="AD175" s="7"/>
      <c r="AE175" s="7">
        <f t="shared" si="5"/>
        <v>0</v>
      </c>
    </row>
    <row r="176" spans="1:31" ht="15.75" customHeight="1">
      <c r="A176" s="7" t="s">
        <v>742</v>
      </c>
      <c r="B176" s="78">
        <v>0</v>
      </c>
      <c r="C176" s="78">
        <v>0</v>
      </c>
      <c r="D176" s="42" t="str">
        <f t="shared" si="0"/>
        <v/>
      </c>
      <c r="E176" s="78">
        <v>0</v>
      </c>
      <c r="F176" s="78">
        <v>0</v>
      </c>
      <c r="G176" s="42" t="str">
        <f t="shared" si="1"/>
        <v/>
      </c>
      <c r="H176" s="41">
        <v>0</v>
      </c>
      <c r="I176" s="41">
        <v>0</v>
      </c>
      <c r="J176" s="41">
        <f t="shared" si="2"/>
        <v>0</v>
      </c>
      <c r="K176" s="41">
        <v>0</v>
      </c>
      <c r="L176" s="79" t="str">
        <f t="shared" si="3"/>
        <v/>
      </c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81"/>
      <c r="AA176" s="6">
        <f t="shared" si="4"/>
        <v>0</v>
      </c>
      <c r="AB176" s="80" t="str">
        <f>+IF(AND(D176&gt;'Indices y Outliers'!$I$146,D176&lt;&gt;""),1,"")</f>
        <v/>
      </c>
      <c r="AC176" s="80" t="str">
        <f>+IF(AND(G176&gt;'Indices y Outliers'!$I$154,G176&lt;&gt;""),1,"")</f>
        <v/>
      </c>
      <c r="AD176" s="7"/>
      <c r="AE176" s="7">
        <f t="shared" si="5"/>
        <v>0</v>
      </c>
    </row>
    <row r="177" spans="1:31" ht="15.75" customHeight="1">
      <c r="A177" s="7" t="s">
        <v>745</v>
      </c>
      <c r="B177" s="78">
        <v>0</v>
      </c>
      <c r="C177" s="78">
        <v>0</v>
      </c>
      <c r="D177" s="42" t="str">
        <f t="shared" si="0"/>
        <v/>
      </c>
      <c r="E177" s="78">
        <v>0</v>
      </c>
      <c r="F177" s="78">
        <v>0</v>
      </c>
      <c r="G177" s="42" t="str">
        <f t="shared" si="1"/>
        <v/>
      </c>
      <c r="H177" s="41">
        <v>0</v>
      </c>
      <c r="I177" s="41">
        <v>0</v>
      </c>
      <c r="J177" s="41">
        <f t="shared" si="2"/>
        <v>0</v>
      </c>
      <c r="K177" s="41">
        <v>0</v>
      </c>
      <c r="L177" s="79" t="str">
        <f t="shared" si="3"/>
        <v/>
      </c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81"/>
      <c r="AA177" s="6">
        <f t="shared" si="4"/>
        <v>0</v>
      </c>
      <c r="AB177" s="80" t="str">
        <f>+IF(AND(D177&gt;'Indices y Outliers'!$I$146,D177&lt;&gt;""),1,"")</f>
        <v/>
      </c>
      <c r="AC177" s="80" t="str">
        <f>+IF(AND(G177&gt;'Indices y Outliers'!$I$154,G177&lt;&gt;""),1,"")</f>
        <v/>
      </c>
      <c r="AD177" s="7"/>
      <c r="AE177" s="7">
        <f t="shared" si="5"/>
        <v>0</v>
      </c>
    </row>
    <row r="178" spans="1:31" ht="15.75" customHeight="1">
      <c r="A178" s="7" t="s">
        <v>748</v>
      </c>
      <c r="B178" s="78">
        <v>0</v>
      </c>
      <c r="C178" s="78">
        <v>0</v>
      </c>
      <c r="D178" s="42" t="str">
        <f t="shared" si="0"/>
        <v/>
      </c>
      <c r="E178" s="78">
        <v>0</v>
      </c>
      <c r="F178" s="78">
        <v>0</v>
      </c>
      <c r="G178" s="42" t="str">
        <f t="shared" si="1"/>
        <v/>
      </c>
      <c r="H178" s="41">
        <v>0</v>
      </c>
      <c r="I178" s="41">
        <v>0</v>
      </c>
      <c r="J178" s="41">
        <f t="shared" si="2"/>
        <v>0</v>
      </c>
      <c r="K178" s="41">
        <v>0</v>
      </c>
      <c r="L178" s="79" t="str">
        <f t="shared" si="3"/>
        <v/>
      </c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81"/>
      <c r="AA178" s="6">
        <f t="shared" si="4"/>
        <v>0</v>
      </c>
      <c r="AB178" s="80" t="str">
        <f>+IF(AND(D178&gt;'Indices y Outliers'!$I$146,D178&lt;&gt;""),1,"")</f>
        <v/>
      </c>
      <c r="AC178" s="80" t="str">
        <f>+IF(AND(G178&gt;'Indices y Outliers'!$I$154,G178&lt;&gt;""),1,"")</f>
        <v/>
      </c>
      <c r="AD178" s="7"/>
      <c r="AE178" s="7">
        <f t="shared" si="5"/>
        <v>0</v>
      </c>
    </row>
    <row r="179" spans="1:31" ht="15.75" customHeight="1">
      <c r="A179" s="7" t="s">
        <v>751</v>
      </c>
      <c r="B179" s="78">
        <v>179.3</v>
      </c>
      <c r="C179" s="78">
        <v>0</v>
      </c>
      <c r="D179" s="42">
        <f t="shared" si="0"/>
        <v>179.3</v>
      </c>
      <c r="E179" s="78">
        <v>1.3859999999999999</v>
      </c>
      <c r="F179" s="78">
        <v>0</v>
      </c>
      <c r="G179" s="42">
        <f t="shared" si="1"/>
        <v>1.3859999999999999</v>
      </c>
      <c r="H179" s="41">
        <v>435</v>
      </c>
      <c r="I179" s="41">
        <v>1342949</v>
      </c>
      <c r="J179" s="41">
        <f t="shared" si="2"/>
        <v>1343384</v>
      </c>
      <c r="K179" s="41">
        <v>1356499</v>
      </c>
      <c r="L179" s="79">
        <f t="shared" si="3"/>
        <v>0.99033172895814892</v>
      </c>
      <c r="M179" s="89">
        <v>1</v>
      </c>
      <c r="N179" s="89">
        <v>1</v>
      </c>
      <c r="O179" s="89">
        <v>1</v>
      </c>
      <c r="P179" s="89">
        <v>1</v>
      </c>
      <c r="Q179" s="89">
        <v>1</v>
      </c>
      <c r="R179" s="89">
        <v>1</v>
      </c>
      <c r="S179" s="89" t="s">
        <v>1353</v>
      </c>
      <c r="T179" s="89" t="s">
        <v>1353</v>
      </c>
      <c r="U179" s="89" t="s">
        <v>1353</v>
      </c>
      <c r="V179" s="89" t="s">
        <v>1353</v>
      </c>
      <c r="W179" s="89" t="s">
        <v>1353</v>
      </c>
      <c r="X179" s="7"/>
      <c r="Y179" s="7"/>
      <c r="Z179" s="81"/>
      <c r="AA179" s="6">
        <f t="shared" si="4"/>
        <v>2</v>
      </c>
      <c r="AB179" s="80" t="str">
        <f>+IF(AND(D179&gt;'Indices y Outliers'!$I$146,D179&lt;&gt;""),1,"")</f>
        <v/>
      </c>
      <c r="AC179" s="80" t="str">
        <f>+IF(AND(G179&gt;'Indices y Outliers'!$I$154,G179&lt;&gt;""),1,"")</f>
        <v/>
      </c>
      <c r="AD179" s="7"/>
      <c r="AE179" s="7">
        <f t="shared" si="5"/>
        <v>0</v>
      </c>
    </row>
    <row r="180" spans="1:31" ht="15.75" customHeight="1">
      <c r="A180" s="7" t="s">
        <v>754</v>
      </c>
      <c r="B180" s="78">
        <v>0</v>
      </c>
      <c r="C180" s="78">
        <v>0</v>
      </c>
      <c r="D180" s="42" t="str">
        <f t="shared" si="0"/>
        <v/>
      </c>
      <c r="E180" s="78">
        <v>0</v>
      </c>
      <c r="F180" s="78">
        <v>0</v>
      </c>
      <c r="G180" s="42" t="str">
        <f t="shared" si="1"/>
        <v/>
      </c>
      <c r="H180" s="41">
        <v>0</v>
      </c>
      <c r="I180" s="41">
        <v>0</v>
      </c>
      <c r="J180" s="41">
        <f t="shared" si="2"/>
        <v>0</v>
      </c>
      <c r="K180" s="41">
        <v>0</v>
      </c>
      <c r="L180" s="79" t="str">
        <f t="shared" si="3"/>
        <v/>
      </c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81"/>
      <c r="AA180" s="6">
        <f t="shared" si="4"/>
        <v>0</v>
      </c>
      <c r="AB180" s="80" t="str">
        <f>+IF(AND(D180&gt;'Indices y Outliers'!$I$146,D180&lt;&gt;""),1,"")</f>
        <v/>
      </c>
      <c r="AC180" s="80" t="str">
        <f>+IF(AND(G180&gt;'Indices y Outliers'!$I$154,G180&lt;&gt;""),1,"")</f>
        <v/>
      </c>
      <c r="AD180" s="7"/>
      <c r="AE180" s="7">
        <f t="shared" si="5"/>
        <v>0</v>
      </c>
    </row>
    <row r="181" spans="1:31" ht="15.75" customHeight="1">
      <c r="A181" s="7" t="s">
        <v>757</v>
      </c>
      <c r="B181" s="78">
        <v>0</v>
      </c>
      <c r="C181" s="78">
        <v>0</v>
      </c>
      <c r="D181" s="42" t="str">
        <f t="shared" si="0"/>
        <v/>
      </c>
      <c r="E181" s="78">
        <v>0</v>
      </c>
      <c r="F181" s="78">
        <v>0</v>
      </c>
      <c r="G181" s="42" t="str">
        <f t="shared" si="1"/>
        <v/>
      </c>
      <c r="H181" s="41">
        <v>0</v>
      </c>
      <c r="I181" s="41">
        <v>0</v>
      </c>
      <c r="J181" s="41">
        <f t="shared" si="2"/>
        <v>0</v>
      </c>
      <c r="K181" s="41">
        <v>0</v>
      </c>
      <c r="L181" s="79" t="str">
        <f t="shared" si="3"/>
        <v/>
      </c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81"/>
      <c r="AA181" s="6">
        <f t="shared" si="4"/>
        <v>0</v>
      </c>
      <c r="AB181" s="80" t="str">
        <f>+IF(AND(D181&gt;'Indices y Outliers'!$I$146,D181&lt;&gt;""),1,"")</f>
        <v/>
      </c>
      <c r="AC181" s="80" t="str">
        <f>+IF(AND(G181&gt;'Indices y Outliers'!$I$154,G181&lt;&gt;""),1,"")</f>
        <v/>
      </c>
      <c r="AD181" s="7"/>
      <c r="AE181" s="7">
        <f t="shared" si="5"/>
        <v>0</v>
      </c>
    </row>
    <row r="182" spans="1:31" ht="15.75" customHeight="1">
      <c r="A182" s="7" t="s">
        <v>760</v>
      </c>
      <c r="B182" s="78">
        <v>0</v>
      </c>
      <c r="C182" s="78">
        <v>0</v>
      </c>
      <c r="D182" s="42" t="str">
        <f t="shared" si="0"/>
        <v/>
      </c>
      <c r="E182" s="78">
        <v>0</v>
      </c>
      <c r="F182" s="78">
        <v>0</v>
      </c>
      <c r="G182" s="42" t="str">
        <f t="shared" si="1"/>
        <v/>
      </c>
      <c r="H182" s="41">
        <v>0</v>
      </c>
      <c r="I182" s="41">
        <v>0</v>
      </c>
      <c r="J182" s="41">
        <f t="shared" si="2"/>
        <v>0</v>
      </c>
      <c r="K182" s="41">
        <v>0</v>
      </c>
      <c r="L182" s="79" t="str">
        <f t="shared" si="3"/>
        <v/>
      </c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81"/>
      <c r="AA182" s="6">
        <f t="shared" si="4"/>
        <v>0</v>
      </c>
      <c r="AB182" s="80" t="str">
        <f>+IF(AND(D182&gt;'Indices y Outliers'!$I$146,D182&lt;&gt;""),1,"")</f>
        <v/>
      </c>
      <c r="AC182" s="80" t="str">
        <f>+IF(AND(G182&gt;'Indices y Outliers'!$I$154,G182&lt;&gt;""),1,"")</f>
        <v/>
      </c>
      <c r="AD182" s="7"/>
      <c r="AE182" s="7">
        <f t="shared" si="5"/>
        <v>0</v>
      </c>
    </row>
    <row r="183" spans="1:31" ht="15.75" customHeight="1">
      <c r="A183" s="7" t="s">
        <v>763</v>
      </c>
      <c r="B183" s="78">
        <v>0</v>
      </c>
      <c r="C183" s="78">
        <v>0</v>
      </c>
      <c r="D183" s="42" t="str">
        <f t="shared" si="0"/>
        <v/>
      </c>
      <c r="E183" s="78">
        <v>0</v>
      </c>
      <c r="F183" s="78">
        <v>0</v>
      </c>
      <c r="G183" s="42" t="str">
        <f t="shared" si="1"/>
        <v/>
      </c>
      <c r="H183" s="41">
        <v>0</v>
      </c>
      <c r="I183" s="41">
        <v>0</v>
      </c>
      <c r="J183" s="41">
        <f t="shared" si="2"/>
        <v>0</v>
      </c>
      <c r="K183" s="41">
        <v>0</v>
      </c>
      <c r="L183" s="79" t="str">
        <f t="shared" si="3"/>
        <v/>
      </c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81"/>
      <c r="AA183" s="6">
        <f t="shared" si="4"/>
        <v>0</v>
      </c>
      <c r="AB183" s="80" t="str">
        <f>+IF(AND(D183&gt;'Indices y Outliers'!$I$146,D183&lt;&gt;""),1,"")</f>
        <v/>
      </c>
      <c r="AC183" s="80" t="str">
        <f>+IF(AND(G183&gt;'Indices y Outliers'!$I$154,G183&lt;&gt;""),1,"")</f>
        <v/>
      </c>
      <c r="AD183" s="7"/>
      <c r="AE183" s="7">
        <f t="shared" si="5"/>
        <v>0</v>
      </c>
    </row>
    <row r="184" spans="1:31" ht="15.75" customHeight="1">
      <c r="A184" s="7" t="s">
        <v>766</v>
      </c>
      <c r="B184" s="78">
        <v>187</v>
      </c>
      <c r="C184" s="78">
        <v>0</v>
      </c>
      <c r="D184" s="42">
        <f t="shared" si="0"/>
        <v>187</v>
      </c>
      <c r="E184" s="78">
        <v>1.32</v>
      </c>
      <c r="F184" s="78">
        <v>0</v>
      </c>
      <c r="G184" s="42">
        <f t="shared" si="1"/>
        <v>1.32</v>
      </c>
      <c r="H184" s="41">
        <v>57</v>
      </c>
      <c r="I184" s="41">
        <v>37949</v>
      </c>
      <c r="J184" s="41">
        <f t="shared" si="2"/>
        <v>38006</v>
      </c>
      <c r="K184" s="41">
        <v>38007</v>
      </c>
      <c r="L184" s="79">
        <f t="shared" si="3"/>
        <v>0.9999736890572789</v>
      </c>
      <c r="M184" s="89">
        <v>1</v>
      </c>
      <c r="N184" s="89">
        <v>1</v>
      </c>
      <c r="O184" s="89">
        <v>1</v>
      </c>
      <c r="P184" s="89">
        <v>1</v>
      </c>
      <c r="Q184" s="89">
        <v>1</v>
      </c>
      <c r="R184" s="89">
        <v>1</v>
      </c>
      <c r="S184" s="89" t="s">
        <v>1353</v>
      </c>
      <c r="T184" s="7"/>
      <c r="U184" s="89" t="s">
        <v>1353</v>
      </c>
      <c r="V184" s="89" t="s">
        <v>1353</v>
      </c>
      <c r="W184" s="89" t="s">
        <v>1353</v>
      </c>
      <c r="X184" s="89" t="s">
        <v>1353</v>
      </c>
      <c r="Y184" s="89" t="s">
        <v>1353</v>
      </c>
      <c r="Z184" s="81"/>
      <c r="AA184" s="6">
        <f t="shared" si="4"/>
        <v>2</v>
      </c>
      <c r="AB184" s="80" t="str">
        <f>+IF(AND(D184&gt;'Indices y Outliers'!$I$146,D184&lt;&gt;""),1,"")</f>
        <v/>
      </c>
      <c r="AC184" s="80" t="str">
        <f>+IF(AND(G184&gt;'Indices y Outliers'!$I$154,G184&lt;&gt;""),1,"")</f>
        <v/>
      </c>
      <c r="AD184" s="7"/>
      <c r="AE184" s="7">
        <f t="shared" si="5"/>
        <v>0</v>
      </c>
    </row>
    <row r="185" spans="1:31" ht="15.75" customHeight="1">
      <c r="A185" s="7" t="s">
        <v>769</v>
      </c>
      <c r="B185" s="78">
        <v>0</v>
      </c>
      <c r="C185" s="78">
        <v>0</v>
      </c>
      <c r="D185" s="42" t="str">
        <f t="shared" si="0"/>
        <v/>
      </c>
      <c r="E185" s="78">
        <v>0</v>
      </c>
      <c r="F185" s="78">
        <v>0</v>
      </c>
      <c r="G185" s="42" t="str">
        <f t="shared" si="1"/>
        <v/>
      </c>
      <c r="H185" s="41">
        <v>0</v>
      </c>
      <c r="I185" s="41">
        <v>0</v>
      </c>
      <c r="J185" s="41">
        <f t="shared" si="2"/>
        <v>0</v>
      </c>
      <c r="K185" s="41">
        <v>0</v>
      </c>
      <c r="L185" s="79" t="str">
        <f t="shared" si="3"/>
        <v/>
      </c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81"/>
      <c r="AA185" s="6">
        <f t="shared" si="4"/>
        <v>0</v>
      </c>
      <c r="AB185" s="80" t="str">
        <f>+IF(AND(D185&gt;'Indices y Outliers'!$I$146,D185&lt;&gt;""),1,"")</f>
        <v/>
      </c>
      <c r="AC185" s="80" t="str">
        <f>+IF(AND(G185&gt;'Indices y Outliers'!$I$154,G185&lt;&gt;""),1,"")</f>
        <v/>
      </c>
      <c r="AD185" s="7"/>
      <c r="AE185" s="7">
        <f t="shared" si="5"/>
        <v>0</v>
      </c>
    </row>
    <row r="186" spans="1:31" ht="15.75" customHeight="1">
      <c r="A186" s="7" t="s">
        <v>772</v>
      </c>
      <c r="B186" s="78">
        <v>0</v>
      </c>
      <c r="C186" s="78">
        <v>0</v>
      </c>
      <c r="D186" s="42" t="str">
        <f t="shared" si="0"/>
        <v/>
      </c>
      <c r="E186" s="78">
        <v>0</v>
      </c>
      <c r="F186" s="78">
        <v>0</v>
      </c>
      <c r="G186" s="42" t="str">
        <f t="shared" si="1"/>
        <v/>
      </c>
      <c r="H186" s="41">
        <v>0</v>
      </c>
      <c r="I186" s="41">
        <v>0</v>
      </c>
      <c r="J186" s="41">
        <f t="shared" si="2"/>
        <v>0</v>
      </c>
      <c r="K186" s="41">
        <v>0</v>
      </c>
      <c r="L186" s="79" t="str">
        <f t="shared" si="3"/>
        <v/>
      </c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81"/>
      <c r="AA186" s="6">
        <f t="shared" si="4"/>
        <v>0</v>
      </c>
      <c r="AB186" s="80" t="str">
        <f>+IF(AND(D186&gt;'Indices y Outliers'!$I$146,D186&lt;&gt;""),1,"")</f>
        <v/>
      </c>
      <c r="AC186" s="80" t="str">
        <f>+IF(AND(G186&gt;'Indices y Outliers'!$I$154,G186&lt;&gt;""),1,"")</f>
        <v/>
      </c>
      <c r="AD186" s="7"/>
      <c r="AE186" s="7">
        <f t="shared" si="5"/>
        <v>0</v>
      </c>
    </row>
    <row r="187" spans="1:31" ht="15.75" customHeight="1">
      <c r="A187" s="7" t="s">
        <v>775</v>
      </c>
      <c r="B187" s="78">
        <v>0</v>
      </c>
      <c r="C187" s="78">
        <v>0</v>
      </c>
      <c r="D187" s="42" t="str">
        <f t="shared" si="0"/>
        <v/>
      </c>
      <c r="E187" s="78">
        <v>0</v>
      </c>
      <c r="F187" s="78">
        <v>0</v>
      </c>
      <c r="G187" s="42" t="str">
        <f t="shared" si="1"/>
        <v/>
      </c>
      <c r="H187" s="41">
        <v>0</v>
      </c>
      <c r="I187" s="41">
        <v>0</v>
      </c>
      <c r="J187" s="41">
        <f t="shared" si="2"/>
        <v>0</v>
      </c>
      <c r="K187" s="41">
        <v>0</v>
      </c>
      <c r="L187" s="79" t="str">
        <f t="shared" si="3"/>
        <v/>
      </c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81"/>
      <c r="AA187" s="6">
        <f t="shared" si="4"/>
        <v>0</v>
      </c>
      <c r="AB187" s="80" t="str">
        <f>+IF(AND(D187&gt;'Indices y Outliers'!$I$146,D187&lt;&gt;""),1,"")</f>
        <v/>
      </c>
      <c r="AC187" s="80" t="str">
        <f>+IF(AND(G187&gt;'Indices y Outliers'!$I$154,G187&lt;&gt;""),1,"")</f>
        <v/>
      </c>
      <c r="AD187" s="7"/>
      <c r="AE187" s="7">
        <f t="shared" si="5"/>
        <v>0</v>
      </c>
    </row>
    <row r="188" spans="1:31" ht="15.75" customHeight="1">
      <c r="A188" s="7" t="s">
        <v>778</v>
      </c>
      <c r="B188" s="78">
        <v>0</v>
      </c>
      <c r="C188" s="78">
        <v>0</v>
      </c>
      <c r="D188" s="42" t="str">
        <f t="shared" si="0"/>
        <v/>
      </c>
      <c r="E188" s="78">
        <v>0</v>
      </c>
      <c r="F188" s="78">
        <v>0</v>
      </c>
      <c r="G188" s="42" t="str">
        <f t="shared" si="1"/>
        <v/>
      </c>
      <c r="H188" s="41">
        <v>0</v>
      </c>
      <c r="I188" s="41">
        <v>0</v>
      </c>
      <c r="J188" s="41">
        <f t="shared" si="2"/>
        <v>0</v>
      </c>
      <c r="K188" s="41">
        <v>0</v>
      </c>
      <c r="L188" s="79" t="str">
        <f t="shared" si="3"/>
        <v/>
      </c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81"/>
      <c r="AA188" s="6">
        <f t="shared" si="4"/>
        <v>0</v>
      </c>
      <c r="AB188" s="80" t="str">
        <f>+IF(AND(D188&gt;'Indices y Outliers'!$I$146,D188&lt;&gt;""),1,"")</f>
        <v/>
      </c>
      <c r="AC188" s="80" t="str">
        <f>+IF(AND(G188&gt;'Indices y Outliers'!$I$154,G188&lt;&gt;""),1,"")</f>
        <v/>
      </c>
      <c r="AD188" s="7"/>
      <c r="AE188" s="7">
        <f t="shared" si="5"/>
        <v>0</v>
      </c>
    </row>
    <row r="189" spans="1:31" ht="15.75" customHeight="1">
      <c r="A189" s="7" t="s">
        <v>781</v>
      </c>
      <c r="B189" s="78">
        <v>0</v>
      </c>
      <c r="C189" s="78">
        <v>0</v>
      </c>
      <c r="D189" s="42" t="str">
        <f t="shared" si="0"/>
        <v/>
      </c>
      <c r="E189" s="78">
        <v>0</v>
      </c>
      <c r="F189" s="78">
        <v>0</v>
      </c>
      <c r="G189" s="42" t="str">
        <f t="shared" si="1"/>
        <v/>
      </c>
      <c r="H189" s="41">
        <v>0</v>
      </c>
      <c r="I189" s="41">
        <v>0</v>
      </c>
      <c r="J189" s="41">
        <f t="shared" si="2"/>
        <v>0</v>
      </c>
      <c r="K189" s="41">
        <v>0</v>
      </c>
      <c r="L189" s="79" t="str">
        <f t="shared" si="3"/>
        <v/>
      </c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81"/>
      <c r="AA189" s="6">
        <f t="shared" si="4"/>
        <v>0</v>
      </c>
      <c r="AB189" s="80" t="str">
        <f>+IF(AND(D189&gt;'Indices y Outliers'!$I$146,D189&lt;&gt;""),1,"")</f>
        <v/>
      </c>
      <c r="AC189" s="80" t="str">
        <f>+IF(AND(G189&gt;'Indices y Outliers'!$I$154,G189&lt;&gt;""),1,"")</f>
        <v/>
      </c>
      <c r="AD189" s="7"/>
      <c r="AE189" s="7">
        <f t="shared" si="5"/>
        <v>0</v>
      </c>
    </row>
    <row r="190" spans="1:31" ht="15.75" customHeight="1">
      <c r="A190" s="7" t="s">
        <v>784</v>
      </c>
      <c r="B190" s="78">
        <v>0</v>
      </c>
      <c r="C190" s="78">
        <v>0</v>
      </c>
      <c r="D190" s="42" t="str">
        <f t="shared" si="0"/>
        <v/>
      </c>
      <c r="E190" s="78">
        <v>0</v>
      </c>
      <c r="F190" s="78">
        <v>0</v>
      </c>
      <c r="G190" s="42" t="str">
        <f t="shared" si="1"/>
        <v/>
      </c>
      <c r="H190" s="41">
        <v>0</v>
      </c>
      <c r="I190" s="41">
        <v>0</v>
      </c>
      <c r="J190" s="41">
        <f t="shared" si="2"/>
        <v>0</v>
      </c>
      <c r="K190" s="41">
        <v>0</v>
      </c>
      <c r="L190" s="79" t="str">
        <f t="shared" si="3"/>
        <v/>
      </c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81"/>
      <c r="AA190" s="6">
        <f t="shared" si="4"/>
        <v>0</v>
      </c>
      <c r="AB190" s="80" t="str">
        <f>+IF(AND(D190&gt;'Indices y Outliers'!$I$146,D190&lt;&gt;""),1,"")</f>
        <v/>
      </c>
      <c r="AC190" s="80" t="str">
        <f>+IF(AND(G190&gt;'Indices y Outliers'!$I$154,G190&lt;&gt;""),1,"")</f>
        <v/>
      </c>
      <c r="AD190" s="7"/>
      <c r="AE190" s="7">
        <f t="shared" si="5"/>
        <v>0</v>
      </c>
    </row>
    <row r="191" spans="1:31" ht="15.75" customHeight="1">
      <c r="A191" s="7" t="s">
        <v>787</v>
      </c>
      <c r="B191" s="78">
        <v>0</v>
      </c>
      <c r="C191" s="78">
        <v>0</v>
      </c>
      <c r="D191" s="42" t="str">
        <f t="shared" si="0"/>
        <v/>
      </c>
      <c r="E191" s="78">
        <v>0</v>
      </c>
      <c r="F191" s="78">
        <v>0</v>
      </c>
      <c r="G191" s="42" t="str">
        <f t="shared" si="1"/>
        <v/>
      </c>
      <c r="H191" s="41">
        <v>0</v>
      </c>
      <c r="I191" s="41">
        <v>0</v>
      </c>
      <c r="J191" s="41">
        <f t="shared" si="2"/>
        <v>0</v>
      </c>
      <c r="K191" s="41">
        <v>0</v>
      </c>
      <c r="L191" s="79" t="str">
        <f t="shared" si="3"/>
        <v/>
      </c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81"/>
      <c r="AA191" s="6">
        <f t="shared" si="4"/>
        <v>0</v>
      </c>
      <c r="AB191" s="80" t="str">
        <f>+IF(AND(D191&gt;'Indices y Outliers'!$I$146,D191&lt;&gt;""),1,"")</f>
        <v/>
      </c>
      <c r="AC191" s="80" t="str">
        <f>+IF(AND(G191&gt;'Indices y Outliers'!$I$154,G191&lt;&gt;""),1,"")</f>
        <v/>
      </c>
      <c r="AD191" s="7"/>
      <c r="AE191" s="7">
        <f t="shared" si="5"/>
        <v>0</v>
      </c>
    </row>
    <row r="192" spans="1:31" ht="15.75" customHeight="1">
      <c r="A192" s="7" t="s">
        <v>790</v>
      </c>
      <c r="B192" s="78">
        <v>0</v>
      </c>
      <c r="C192" s="78">
        <v>0</v>
      </c>
      <c r="D192" s="42" t="str">
        <f t="shared" si="0"/>
        <v/>
      </c>
      <c r="E192" s="78">
        <v>0</v>
      </c>
      <c r="F192" s="78">
        <v>0</v>
      </c>
      <c r="G192" s="42" t="str">
        <f t="shared" si="1"/>
        <v/>
      </c>
      <c r="H192" s="41">
        <v>0</v>
      </c>
      <c r="I192" s="41">
        <v>0</v>
      </c>
      <c r="J192" s="41">
        <f t="shared" si="2"/>
        <v>0</v>
      </c>
      <c r="K192" s="41">
        <v>0</v>
      </c>
      <c r="L192" s="79" t="str">
        <f t="shared" si="3"/>
        <v/>
      </c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81"/>
      <c r="AA192" s="6">
        <f t="shared" si="4"/>
        <v>0</v>
      </c>
      <c r="AB192" s="80" t="str">
        <f>+IF(AND(D192&gt;'Indices y Outliers'!$I$146,D192&lt;&gt;""),1,"")</f>
        <v/>
      </c>
      <c r="AC192" s="80" t="str">
        <f>+IF(AND(G192&gt;'Indices y Outliers'!$I$154,G192&lt;&gt;""),1,"")</f>
        <v/>
      </c>
      <c r="AD192" s="7"/>
      <c r="AE192" s="7">
        <f t="shared" si="5"/>
        <v>0</v>
      </c>
    </row>
    <row r="193" spans="1:31" ht="15.75" customHeight="1">
      <c r="A193" s="7" t="s">
        <v>793</v>
      </c>
      <c r="B193" s="78">
        <v>141.5</v>
      </c>
      <c r="C193" s="78">
        <v>0</v>
      </c>
      <c r="D193" s="42">
        <f t="shared" si="0"/>
        <v>141.5</v>
      </c>
      <c r="E193" s="78">
        <v>1.27</v>
      </c>
      <c r="F193" s="78">
        <v>0</v>
      </c>
      <c r="G193" s="42">
        <f t="shared" si="1"/>
        <v>1.27</v>
      </c>
      <c r="H193" s="41">
        <v>52</v>
      </c>
      <c r="I193" s="41">
        <v>344407</v>
      </c>
      <c r="J193" s="41">
        <f t="shared" si="2"/>
        <v>344459</v>
      </c>
      <c r="K193" s="41">
        <v>346026</v>
      </c>
      <c r="L193" s="79">
        <f t="shared" si="3"/>
        <v>0.99547143856242015</v>
      </c>
      <c r="M193" s="89">
        <v>1</v>
      </c>
      <c r="N193" s="89">
        <v>1</v>
      </c>
      <c r="O193" s="89">
        <v>1</v>
      </c>
      <c r="P193" s="7"/>
      <c r="Q193" s="89">
        <v>1</v>
      </c>
      <c r="R193" s="89">
        <v>1</v>
      </c>
      <c r="S193" s="89" t="s">
        <v>1353</v>
      </c>
      <c r="T193" s="89" t="s">
        <v>1353</v>
      </c>
      <c r="U193" s="89" t="s">
        <v>1353</v>
      </c>
      <c r="V193" s="89" t="s">
        <v>1353</v>
      </c>
      <c r="W193" s="89" t="s">
        <v>1353</v>
      </c>
      <c r="X193" s="7"/>
      <c r="Y193" s="7"/>
      <c r="Z193" s="81"/>
      <c r="AA193" s="6">
        <f t="shared" si="4"/>
        <v>2</v>
      </c>
      <c r="AB193" s="80" t="str">
        <f>+IF(AND(D193&gt;'Indices y Outliers'!$I$146,D193&lt;&gt;""),1,"")</f>
        <v/>
      </c>
      <c r="AC193" s="80" t="str">
        <f>+IF(AND(G193&gt;'Indices y Outliers'!$I$154,G193&lt;&gt;""),1,"")</f>
        <v/>
      </c>
      <c r="AD193" s="7"/>
      <c r="AE193" s="7">
        <f t="shared" si="5"/>
        <v>0</v>
      </c>
    </row>
    <row r="194" spans="1:31" ht="15.75" customHeight="1">
      <c r="A194" s="7" t="s">
        <v>796</v>
      </c>
      <c r="B194" s="78">
        <v>0</v>
      </c>
      <c r="C194" s="78">
        <v>0</v>
      </c>
      <c r="D194" s="42" t="str">
        <f t="shared" si="0"/>
        <v/>
      </c>
      <c r="E194" s="78">
        <v>0</v>
      </c>
      <c r="F194" s="78">
        <v>0</v>
      </c>
      <c r="G194" s="42" t="str">
        <f t="shared" si="1"/>
        <v/>
      </c>
      <c r="H194" s="41">
        <v>0</v>
      </c>
      <c r="I194" s="41">
        <v>0</v>
      </c>
      <c r="J194" s="41">
        <f t="shared" si="2"/>
        <v>0</v>
      </c>
      <c r="K194" s="41">
        <v>0</v>
      </c>
      <c r="L194" s="79" t="str">
        <f t="shared" si="3"/>
        <v/>
      </c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81"/>
      <c r="AA194" s="6">
        <f t="shared" si="4"/>
        <v>0</v>
      </c>
      <c r="AB194" s="80" t="str">
        <f>+IF(AND(D194&gt;'Indices y Outliers'!$I$146,D194&lt;&gt;""),1,"")</f>
        <v/>
      </c>
      <c r="AC194" s="80" t="str">
        <f>+IF(AND(G194&gt;'Indices y Outliers'!$I$154,G194&lt;&gt;""),1,"")</f>
        <v/>
      </c>
      <c r="AD194" s="7"/>
      <c r="AE194" s="7">
        <f t="shared" si="5"/>
        <v>0</v>
      </c>
    </row>
    <row r="195" spans="1:31" ht="15.75" customHeight="1">
      <c r="A195" s="7" t="s">
        <v>799</v>
      </c>
      <c r="B195" s="78">
        <v>0</v>
      </c>
      <c r="C195" s="78">
        <v>0</v>
      </c>
      <c r="D195" s="42" t="str">
        <f t="shared" si="0"/>
        <v/>
      </c>
      <c r="E195" s="78">
        <v>0</v>
      </c>
      <c r="F195" s="78">
        <v>0</v>
      </c>
      <c r="G195" s="42" t="str">
        <f t="shared" si="1"/>
        <v/>
      </c>
      <c r="H195" s="41">
        <v>0</v>
      </c>
      <c r="I195" s="41">
        <v>0</v>
      </c>
      <c r="J195" s="41">
        <f t="shared" si="2"/>
        <v>0</v>
      </c>
      <c r="K195" s="41">
        <v>0</v>
      </c>
      <c r="L195" s="79" t="str">
        <f t="shared" si="3"/>
        <v/>
      </c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81"/>
      <c r="AA195" s="6">
        <f t="shared" si="4"/>
        <v>0</v>
      </c>
      <c r="AB195" s="80" t="str">
        <f>+IF(AND(D195&gt;'Indices y Outliers'!$I$146,D195&lt;&gt;""),1,"")</f>
        <v/>
      </c>
      <c r="AC195" s="80" t="str">
        <f>+IF(AND(G195&gt;'Indices y Outliers'!$I$154,G195&lt;&gt;""),1,"")</f>
        <v/>
      </c>
      <c r="AD195" s="7"/>
      <c r="AE195" s="7">
        <f t="shared" si="5"/>
        <v>0</v>
      </c>
    </row>
    <row r="196" spans="1:31" ht="15.75" customHeight="1">
      <c r="A196" s="7" t="s">
        <v>802</v>
      </c>
      <c r="B196" s="78">
        <v>284.7</v>
      </c>
      <c r="C196" s="78">
        <v>0</v>
      </c>
      <c r="D196" s="42">
        <f t="shared" si="0"/>
        <v>284.7</v>
      </c>
      <c r="E196" s="78">
        <v>2.0529999999999999</v>
      </c>
      <c r="F196" s="78">
        <v>0</v>
      </c>
      <c r="G196" s="42">
        <f t="shared" si="1"/>
        <v>2.0529999999999999</v>
      </c>
      <c r="H196" s="41">
        <v>78</v>
      </c>
      <c r="I196" s="41">
        <v>832723</v>
      </c>
      <c r="J196" s="41">
        <f t="shared" si="2"/>
        <v>832801</v>
      </c>
      <c r="K196" s="41">
        <v>842526</v>
      </c>
      <c r="L196" s="79">
        <f t="shared" si="3"/>
        <v>0.98845732950674514</v>
      </c>
      <c r="M196" s="89">
        <v>1</v>
      </c>
      <c r="N196" s="89">
        <v>1</v>
      </c>
      <c r="O196" s="89">
        <v>1</v>
      </c>
      <c r="P196" s="89">
        <v>1</v>
      </c>
      <c r="Q196" s="89">
        <v>1</v>
      </c>
      <c r="R196" s="89">
        <v>1</v>
      </c>
      <c r="S196" s="89" t="s">
        <v>1353</v>
      </c>
      <c r="T196" s="89" t="s">
        <v>1353</v>
      </c>
      <c r="U196" s="89" t="s">
        <v>1353</v>
      </c>
      <c r="V196" s="89" t="s">
        <v>1353</v>
      </c>
      <c r="W196" s="89" t="s">
        <v>1353</v>
      </c>
      <c r="X196" s="7"/>
      <c r="Y196" s="7"/>
      <c r="Z196" s="81"/>
      <c r="AA196" s="6">
        <f t="shared" si="4"/>
        <v>2</v>
      </c>
      <c r="AB196" s="80" t="str">
        <f>+IF(AND(D196&gt;'Indices y Outliers'!$I$146,D196&lt;&gt;""),1,"")</f>
        <v/>
      </c>
      <c r="AC196" s="80" t="str">
        <f>+IF(AND(G196&gt;'Indices y Outliers'!$I$154,G196&lt;&gt;""),1,"")</f>
        <v/>
      </c>
      <c r="AD196" s="7"/>
      <c r="AE196" s="7">
        <f t="shared" si="5"/>
        <v>0</v>
      </c>
    </row>
    <row r="197" spans="1:31" ht="15.75" customHeight="1">
      <c r="A197" s="7" t="s">
        <v>805</v>
      </c>
      <c r="B197" s="78">
        <v>291.39999999999998</v>
      </c>
      <c r="C197" s="78">
        <v>0</v>
      </c>
      <c r="D197" s="42">
        <f t="shared" si="0"/>
        <v>291.39999999999998</v>
      </c>
      <c r="E197" s="78">
        <v>2.1419999999999999</v>
      </c>
      <c r="F197" s="78">
        <v>0</v>
      </c>
      <c r="G197" s="42">
        <f t="shared" si="1"/>
        <v>2.1419999999999999</v>
      </c>
      <c r="H197" s="41">
        <v>28</v>
      </c>
      <c r="I197" s="41">
        <v>526554</v>
      </c>
      <c r="J197" s="41">
        <f t="shared" si="2"/>
        <v>526582</v>
      </c>
      <c r="K197" s="41">
        <v>530410</v>
      </c>
      <c r="L197" s="79">
        <f t="shared" si="3"/>
        <v>0.99278294149808644</v>
      </c>
      <c r="M197" s="89">
        <v>1</v>
      </c>
      <c r="N197" s="89">
        <v>1</v>
      </c>
      <c r="O197" s="89">
        <v>1</v>
      </c>
      <c r="P197" s="89">
        <v>1</v>
      </c>
      <c r="Q197" s="89">
        <v>1</v>
      </c>
      <c r="R197" s="89">
        <v>1</v>
      </c>
      <c r="S197" s="89" t="s">
        <v>1353</v>
      </c>
      <c r="T197" s="89" t="s">
        <v>1353</v>
      </c>
      <c r="U197" s="89" t="s">
        <v>1353</v>
      </c>
      <c r="V197" s="89" t="s">
        <v>1353</v>
      </c>
      <c r="W197" s="89" t="s">
        <v>1353</v>
      </c>
      <c r="X197" s="7"/>
      <c r="Y197" s="7"/>
      <c r="Z197" s="81"/>
      <c r="AA197" s="6">
        <f t="shared" si="4"/>
        <v>2</v>
      </c>
      <c r="AB197" s="80" t="str">
        <f>+IF(AND(D197&gt;'Indices y Outliers'!$I$146,D197&lt;&gt;""),1,"")</f>
        <v/>
      </c>
      <c r="AC197" s="80" t="str">
        <f>+IF(AND(G197&gt;'Indices y Outliers'!$I$154,G197&lt;&gt;""),1,"")</f>
        <v/>
      </c>
      <c r="AD197" s="7"/>
      <c r="AE197" s="7">
        <f t="shared" si="5"/>
        <v>0</v>
      </c>
    </row>
    <row r="198" spans="1:31" ht="15.75" customHeight="1">
      <c r="A198" s="7" t="s">
        <v>808</v>
      </c>
      <c r="B198" s="78">
        <v>0</v>
      </c>
      <c r="C198" s="78">
        <v>0</v>
      </c>
      <c r="D198" s="42" t="str">
        <f t="shared" si="0"/>
        <v/>
      </c>
      <c r="E198" s="78">
        <v>0</v>
      </c>
      <c r="F198" s="78">
        <v>0</v>
      </c>
      <c r="G198" s="42" t="str">
        <f t="shared" si="1"/>
        <v/>
      </c>
      <c r="H198" s="41">
        <v>0</v>
      </c>
      <c r="I198" s="41">
        <v>0</v>
      </c>
      <c r="J198" s="41">
        <f t="shared" si="2"/>
        <v>0</v>
      </c>
      <c r="K198" s="41">
        <v>0</v>
      </c>
      <c r="L198" s="79" t="str">
        <f t="shared" si="3"/>
        <v/>
      </c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81"/>
      <c r="AA198" s="6">
        <f t="shared" si="4"/>
        <v>0</v>
      </c>
      <c r="AB198" s="80" t="str">
        <f>+IF(AND(D198&gt;'Indices y Outliers'!$I$146,D198&lt;&gt;""),1,"")</f>
        <v/>
      </c>
      <c r="AC198" s="80" t="str">
        <f>+IF(AND(G198&gt;'Indices y Outliers'!$I$154,G198&lt;&gt;""),1,"")</f>
        <v/>
      </c>
      <c r="AD198" s="7"/>
      <c r="AE198" s="7">
        <f t="shared" si="5"/>
        <v>0</v>
      </c>
    </row>
    <row r="199" spans="1:31" ht="15.75" customHeight="1">
      <c r="A199" s="7" t="s">
        <v>811</v>
      </c>
      <c r="B199" s="78">
        <v>0</v>
      </c>
      <c r="C199" s="78">
        <v>0</v>
      </c>
      <c r="D199" s="42" t="str">
        <f t="shared" si="0"/>
        <v/>
      </c>
      <c r="E199" s="78">
        <v>0</v>
      </c>
      <c r="F199" s="78">
        <v>0</v>
      </c>
      <c r="G199" s="42" t="str">
        <f t="shared" si="1"/>
        <v/>
      </c>
      <c r="H199" s="41">
        <v>0</v>
      </c>
      <c r="I199" s="41">
        <v>0</v>
      </c>
      <c r="J199" s="41">
        <f t="shared" si="2"/>
        <v>0</v>
      </c>
      <c r="K199" s="41">
        <v>0</v>
      </c>
      <c r="L199" s="79" t="str">
        <f t="shared" si="3"/>
        <v/>
      </c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81"/>
      <c r="AA199" s="6">
        <f t="shared" si="4"/>
        <v>0</v>
      </c>
      <c r="AB199" s="80" t="str">
        <f>+IF(AND(D199&gt;'Indices y Outliers'!$I$146,D199&lt;&gt;""),1,"")</f>
        <v/>
      </c>
      <c r="AC199" s="80" t="str">
        <f>+IF(AND(G199&gt;'Indices y Outliers'!$I$154,G199&lt;&gt;""),1,"")</f>
        <v/>
      </c>
      <c r="AD199" s="7"/>
      <c r="AE199" s="7">
        <f t="shared" si="5"/>
        <v>0</v>
      </c>
    </row>
    <row r="200" spans="1:31" ht="15.75" customHeight="1">
      <c r="A200" s="7" t="s">
        <v>814</v>
      </c>
      <c r="B200" s="78">
        <v>0</v>
      </c>
      <c r="C200" s="78">
        <v>0</v>
      </c>
      <c r="D200" s="42" t="str">
        <f t="shared" si="0"/>
        <v/>
      </c>
      <c r="E200" s="78">
        <v>0</v>
      </c>
      <c r="F200" s="78">
        <v>0</v>
      </c>
      <c r="G200" s="42" t="str">
        <f t="shared" si="1"/>
        <v/>
      </c>
      <c r="H200" s="41">
        <v>0</v>
      </c>
      <c r="I200" s="41">
        <v>0</v>
      </c>
      <c r="J200" s="41">
        <f t="shared" si="2"/>
        <v>0</v>
      </c>
      <c r="K200" s="41">
        <v>0</v>
      </c>
      <c r="L200" s="79" t="str">
        <f t="shared" si="3"/>
        <v/>
      </c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81"/>
      <c r="AA200" s="6">
        <f t="shared" si="4"/>
        <v>0</v>
      </c>
      <c r="AB200" s="80" t="str">
        <f>+IF(AND(D200&gt;'Indices y Outliers'!$I$146,D200&lt;&gt;""),1,"")</f>
        <v/>
      </c>
      <c r="AC200" s="80" t="str">
        <f>+IF(AND(G200&gt;'Indices y Outliers'!$I$154,G200&lt;&gt;""),1,"")</f>
        <v/>
      </c>
      <c r="AD200" s="7"/>
      <c r="AE200" s="7">
        <f t="shared" si="5"/>
        <v>0</v>
      </c>
    </row>
    <row r="201" spans="1:31" ht="15.75" customHeight="1">
      <c r="A201" s="7" t="s">
        <v>817</v>
      </c>
      <c r="B201" s="78">
        <v>142.53</v>
      </c>
      <c r="C201" s="78">
        <v>0</v>
      </c>
      <c r="D201" s="42">
        <f t="shared" si="0"/>
        <v>142.53</v>
      </c>
      <c r="E201" s="78">
        <v>1.24</v>
      </c>
      <c r="F201" s="78">
        <v>0</v>
      </c>
      <c r="G201" s="42">
        <f t="shared" si="1"/>
        <v>1.24</v>
      </c>
      <c r="H201" s="41">
        <v>116</v>
      </c>
      <c r="I201" s="41">
        <v>0</v>
      </c>
      <c r="J201" s="41">
        <f t="shared" si="2"/>
        <v>116</v>
      </c>
      <c r="K201" s="41">
        <v>116</v>
      </c>
      <c r="L201" s="79">
        <f t="shared" si="3"/>
        <v>1</v>
      </c>
      <c r="M201" s="89">
        <v>1</v>
      </c>
      <c r="N201" s="7"/>
      <c r="O201" s="89">
        <v>1</v>
      </c>
      <c r="P201" s="7"/>
      <c r="Q201" s="89">
        <v>1</v>
      </c>
      <c r="R201" s="7"/>
      <c r="S201" s="7"/>
      <c r="T201" s="89" t="s">
        <v>1353</v>
      </c>
      <c r="U201" s="7"/>
      <c r="V201" s="89" t="s">
        <v>1353</v>
      </c>
      <c r="W201" s="7"/>
      <c r="X201" s="7"/>
      <c r="Y201" s="7"/>
      <c r="Z201" s="81"/>
      <c r="AA201" s="6">
        <f t="shared" si="4"/>
        <v>2</v>
      </c>
      <c r="AB201" s="80" t="str">
        <f>+IF(AND(D201&gt;'Indices y Outliers'!$I$146,D201&lt;&gt;""),1,"")</f>
        <v/>
      </c>
      <c r="AC201" s="80" t="str">
        <f>+IF(AND(G201&gt;'Indices y Outliers'!$I$154,G201&lt;&gt;""),1,"")</f>
        <v/>
      </c>
      <c r="AD201" s="7"/>
      <c r="AE201" s="7">
        <f t="shared" si="5"/>
        <v>0</v>
      </c>
    </row>
    <row r="202" spans="1:31" ht="15.75" customHeight="1">
      <c r="A202" s="7" t="s">
        <v>820</v>
      </c>
      <c r="B202" s="78">
        <v>0</v>
      </c>
      <c r="C202" s="78">
        <v>0</v>
      </c>
      <c r="D202" s="42" t="str">
        <f t="shared" si="0"/>
        <v/>
      </c>
      <c r="E202" s="78">
        <v>0</v>
      </c>
      <c r="F202" s="78">
        <v>0</v>
      </c>
      <c r="G202" s="42" t="str">
        <f t="shared" si="1"/>
        <v/>
      </c>
      <c r="H202" s="41">
        <v>0</v>
      </c>
      <c r="I202" s="41">
        <v>0</v>
      </c>
      <c r="J202" s="41">
        <f t="shared" si="2"/>
        <v>0</v>
      </c>
      <c r="K202" s="41">
        <v>0</v>
      </c>
      <c r="L202" s="79" t="str">
        <f t="shared" si="3"/>
        <v/>
      </c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81"/>
      <c r="AA202" s="6">
        <f t="shared" si="4"/>
        <v>0</v>
      </c>
      <c r="AB202" s="80" t="str">
        <f>+IF(AND(D202&gt;'Indices y Outliers'!$I$146,D202&lt;&gt;""),1,"")</f>
        <v/>
      </c>
      <c r="AC202" s="80" t="str">
        <f>+IF(AND(G202&gt;'Indices y Outliers'!$I$154,G202&lt;&gt;""),1,"")</f>
        <v/>
      </c>
      <c r="AD202" s="7"/>
      <c r="AE202" s="7">
        <f t="shared" si="5"/>
        <v>0</v>
      </c>
    </row>
    <row r="203" spans="1:31" ht="15.75" customHeight="1">
      <c r="A203" s="7" t="s">
        <v>823</v>
      </c>
      <c r="B203" s="78">
        <v>114.504</v>
      </c>
      <c r="C203" s="78">
        <v>0</v>
      </c>
      <c r="D203" s="42">
        <f t="shared" si="0"/>
        <v>114.504</v>
      </c>
      <c r="E203" s="78">
        <v>3.3109999999999999</v>
      </c>
      <c r="F203" s="78">
        <v>0</v>
      </c>
      <c r="G203" s="42">
        <f t="shared" si="1"/>
        <v>3.3109999999999999</v>
      </c>
      <c r="H203" s="41">
        <v>24994</v>
      </c>
      <c r="I203" s="41">
        <v>0</v>
      </c>
      <c r="J203" s="41">
        <f t="shared" si="2"/>
        <v>24994</v>
      </c>
      <c r="K203" s="41">
        <v>24994</v>
      </c>
      <c r="L203" s="79">
        <f t="shared" si="3"/>
        <v>1</v>
      </c>
      <c r="M203" s="89">
        <v>1</v>
      </c>
      <c r="N203" s="7"/>
      <c r="O203" s="89">
        <v>1</v>
      </c>
      <c r="P203" s="89">
        <v>1</v>
      </c>
      <c r="Q203" s="89">
        <v>1</v>
      </c>
      <c r="R203" s="89">
        <v>1</v>
      </c>
      <c r="S203" s="89" t="s">
        <v>1353</v>
      </c>
      <c r="T203" s="7"/>
      <c r="U203" s="89" t="s">
        <v>1353</v>
      </c>
      <c r="V203" s="89" t="s">
        <v>1353</v>
      </c>
      <c r="W203" s="89" t="s">
        <v>1353</v>
      </c>
      <c r="X203" s="89" t="s">
        <v>1353</v>
      </c>
      <c r="Y203" s="7"/>
      <c r="Z203" s="81"/>
      <c r="AA203" s="6">
        <f t="shared" si="4"/>
        <v>2</v>
      </c>
      <c r="AB203" s="80" t="str">
        <f>+IF(AND(D203&gt;'Indices y Outliers'!$I$146,D203&lt;&gt;""),1,"")</f>
        <v/>
      </c>
      <c r="AC203" s="80" t="str">
        <f>+IF(AND(G203&gt;'Indices y Outliers'!$I$154,G203&lt;&gt;""),1,"")</f>
        <v/>
      </c>
      <c r="AD203" s="7"/>
      <c r="AE203" s="7">
        <f t="shared" si="5"/>
        <v>0</v>
      </c>
    </row>
    <row r="204" spans="1:31" ht="15.75" customHeight="1">
      <c r="A204" s="7" t="s">
        <v>826</v>
      </c>
      <c r="B204" s="78">
        <v>0</v>
      </c>
      <c r="C204" s="78">
        <v>0</v>
      </c>
      <c r="D204" s="42" t="str">
        <f t="shared" si="0"/>
        <v/>
      </c>
      <c r="E204" s="78">
        <v>0</v>
      </c>
      <c r="F204" s="78">
        <v>0</v>
      </c>
      <c r="G204" s="42" t="str">
        <f t="shared" si="1"/>
        <v/>
      </c>
      <c r="H204" s="41">
        <v>0</v>
      </c>
      <c r="I204" s="41">
        <v>0</v>
      </c>
      <c r="J204" s="41">
        <f t="shared" si="2"/>
        <v>0</v>
      </c>
      <c r="K204" s="41">
        <v>0</v>
      </c>
      <c r="L204" s="79" t="str">
        <f t="shared" si="3"/>
        <v/>
      </c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81"/>
      <c r="AA204" s="6">
        <f t="shared" si="4"/>
        <v>0</v>
      </c>
      <c r="AB204" s="80" t="str">
        <f>+IF(AND(D204&gt;'Indices y Outliers'!$I$146,D204&lt;&gt;""),1,"")</f>
        <v/>
      </c>
      <c r="AC204" s="80" t="str">
        <f>+IF(AND(G204&gt;'Indices y Outliers'!$I$154,G204&lt;&gt;""),1,"")</f>
        <v/>
      </c>
      <c r="AD204" s="7"/>
      <c r="AE204" s="7">
        <f t="shared" si="5"/>
        <v>0</v>
      </c>
    </row>
    <row r="205" spans="1:31" ht="15.75" customHeight="1">
      <c r="A205" s="7" t="s">
        <v>829</v>
      </c>
      <c r="B205" s="78">
        <v>0</v>
      </c>
      <c r="C205" s="78">
        <v>0</v>
      </c>
      <c r="D205" s="42" t="str">
        <f t="shared" si="0"/>
        <v/>
      </c>
      <c r="E205" s="78">
        <v>0</v>
      </c>
      <c r="F205" s="78">
        <v>0</v>
      </c>
      <c r="G205" s="42" t="str">
        <f t="shared" si="1"/>
        <v/>
      </c>
      <c r="H205" s="41">
        <v>0</v>
      </c>
      <c r="I205" s="41">
        <v>0</v>
      </c>
      <c r="J205" s="41">
        <f t="shared" si="2"/>
        <v>0</v>
      </c>
      <c r="K205" s="41">
        <v>0</v>
      </c>
      <c r="L205" s="79" t="str">
        <f t="shared" si="3"/>
        <v/>
      </c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81"/>
      <c r="AA205" s="6">
        <f t="shared" si="4"/>
        <v>0</v>
      </c>
      <c r="AB205" s="80" t="str">
        <f>+IF(AND(D205&gt;'Indices y Outliers'!$I$146,D205&lt;&gt;""),1,"")</f>
        <v/>
      </c>
      <c r="AC205" s="80" t="str">
        <f>+IF(AND(G205&gt;'Indices y Outliers'!$I$154,G205&lt;&gt;""),1,"")</f>
        <v/>
      </c>
      <c r="AD205" s="7"/>
      <c r="AE205" s="7">
        <f t="shared" si="5"/>
        <v>0</v>
      </c>
    </row>
    <row r="206" spans="1:31" ht="15.75" customHeight="1">
      <c r="A206" s="7" t="s">
        <v>832</v>
      </c>
      <c r="B206" s="78">
        <v>0</v>
      </c>
      <c r="C206" s="78">
        <v>0</v>
      </c>
      <c r="D206" s="42" t="str">
        <f t="shared" si="0"/>
        <v/>
      </c>
      <c r="E206" s="78">
        <v>0</v>
      </c>
      <c r="F206" s="78">
        <v>0</v>
      </c>
      <c r="G206" s="42" t="str">
        <f t="shared" si="1"/>
        <v/>
      </c>
      <c r="H206" s="41">
        <v>0</v>
      </c>
      <c r="I206" s="41">
        <v>0</v>
      </c>
      <c r="J206" s="41">
        <f t="shared" si="2"/>
        <v>0</v>
      </c>
      <c r="K206" s="41">
        <v>0</v>
      </c>
      <c r="L206" s="79" t="str">
        <f t="shared" si="3"/>
        <v/>
      </c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81"/>
      <c r="AA206" s="6">
        <f t="shared" si="4"/>
        <v>0</v>
      </c>
      <c r="AB206" s="80" t="str">
        <f>+IF(AND(D206&gt;'Indices y Outliers'!$I$146,D206&lt;&gt;""),1,"")</f>
        <v/>
      </c>
      <c r="AC206" s="80" t="str">
        <f>+IF(AND(G206&gt;'Indices y Outliers'!$I$154,G206&lt;&gt;""),1,"")</f>
        <v/>
      </c>
      <c r="AD206" s="7"/>
      <c r="AE206" s="7">
        <f t="shared" si="5"/>
        <v>0</v>
      </c>
    </row>
    <row r="207" spans="1:31" ht="15.75" customHeight="1">
      <c r="A207" s="7" t="s">
        <v>835</v>
      </c>
      <c r="B207" s="78">
        <v>0</v>
      </c>
      <c r="C207" s="78">
        <v>0</v>
      </c>
      <c r="D207" s="42" t="str">
        <f t="shared" si="0"/>
        <v/>
      </c>
      <c r="E207" s="78">
        <v>0</v>
      </c>
      <c r="F207" s="78">
        <v>0</v>
      </c>
      <c r="G207" s="42" t="str">
        <f t="shared" si="1"/>
        <v/>
      </c>
      <c r="H207" s="41">
        <v>0</v>
      </c>
      <c r="I207" s="41">
        <v>0</v>
      </c>
      <c r="J207" s="41">
        <f t="shared" si="2"/>
        <v>0</v>
      </c>
      <c r="K207" s="41">
        <v>0</v>
      </c>
      <c r="L207" s="79" t="str">
        <f t="shared" si="3"/>
        <v/>
      </c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81"/>
      <c r="AA207" s="6">
        <f t="shared" si="4"/>
        <v>0</v>
      </c>
      <c r="AB207" s="80" t="str">
        <f>+IF(AND(D207&gt;'Indices y Outliers'!$I$146,D207&lt;&gt;""),1,"")</f>
        <v/>
      </c>
      <c r="AC207" s="80" t="str">
        <f>+IF(AND(G207&gt;'Indices y Outliers'!$I$154,G207&lt;&gt;""),1,"")</f>
        <v/>
      </c>
      <c r="AD207" s="7"/>
      <c r="AE207" s="7">
        <f t="shared" si="5"/>
        <v>0</v>
      </c>
    </row>
    <row r="208" spans="1:31" ht="15.75" customHeight="1">
      <c r="A208" s="7" t="s">
        <v>838</v>
      </c>
      <c r="B208" s="78">
        <v>0</v>
      </c>
      <c r="C208" s="78">
        <v>0</v>
      </c>
      <c r="D208" s="42" t="str">
        <f t="shared" si="0"/>
        <v/>
      </c>
      <c r="E208" s="78">
        <v>0</v>
      </c>
      <c r="F208" s="78">
        <v>1.5</v>
      </c>
      <c r="G208" s="42">
        <f t="shared" si="1"/>
        <v>1.5</v>
      </c>
      <c r="H208" s="41">
        <v>67</v>
      </c>
      <c r="I208" s="41">
        <v>115391</v>
      </c>
      <c r="J208" s="41">
        <f t="shared" si="2"/>
        <v>115458</v>
      </c>
      <c r="K208" s="41">
        <v>115485</v>
      </c>
      <c r="L208" s="79">
        <f t="shared" si="3"/>
        <v>0.99976620340303934</v>
      </c>
      <c r="M208" s="89">
        <v>1</v>
      </c>
      <c r="N208" s="7"/>
      <c r="O208" s="89">
        <v>1</v>
      </c>
      <c r="P208" s="7"/>
      <c r="Q208" s="7"/>
      <c r="R208" s="89">
        <v>1</v>
      </c>
      <c r="S208" s="89" t="s">
        <v>1353</v>
      </c>
      <c r="T208" s="89" t="s">
        <v>1353</v>
      </c>
      <c r="U208" s="7"/>
      <c r="V208" s="89" t="s">
        <v>1353</v>
      </c>
      <c r="W208" s="7"/>
      <c r="X208" s="7"/>
      <c r="Y208" s="7"/>
      <c r="Z208" s="81"/>
      <c r="AA208" s="6">
        <f t="shared" si="4"/>
        <v>0</v>
      </c>
      <c r="AB208" s="80" t="str">
        <f>+IF(AND(D208&gt;'Indices y Outliers'!$I$146,D208&lt;&gt;""),1,"")</f>
        <v/>
      </c>
      <c r="AC208" s="80" t="str">
        <f>+IF(AND(G208&gt;'Indices y Outliers'!$I$154,G208&lt;&gt;""),1,"")</f>
        <v/>
      </c>
      <c r="AD208" s="7"/>
      <c r="AE208" s="7">
        <f t="shared" si="5"/>
        <v>0</v>
      </c>
    </row>
    <row r="209" spans="1:31" ht="15.75" customHeight="1">
      <c r="A209" s="7" t="s">
        <v>841</v>
      </c>
      <c r="B209" s="78">
        <v>74</v>
      </c>
      <c r="C209" s="78">
        <v>0</v>
      </c>
      <c r="D209" s="42">
        <f t="shared" si="0"/>
        <v>74</v>
      </c>
      <c r="E209" s="78">
        <v>1.94</v>
      </c>
      <c r="F209" s="78">
        <v>0</v>
      </c>
      <c r="G209" s="42">
        <f t="shared" si="1"/>
        <v>1.94</v>
      </c>
      <c r="H209" s="41">
        <v>18020</v>
      </c>
      <c r="I209" s="41">
        <v>0</v>
      </c>
      <c r="J209" s="41">
        <f t="shared" si="2"/>
        <v>18020</v>
      </c>
      <c r="K209" s="41">
        <v>18259</v>
      </c>
      <c r="L209" s="79">
        <f t="shared" si="3"/>
        <v>0.98691056465304783</v>
      </c>
      <c r="M209" s="89">
        <v>1</v>
      </c>
      <c r="N209" s="89">
        <v>1</v>
      </c>
      <c r="O209" s="89">
        <v>1</v>
      </c>
      <c r="P209" s="89">
        <v>1</v>
      </c>
      <c r="Q209" s="7"/>
      <c r="R209" s="7"/>
      <c r="S209" s="89" t="s">
        <v>1353</v>
      </c>
      <c r="T209" s="89" t="s">
        <v>1353</v>
      </c>
      <c r="U209" s="7"/>
      <c r="V209" s="89" t="s">
        <v>1353</v>
      </c>
      <c r="W209" s="7"/>
      <c r="X209" s="7"/>
      <c r="Y209" s="7"/>
      <c r="Z209" s="81"/>
      <c r="AA209" s="6">
        <f t="shared" si="4"/>
        <v>2</v>
      </c>
      <c r="AB209" s="80" t="str">
        <f>+IF(AND(D209&gt;'Indices y Outliers'!$I$146,D209&lt;&gt;""),1,"")</f>
        <v/>
      </c>
      <c r="AC209" s="80" t="str">
        <f>+IF(AND(G209&gt;'Indices y Outliers'!$I$154,G209&lt;&gt;""),1,"")</f>
        <v/>
      </c>
      <c r="AD209" s="7"/>
      <c r="AE209" s="7">
        <f t="shared" si="5"/>
        <v>0</v>
      </c>
    </row>
    <row r="210" spans="1:31" ht="15.75" customHeight="1">
      <c r="A210" s="7" t="s">
        <v>844</v>
      </c>
      <c r="B210" s="78">
        <v>17</v>
      </c>
      <c r="C210" s="78">
        <v>0</v>
      </c>
      <c r="D210" s="42">
        <f t="shared" si="0"/>
        <v>17</v>
      </c>
      <c r="E210" s="78">
        <v>1.24</v>
      </c>
      <c r="F210" s="78">
        <v>0</v>
      </c>
      <c r="G210" s="42">
        <f t="shared" si="1"/>
        <v>1.24</v>
      </c>
      <c r="H210" s="41">
        <v>0</v>
      </c>
      <c r="I210" s="41">
        <v>15016</v>
      </c>
      <c r="J210" s="41">
        <f t="shared" si="2"/>
        <v>15016</v>
      </c>
      <c r="K210" s="41">
        <v>16180</v>
      </c>
      <c r="L210" s="79">
        <f t="shared" si="3"/>
        <v>0.92805933250927075</v>
      </c>
      <c r="M210" s="89">
        <v>1</v>
      </c>
      <c r="N210" s="7"/>
      <c r="O210" s="89">
        <v>1</v>
      </c>
      <c r="P210" s="89">
        <v>1</v>
      </c>
      <c r="Q210" s="7"/>
      <c r="R210" s="7"/>
      <c r="S210" s="7"/>
      <c r="T210" s="7"/>
      <c r="U210" s="7"/>
      <c r="V210" s="7"/>
      <c r="W210" s="7"/>
      <c r="X210" s="7"/>
      <c r="Y210" s="7"/>
      <c r="Z210" s="81"/>
      <c r="AA210" s="6">
        <f t="shared" si="4"/>
        <v>2</v>
      </c>
      <c r="AB210" s="80" t="str">
        <f>+IF(AND(D210&gt;'Indices y Outliers'!$I$146,D210&lt;&gt;""),1,"")</f>
        <v/>
      </c>
      <c r="AC210" s="80" t="str">
        <f>+IF(AND(G210&gt;'Indices y Outliers'!$I$154,G210&lt;&gt;""),1,"")</f>
        <v/>
      </c>
      <c r="AD210" s="7"/>
      <c r="AE210" s="7">
        <f t="shared" si="5"/>
        <v>0</v>
      </c>
    </row>
    <row r="211" spans="1:31" ht="15.75" customHeight="1">
      <c r="A211" s="7" t="s">
        <v>850</v>
      </c>
      <c r="B211" s="78">
        <v>0</v>
      </c>
      <c r="C211" s="78">
        <v>74.7</v>
      </c>
      <c r="D211" s="42">
        <f t="shared" si="0"/>
        <v>74.7</v>
      </c>
      <c r="E211" s="78">
        <v>0</v>
      </c>
      <c r="F211" s="78">
        <v>3.24</v>
      </c>
      <c r="G211" s="42">
        <f t="shared" si="1"/>
        <v>3.24</v>
      </c>
      <c r="H211" s="41">
        <v>0</v>
      </c>
      <c r="I211" s="41">
        <v>0</v>
      </c>
      <c r="J211" s="41">
        <f t="shared" si="2"/>
        <v>0</v>
      </c>
      <c r="K211" s="41">
        <v>5576</v>
      </c>
      <c r="L211" s="79">
        <f t="shared" si="3"/>
        <v>0</v>
      </c>
      <c r="M211" s="89">
        <v>1</v>
      </c>
      <c r="N211" s="7"/>
      <c r="O211" s="89">
        <v>1</v>
      </c>
      <c r="P211" s="7"/>
      <c r="Q211" s="7"/>
      <c r="R211" s="89">
        <v>1</v>
      </c>
      <c r="S211" s="7"/>
      <c r="T211" s="89" t="s">
        <v>1354</v>
      </c>
      <c r="U211" s="89" t="s">
        <v>1353</v>
      </c>
      <c r="V211" s="89" t="s">
        <v>1353</v>
      </c>
      <c r="W211" s="7"/>
      <c r="X211" s="7"/>
      <c r="Y211" s="7"/>
      <c r="Z211" s="81"/>
      <c r="AA211" s="6">
        <f t="shared" si="4"/>
        <v>1</v>
      </c>
      <c r="AB211" s="80" t="str">
        <f>+IF(AND(D211&gt;'Indices y Outliers'!$I$146,D211&lt;&gt;""),1,"")</f>
        <v/>
      </c>
      <c r="AC211" s="80" t="str">
        <f>+IF(AND(G211&gt;'Indices y Outliers'!$I$154,G211&lt;&gt;""),1,"")</f>
        <v/>
      </c>
      <c r="AD211" s="7"/>
      <c r="AE211" s="7">
        <f t="shared" si="5"/>
        <v>0</v>
      </c>
    </row>
    <row r="212" spans="1:31" ht="15.75" customHeight="1">
      <c r="A212" s="7" t="s">
        <v>856</v>
      </c>
      <c r="B212" s="78">
        <v>0</v>
      </c>
      <c r="C212" s="78">
        <v>0</v>
      </c>
      <c r="D212" s="42" t="str">
        <f t="shared" si="0"/>
        <v/>
      </c>
      <c r="E212" s="78">
        <v>0</v>
      </c>
      <c r="F212" s="78">
        <v>0</v>
      </c>
      <c r="G212" s="42" t="str">
        <f t="shared" si="1"/>
        <v/>
      </c>
      <c r="H212" s="41">
        <v>0</v>
      </c>
      <c r="I212" s="41">
        <v>0</v>
      </c>
      <c r="J212" s="41">
        <f t="shared" si="2"/>
        <v>0</v>
      </c>
      <c r="K212" s="41">
        <v>0</v>
      </c>
      <c r="L212" s="79" t="str">
        <f t="shared" si="3"/>
        <v/>
      </c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81"/>
      <c r="AA212" s="6">
        <f t="shared" si="4"/>
        <v>0</v>
      </c>
      <c r="AB212" s="80" t="str">
        <f>+IF(AND(D212&gt;'Indices y Outliers'!$I$146,D212&lt;&gt;""),1,"")</f>
        <v/>
      </c>
      <c r="AC212" s="80" t="str">
        <f>+IF(AND(G212&gt;'Indices y Outliers'!$I$154,G212&lt;&gt;""),1,"")</f>
        <v/>
      </c>
      <c r="AD212" s="7"/>
      <c r="AE212" s="7">
        <f t="shared" si="5"/>
        <v>0</v>
      </c>
    </row>
    <row r="213" spans="1:31" ht="15.75" customHeight="1">
      <c r="A213" s="7" t="s">
        <v>859</v>
      </c>
      <c r="B213" s="78">
        <v>0</v>
      </c>
      <c r="C213" s="78">
        <v>0</v>
      </c>
      <c r="D213" s="42" t="str">
        <f t="shared" si="0"/>
        <v/>
      </c>
      <c r="E213" s="78">
        <v>0</v>
      </c>
      <c r="F213" s="78">
        <v>0</v>
      </c>
      <c r="G213" s="42" t="str">
        <f t="shared" si="1"/>
        <v/>
      </c>
      <c r="H213" s="41">
        <v>96</v>
      </c>
      <c r="I213" s="41">
        <v>0</v>
      </c>
      <c r="J213" s="41">
        <f t="shared" si="2"/>
        <v>96</v>
      </c>
      <c r="K213" s="41">
        <v>119</v>
      </c>
      <c r="L213" s="79">
        <f t="shared" si="3"/>
        <v>0.80672268907563027</v>
      </c>
      <c r="M213" s="89">
        <v>1</v>
      </c>
      <c r="N213" s="7"/>
      <c r="O213" s="89">
        <v>1</v>
      </c>
      <c r="P213" s="89">
        <v>1</v>
      </c>
      <c r="Q213" s="7"/>
      <c r="R213" s="89">
        <v>1</v>
      </c>
      <c r="S213" s="89" t="s">
        <v>1353</v>
      </c>
      <c r="T213" s="89" t="s">
        <v>1353</v>
      </c>
      <c r="U213" s="89" t="s">
        <v>1353</v>
      </c>
      <c r="V213" s="89" t="s">
        <v>1353</v>
      </c>
      <c r="W213" s="7"/>
      <c r="X213" s="89" t="s">
        <v>1353</v>
      </c>
      <c r="Y213" s="89" t="s">
        <v>1353</v>
      </c>
      <c r="Z213" s="81"/>
      <c r="AA213" s="6">
        <f t="shared" si="4"/>
        <v>0</v>
      </c>
      <c r="AB213" s="80" t="str">
        <f>+IF(AND(D213&gt;'Indices y Outliers'!$I$146,D213&lt;&gt;""),1,"")</f>
        <v/>
      </c>
      <c r="AC213" s="80" t="str">
        <f>+IF(AND(G213&gt;'Indices y Outliers'!$I$154,G213&lt;&gt;""),1,"")</f>
        <v/>
      </c>
      <c r="AD213" s="7"/>
      <c r="AE213" s="7">
        <f t="shared" si="5"/>
        <v>0</v>
      </c>
    </row>
    <row r="214" spans="1:31" ht="15.75" customHeight="1">
      <c r="A214" s="7" t="s">
        <v>862</v>
      </c>
      <c r="B214" s="78">
        <v>162.6</v>
      </c>
      <c r="C214" s="78">
        <v>0</v>
      </c>
      <c r="D214" s="42">
        <f t="shared" si="0"/>
        <v>162.6</v>
      </c>
      <c r="E214" s="78">
        <v>1.51</v>
      </c>
      <c r="F214" s="78">
        <v>0</v>
      </c>
      <c r="G214" s="42">
        <f t="shared" si="1"/>
        <v>1.51</v>
      </c>
      <c r="H214" s="41">
        <v>0</v>
      </c>
      <c r="I214" s="41">
        <v>50335</v>
      </c>
      <c r="J214" s="41">
        <f t="shared" si="2"/>
        <v>50335</v>
      </c>
      <c r="K214" s="41">
        <v>50335</v>
      </c>
      <c r="L214" s="79">
        <f t="shared" si="3"/>
        <v>1</v>
      </c>
      <c r="M214" s="89">
        <v>1</v>
      </c>
      <c r="N214" s="7"/>
      <c r="O214" s="89">
        <v>1</v>
      </c>
      <c r="P214" s="7"/>
      <c r="Q214" s="7"/>
      <c r="R214" s="7"/>
      <c r="S214" s="89" t="s">
        <v>1353</v>
      </c>
      <c r="T214" s="89" t="s">
        <v>1353</v>
      </c>
      <c r="U214" s="89" t="s">
        <v>1353</v>
      </c>
      <c r="V214" s="89" t="s">
        <v>1353</v>
      </c>
      <c r="W214" s="7"/>
      <c r="X214" s="89" t="s">
        <v>1353</v>
      </c>
      <c r="Y214" s="89" t="s">
        <v>1353</v>
      </c>
      <c r="Z214" s="81"/>
      <c r="AA214" s="6">
        <f t="shared" si="4"/>
        <v>2</v>
      </c>
      <c r="AB214" s="80" t="str">
        <f>+IF(AND(D214&gt;'Indices y Outliers'!$I$146,D214&lt;&gt;""),1,"")</f>
        <v/>
      </c>
      <c r="AC214" s="80" t="str">
        <f>+IF(AND(G214&gt;'Indices y Outliers'!$I$154,G214&lt;&gt;""),1,"")</f>
        <v/>
      </c>
      <c r="AD214" s="7"/>
      <c r="AE214" s="7">
        <f t="shared" si="5"/>
        <v>0</v>
      </c>
    </row>
    <row r="215" spans="1:31" ht="15.75" customHeight="1">
      <c r="A215" s="7" t="s">
        <v>865</v>
      </c>
      <c r="B215" s="78">
        <v>0</v>
      </c>
      <c r="C215" s="78">
        <v>0</v>
      </c>
      <c r="D215" s="42" t="str">
        <f t="shared" si="0"/>
        <v/>
      </c>
      <c r="E215" s="78">
        <v>0</v>
      </c>
      <c r="F215" s="78">
        <v>0</v>
      </c>
      <c r="G215" s="42" t="str">
        <f t="shared" si="1"/>
        <v/>
      </c>
      <c r="H215" s="41">
        <v>2277</v>
      </c>
      <c r="I215" s="41">
        <v>0</v>
      </c>
      <c r="J215" s="41">
        <f t="shared" si="2"/>
        <v>2277</v>
      </c>
      <c r="K215" s="41">
        <v>2286</v>
      </c>
      <c r="L215" s="79">
        <f t="shared" si="3"/>
        <v>0.99606299212598426</v>
      </c>
      <c r="M215" s="89">
        <v>1</v>
      </c>
      <c r="N215" s="7"/>
      <c r="O215" s="89">
        <v>1</v>
      </c>
      <c r="P215" s="89">
        <v>1</v>
      </c>
      <c r="Q215" s="7"/>
      <c r="R215" s="7"/>
      <c r="S215" s="7"/>
      <c r="T215" s="89" t="s">
        <v>1354</v>
      </c>
      <c r="U215" s="7"/>
      <c r="V215" s="89" t="s">
        <v>1353</v>
      </c>
      <c r="W215" s="7"/>
      <c r="X215" s="7"/>
      <c r="Y215" s="7"/>
      <c r="Z215" s="81"/>
      <c r="AA215" s="6">
        <f t="shared" si="4"/>
        <v>0</v>
      </c>
      <c r="AB215" s="80" t="str">
        <f>+IF(AND(D215&gt;'Indices y Outliers'!$I$146,D215&lt;&gt;""),1,"")</f>
        <v/>
      </c>
      <c r="AC215" s="80" t="str">
        <f>+IF(AND(G215&gt;'Indices y Outliers'!$I$154,G215&lt;&gt;""),1,"")</f>
        <v/>
      </c>
      <c r="AD215" s="7"/>
      <c r="AE215" s="7">
        <f t="shared" si="5"/>
        <v>0</v>
      </c>
    </row>
    <row r="216" spans="1:31" ht="15.75" customHeight="1">
      <c r="A216" s="7" t="s">
        <v>1302</v>
      </c>
      <c r="B216" s="78">
        <v>0</v>
      </c>
      <c r="C216" s="78">
        <v>0</v>
      </c>
      <c r="D216" s="42" t="str">
        <f t="shared" si="0"/>
        <v/>
      </c>
      <c r="E216" s="78">
        <v>0</v>
      </c>
      <c r="F216" s="78">
        <v>0</v>
      </c>
      <c r="G216" s="42" t="str">
        <f t="shared" si="1"/>
        <v/>
      </c>
      <c r="H216" s="41">
        <v>0</v>
      </c>
      <c r="I216" s="41">
        <v>0</v>
      </c>
      <c r="J216" s="41">
        <f t="shared" si="2"/>
        <v>0</v>
      </c>
      <c r="K216" s="41">
        <v>0</v>
      </c>
      <c r="L216" s="79" t="str">
        <f t="shared" si="3"/>
        <v/>
      </c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81"/>
      <c r="AA216" s="6">
        <f t="shared" si="4"/>
        <v>0</v>
      </c>
      <c r="AB216" s="80" t="str">
        <f>+IF(AND(D216&gt;'Indices y Outliers'!$I$146,D216&lt;&gt;""),1,"")</f>
        <v/>
      </c>
      <c r="AC216" s="80" t="str">
        <f>+IF(AND(G216&gt;'Indices y Outliers'!$I$154,G216&lt;&gt;""),1,"")</f>
        <v/>
      </c>
      <c r="AD216" s="7"/>
      <c r="AE216" s="7">
        <f t="shared" si="5"/>
        <v>0</v>
      </c>
    </row>
    <row r="217" spans="1:31" ht="15.75" customHeight="1">
      <c r="A217" s="7" t="s">
        <v>1083</v>
      </c>
      <c r="B217" s="78">
        <v>0</v>
      </c>
      <c r="C217" s="78">
        <v>0</v>
      </c>
      <c r="D217" s="42" t="str">
        <f t="shared" si="0"/>
        <v/>
      </c>
      <c r="E217" s="78">
        <v>0</v>
      </c>
      <c r="F217" s="78">
        <v>0</v>
      </c>
      <c r="G217" s="42" t="str">
        <f t="shared" si="1"/>
        <v/>
      </c>
      <c r="H217" s="41">
        <v>0</v>
      </c>
      <c r="I217" s="41">
        <v>0</v>
      </c>
      <c r="J217" s="41">
        <f t="shared" si="2"/>
        <v>0</v>
      </c>
      <c r="K217" s="41">
        <v>0</v>
      </c>
      <c r="L217" s="79" t="str">
        <f t="shared" si="3"/>
        <v/>
      </c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81"/>
      <c r="AA217" s="6">
        <f t="shared" si="4"/>
        <v>0</v>
      </c>
      <c r="AB217" s="80" t="str">
        <f>+IF(AND(D217&gt;'Indices y Outliers'!$I$146,D217&lt;&gt;""),1,"")</f>
        <v/>
      </c>
      <c r="AC217" s="80" t="str">
        <f>+IF(AND(G217&gt;'Indices y Outliers'!$I$154,G217&lt;&gt;""),1,"")</f>
        <v/>
      </c>
      <c r="AD217" s="7"/>
      <c r="AE217" s="7">
        <f t="shared" si="5"/>
        <v>0</v>
      </c>
    </row>
    <row r="218" spans="1:31" ht="15.75" customHeight="1">
      <c r="A218" s="7"/>
      <c r="B218" s="90"/>
      <c r="C218" s="90"/>
      <c r="D218" s="78"/>
      <c r="E218" s="90"/>
      <c r="F218" s="90"/>
      <c r="G218" s="78"/>
      <c r="H218" s="6"/>
      <c r="I218" s="6"/>
      <c r="J218" s="41"/>
      <c r="K218" s="41"/>
      <c r="L218" s="41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 t="str">
        <f t="shared" ref="AE218:AE220" si="6">+IF(AA218=1,SUM(AB218:AD218),"")</f>
        <v/>
      </c>
    </row>
    <row r="219" spans="1:31" ht="15.75" customHeight="1">
      <c r="A219" s="7"/>
      <c r="B219" s="90"/>
      <c r="C219" s="90"/>
      <c r="D219" s="78"/>
      <c r="E219" s="90"/>
      <c r="F219" s="90"/>
      <c r="G219" s="78"/>
      <c r="H219" s="6"/>
      <c r="I219" s="6"/>
      <c r="J219" s="41"/>
      <c r="K219" s="41"/>
      <c r="L219" s="41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 t="str">
        <f t="shared" si="6"/>
        <v/>
      </c>
    </row>
    <row r="220" spans="1:31" ht="15.75" customHeight="1">
      <c r="A220" s="7"/>
      <c r="B220" s="90"/>
      <c r="C220" s="90"/>
      <c r="D220" s="78"/>
      <c r="E220" s="90"/>
      <c r="F220" s="90"/>
      <c r="G220" s="78"/>
      <c r="H220" s="6"/>
      <c r="I220" s="6"/>
      <c r="J220" s="41"/>
      <c r="K220" s="41"/>
      <c r="L220" s="41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 t="str">
        <f t="shared" si="6"/>
        <v/>
      </c>
    </row>
    <row r="221" spans="1:31" ht="15.75" customHeight="1">
      <c r="A221" s="7"/>
      <c r="B221" s="90"/>
      <c r="C221" s="90"/>
      <c r="D221" s="77"/>
      <c r="E221" s="90"/>
      <c r="F221" s="90"/>
      <c r="G221" s="77"/>
      <c r="H221" s="6"/>
      <c r="I221" s="6"/>
      <c r="J221" s="77"/>
      <c r="K221" s="77"/>
      <c r="L221" s="7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</row>
    <row r="222" spans="1:31" ht="15.75" customHeight="1">
      <c r="A222" s="7"/>
      <c r="B222" s="90"/>
      <c r="C222" s="90"/>
      <c r="D222" s="77"/>
      <c r="E222" s="90"/>
      <c r="F222" s="90"/>
      <c r="G222" s="77"/>
      <c r="H222" s="6"/>
      <c r="I222" s="6"/>
      <c r="J222" s="77"/>
      <c r="K222" s="77"/>
      <c r="L222" s="7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</row>
    <row r="223" spans="1:31" ht="15.75" customHeight="1">
      <c r="A223" s="7"/>
      <c r="B223" s="90"/>
      <c r="C223" s="90"/>
      <c r="D223" s="77"/>
      <c r="E223" s="90"/>
      <c r="F223" s="90"/>
      <c r="G223" s="77"/>
      <c r="H223" s="6"/>
      <c r="I223" s="6"/>
      <c r="J223" s="77"/>
      <c r="K223" s="77"/>
      <c r="L223" s="7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</row>
    <row r="224" spans="1:31" ht="15.75" customHeight="1">
      <c r="A224" s="7"/>
      <c r="B224" s="90"/>
      <c r="C224" s="90"/>
      <c r="D224" s="77"/>
      <c r="E224" s="90"/>
      <c r="F224" s="90"/>
      <c r="G224" s="77"/>
      <c r="H224" s="6"/>
      <c r="I224" s="6"/>
      <c r="J224" s="77"/>
      <c r="K224" s="77"/>
      <c r="L224" s="7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</row>
    <row r="225" spans="1:31" ht="15.75" customHeight="1">
      <c r="A225" s="7"/>
      <c r="B225" s="90"/>
      <c r="C225" s="90"/>
      <c r="D225" s="77"/>
      <c r="E225" s="90"/>
      <c r="F225" s="90"/>
      <c r="G225" s="77"/>
      <c r="H225" s="6"/>
      <c r="I225" s="6"/>
      <c r="J225" s="77"/>
      <c r="K225" s="77"/>
      <c r="L225" s="7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</row>
    <row r="226" spans="1:31" ht="15.75" customHeight="1">
      <c r="A226" s="7"/>
      <c r="B226" s="90"/>
      <c r="C226" s="90"/>
      <c r="D226" s="77"/>
      <c r="E226" s="90"/>
      <c r="F226" s="90"/>
      <c r="G226" s="77"/>
      <c r="H226" s="6"/>
      <c r="I226" s="6"/>
      <c r="J226" s="77"/>
      <c r="K226" s="77"/>
      <c r="L226" s="7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</row>
    <row r="227" spans="1:31" ht="15.75" customHeight="1">
      <c r="A227" s="7"/>
      <c r="B227" s="90"/>
      <c r="C227" s="90"/>
      <c r="D227" s="77"/>
      <c r="E227" s="90"/>
      <c r="F227" s="90"/>
      <c r="G227" s="77"/>
      <c r="H227" s="6"/>
      <c r="I227" s="6"/>
      <c r="J227" s="77"/>
      <c r="K227" s="77"/>
      <c r="L227" s="7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</row>
    <row r="228" spans="1:31" ht="15.75" customHeight="1">
      <c r="A228" s="7"/>
      <c r="B228" s="90"/>
      <c r="C228" s="90"/>
      <c r="D228" s="77"/>
      <c r="E228" s="90"/>
      <c r="F228" s="90"/>
      <c r="G228" s="77"/>
      <c r="H228" s="6"/>
      <c r="I228" s="6"/>
      <c r="J228" s="77"/>
      <c r="K228" s="77"/>
      <c r="L228" s="7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</row>
    <row r="229" spans="1:31" ht="15.75" customHeight="1">
      <c r="A229" s="7"/>
      <c r="B229" s="90"/>
      <c r="C229" s="90"/>
      <c r="D229" s="77"/>
      <c r="E229" s="90"/>
      <c r="F229" s="90"/>
      <c r="G229" s="77"/>
      <c r="H229" s="6"/>
      <c r="I229" s="6"/>
      <c r="J229" s="77"/>
      <c r="K229" s="77"/>
      <c r="L229" s="7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</row>
    <row r="230" spans="1:31" ht="15.75" customHeight="1">
      <c r="A230" s="7"/>
      <c r="B230" s="90"/>
      <c r="C230" s="90"/>
      <c r="D230" s="77"/>
      <c r="E230" s="90"/>
      <c r="F230" s="90"/>
      <c r="G230" s="77"/>
      <c r="H230" s="6"/>
      <c r="I230" s="6"/>
      <c r="J230" s="77"/>
      <c r="K230" s="77"/>
      <c r="L230" s="7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</row>
    <row r="231" spans="1:31" ht="15.75" customHeight="1">
      <c r="A231" s="7"/>
      <c r="B231" s="90"/>
      <c r="C231" s="90"/>
      <c r="D231" s="77"/>
      <c r="E231" s="90"/>
      <c r="F231" s="90"/>
      <c r="G231" s="77"/>
      <c r="H231" s="6"/>
      <c r="I231" s="6"/>
      <c r="J231" s="77"/>
      <c r="K231" s="77"/>
      <c r="L231" s="7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</row>
    <row r="232" spans="1:31" ht="15.75" customHeight="1">
      <c r="A232" s="7"/>
      <c r="B232" s="90"/>
      <c r="C232" s="90"/>
      <c r="D232" s="77"/>
      <c r="E232" s="90"/>
      <c r="F232" s="90"/>
      <c r="G232" s="77"/>
      <c r="H232" s="6"/>
      <c r="I232" s="6"/>
      <c r="J232" s="77"/>
      <c r="K232" s="77"/>
      <c r="L232" s="7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</row>
    <row r="233" spans="1:31" ht="15.75" customHeight="1">
      <c r="A233" s="7"/>
      <c r="B233" s="90"/>
      <c r="C233" s="90"/>
      <c r="D233" s="77"/>
      <c r="E233" s="90"/>
      <c r="F233" s="90"/>
      <c r="G233" s="77"/>
      <c r="H233" s="6"/>
      <c r="I233" s="6"/>
      <c r="J233" s="77"/>
      <c r="K233" s="77"/>
      <c r="L233" s="7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</row>
    <row r="234" spans="1:31" ht="15.75" customHeight="1">
      <c r="A234" s="7"/>
      <c r="B234" s="90"/>
      <c r="C234" s="90"/>
      <c r="D234" s="77"/>
      <c r="E234" s="90"/>
      <c r="F234" s="90"/>
      <c r="G234" s="77"/>
      <c r="H234" s="6"/>
      <c r="I234" s="6"/>
      <c r="J234" s="77"/>
      <c r="K234" s="77"/>
      <c r="L234" s="7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</row>
    <row r="235" spans="1:31" ht="15.75" customHeight="1">
      <c r="A235" s="7"/>
      <c r="B235" s="90"/>
      <c r="C235" s="90"/>
      <c r="D235" s="77"/>
      <c r="E235" s="90"/>
      <c r="F235" s="90"/>
      <c r="G235" s="77"/>
      <c r="H235" s="6"/>
      <c r="I235" s="6"/>
      <c r="J235" s="77"/>
      <c r="K235" s="77"/>
      <c r="L235" s="7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</row>
    <row r="236" spans="1:31" ht="15.75" customHeight="1">
      <c r="A236" s="7"/>
      <c r="B236" s="90"/>
      <c r="C236" s="90"/>
      <c r="D236" s="77"/>
      <c r="E236" s="90"/>
      <c r="F236" s="90"/>
      <c r="G236" s="77"/>
      <c r="H236" s="6"/>
      <c r="I236" s="6"/>
      <c r="J236" s="77"/>
      <c r="K236" s="77"/>
      <c r="L236" s="7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</row>
    <row r="237" spans="1:31" ht="15.75" customHeight="1">
      <c r="A237" s="7"/>
      <c r="B237" s="90"/>
      <c r="C237" s="90"/>
      <c r="D237" s="77"/>
      <c r="E237" s="90"/>
      <c r="F237" s="90"/>
      <c r="G237" s="77"/>
      <c r="H237" s="6"/>
      <c r="I237" s="6"/>
      <c r="J237" s="77"/>
      <c r="K237" s="77"/>
      <c r="L237" s="7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</row>
    <row r="238" spans="1:31" ht="15.75" customHeight="1">
      <c r="A238" s="7"/>
      <c r="B238" s="90"/>
      <c r="C238" s="90"/>
      <c r="D238" s="77"/>
      <c r="E238" s="90"/>
      <c r="F238" s="90"/>
      <c r="G238" s="77"/>
      <c r="H238" s="6"/>
      <c r="I238" s="6"/>
      <c r="J238" s="77"/>
      <c r="K238" s="77"/>
      <c r="L238" s="7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</row>
    <row r="239" spans="1:31" ht="15.75" customHeight="1">
      <c r="A239" s="7"/>
      <c r="B239" s="90"/>
      <c r="C239" s="90"/>
      <c r="D239" s="77"/>
      <c r="E239" s="90"/>
      <c r="F239" s="90"/>
      <c r="G239" s="77"/>
      <c r="H239" s="6"/>
      <c r="I239" s="6"/>
      <c r="J239" s="77"/>
      <c r="K239" s="77"/>
      <c r="L239" s="7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</row>
    <row r="240" spans="1:31" ht="15.75" customHeight="1">
      <c r="A240" s="7"/>
      <c r="B240" s="90"/>
      <c r="C240" s="90"/>
      <c r="D240" s="77"/>
      <c r="E240" s="90"/>
      <c r="F240" s="90"/>
      <c r="G240" s="77"/>
      <c r="H240" s="6"/>
      <c r="I240" s="6"/>
      <c r="J240" s="77"/>
      <c r="K240" s="77"/>
      <c r="L240" s="7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</row>
    <row r="241" spans="1:31" ht="15.75" customHeight="1">
      <c r="A241" s="7"/>
      <c r="B241" s="90"/>
      <c r="C241" s="90"/>
      <c r="D241" s="77"/>
      <c r="E241" s="90"/>
      <c r="F241" s="90"/>
      <c r="G241" s="77"/>
      <c r="H241" s="6"/>
      <c r="I241" s="6"/>
      <c r="J241" s="77"/>
      <c r="K241" s="77"/>
      <c r="L241" s="7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</row>
    <row r="242" spans="1:31" ht="15.75" customHeight="1">
      <c r="A242" s="7"/>
      <c r="B242" s="90"/>
      <c r="C242" s="90"/>
      <c r="D242" s="77"/>
      <c r="E242" s="90"/>
      <c r="F242" s="90"/>
      <c r="G242" s="77"/>
      <c r="H242" s="6"/>
      <c r="I242" s="6"/>
      <c r="J242" s="77"/>
      <c r="K242" s="77"/>
      <c r="L242" s="7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</row>
    <row r="243" spans="1:31" ht="15.75" customHeight="1">
      <c r="A243" s="7"/>
      <c r="B243" s="90"/>
      <c r="C243" s="90"/>
      <c r="D243" s="77"/>
      <c r="E243" s="90"/>
      <c r="F243" s="90"/>
      <c r="G243" s="77"/>
      <c r="H243" s="6"/>
      <c r="I243" s="6"/>
      <c r="J243" s="77"/>
      <c r="K243" s="77"/>
      <c r="L243" s="7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</row>
    <row r="244" spans="1:31" ht="15.75" customHeight="1">
      <c r="A244" s="7"/>
      <c r="B244" s="90"/>
      <c r="C244" s="90"/>
      <c r="D244" s="77"/>
      <c r="E244" s="90"/>
      <c r="F244" s="90"/>
      <c r="G244" s="77"/>
      <c r="H244" s="6"/>
      <c r="I244" s="6"/>
      <c r="J244" s="77"/>
      <c r="K244" s="77"/>
      <c r="L244" s="7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</row>
    <row r="245" spans="1:31" ht="15.75" customHeight="1">
      <c r="A245" s="7"/>
      <c r="B245" s="90"/>
      <c r="C245" s="90"/>
      <c r="D245" s="77"/>
      <c r="E245" s="90"/>
      <c r="F245" s="90"/>
      <c r="G245" s="77"/>
      <c r="H245" s="6"/>
      <c r="I245" s="6"/>
      <c r="J245" s="77"/>
      <c r="K245" s="77"/>
      <c r="L245" s="7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</row>
    <row r="246" spans="1:31" ht="15.75" customHeight="1">
      <c r="A246" s="7"/>
      <c r="B246" s="90"/>
      <c r="C246" s="90"/>
      <c r="D246" s="77"/>
      <c r="E246" s="90"/>
      <c r="F246" s="90"/>
      <c r="G246" s="77"/>
      <c r="H246" s="6"/>
      <c r="I246" s="6"/>
      <c r="J246" s="77"/>
      <c r="K246" s="77"/>
      <c r="L246" s="7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</row>
    <row r="247" spans="1:31" ht="15.75" customHeight="1">
      <c r="A247" s="7"/>
      <c r="B247" s="90"/>
      <c r="C247" s="90"/>
      <c r="D247" s="77"/>
      <c r="E247" s="90"/>
      <c r="F247" s="90"/>
      <c r="G247" s="77"/>
      <c r="H247" s="6"/>
      <c r="I247" s="6"/>
      <c r="J247" s="77"/>
      <c r="K247" s="77"/>
      <c r="L247" s="7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</row>
    <row r="248" spans="1:31" ht="15.75" customHeight="1">
      <c r="A248" s="7"/>
      <c r="B248" s="90"/>
      <c r="C248" s="90"/>
      <c r="D248" s="77"/>
      <c r="E248" s="90"/>
      <c r="F248" s="90"/>
      <c r="G248" s="77"/>
      <c r="H248" s="6"/>
      <c r="I248" s="6"/>
      <c r="J248" s="77"/>
      <c r="K248" s="77"/>
      <c r="L248" s="7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</row>
    <row r="249" spans="1:31" ht="15.75" customHeight="1">
      <c r="A249" s="7"/>
      <c r="B249" s="90"/>
      <c r="C249" s="90"/>
      <c r="D249" s="77"/>
      <c r="E249" s="90"/>
      <c r="F249" s="90"/>
      <c r="G249" s="77"/>
      <c r="H249" s="6"/>
      <c r="I249" s="6"/>
      <c r="J249" s="77"/>
      <c r="K249" s="77"/>
      <c r="L249" s="7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</row>
    <row r="250" spans="1:31" ht="15.75" customHeight="1">
      <c r="A250" s="7"/>
      <c r="B250" s="90"/>
      <c r="C250" s="90"/>
      <c r="D250" s="77"/>
      <c r="E250" s="90"/>
      <c r="F250" s="90"/>
      <c r="G250" s="77"/>
      <c r="H250" s="6"/>
      <c r="I250" s="6"/>
      <c r="J250" s="77"/>
      <c r="K250" s="77"/>
      <c r="L250" s="7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</row>
    <row r="251" spans="1:31" ht="15.75" customHeight="1">
      <c r="A251" s="7"/>
      <c r="B251" s="90"/>
      <c r="C251" s="90"/>
      <c r="D251" s="77"/>
      <c r="E251" s="90"/>
      <c r="F251" s="90"/>
      <c r="G251" s="77"/>
      <c r="H251" s="6"/>
      <c r="I251" s="6"/>
      <c r="J251" s="77"/>
      <c r="K251" s="77"/>
      <c r="L251" s="7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</row>
    <row r="252" spans="1:31" ht="15.75" customHeight="1">
      <c r="A252" s="7"/>
      <c r="B252" s="90"/>
      <c r="C252" s="90"/>
      <c r="D252" s="77"/>
      <c r="E252" s="90"/>
      <c r="F252" s="90"/>
      <c r="G252" s="77"/>
      <c r="H252" s="6"/>
      <c r="I252" s="6"/>
      <c r="J252" s="77"/>
      <c r="K252" s="77"/>
      <c r="L252" s="7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</row>
    <row r="253" spans="1:31" ht="15.75" customHeight="1">
      <c r="A253" s="7"/>
      <c r="B253" s="90"/>
      <c r="C253" s="90"/>
      <c r="D253" s="77"/>
      <c r="E253" s="90"/>
      <c r="F253" s="90"/>
      <c r="G253" s="77"/>
      <c r="H253" s="6"/>
      <c r="I253" s="6"/>
      <c r="J253" s="77"/>
      <c r="K253" s="77"/>
      <c r="L253" s="7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</row>
    <row r="254" spans="1:31" ht="15.75" customHeight="1">
      <c r="A254" s="7"/>
      <c r="B254" s="90"/>
      <c r="C254" s="90"/>
      <c r="D254" s="77"/>
      <c r="E254" s="90"/>
      <c r="F254" s="90"/>
      <c r="G254" s="77"/>
      <c r="H254" s="6"/>
      <c r="I254" s="6"/>
      <c r="J254" s="77"/>
      <c r="K254" s="77"/>
      <c r="L254" s="7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</row>
    <row r="255" spans="1:31" ht="15.75" customHeight="1">
      <c r="A255" s="7"/>
      <c r="B255" s="90"/>
      <c r="C255" s="90"/>
      <c r="D255" s="77"/>
      <c r="E255" s="90"/>
      <c r="F255" s="90"/>
      <c r="G255" s="77"/>
      <c r="H255" s="6"/>
      <c r="I255" s="6"/>
      <c r="J255" s="77"/>
      <c r="K255" s="77"/>
      <c r="L255" s="7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</row>
    <row r="256" spans="1:31" ht="15.75" customHeight="1">
      <c r="A256" s="7"/>
      <c r="B256" s="90"/>
      <c r="C256" s="90"/>
      <c r="D256" s="77"/>
      <c r="E256" s="90"/>
      <c r="F256" s="90"/>
      <c r="G256" s="77"/>
      <c r="H256" s="6"/>
      <c r="I256" s="6"/>
      <c r="J256" s="77"/>
      <c r="K256" s="77"/>
      <c r="L256" s="7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</row>
    <row r="257" spans="1:31" ht="15.75" customHeight="1">
      <c r="A257" s="7"/>
      <c r="B257" s="90"/>
      <c r="C257" s="90"/>
      <c r="D257" s="77"/>
      <c r="E257" s="90"/>
      <c r="F257" s="90"/>
      <c r="G257" s="77"/>
      <c r="H257" s="6"/>
      <c r="I257" s="6"/>
      <c r="J257" s="77"/>
      <c r="K257" s="77"/>
      <c r="L257" s="7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</row>
    <row r="258" spans="1:31" ht="15.75" customHeight="1">
      <c r="A258" s="7"/>
      <c r="B258" s="90"/>
      <c r="C258" s="90"/>
      <c r="D258" s="77"/>
      <c r="E258" s="90"/>
      <c r="F258" s="90"/>
      <c r="G258" s="77"/>
      <c r="H258" s="6"/>
      <c r="I258" s="6"/>
      <c r="J258" s="77"/>
      <c r="K258" s="77"/>
      <c r="L258" s="7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</row>
    <row r="259" spans="1:31" ht="15.75" customHeight="1">
      <c r="A259" s="7"/>
      <c r="B259" s="90"/>
      <c r="C259" s="90"/>
      <c r="D259" s="77"/>
      <c r="E259" s="90"/>
      <c r="F259" s="90"/>
      <c r="G259" s="77"/>
      <c r="H259" s="6"/>
      <c r="I259" s="6"/>
      <c r="J259" s="77"/>
      <c r="K259" s="77"/>
      <c r="L259" s="7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</row>
    <row r="260" spans="1:31" ht="15.75" customHeight="1">
      <c r="A260" s="7"/>
      <c r="B260" s="90"/>
      <c r="C260" s="90"/>
      <c r="D260" s="77"/>
      <c r="E260" s="90"/>
      <c r="F260" s="90"/>
      <c r="G260" s="77"/>
      <c r="H260" s="6"/>
      <c r="I260" s="6"/>
      <c r="J260" s="77"/>
      <c r="K260" s="77"/>
      <c r="L260" s="7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</row>
    <row r="261" spans="1:31" ht="15.75" customHeight="1">
      <c r="A261" s="7"/>
      <c r="B261" s="90"/>
      <c r="C261" s="90"/>
      <c r="D261" s="77"/>
      <c r="E261" s="90"/>
      <c r="F261" s="90"/>
      <c r="G261" s="77"/>
      <c r="H261" s="6"/>
      <c r="I261" s="6"/>
      <c r="J261" s="77"/>
      <c r="K261" s="77"/>
      <c r="L261" s="7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</row>
    <row r="262" spans="1:31" ht="15.75" customHeight="1">
      <c r="A262" s="7"/>
      <c r="B262" s="90"/>
      <c r="C262" s="90"/>
      <c r="D262" s="77"/>
      <c r="E262" s="90"/>
      <c r="F262" s="90"/>
      <c r="G262" s="77"/>
      <c r="H262" s="6"/>
      <c r="I262" s="6"/>
      <c r="J262" s="77"/>
      <c r="K262" s="77"/>
      <c r="L262" s="7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</row>
    <row r="263" spans="1:31" ht="15.75" customHeight="1">
      <c r="A263" s="7"/>
      <c r="B263" s="90"/>
      <c r="C263" s="90"/>
      <c r="D263" s="77"/>
      <c r="E263" s="90"/>
      <c r="F263" s="90"/>
      <c r="G263" s="77"/>
      <c r="H263" s="6"/>
      <c r="I263" s="6"/>
      <c r="J263" s="77"/>
      <c r="K263" s="77"/>
      <c r="L263" s="7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</row>
    <row r="264" spans="1:31" ht="15.75" customHeight="1">
      <c r="A264" s="7"/>
      <c r="B264" s="90"/>
      <c r="C264" s="90"/>
      <c r="D264" s="77"/>
      <c r="E264" s="90"/>
      <c r="F264" s="90"/>
      <c r="G264" s="77"/>
      <c r="H264" s="6"/>
      <c r="I264" s="6"/>
      <c r="J264" s="77"/>
      <c r="K264" s="77"/>
      <c r="L264" s="7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</row>
    <row r="265" spans="1:31" ht="15.75" customHeight="1">
      <c r="A265" s="7"/>
      <c r="B265" s="90"/>
      <c r="C265" s="90"/>
      <c r="D265" s="77"/>
      <c r="E265" s="90"/>
      <c r="F265" s="90"/>
      <c r="G265" s="77"/>
      <c r="H265" s="6"/>
      <c r="I265" s="6"/>
      <c r="J265" s="77"/>
      <c r="K265" s="77"/>
      <c r="L265" s="7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</row>
    <row r="266" spans="1:31" ht="15.75" customHeight="1">
      <c r="A266" s="7"/>
      <c r="B266" s="90"/>
      <c r="C266" s="90"/>
      <c r="D266" s="77"/>
      <c r="E266" s="90"/>
      <c r="F266" s="90"/>
      <c r="G266" s="77"/>
      <c r="H266" s="6"/>
      <c r="I266" s="6"/>
      <c r="J266" s="77"/>
      <c r="K266" s="77"/>
      <c r="L266" s="7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</row>
    <row r="267" spans="1:31" ht="15.75" customHeight="1">
      <c r="A267" s="7"/>
      <c r="B267" s="90"/>
      <c r="C267" s="90"/>
      <c r="D267" s="77"/>
      <c r="E267" s="90"/>
      <c r="F267" s="90"/>
      <c r="G267" s="77"/>
      <c r="H267" s="6"/>
      <c r="I267" s="6"/>
      <c r="J267" s="77"/>
      <c r="K267" s="77"/>
      <c r="L267" s="7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</row>
    <row r="268" spans="1:31" ht="15.75" customHeight="1">
      <c r="A268" s="7"/>
      <c r="B268" s="90"/>
      <c r="C268" s="90"/>
      <c r="D268" s="77"/>
      <c r="E268" s="90"/>
      <c r="F268" s="90"/>
      <c r="G268" s="77"/>
      <c r="H268" s="6"/>
      <c r="I268" s="6"/>
      <c r="J268" s="77"/>
      <c r="K268" s="77"/>
      <c r="L268" s="7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</row>
    <row r="269" spans="1:31" ht="15.75" customHeight="1">
      <c r="A269" s="7"/>
      <c r="B269" s="90"/>
      <c r="C269" s="90"/>
      <c r="D269" s="77"/>
      <c r="E269" s="90"/>
      <c r="F269" s="90"/>
      <c r="G269" s="77"/>
      <c r="H269" s="6"/>
      <c r="I269" s="6"/>
      <c r="J269" s="77"/>
      <c r="K269" s="77"/>
      <c r="L269" s="7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</row>
    <row r="270" spans="1:31" ht="15.75" customHeight="1">
      <c r="A270" s="7"/>
      <c r="B270" s="90"/>
      <c r="C270" s="90"/>
      <c r="D270" s="77"/>
      <c r="E270" s="90"/>
      <c r="F270" s="90"/>
      <c r="G270" s="77"/>
      <c r="H270" s="6"/>
      <c r="I270" s="6"/>
      <c r="J270" s="77"/>
      <c r="K270" s="77"/>
      <c r="L270" s="7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</row>
    <row r="271" spans="1:31" ht="15.75" customHeight="1">
      <c r="A271" s="7"/>
      <c r="B271" s="90"/>
      <c r="C271" s="90"/>
      <c r="D271" s="77"/>
      <c r="E271" s="90"/>
      <c r="F271" s="90"/>
      <c r="G271" s="77"/>
      <c r="H271" s="6"/>
      <c r="I271" s="6"/>
      <c r="J271" s="77"/>
      <c r="K271" s="77"/>
      <c r="L271" s="7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</row>
    <row r="272" spans="1:31" ht="15.75" customHeight="1">
      <c r="A272" s="7"/>
      <c r="B272" s="90"/>
      <c r="C272" s="90"/>
      <c r="D272" s="77"/>
      <c r="E272" s="90"/>
      <c r="F272" s="90"/>
      <c r="G272" s="77"/>
      <c r="H272" s="6"/>
      <c r="I272" s="6"/>
      <c r="J272" s="77"/>
      <c r="K272" s="77"/>
      <c r="L272" s="7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</row>
    <row r="273" spans="1:31" ht="15.75" customHeight="1">
      <c r="A273" s="7"/>
      <c r="B273" s="90"/>
      <c r="C273" s="90"/>
      <c r="D273" s="77"/>
      <c r="E273" s="90"/>
      <c r="F273" s="90"/>
      <c r="G273" s="77"/>
      <c r="H273" s="6"/>
      <c r="I273" s="6"/>
      <c r="J273" s="77"/>
      <c r="K273" s="77"/>
      <c r="L273" s="7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</row>
    <row r="274" spans="1:31" ht="15.75" customHeight="1">
      <c r="A274" s="7"/>
      <c r="B274" s="90"/>
      <c r="C274" s="90"/>
      <c r="D274" s="77"/>
      <c r="E274" s="90"/>
      <c r="F274" s="90"/>
      <c r="G274" s="77"/>
      <c r="H274" s="6"/>
      <c r="I274" s="6"/>
      <c r="J274" s="77"/>
      <c r="K274" s="77"/>
      <c r="L274" s="7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</row>
    <row r="275" spans="1:31" ht="15.75" customHeight="1">
      <c r="A275" s="7"/>
      <c r="B275" s="90"/>
      <c r="C275" s="90"/>
      <c r="D275" s="77"/>
      <c r="E275" s="90"/>
      <c r="F275" s="90"/>
      <c r="G275" s="77"/>
      <c r="H275" s="6"/>
      <c r="I275" s="6"/>
      <c r="J275" s="77"/>
      <c r="K275" s="77"/>
      <c r="L275" s="7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</row>
    <row r="276" spans="1:31" ht="15.75" customHeight="1">
      <c r="A276" s="7"/>
      <c r="B276" s="90"/>
      <c r="C276" s="90"/>
      <c r="D276" s="77"/>
      <c r="E276" s="90"/>
      <c r="F276" s="90"/>
      <c r="G276" s="77"/>
      <c r="H276" s="6"/>
      <c r="I276" s="6"/>
      <c r="J276" s="77"/>
      <c r="K276" s="77"/>
      <c r="L276" s="7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</row>
    <row r="277" spans="1:31" ht="15.75" customHeight="1">
      <c r="A277" s="7"/>
      <c r="B277" s="90"/>
      <c r="C277" s="90"/>
      <c r="D277" s="77"/>
      <c r="E277" s="90"/>
      <c r="F277" s="90"/>
      <c r="G277" s="77"/>
      <c r="H277" s="6"/>
      <c r="I277" s="6"/>
      <c r="J277" s="77"/>
      <c r="K277" s="77"/>
      <c r="L277" s="7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</row>
    <row r="278" spans="1:31" ht="15.75" customHeight="1">
      <c r="A278" s="7"/>
      <c r="B278" s="90"/>
      <c r="C278" s="90"/>
      <c r="D278" s="77"/>
      <c r="E278" s="90"/>
      <c r="F278" s="90"/>
      <c r="G278" s="77"/>
      <c r="H278" s="6"/>
      <c r="I278" s="6"/>
      <c r="J278" s="77"/>
      <c r="K278" s="77"/>
      <c r="L278" s="7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</row>
    <row r="279" spans="1:31" ht="15.75" customHeight="1">
      <c r="A279" s="7"/>
      <c r="B279" s="90"/>
      <c r="C279" s="90"/>
      <c r="D279" s="77"/>
      <c r="E279" s="90"/>
      <c r="F279" s="90"/>
      <c r="G279" s="77"/>
      <c r="H279" s="6"/>
      <c r="I279" s="6"/>
      <c r="J279" s="77"/>
      <c r="K279" s="77"/>
      <c r="L279" s="7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</row>
    <row r="280" spans="1:31" ht="15.75" customHeight="1">
      <c r="A280" s="7"/>
      <c r="B280" s="90"/>
      <c r="C280" s="90"/>
      <c r="D280" s="77"/>
      <c r="E280" s="90"/>
      <c r="F280" s="90"/>
      <c r="G280" s="77"/>
      <c r="H280" s="6"/>
      <c r="I280" s="6"/>
      <c r="J280" s="77"/>
      <c r="K280" s="77"/>
      <c r="L280" s="7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</row>
    <row r="281" spans="1:31" ht="15.75" customHeight="1">
      <c r="A281" s="7"/>
      <c r="B281" s="90"/>
      <c r="C281" s="90"/>
      <c r="D281" s="77"/>
      <c r="E281" s="90"/>
      <c r="F281" s="90"/>
      <c r="G281" s="77"/>
      <c r="H281" s="6"/>
      <c r="I281" s="6"/>
      <c r="J281" s="77"/>
      <c r="K281" s="77"/>
      <c r="L281" s="7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</row>
    <row r="282" spans="1:31" ht="15.75" customHeight="1">
      <c r="A282" s="7"/>
      <c r="B282" s="90"/>
      <c r="C282" s="90"/>
      <c r="D282" s="77"/>
      <c r="E282" s="90"/>
      <c r="F282" s="90"/>
      <c r="G282" s="77"/>
      <c r="H282" s="6"/>
      <c r="I282" s="6"/>
      <c r="J282" s="77"/>
      <c r="K282" s="77"/>
      <c r="L282" s="7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</row>
    <row r="283" spans="1:31" ht="15.75" customHeight="1">
      <c r="A283" s="7"/>
      <c r="B283" s="90"/>
      <c r="C283" s="90"/>
      <c r="D283" s="77"/>
      <c r="E283" s="90"/>
      <c r="F283" s="90"/>
      <c r="G283" s="77"/>
      <c r="H283" s="6"/>
      <c r="I283" s="6"/>
      <c r="J283" s="77"/>
      <c r="K283" s="77"/>
      <c r="L283" s="7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</row>
    <row r="284" spans="1:31" ht="15.75" customHeight="1">
      <c r="A284" s="7"/>
      <c r="B284" s="90"/>
      <c r="C284" s="90"/>
      <c r="D284" s="77"/>
      <c r="E284" s="90"/>
      <c r="F284" s="90"/>
      <c r="G284" s="77"/>
      <c r="H284" s="6"/>
      <c r="I284" s="6"/>
      <c r="J284" s="77"/>
      <c r="K284" s="77"/>
      <c r="L284" s="7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</row>
    <row r="285" spans="1:31" ht="15.75" customHeight="1">
      <c r="A285" s="7"/>
      <c r="B285" s="90"/>
      <c r="C285" s="90"/>
      <c r="D285" s="77"/>
      <c r="E285" s="90"/>
      <c r="F285" s="90"/>
      <c r="G285" s="77"/>
      <c r="H285" s="6"/>
      <c r="I285" s="6"/>
      <c r="J285" s="77"/>
      <c r="K285" s="77"/>
      <c r="L285" s="7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</row>
    <row r="286" spans="1:31" ht="15.75" customHeight="1">
      <c r="A286" s="7"/>
      <c r="B286" s="90"/>
      <c r="C286" s="90"/>
      <c r="D286" s="77"/>
      <c r="E286" s="90"/>
      <c r="F286" s="90"/>
      <c r="G286" s="77"/>
      <c r="H286" s="6"/>
      <c r="I286" s="6"/>
      <c r="J286" s="77"/>
      <c r="K286" s="77"/>
      <c r="L286" s="7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</row>
    <row r="287" spans="1:31" ht="15.75" customHeight="1">
      <c r="A287" s="7"/>
      <c r="B287" s="90"/>
      <c r="C287" s="90"/>
      <c r="D287" s="77"/>
      <c r="E287" s="90"/>
      <c r="F287" s="90"/>
      <c r="G287" s="77"/>
      <c r="H287" s="6"/>
      <c r="I287" s="6"/>
      <c r="J287" s="77"/>
      <c r="K287" s="77"/>
      <c r="L287" s="7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</row>
    <row r="288" spans="1:31" ht="15.75" customHeight="1">
      <c r="A288" s="7"/>
      <c r="B288" s="90"/>
      <c r="C288" s="90"/>
      <c r="D288" s="77"/>
      <c r="E288" s="90"/>
      <c r="F288" s="90"/>
      <c r="G288" s="77"/>
      <c r="H288" s="6"/>
      <c r="I288" s="6"/>
      <c r="J288" s="77"/>
      <c r="K288" s="77"/>
      <c r="L288" s="7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</row>
    <row r="289" spans="1:31" ht="15.75" customHeight="1">
      <c r="A289" s="7"/>
      <c r="B289" s="90"/>
      <c r="C289" s="90"/>
      <c r="D289" s="77"/>
      <c r="E289" s="90"/>
      <c r="F289" s="90"/>
      <c r="G289" s="77"/>
      <c r="H289" s="6"/>
      <c r="I289" s="6"/>
      <c r="J289" s="77"/>
      <c r="K289" s="77"/>
      <c r="L289" s="7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</row>
    <row r="290" spans="1:31" ht="15.75" customHeight="1">
      <c r="A290" s="7"/>
      <c r="B290" s="90"/>
      <c r="C290" s="90"/>
      <c r="D290" s="77"/>
      <c r="E290" s="90"/>
      <c r="F290" s="90"/>
      <c r="G290" s="77"/>
      <c r="H290" s="6"/>
      <c r="I290" s="6"/>
      <c r="J290" s="77"/>
      <c r="K290" s="77"/>
      <c r="L290" s="7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</row>
    <row r="291" spans="1:31" ht="15.75" customHeight="1">
      <c r="A291" s="7"/>
      <c r="B291" s="90"/>
      <c r="C291" s="90"/>
      <c r="D291" s="77"/>
      <c r="E291" s="90"/>
      <c r="F291" s="90"/>
      <c r="G291" s="77"/>
      <c r="H291" s="6"/>
      <c r="I291" s="6"/>
      <c r="J291" s="77"/>
      <c r="K291" s="77"/>
      <c r="L291" s="7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</row>
    <row r="292" spans="1:31" ht="15.75" customHeight="1">
      <c r="A292" s="7"/>
      <c r="B292" s="90"/>
      <c r="C292" s="90"/>
      <c r="D292" s="77"/>
      <c r="E292" s="90"/>
      <c r="F292" s="90"/>
      <c r="G292" s="77"/>
      <c r="H292" s="6"/>
      <c r="I292" s="6"/>
      <c r="J292" s="77"/>
      <c r="K292" s="77"/>
      <c r="L292" s="7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</row>
    <row r="293" spans="1:31" ht="15.75" customHeight="1">
      <c r="A293" s="7"/>
      <c r="B293" s="90"/>
      <c r="C293" s="90"/>
      <c r="D293" s="77"/>
      <c r="E293" s="90"/>
      <c r="F293" s="90"/>
      <c r="G293" s="77"/>
      <c r="H293" s="6"/>
      <c r="I293" s="6"/>
      <c r="J293" s="77"/>
      <c r="K293" s="77"/>
      <c r="L293" s="7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</row>
    <row r="294" spans="1:31" ht="15.75" customHeight="1">
      <c r="A294" s="7"/>
      <c r="B294" s="90"/>
      <c r="C294" s="90"/>
      <c r="D294" s="77"/>
      <c r="E294" s="90"/>
      <c r="F294" s="90"/>
      <c r="G294" s="77"/>
      <c r="H294" s="6"/>
      <c r="I294" s="6"/>
      <c r="J294" s="77"/>
      <c r="K294" s="77"/>
      <c r="L294" s="7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</row>
    <row r="295" spans="1:31" ht="15.75" customHeight="1">
      <c r="A295" s="7"/>
      <c r="B295" s="90"/>
      <c r="C295" s="90"/>
      <c r="D295" s="77"/>
      <c r="E295" s="90"/>
      <c r="F295" s="90"/>
      <c r="G295" s="77"/>
      <c r="H295" s="6"/>
      <c r="I295" s="6"/>
      <c r="J295" s="77"/>
      <c r="K295" s="77"/>
      <c r="L295" s="7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</row>
    <row r="296" spans="1:31" ht="15.75" customHeight="1">
      <c r="A296" s="7"/>
      <c r="B296" s="90"/>
      <c r="C296" s="90"/>
      <c r="D296" s="77"/>
      <c r="E296" s="90"/>
      <c r="F296" s="90"/>
      <c r="G296" s="77"/>
      <c r="H296" s="6"/>
      <c r="I296" s="6"/>
      <c r="J296" s="77"/>
      <c r="K296" s="77"/>
      <c r="L296" s="7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</row>
    <row r="297" spans="1:31" ht="15.75" customHeight="1">
      <c r="A297" s="7"/>
      <c r="B297" s="90"/>
      <c r="C297" s="90"/>
      <c r="D297" s="77"/>
      <c r="E297" s="90"/>
      <c r="F297" s="90"/>
      <c r="G297" s="77"/>
      <c r="H297" s="6"/>
      <c r="I297" s="6"/>
      <c r="J297" s="77"/>
      <c r="K297" s="77"/>
      <c r="L297" s="7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</row>
    <row r="298" spans="1:31" ht="15.75" customHeight="1">
      <c r="A298" s="7"/>
      <c r="B298" s="90"/>
      <c r="C298" s="90"/>
      <c r="D298" s="77"/>
      <c r="E298" s="90"/>
      <c r="F298" s="90"/>
      <c r="G298" s="77"/>
      <c r="H298" s="6"/>
      <c r="I298" s="6"/>
      <c r="J298" s="77"/>
      <c r="K298" s="77"/>
      <c r="L298" s="7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</row>
    <row r="299" spans="1:31" ht="15.75" customHeight="1">
      <c r="A299" s="7"/>
      <c r="B299" s="90"/>
      <c r="C299" s="90"/>
      <c r="D299" s="77"/>
      <c r="E299" s="90"/>
      <c r="F299" s="90"/>
      <c r="G299" s="77"/>
      <c r="H299" s="6"/>
      <c r="I299" s="6"/>
      <c r="J299" s="77"/>
      <c r="K299" s="77"/>
      <c r="L299" s="7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</row>
    <row r="300" spans="1:31" ht="15.75" customHeight="1">
      <c r="A300" s="7"/>
      <c r="B300" s="90"/>
      <c r="C300" s="90"/>
      <c r="D300" s="77"/>
      <c r="E300" s="90"/>
      <c r="F300" s="90"/>
      <c r="G300" s="77"/>
      <c r="H300" s="6"/>
      <c r="I300" s="6"/>
      <c r="J300" s="77"/>
      <c r="K300" s="77"/>
      <c r="L300" s="7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</row>
    <row r="301" spans="1:31" ht="15.75" customHeight="1">
      <c r="A301" s="7"/>
      <c r="B301" s="90"/>
      <c r="C301" s="90"/>
      <c r="D301" s="77"/>
      <c r="E301" s="90"/>
      <c r="F301" s="90"/>
      <c r="G301" s="77"/>
      <c r="H301" s="6"/>
      <c r="I301" s="6"/>
      <c r="J301" s="77"/>
      <c r="K301" s="77"/>
      <c r="L301" s="7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</row>
    <row r="302" spans="1:31" ht="15.75" customHeight="1">
      <c r="A302" s="7"/>
      <c r="B302" s="90"/>
      <c r="C302" s="90"/>
      <c r="D302" s="77"/>
      <c r="E302" s="90"/>
      <c r="F302" s="90"/>
      <c r="G302" s="77"/>
      <c r="H302" s="6"/>
      <c r="I302" s="6"/>
      <c r="J302" s="77"/>
      <c r="K302" s="77"/>
      <c r="L302" s="7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</row>
    <row r="303" spans="1:31" ht="15.75" customHeight="1">
      <c r="A303" s="7"/>
      <c r="B303" s="90"/>
      <c r="C303" s="90"/>
      <c r="D303" s="77"/>
      <c r="E303" s="90"/>
      <c r="F303" s="90"/>
      <c r="G303" s="77"/>
      <c r="H303" s="6"/>
      <c r="I303" s="6"/>
      <c r="J303" s="77"/>
      <c r="K303" s="77"/>
      <c r="L303" s="7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</row>
    <row r="304" spans="1:31" ht="15.75" customHeight="1">
      <c r="A304" s="7"/>
      <c r="B304" s="90"/>
      <c r="C304" s="90"/>
      <c r="D304" s="77"/>
      <c r="E304" s="90"/>
      <c r="F304" s="90"/>
      <c r="G304" s="77"/>
      <c r="H304" s="6"/>
      <c r="I304" s="6"/>
      <c r="J304" s="77"/>
      <c r="K304" s="77"/>
      <c r="L304" s="7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</row>
    <row r="305" spans="1:31" ht="15.75" customHeight="1">
      <c r="A305" s="7"/>
      <c r="B305" s="90"/>
      <c r="C305" s="90"/>
      <c r="D305" s="77"/>
      <c r="E305" s="90"/>
      <c r="F305" s="90"/>
      <c r="G305" s="77"/>
      <c r="H305" s="6"/>
      <c r="I305" s="6"/>
      <c r="J305" s="77"/>
      <c r="K305" s="77"/>
      <c r="L305" s="7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</row>
    <row r="306" spans="1:31" ht="15.75" customHeight="1">
      <c r="A306" s="7"/>
      <c r="B306" s="90"/>
      <c r="C306" s="90"/>
      <c r="D306" s="77"/>
      <c r="E306" s="90"/>
      <c r="F306" s="90"/>
      <c r="G306" s="77"/>
      <c r="H306" s="6"/>
      <c r="I306" s="6"/>
      <c r="J306" s="77"/>
      <c r="K306" s="77"/>
      <c r="L306" s="7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</row>
    <row r="307" spans="1:31" ht="15.75" customHeight="1">
      <c r="A307" s="7"/>
      <c r="B307" s="90"/>
      <c r="C307" s="90"/>
      <c r="D307" s="77"/>
      <c r="E307" s="90"/>
      <c r="F307" s="90"/>
      <c r="G307" s="77"/>
      <c r="H307" s="6"/>
      <c r="I307" s="6"/>
      <c r="J307" s="77"/>
      <c r="K307" s="77"/>
      <c r="L307" s="7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</row>
    <row r="308" spans="1:31" ht="15.75" customHeight="1">
      <c r="A308" s="7"/>
      <c r="B308" s="90"/>
      <c r="C308" s="90"/>
      <c r="D308" s="77"/>
      <c r="E308" s="90"/>
      <c r="F308" s="90"/>
      <c r="G308" s="77"/>
      <c r="H308" s="6"/>
      <c r="I308" s="6"/>
      <c r="J308" s="77"/>
      <c r="K308" s="77"/>
      <c r="L308" s="7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</row>
    <row r="309" spans="1:31" ht="15.75" customHeight="1">
      <c r="A309" s="7"/>
      <c r="B309" s="90"/>
      <c r="C309" s="90"/>
      <c r="D309" s="77"/>
      <c r="E309" s="90"/>
      <c r="F309" s="90"/>
      <c r="G309" s="77"/>
      <c r="H309" s="6"/>
      <c r="I309" s="6"/>
      <c r="J309" s="77"/>
      <c r="K309" s="77"/>
      <c r="L309" s="7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</row>
    <row r="310" spans="1:31" ht="15.75" customHeight="1">
      <c r="A310" s="7"/>
      <c r="B310" s="90"/>
      <c r="C310" s="90"/>
      <c r="D310" s="77"/>
      <c r="E310" s="90"/>
      <c r="F310" s="90"/>
      <c r="G310" s="77"/>
      <c r="H310" s="6"/>
      <c r="I310" s="6"/>
      <c r="J310" s="77"/>
      <c r="K310" s="77"/>
      <c r="L310" s="7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</row>
    <row r="311" spans="1:31" ht="15.75" customHeight="1">
      <c r="A311" s="7"/>
      <c r="B311" s="90"/>
      <c r="C311" s="90"/>
      <c r="D311" s="77"/>
      <c r="E311" s="90"/>
      <c r="F311" s="90"/>
      <c r="G311" s="77"/>
      <c r="H311" s="6"/>
      <c r="I311" s="6"/>
      <c r="J311" s="77"/>
      <c r="K311" s="77"/>
      <c r="L311" s="7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</row>
    <row r="312" spans="1:31" ht="15.75" customHeight="1">
      <c r="A312" s="7"/>
      <c r="B312" s="90"/>
      <c r="C312" s="90"/>
      <c r="D312" s="77"/>
      <c r="E312" s="90"/>
      <c r="F312" s="90"/>
      <c r="G312" s="77"/>
      <c r="H312" s="6"/>
      <c r="I312" s="6"/>
      <c r="J312" s="77"/>
      <c r="K312" s="77"/>
      <c r="L312" s="7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</row>
    <row r="313" spans="1:31" ht="15.75" customHeight="1">
      <c r="A313" s="7"/>
      <c r="B313" s="90"/>
      <c r="C313" s="90"/>
      <c r="D313" s="77"/>
      <c r="E313" s="90"/>
      <c r="F313" s="90"/>
      <c r="G313" s="77"/>
      <c r="H313" s="6"/>
      <c r="I313" s="6"/>
      <c r="J313" s="77"/>
      <c r="K313" s="77"/>
      <c r="L313" s="7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</row>
    <row r="314" spans="1:31" ht="15.75" customHeight="1">
      <c r="A314" s="7"/>
      <c r="B314" s="90"/>
      <c r="C314" s="90"/>
      <c r="D314" s="77"/>
      <c r="E314" s="90"/>
      <c r="F314" s="90"/>
      <c r="G314" s="77"/>
      <c r="H314" s="6"/>
      <c r="I314" s="6"/>
      <c r="J314" s="77"/>
      <c r="K314" s="77"/>
      <c r="L314" s="7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</row>
    <row r="315" spans="1:31" ht="15.75" customHeight="1">
      <c r="A315" s="7"/>
      <c r="B315" s="90"/>
      <c r="C315" s="90"/>
      <c r="D315" s="77"/>
      <c r="E315" s="90"/>
      <c r="F315" s="90"/>
      <c r="G315" s="77"/>
      <c r="H315" s="6"/>
      <c r="I315" s="6"/>
      <c r="J315" s="77"/>
      <c r="K315" s="77"/>
      <c r="L315" s="7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</row>
    <row r="316" spans="1:31" ht="15.75" customHeight="1">
      <c r="A316" s="7"/>
      <c r="B316" s="90"/>
      <c r="C316" s="90"/>
      <c r="D316" s="77"/>
      <c r="E316" s="90"/>
      <c r="F316" s="90"/>
      <c r="G316" s="77"/>
      <c r="H316" s="6"/>
      <c r="I316" s="6"/>
      <c r="J316" s="77"/>
      <c r="K316" s="77"/>
      <c r="L316" s="7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</row>
    <row r="317" spans="1:31" ht="15.75" customHeight="1">
      <c r="A317" s="7"/>
      <c r="B317" s="90"/>
      <c r="C317" s="90"/>
      <c r="D317" s="77"/>
      <c r="E317" s="90"/>
      <c r="F317" s="90"/>
      <c r="G317" s="77"/>
      <c r="H317" s="6"/>
      <c r="I317" s="6"/>
      <c r="J317" s="77"/>
      <c r="K317" s="77"/>
      <c r="L317" s="7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</row>
    <row r="318" spans="1:31" ht="15.75" customHeight="1">
      <c r="A318" s="7"/>
      <c r="B318" s="90"/>
      <c r="C318" s="90"/>
      <c r="D318" s="77"/>
      <c r="E318" s="90"/>
      <c r="F318" s="90"/>
      <c r="G318" s="77"/>
      <c r="H318" s="6"/>
      <c r="I318" s="6"/>
      <c r="J318" s="77"/>
      <c r="K318" s="77"/>
      <c r="L318" s="7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</row>
    <row r="319" spans="1:31" ht="15.75" customHeight="1">
      <c r="A319" s="7"/>
      <c r="B319" s="90"/>
      <c r="C319" s="90"/>
      <c r="D319" s="77"/>
      <c r="E319" s="90"/>
      <c r="F319" s="90"/>
      <c r="G319" s="77"/>
      <c r="H319" s="6"/>
      <c r="I319" s="6"/>
      <c r="J319" s="77"/>
      <c r="K319" s="77"/>
      <c r="L319" s="7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</row>
    <row r="320" spans="1:31" ht="15.75" customHeight="1">
      <c r="A320" s="7"/>
      <c r="B320" s="90"/>
      <c r="C320" s="90"/>
      <c r="D320" s="77"/>
      <c r="E320" s="90"/>
      <c r="F320" s="90"/>
      <c r="G320" s="77"/>
      <c r="H320" s="6"/>
      <c r="I320" s="6"/>
      <c r="J320" s="77"/>
      <c r="K320" s="77"/>
      <c r="L320" s="7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</row>
    <row r="321" spans="1:31" ht="15.75" customHeight="1">
      <c r="A321" s="7"/>
      <c r="B321" s="90"/>
      <c r="C321" s="90"/>
      <c r="D321" s="77"/>
      <c r="E321" s="90"/>
      <c r="F321" s="90"/>
      <c r="G321" s="77"/>
      <c r="H321" s="6"/>
      <c r="I321" s="6"/>
      <c r="J321" s="77"/>
      <c r="K321" s="77"/>
      <c r="L321" s="7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</row>
    <row r="322" spans="1:31" ht="15.75" customHeight="1">
      <c r="A322" s="7"/>
      <c r="B322" s="90"/>
      <c r="C322" s="90"/>
      <c r="D322" s="77"/>
      <c r="E322" s="90"/>
      <c r="F322" s="90"/>
      <c r="G322" s="77"/>
      <c r="H322" s="6"/>
      <c r="I322" s="6"/>
      <c r="J322" s="77"/>
      <c r="K322" s="77"/>
      <c r="L322" s="7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</row>
    <row r="323" spans="1:31" ht="15.75" customHeight="1">
      <c r="A323" s="7"/>
      <c r="B323" s="90"/>
      <c r="C323" s="90"/>
      <c r="D323" s="77"/>
      <c r="E323" s="90"/>
      <c r="F323" s="90"/>
      <c r="G323" s="77"/>
      <c r="H323" s="6"/>
      <c r="I323" s="6"/>
      <c r="J323" s="77"/>
      <c r="K323" s="77"/>
      <c r="L323" s="7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</row>
    <row r="324" spans="1:31" ht="15.75" customHeight="1">
      <c r="A324" s="7"/>
      <c r="B324" s="90"/>
      <c r="C324" s="90"/>
      <c r="D324" s="77"/>
      <c r="E324" s="90"/>
      <c r="F324" s="90"/>
      <c r="G324" s="77"/>
      <c r="H324" s="6"/>
      <c r="I324" s="6"/>
      <c r="J324" s="77"/>
      <c r="K324" s="77"/>
      <c r="L324" s="7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</row>
    <row r="325" spans="1:31" ht="15.75" customHeight="1">
      <c r="A325" s="7"/>
      <c r="B325" s="90"/>
      <c r="C325" s="90"/>
      <c r="D325" s="77"/>
      <c r="E325" s="90"/>
      <c r="F325" s="90"/>
      <c r="G325" s="77"/>
      <c r="H325" s="6"/>
      <c r="I325" s="6"/>
      <c r="J325" s="77"/>
      <c r="K325" s="77"/>
      <c r="L325" s="7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</row>
    <row r="326" spans="1:31" ht="15.75" customHeight="1">
      <c r="A326" s="7"/>
      <c r="B326" s="90"/>
      <c r="C326" s="90"/>
      <c r="D326" s="77"/>
      <c r="E326" s="90"/>
      <c r="F326" s="90"/>
      <c r="G326" s="77"/>
      <c r="H326" s="6"/>
      <c r="I326" s="6"/>
      <c r="J326" s="77"/>
      <c r="K326" s="77"/>
      <c r="L326" s="7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</row>
    <row r="327" spans="1:31" ht="15.75" customHeight="1">
      <c r="A327" s="7"/>
      <c r="B327" s="90"/>
      <c r="C327" s="90"/>
      <c r="D327" s="77"/>
      <c r="E327" s="90"/>
      <c r="F327" s="90"/>
      <c r="G327" s="77"/>
      <c r="H327" s="6"/>
      <c r="I327" s="6"/>
      <c r="J327" s="77"/>
      <c r="K327" s="77"/>
      <c r="L327" s="7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</row>
    <row r="328" spans="1:31" ht="15.75" customHeight="1">
      <c r="A328" s="7"/>
      <c r="B328" s="90"/>
      <c r="C328" s="90"/>
      <c r="D328" s="77"/>
      <c r="E328" s="90"/>
      <c r="F328" s="90"/>
      <c r="G328" s="77"/>
      <c r="H328" s="6"/>
      <c r="I328" s="6"/>
      <c r="J328" s="77"/>
      <c r="K328" s="77"/>
      <c r="L328" s="7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</row>
    <row r="329" spans="1:31" ht="15.75" customHeight="1">
      <c r="A329" s="7"/>
      <c r="B329" s="90"/>
      <c r="C329" s="90"/>
      <c r="D329" s="77"/>
      <c r="E329" s="90"/>
      <c r="F329" s="90"/>
      <c r="G329" s="77"/>
      <c r="H329" s="6"/>
      <c r="I329" s="6"/>
      <c r="J329" s="77"/>
      <c r="K329" s="77"/>
      <c r="L329" s="7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</row>
    <row r="330" spans="1:31" ht="15.75" customHeight="1">
      <c r="A330" s="7"/>
      <c r="B330" s="90"/>
      <c r="C330" s="90"/>
      <c r="D330" s="77"/>
      <c r="E330" s="90"/>
      <c r="F330" s="90"/>
      <c r="G330" s="77"/>
      <c r="H330" s="6"/>
      <c r="I330" s="6"/>
      <c r="J330" s="77"/>
      <c r="K330" s="77"/>
      <c r="L330" s="7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</row>
    <row r="331" spans="1:31" ht="15.75" customHeight="1">
      <c r="A331" s="7"/>
      <c r="B331" s="90"/>
      <c r="C331" s="90"/>
      <c r="D331" s="77"/>
      <c r="E331" s="90"/>
      <c r="F331" s="90"/>
      <c r="G331" s="77"/>
      <c r="H331" s="6"/>
      <c r="I331" s="6"/>
      <c r="J331" s="77"/>
      <c r="K331" s="77"/>
      <c r="L331" s="7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</row>
    <row r="332" spans="1:31" ht="15.75" customHeight="1">
      <c r="A332" s="7"/>
      <c r="B332" s="90"/>
      <c r="C332" s="90"/>
      <c r="D332" s="77"/>
      <c r="E332" s="90"/>
      <c r="F332" s="90"/>
      <c r="G332" s="77"/>
      <c r="H332" s="6"/>
      <c r="I332" s="6"/>
      <c r="J332" s="77"/>
      <c r="K332" s="77"/>
      <c r="L332" s="7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</row>
    <row r="333" spans="1:31" ht="15.75" customHeight="1">
      <c r="A333" s="7"/>
      <c r="B333" s="90"/>
      <c r="C333" s="90"/>
      <c r="D333" s="77"/>
      <c r="E333" s="90"/>
      <c r="F333" s="90"/>
      <c r="G333" s="77"/>
      <c r="H333" s="6"/>
      <c r="I333" s="6"/>
      <c r="J333" s="77"/>
      <c r="K333" s="77"/>
      <c r="L333" s="7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</row>
    <row r="334" spans="1:31" ht="15.75" customHeight="1">
      <c r="A334" s="7"/>
      <c r="B334" s="90"/>
      <c r="C334" s="90"/>
      <c r="D334" s="77"/>
      <c r="E334" s="90"/>
      <c r="F334" s="90"/>
      <c r="G334" s="77"/>
      <c r="H334" s="6"/>
      <c r="I334" s="6"/>
      <c r="J334" s="77"/>
      <c r="K334" s="77"/>
      <c r="L334" s="7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</row>
    <row r="335" spans="1:31" ht="15.75" customHeight="1">
      <c r="A335" s="7"/>
      <c r="B335" s="90"/>
      <c r="C335" s="90"/>
      <c r="D335" s="77"/>
      <c r="E335" s="90"/>
      <c r="F335" s="90"/>
      <c r="G335" s="77"/>
      <c r="H335" s="6"/>
      <c r="I335" s="6"/>
      <c r="J335" s="77"/>
      <c r="K335" s="77"/>
      <c r="L335" s="7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</row>
    <row r="336" spans="1:31" ht="15.75" customHeight="1">
      <c r="A336" s="7"/>
      <c r="B336" s="90"/>
      <c r="C336" s="90"/>
      <c r="D336" s="77"/>
      <c r="E336" s="90"/>
      <c r="F336" s="90"/>
      <c r="G336" s="77"/>
      <c r="H336" s="6"/>
      <c r="I336" s="6"/>
      <c r="J336" s="77"/>
      <c r="K336" s="77"/>
      <c r="L336" s="7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</row>
    <row r="337" spans="1:31" ht="15.75" customHeight="1">
      <c r="A337" s="7"/>
      <c r="B337" s="90"/>
      <c r="C337" s="90"/>
      <c r="D337" s="77"/>
      <c r="E337" s="90"/>
      <c r="F337" s="90"/>
      <c r="G337" s="77"/>
      <c r="H337" s="6"/>
      <c r="I337" s="6"/>
      <c r="J337" s="77"/>
      <c r="K337" s="77"/>
      <c r="L337" s="7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</row>
    <row r="338" spans="1:31" ht="15.75" customHeight="1">
      <c r="A338" s="7"/>
      <c r="B338" s="90"/>
      <c r="C338" s="90"/>
      <c r="D338" s="77"/>
      <c r="E338" s="90"/>
      <c r="F338" s="90"/>
      <c r="G338" s="77"/>
      <c r="H338" s="6"/>
      <c r="I338" s="6"/>
      <c r="J338" s="77"/>
      <c r="K338" s="77"/>
      <c r="L338" s="7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</row>
    <row r="339" spans="1:31" ht="15.75" customHeight="1">
      <c r="A339" s="7"/>
      <c r="B339" s="90"/>
      <c r="C339" s="90"/>
      <c r="D339" s="77"/>
      <c r="E339" s="90"/>
      <c r="F339" s="90"/>
      <c r="G339" s="77"/>
      <c r="H339" s="6"/>
      <c r="I339" s="6"/>
      <c r="J339" s="77"/>
      <c r="K339" s="77"/>
      <c r="L339" s="7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</row>
    <row r="340" spans="1:31" ht="15.75" customHeight="1">
      <c r="A340" s="7"/>
      <c r="B340" s="90"/>
      <c r="C340" s="90"/>
      <c r="D340" s="77"/>
      <c r="E340" s="90"/>
      <c r="F340" s="90"/>
      <c r="G340" s="77"/>
      <c r="H340" s="6"/>
      <c r="I340" s="6"/>
      <c r="J340" s="77"/>
      <c r="K340" s="77"/>
      <c r="L340" s="7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</row>
    <row r="341" spans="1:31" ht="15.75" customHeight="1">
      <c r="A341" s="7"/>
      <c r="B341" s="90"/>
      <c r="C341" s="90"/>
      <c r="D341" s="77"/>
      <c r="E341" s="90"/>
      <c r="F341" s="90"/>
      <c r="G341" s="77"/>
      <c r="H341" s="6"/>
      <c r="I341" s="6"/>
      <c r="J341" s="77"/>
      <c r="K341" s="77"/>
      <c r="L341" s="7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</row>
    <row r="342" spans="1:31" ht="15.75" customHeight="1">
      <c r="A342" s="7"/>
      <c r="B342" s="90"/>
      <c r="C342" s="90"/>
      <c r="D342" s="77"/>
      <c r="E342" s="90"/>
      <c r="F342" s="90"/>
      <c r="G342" s="77"/>
      <c r="H342" s="6"/>
      <c r="I342" s="6"/>
      <c r="J342" s="77"/>
      <c r="K342" s="77"/>
      <c r="L342" s="7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</row>
    <row r="343" spans="1:31" ht="15.75" customHeight="1">
      <c r="A343" s="7"/>
      <c r="B343" s="90"/>
      <c r="C343" s="90"/>
      <c r="D343" s="77"/>
      <c r="E343" s="90"/>
      <c r="F343" s="90"/>
      <c r="G343" s="77"/>
      <c r="H343" s="6"/>
      <c r="I343" s="6"/>
      <c r="J343" s="77"/>
      <c r="K343" s="77"/>
      <c r="L343" s="7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</row>
    <row r="344" spans="1:31" ht="15.75" customHeight="1">
      <c r="A344" s="7"/>
      <c r="B344" s="90"/>
      <c r="C344" s="90"/>
      <c r="D344" s="77"/>
      <c r="E344" s="90"/>
      <c r="F344" s="90"/>
      <c r="G344" s="77"/>
      <c r="H344" s="6"/>
      <c r="I344" s="6"/>
      <c r="J344" s="77"/>
      <c r="K344" s="77"/>
      <c r="L344" s="7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</row>
    <row r="345" spans="1:31" ht="15.75" customHeight="1">
      <c r="A345" s="7"/>
      <c r="B345" s="90"/>
      <c r="C345" s="90"/>
      <c r="D345" s="77"/>
      <c r="E345" s="90"/>
      <c r="F345" s="90"/>
      <c r="G345" s="77"/>
      <c r="H345" s="6"/>
      <c r="I345" s="6"/>
      <c r="J345" s="77"/>
      <c r="K345" s="77"/>
      <c r="L345" s="7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</row>
    <row r="346" spans="1:31" ht="15.75" customHeight="1">
      <c r="A346" s="7"/>
      <c r="B346" s="90"/>
      <c r="C346" s="90"/>
      <c r="D346" s="77"/>
      <c r="E346" s="90"/>
      <c r="F346" s="90"/>
      <c r="G346" s="77"/>
      <c r="H346" s="6"/>
      <c r="I346" s="6"/>
      <c r="J346" s="77"/>
      <c r="K346" s="77"/>
      <c r="L346" s="7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</row>
    <row r="347" spans="1:31" ht="15.75" customHeight="1">
      <c r="A347" s="7"/>
      <c r="B347" s="90"/>
      <c r="C347" s="90"/>
      <c r="D347" s="77"/>
      <c r="E347" s="90"/>
      <c r="F347" s="90"/>
      <c r="G347" s="77"/>
      <c r="H347" s="6"/>
      <c r="I347" s="6"/>
      <c r="J347" s="77"/>
      <c r="K347" s="77"/>
      <c r="L347" s="7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</row>
    <row r="348" spans="1:31" ht="15.75" customHeight="1">
      <c r="A348" s="7"/>
      <c r="B348" s="90"/>
      <c r="C348" s="90"/>
      <c r="D348" s="77"/>
      <c r="E348" s="90"/>
      <c r="F348" s="90"/>
      <c r="G348" s="77"/>
      <c r="H348" s="6"/>
      <c r="I348" s="6"/>
      <c r="J348" s="77"/>
      <c r="K348" s="77"/>
      <c r="L348" s="7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</row>
    <row r="349" spans="1:31" ht="15.75" customHeight="1">
      <c r="A349" s="7"/>
      <c r="B349" s="90"/>
      <c r="C349" s="90"/>
      <c r="D349" s="77"/>
      <c r="E349" s="90"/>
      <c r="F349" s="90"/>
      <c r="G349" s="77"/>
      <c r="H349" s="6"/>
      <c r="I349" s="6"/>
      <c r="J349" s="77"/>
      <c r="K349" s="77"/>
      <c r="L349" s="7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</row>
    <row r="350" spans="1:31" ht="15.75" customHeight="1">
      <c r="A350" s="7"/>
      <c r="B350" s="90"/>
      <c r="C350" s="90"/>
      <c r="D350" s="77"/>
      <c r="E350" s="90"/>
      <c r="F350" s="90"/>
      <c r="G350" s="77"/>
      <c r="H350" s="6"/>
      <c r="I350" s="6"/>
      <c r="J350" s="77"/>
      <c r="K350" s="77"/>
      <c r="L350" s="7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</row>
    <row r="351" spans="1:31" ht="15.75" customHeight="1">
      <c r="A351" s="7"/>
      <c r="B351" s="90"/>
      <c r="C351" s="90"/>
      <c r="D351" s="77"/>
      <c r="E351" s="90"/>
      <c r="F351" s="90"/>
      <c r="G351" s="77"/>
      <c r="H351" s="6"/>
      <c r="I351" s="6"/>
      <c r="J351" s="77"/>
      <c r="K351" s="77"/>
      <c r="L351" s="7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</row>
    <row r="352" spans="1:31" ht="15.75" customHeight="1">
      <c r="A352" s="7"/>
      <c r="B352" s="90"/>
      <c r="C352" s="90"/>
      <c r="D352" s="77"/>
      <c r="E352" s="90"/>
      <c r="F352" s="90"/>
      <c r="G352" s="77"/>
      <c r="H352" s="6"/>
      <c r="I352" s="6"/>
      <c r="J352" s="77"/>
      <c r="K352" s="77"/>
      <c r="L352" s="7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</row>
    <row r="353" spans="1:31" ht="15.75" customHeight="1">
      <c r="A353" s="7"/>
      <c r="B353" s="90"/>
      <c r="C353" s="90"/>
      <c r="D353" s="77"/>
      <c r="E353" s="90"/>
      <c r="F353" s="90"/>
      <c r="G353" s="77"/>
      <c r="H353" s="6"/>
      <c r="I353" s="6"/>
      <c r="J353" s="77"/>
      <c r="K353" s="77"/>
      <c r="L353" s="7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</row>
    <row r="354" spans="1:31" ht="15.75" customHeight="1">
      <c r="A354" s="7"/>
      <c r="B354" s="90"/>
      <c r="C354" s="90"/>
      <c r="D354" s="77"/>
      <c r="E354" s="90"/>
      <c r="F354" s="90"/>
      <c r="G354" s="77"/>
      <c r="H354" s="6"/>
      <c r="I354" s="6"/>
      <c r="J354" s="77"/>
      <c r="K354" s="77"/>
      <c r="L354" s="7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</row>
    <row r="355" spans="1:31" ht="15.75" customHeight="1">
      <c r="A355" s="7"/>
      <c r="B355" s="90"/>
      <c r="C355" s="90"/>
      <c r="D355" s="77"/>
      <c r="E355" s="90"/>
      <c r="F355" s="90"/>
      <c r="G355" s="77"/>
      <c r="H355" s="6"/>
      <c r="I355" s="6"/>
      <c r="J355" s="77"/>
      <c r="K355" s="77"/>
      <c r="L355" s="7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</row>
    <row r="356" spans="1:31" ht="15.75" customHeight="1">
      <c r="A356" s="7"/>
      <c r="B356" s="90"/>
      <c r="C356" s="90"/>
      <c r="D356" s="77"/>
      <c r="E356" s="90"/>
      <c r="F356" s="90"/>
      <c r="G356" s="77"/>
      <c r="H356" s="6"/>
      <c r="I356" s="6"/>
      <c r="J356" s="77"/>
      <c r="K356" s="77"/>
      <c r="L356" s="7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</row>
    <row r="357" spans="1:31" ht="15.75" customHeight="1">
      <c r="A357" s="7"/>
      <c r="B357" s="90"/>
      <c r="C357" s="90"/>
      <c r="D357" s="77"/>
      <c r="E357" s="90"/>
      <c r="F357" s="90"/>
      <c r="G357" s="77"/>
      <c r="H357" s="6"/>
      <c r="I357" s="6"/>
      <c r="J357" s="77"/>
      <c r="K357" s="77"/>
      <c r="L357" s="7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</row>
    <row r="358" spans="1:31" ht="15.75" customHeight="1">
      <c r="A358" s="7"/>
      <c r="B358" s="90"/>
      <c r="C358" s="90"/>
      <c r="D358" s="77"/>
      <c r="E358" s="90"/>
      <c r="F358" s="90"/>
      <c r="G358" s="77"/>
      <c r="H358" s="6"/>
      <c r="I358" s="6"/>
      <c r="J358" s="77"/>
      <c r="K358" s="77"/>
      <c r="L358" s="7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</row>
    <row r="359" spans="1:31" ht="15.75" customHeight="1">
      <c r="A359" s="7"/>
      <c r="B359" s="90"/>
      <c r="C359" s="90"/>
      <c r="D359" s="77"/>
      <c r="E359" s="90"/>
      <c r="F359" s="90"/>
      <c r="G359" s="77"/>
      <c r="H359" s="6"/>
      <c r="I359" s="6"/>
      <c r="J359" s="77"/>
      <c r="K359" s="77"/>
      <c r="L359" s="7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</row>
    <row r="360" spans="1:31" ht="15.75" customHeight="1">
      <c r="A360" s="7"/>
      <c r="B360" s="90"/>
      <c r="C360" s="90"/>
      <c r="D360" s="77"/>
      <c r="E360" s="90"/>
      <c r="F360" s="90"/>
      <c r="G360" s="77"/>
      <c r="H360" s="6"/>
      <c r="I360" s="6"/>
      <c r="J360" s="77"/>
      <c r="K360" s="77"/>
      <c r="L360" s="7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</row>
    <row r="361" spans="1:31" ht="15.75" customHeight="1">
      <c r="A361" s="7"/>
      <c r="B361" s="90"/>
      <c r="C361" s="90"/>
      <c r="D361" s="77"/>
      <c r="E361" s="90"/>
      <c r="F361" s="90"/>
      <c r="G361" s="77"/>
      <c r="H361" s="6"/>
      <c r="I361" s="6"/>
      <c r="J361" s="77"/>
      <c r="K361" s="77"/>
      <c r="L361" s="7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</row>
    <row r="362" spans="1:31" ht="15.75" customHeight="1">
      <c r="A362" s="7"/>
      <c r="B362" s="90"/>
      <c r="C362" s="90"/>
      <c r="D362" s="77"/>
      <c r="E362" s="90"/>
      <c r="F362" s="90"/>
      <c r="G362" s="77"/>
      <c r="H362" s="6"/>
      <c r="I362" s="6"/>
      <c r="J362" s="77"/>
      <c r="K362" s="77"/>
      <c r="L362" s="7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</row>
    <row r="363" spans="1:31" ht="15.75" customHeight="1">
      <c r="A363" s="7"/>
      <c r="B363" s="90"/>
      <c r="C363" s="90"/>
      <c r="D363" s="77"/>
      <c r="E363" s="90"/>
      <c r="F363" s="90"/>
      <c r="G363" s="77"/>
      <c r="H363" s="6"/>
      <c r="I363" s="6"/>
      <c r="J363" s="77"/>
      <c r="K363" s="77"/>
      <c r="L363" s="7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</row>
    <row r="364" spans="1:31" ht="15.75" customHeight="1">
      <c r="A364" s="7"/>
      <c r="B364" s="90"/>
      <c r="C364" s="90"/>
      <c r="D364" s="77"/>
      <c r="E364" s="90"/>
      <c r="F364" s="90"/>
      <c r="G364" s="77"/>
      <c r="H364" s="6"/>
      <c r="I364" s="6"/>
      <c r="J364" s="77"/>
      <c r="K364" s="77"/>
      <c r="L364" s="7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</row>
    <row r="365" spans="1:31" ht="15.75" customHeight="1">
      <c r="A365" s="7"/>
      <c r="B365" s="90"/>
      <c r="C365" s="90"/>
      <c r="D365" s="77"/>
      <c r="E365" s="90"/>
      <c r="F365" s="90"/>
      <c r="G365" s="77"/>
      <c r="H365" s="6"/>
      <c r="I365" s="6"/>
      <c r="J365" s="77"/>
      <c r="K365" s="77"/>
      <c r="L365" s="7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</row>
    <row r="366" spans="1:31" ht="15.75" customHeight="1">
      <c r="A366" s="7"/>
      <c r="B366" s="90"/>
      <c r="C366" s="90"/>
      <c r="D366" s="77"/>
      <c r="E366" s="90"/>
      <c r="F366" s="90"/>
      <c r="G366" s="77"/>
      <c r="H366" s="6"/>
      <c r="I366" s="6"/>
      <c r="J366" s="77"/>
      <c r="K366" s="77"/>
      <c r="L366" s="7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</row>
    <row r="367" spans="1:31" ht="15.75" customHeight="1">
      <c r="A367" s="7"/>
      <c r="B367" s="90"/>
      <c r="C367" s="90"/>
      <c r="D367" s="77"/>
      <c r="E367" s="90"/>
      <c r="F367" s="90"/>
      <c r="G367" s="77"/>
      <c r="H367" s="6"/>
      <c r="I367" s="6"/>
      <c r="J367" s="77"/>
      <c r="K367" s="77"/>
      <c r="L367" s="7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</row>
    <row r="368" spans="1:31" ht="15.75" customHeight="1">
      <c r="A368" s="7"/>
      <c r="B368" s="90"/>
      <c r="C368" s="90"/>
      <c r="D368" s="77"/>
      <c r="E368" s="90"/>
      <c r="F368" s="90"/>
      <c r="G368" s="77"/>
      <c r="H368" s="6"/>
      <c r="I368" s="6"/>
      <c r="J368" s="77"/>
      <c r="K368" s="77"/>
      <c r="L368" s="7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</row>
    <row r="369" spans="1:31" ht="15.75" customHeight="1">
      <c r="A369" s="7"/>
      <c r="B369" s="90"/>
      <c r="C369" s="90"/>
      <c r="D369" s="77"/>
      <c r="E369" s="90"/>
      <c r="F369" s="90"/>
      <c r="G369" s="77"/>
      <c r="H369" s="6"/>
      <c r="I369" s="6"/>
      <c r="J369" s="77"/>
      <c r="K369" s="77"/>
      <c r="L369" s="7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</row>
    <row r="370" spans="1:31" ht="15.75" customHeight="1">
      <c r="A370" s="7"/>
      <c r="B370" s="90"/>
      <c r="C370" s="90"/>
      <c r="D370" s="77"/>
      <c r="E370" s="90"/>
      <c r="F370" s="90"/>
      <c r="G370" s="77"/>
      <c r="H370" s="6"/>
      <c r="I370" s="6"/>
      <c r="J370" s="77"/>
      <c r="K370" s="77"/>
      <c r="L370" s="7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</row>
    <row r="371" spans="1:31" ht="15.75" customHeight="1">
      <c r="A371" s="7"/>
      <c r="B371" s="90"/>
      <c r="C371" s="90"/>
      <c r="D371" s="77"/>
      <c r="E371" s="90"/>
      <c r="F371" s="90"/>
      <c r="G371" s="77"/>
      <c r="H371" s="6"/>
      <c r="I371" s="6"/>
      <c r="J371" s="77"/>
      <c r="K371" s="77"/>
      <c r="L371" s="7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</row>
    <row r="372" spans="1:31" ht="15.75" customHeight="1">
      <c r="A372" s="7"/>
      <c r="B372" s="90"/>
      <c r="C372" s="90"/>
      <c r="D372" s="77"/>
      <c r="E372" s="90"/>
      <c r="F372" s="90"/>
      <c r="G372" s="77"/>
      <c r="H372" s="6"/>
      <c r="I372" s="6"/>
      <c r="J372" s="77"/>
      <c r="K372" s="77"/>
      <c r="L372" s="7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</row>
    <row r="373" spans="1:31" ht="15.75" customHeight="1">
      <c r="A373" s="7"/>
      <c r="B373" s="90"/>
      <c r="C373" s="90"/>
      <c r="D373" s="77"/>
      <c r="E373" s="90"/>
      <c r="F373" s="90"/>
      <c r="G373" s="77"/>
      <c r="H373" s="6"/>
      <c r="I373" s="6"/>
      <c r="J373" s="77"/>
      <c r="K373" s="77"/>
      <c r="L373" s="7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</row>
    <row r="374" spans="1:31" ht="15.75" customHeight="1">
      <c r="A374" s="7"/>
      <c r="B374" s="90"/>
      <c r="C374" s="90"/>
      <c r="D374" s="77"/>
      <c r="E374" s="90"/>
      <c r="F374" s="90"/>
      <c r="G374" s="77"/>
      <c r="H374" s="6"/>
      <c r="I374" s="6"/>
      <c r="J374" s="77"/>
      <c r="K374" s="77"/>
      <c r="L374" s="7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</row>
    <row r="375" spans="1:31" ht="15.75" customHeight="1">
      <c r="A375" s="7"/>
      <c r="B375" s="90"/>
      <c r="C375" s="90"/>
      <c r="D375" s="77"/>
      <c r="E375" s="90"/>
      <c r="F375" s="90"/>
      <c r="G375" s="77"/>
      <c r="H375" s="6"/>
      <c r="I375" s="6"/>
      <c r="J375" s="77"/>
      <c r="K375" s="77"/>
      <c r="L375" s="7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</row>
    <row r="376" spans="1:31" ht="15.75" customHeight="1">
      <c r="A376" s="7"/>
      <c r="B376" s="90"/>
      <c r="C376" s="90"/>
      <c r="D376" s="77"/>
      <c r="E376" s="90"/>
      <c r="F376" s="90"/>
      <c r="G376" s="77"/>
      <c r="H376" s="6"/>
      <c r="I376" s="6"/>
      <c r="J376" s="77"/>
      <c r="K376" s="77"/>
      <c r="L376" s="7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</row>
    <row r="377" spans="1:31" ht="15.75" customHeight="1">
      <c r="A377" s="7"/>
      <c r="B377" s="90"/>
      <c r="C377" s="90"/>
      <c r="D377" s="77"/>
      <c r="E377" s="90"/>
      <c r="F377" s="90"/>
      <c r="G377" s="77"/>
      <c r="H377" s="6"/>
      <c r="I377" s="6"/>
      <c r="J377" s="77"/>
      <c r="K377" s="77"/>
      <c r="L377" s="7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</row>
    <row r="378" spans="1:31" ht="15.75" customHeight="1">
      <c r="A378" s="7"/>
      <c r="B378" s="90"/>
      <c r="C378" s="90"/>
      <c r="D378" s="77"/>
      <c r="E378" s="90"/>
      <c r="F378" s="90"/>
      <c r="G378" s="77"/>
      <c r="H378" s="6"/>
      <c r="I378" s="6"/>
      <c r="J378" s="77"/>
      <c r="K378" s="77"/>
      <c r="L378" s="7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</row>
    <row r="379" spans="1:31" ht="15.75" customHeight="1">
      <c r="A379" s="7"/>
      <c r="B379" s="90"/>
      <c r="C379" s="90"/>
      <c r="D379" s="77"/>
      <c r="E379" s="90"/>
      <c r="F379" s="90"/>
      <c r="G379" s="77"/>
      <c r="H379" s="6"/>
      <c r="I379" s="6"/>
      <c r="J379" s="77"/>
      <c r="K379" s="77"/>
      <c r="L379" s="7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</row>
    <row r="380" spans="1:31" ht="15.75" customHeight="1">
      <c r="A380" s="7"/>
      <c r="B380" s="90"/>
      <c r="C380" s="90"/>
      <c r="D380" s="77"/>
      <c r="E380" s="90"/>
      <c r="F380" s="90"/>
      <c r="G380" s="77"/>
      <c r="H380" s="6"/>
      <c r="I380" s="6"/>
      <c r="J380" s="77"/>
      <c r="K380" s="77"/>
      <c r="L380" s="7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</row>
    <row r="381" spans="1:31" ht="15.75" customHeight="1">
      <c r="A381" s="7"/>
      <c r="B381" s="90"/>
      <c r="C381" s="90"/>
      <c r="D381" s="77"/>
      <c r="E381" s="90"/>
      <c r="F381" s="90"/>
      <c r="G381" s="77"/>
      <c r="H381" s="6"/>
      <c r="I381" s="6"/>
      <c r="J381" s="77"/>
      <c r="K381" s="77"/>
      <c r="L381" s="7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</row>
    <row r="382" spans="1:31" ht="15.75" customHeight="1">
      <c r="A382" s="7"/>
      <c r="B382" s="90"/>
      <c r="C382" s="90"/>
      <c r="D382" s="77"/>
      <c r="E382" s="90"/>
      <c r="F382" s="90"/>
      <c r="G382" s="77"/>
      <c r="H382" s="6"/>
      <c r="I382" s="6"/>
      <c r="J382" s="77"/>
      <c r="K382" s="77"/>
      <c r="L382" s="7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</row>
    <row r="383" spans="1:31" ht="15.75" customHeight="1">
      <c r="A383" s="7"/>
      <c r="B383" s="90"/>
      <c r="C383" s="90"/>
      <c r="D383" s="77"/>
      <c r="E383" s="90"/>
      <c r="F383" s="90"/>
      <c r="G383" s="77"/>
      <c r="H383" s="6"/>
      <c r="I383" s="6"/>
      <c r="J383" s="77"/>
      <c r="K383" s="77"/>
      <c r="L383" s="7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</row>
    <row r="384" spans="1:31" ht="15.75" customHeight="1">
      <c r="A384" s="7"/>
      <c r="B384" s="90"/>
      <c r="C384" s="90"/>
      <c r="D384" s="77"/>
      <c r="E384" s="90"/>
      <c r="F384" s="90"/>
      <c r="G384" s="77"/>
      <c r="H384" s="6"/>
      <c r="I384" s="6"/>
      <c r="J384" s="77"/>
      <c r="K384" s="77"/>
      <c r="L384" s="7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</row>
    <row r="385" spans="1:31" ht="15.75" customHeight="1">
      <c r="A385" s="7"/>
      <c r="B385" s="90"/>
      <c r="C385" s="90"/>
      <c r="D385" s="77"/>
      <c r="E385" s="90"/>
      <c r="F385" s="90"/>
      <c r="G385" s="77"/>
      <c r="H385" s="6"/>
      <c r="I385" s="6"/>
      <c r="J385" s="77"/>
      <c r="K385" s="77"/>
      <c r="L385" s="7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</row>
    <row r="386" spans="1:31" ht="15.75" customHeight="1">
      <c r="A386" s="7"/>
      <c r="B386" s="90"/>
      <c r="C386" s="90"/>
      <c r="D386" s="77"/>
      <c r="E386" s="90"/>
      <c r="F386" s="90"/>
      <c r="G386" s="77"/>
      <c r="H386" s="6"/>
      <c r="I386" s="6"/>
      <c r="J386" s="77"/>
      <c r="K386" s="77"/>
      <c r="L386" s="7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</row>
    <row r="387" spans="1:31" ht="15.75" customHeight="1">
      <c r="A387" s="7"/>
      <c r="B387" s="90"/>
      <c r="C387" s="90"/>
      <c r="D387" s="77"/>
      <c r="E387" s="90"/>
      <c r="F387" s="90"/>
      <c r="G387" s="77"/>
      <c r="H387" s="6"/>
      <c r="I387" s="6"/>
      <c r="J387" s="77"/>
      <c r="K387" s="77"/>
      <c r="L387" s="7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</row>
    <row r="388" spans="1:31" ht="15.75" customHeight="1">
      <c r="A388" s="7"/>
      <c r="B388" s="90"/>
      <c r="C388" s="90"/>
      <c r="D388" s="77"/>
      <c r="E388" s="90"/>
      <c r="F388" s="90"/>
      <c r="G388" s="77"/>
      <c r="H388" s="6"/>
      <c r="I388" s="6"/>
      <c r="J388" s="77"/>
      <c r="K388" s="77"/>
      <c r="L388" s="7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</row>
    <row r="389" spans="1:31" ht="15.75" customHeight="1">
      <c r="A389" s="7"/>
      <c r="B389" s="90"/>
      <c r="C389" s="90"/>
      <c r="D389" s="77"/>
      <c r="E389" s="90"/>
      <c r="F389" s="90"/>
      <c r="G389" s="77"/>
      <c r="H389" s="6"/>
      <c r="I389" s="6"/>
      <c r="J389" s="77"/>
      <c r="K389" s="77"/>
      <c r="L389" s="7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</row>
    <row r="390" spans="1:31" ht="15.75" customHeight="1">
      <c r="A390" s="7"/>
      <c r="B390" s="90"/>
      <c r="C390" s="90"/>
      <c r="D390" s="77"/>
      <c r="E390" s="90"/>
      <c r="F390" s="90"/>
      <c r="G390" s="77"/>
      <c r="H390" s="6"/>
      <c r="I390" s="6"/>
      <c r="J390" s="77"/>
      <c r="K390" s="77"/>
      <c r="L390" s="7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</row>
    <row r="391" spans="1:31" ht="15.75" customHeight="1">
      <c r="A391" s="7"/>
      <c r="B391" s="90"/>
      <c r="C391" s="90"/>
      <c r="D391" s="77"/>
      <c r="E391" s="90"/>
      <c r="F391" s="90"/>
      <c r="G391" s="77"/>
      <c r="H391" s="6"/>
      <c r="I391" s="6"/>
      <c r="J391" s="77"/>
      <c r="K391" s="77"/>
      <c r="L391" s="7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</row>
    <row r="392" spans="1:31" ht="15.75" customHeight="1">
      <c r="A392" s="7"/>
      <c r="B392" s="90"/>
      <c r="C392" s="90"/>
      <c r="D392" s="77"/>
      <c r="E392" s="90"/>
      <c r="F392" s="90"/>
      <c r="G392" s="77"/>
      <c r="H392" s="6"/>
      <c r="I392" s="6"/>
      <c r="J392" s="77"/>
      <c r="K392" s="77"/>
      <c r="L392" s="7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</row>
    <row r="393" spans="1:31" ht="15.75" customHeight="1">
      <c r="A393" s="7"/>
      <c r="B393" s="90"/>
      <c r="C393" s="90"/>
      <c r="D393" s="77"/>
      <c r="E393" s="90"/>
      <c r="F393" s="90"/>
      <c r="G393" s="77"/>
      <c r="H393" s="6"/>
      <c r="I393" s="6"/>
      <c r="J393" s="77"/>
      <c r="K393" s="77"/>
      <c r="L393" s="7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</row>
    <row r="394" spans="1:31" ht="15.75" customHeight="1">
      <c r="A394" s="7"/>
      <c r="B394" s="90"/>
      <c r="C394" s="90"/>
      <c r="D394" s="77"/>
      <c r="E394" s="90"/>
      <c r="F394" s="90"/>
      <c r="G394" s="77"/>
      <c r="H394" s="6"/>
      <c r="I394" s="6"/>
      <c r="J394" s="77"/>
      <c r="K394" s="77"/>
      <c r="L394" s="7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</row>
    <row r="395" spans="1:31" ht="15.75" customHeight="1">
      <c r="A395" s="7"/>
      <c r="B395" s="90"/>
      <c r="C395" s="90"/>
      <c r="D395" s="77"/>
      <c r="E395" s="90"/>
      <c r="F395" s="90"/>
      <c r="G395" s="77"/>
      <c r="H395" s="6"/>
      <c r="I395" s="6"/>
      <c r="J395" s="77"/>
      <c r="K395" s="77"/>
      <c r="L395" s="7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</row>
    <row r="396" spans="1:31" ht="15.75" customHeight="1">
      <c r="A396" s="7"/>
      <c r="B396" s="90"/>
      <c r="C396" s="90"/>
      <c r="D396" s="77"/>
      <c r="E396" s="90"/>
      <c r="F396" s="90"/>
      <c r="G396" s="77"/>
      <c r="H396" s="6"/>
      <c r="I396" s="6"/>
      <c r="J396" s="77"/>
      <c r="K396" s="77"/>
      <c r="L396" s="7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</row>
    <row r="397" spans="1:31" ht="15.75" customHeight="1">
      <c r="A397" s="7"/>
      <c r="B397" s="90"/>
      <c r="C397" s="90"/>
      <c r="D397" s="77"/>
      <c r="E397" s="90"/>
      <c r="F397" s="90"/>
      <c r="G397" s="77"/>
      <c r="H397" s="6"/>
      <c r="I397" s="6"/>
      <c r="J397" s="77"/>
      <c r="K397" s="77"/>
      <c r="L397" s="7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</row>
    <row r="398" spans="1:31" ht="15.75" customHeight="1">
      <c r="A398" s="7"/>
      <c r="B398" s="90"/>
      <c r="C398" s="90"/>
      <c r="D398" s="77"/>
      <c r="E398" s="90"/>
      <c r="F398" s="90"/>
      <c r="G398" s="77"/>
      <c r="H398" s="6"/>
      <c r="I398" s="6"/>
      <c r="J398" s="77"/>
      <c r="K398" s="77"/>
      <c r="L398" s="7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</row>
    <row r="399" spans="1:31" ht="15.75" customHeight="1">
      <c r="A399" s="7"/>
      <c r="B399" s="90"/>
      <c r="C399" s="90"/>
      <c r="D399" s="77"/>
      <c r="E399" s="90"/>
      <c r="F399" s="90"/>
      <c r="G399" s="77"/>
      <c r="H399" s="6"/>
      <c r="I399" s="6"/>
      <c r="J399" s="77"/>
      <c r="K399" s="77"/>
      <c r="L399" s="7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</row>
    <row r="400" spans="1:31" ht="15.75" customHeight="1">
      <c r="A400" s="7"/>
      <c r="B400" s="90"/>
      <c r="C400" s="90"/>
      <c r="D400" s="77"/>
      <c r="E400" s="90"/>
      <c r="F400" s="90"/>
      <c r="G400" s="77"/>
      <c r="H400" s="6"/>
      <c r="I400" s="6"/>
      <c r="J400" s="77"/>
      <c r="K400" s="77"/>
      <c r="L400" s="7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</row>
    <row r="401" spans="1:31" ht="15.75" customHeight="1">
      <c r="A401" s="7"/>
      <c r="B401" s="90"/>
      <c r="C401" s="90"/>
      <c r="D401" s="77"/>
      <c r="E401" s="90"/>
      <c r="F401" s="90"/>
      <c r="G401" s="77"/>
      <c r="H401" s="6"/>
      <c r="I401" s="6"/>
      <c r="J401" s="77"/>
      <c r="K401" s="77"/>
      <c r="L401" s="7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</row>
    <row r="402" spans="1:31" ht="15.75" customHeight="1">
      <c r="A402" s="7"/>
      <c r="B402" s="90"/>
      <c r="C402" s="90"/>
      <c r="D402" s="77"/>
      <c r="E402" s="90"/>
      <c r="F402" s="90"/>
      <c r="G402" s="77"/>
      <c r="H402" s="6"/>
      <c r="I402" s="6"/>
      <c r="J402" s="77"/>
      <c r="K402" s="77"/>
      <c r="L402" s="7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</row>
    <row r="403" spans="1:31" ht="15.75" customHeight="1">
      <c r="A403" s="7"/>
      <c r="B403" s="90"/>
      <c r="C403" s="90"/>
      <c r="D403" s="77"/>
      <c r="E403" s="90"/>
      <c r="F403" s="90"/>
      <c r="G403" s="77"/>
      <c r="H403" s="6"/>
      <c r="I403" s="6"/>
      <c r="J403" s="77"/>
      <c r="K403" s="77"/>
      <c r="L403" s="7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</row>
    <row r="404" spans="1:31" ht="15.75" customHeight="1">
      <c r="A404" s="7"/>
      <c r="B404" s="90"/>
      <c r="C404" s="90"/>
      <c r="D404" s="77"/>
      <c r="E404" s="90"/>
      <c r="F404" s="90"/>
      <c r="G404" s="77"/>
      <c r="H404" s="6"/>
      <c r="I404" s="6"/>
      <c r="J404" s="77"/>
      <c r="K404" s="77"/>
      <c r="L404" s="7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</row>
    <row r="405" spans="1:31" ht="15.75" customHeight="1">
      <c r="A405" s="7"/>
      <c r="B405" s="90"/>
      <c r="C405" s="90"/>
      <c r="D405" s="77"/>
      <c r="E405" s="90"/>
      <c r="F405" s="90"/>
      <c r="G405" s="77"/>
      <c r="H405" s="6"/>
      <c r="I405" s="6"/>
      <c r="J405" s="77"/>
      <c r="K405" s="77"/>
      <c r="L405" s="7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</row>
    <row r="406" spans="1:31" ht="15.75" customHeight="1">
      <c r="A406" s="7"/>
      <c r="B406" s="90"/>
      <c r="C406" s="90"/>
      <c r="D406" s="77"/>
      <c r="E406" s="90"/>
      <c r="F406" s="90"/>
      <c r="G406" s="77"/>
      <c r="H406" s="6"/>
      <c r="I406" s="6"/>
      <c r="J406" s="77"/>
      <c r="K406" s="77"/>
      <c r="L406" s="7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</row>
    <row r="407" spans="1:31" ht="15.75" customHeight="1">
      <c r="A407" s="7"/>
      <c r="B407" s="90"/>
      <c r="C407" s="90"/>
      <c r="D407" s="77"/>
      <c r="E407" s="90"/>
      <c r="F407" s="90"/>
      <c r="G407" s="77"/>
      <c r="H407" s="6"/>
      <c r="I407" s="6"/>
      <c r="J407" s="77"/>
      <c r="K407" s="77"/>
      <c r="L407" s="7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</row>
    <row r="408" spans="1:31" ht="15.75" customHeight="1">
      <c r="A408" s="7"/>
      <c r="B408" s="90"/>
      <c r="C408" s="90"/>
      <c r="D408" s="77"/>
      <c r="E408" s="90"/>
      <c r="F408" s="90"/>
      <c r="G408" s="77"/>
      <c r="H408" s="6"/>
      <c r="I408" s="6"/>
      <c r="J408" s="77"/>
      <c r="K408" s="77"/>
      <c r="L408" s="7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</row>
    <row r="409" spans="1:31" ht="15.75" customHeight="1">
      <c r="A409" s="7"/>
      <c r="B409" s="90"/>
      <c r="C409" s="90"/>
      <c r="D409" s="77"/>
      <c r="E409" s="90"/>
      <c r="F409" s="90"/>
      <c r="G409" s="77"/>
      <c r="H409" s="6"/>
      <c r="I409" s="6"/>
      <c r="J409" s="77"/>
      <c r="K409" s="77"/>
      <c r="L409" s="7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</row>
    <row r="410" spans="1:31" ht="15.75" customHeight="1">
      <c r="A410" s="7"/>
      <c r="B410" s="90"/>
      <c r="C410" s="90"/>
      <c r="D410" s="77"/>
      <c r="E410" s="90"/>
      <c r="F410" s="90"/>
      <c r="G410" s="77"/>
      <c r="H410" s="6"/>
      <c r="I410" s="6"/>
      <c r="J410" s="77"/>
      <c r="K410" s="77"/>
      <c r="L410" s="7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</row>
    <row r="411" spans="1:31" ht="15.75" customHeight="1">
      <c r="A411" s="7"/>
      <c r="B411" s="90"/>
      <c r="C411" s="90"/>
      <c r="D411" s="77"/>
      <c r="E411" s="90"/>
      <c r="F411" s="90"/>
      <c r="G411" s="77"/>
      <c r="H411" s="6"/>
      <c r="I411" s="6"/>
      <c r="J411" s="77"/>
      <c r="K411" s="77"/>
      <c r="L411" s="7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</row>
    <row r="412" spans="1:31" ht="15.75" customHeight="1">
      <c r="A412" s="7"/>
      <c r="B412" s="90"/>
      <c r="C412" s="90"/>
      <c r="D412" s="77"/>
      <c r="E412" s="90"/>
      <c r="F412" s="90"/>
      <c r="G412" s="77"/>
      <c r="H412" s="6"/>
      <c r="I412" s="6"/>
      <c r="J412" s="77"/>
      <c r="K412" s="77"/>
      <c r="L412" s="7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</row>
    <row r="413" spans="1:31" ht="15.75" customHeight="1">
      <c r="A413" s="7"/>
      <c r="B413" s="90"/>
      <c r="C413" s="90"/>
      <c r="D413" s="77"/>
      <c r="E413" s="90"/>
      <c r="F413" s="90"/>
      <c r="G413" s="77"/>
      <c r="H413" s="6"/>
      <c r="I413" s="6"/>
      <c r="J413" s="77"/>
      <c r="K413" s="77"/>
      <c r="L413" s="7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</row>
    <row r="414" spans="1:31" ht="15.75" customHeight="1">
      <c r="A414" s="7"/>
      <c r="B414" s="90"/>
      <c r="C414" s="90"/>
      <c r="D414" s="77"/>
      <c r="E414" s="90"/>
      <c r="F414" s="90"/>
      <c r="G414" s="77"/>
      <c r="H414" s="6"/>
      <c r="I414" s="6"/>
      <c r="J414" s="77"/>
      <c r="K414" s="77"/>
      <c r="L414" s="7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</row>
    <row r="415" spans="1:31" ht="15.75" customHeight="1">
      <c r="A415" s="7"/>
      <c r="B415" s="90"/>
      <c r="C415" s="90"/>
      <c r="D415" s="77"/>
      <c r="E415" s="90"/>
      <c r="F415" s="90"/>
      <c r="G415" s="77"/>
      <c r="H415" s="6"/>
      <c r="I415" s="6"/>
      <c r="J415" s="77"/>
      <c r="K415" s="77"/>
      <c r="L415" s="7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</row>
    <row r="416" spans="1:31" ht="15.75" customHeight="1">
      <c r="A416" s="7"/>
      <c r="B416" s="90"/>
      <c r="C416" s="90"/>
      <c r="D416" s="77"/>
      <c r="E416" s="90"/>
      <c r="F416" s="90"/>
      <c r="G416" s="77"/>
      <c r="H416" s="6"/>
      <c r="I416" s="6"/>
      <c r="J416" s="77"/>
      <c r="K416" s="77"/>
      <c r="L416" s="7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</row>
    <row r="417" spans="1:31" ht="15.75" customHeight="1">
      <c r="A417" s="7"/>
      <c r="B417" s="90"/>
      <c r="C417" s="90"/>
      <c r="D417" s="77"/>
      <c r="E417" s="90"/>
      <c r="F417" s="90"/>
      <c r="G417" s="77"/>
      <c r="H417" s="6"/>
      <c r="I417" s="6"/>
      <c r="J417" s="77"/>
      <c r="K417" s="77"/>
      <c r="L417" s="7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</row>
    <row r="418" spans="1:31" ht="15.75" customHeight="1">
      <c r="A418" s="7"/>
      <c r="B418" s="90"/>
      <c r="C418" s="90"/>
      <c r="D418" s="77"/>
      <c r="E418" s="90"/>
      <c r="F418" s="90"/>
      <c r="G418" s="77"/>
      <c r="H418" s="6"/>
      <c r="I418" s="6"/>
      <c r="J418" s="77"/>
      <c r="K418" s="77"/>
      <c r="L418" s="7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</row>
    <row r="419" spans="1:31" ht="15.75" customHeight="1">
      <c r="A419" s="7"/>
      <c r="B419" s="90"/>
      <c r="C419" s="90"/>
      <c r="D419" s="77"/>
      <c r="E419" s="90"/>
      <c r="F419" s="90"/>
      <c r="G419" s="77"/>
      <c r="H419" s="6"/>
      <c r="I419" s="6"/>
      <c r="J419" s="77"/>
      <c r="K419" s="77"/>
      <c r="L419" s="7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</row>
    <row r="420" spans="1:31" ht="15.75" customHeight="1">
      <c r="A420" s="7"/>
      <c r="B420" s="90"/>
      <c r="C420" s="90"/>
      <c r="D420" s="77"/>
      <c r="E420" s="90"/>
      <c r="F420" s="90"/>
      <c r="G420" s="77"/>
      <c r="H420" s="6"/>
      <c r="I420" s="6"/>
      <c r="J420" s="77"/>
      <c r="K420" s="77"/>
      <c r="L420" s="7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</row>
    <row r="421" spans="1:3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</row>
    <row r="422" spans="1:31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</row>
    <row r="423" spans="1:31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</row>
    <row r="424" spans="1:31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</row>
    <row r="425" spans="1:31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</row>
    <row r="426" spans="1:31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</row>
    <row r="427" spans="1:31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</row>
    <row r="428" spans="1:31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</row>
    <row r="429" spans="1:31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</row>
    <row r="430" spans="1:31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</row>
    <row r="431" spans="1: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</row>
    <row r="432" spans="1:31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</row>
    <row r="433" spans="1:31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</row>
    <row r="434" spans="1:31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</row>
    <row r="435" spans="1:31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</row>
    <row r="436" spans="1:31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</row>
    <row r="437" spans="1:31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</row>
    <row r="438" spans="1:31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</row>
    <row r="439" spans="1:31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</row>
    <row r="440" spans="1:31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</row>
    <row r="441" spans="1:3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</row>
    <row r="442" spans="1:31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</row>
    <row r="443" spans="1:31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</row>
    <row r="444" spans="1:31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</row>
    <row r="445" spans="1:31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</row>
    <row r="446" spans="1:31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</row>
    <row r="447" spans="1:31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</row>
    <row r="448" spans="1:31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</row>
    <row r="449" spans="1:31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</row>
    <row r="450" spans="1:31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</row>
    <row r="451" spans="1:3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</row>
    <row r="452" spans="1:31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</row>
    <row r="453" spans="1:31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</row>
    <row r="454" spans="1:31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</row>
    <row r="455" spans="1:31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</row>
    <row r="456" spans="1:31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</row>
    <row r="457" spans="1:31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</row>
    <row r="458" spans="1:31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</row>
    <row r="459" spans="1:31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</row>
    <row r="460" spans="1:31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</row>
    <row r="461" spans="1:3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</row>
    <row r="462" spans="1:31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</row>
    <row r="463" spans="1:31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</row>
    <row r="464" spans="1:31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</row>
    <row r="465" spans="1:31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</row>
    <row r="466" spans="1:31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</row>
    <row r="467" spans="1:31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</row>
    <row r="468" spans="1:31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</row>
    <row r="469" spans="1:31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</row>
    <row r="470" spans="1:31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</row>
    <row r="471" spans="1:3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</row>
    <row r="472" spans="1:31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</row>
    <row r="473" spans="1:31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</row>
    <row r="474" spans="1:31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</row>
    <row r="475" spans="1:31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</row>
    <row r="476" spans="1:31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</row>
    <row r="477" spans="1:31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</row>
    <row r="478" spans="1:31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</row>
    <row r="479" spans="1:31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</row>
    <row r="480" spans="1:31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</row>
    <row r="481" spans="1:3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</row>
    <row r="482" spans="1:31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</row>
    <row r="483" spans="1:31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</row>
    <row r="484" spans="1:31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</row>
    <row r="485" spans="1:31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</row>
    <row r="486" spans="1:31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</row>
    <row r="487" spans="1:31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</row>
    <row r="488" spans="1:31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</row>
    <row r="489" spans="1:31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</row>
    <row r="490" spans="1:31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</row>
    <row r="491" spans="1:3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</row>
    <row r="492" spans="1:31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</row>
    <row r="493" spans="1:31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</row>
    <row r="494" spans="1:31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</row>
    <row r="495" spans="1:31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</row>
    <row r="496" spans="1:31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</row>
    <row r="497" spans="1:31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</row>
    <row r="498" spans="1:31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</row>
    <row r="499" spans="1:31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</row>
    <row r="500" spans="1:31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</row>
    <row r="501" spans="1:3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</row>
    <row r="502" spans="1:31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</row>
    <row r="503" spans="1:31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</row>
    <row r="504" spans="1:31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</row>
    <row r="505" spans="1:31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</row>
    <row r="506" spans="1:31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</row>
    <row r="507" spans="1:31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</row>
    <row r="508" spans="1:31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</row>
    <row r="509" spans="1:31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</row>
    <row r="510" spans="1:31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</row>
    <row r="511" spans="1:3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</row>
    <row r="512" spans="1:31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</row>
    <row r="513" spans="1:31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</row>
    <row r="514" spans="1:31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</row>
    <row r="515" spans="1:31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</row>
    <row r="516" spans="1:31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</row>
    <row r="517" spans="1:31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</row>
    <row r="518" spans="1:31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</row>
    <row r="519" spans="1:31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</row>
    <row r="520" spans="1:31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</row>
    <row r="521" spans="1:3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</row>
    <row r="522" spans="1:31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</row>
    <row r="523" spans="1:31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</row>
    <row r="524" spans="1:31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</row>
    <row r="525" spans="1:31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</row>
    <row r="526" spans="1:31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</row>
    <row r="527" spans="1:31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</row>
    <row r="528" spans="1:31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</row>
    <row r="529" spans="1:31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</row>
    <row r="530" spans="1:31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</row>
    <row r="531" spans="1: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</row>
    <row r="532" spans="1:31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</row>
    <row r="533" spans="1:31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</row>
    <row r="534" spans="1:31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</row>
    <row r="535" spans="1:31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</row>
    <row r="536" spans="1:31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</row>
    <row r="537" spans="1:31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</row>
    <row r="538" spans="1:31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</row>
    <row r="539" spans="1:31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</row>
    <row r="540" spans="1:31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</row>
    <row r="541" spans="1:3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</row>
    <row r="542" spans="1:31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</row>
    <row r="543" spans="1:31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</row>
    <row r="544" spans="1:31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</row>
    <row r="545" spans="1:31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</row>
    <row r="546" spans="1:31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</row>
    <row r="547" spans="1:31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</row>
    <row r="548" spans="1:31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</row>
    <row r="549" spans="1:31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</row>
    <row r="550" spans="1:31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</row>
    <row r="551" spans="1:3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</row>
    <row r="552" spans="1:31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</row>
    <row r="553" spans="1:31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</row>
    <row r="554" spans="1:31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</row>
    <row r="555" spans="1:31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</row>
    <row r="556" spans="1:31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</row>
    <row r="557" spans="1:31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</row>
    <row r="558" spans="1:31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</row>
    <row r="559" spans="1:31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</row>
    <row r="560" spans="1:31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</row>
    <row r="561" spans="1:3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</row>
    <row r="562" spans="1:31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</row>
    <row r="563" spans="1:31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</row>
    <row r="564" spans="1:31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</row>
    <row r="565" spans="1:31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</row>
    <row r="566" spans="1:31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</row>
    <row r="567" spans="1:31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</row>
    <row r="568" spans="1:31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</row>
    <row r="569" spans="1:31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</row>
    <row r="570" spans="1:31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</row>
    <row r="571" spans="1:3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</row>
    <row r="572" spans="1:31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</row>
    <row r="573" spans="1:31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</row>
    <row r="574" spans="1:31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</row>
    <row r="575" spans="1:31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</row>
    <row r="576" spans="1:31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</row>
    <row r="577" spans="1:31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</row>
    <row r="578" spans="1:31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</row>
    <row r="579" spans="1:31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</row>
    <row r="580" spans="1:31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</row>
    <row r="581" spans="1:3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</row>
    <row r="582" spans="1:31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</row>
    <row r="583" spans="1:31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</row>
    <row r="584" spans="1:31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</row>
    <row r="585" spans="1:31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</row>
    <row r="586" spans="1:31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</row>
    <row r="587" spans="1:31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</row>
    <row r="588" spans="1:31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</row>
    <row r="589" spans="1:31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</row>
    <row r="590" spans="1:31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</row>
    <row r="591" spans="1:3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</row>
    <row r="592" spans="1:31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</row>
    <row r="593" spans="1:31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</row>
    <row r="594" spans="1:31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</row>
    <row r="595" spans="1:31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</row>
    <row r="596" spans="1:31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</row>
    <row r="597" spans="1:31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</row>
    <row r="598" spans="1:31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</row>
    <row r="599" spans="1:31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</row>
    <row r="600" spans="1:31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</row>
    <row r="601" spans="1:3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</row>
    <row r="602" spans="1:31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</row>
    <row r="603" spans="1:31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</row>
    <row r="604" spans="1:31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</row>
    <row r="605" spans="1:31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</row>
    <row r="606" spans="1:31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</row>
    <row r="607" spans="1:31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</row>
    <row r="608" spans="1:31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</row>
    <row r="609" spans="1:31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</row>
    <row r="610" spans="1:31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</row>
    <row r="611" spans="1:3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</row>
    <row r="612" spans="1:31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</row>
    <row r="613" spans="1:31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</row>
    <row r="614" spans="1:31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</row>
    <row r="615" spans="1:31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</row>
    <row r="616" spans="1:31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</row>
    <row r="617" spans="1:31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</row>
    <row r="618" spans="1:31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</row>
    <row r="619" spans="1:31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</row>
    <row r="620" spans="1:31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</row>
    <row r="621" spans="1:3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</row>
    <row r="622" spans="1:31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</row>
    <row r="623" spans="1:31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</row>
    <row r="624" spans="1:31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</row>
    <row r="625" spans="1:31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</row>
    <row r="626" spans="1:31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</row>
    <row r="627" spans="1:31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</row>
    <row r="628" spans="1:31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</row>
    <row r="629" spans="1:31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</row>
    <row r="630" spans="1:31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</row>
    <row r="631" spans="1: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</row>
    <row r="632" spans="1:31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</row>
    <row r="633" spans="1:31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</row>
    <row r="634" spans="1:31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</row>
    <row r="635" spans="1:31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</row>
    <row r="636" spans="1:31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</row>
    <row r="637" spans="1:31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</row>
    <row r="638" spans="1:31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</row>
    <row r="639" spans="1:31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</row>
    <row r="640" spans="1:31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</row>
    <row r="641" spans="1:3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</row>
    <row r="642" spans="1:31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</row>
    <row r="643" spans="1:31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</row>
    <row r="644" spans="1:31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</row>
    <row r="645" spans="1:31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</row>
    <row r="646" spans="1:31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</row>
    <row r="647" spans="1:31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</row>
    <row r="648" spans="1:31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</row>
    <row r="649" spans="1:31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</row>
    <row r="650" spans="1:31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</row>
    <row r="651" spans="1:3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</row>
    <row r="652" spans="1:31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</row>
    <row r="653" spans="1:31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</row>
    <row r="654" spans="1:31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</row>
    <row r="655" spans="1:31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</row>
    <row r="656" spans="1:31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</row>
    <row r="657" spans="1:31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</row>
    <row r="658" spans="1:31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</row>
    <row r="659" spans="1:31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</row>
    <row r="660" spans="1:31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</row>
    <row r="661" spans="1:3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</row>
    <row r="662" spans="1:31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</row>
    <row r="663" spans="1:31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</row>
    <row r="664" spans="1:31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</row>
    <row r="665" spans="1:31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</row>
    <row r="666" spans="1:31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</row>
    <row r="667" spans="1:31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</row>
    <row r="668" spans="1:31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</row>
    <row r="669" spans="1:31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</row>
    <row r="670" spans="1:31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</row>
    <row r="671" spans="1:3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</row>
    <row r="672" spans="1:31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</row>
    <row r="673" spans="1:31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</row>
    <row r="674" spans="1:31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</row>
    <row r="675" spans="1:31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</row>
    <row r="676" spans="1:31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</row>
    <row r="677" spans="1:31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</row>
    <row r="678" spans="1:31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</row>
    <row r="679" spans="1:31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</row>
    <row r="680" spans="1:31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</row>
    <row r="681" spans="1:3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</row>
    <row r="682" spans="1:31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</row>
    <row r="683" spans="1:31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</row>
    <row r="684" spans="1:31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</row>
    <row r="685" spans="1:31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</row>
    <row r="686" spans="1:31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</row>
    <row r="687" spans="1:31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</row>
    <row r="688" spans="1:31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</row>
    <row r="689" spans="1:31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</row>
    <row r="690" spans="1:31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</row>
    <row r="691" spans="1:3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</row>
    <row r="692" spans="1:31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</row>
    <row r="693" spans="1:31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</row>
    <row r="694" spans="1:31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</row>
    <row r="695" spans="1:31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</row>
    <row r="696" spans="1:31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</row>
    <row r="697" spans="1:31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</row>
    <row r="698" spans="1:31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</row>
    <row r="699" spans="1:31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</row>
    <row r="700" spans="1:31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</row>
    <row r="701" spans="1:3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</row>
    <row r="702" spans="1:31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</row>
    <row r="703" spans="1:31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</row>
    <row r="704" spans="1:31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</row>
    <row r="705" spans="1:31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</row>
    <row r="706" spans="1:31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</row>
    <row r="707" spans="1:31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</row>
    <row r="708" spans="1:31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</row>
    <row r="709" spans="1:31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</row>
    <row r="710" spans="1:31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</row>
    <row r="711" spans="1:3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</row>
    <row r="712" spans="1:31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</row>
    <row r="713" spans="1:31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</row>
    <row r="714" spans="1:31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</row>
    <row r="715" spans="1:31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</row>
    <row r="716" spans="1:31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</row>
    <row r="717" spans="1:31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</row>
    <row r="718" spans="1:31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</row>
    <row r="719" spans="1:31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</row>
    <row r="720" spans="1:31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</row>
    <row r="721" spans="1:3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</row>
    <row r="722" spans="1:31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</row>
    <row r="723" spans="1:31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</row>
    <row r="724" spans="1:31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</row>
    <row r="725" spans="1:31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</row>
    <row r="726" spans="1:31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</row>
    <row r="727" spans="1:31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</row>
    <row r="728" spans="1:31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</row>
    <row r="729" spans="1:31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</row>
    <row r="730" spans="1:31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</row>
    <row r="731" spans="1: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</row>
    <row r="732" spans="1:31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</row>
    <row r="733" spans="1:31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</row>
    <row r="734" spans="1:31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</row>
    <row r="735" spans="1:31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</row>
    <row r="736" spans="1:31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</row>
    <row r="737" spans="1:31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</row>
    <row r="738" spans="1:31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</row>
    <row r="739" spans="1:31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</row>
    <row r="740" spans="1:31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</row>
    <row r="741" spans="1:3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</row>
    <row r="742" spans="1:31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</row>
    <row r="743" spans="1:31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</row>
    <row r="744" spans="1:31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</row>
    <row r="745" spans="1:31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</row>
    <row r="746" spans="1:31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</row>
    <row r="747" spans="1:31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</row>
    <row r="748" spans="1:31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</row>
    <row r="749" spans="1:31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</row>
    <row r="750" spans="1:31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</row>
    <row r="751" spans="1:3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</row>
    <row r="752" spans="1:31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</row>
    <row r="753" spans="1:31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</row>
    <row r="754" spans="1:31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</row>
    <row r="755" spans="1:31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</row>
    <row r="756" spans="1:31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</row>
    <row r="757" spans="1:31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</row>
    <row r="758" spans="1:31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</row>
    <row r="759" spans="1:31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</row>
    <row r="760" spans="1:31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</row>
    <row r="761" spans="1:3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</row>
    <row r="762" spans="1:31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</row>
    <row r="763" spans="1:31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</row>
    <row r="764" spans="1:31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</row>
    <row r="765" spans="1:31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</row>
    <row r="766" spans="1:31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</row>
    <row r="767" spans="1:31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</row>
    <row r="768" spans="1:31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</row>
    <row r="769" spans="1:31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</row>
    <row r="770" spans="1:31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</row>
    <row r="771" spans="1:3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</row>
    <row r="772" spans="1:31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</row>
    <row r="773" spans="1:31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</row>
    <row r="774" spans="1:31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</row>
    <row r="775" spans="1:31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</row>
    <row r="776" spans="1:31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</row>
    <row r="777" spans="1:31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</row>
    <row r="778" spans="1:31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</row>
    <row r="779" spans="1:31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</row>
    <row r="780" spans="1:31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</row>
    <row r="781" spans="1:3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</row>
    <row r="782" spans="1:31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</row>
    <row r="783" spans="1:31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</row>
    <row r="784" spans="1:31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</row>
    <row r="785" spans="1:31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</row>
    <row r="786" spans="1:31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</row>
    <row r="787" spans="1:31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</row>
    <row r="788" spans="1:31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</row>
    <row r="789" spans="1:31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</row>
    <row r="790" spans="1:31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</row>
    <row r="791" spans="1:3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</row>
    <row r="792" spans="1:31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</row>
    <row r="793" spans="1:31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</row>
    <row r="794" spans="1:31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</row>
    <row r="795" spans="1:31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</row>
    <row r="796" spans="1:31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</row>
    <row r="797" spans="1:31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</row>
    <row r="798" spans="1:31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</row>
    <row r="799" spans="1:31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</row>
    <row r="800" spans="1:31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</row>
    <row r="801" spans="1:3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</row>
    <row r="802" spans="1:31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</row>
    <row r="803" spans="1:31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</row>
    <row r="804" spans="1:31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</row>
    <row r="805" spans="1:31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</row>
    <row r="806" spans="1:31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</row>
    <row r="807" spans="1:31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</row>
    <row r="808" spans="1:31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</row>
    <row r="809" spans="1:31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</row>
    <row r="810" spans="1:31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</row>
    <row r="811" spans="1:3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</row>
    <row r="812" spans="1:31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</row>
    <row r="813" spans="1:31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</row>
    <row r="814" spans="1:31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</row>
    <row r="815" spans="1:31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</row>
    <row r="816" spans="1:31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</row>
    <row r="817" spans="1:31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</row>
    <row r="818" spans="1:31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</row>
    <row r="819" spans="1:31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</row>
    <row r="820" spans="1:31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</row>
    <row r="821" spans="1:3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</row>
    <row r="822" spans="1:31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</row>
    <row r="823" spans="1:31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</row>
    <row r="824" spans="1:31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</row>
    <row r="825" spans="1:31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</row>
    <row r="826" spans="1:31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</row>
    <row r="827" spans="1:31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</row>
    <row r="828" spans="1:31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</row>
    <row r="829" spans="1:31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</row>
    <row r="830" spans="1:31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</row>
    <row r="831" spans="1: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</row>
    <row r="832" spans="1:31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</row>
    <row r="833" spans="1:31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</row>
    <row r="834" spans="1:31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</row>
    <row r="835" spans="1:31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</row>
    <row r="836" spans="1:31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</row>
    <row r="837" spans="1:31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</row>
    <row r="838" spans="1:31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</row>
    <row r="839" spans="1:31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</row>
    <row r="840" spans="1:31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</row>
    <row r="841" spans="1:3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</row>
    <row r="842" spans="1:31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</row>
    <row r="843" spans="1:31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</row>
    <row r="844" spans="1:31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</row>
    <row r="845" spans="1:31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</row>
    <row r="846" spans="1:31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</row>
    <row r="847" spans="1:31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</row>
    <row r="848" spans="1:31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</row>
    <row r="849" spans="1:31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</row>
    <row r="850" spans="1:31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</row>
    <row r="851" spans="1:3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</row>
    <row r="852" spans="1:31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</row>
    <row r="853" spans="1:31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</row>
    <row r="854" spans="1:31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</row>
    <row r="855" spans="1:31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</row>
    <row r="856" spans="1:31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</row>
    <row r="857" spans="1:31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</row>
    <row r="858" spans="1:31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</row>
    <row r="859" spans="1:31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</row>
    <row r="860" spans="1:31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</row>
    <row r="861" spans="1:3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</row>
    <row r="862" spans="1:31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</row>
    <row r="863" spans="1:31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</row>
    <row r="864" spans="1:31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</row>
    <row r="865" spans="1:31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</row>
    <row r="866" spans="1:31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</row>
    <row r="867" spans="1:31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</row>
    <row r="868" spans="1:31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</row>
    <row r="869" spans="1:31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</row>
    <row r="870" spans="1:31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</row>
    <row r="871" spans="1:3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</row>
    <row r="872" spans="1:31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</row>
    <row r="873" spans="1:31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</row>
    <row r="874" spans="1:31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</row>
    <row r="875" spans="1:31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</row>
    <row r="876" spans="1:31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</row>
    <row r="877" spans="1:31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</row>
    <row r="878" spans="1:31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</row>
    <row r="879" spans="1:31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</row>
    <row r="880" spans="1:31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</row>
    <row r="881" spans="1:3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</row>
    <row r="882" spans="1:31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</row>
    <row r="883" spans="1:31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</row>
    <row r="884" spans="1:31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</row>
    <row r="885" spans="1:31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</row>
    <row r="886" spans="1:31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</row>
    <row r="887" spans="1:31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</row>
    <row r="888" spans="1:31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</row>
    <row r="889" spans="1:31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</row>
    <row r="890" spans="1:31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</row>
    <row r="891" spans="1:3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</row>
    <row r="892" spans="1:31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</row>
    <row r="893" spans="1:31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</row>
    <row r="894" spans="1:31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</row>
    <row r="895" spans="1:31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</row>
    <row r="896" spans="1:31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</row>
    <row r="897" spans="1:31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</row>
    <row r="898" spans="1:31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</row>
    <row r="899" spans="1:31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</row>
    <row r="900" spans="1:31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</row>
    <row r="901" spans="1:3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</row>
    <row r="902" spans="1:31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</row>
    <row r="903" spans="1:31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</row>
    <row r="904" spans="1:31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</row>
    <row r="905" spans="1:31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</row>
    <row r="906" spans="1:31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</row>
    <row r="907" spans="1:31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</row>
    <row r="908" spans="1:31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</row>
    <row r="909" spans="1:31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</row>
    <row r="910" spans="1:31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</row>
    <row r="911" spans="1:3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</row>
    <row r="912" spans="1:31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</row>
    <row r="913" spans="1:31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</row>
    <row r="914" spans="1:31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</row>
    <row r="915" spans="1:31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</row>
    <row r="916" spans="1:31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</row>
    <row r="917" spans="1:31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</row>
    <row r="918" spans="1:31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</row>
    <row r="919" spans="1:31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</row>
    <row r="920" spans="1:31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</row>
    <row r="921" spans="1:3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</row>
    <row r="922" spans="1:31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</row>
    <row r="923" spans="1:31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</row>
    <row r="924" spans="1:31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</row>
    <row r="925" spans="1:31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</row>
    <row r="926" spans="1:31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</row>
    <row r="927" spans="1:31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</row>
    <row r="928" spans="1:31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</row>
    <row r="929" spans="1:31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</row>
    <row r="930" spans="1:31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</row>
    <row r="931" spans="1: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</row>
    <row r="932" spans="1:31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</row>
    <row r="933" spans="1:31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</row>
    <row r="934" spans="1:31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</row>
    <row r="935" spans="1:31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</row>
    <row r="936" spans="1:31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</row>
    <row r="937" spans="1:31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</row>
    <row r="938" spans="1:31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</row>
    <row r="939" spans="1:31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</row>
    <row r="940" spans="1:31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</row>
    <row r="941" spans="1:3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</row>
    <row r="942" spans="1:31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</row>
    <row r="943" spans="1:31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</row>
    <row r="944" spans="1:31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</row>
    <row r="945" spans="1:31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</row>
    <row r="946" spans="1:31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</row>
    <row r="947" spans="1:31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</row>
    <row r="948" spans="1:31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</row>
    <row r="949" spans="1:31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</row>
    <row r="950" spans="1:31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</row>
    <row r="951" spans="1:3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</row>
    <row r="952" spans="1:31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</row>
    <row r="953" spans="1:31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</row>
    <row r="954" spans="1:31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</row>
    <row r="955" spans="1:31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</row>
    <row r="956" spans="1:31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</row>
    <row r="957" spans="1:31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</row>
    <row r="958" spans="1:31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</row>
    <row r="959" spans="1:31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</row>
    <row r="960" spans="1:31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</row>
    <row r="961" spans="1:3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</row>
    <row r="962" spans="1:31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</row>
    <row r="963" spans="1:31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</row>
    <row r="964" spans="1:31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</row>
    <row r="965" spans="1:31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</row>
    <row r="966" spans="1:31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</row>
    <row r="967" spans="1:31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</row>
    <row r="968" spans="1:31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</row>
    <row r="969" spans="1:31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</row>
    <row r="970" spans="1:31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</row>
    <row r="971" spans="1:3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</row>
    <row r="972" spans="1:31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</row>
    <row r="973" spans="1:31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</row>
    <row r="974" spans="1:31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</row>
    <row r="975" spans="1:31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</row>
    <row r="976" spans="1:31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</row>
    <row r="977" spans="1:31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</row>
    <row r="978" spans="1:31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</row>
    <row r="979" spans="1:31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</row>
    <row r="980" spans="1:31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</row>
    <row r="981" spans="1:3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</row>
    <row r="982" spans="1:31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</row>
    <row r="983" spans="1:31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</row>
    <row r="984" spans="1:31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</row>
    <row r="985" spans="1:31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</row>
    <row r="986" spans="1:31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</row>
    <row r="987" spans="1:31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</row>
    <row r="988" spans="1:31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</row>
    <row r="989" spans="1:31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</row>
    <row r="990" spans="1:31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</row>
    <row r="991" spans="1:3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</row>
    <row r="992" spans="1:31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</row>
    <row r="993" spans="1:31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</row>
    <row r="994" spans="1:31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</row>
    <row r="995" spans="1:31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</row>
    <row r="996" spans="1:31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</row>
    <row r="997" spans="1:31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</row>
    <row r="998" spans="1:31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</row>
    <row r="999" spans="1:31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</row>
    <row r="1000" spans="1:31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M183"/>
  <sheetViews>
    <sheetView workbookViewId="0"/>
  </sheetViews>
  <sheetFormatPr baseColWidth="10" defaultColWidth="14.453125" defaultRowHeight="15" customHeight="1"/>
  <sheetData>
    <row r="1" spans="1:13">
      <c r="A1" s="91" t="s">
        <v>1356</v>
      </c>
      <c r="C1" s="91" t="s">
        <v>1357</v>
      </c>
      <c r="H1" s="44" t="s">
        <v>1358</v>
      </c>
    </row>
    <row r="2" spans="1:13">
      <c r="H2" s="44" t="s">
        <v>1359</v>
      </c>
      <c r="I2" s="44" t="s">
        <v>1360</v>
      </c>
      <c r="M2" s="44"/>
    </row>
    <row r="3" spans="1:13">
      <c r="A3" s="44" t="s">
        <v>1361</v>
      </c>
      <c r="B3" s="92" t="s">
        <v>157</v>
      </c>
      <c r="M3" s="44"/>
    </row>
    <row r="4" spans="1:13">
      <c r="A4" s="93" t="s">
        <v>1362</v>
      </c>
      <c r="B4" s="9" t="s">
        <v>1363</v>
      </c>
      <c r="C4" s="9" t="s">
        <v>1364</v>
      </c>
      <c r="D4" s="9" t="s">
        <v>1365</v>
      </c>
      <c r="E4" s="9" t="s">
        <v>1366</v>
      </c>
      <c r="F4" s="9" t="s">
        <v>1367</v>
      </c>
      <c r="G4" s="9" t="s">
        <v>1368</v>
      </c>
      <c r="H4" s="9" t="s">
        <v>1369</v>
      </c>
      <c r="I4" s="9" t="s">
        <v>1370</v>
      </c>
      <c r="J4" s="9" t="s">
        <v>1371</v>
      </c>
      <c r="M4" s="44"/>
    </row>
    <row r="5" spans="1:13">
      <c r="A5" s="44">
        <v>2021</v>
      </c>
      <c r="B5" s="72">
        <f>MAX('FERC 2021'!$CG$3:$CG$237)</f>
        <v>4856.3336972562101</v>
      </c>
      <c r="C5" s="94">
        <f>MIN('FERC 2021'!$CG$3:$CG$237)</f>
        <v>227.96170197740113</v>
      </c>
      <c r="D5" s="94">
        <f>AVERAGE('FERC 2021'!$CG$3:$CG$237)</f>
        <v>1043.1273859420667</v>
      </c>
      <c r="E5" s="94">
        <f>MEDIAN('FERC 2021'!$CG$3:$CG$237)</f>
        <v>880.7625477802859</v>
      </c>
      <c r="F5" s="44">
        <f>STDEV('FERC 2021'!$CG$3:$CG$237)</f>
        <v>659.74545645869</v>
      </c>
      <c r="G5" s="44">
        <f>QUARTILE('FERC 2021'!$CG$3:$CG$237,1)</f>
        <v>696.69086227848106</v>
      </c>
      <c r="H5" s="44">
        <f>QUARTILE('FERC 2021'!$CG$3:$CG$237,3)</f>
        <v>1097.3053760241485</v>
      </c>
      <c r="I5" s="94">
        <f t="shared" ref="I5:I7" si="0">IF($I$2="5d",D5+5*F5,IF($I$2="3q",H5+3*(H5-G5),$I$2))</f>
        <v>4341.8546682355172</v>
      </c>
      <c r="J5" s="44"/>
      <c r="M5" s="44"/>
    </row>
    <row r="6" spans="1:13">
      <c r="A6" s="44">
        <v>2022</v>
      </c>
      <c r="B6" s="72">
        <f>MAX('FERC 2022'!$CG$3:$CG$237)</f>
        <v>4418.5092803918424</v>
      </c>
      <c r="C6" s="94">
        <f>MIN('FERC 2022'!$CG$3:$CG$237)</f>
        <v>329.83774100719427</v>
      </c>
      <c r="D6" s="94">
        <f>AVERAGE('FERC 2022'!$CG$3:$CG$237)</f>
        <v>1014.7455349641982</v>
      </c>
      <c r="E6" s="94">
        <f>MEDIAN('FERC 2022'!$CG$3:$CG$237)</f>
        <v>916.48641292832895</v>
      </c>
      <c r="F6" s="44">
        <f>STDEV('FERC 2022'!$CG$3:$CG$237)</f>
        <v>530.830841056964</v>
      </c>
      <c r="G6" s="44">
        <f>QUARTILE('FERC 2022'!$CG$3:$CG$237,1)</f>
        <v>719.09463028366247</v>
      </c>
      <c r="H6" s="44">
        <f>QUARTILE('FERC 2022'!$CG$3:$CG$237,3)</f>
        <v>1130.9853101783649</v>
      </c>
      <c r="I6" s="94">
        <f t="shared" si="0"/>
        <v>3668.8997402490181</v>
      </c>
      <c r="J6" s="44"/>
      <c r="M6" s="44"/>
    </row>
    <row r="7" spans="1:13">
      <c r="A7" s="44">
        <v>2023</v>
      </c>
      <c r="B7" s="72">
        <f>MAX('FERC 2023'!$CG$3:$CG$237)</f>
        <v>5231.8253114074605</v>
      </c>
      <c r="C7" s="94">
        <f>MIN('FERC 2023'!$CG$3:$CG$237)</f>
        <v>216.73413184079601</v>
      </c>
      <c r="D7" s="94">
        <f>AVERAGE('FERC 2023'!$CG$3:$CG$237)</f>
        <v>1127.2648871350864</v>
      </c>
      <c r="E7" s="94">
        <f>MEDIAN('FERC 2023'!$CG$3:$CG$237)</f>
        <v>999.40004392747937</v>
      </c>
      <c r="F7" s="44">
        <f>STDEV('FERC 2023'!$CG$3:$CG$237)</f>
        <v>631.00578961707106</v>
      </c>
      <c r="G7" s="44">
        <f>QUARTILE('FERC 2023'!$CG$3:$CG$237,1)</f>
        <v>780.45385332493652</v>
      </c>
      <c r="H7" s="44">
        <f>QUARTILE('FERC 2023'!$CG$3:$CG$237,3)</f>
        <v>1247.0193317407477</v>
      </c>
      <c r="I7" s="94">
        <f t="shared" si="0"/>
        <v>4282.2938352204419</v>
      </c>
      <c r="J7" s="44"/>
      <c r="M7" s="44"/>
    </row>
    <row r="8" spans="1:13">
      <c r="A8" s="44"/>
      <c r="B8" s="72"/>
      <c r="C8" s="94"/>
      <c r="D8" s="94"/>
      <c r="E8" s="94"/>
      <c r="F8" s="44"/>
      <c r="G8" s="44"/>
      <c r="H8" s="44"/>
      <c r="I8" s="94"/>
      <c r="J8" s="44"/>
      <c r="M8" s="44"/>
    </row>
    <row r="9" spans="1:13">
      <c r="M9" s="44"/>
    </row>
    <row r="10" spans="1:13">
      <c r="M10" s="44"/>
    </row>
    <row r="11" spans="1:13">
      <c r="M11" s="44"/>
    </row>
    <row r="12" spans="1:13">
      <c r="M12" s="44"/>
    </row>
    <row r="13" spans="1:13">
      <c r="M13" s="44"/>
    </row>
    <row r="14" spans="1:13">
      <c r="M14" s="44"/>
    </row>
    <row r="15" spans="1:13">
      <c r="M15" s="44"/>
    </row>
    <row r="16" spans="1:13">
      <c r="M16" s="44"/>
    </row>
    <row r="17" spans="1:13">
      <c r="M17" s="44"/>
    </row>
    <row r="18" spans="1:13">
      <c r="M18" s="44"/>
    </row>
    <row r="19" spans="1:13">
      <c r="M19" s="44"/>
    </row>
    <row r="20" spans="1:13">
      <c r="M20" s="44"/>
    </row>
    <row r="21" spans="1:13">
      <c r="M21" s="44"/>
    </row>
    <row r="22" spans="1:13">
      <c r="M22" s="44"/>
    </row>
    <row r="23" spans="1:13">
      <c r="M23" s="44"/>
    </row>
    <row r="24" spans="1:13">
      <c r="M24" s="44"/>
    </row>
    <row r="30" spans="1:13">
      <c r="A30" s="44" t="s">
        <v>1361</v>
      </c>
      <c r="B30" s="92" t="s">
        <v>158</v>
      </c>
      <c r="H30" s="44" t="s">
        <v>1359</v>
      </c>
      <c r="I30" s="44" t="s">
        <v>1360</v>
      </c>
    </row>
    <row r="31" spans="1:13">
      <c r="A31" s="44" t="s">
        <v>1372</v>
      </c>
      <c r="M31" s="44"/>
    </row>
    <row r="32" spans="1:13">
      <c r="A32" s="93" t="s">
        <v>1362</v>
      </c>
      <c r="B32" s="9" t="s">
        <v>1363</v>
      </c>
      <c r="C32" s="9" t="s">
        <v>1364</v>
      </c>
      <c r="D32" s="9" t="s">
        <v>1365</v>
      </c>
      <c r="E32" s="9" t="s">
        <v>1366</v>
      </c>
      <c r="F32" s="9" t="s">
        <v>1367</v>
      </c>
      <c r="G32" s="9" t="s">
        <v>1368</v>
      </c>
      <c r="H32" s="9" t="s">
        <v>1369</v>
      </c>
      <c r="I32" s="9" t="s">
        <v>1370</v>
      </c>
      <c r="J32" s="9" t="s">
        <v>1371</v>
      </c>
      <c r="K32" s="44"/>
      <c r="M32" s="44"/>
    </row>
    <row r="33" spans="1:13">
      <c r="A33" s="44">
        <v>2021</v>
      </c>
      <c r="B33" s="72">
        <f>MAX('FERC 2021'!$CH$3:$CH$237)</f>
        <v>53.153153153153156</v>
      </c>
      <c r="C33" s="94">
        <f>MIN('FERC 2021'!$CH$3:$CH$237)</f>
        <v>1.2705150817613824</v>
      </c>
      <c r="D33" s="94">
        <f>AVERAGE('FERC 2021'!$CH$3:$CH$237)</f>
        <v>5.875407380743332</v>
      </c>
      <c r="E33" s="94">
        <f>MEDIAN('FERC 2021'!$CH$3:$CH$237)</f>
        <v>5.2833161063748921</v>
      </c>
      <c r="F33" s="44">
        <f>STDEV('FERC 2021'!$CH$3:$CH$237)</f>
        <v>4.8585454397878012</v>
      </c>
      <c r="G33" s="44">
        <f>QUARTILE('FERC 2021'!$CH$3:$CH$237,1)</f>
        <v>4.3309361991645394</v>
      </c>
      <c r="H33" s="44">
        <f>QUARTILE('FERC 2021'!$CH$3:$CH$237,3)</f>
        <v>6.4088470671005187</v>
      </c>
      <c r="I33" s="94">
        <f t="shared" ref="I33:I35" si="1">IF($I$30="5d",D33+5*F33,IF($I$30="3q",H33+3*(H33-G33),$I$30))</f>
        <v>30.168134579682338</v>
      </c>
      <c r="J33" s="44"/>
      <c r="K33" s="94"/>
      <c r="M33" s="44"/>
    </row>
    <row r="34" spans="1:13">
      <c r="A34" s="44">
        <v>2022</v>
      </c>
      <c r="B34" s="72">
        <f>MAX('FERC 2022'!$CH$3:$CH$237)</f>
        <v>30.852735323525209</v>
      </c>
      <c r="C34" s="94">
        <f>MIN('FERC 2022'!$CH$3:$CH$237)</f>
        <v>1.7326870422723326</v>
      </c>
      <c r="D34" s="94">
        <f>AVERAGE('FERC 2022'!$CH$3:$CH$237)</f>
        <v>5.9456346452556925</v>
      </c>
      <c r="E34" s="94">
        <f>MEDIAN('FERC 2022'!$CH$3:$CH$237)</f>
        <v>5.3636555195870823</v>
      </c>
      <c r="F34" s="44">
        <f>STDEV('FERC 2022'!$CH$3:$CH$237)</f>
        <v>3.2026315437556585</v>
      </c>
      <c r="G34" s="44">
        <f>QUARTILE('FERC 2022'!$CH$3:$CH$237,1)</f>
        <v>4.3983551860494954</v>
      </c>
      <c r="H34" s="44">
        <f>QUARTILE('FERC 2022'!$CH$3:$CH$237,3)</f>
        <v>6.7481785487495891</v>
      </c>
      <c r="I34" s="94">
        <f t="shared" si="1"/>
        <v>21.958792364033982</v>
      </c>
      <c r="J34" s="44"/>
      <c r="K34" s="94"/>
      <c r="M34" s="44"/>
    </row>
    <row r="35" spans="1:13">
      <c r="A35" s="44">
        <v>2023</v>
      </c>
      <c r="B35" s="72">
        <f>MAX('FERC 2023'!$CH$3:$CH$237)</f>
        <v>59.00051368606443</v>
      </c>
      <c r="C35" s="94">
        <f>MIN('FERC 2023'!$CH$3:$CH$237)</f>
        <v>1.522295497610114</v>
      </c>
      <c r="D35" s="94">
        <f>AVERAGE('FERC 2023'!$CH$3:$CH$237)</f>
        <v>6.2930206623556488</v>
      </c>
      <c r="E35" s="94">
        <f>MEDIAN('FERC 2023'!$CH$3:$CH$237)</f>
        <v>5.2404961857215344</v>
      </c>
      <c r="F35" s="44">
        <f>STDEV('FERC 2023'!$CH$3:$CH$237)</f>
        <v>6.0737814159899282</v>
      </c>
      <c r="G35" s="44">
        <f>QUARTILE('FERC 2023'!$CH$3:$CH$237,1)</f>
        <v>4.3535181833958685</v>
      </c>
      <c r="H35" s="44">
        <f>QUARTILE('FERC 2023'!$CH$3:$CH$237,3)</f>
        <v>6.7421415571090542</v>
      </c>
      <c r="I35" s="94">
        <f t="shared" si="1"/>
        <v>36.661927742305288</v>
      </c>
      <c r="J35" s="44"/>
      <c r="K35" s="94"/>
      <c r="M35" s="44"/>
    </row>
    <row r="36" spans="1:13">
      <c r="A36" s="44"/>
      <c r="B36" s="72"/>
      <c r="C36" s="94"/>
      <c r="D36" s="94"/>
      <c r="E36" s="94"/>
      <c r="F36" s="44"/>
      <c r="G36" s="44"/>
      <c r="H36" s="44"/>
      <c r="I36" s="94"/>
      <c r="J36" s="44"/>
      <c r="K36" s="94"/>
      <c r="M36" s="44"/>
    </row>
    <row r="37" spans="1:13">
      <c r="M37" s="44"/>
    </row>
    <row r="38" spans="1:13">
      <c r="M38" s="44"/>
    </row>
    <row r="39" spans="1:13">
      <c r="M39" s="44"/>
    </row>
    <row r="40" spans="1:13">
      <c r="M40" s="44"/>
    </row>
    <row r="41" spans="1:13">
      <c r="M41" s="44"/>
    </row>
    <row r="42" spans="1:13">
      <c r="M42" s="44"/>
    </row>
    <row r="43" spans="1:13">
      <c r="M43" s="44"/>
    </row>
    <row r="44" spans="1:13">
      <c r="M44" s="44"/>
    </row>
    <row r="45" spans="1:13">
      <c r="M45" s="44"/>
    </row>
    <row r="46" spans="1:13">
      <c r="M46" s="44"/>
    </row>
    <row r="47" spans="1:13">
      <c r="M47" s="44"/>
    </row>
    <row r="48" spans="1:13">
      <c r="M48" s="44"/>
    </row>
    <row r="49" spans="1:13">
      <c r="M49" s="44"/>
    </row>
    <row r="50" spans="1:13">
      <c r="M50" s="44"/>
    </row>
    <row r="51" spans="1:13">
      <c r="M51" s="44"/>
    </row>
    <row r="52" spans="1:13">
      <c r="M52" s="44"/>
    </row>
    <row r="58" spans="1:13">
      <c r="A58" s="44" t="s">
        <v>1361</v>
      </c>
      <c r="B58" s="92" t="s">
        <v>159</v>
      </c>
      <c r="H58" s="44" t="s">
        <v>1359</v>
      </c>
      <c r="I58" s="44" t="s">
        <v>1360</v>
      </c>
    </row>
    <row r="59" spans="1:13">
      <c r="A59" s="44" t="s">
        <v>1372</v>
      </c>
    </row>
    <row r="60" spans="1:13">
      <c r="A60" s="93" t="s">
        <v>1362</v>
      </c>
      <c r="B60" s="9" t="s">
        <v>1363</v>
      </c>
      <c r="C60" s="9" t="s">
        <v>1364</v>
      </c>
      <c r="D60" s="9" t="s">
        <v>1365</v>
      </c>
      <c r="E60" s="9" t="s">
        <v>1366</v>
      </c>
      <c r="F60" s="9" t="s">
        <v>1367</v>
      </c>
      <c r="G60" s="9" t="s">
        <v>1368</v>
      </c>
      <c r="H60" s="9" t="s">
        <v>1369</v>
      </c>
      <c r="I60" s="9" t="s">
        <v>1370</v>
      </c>
      <c r="J60" s="9" t="s">
        <v>1371</v>
      </c>
    </row>
    <row r="61" spans="1:13">
      <c r="A61" s="44">
        <v>2021</v>
      </c>
      <c r="B61" s="72">
        <f>MAX('FERC 2021'!$CI$3:$CI$237)</f>
        <v>558.41224789496414</v>
      </c>
      <c r="C61" s="94">
        <f>MIN('FERC 2021'!$CH$3:$CH$237)</f>
        <v>1.2705150817613824</v>
      </c>
      <c r="D61" s="94">
        <f>AVERAGE('FERC 2021'!$CI$3:$CI$237)</f>
        <v>138.38334373449899</v>
      </c>
      <c r="E61" s="94">
        <f>MEDIAN('FERC 2021'!$CI$3:$CI$237)</f>
        <v>114.46334316506868</v>
      </c>
      <c r="F61" s="44">
        <f>STDEV('FERC 2021'!$CI$3:$CI$237)</f>
        <v>85.208414384853867</v>
      </c>
      <c r="G61" s="44">
        <f>QUARTILE('FERC 2021'!$CI$3:$CI$237,1)</f>
        <v>80.263809255997757</v>
      </c>
      <c r="H61" s="44">
        <f>QUARTILE('FERC 2021'!$CI$3:$CI$237,3)</f>
        <v>168.09547925491523</v>
      </c>
      <c r="I61" s="94">
        <f t="shared" ref="I61:I63" si="2">IF($I$58="5d",D61+5*F61,IF($I$58="3q",H61+3*(H61-G61),$I$58))</f>
        <v>564.42541565876832</v>
      </c>
      <c r="J61" s="44"/>
    </row>
    <row r="62" spans="1:13">
      <c r="A62" s="44">
        <v>2022</v>
      </c>
      <c r="B62" s="72">
        <f>MAX('FERC 2022'!$CI$3:$CI$237)</f>
        <v>668.59139170594676</v>
      </c>
      <c r="C62" s="94">
        <f>MIN('FERC 2022'!$CH$3:$CH$237)</f>
        <v>1.7326870422723326</v>
      </c>
      <c r="D62" s="94">
        <f>AVERAGE('FERC 2022'!$CI$3:$CI$237)</f>
        <v>153.0477714294623</v>
      </c>
      <c r="E62" s="94">
        <f>MEDIAN('FERC 2022'!$CI$3:$CI$237)</f>
        <v>130.90258927841671</v>
      </c>
      <c r="F62" s="44">
        <f>STDEV('FERC 2022'!$CI$3:$CI$237)</f>
        <v>92.77946577325838</v>
      </c>
      <c r="G62" s="44">
        <f>QUARTILE('FERC 2022'!$CI$3:$CI$237,1)</f>
        <v>91.285439505061731</v>
      </c>
      <c r="H62" s="44">
        <f>QUARTILE('FERC 2022'!$CI$3:$CI$237,3)</f>
        <v>176.00321845298856</v>
      </c>
      <c r="I62" s="94">
        <f t="shared" si="2"/>
        <v>616.94510029575417</v>
      </c>
      <c r="J62" s="44"/>
    </row>
    <row r="63" spans="1:13">
      <c r="A63" s="44">
        <v>2023</v>
      </c>
      <c r="B63" s="72">
        <f>MAX('FERC 2023'!$CI$3:$CI$237)</f>
        <v>877.77840371141826</v>
      </c>
      <c r="C63" s="94">
        <f>MIN('FERC 2023'!$CH$3:$CH$237)</f>
        <v>1.522295497610114</v>
      </c>
      <c r="D63" s="94">
        <f>AVERAGE('FERC 2023'!$CI$3:$CI$237)</f>
        <v>161.69047148665786</v>
      </c>
      <c r="E63" s="94">
        <f>MEDIAN('FERC 2023'!$CI$3:$CI$237)</f>
        <v>132.91833672760094</v>
      </c>
      <c r="F63" s="44">
        <f>STDEV('FERC 2023'!$CI$3:$CI$237)</f>
        <v>121.37125163955696</v>
      </c>
      <c r="G63" s="44">
        <f>QUARTILE('FERC 2023'!$CI$3:$CI$237,1)</f>
        <v>85.775562141039146</v>
      </c>
      <c r="H63" s="44">
        <f>QUARTILE('FERC 2023'!$CI$3:$CI$237,3)</f>
        <v>182.88066100356588</v>
      </c>
      <c r="I63" s="94">
        <f t="shared" si="2"/>
        <v>768.54672968444265</v>
      </c>
      <c r="J63" s="44"/>
    </row>
    <row r="64" spans="1:13">
      <c r="A64" s="44"/>
      <c r="B64" s="72"/>
      <c r="C64" s="94"/>
      <c r="D64" s="94"/>
      <c r="E64" s="94"/>
      <c r="F64" s="44"/>
      <c r="G64" s="44"/>
      <c r="H64" s="44"/>
      <c r="I64" s="94"/>
      <c r="J64" s="44"/>
    </row>
    <row r="86" spans="1:10">
      <c r="A86" s="44" t="s">
        <v>1361</v>
      </c>
      <c r="B86" s="92" t="s">
        <v>160</v>
      </c>
      <c r="H86" s="44" t="s">
        <v>1359</v>
      </c>
      <c r="I86" s="44" t="s">
        <v>1360</v>
      </c>
    </row>
    <row r="87" spans="1:10">
      <c r="A87" s="44" t="s">
        <v>1372</v>
      </c>
    </row>
    <row r="88" spans="1:10">
      <c r="A88" s="93" t="s">
        <v>1362</v>
      </c>
      <c r="B88" s="9" t="s">
        <v>1363</v>
      </c>
      <c r="C88" s="9" t="s">
        <v>1364</v>
      </c>
      <c r="D88" s="9" t="s">
        <v>1365</v>
      </c>
      <c r="E88" s="9" t="s">
        <v>1366</v>
      </c>
      <c r="F88" s="9" t="s">
        <v>1367</v>
      </c>
      <c r="G88" s="9" t="s">
        <v>1368</v>
      </c>
      <c r="H88" s="9" t="s">
        <v>1369</v>
      </c>
      <c r="I88" s="9" t="s">
        <v>1370</v>
      </c>
      <c r="J88" s="9" t="s">
        <v>1371</v>
      </c>
    </row>
    <row r="89" spans="1:10">
      <c r="A89" s="91">
        <v>2021</v>
      </c>
      <c r="B89" s="72">
        <f>MAX('FERC 2021'!$CJ$3:$CJ$237)</f>
        <v>829.84009009009014</v>
      </c>
      <c r="C89" s="94">
        <f>MIN('FERC 2021'!$CJ$3:$CJ$237)</f>
        <v>65.559026915848079</v>
      </c>
      <c r="D89" s="94">
        <f>AVERAGE('FERC 2021'!$CJ$3:$CJ$237)</f>
        <v>210.06496583019188</v>
      </c>
      <c r="E89" s="94">
        <f>MEDIAN('FERC 2021'!$CJ$3:$CJ$237)</f>
        <v>201.00809645199044</v>
      </c>
      <c r="F89" s="44">
        <f>STDEV('FERC 2021'!$CJ$3:$CJ$237)</f>
        <v>86.695707648061628</v>
      </c>
      <c r="G89" s="44">
        <f>QUARTILE('FERC 2021'!$CJ$3:$CJ$237,1)</f>
        <v>161.81591643445782</v>
      </c>
      <c r="H89" s="44">
        <f>QUARTILE('FERC 2021'!$CJ$3:$CJ$237,3)</f>
        <v>244.06597797272457</v>
      </c>
      <c r="I89" s="94">
        <f t="shared" ref="I89:I91" si="3">IF($I$86="5d",D89+5*F89,IF($I$86="3q",H89+3*(H89-G89),$I$86))</f>
        <v>643.54350407050003</v>
      </c>
      <c r="J89" s="44"/>
    </row>
    <row r="90" spans="1:10">
      <c r="A90" s="91">
        <v>2022</v>
      </c>
      <c r="B90" s="72">
        <f>MAX('FERC 2022'!$CJ$3:$CJ$237)</f>
        <v>716.0834642670095</v>
      </c>
      <c r="C90" s="94">
        <f>MIN('FERC 2022'!$CJ$3:$CJ$237)</f>
        <v>76.806563562783552</v>
      </c>
      <c r="D90" s="94">
        <f>AVERAGE('FERC 2022'!$CJ$3:$CJ$237)</f>
        <v>220.09048141742392</v>
      </c>
      <c r="E90" s="94">
        <f>MEDIAN('FERC 2022'!$CJ$3:$CJ$237)</f>
        <v>203.9334312364085</v>
      </c>
      <c r="F90" s="44">
        <f>STDEV('FERC 2022'!$CJ$3:$CJ$237)</f>
        <v>82.206092880293042</v>
      </c>
      <c r="G90" s="44">
        <f>QUARTILE('FERC 2022'!$CJ$3:$CJ$237,1)</f>
        <v>171.76338357907491</v>
      </c>
      <c r="H90" s="44">
        <f>QUARTILE('FERC 2022'!$CJ$3:$CJ$237,3)</f>
        <v>251.45006641130374</v>
      </c>
      <c r="I90" s="94">
        <f t="shared" si="3"/>
        <v>631.12094581888914</v>
      </c>
      <c r="J90" s="44"/>
    </row>
    <row r="91" spans="1:10">
      <c r="A91" s="91">
        <v>2023</v>
      </c>
      <c r="B91" s="72">
        <f>MAX('FERC 2023'!$CJ$3:$CJ$237)</f>
        <v>803.66346224407425</v>
      </c>
      <c r="C91" s="94">
        <f>MIN('FERC 2023'!$CJ$3:$CJ$237)</f>
        <v>88.048312272247742</v>
      </c>
      <c r="D91" s="94">
        <f>AVERAGE('FERC 2023'!$CJ$3:$CJ$237)</f>
        <v>238.69553762257729</v>
      </c>
      <c r="E91" s="94">
        <f>MEDIAN('FERC 2023'!$CJ$3:$CJ$237)</f>
        <v>218.19080759416292</v>
      </c>
      <c r="F91" s="44">
        <f>STDEV('FERC 2023'!$CJ$3:$CJ$237)</f>
        <v>107.41262138432444</v>
      </c>
      <c r="G91" s="44">
        <f>QUARTILE('FERC 2023'!$CJ$3:$CJ$237,1)</f>
        <v>180.29208698453709</v>
      </c>
      <c r="H91" s="44">
        <f>QUARTILE('FERC 2023'!$CJ$3:$CJ$237,3)</f>
        <v>265.32628333222357</v>
      </c>
      <c r="I91" s="94">
        <f t="shared" si="3"/>
        <v>775.75864454419946</v>
      </c>
      <c r="J91" s="44"/>
    </row>
    <row r="92" spans="1:10">
      <c r="A92" s="91"/>
      <c r="B92" s="72"/>
      <c r="C92" s="94"/>
      <c r="D92" s="94"/>
      <c r="E92" s="94"/>
      <c r="F92" s="44"/>
      <c r="G92" s="44"/>
      <c r="H92" s="44"/>
      <c r="I92" s="94"/>
      <c r="J92" s="44"/>
    </row>
    <row r="113" spans="1:11">
      <c r="A113" s="44"/>
      <c r="B113" s="92"/>
    </row>
    <row r="114" spans="1:11">
      <c r="A114" s="44" t="s">
        <v>1361</v>
      </c>
      <c r="B114" s="91" t="s">
        <v>161</v>
      </c>
      <c r="H114" s="44" t="s">
        <v>1359</v>
      </c>
      <c r="I114" s="44" t="s">
        <v>1360</v>
      </c>
      <c r="K114" s="16">
        <v>0.13</v>
      </c>
    </row>
    <row r="115" spans="1:11">
      <c r="A115" s="44" t="s">
        <v>1372</v>
      </c>
    </row>
    <row r="116" spans="1:11">
      <c r="A116" s="93" t="s">
        <v>1362</v>
      </c>
      <c r="B116" s="9" t="s">
        <v>1363</v>
      </c>
      <c r="C116" s="9" t="s">
        <v>1364</v>
      </c>
      <c r="D116" s="9" t="s">
        <v>1365</v>
      </c>
      <c r="E116" s="9" t="s">
        <v>1366</v>
      </c>
      <c r="F116" s="9" t="s">
        <v>1367</v>
      </c>
      <c r="G116" s="9" t="s">
        <v>1368</v>
      </c>
      <c r="H116" s="9" t="s">
        <v>1369</v>
      </c>
      <c r="I116" s="9" t="s">
        <v>1370</v>
      </c>
      <c r="J116" s="9" t="s">
        <v>1371</v>
      </c>
    </row>
    <row r="117" spans="1:11">
      <c r="A117" s="91">
        <v>2021</v>
      </c>
      <c r="B117" s="17">
        <f>MAX('FERC 2021'!$CK$3:$CK$237)</f>
        <v>0.42760506345011939</v>
      </c>
      <c r="C117" s="17">
        <f>MIN('FERC 2021'!$CK$3:$CK$237)</f>
        <v>4.6393653486617769E-3</v>
      </c>
      <c r="D117" s="17">
        <f>AVERAGE('FERC 2021'!$CK$3:$CK$237)</f>
        <v>5.7175931924153836E-2</v>
      </c>
      <c r="E117" s="17">
        <f>MEDIAN('FERC 2021'!$CK$3:$CK$237)</f>
        <v>5.2689948852325544E-2</v>
      </c>
      <c r="F117" s="17">
        <f>STDEV('FERC 2021'!$CK$3:$CK$237)</f>
        <v>4.5522665282638507E-2</v>
      </c>
      <c r="G117" s="17">
        <f>QUARTILE('FERC 2021'!$CK$3:$CK$237,1)</f>
        <v>3.3432733342303324E-2</v>
      </c>
      <c r="H117" s="17">
        <f>QUARTILE('FERC 2021'!$CK$3:$CK$237,3)</f>
        <v>6.8686949588795732E-2</v>
      </c>
      <c r="I117" s="17">
        <f t="shared" ref="I117:I119" si="4">IF($I$114="5d",D117+5*F117,IF($I$114="3q",H117+3*(H117-G117),$I$114))</f>
        <v>0.28478925833734636</v>
      </c>
      <c r="J117" s="44"/>
    </row>
    <row r="118" spans="1:11">
      <c r="A118" s="91">
        <v>2022</v>
      </c>
      <c r="B118" s="17">
        <f>MAX('FERC 2022'!$CK$3:$CK$237)</f>
        <v>0.33338099767223411</v>
      </c>
      <c r="C118" s="17">
        <f>MIN('FERC 2022'!$CK$3:$CK$237)</f>
        <v>1.1713291360376749E-3</v>
      </c>
      <c r="D118" s="17">
        <f>AVERAGE('FERC 2022'!$CK$3:$CK$237)</f>
        <v>5.4488051006766278E-2</v>
      </c>
      <c r="E118" s="17">
        <f>MEDIAN('FERC 2022'!$CK$3:$CK$237)</f>
        <v>5.0242959053219655E-2</v>
      </c>
      <c r="F118" s="17">
        <f>STDEV('FERC 2022'!$CK$3:$CK$237)</f>
        <v>4.1434235577204249E-2</v>
      </c>
      <c r="G118" s="17">
        <f>QUARTILE('FERC 2022'!$CK$3:$CK$237,1)</f>
        <v>3.3197363760648357E-2</v>
      </c>
      <c r="H118" s="17">
        <f>QUARTILE('FERC 2022'!$CK$3:$CK$237,3)</f>
        <v>6.4338795151983791E-2</v>
      </c>
      <c r="I118" s="17">
        <f t="shared" si="4"/>
        <v>0.26165922889278753</v>
      </c>
      <c r="J118" s="44"/>
    </row>
    <row r="119" spans="1:11">
      <c r="A119" s="91">
        <v>2023</v>
      </c>
      <c r="B119" s="17">
        <f>MAX('FERC 2023'!$CK$3:$CK$237)</f>
        <v>0.45198036257638907</v>
      </c>
      <c r="C119" s="17">
        <f>MIN('FERC 2023'!$CK$3:$CK$237)</f>
        <v>9.8177021972694592E-4</v>
      </c>
      <c r="D119" s="17">
        <f>AVERAGE('FERC 2023'!$CK$3:$CK$237)</f>
        <v>5.6267340338553296E-2</v>
      </c>
      <c r="E119" s="17">
        <f>MEDIAN('FERC 2023'!$CK$3:$CK$237)</f>
        <v>4.894891640878761E-2</v>
      </c>
      <c r="F119" s="17">
        <f>STDEV('FERC 2023'!$CK$3:$CK$237)</f>
        <v>6.0368628624984003E-2</v>
      </c>
      <c r="G119" s="17">
        <f>QUARTILE('FERC 2023'!$CK$3:$CK$237,1)</f>
        <v>2.7838085316430596E-2</v>
      </c>
      <c r="H119" s="17">
        <f>QUARTILE('FERC 2021'!$CK$3:$CK$237,3)</f>
        <v>6.8686949588795732E-2</v>
      </c>
      <c r="I119" s="17">
        <f t="shared" si="4"/>
        <v>0.35811048346347329</v>
      </c>
      <c r="J119" s="44"/>
    </row>
    <row r="120" spans="1:11">
      <c r="A120" s="91"/>
      <c r="B120" s="17"/>
      <c r="C120" s="17"/>
      <c r="D120" s="17"/>
      <c r="E120" s="17"/>
      <c r="F120" s="17"/>
      <c r="G120" s="17"/>
      <c r="H120" s="17"/>
      <c r="I120" s="17"/>
      <c r="J120" s="44"/>
    </row>
    <row r="141" spans="1:11">
      <c r="A141" s="44" t="s">
        <v>1361</v>
      </c>
      <c r="B141" s="91" t="s">
        <v>1329</v>
      </c>
      <c r="H141" s="44" t="s">
        <v>1359</v>
      </c>
      <c r="I141" s="44" t="s">
        <v>1360</v>
      </c>
      <c r="K141" s="16">
        <v>0.13</v>
      </c>
    </row>
    <row r="142" spans="1:11">
      <c r="A142" s="44" t="s">
        <v>1372</v>
      </c>
    </row>
    <row r="143" spans="1:11">
      <c r="A143" s="93" t="s">
        <v>1362</v>
      </c>
      <c r="B143" s="9" t="s">
        <v>1363</v>
      </c>
      <c r="C143" s="9" t="s">
        <v>1364</v>
      </c>
      <c r="D143" s="9" t="s">
        <v>1365</v>
      </c>
      <c r="E143" s="9" t="s">
        <v>1366</v>
      </c>
      <c r="F143" s="9" t="s">
        <v>1367</v>
      </c>
      <c r="G143" s="9" t="s">
        <v>1368</v>
      </c>
      <c r="H143" s="9" t="s">
        <v>1369</v>
      </c>
      <c r="I143" s="9" t="s">
        <v>1370</v>
      </c>
      <c r="J143" s="9" t="s">
        <v>1371</v>
      </c>
    </row>
    <row r="144" spans="1:11">
      <c r="A144" s="91">
        <v>2021</v>
      </c>
      <c r="B144" s="19">
        <f>MAX('EIA 2021'!$D$3:$D$237)</f>
        <v>862.5</v>
      </c>
      <c r="C144" s="19">
        <f>MIN('EIA 2021'!$D$3:$D$237)</f>
        <v>2.76</v>
      </c>
      <c r="D144" s="19">
        <f>AVERAGE('EIA 2021'!$D$3:$D$237)</f>
        <v>134.0457258064516</v>
      </c>
      <c r="E144" s="19">
        <f>MEDIAN('EIA 2021'!$D$3:$D$237)</f>
        <v>107.91999999999999</v>
      </c>
      <c r="F144" s="44">
        <f>STDEV('EIA 2021'!$D$3:$D$237)</f>
        <v>110.31779042696805</v>
      </c>
      <c r="G144" s="44">
        <f>QUARTILE('EIA 2021'!$D$3:$D$237,1)</f>
        <v>77.012249999999995</v>
      </c>
      <c r="H144" s="44">
        <f>QUARTILE('EIA 2021'!$D$3:$D$237,3)</f>
        <v>152.54050000000001</v>
      </c>
      <c r="I144" s="19">
        <f t="shared" ref="I144:I146" si="5">IF($I$141="5d",D144+5*F144,IF($I$141="3q",H144+3*(H144-G144),$I$141))</f>
        <v>685.6346779412919</v>
      </c>
      <c r="J144" s="44"/>
    </row>
    <row r="145" spans="1:10">
      <c r="A145" s="91">
        <v>2022</v>
      </c>
      <c r="B145" s="19">
        <f>MAX('EIA 2022'!$D$3:$D$237)</f>
        <v>928.5</v>
      </c>
      <c r="C145" s="19">
        <f>MIN('EIA 2022'!$D$3:$D$237)</f>
        <v>18.18</v>
      </c>
      <c r="D145" s="19">
        <f>AVERAGE('EIA 2022'!$D$3:$D$237)</f>
        <v>145.3503553719008</v>
      </c>
      <c r="E145" s="19">
        <f>MEDIAN('EIA 2022'!$D$3:$D$237)</f>
        <v>112.7</v>
      </c>
      <c r="F145" s="44">
        <f>STDEV('EIA 2022'!$D$3:$D$237)</f>
        <v>116.39957988547172</v>
      </c>
      <c r="G145" s="44">
        <f>QUARTILE('EIA 2022'!$D$3:$D$237,1)</f>
        <v>82.8</v>
      </c>
      <c r="H145" s="44">
        <f>QUARTILE('EIA 2022'!$D$3:$D$237,3)</f>
        <v>165.6</v>
      </c>
      <c r="I145" s="19">
        <f t="shared" si="5"/>
        <v>727.34825479925939</v>
      </c>
      <c r="J145" s="44"/>
    </row>
    <row r="146" spans="1:10">
      <c r="A146" s="91">
        <v>2023</v>
      </c>
      <c r="B146" s="19">
        <f>MAX('EIA 2023'!$D$3:$D$237)</f>
        <v>593.79999999999995</v>
      </c>
      <c r="C146" s="19">
        <f>MIN('EIA 2023'!$D$3:$D$237)</f>
        <v>14.768000000000001</v>
      </c>
      <c r="D146" s="19">
        <f>AVERAGE('EIA 2023'!$D$3:$D$237)</f>
        <v>125.0725483870968</v>
      </c>
      <c r="E146" s="19">
        <f>MEDIAN('EIA 2023'!$D$3:$D$237)</f>
        <v>103.04849999999999</v>
      </c>
      <c r="F146" s="44">
        <f>STDEV('EIA 2023'!$D$3:$D$237)</f>
        <v>81.495176360357419</v>
      </c>
      <c r="G146" s="44">
        <f>QUARTILE('EIA 2023'!$D$3:$D$237,1)</f>
        <v>77.459999999999994</v>
      </c>
      <c r="H146" s="44">
        <f>QUARTILE('EIA 2023'!$D$3:$D$237,3)</f>
        <v>150.76999999999998</v>
      </c>
      <c r="I146" s="19">
        <f t="shared" si="5"/>
        <v>532.54843018888391</v>
      </c>
      <c r="J146" s="44"/>
    </row>
    <row r="147" spans="1:10">
      <c r="A147" s="91"/>
      <c r="B147" s="19"/>
      <c r="C147" s="19"/>
      <c r="D147" s="19"/>
      <c r="E147" s="19"/>
      <c r="F147" s="44"/>
      <c r="G147" s="44"/>
      <c r="H147" s="44"/>
      <c r="I147" s="19"/>
      <c r="J147" s="44"/>
    </row>
    <row r="150" spans="1:10">
      <c r="A150" s="44" t="s">
        <v>1361</v>
      </c>
      <c r="B150" s="91" t="s">
        <v>1332</v>
      </c>
      <c r="H150" s="44" t="s">
        <v>1359</v>
      </c>
      <c r="I150" s="44" t="s">
        <v>1360</v>
      </c>
    </row>
    <row r="151" spans="1:10">
      <c r="A151" s="44" t="s">
        <v>1372</v>
      </c>
    </row>
    <row r="152" spans="1:10">
      <c r="A152" s="93" t="s">
        <v>1362</v>
      </c>
      <c r="B152" s="9" t="s">
        <v>1363</v>
      </c>
      <c r="C152" s="9" t="s">
        <v>1364</v>
      </c>
      <c r="D152" s="9" t="s">
        <v>1365</v>
      </c>
      <c r="E152" s="9" t="s">
        <v>1366</v>
      </c>
      <c r="F152" s="9" t="s">
        <v>1367</v>
      </c>
      <c r="G152" s="9" t="s">
        <v>1368</v>
      </c>
      <c r="H152" s="9" t="s">
        <v>1369</v>
      </c>
      <c r="I152" s="9" t="s">
        <v>1370</v>
      </c>
      <c r="J152" s="9" t="s">
        <v>1371</v>
      </c>
    </row>
    <row r="153" spans="1:10">
      <c r="A153" s="91">
        <v>2021</v>
      </c>
      <c r="B153" s="19">
        <f>MAX('EIA 2021'!$G$3:$G$237)</f>
        <v>5.66</v>
      </c>
      <c r="C153" s="19">
        <f>MIN('EIA 2021'!$G$3:$G$237)</f>
        <v>0.16400000000000001</v>
      </c>
      <c r="D153" s="19">
        <f>AVERAGE('EIA 2021'!$G$3:$G$237)</f>
        <v>1.5302440944881883</v>
      </c>
      <c r="E153" s="19">
        <f>MEDIAN('EIA 2021'!$G$3:$G$237)</f>
        <v>1.294</v>
      </c>
      <c r="F153" s="44">
        <f>STDEV('EIA 2021'!$G$3:$G$237)</f>
        <v>0.8667014435928676</v>
      </c>
      <c r="G153" s="44">
        <f>QUARTILE('EIA 2021'!$G$3:$G$237,1)</f>
        <v>1.0325</v>
      </c>
      <c r="H153" s="44">
        <f>QUARTILE('EIA 2021'!$G$3:$G$237,3)</f>
        <v>1.7810000000000001</v>
      </c>
      <c r="I153" s="19">
        <f t="shared" ref="I153:I155" si="6">IF($I$150="5d",D153+5*F153,IF($I$150="3q",H153+3*(H153-G153),$I$150))</f>
        <v>5.8637513124525267</v>
      </c>
      <c r="J153" s="44"/>
    </row>
    <row r="154" spans="1:10">
      <c r="A154" s="91">
        <v>2022</v>
      </c>
      <c r="B154" s="19">
        <f>MAX('EIA 2022'!$G$3:$G$237)</f>
        <v>5.1859999999999999</v>
      </c>
      <c r="C154" s="19">
        <f>MIN('EIA 2022'!$G$3:$G$237)</f>
        <v>0.14399999999999999</v>
      </c>
      <c r="D154" s="19">
        <f>AVERAGE('EIA 2022'!$G$3:$G$237)</f>
        <v>1.5121707317073174</v>
      </c>
      <c r="E154" s="19">
        <f>MEDIAN('EIA 2022'!$G$3:$G$237)</f>
        <v>1.31</v>
      </c>
      <c r="F154" s="44">
        <f>STDEV('EIA 2022'!$G$3:$G$237)</f>
        <v>0.78186511674053372</v>
      </c>
      <c r="G154" s="44">
        <f>QUARTILE('EIA 2022'!$G$3:$G$237,1)</f>
        <v>1.044</v>
      </c>
      <c r="H154" s="44">
        <f>QUARTILE('EIA 2022'!$G$3:$G$237,3)</f>
        <v>1.9049999999999998</v>
      </c>
      <c r="I154" s="19">
        <f t="shared" si="6"/>
        <v>5.4214963154099856</v>
      </c>
      <c r="J154" s="44"/>
    </row>
    <row r="155" spans="1:10">
      <c r="A155" s="91">
        <v>2023</v>
      </c>
      <c r="B155" s="19">
        <f>MAX('EIA 2023'!$G$3:$G$237)</f>
        <v>3.9129999999999998</v>
      </c>
      <c r="C155" s="19">
        <f>MIN('EIA 2023'!$G$3:$G$237)</f>
        <v>0.11899999999999999</v>
      </c>
      <c r="D155" s="19">
        <f>AVERAGE('EIA 2023'!$G$3:$G$237)</f>
        <v>1.4055396825396833</v>
      </c>
      <c r="E155" s="19">
        <f>MEDIAN('EIA 2023'!$G$3:$G$237)</f>
        <v>1.31</v>
      </c>
      <c r="F155" s="44">
        <f>STDEV('EIA 2023'!$G$3:$G$237)</f>
        <v>0.66391015838944345</v>
      </c>
      <c r="G155" s="44">
        <f>QUARTILE('EIA 2023'!$G$3:$G$237,1)</f>
        <v>0.97950000000000004</v>
      </c>
      <c r="H155" s="44">
        <f>QUARTILE('EIA 2023'!$G$3:$G$237,3)</f>
        <v>1.5875000000000001</v>
      </c>
      <c r="I155" s="19">
        <f t="shared" si="6"/>
        <v>4.7250904744869002</v>
      </c>
      <c r="J155" s="44"/>
    </row>
    <row r="156" spans="1:10">
      <c r="A156" s="91"/>
      <c r="B156" s="19"/>
      <c r="C156" s="19"/>
      <c r="D156" s="19"/>
      <c r="E156" s="19"/>
      <c r="F156" s="44"/>
      <c r="G156" s="44"/>
      <c r="H156" s="44"/>
      <c r="I156" s="19"/>
      <c r="J156" s="44"/>
    </row>
    <row r="177" spans="1:10">
      <c r="A177" s="44"/>
      <c r="B177" s="44"/>
    </row>
    <row r="178" spans="1:10">
      <c r="A178" s="44"/>
    </row>
    <row r="179" spans="1:10">
      <c r="B179" s="44"/>
      <c r="C179" s="44"/>
      <c r="D179" s="44"/>
      <c r="E179" s="44"/>
      <c r="F179" s="44"/>
      <c r="G179" s="44"/>
      <c r="H179" s="44"/>
      <c r="I179" s="44"/>
      <c r="J179" s="44"/>
    </row>
    <row r="180" spans="1:10">
      <c r="A180" s="91"/>
      <c r="B180" s="19"/>
      <c r="C180" s="19"/>
      <c r="D180" s="19"/>
      <c r="E180" s="19"/>
      <c r="F180" s="44"/>
      <c r="G180" s="95"/>
      <c r="H180" s="95"/>
      <c r="I180" s="19"/>
      <c r="J180" s="44"/>
    </row>
    <row r="181" spans="1:10">
      <c r="A181" s="91"/>
      <c r="B181" s="19"/>
      <c r="C181" s="19"/>
      <c r="D181" s="19"/>
      <c r="E181" s="19"/>
      <c r="F181" s="44"/>
      <c r="G181" s="95"/>
      <c r="H181" s="95"/>
      <c r="I181" s="19"/>
      <c r="J181" s="44"/>
    </row>
    <row r="182" spans="1:10">
      <c r="A182" s="91"/>
      <c r="B182" s="19"/>
      <c r="C182" s="19"/>
      <c r="D182" s="19"/>
      <c r="E182" s="19"/>
      <c r="F182" s="44"/>
      <c r="G182" s="95"/>
      <c r="H182" s="95"/>
      <c r="I182" s="19"/>
      <c r="J182" s="44"/>
    </row>
    <row r="183" spans="1:10">
      <c r="A183" s="91"/>
      <c r="B183" s="19"/>
      <c r="C183" s="19"/>
      <c r="D183" s="19"/>
      <c r="E183" s="19"/>
      <c r="F183" s="44"/>
      <c r="G183" s="95"/>
      <c r="H183" s="95"/>
      <c r="I183" s="19"/>
      <c r="J183" s="4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O1000"/>
  <sheetViews>
    <sheetView workbookViewId="0">
      <pane xSplit="2" topLeftCell="C1" activePane="topRight" state="frozen"/>
      <selection pane="topRight" activeCell="D2" sqref="D2"/>
    </sheetView>
  </sheetViews>
  <sheetFormatPr baseColWidth="10" defaultColWidth="14.453125" defaultRowHeight="15" customHeight="1"/>
  <cols>
    <col min="1" max="1" width="9.26953125" customWidth="1"/>
    <col min="2" max="2" width="41" customWidth="1"/>
    <col min="3" max="3" width="10.81640625" customWidth="1"/>
    <col min="4" max="9" width="9.453125" customWidth="1"/>
    <col min="10" max="10" width="10.26953125" customWidth="1"/>
    <col min="11" max="13" width="11.54296875" customWidth="1"/>
    <col min="14" max="14" width="20.08984375" customWidth="1"/>
  </cols>
  <sheetData>
    <row r="1" spans="1:14" ht="14.5">
      <c r="A1" s="61" t="s">
        <v>0</v>
      </c>
      <c r="B1" s="3" t="s">
        <v>1</v>
      </c>
      <c r="C1" s="7"/>
      <c r="D1" s="7" t="s">
        <v>1373</v>
      </c>
      <c r="E1" s="7" t="s">
        <v>1374</v>
      </c>
      <c r="F1" s="7" t="s">
        <v>1375</v>
      </c>
      <c r="G1" s="7" t="s">
        <v>1376</v>
      </c>
      <c r="H1" s="7" t="s">
        <v>1377</v>
      </c>
      <c r="I1" s="7" t="s">
        <v>1378</v>
      </c>
      <c r="J1" s="7" t="s">
        <v>1379</v>
      </c>
      <c r="K1" s="7" t="s">
        <v>1380</v>
      </c>
      <c r="L1" s="7" t="s">
        <v>1381</v>
      </c>
      <c r="M1" s="7" t="s">
        <v>1382</v>
      </c>
      <c r="N1" s="7" t="s">
        <v>1383</v>
      </c>
    </row>
    <row r="2" spans="1:14" ht="14.5">
      <c r="A2" s="7" t="s">
        <v>210</v>
      </c>
      <c r="B2" s="7" t="s">
        <v>211</v>
      </c>
      <c r="C2" s="6"/>
      <c r="D2" s="6">
        <f>IFERROR(VLOOKUP(A2,'FERC 2021'!$A$3:$CK$231,82,0),0)</f>
        <v>0</v>
      </c>
      <c r="E2" s="6">
        <f>IFERROR(VLOOKUP(A2,'FERC 2022'!$A$3:$CK$230,82,0),0)</f>
        <v>0</v>
      </c>
      <c r="F2" s="6">
        <f>IFERROR(VLOOKUP(A2,'FERC 2023'!$A$3:$CK$231,82,0),0)</f>
        <v>0</v>
      </c>
      <c r="G2" s="6">
        <f>IFERROR(VLOOKUP(A2,'EIA 2021'!$A$2:$AA$268,27,0),0)</f>
        <v>0</v>
      </c>
      <c r="H2" s="6">
        <f>IFERROR(VLOOKUP(A2,'EIA 2022'!$A$2:$AA$268,27,0),0)</f>
        <v>0</v>
      </c>
      <c r="I2" s="6">
        <f>IFERROR(VLOOKUP(A2,'EIA 2023'!$A$2:$AA$268,27,0),0)</f>
        <v>0</v>
      </c>
      <c r="J2" s="29">
        <f>IFERROR(VLOOKUP(A2,'FERC 2021'!$A$3:$CQ$231,95,0)+VLOOKUP(A2,'EIA 2021'!$A$3:$AE$231,31,0),0)</f>
        <v>0</v>
      </c>
      <c r="K2" s="44">
        <f>IFERROR(VLOOKUP(A2,'FERC 2022'!$A$3:$CQ$230,95,0)+VLOOKUP(A2,'EIA 2022'!$A$3:$AE$231,31,0),0)</f>
        <v>0</v>
      </c>
      <c r="L2" s="44">
        <f>IFERROR(VLOOKUP(A2,'FERC 2023'!$A$3:$CQ$231,95,0)+VLOOKUP(A2,'EIA 2023'!$A$3:$AE$231,31,0),0)</f>
        <v>0</v>
      </c>
      <c r="M2" s="44" t="str">
        <f t="shared" ref="M2:M228" si="0">IF(AND(E2+F2=2,H2+I2=4,K2+L2=0),1,"")</f>
        <v/>
      </c>
    </row>
    <row r="3" spans="1:14" ht="14.5">
      <c r="A3" s="7" t="s">
        <v>213</v>
      </c>
      <c r="B3" s="7" t="s">
        <v>214</v>
      </c>
      <c r="C3" s="6"/>
      <c r="D3" s="6">
        <f>IFERROR(VLOOKUP(A3,'FERC 2021'!$A$3:$CK$231,82,0),0)</f>
        <v>0</v>
      </c>
      <c r="E3" s="6">
        <f>IFERROR(VLOOKUP(A3,'FERC 2022'!$A$3:$CK$230,82,0),0)</f>
        <v>0</v>
      </c>
      <c r="F3" s="6">
        <f>IFERROR(VLOOKUP(A3,'FERC 2023'!$A$3:$CK$231,82,0),0)</f>
        <v>0</v>
      </c>
      <c r="G3" s="6">
        <f>IFERROR(VLOOKUP(A3,'EIA 2021'!$A$2:$AA$268,27,0),0)</f>
        <v>0</v>
      </c>
      <c r="H3" s="6">
        <f>IFERROR(VLOOKUP(A3,'EIA 2022'!$A$2:$AA$268,27,0),0)</f>
        <v>0</v>
      </c>
      <c r="I3" s="6">
        <f>IFERROR(VLOOKUP(A3,'EIA 2023'!$A$2:$AA$268,27,0),0)</f>
        <v>0</v>
      </c>
      <c r="J3" s="29">
        <f>IFERROR(VLOOKUP(A3,'FERC 2021'!$A$3:$CQ$231,95,0)+VLOOKUP(A3,'EIA 2021'!$A$3:$AE$231,31,0),0)</f>
        <v>0</v>
      </c>
      <c r="K3" s="44">
        <f>IFERROR(VLOOKUP(A3,'FERC 2022'!$A$3:$CQ$230,95,0)+VLOOKUP(A3,'EIA 2022'!$A$3:$AE$231,31,0),0)</f>
        <v>0</v>
      </c>
      <c r="L3" s="44">
        <f>IFERROR(VLOOKUP(A3,'FERC 2023'!$A$3:$CQ$231,95,0)+VLOOKUP(A3,'EIA 2023'!$A$3:$AE$231,31,0),0)</f>
        <v>0</v>
      </c>
      <c r="M3" s="44" t="str">
        <f t="shared" si="0"/>
        <v/>
      </c>
    </row>
    <row r="4" spans="1:14" ht="14.5">
      <c r="A4" s="7" t="s">
        <v>216</v>
      </c>
      <c r="B4" s="7" t="s">
        <v>217</v>
      </c>
      <c r="C4" s="6"/>
      <c r="D4" s="6">
        <f>IFERROR(VLOOKUP(A4,'FERC 2021'!$A$3:$CK$231,82,0),0)</f>
        <v>0</v>
      </c>
      <c r="E4" s="6">
        <f>IFERROR(VLOOKUP(A4,'FERC 2022'!$A$3:$CK$230,82,0),0)</f>
        <v>0</v>
      </c>
      <c r="F4" s="6">
        <f>IFERROR(VLOOKUP(A4,'FERC 2023'!$A$3:$CK$231,82,0),0)</f>
        <v>0</v>
      </c>
      <c r="G4" s="6">
        <f>IFERROR(VLOOKUP(A4,'EIA 2021'!$A$2:$AA$268,27,0),0)</f>
        <v>0</v>
      </c>
      <c r="H4" s="6">
        <f>IFERROR(VLOOKUP(A4,'EIA 2022'!$A$2:$AA$268,27,0),0)</f>
        <v>0</v>
      </c>
      <c r="I4" s="6">
        <f>IFERROR(VLOOKUP(A4,'EIA 2023'!$A$2:$AA$268,27,0),0)</f>
        <v>0</v>
      </c>
      <c r="J4" s="29">
        <f>IFERROR(VLOOKUP(A4,'FERC 2021'!$A$3:$CQ$231,95,0)+VLOOKUP(A4,'EIA 2021'!$A$3:$AE$231,31,0),0)</f>
        <v>0</v>
      </c>
      <c r="K4" s="44">
        <f>IFERROR(VLOOKUP(A4,'FERC 2022'!$A$3:$CQ$230,95,0)+VLOOKUP(A4,'EIA 2022'!$A$3:$AE$231,31,0),0)</f>
        <v>0</v>
      </c>
      <c r="L4" s="44">
        <f>IFERROR(VLOOKUP(A4,'FERC 2023'!$A$3:$CQ$231,95,0)+VLOOKUP(A4,'EIA 2023'!$A$3:$AE$231,31,0),0)</f>
        <v>0</v>
      </c>
      <c r="M4" s="44" t="str">
        <f t="shared" si="0"/>
        <v/>
      </c>
    </row>
    <row r="5" spans="1:14" ht="14.5">
      <c r="A5" s="7" t="s">
        <v>219</v>
      </c>
      <c r="B5" s="7" t="s">
        <v>220</v>
      </c>
      <c r="C5" s="6"/>
      <c r="D5" s="6">
        <f>IFERROR(VLOOKUP(A5,'FERC 2021'!$A$3:$CK$231,82,0),0)</f>
        <v>1</v>
      </c>
      <c r="E5" s="6">
        <f>IFERROR(VLOOKUP(A5,'FERC 2022'!$A$3:$CK$230,82,0),0)</f>
        <v>1</v>
      </c>
      <c r="F5" s="6">
        <f>IFERROR(VLOOKUP(A5,'FERC 2023'!$A$3:$CK$231,82,0),0)</f>
        <v>1</v>
      </c>
      <c r="G5" s="6">
        <f>IFERROR(VLOOKUP(A5,'EIA 2021'!$A$2:$AA$268,27,0),0)</f>
        <v>2</v>
      </c>
      <c r="H5" s="6">
        <f>IFERROR(VLOOKUP(A5,'EIA 2022'!$A$2:$AA$268,27,0),0)</f>
        <v>2</v>
      </c>
      <c r="I5" s="6">
        <f>IFERROR(VLOOKUP(A5,'EIA 2023'!$A$2:$AA$268,27,0),0)</f>
        <v>2</v>
      </c>
      <c r="J5" s="29">
        <f>IFERROR(VLOOKUP(A5,'FERC 2021'!$A$3:$CQ$231,95,0)+VLOOKUP(A5,'EIA 2021'!$A$3:$AE$231,31,0),0)</f>
        <v>0</v>
      </c>
      <c r="K5" s="44">
        <f>IFERROR(VLOOKUP(A5,'FERC 2022'!$A$3:$CQ$230,95,0)+VLOOKUP(A5,'EIA 2022'!$A$3:$AE$231,31,0),0)</f>
        <v>0</v>
      </c>
      <c r="L5" s="44">
        <f>IFERROR(VLOOKUP(A5,'FERC 2023'!$A$3:$CQ$231,95,0)+VLOOKUP(A5,'EIA 2023'!$A$3:$AE$231,31,0),0)</f>
        <v>0</v>
      </c>
      <c r="M5" s="44">
        <f t="shared" si="0"/>
        <v>1</v>
      </c>
      <c r="N5" s="44"/>
    </row>
    <row r="6" spans="1:14" ht="14.5">
      <c r="A6" s="7" t="s">
        <v>222</v>
      </c>
      <c r="B6" s="7" t="s">
        <v>223</v>
      </c>
      <c r="C6" s="6"/>
      <c r="D6" s="6">
        <f>IFERROR(VLOOKUP(A6,'FERC 2021'!$A$3:$CK$231,82,0),0)</f>
        <v>0</v>
      </c>
      <c r="E6" s="6">
        <f>IFERROR(VLOOKUP(A6,'FERC 2022'!$A$3:$CK$230,82,0),0)</f>
        <v>0</v>
      </c>
      <c r="F6" s="6">
        <f>IFERROR(VLOOKUP(A6,'FERC 2023'!$A$3:$CK$231,82,0),0)</f>
        <v>0</v>
      </c>
      <c r="G6" s="6">
        <f>IFERROR(VLOOKUP(A6,'EIA 2021'!$A$2:$AA$268,27,0),0)</f>
        <v>0</v>
      </c>
      <c r="H6" s="6">
        <f>IFERROR(VLOOKUP(A6,'EIA 2022'!$A$2:$AA$268,27,0),0)</f>
        <v>0</v>
      </c>
      <c r="I6" s="6">
        <f>IFERROR(VLOOKUP(A6,'EIA 2023'!$A$2:$AA$268,27,0),0)</f>
        <v>0</v>
      </c>
      <c r="J6" s="29">
        <f>IFERROR(VLOOKUP(A6,'FERC 2021'!$A$3:$CQ$231,95,0)+VLOOKUP(A6,'EIA 2021'!$A$3:$AE$231,31,0),0)</f>
        <v>0</v>
      </c>
      <c r="K6" s="44">
        <f>IFERROR(VLOOKUP(A6,'FERC 2022'!$A$3:$CQ$230,95,0)+VLOOKUP(A6,'EIA 2022'!$A$3:$AE$231,31,0),0)</f>
        <v>0</v>
      </c>
      <c r="L6" s="44">
        <f>IFERROR(VLOOKUP(A6,'FERC 2023'!$A$3:$CQ$231,95,0)+VLOOKUP(A6,'EIA 2023'!$A$3:$AE$231,31,0),0)</f>
        <v>0</v>
      </c>
      <c r="M6" s="44" t="str">
        <f t="shared" si="0"/>
        <v/>
      </c>
    </row>
    <row r="7" spans="1:14" ht="14.5">
      <c r="A7" s="7" t="s">
        <v>225</v>
      </c>
      <c r="B7" s="7" t="s">
        <v>226</v>
      </c>
      <c r="C7" s="6"/>
      <c r="D7" s="6">
        <f>IFERROR(VLOOKUP(A7,'FERC 2021'!$A$3:$CK$231,82,0),0)</f>
        <v>1</v>
      </c>
      <c r="E7" s="6">
        <f>IFERROR(VLOOKUP(A7,'FERC 2022'!$A$3:$CK$230,82,0),0)</f>
        <v>1</v>
      </c>
      <c r="F7" s="6">
        <f>IFERROR(VLOOKUP(A7,'FERC 2023'!$A$3:$CK$231,82,0),0)</f>
        <v>1</v>
      </c>
      <c r="G7" s="6">
        <f>IFERROR(VLOOKUP(A7,'EIA 2021'!$A$2:$AA$268,27,0),0)</f>
        <v>2</v>
      </c>
      <c r="H7" s="6">
        <f>IFERROR(VLOOKUP(A7,'EIA 2022'!$A$2:$AA$268,27,0),0)</f>
        <v>2</v>
      </c>
      <c r="I7" s="6">
        <f>IFERROR(VLOOKUP(A7,'EIA 2023'!$A$2:$AA$268,27,0),0)</f>
        <v>2</v>
      </c>
      <c r="J7" s="29">
        <f>IFERROR(VLOOKUP(A7,'FERC 2021'!$A$3:$CQ$231,95,0)+VLOOKUP(A7,'EIA 2021'!$A$3:$AE$231,31,0),0)</f>
        <v>0</v>
      </c>
      <c r="K7" s="44">
        <f>IFERROR(VLOOKUP(A7,'FERC 2022'!$A$3:$CQ$230,95,0)+VLOOKUP(A7,'EIA 2022'!$A$3:$AE$231,31,0),0)</f>
        <v>0</v>
      </c>
      <c r="L7" s="44">
        <f>IFERROR(VLOOKUP(A7,'FERC 2023'!$A$3:$CQ$231,95,0)+VLOOKUP(A7,'EIA 2023'!$A$3:$AE$231,31,0),0)</f>
        <v>0</v>
      </c>
      <c r="M7" s="44">
        <f t="shared" si="0"/>
        <v>1</v>
      </c>
    </row>
    <row r="8" spans="1:14" ht="14.5">
      <c r="A8" s="7" t="s">
        <v>228</v>
      </c>
      <c r="B8" s="7" t="s">
        <v>229</v>
      </c>
      <c r="C8" s="6"/>
      <c r="D8" s="6">
        <f>IFERROR(VLOOKUP(A8,'FERC 2021'!$A$3:$CK$231,82,0),0)</f>
        <v>0</v>
      </c>
      <c r="E8" s="6">
        <f>IFERROR(VLOOKUP(A8,'FERC 2022'!$A$3:$CK$230,82,0),0)</f>
        <v>0</v>
      </c>
      <c r="F8" s="6">
        <f>IFERROR(VLOOKUP(A8,'FERC 2023'!$A$3:$CK$231,82,0),0)</f>
        <v>0</v>
      </c>
      <c r="G8" s="6">
        <f>IFERROR(VLOOKUP(A8,'EIA 2021'!$A$2:$AA$268,27,0),0)</f>
        <v>2</v>
      </c>
      <c r="H8" s="6">
        <f>IFERROR(VLOOKUP(A8,'EIA 2022'!$A$2:$AA$268,27,0),0)</f>
        <v>2</v>
      </c>
      <c r="I8" s="6">
        <f>IFERROR(VLOOKUP(A8,'EIA 2023'!$A$2:$AA$268,27,0),0)</f>
        <v>2</v>
      </c>
      <c r="J8" s="29">
        <f>IFERROR(VLOOKUP(A8,'FERC 2021'!$A$3:$CQ$231,95,0)+VLOOKUP(A8,'EIA 2021'!$A$3:$AE$231,31,0),0)</f>
        <v>0</v>
      </c>
      <c r="K8" s="44">
        <f>IFERROR(VLOOKUP(A8,'FERC 2022'!$A$3:$CQ$230,95,0)+VLOOKUP(A8,'EIA 2022'!$A$3:$AE$231,31,0),0)</f>
        <v>0</v>
      </c>
      <c r="L8" s="44">
        <f>IFERROR(VLOOKUP(A8,'FERC 2023'!$A$3:$CQ$231,95,0)+VLOOKUP(A8,'EIA 2023'!$A$3:$AE$231,31,0),0)</f>
        <v>0</v>
      </c>
      <c r="M8" s="44" t="str">
        <f t="shared" si="0"/>
        <v/>
      </c>
    </row>
    <row r="9" spans="1:14" ht="14.5">
      <c r="A9" s="7" t="s">
        <v>231</v>
      </c>
      <c r="B9" s="7" t="s">
        <v>232</v>
      </c>
      <c r="C9" s="6"/>
      <c r="D9" s="6">
        <f>IFERROR(VLOOKUP(A9,'FERC 2021'!$A$3:$CK$231,82,0),0)</f>
        <v>1</v>
      </c>
      <c r="E9" s="6">
        <f>IFERROR(VLOOKUP(A9,'FERC 2022'!$A$3:$CK$230,82,0),0)</f>
        <v>1</v>
      </c>
      <c r="F9" s="6">
        <f>IFERROR(VLOOKUP(A9,'FERC 2023'!$A$3:$CK$231,82,0),0)</f>
        <v>1</v>
      </c>
      <c r="G9" s="6">
        <f>IFERROR(VLOOKUP(A9,'EIA 2021'!$A$2:$AA$268,27,0),0)</f>
        <v>1</v>
      </c>
      <c r="H9" s="6">
        <f>IFERROR(VLOOKUP(A9,'EIA 2022'!$A$2:$AA$268,27,0),0)</f>
        <v>1</v>
      </c>
      <c r="I9" s="6">
        <f>IFERROR(VLOOKUP(A9,'EIA 2023'!$A$2:$AA$268,27,0),0)</f>
        <v>1</v>
      </c>
      <c r="J9" s="29">
        <f>IFERROR(VLOOKUP(A9,'FERC 2021'!$A$3:$CQ$231,95,0)+VLOOKUP(A9,'EIA 2021'!$A$3:$AE$231,31,0),0)</f>
        <v>1</v>
      </c>
      <c r="K9" s="44">
        <f>IFERROR(VLOOKUP(A9,'FERC 2022'!$A$3:$CQ$230,95,0)+VLOOKUP(A9,'EIA 2022'!$A$3:$AE$231,31,0),0)</f>
        <v>1</v>
      </c>
      <c r="L9" s="44">
        <f>IFERROR(VLOOKUP(A9,'FERC 2023'!$A$3:$CQ$231,95,0)+VLOOKUP(A9,'EIA 2023'!$A$3:$AE$231,31,0),0)</f>
        <v>1</v>
      </c>
      <c r="M9" s="44" t="str">
        <f t="shared" si="0"/>
        <v/>
      </c>
      <c r="N9" s="7"/>
    </row>
    <row r="10" spans="1:14" ht="14.5">
      <c r="A10" s="7" t="s">
        <v>234</v>
      </c>
      <c r="B10" s="7" t="s">
        <v>235</v>
      </c>
      <c r="C10" s="6"/>
      <c r="D10" s="6">
        <f>IFERROR(VLOOKUP(A10,'FERC 2021'!$A$3:$CK$231,82,0),0)</f>
        <v>1</v>
      </c>
      <c r="E10" s="6">
        <f>IFERROR(VLOOKUP(A10,'FERC 2022'!$A$3:$CK$230,82,0),0)</f>
        <v>1</v>
      </c>
      <c r="F10" s="6">
        <f>IFERROR(VLOOKUP(A10,'FERC 2023'!$A$3:$CK$231,82,0),0)</f>
        <v>1</v>
      </c>
      <c r="G10" s="6">
        <f>IFERROR(VLOOKUP(A10,'EIA 2021'!$A$2:$AA$268,27,0),0)</f>
        <v>2</v>
      </c>
      <c r="H10" s="6">
        <f>IFERROR(VLOOKUP(A10,'EIA 2022'!$A$2:$AA$268,27,0),0)</f>
        <v>2</v>
      </c>
      <c r="I10" s="6">
        <f>IFERROR(VLOOKUP(A10,'EIA 2023'!$A$2:$AA$268,27,0),0)</f>
        <v>2</v>
      </c>
      <c r="J10" s="29">
        <f>IFERROR(VLOOKUP(A10,'FERC 2021'!$A$3:$CQ$231,95,0)+VLOOKUP(A10,'EIA 2021'!$A$3:$AE$231,31,0),0)</f>
        <v>0</v>
      </c>
      <c r="K10" s="44">
        <f>IFERROR(VLOOKUP(A10,'FERC 2022'!$A$3:$CQ$230,95,0)+VLOOKUP(A10,'EIA 2022'!$A$3:$AE$231,31,0),0)</f>
        <v>0</v>
      </c>
      <c r="L10" s="44">
        <f>IFERROR(VLOOKUP(A10,'FERC 2023'!$A$3:$CQ$231,95,0)+VLOOKUP(A10,'EIA 2023'!$A$3:$AE$231,31,0),0)</f>
        <v>0</v>
      </c>
      <c r="M10" s="44">
        <f t="shared" si="0"/>
        <v>1</v>
      </c>
    </row>
    <row r="11" spans="1:14" ht="14.5">
      <c r="A11" s="7" t="s">
        <v>237</v>
      </c>
      <c r="B11" s="7" t="s">
        <v>238</v>
      </c>
      <c r="C11" s="6"/>
      <c r="D11" s="6">
        <f>IFERROR(VLOOKUP(A11,'FERC 2021'!$A$3:$CK$231,82,0),0)</f>
        <v>1</v>
      </c>
      <c r="E11" s="6">
        <f>IFERROR(VLOOKUP(A11,'FERC 2022'!$A$3:$CK$230,82,0),0)</f>
        <v>1</v>
      </c>
      <c r="F11" s="6">
        <f>IFERROR(VLOOKUP(A11,'FERC 2023'!$A$3:$CK$231,82,0),0)</f>
        <v>1</v>
      </c>
      <c r="G11" s="6">
        <f>IFERROR(VLOOKUP(A11,'EIA 2021'!$A$2:$AA$268,27,0),0)</f>
        <v>2</v>
      </c>
      <c r="H11" s="6">
        <f>IFERROR(VLOOKUP(A11,'EIA 2022'!$A$2:$AA$268,27,0),0)</f>
        <v>2</v>
      </c>
      <c r="I11" s="6">
        <f>IFERROR(VLOOKUP(A11,'EIA 2023'!$A$2:$AA$268,27,0),0)</f>
        <v>2</v>
      </c>
      <c r="J11" s="29">
        <f>IFERROR(VLOOKUP(A11,'FERC 2021'!$A$3:$CQ$231,95,0)+VLOOKUP(A11,'EIA 2021'!$A$3:$AE$231,31,0),0)</f>
        <v>0</v>
      </c>
      <c r="K11" s="44">
        <f>IFERROR(VLOOKUP(A11,'FERC 2022'!$A$3:$CQ$230,95,0)+VLOOKUP(A11,'EIA 2022'!$A$3:$AE$231,31,0),0)</f>
        <v>0</v>
      </c>
      <c r="L11" s="44">
        <f>IFERROR(VLOOKUP(A11,'FERC 2023'!$A$3:$CQ$231,95,0)+VLOOKUP(A11,'EIA 2023'!$A$3:$AE$231,31,0),0)</f>
        <v>0</v>
      </c>
      <c r="M11" s="44">
        <f t="shared" si="0"/>
        <v>1</v>
      </c>
    </row>
    <row r="12" spans="1:14" ht="14.5">
      <c r="A12" s="7" t="s">
        <v>240</v>
      </c>
      <c r="B12" s="7" t="s">
        <v>241</v>
      </c>
      <c r="C12" s="6"/>
      <c r="D12" s="6">
        <f>IFERROR(VLOOKUP(A12,'FERC 2021'!$A$3:$CK$231,82,0),0)</f>
        <v>1</v>
      </c>
      <c r="E12" s="6">
        <f>IFERROR(VLOOKUP(A12,'FERC 2022'!$A$3:$CK$230,82,0),0)</f>
        <v>1</v>
      </c>
      <c r="F12" s="6">
        <f>IFERROR(VLOOKUP(A12,'FERC 2023'!$A$3:$CK$231,82,0),0)</f>
        <v>1</v>
      </c>
      <c r="G12" s="6">
        <f>IFERROR(VLOOKUP(A12,'EIA 2021'!$A$2:$AA$268,27,0),0)</f>
        <v>2</v>
      </c>
      <c r="H12" s="6">
        <f>IFERROR(VLOOKUP(A12,'EIA 2022'!$A$2:$AA$268,27,0),0)</f>
        <v>2</v>
      </c>
      <c r="I12" s="6">
        <f>IFERROR(VLOOKUP(A12,'EIA 2023'!$A$2:$AA$268,27,0),0)</f>
        <v>2</v>
      </c>
      <c r="J12" s="29">
        <f>IFERROR(VLOOKUP(A12,'FERC 2021'!$A$3:$CQ$231,95,0)+VLOOKUP(A12,'EIA 2021'!$A$3:$AE$231,31,0),0)</f>
        <v>0</v>
      </c>
      <c r="K12" s="44">
        <f>IFERROR(VLOOKUP(A12,'FERC 2022'!$A$3:$CQ$230,95,0)+VLOOKUP(A12,'EIA 2022'!$A$3:$AE$231,31,0),0)</f>
        <v>0</v>
      </c>
      <c r="L12" s="44">
        <f>IFERROR(VLOOKUP(A12,'FERC 2023'!$A$3:$CQ$231,95,0)+VLOOKUP(A12,'EIA 2023'!$A$3:$AE$231,31,0),0)</f>
        <v>0</v>
      </c>
      <c r="M12" s="44">
        <f t="shared" si="0"/>
        <v>1</v>
      </c>
    </row>
    <row r="13" spans="1:14" ht="14.5">
      <c r="A13" s="7" t="s">
        <v>243</v>
      </c>
      <c r="B13" s="7" t="s">
        <v>244</v>
      </c>
      <c r="C13" s="6"/>
      <c r="D13" s="6">
        <f>IFERROR(VLOOKUP(A13,'FERC 2021'!$A$3:$CK$231,82,0),0)</f>
        <v>1</v>
      </c>
      <c r="E13" s="6">
        <f>IFERROR(VLOOKUP(A13,'FERC 2022'!$A$3:$CK$230,82,0),0)</f>
        <v>1</v>
      </c>
      <c r="F13" s="6">
        <f>IFERROR(VLOOKUP(A13,'FERC 2023'!$A$3:$CK$231,82,0),0)</f>
        <v>1</v>
      </c>
      <c r="G13" s="6">
        <f>IFERROR(VLOOKUP(A13,'EIA 2021'!$A$2:$AA$268,27,0),0)</f>
        <v>2</v>
      </c>
      <c r="H13" s="6">
        <f>IFERROR(VLOOKUP(A13,'EIA 2022'!$A$2:$AA$268,27,0),0)</f>
        <v>2</v>
      </c>
      <c r="I13" s="6">
        <f>IFERROR(VLOOKUP(A13,'EIA 2023'!$A$2:$AA$268,27,0),0)</f>
        <v>2</v>
      </c>
      <c r="J13" s="29">
        <f>IFERROR(VLOOKUP(A13,'FERC 2021'!$A$3:$CQ$231,95,0)+VLOOKUP(A13,'EIA 2021'!$A$3:$AE$231,31,0),0)</f>
        <v>0</v>
      </c>
      <c r="K13" s="44">
        <f>IFERROR(VLOOKUP(A13,'FERC 2022'!$A$3:$CQ$230,95,0)+VLOOKUP(A13,'EIA 2022'!$A$3:$AE$231,31,0),0)</f>
        <v>0</v>
      </c>
      <c r="L13" s="44">
        <f>IFERROR(VLOOKUP(A13,'FERC 2023'!$A$3:$CQ$231,95,0)+VLOOKUP(A13,'EIA 2023'!$A$3:$AE$231,31,0),0)</f>
        <v>0</v>
      </c>
      <c r="M13" s="44">
        <f t="shared" si="0"/>
        <v>1</v>
      </c>
    </row>
    <row r="14" spans="1:14" ht="14.5">
      <c r="A14" s="7" t="s">
        <v>246</v>
      </c>
      <c r="B14" s="7" t="s">
        <v>247</v>
      </c>
      <c r="C14" s="6"/>
      <c r="D14" s="6">
        <f>IFERROR(VLOOKUP(A14,'FERC 2021'!$A$3:$CK$231,82,0),0)</f>
        <v>0</v>
      </c>
      <c r="E14" s="6">
        <f>IFERROR(VLOOKUP(A14,'FERC 2022'!$A$3:$CK$230,82,0),0)</f>
        <v>0</v>
      </c>
      <c r="F14" s="6">
        <f>IFERROR(VLOOKUP(A14,'FERC 2023'!$A$3:$CK$231,82,0),0)</f>
        <v>1</v>
      </c>
      <c r="G14" s="6">
        <f>IFERROR(VLOOKUP(A14,'EIA 2021'!$A$2:$AA$268,27,0),0)</f>
        <v>2</v>
      </c>
      <c r="H14" s="6">
        <f>IFERROR(VLOOKUP(A14,'EIA 2022'!$A$2:$AA$268,27,0),0)</f>
        <v>2</v>
      </c>
      <c r="I14" s="6">
        <f>IFERROR(VLOOKUP(A14,'EIA 2023'!$A$2:$AA$268,27,0),0)</f>
        <v>2</v>
      </c>
      <c r="J14" s="29">
        <f>IFERROR(VLOOKUP(A14,'FERC 2021'!$A$3:$CQ$231,95,0)+VLOOKUP(A14,'EIA 2021'!$A$3:$AE$231,31,0),0)</f>
        <v>0</v>
      </c>
      <c r="K14" s="44">
        <f>IFERROR(VLOOKUP(A14,'FERC 2022'!$A$3:$CQ$230,95,0)+VLOOKUP(A14,'EIA 2022'!$A$3:$AE$231,31,0),0)</f>
        <v>0</v>
      </c>
      <c r="L14" s="44">
        <f>IFERROR(VLOOKUP(A14,'FERC 2023'!$A$3:$CQ$231,95,0)+VLOOKUP(A14,'EIA 2023'!$A$3:$AE$231,31,0),0)</f>
        <v>0</v>
      </c>
      <c r="M14" s="44" t="str">
        <f t="shared" si="0"/>
        <v/>
      </c>
      <c r="N14" s="7" t="s">
        <v>1384</v>
      </c>
    </row>
    <row r="15" spans="1:14" ht="14.5">
      <c r="A15" s="7" t="s">
        <v>249</v>
      </c>
      <c r="B15" s="7" t="s">
        <v>250</v>
      </c>
      <c r="C15" s="6"/>
      <c r="D15" s="6">
        <f>IFERROR(VLOOKUP(A15,'FERC 2021'!$A$3:$CK$231,82,0),0)</f>
        <v>1</v>
      </c>
      <c r="E15" s="6">
        <f>IFERROR(VLOOKUP(A15,'FERC 2022'!$A$3:$CK$230,82,0),0)</f>
        <v>1</v>
      </c>
      <c r="F15" s="6">
        <f>IFERROR(VLOOKUP(A15,'FERC 2023'!$A$3:$CK$231,82,0),0)</f>
        <v>1</v>
      </c>
      <c r="G15" s="6">
        <f>IFERROR(VLOOKUP(A15,'EIA 2021'!$A$2:$AA$268,27,0),0)</f>
        <v>2</v>
      </c>
      <c r="H15" s="6">
        <f>IFERROR(VLOOKUP(A15,'EIA 2022'!$A$2:$AA$268,27,0),0)</f>
        <v>2</v>
      </c>
      <c r="I15" s="6">
        <f>IFERROR(VLOOKUP(A15,'EIA 2023'!$A$2:$AA$268,27,0),0)</f>
        <v>2</v>
      </c>
      <c r="J15" s="29">
        <f>IFERROR(VLOOKUP(A15,'FERC 2021'!$A$3:$CQ$231,95,0)+VLOOKUP(A15,'EIA 2021'!$A$3:$AE$231,31,0),0)</f>
        <v>0</v>
      </c>
      <c r="K15" s="44">
        <f>IFERROR(VLOOKUP(A15,'FERC 2022'!$A$3:$CQ$230,95,0)+VLOOKUP(A15,'EIA 2022'!$A$3:$AE$231,31,0),0)</f>
        <v>0</v>
      </c>
      <c r="L15" s="44">
        <f>IFERROR(VLOOKUP(A15,'FERC 2023'!$A$3:$CQ$231,95,0)+VLOOKUP(A15,'EIA 2023'!$A$3:$AE$231,31,0),0)</f>
        <v>0</v>
      </c>
      <c r="M15" s="44">
        <f t="shared" si="0"/>
        <v>1</v>
      </c>
      <c r="N15" s="50"/>
    </row>
    <row r="16" spans="1:14" ht="14.5">
      <c r="A16" s="7" t="s">
        <v>252</v>
      </c>
      <c r="B16" s="7" t="s">
        <v>253</v>
      </c>
      <c r="C16" s="6"/>
      <c r="D16" s="6">
        <f>IFERROR(VLOOKUP(A16,'FERC 2021'!$A$3:$CK$231,82,0),0)</f>
        <v>0</v>
      </c>
      <c r="E16" s="6">
        <f>IFERROR(VLOOKUP(A16,'FERC 2022'!$A$3:$CK$230,82,0),0)</f>
        <v>0</v>
      </c>
      <c r="F16" s="6">
        <f>IFERROR(VLOOKUP(A16,'FERC 2023'!$A$3:$CK$231,82,0),0)</f>
        <v>0</v>
      </c>
      <c r="G16" s="6">
        <f>IFERROR(VLOOKUP(A16,'EIA 2021'!$A$2:$AA$268,27,0),0)</f>
        <v>0</v>
      </c>
      <c r="H16" s="6">
        <f>IFERROR(VLOOKUP(A16,'EIA 2022'!$A$2:$AA$268,27,0),0)</f>
        <v>0</v>
      </c>
      <c r="I16" s="6">
        <f>IFERROR(VLOOKUP(A16,'EIA 2023'!$A$2:$AA$268,27,0),0)</f>
        <v>0</v>
      </c>
      <c r="J16" s="29">
        <f>IFERROR(VLOOKUP(A16,'FERC 2021'!$A$3:$CQ$231,95,0)+VLOOKUP(A16,'EIA 2021'!$A$3:$AE$231,31,0),0)</f>
        <v>0</v>
      </c>
      <c r="K16" s="44">
        <f>IFERROR(VLOOKUP(A16,'FERC 2022'!$A$3:$CQ$230,95,0)+VLOOKUP(A16,'EIA 2022'!$A$3:$AE$231,31,0),0)</f>
        <v>0</v>
      </c>
      <c r="L16" s="44">
        <f>IFERROR(VLOOKUP(A16,'FERC 2023'!$A$3:$CQ$231,95,0)+VLOOKUP(A16,'EIA 2023'!$A$3:$AE$231,31,0),0)</f>
        <v>0</v>
      </c>
      <c r="M16" s="44" t="str">
        <f t="shared" si="0"/>
        <v/>
      </c>
    </row>
    <row r="17" spans="1:14" ht="14.5">
      <c r="A17" s="7" t="s">
        <v>255</v>
      </c>
      <c r="B17" s="7" t="s">
        <v>256</v>
      </c>
      <c r="C17" s="6"/>
      <c r="D17" s="6">
        <f>IFERROR(VLOOKUP(A17,'FERC 2021'!$A$3:$CK$231,82,0),0)</f>
        <v>1</v>
      </c>
      <c r="E17" s="6">
        <f>IFERROR(VLOOKUP(A17,'FERC 2022'!$A$3:$CK$230,82,0),0)</f>
        <v>1</v>
      </c>
      <c r="F17" s="6">
        <f>IFERROR(VLOOKUP(A17,'FERC 2023'!$A$3:$CK$231,82,0),0)</f>
        <v>1</v>
      </c>
      <c r="G17" s="6">
        <f>IFERROR(VLOOKUP(A17,'EIA 2021'!$A$2:$AA$268,27,0),0)</f>
        <v>2</v>
      </c>
      <c r="H17" s="6">
        <f>IFERROR(VLOOKUP(A17,'EIA 2022'!$A$2:$AA$268,27,0),0)</f>
        <v>2</v>
      </c>
      <c r="I17" s="6">
        <f>IFERROR(VLOOKUP(A17,'EIA 2023'!$A$2:$AA$268,27,0),0)</f>
        <v>2</v>
      </c>
      <c r="J17" s="29">
        <f>IFERROR(VLOOKUP(A17,'FERC 2021'!$A$3:$CQ$231,95,0)+VLOOKUP(A17,'EIA 2021'!$A$3:$AE$231,31,0),0)</f>
        <v>0</v>
      </c>
      <c r="K17" s="44">
        <f>IFERROR(VLOOKUP(A17,'FERC 2022'!$A$3:$CQ$230,95,0)+VLOOKUP(A17,'EIA 2022'!$A$3:$AE$231,31,0),0)</f>
        <v>0</v>
      </c>
      <c r="L17" s="44">
        <f>IFERROR(VLOOKUP(A17,'FERC 2023'!$A$3:$CQ$231,95,0)+VLOOKUP(A17,'EIA 2023'!$A$3:$AE$231,31,0),0)</f>
        <v>0</v>
      </c>
      <c r="M17" s="44">
        <f t="shared" si="0"/>
        <v>1</v>
      </c>
    </row>
    <row r="18" spans="1:14" ht="14.5">
      <c r="A18" s="7" t="s">
        <v>258</v>
      </c>
      <c r="B18" s="7" t="s">
        <v>259</v>
      </c>
      <c r="C18" s="6"/>
      <c r="D18" s="6">
        <f>IFERROR(VLOOKUP(A18,'FERC 2021'!$A$3:$CK$231,82,0),0)</f>
        <v>1</v>
      </c>
      <c r="E18" s="6">
        <f>IFERROR(VLOOKUP(A18,'FERC 2022'!$A$3:$CK$230,82,0),0)</f>
        <v>1</v>
      </c>
      <c r="F18" s="6">
        <f>IFERROR(VLOOKUP(A18,'FERC 2023'!$A$3:$CK$231,82,0),0)</f>
        <v>1</v>
      </c>
      <c r="G18" s="6">
        <f>IFERROR(VLOOKUP(A18,'EIA 2021'!$A$2:$AA$268,27,0),0)</f>
        <v>2</v>
      </c>
      <c r="H18" s="6">
        <f>IFERROR(VLOOKUP(A18,'EIA 2022'!$A$2:$AA$268,27,0),0)</f>
        <v>2</v>
      </c>
      <c r="I18" s="6">
        <f>IFERROR(VLOOKUP(A18,'EIA 2023'!$A$2:$AA$268,27,0),0)</f>
        <v>2</v>
      </c>
      <c r="J18" s="29">
        <f>IFERROR(VLOOKUP(A18,'FERC 2021'!$A$3:$CQ$231,95,0)+VLOOKUP(A18,'EIA 2021'!$A$3:$AE$231,31,0),0)</f>
        <v>0</v>
      </c>
      <c r="K18" s="44">
        <f>IFERROR(VLOOKUP(A18,'FERC 2022'!$A$3:$CQ$230,95,0)+VLOOKUP(A18,'EIA 2022'!$A$3:$AE$231,31,0),0)</f>
        <v>0</v>
      </c>
      <c r="L18" s="44">
        <f>IFERROR(VLOOKUP(A18,'FERC 2023'!$A$3:$CQ$231,95,0)+VLOOKUP(A18,'EIA 2023'!$A$3:$AE$231,31,0),0)</f>
        <v>0</v>
      </c>
      <c r="M18" s="44">
        <f t="shared" si="0"/>
        <v>1</v>
      </c>
      <c r="N18" s="96"/>
    </row>
    <row r="19" spans="1:14" ht="14.5">
      <c r="A19" s="7" t="s">
        <v>261</v>
      </c>
      <c r="B19" s="7" t="s">
        <v>262</v>
      </c>
      <c r="C19" s="6"/>
      <c r="D19" s="6">
        <f>IFERROR(VLOOKUP(A19,'FERC 2021'!$A$3:$CK$231,82,0),0)</f>
        <v>1</v>
      </c>
      <c r="E19" s="6">
        <f>IFERROR(VLOOKUP(A19,'FERC 2022'!$A$3:$CK$230,82,0),0)</f>
        <v>1</v>
      </c>
      <c r="F19" s="6">
        <f>IFERROR(VLOOKUP(A19,'FERC 2023'!$A$3:$CK$231,82,0),0)</f>
        <v>1</v>
      </c>
      <c r="G19" s="6">
        <f>IFERROR(VLOOKUP(A19,'EIA 2021'!$A$2:$AA$268,27,0),0)</f>
        <v>2</v>
      </c>
      <c r="H19" s="6">
        <f>IFERROR(VLOOKUP(A19,'EIA 2022'!$A$2:$AA$268,27,0),0)</f>
        <v>2</v>
      </c>
      <c r="I19" s="6">
        <f>IFERROR(VLOOKUP(A19,'EIA 2023'!$A$2:$AA$268,27,0),0)</f>
        <v>2</v>
      </c>
      <c r="J19" s="29">
        <f>IFERROR(VLOOKUP(A19,'FERC 2021'!$A$3:$CQ$231,95,0)+VLOOKUP(A19,'EIA 2021'!$A$3:$AE$231,31,0),0)</f>
        <v>0</v>
      </c>
      <c r="K19" s="44">
        <f>IFERROR(VLOOKUP(A19,'FERC 2022'!$A$3:$CQ$230,95,0)+VLOOKUP(A19,'EIA 2022'!$A$3:$AE$231,31,0),0)</f>
        <v>0</v>
      </c>
      <c r="L19" s="44">
        <f>IFERROR(VLOOKUP(A19,'FERC 2023'!$A$3:$CQ$231,95,0)+VLOOKUP(A19,'EIA 2023'!$A$3:$AE$231,31,0),0)</f>
        <v>0</v>
      </c>
      <c r="M19" s="44">
        <f t="shared" si="0"/>
        <v>1</v>
      </c>
    </row>
    <row r="20" spans="1:14" ht="14.5">
      <c r="A20" s="7" t="s">
        <v>264</v>
      </c>
      <c r="B20" s="7" t="s">
        <v>265</v>
      </c>
      <c r="C20" s="6"/>
      <c r="D20" s="6">
        <f>IFERROR(VLOOKUP(A20,'FERC 2021'!$A$3:$CK$231,82,0),0)</f>
        <v>1</v>
      </c>
      <c r="E20" s="6">
        <f>IFERROR(VLOOKUP(A20,'FERC 2022'!$A$3:$CK$230,82,0),0)</f>
        <v>1</v>
      </c>
      <c r="F20" s="6">
        <f>IFERROR(VLOOKUP(A20,'FERC 2023'!$A$3:$CK$231,82,0),0)</f>
        <v>1</v>
      </c>
      <c r="G20" s="6">
        <f>IFERROR(VLOOKUP(A20,'EIA 2021'!$A$2:$AA$268,27,0),0)</f>
        <v>2</v>
      </c>
      <c r="H20" s="6">
        <f>IFERROR(VLOOKUP(A20,'EIA 2022'!$A$2:$AA$268,27,0),0)</f>
        <v>2</v>
      </c>
      <c r="I20" s="6">
        <f>IFERROR(VLOOKUP(A20,'EIA 2023'!$A$2:$AA$268,27,0),0)</f>
        <v>2</v>
      </c>
      <c r="J20" s="29">
        <f>IFERROR(VLOOKUP(A20,'FERC 2021'!$A$3:$CQ$231,95,0)+VLOOKUP(A20,'EIA 2021'!$A$3:$AE$231,31,0),0)</f>
        <v>0</v>
      </c>
      <c r="K20" s="44">
        <f>IFERROR(VLOOKUP(A20,'FERC 2022'!$A$3:$CQ$230,95,0)+VLOOKUP(A20,'EIA 2022'!$A$3:$AE$231,31,0),0)</f>
        <v>0</v>
      </c>
      <c r="L20" s="44">
        <f>IFERROR(VLOOKUP(A20,'FERC 2023'!$A$3:$CQ$231,95,0)+VLOOKUP(A20,'EIA 2023'!$A$3:$AE$231,31,0),0)</f>
        <v>0</v>
      </c>
      <c r="M20" s="44">
        <f t="shared" si="0"/>
        <v>1</v>
      </c>
    </row>
    <row r="21" spans="1:14" ht="15.75" customHeight="1">
      <c r="A21" s="7" t="s">
        <v>267</v>
      </c>
      <c r="B21" s="7" t="s">
        <v>268</v>
      </c>
      <c r="C21" s="6"/>
      <c r="D21" s="6">
        <f>IFERROR(VLOOKUP(A21,'FERC 2021'!$A$3:$CK$231,82,0),0)</f>
        <v>1</v>
      </c>
      <c r="E21" s="6">
        <f>IFERROR(VLOOKUP(A21,'FERC 2022'!$A$3:$CK$230,82,0),0)</f>
        <v>1</v>
      </c>
      <c r="F21" s="6">
        <f>IFERROR(VLOOKUP(A21,'FERC 2023'!$A$3:$CK$231,82,0),0)</f>
        <v>1</v>
      </c>
      <c r="G21" s="6">
        <f>IFERROR(VLOOKUP(A21,'EIA 2021'!$A$2:$AA$268,27,0),0)</f>
        <v>2</v>
      </c>
      <c r="H21" s="6">
        <f>IFERROR(VLOOKUP(A21,'EIA 2022'!$A$2:$AA$268,27,0),0)</f>
        <v>2</v>
      </c>
      <c r="I21" s="6">
        <f>IFERROR(VLOOKUP(A21,'EIA 2023'!$A$2:$AA$268,27,0),0)</f>
        <v>2</v>
      </c>
      <c r="J21" s="29">
        <f>IFERROR(VLOOKUP(A21,'FERC 2021'!$A$3:$CQ$231,95,0)+VLOOKUP(A21,'EIA 2021'!$A$3:$AE$231,31,0),0)</f>
        <v>0</v>
      </c>
      <c r="K21" s="44">
        <f>IFERROR(VLOOKUP(A21,'FERC 2022'!$A$3:$CQ$230,95,0)+VLOOKUP(A21,'EIA 2022'!$A$3:$AE$231,31,0),0)</f>
        <v>0</v>
      </c>
      <c r="L21" s="44">
        <f>IFERROR(VLOOKUP(A21,'FERC 2023'!$A$3:$CQ$231,95,0)+VLOOKUP(A21,'EIA 2023'!$A$3:$AE$231,31,0),0)</f>
        <v>0</v>
      </c>
      <c r="M21" s="44">
        <f t="shared" si="0"/>
        <v>1</v>
      </c>
    </row>
    <row r="22" spans="1:14" ht="15.75" customHeight="1">
      <c r="A22" s="7" t="s">
        <v>270</v>
      </c>
      <c r="B22" s="7" t="s">
        <v>271</v>
      </c>
      <c r="C22" s="6"/>
      <c r="D22" s="6">
        <f>IFERROR(VLOOKUP(A22,'FERC 2021'!$A$3:$CK$231,82,0),0)</f>
        <v>1</v>
      </c>
      <c r="E22" s="6">
        <f>IFERROR(VLOOKUP(A22,'FERC 2022'!$A$3:$CK$230,82,0),0)</f>
        <v>1</v>
      </c>
      <c r="F22" s="6">
        <f>IFERROR(VLOOKUP(A22,'FERC 2023'!$A$3:$CK$231,82,0),0)</f>
        <v>1</v>
      </c>
      <c r="G22" s="6">
        <f>IFERROR(VLOOKUP(A22,'EIA 2021'!$A$2:$AA$268,27,0),0)</f>
        <v>2</v>
      </c>
      <c r="H22" s="6">
        <f>IFERROR(VLOOKUP(A22,'EIA 2022'!$A$2:$AA$268,27,0),0)</f>
        <v>2</v>
      </c>
      <c r="I22" s="6">
        <f>IFERROR(VLOOKUP(A22,'EIA 2023'!$A$2:$AA$268,27,0),0)</f>
        <v>2</v>
      </c>
      <c r="J22" s="29">
        <f>IFERROR(VLOOKUP(A22,'FERC 2021'!$A$3:$CQ$231,95,0)+VLOOKUP(A22,'EIA 2021'!$A$3:$AE$231,31,0),0)</f>
        <v>0</v>
      </c>
      <c r="K22" s="44">
        <f>IFERROR(VLOOKUP(A22,'FERC 2022'!$A$3:$CQ$230,95,0)+VLOOKUP(A22,'EIA 2022'!$A$3:$AE$231,31,0),0)</f>
        <v>0</v>
      </c>
      <c r="L22" s="44">
        <f>IFERROR(VLOOKUP(A22,'FERC 2023'!$A$3:$CQ$231,95,0)+VLOOKUP(A22,'EIA 2023'!$A$3:$AE$231,31,0),0)</f>
        <v>0</v>
      </c>
      <c r="M22" s="44">
        <f t="shared" si="0"/>
        <v>1</v>
      </c>
      <c r="N22" s="7"/>
    </row>
    <row r="23" spans="1:14" ht="15.75" customHeight="1">
      <c r="A23" s="7" t="s">
        <v>273</v>
      </c>
      <c r="B23" s="7" t="s">
        <v>274</v>
      </c>
      <c r="C23" s="6"/>
      <c r="D23" s="6">
        <f>IFERROR(VLOOKUP(A23,'FERC 2021'!$A$3:$CK$231,82,0),0)</f>
        <v>1</v>
      </c>
      <c r="E23" s="6">
        <f>IFERROR(VLOOKUP(A23,'FERC 2022'!$A$3:$CK$230,82,0),0)</f>
        <v>1</v>
      </c>
      <c r="F23" s="6">
        <f>IFERROR(VLOOKUP(A23,'FERC 2023'!$A$3:$CK$231,82,0),0)</f>
        <v>1</v>
      </c>
      <c r="G23" s="6">
        <f>IFERROR(VLOOKUP(A23,'EIA 2021'!$A$2:$AA$268,27,0),0)</f>
        <v>2</v>
      </c>
      <c r="H23" s="6">
        <f>IFERROR(VLOOKUP(A23,'EIA 2022'!$A$2:$AA$268,27,0),0)</f>
        <v>2</v>
      </c>
      <c r="I23" s="6">
        <f>IFERROR(VLOOKUP(A23,'EIA 2023'!$A$2:$AA$268,27,0),0)</f>
        <v>2</v>
      </c>
      <c r="J23" s="29">
        <f>IFERROR(VLOOKUP(A23,'FERC 2021'!$A$3:$CQ$231,95,0)+VLOOKUP(A23,'EIA 2021'!$A$3:$AE$231,31,0),0)</f>
        <v>0</v>
      </c>
      <c r="K23" s="44">
        <f>IFERROR(VLOOKUP(A23,'FERC 2022'!$A$3:$CQ$230,95,0)+VLOOKUP(A23,'EIA 2022'!$A$3:$AE$231,31,0),0)</f>
        <v>0</v>
      </c>
      <c r="L23" s="44">
        <f>IFERROR(VLOOKUP(A23,'FERC 2023'!$A$3:$CQ$231,95,0)+VLOOKUP(A23,'EIA 2023'!$A$3:$AE$231,31,0),0)</f>
        <v>0</v>
      </c>
      <c r="M23" s="44">
        <f t="shared" si="0"/>
        <v>1</v>
      </c>
    </row>
    <row r="24" spans="1:14" ht="15.75" customHeight="1">
      <c r="A24" s="7" t="s">
        <v>276</v>
      </c>
      <c r="B24" s="7" t="s">
        <v>277</v>
      </c>
      <c r="C24" s="6"/>
      <c r="D24" s="6">
        <f>IFERROR(VLOOKUP(A24,'FERC 2021'!$A$3:$CK$231,82,0),0)</f>
        <v>1</v>
      </c>
      <c r="E24" s="6">
        <f>IFERROR(VLOOKUP(A24,'FERC 2022'!$A$3:$CK$230,82,0),0)</f>
        <v>1</v>
      </c>
      <c r="F24" s="6">
        <f>IFERROR(VLOOKUP(A24,'FERC 2023'!$A$3:$CK$231,82,0),0)</f>
        <v>1</v>
      </c>
      <c r="G24" s="6">
        <f>IFERROR(VLOOKUP(A24,'EIA 2021'!$A$2:$AA$268,27,0),0)</f>
        <v>2</v>
      </c>
      <c r="H24" s="6">
        <f>IFERROR(VLOOKUP(A24,'EIA 2022'!$A$2:$AA$268,27,0),0)</f>
        <v>2</v>
      </c>
      <c r="I24" s="6">
        <f>IFERROR(VLOOKUP(A24,'EIA 2023'!$A$2:$AA$268,27,0),0)</f>
        <v>2</v>
      </c>
      <c r="J24" s="29">
        <f>IFERROR(VLOOKUP(A24,'FERC 2021'!$A$3:$CQ$231,95,0)+VLOOKUP(A24,'EIA 2021'!$A$3:$AE$231,31,0),0)</f>
        <v>0</v>
      </c>
      <c r="K24" s="44">
        <f>IFERROR(VLOOKUP(A24,'FERC 2022'!$A$3:$CQ$230,95,0)+VLOOKUP(A24,'EIA 2022'!$A$3:$AE$231,31,0),0)</f>
        <v>0</v>
      </c>
      <c r="L24" s="44">
        <f>IFERROR(VLOOKUP(A24,'FERC 2023'!$A$3:$CQ$231,95,0)+VLOOKUP(A24,'EIA 2023'!$A$3:$AE$231,31,0),0)</f>
        <v>0</v>
      </c>
      <c r="M24" s="44">
        <f t="shared" si="0"/>
        <v>1</v>
      </c>
    </row>
    <row r="25" spans="1:14" ht="15.75" customHeight="1">
      <c r="A25" s="7" t="s">
        <v>279</v>
      </c>
      <c r="B25" s="7" t="s">
        <v>280</v>
      </c>
      <c r="C25" s="6"/>
      <c r="D25" s="6">
        <f>IFERROR(VLOOKUP(A25,'FERC 2021'!$A$3:$CK$231,82,0),0)</f>
        <v>1</v>
      </c>
      <c r="E25" s="6">
        <f>IFERROR(VLOOKUP(A25,'FERC 2022'!$A$3:$CK$230,82,0),0)</f>
        <v>1</v>
      </c>
      <c r="F25" s="6">
        <f>IFERROR(VLOOKUP(A25,'FERC 2023'!$A$3:$CK$231,82,0),0)</f>
        <v>1</v>
      </c>
      <c r="G25" s="6">
        <f>IFERROR(VLOOKUP(A25,'EIA 2021'!$A$2:$AA$268,27,0),0)</f>
        <v>2</v>
      </c>
      <c r="H25" s="6">
        <f>IFERROR(VLOOKUP(A25,'EIA 2022'!$A$2:$AA$268,27,0),0)</f>
        <v>2</v>
      </c>
      <c r="I25" s="6">
        <f>IFERROR(VLOOKUP(A25,'EIA 2023'!$A$2:$AA$268,27,0),0)</f>
        <v>2</v>
      </c>
      <c r="J25" s="29">
        <f>IFERROR(VLOOKUP(A25,'FERC 2021'!$A$3:$CQ$231,95,0)+VLOOKUP(A25,'EIA 2021'!$A$3:$AE$231,31,0),0)</f>
        <v>0</v>
      </c>
      <c r="K25" s="44">
        <f>IFERROR(VLOOKUP(A25,'FERC 2022'!$A$3:$CQ$230,95,0)+VLOOKUP(A25,'EIA 2022'!$A$3:$AE$231,31,0),0)</f>
        <v>0</v>
      </c>
      <c r="L25" s="44">
        <f>IFERROR(VLOOKUP(A25,'FERC 2023'!$A$3:$CQ$231,95,0)+VLOOKUP(A25,'EIA 2023'!$A$3:$AE$231,31,0),0)</f>
        <v>0</v>
      </c>
      <c r="M25" s="44">
        <f t="shared" si="0"/>
        <v>1</v>
      </c>
    </row>
    <row r="26" spans="1:14" ht="15.75" customHeight="1">
      <c r="A26" s="7" t="s">
        <v>282</v>
      </c>
      <c r="B26" s="7" t="s">
        <v>283</v>
      </c>
      <c r="C26" s="6"/>
      <c r="D26" s="6">
        <f>IFERROR(VLOOKUP(A26,'FERC 2021'!$A$3:$CK$231,82,0),0)</f>
        <v>1</v>
      </c>
      <c r="E26" s="6">
        <f>IFERROR(VLOOKUP(A26,'FERC 2022'!$A$3:$CK$230,82,0),0)</f>
        <v>1</v>
      </c>
      <c r="F26" s="6">
        <f>IFERROR(VLOOKUP(A26,'FERC 2023'!$A$3:$CK$231,82,0),0)</f>
        <v>1</v>
      </c>
      <c r="G26" s="6">
        <f>IFERROR(VLOOKUP(A26,'EIA 2021'!$A$2:$AA$268,27,0),0)</f>
        <v>2</v>
      </c>
      <c r="H26" s="6">
        <f>IFERROR(VLOOKUP(A26,'EIA 2022'!$A$2:$AA$268,27,0),0)</f>
        <v>2</v>
      </c>
      <c r="I26" s="6">
        <f>IFERROR(VLOOKUP(A26,'EIA 2023'!$A$2:$AA$268,27,0),0)</f>
        <v>2</v>
      </c>
      <c r="J26" s="29">
        <f>IFERROR(VLOOKUP(A26,'FERC 2021'!$A$3:$CQ$231,95,0)+VLOOKUP(A26,'EIA 2021'!$A$3:$AE$231,31,0),0)</f>
        <v>0</v>
      </c>
      <c r="K26" s="44">
        <f>IFERROR(VLOOKUP(A26,'FERC 2022'!$A$3:$CQ$230,95,0)+VLOOKUP(A26,'EIA 2022'!$A$3:$AE$231,31,0),0)</f>
        <v>0</v>
      </c>
      <c r="L26" s="44">
        <f>IFERROR(VLOOKUP(A26,'FERC 2023'!$A$3:$CQ$231,95,0)+VLOOKUP(A26,'EIA 2023'!$A$3:$AE$231,31,0),0)</f>
        <v>0</v>
      </c>
      <c r="M26" s="44">
        <f t="shared" si="0"/>
        <v>1</v>
      </c>
    </row>
    <row r="27" spans="1:14" ht="15.75" customHeight="1">
      <c r="A27" s="7" t="s">
        <v>285</v>
      </c>
      <c r="B27" s="7" t="s">
        <v>286</v>
      </c>
      <c r="C27" s="6"/>
      <c r="D27" s="6">
        <f>IFERROR(VLOOKUP(A27,'FERC 2021'!$A$3:$CK$231,82,0),0)</f>
        <v>1</v>
      </c>
      <c r="E27" s="6">
        <f>IFERROR(VLOOKUP(A27,'FERC 2022'!$A$3:$CK$230,82,0),0)</f>
        <v>1</v>
      </c>
      <c r="F27" s="6">
        <f>IFERROR(VLOOKUP(A27,'FERC 2023'!$A$3:$CK$231,82,0),0)</f>
        <v>1</v>
      </c>
      <c r="G27" s="6">
        <f>IFERROR(VLOOKUP(A27,'EIA 2021'!$A$2:$AA$268,27,0),0)</f>
        <v>2</v>
      </c>
      <c r="H27" s="6">
        <f>IFERROR(VLOOKUP(A27,'EIA 2022'!$A$2:$AA$268,27,0),0)</f>
        <v>2</v>
      </c>
      <c r="I27" s="6">
        <f>IFERROR(VLOOKUP(A27,'EIA 2023'!$A$2:$AA$268,27,0),0)</f>
        <v>2</v>
      </c>
      <c r="J27" s="29">
        <f>IFERROR(VLOOKUP(A27,'FERC 2021'!$A$3:$CQ$231,95,0)+VLOOKUP(A27,'EIA 2021'!$A$3:$AE$231,31,0),0)</f>
        <v>0</v>
      </c>
      <c r="K27" s="44">
        <f>IFERROR(VLOOKUP(A27,'FERC 2022'!$A$3:$CQ$230,95,0)+VLOOKUP(A27,'EIA 2022'!$A$3:$AE$231,31,0),0)</f>
        <v>0</v>
      </c>
      <c r="L27" s="44">
        <f>IFERROR(VLOOKUP(A27,'FERC 2023'!$A$3:$CQ$231,95,0)+VLOOKUP(A27,'EIA 2023'!$A$3:$AE$231,31,0),0)</f>
        <v>0</v>
      </c>
      <c r="M27" s="44">
        <f t="shared" si="0"/>
        <v>1</v>
      </c>
      <c r="N27" s="7"/>
    </row>
    <row r="28" spans="1:14" ht="15.75" customHeight="1">
      <c r="A28" s="7" t="s">
        <v>288</v>
      </c>
      <c r="B28" s="7" t="s">
        <v>289</v>
      </c>
      <c r="C28" s="6"/>
      <c r="D28" s="6">
        <f>IFERROR(VLOOKUP(A28,'FERC 2021'!$A$3:$CK$231,82,0),0)</f>
        <v>1</v>
      </c>
      <c r="E28" s="6">
        <f>IFERROR(VLOOKUP(A28,'FERC 2022'!$A$3:$CK$230,82,0),0)</f>
        <v>1</v>
      </c>
      <c r="F28" s="6">
        <f>IFERROR(VLOOKUP(A28,'FERC 2023'!$A$3:$CK$231,82,0),0)</f>
        <v>1</v>
      </c>
      <c r="G28" s="6">
        <f>IFERROR(VLOOKUP(A28,'EIA 2021'!$A$2:$AA$268,27,0),0)</f>
        <v>2</v>
      </c>
      <c r="H28" s="6">
        <f>IFERROR(VLOOKUP(A28,'EIA 2022'!$A$2:$AA$268,27,0),0)</f>
        <v>2</v>
      </c>
      <c r="I28" s="6">
        <f>IFERROR(VLOOKUP(A28,'EIA 2023'!$A$2:$AA$268,27,0),0)</f>
        <v>2</v>
      </c>
      <c r="J28" s="29">
        <f>IFERROR(VLOOKUP(A28,'FERC 2021'!$A$3:$CQ$231,95,0)+VLOOKUP(A28,'EIA 2021'!$A$3:$AE$231,31,0),0)</f>
        <v>0</v>
      </c>
      <c r="K28" s="44">
        <f>IFERROR(VLOOKUP(A28,'FERC 2022'!$A$3:$CQ$230,95,0)+VLOOKUP(A28,'EIA 2022'!$A$3:$AE$231,31,0),0)</f>
        <v>0</v>
      </c>
      <c r="L28" s="44">
        <f>IFERROR(VLOOKUP(A28,'FERC 2023'!$A$3:$CQ$231,95,0)+VLOOKUP(A28,'EIA 2023'!$A$3:$AE$231,31,0),0)</f>
        <v>0</v>
      </c>
      <c r="M28" s="44">
        <f t="shared" si="0"/>
        <v>1</v>
      </c>
      <c r="N28" s="7"/>
    </row>
    <row r="29" spans="1:14" ht="15.75" customHeight="1">
      <c r="A29" s="7" t="s">
        <v>291</v>
      </c>
      <c r="B29" s="7" t="s">
        <v>292</v>
      </c>
      <c r="C29" s="6"/>
      <c r="D29" s="6">
        <f>IFERROR(VLOOKUP(A29,'FERC 2021'!$A$3:$CK$231,82,0),0)</f>
        <v>1</v>
      </c>
      <c r="E29" s="6">
        <f>IFERROR(VLOOKUP(A29,'FERC 2022'!$A$3:$CK$230,82,0),0)</f>
        <v>1</v>
      </c>
      <c r="F29" s="6">
        <f>IFERROR(VLOOKUP(A29,'FERC 2023'!$A$3:$CK$231,82,0),0)</f>
        <v>1</v>
      </c>
      <c r="G29" s="6">
        <f>IFERROR(VLOOKUP(A29,'EIA 2021'!$A$2:$AA$268,27,0),0)</f>
        <v>2</v>
      </c>
      <c r="H29" s="6">
        <f>IFERROR(VLOOKUP(A29,'EIA 2022'!$A$2:$AA$268,27,0),0)</f>
        <v>2</v>
      </c>
      <c r="I29" s="6">
        <f>IFERROR(VLOOKUP(A29,'EIA 2023'!$A$2:$AA$268,27,0),0)</f>
        <v>2</v>
      </c>
      <c r="J29" s="29">
        <f>IFERROR(VLOOKUP(A29,'FERC 2021'!$A$3:$CQ$231,95,0)+VLOOKUP(A29,'EIA 2021'!$A$3:$AE$231,31,0),0)</f>
        <v>0</v>
      </c>
      <c r="K29" s="44">
        <f>IFERROR(VLOOKUP(A29,'FERC 2022'!$A$3:$CQ$230,95,0)+VLOOKUP(A29,'EIA 2022'!$A$3:$AE$231,31,0),0)</f>
        <v>0</v>
      </c>
      <c r="L29" s="44">
        <f>IFERROR(VLOOKUP(A29,'FERC 2023'!$A$3:$CQ$231,95,0)+VLOOKUP(A29,'EIA 2023'!$A$3:$AE$231,31,0),0)</f>
        <v>0</v>
      </c>
      <c r="M29" s="44">
        <f t="shared" si="0"/>
        <v>1</v>
      </c>
      <c r="N29" s="7"/>
    </row>
    <row r="30" spans="1:14" ht="15.75" customHeight="1">
      <c r="A30" s="7" t="s">
        <v>294</v>
      </c>
      <c r="B30" s="7" t="s">
        <v>295</v>
      </c>
      <c r="C30" s="6"/>
      <c r="D30" s="6">
        <f>IFERROR(VLOOKUP(A30,'FERC 2021'!$A$3:$CK$231,82,0),0)</f>
        <v>0</v>
      </c>
      <c r="E30" s="6">
        <f>IFERROR(VLOOKUP(A30,'FERC 2022'!$A$3:$CK$230,82,0),0)</f>
        <v>0</v>
      </c>
      <c r="F30" s="6">
        <f>IFERROR(VLOOKUP(A30,'FERC 2023'!$A$3:$CK$231,82,0),0)</f>
        <v>0</v>
      </c>
      <c r="G30" s="6">
        <f>IFERROR(VLOOKUP(A30,'EIA 2021'!$A$2:$AA$268,27,0),0)</f>
        <v>0</v>
      </c>
      <c r="H30" s="6">
        <f>IFERROR(VLOOKUP(A30,'EIA 2022'!$A$2:$AA$268,27,0),0)</f>
        <v>0</v>
      </c>
      <c r="I30" s="6">
        <f>IFERROR(VLOOKUP(A30,'EIA 2023'!$A$2:$AA$268,27,0),0)</f>
        <v>0</v>
      </c>
      <c r="J30" s="29">
        <f>IFERROR(VLOOKUP(A30,'FERC 2021'!$A$3:$CQ$231,95,0)+VLOOKUP(A30,'EIA 2021'!$A$3:$AE$231,31,0),0)</f>
        <v>0</v>
      </c>
      <c r="K30" s="44">
        <f>IFERROR(VLOOKUP(A30,'FERC 2022'!$A$3:$CQ$230,95,0)+VLOOKUP(A30,'EIA 2022'!$A$3:$AE$231,31,0),0)</f>
        <v>0</v>
      </c>
      <c r="L30" s="44">
        <f>IFERROR(VLOOKUP(A30,'FERC 2023'!$A$3:$CQ$231,95,0)+VLOOKUP(A30,'EIA 2023'!$A$3:$AE$231,31,0),0)</f>
        <v>0</v>
      </c>
      <c r="M30" s="44" t="str">
        <f t="shared" si="0"/>
        <v/>
      </c>
    </row>
    <row r="31" spans="1:14" ht="15.75" customHeight="1">
      <c r="A31" s="7" t="s">
        <v>297</v>
      </c>
      <c r="B31" s="7" t="s">
        <v>298</v>
      </c>
      <c r="C31" s="6"/>
      <c r="D31" s="6">
        <f>IFERROR(VLOOKUP(A31,'FERC 2021'!$A$3:$CK$231,82,0),0)</f>
        <v>0</v>
      </c>
      <c r="E31" s="6">
        <f>IFERROR(VLOOKUP(A31,'FERC 2022'!$A$3:$CK$230,82,0),0)</f>
        <v>0</v>
      </c>
      <c r="F31" s="6">
        <f>IFERROR(VLOOKUP(A31,'FERC 2023'!$A$3:$CK$231,82,0),0)</f>
        <v>0</v>
      </c>
      <c r="G31" s="6">
        <f>IFERROR(VLOOKUP(A31,'EIA 2021'!$A$2:$AA$268,27,0),0)</f>
        <v>0</v>
      </c>
      <c r="H31" s="6">
        <f>IFERROR(VLOOKUP(A31,'EIA 2022'!$A$2:$AA$268,27,0),0)</f>
        <v>0</v>
      </c>
      <c r="I31" s="6">
        <f>IFERROR(VLOOKUP(A31,'EIA 2023'!$A$2:$AA$268,27,0),0)</f>
        <v>0</v>
      </c>
      <c r="J31" s="29">
        <f>IFERROR(VLOOKUP(A31,'FERC 2021'!$A$3:$CQ$231,95,0)+VLOOKUP(A31,'EIA 2021'!$A$3:$AE$231,31,0),0)</f>
        <v>0</v>
      </c>
      <c r="K31" s="44">
        <f>IFERROR(VLOOKUP(A31,'FERC 2022'!$A$3:$CQ$230,95,0)+VLOOKUP(A31,'EIA 2022'!$A$3:$AE$231,31,0),0)</f>
        <v>0</v>
      </c>
      <c r="L31" s="44">
        <f>IFERROR(VLOOKUP(A31,'FERC 2023'!$A$3:$CQ$231,95,0)+VLOOKUP(A31,'EIA 2023'!$A$3:$AE$231,31,0),0)</f>
        <v>0</v>
      </c>
      <c r="M31" s="44" t="str">
        <f t="shared" si="0"/>
        <v/>
      </c>
    </row>
    <row r="32" spans="1:14" ht="15.75" customHeight="1">
      <c r="A32" s="7" t="s">
        <v>300</v>
      </c>
      <c r="B32" s="7" t="s">
        <v>301</v>
      </c>
      <c r="C32" s="6"/>
      <c r="D32" s="6">
        <f>IFERROR(VLOOKUP(A32,'FERC 2021'!$A$3:$CK$231,82,0),0)</f>
        <v>1</v>
      </c>
      <c r="E32" s="6">
        <f>IFERROR(VLOOKUP(A32,'FERC 2022'!$A$3:$CK$230,82,0),0)</f>
        <v>1</v>
      </c>
      <c r="F32" s="6">
        <f>IFERROR(VLOOKUP(A32,'FERC 2023'!$A$3:$CK$231,82,0),0)</f>
        <v>1</v>
      </c>
      <c r="G32" s="6">
        <f>IFERROR(VLOOKUP(A32,'EIA 2021'!$A$2:$AA$268,27,0),0)</f>
        <v>2</v>
      </c>
      <c r="H32" s="6">
        <f>IFERROR(VLOOKUP(A32,'EIA 2022'!$A$2:$AA$268,27,0),0)</f>
        <v>2</v>
      </c>
      <c r="I32" s="6">
        <f>IFERROR(VLOOKUP(A32,'EIA 2023'!$A$2:$AA$268,27,0),0)</f>
        <v>2</v>
      </c>
      <c r="J32" s="29">
        <f>IFERROR(VLOOKUP(A32,'FERC 2021'!$A$3:$CQ$231,95,0)+VLOOKUP(A32,'EIA 2021'!$A$3:$AE$231,31,0),0)</f>
        <v>0</v>
      </c>
      <c r="K32" s="44">
        <f>IFERROR(VLOOKUP(A32,'FERC 2022'!$A$3:$CQ$230,95,0)+VLOOKUP(A32,'EIA 2022'!$A$3:$AE$231,31,0),0)</f>
        <v>0</v>
      </c>
      <c r="L32" s="44">
        <f>IFERROR(VLOOKUP(A32,'FERC 2023'!$A$3:$CQ$231,95,0)+VLOOKUP(A32,'EIA 2023'!$A$3:$AE$231,31,0),0)</f>
        <v>0</v>
      </c>
      <c r="M32" s="44">
        <f t="shared" si="0"/>
        <v>1</v>
      </c>
    </row>
    <row r="33" spans="1:14" ht="15.75" customHeight="1">
      <c r="A33" s="7" t="s">
        <v>303</v>
      </c>
      <c r="B33" s="7" t="s">
        <v>304</v>
      </c>
      <c r="C33" s="6"/>
      <c r="D33" s="6">
        <f>IFERROR(VLOOKUP(A33,'FERC 2021'!$A$3:$CK$231,82,0),0)</f>
        <v>1</v>
      </c>
      <c r="E33" s="6">
        <f>IFERROR(VLOOKUP(A33,'FERC 2022'!$A$3:$CK$230,82,0),0)</f>
        <v>1</v>
      </c>
      <c r="F33" s="6">
        <f>IFERROR(VLOOKUP(A33,'FERC 2023'!$A$3:$CK$231,82,0),0)</f>
        <v>1</v>
      </c>
      <c r="G33" s="6">
        <f>IFERROR(VLOOKUP(A33,'EIA 2021'!$A$2:$AA$268,27,0),0)</f>
        <v>2</v>
      </c>
      <c r="H33" s="6">
        <f>IFERROR(VLOOKUP(A33,'EIA 2022'!$A$2:$AA$268,27,0),0)</f>
        <v>2</v>
      </c>
      <c r="I33" s="6">
        <f>IFERROR(VLOOKUP(A33,'EIA 2023'!$A$2:$AA$268,27,0),0)</f>
        <v>2</v>
      </c>
      <c r="J33" s="29">
        <f>IFERROR(VLOOKUP(A33,'FERC 2021'!$A$3:$CQ$231,95,0)+VLOOKUP(A33,'EIA 2021'!$A$3:$AE$231,31,0),0)</f>
        <v>1</v>
      </c>
      <c r="K33" s="44">
        <f>IFERROR(VLOOKUP(A33,'FERC 2022'!$A$3:$CQ$230,95,0)+VLOOKUP(A33,'EIA 2022'!$A$3:$AE$231,31,0),0)</f>
        <v>1</v>
      </c>
      <c r="L33" s="44">
        <f>IFERROR(VLOOKUP(A33,'FERC 2023'!$A$3:$CQ$231,95,0)+VLOOKUP(A33,'EIA 2023'!$A$3:$AE$231,31,0),0)</f>
        <v>1</v>
      </c>
      <c r="M33" s="44" t="str">
        <f t="shared" si="0"/>
        <v/>
      </c>
      <c r="N33" s="7" t="s">
        <v>1385</v>
      </c>
    </row>
    <row r="34" spans="1:14" ht="15.75" customHeight="1">
      <c r="A34" s="7" t="s">
        <v>306</v>
      </c>
      <c r="B34" s="7" t="s">
        <v>307</v>
      </c>
      <c r="C34" s="6"/>
      <c r="D34" s="6">
        <f>IFERROR(VLOOKUP(A34,'FERC 2021'!$A$3:$CK$231,82,0),0)</f>
        <v>1</v>
      </c>
      <c r="E34" s="6">
        <f>IFERROR(VLOOKUP(A34,'FERC 2022'!$A$3:$CK$230,82,0),0)</f>
        <v>1</v>
      </c>
      <c r="F34" s="6">
        <f>IFERROR(VLOOKUP(A34,'FERC 2023'!$A$3:$CK$231,82,0),0)</f>
        <v>1</v>
      </c>
      <c r="G34" s="6">
        <f>IFERROR(VLOOKUP(A34,'EIA 2021'!$A$2:$AA$268,27,0),0)</f>
        <v>2</v>
      </c>
      <c r="H34" s="6">
        <f>IFERROR(VLOOKUP(A34,'EIA 2022'!$A$2:$AA$268,27,0),0)</f>
        <v>2</v>
      </c>
      <c r="I34" s="6">
        <f>IFERROR(VLOOKUP(A34,'EIA 2023'!$A$2:$AA$268,27,0),0)</f>
        <v>2</v>
      </c>
      <c r="J34" s="29">
        <f>IFERROR(VLOOKUP(A34,'FERC 2021'!$A$3:$CQ$231,95,0)+VLOOKUP(A34,'EIA 2021'!$A$3:$AE$231,31,0),0)</f>
        <v>0</v>
      </c>
      <c r="K34" s="44">
        <f>IFERROR(VLOOKUP(A34,'FERC 2022'!$A$3:$CQ$230,95,0)+VLOOKUP(A34,'EIA 2022'!$A$3:$AE$231,31,0),0)</f>
        <v>0</v>
      </c>
      <c r="L34" s="44">
        <f>IFERROR(VLOOKUP(A34,'FERC 2023'!$A$3:$CQ$231,95,0)+VLOOKUP(A34,'EIA 2023'!$A$3:$AE$231,31,0),0)</f>
        <v>0</v>
      </c>
      <c r="M34" s="44">
        <f t="shared" si="0"/>
        <v>1</v>
      </c>
    </row>
    <row r="35" spans="1:14" ht="15.75" customHeight="1">
      <c r="A35" s="7" t="s">
        <v>309</v>
      </c>
      <c r="B35" s="7" t="s">
        <v>310</v>
      </c>
      <c r="C35" s="6"/>
      <c r="D35" s="6">
        <f>IFERROR(VLOOKUP(A35,'FERC 2021'!$A$3:$CK$231,82,0),0)</f>
        <v>1</v>
      </c>
      <c r="E35" s="6">
        <f>IFERROR(VLOOKUP(A35,'FERC 2022'!$A$3:$CK$230,82,0),0)</f>
        <v>1</v>
      </c>
      <c r="F35" s="6">
        <f>IFERROR(VLOOKUP(A35,'FERC 2023'!$A$3:$CK$231,82,0),0)</f>
        <v>1</v>
      </c>
      <c r="G35" s="6">
        <f>IFERROR(VLOOKUP(A35,'EIA 2021'!$A$2:$AA$268,27,0),0)</f>
        <v>2</v>
      </c>
      <c r="H35" s="6">
        <f>IFERROR(VLOOKUP(A35,'EIA 2022'!$A$2:$AA$268,27,0),0)</f>
        <v>2</v>
      </c>
      <c r="I35" s="6">
        <f>IFERROR(VLOOKUP(A35,'EIA 2023'!$A$2:$AA$268,27,0),0)</f>
        <v>2</v>
      </c>
      <c r="J35" s="29">
        <f>IFERROR(VLOOKUP(A35,'FERC 2021'!$A$3:$CQ$231,95,0)+VLOOKUP(A35,'EIA 2021'!$A$3:$AE$231,31,0),0)</f>
        <v>0</v>
      </c>
      <c r="K35" s="44">
        <f>IFERROR(VLOOKUP(A35,'FERC 2022'!$A$3:$CQ$230,95,0)+VLOOKUP(A35,'EIA 2022'!$A$3:$AE$231,31,0),0)</f>
        <v>0</v>
      </c>
      <c r="L35" s="44">
        <f>IFERROR(VLOOKUP(A35,'FERC 2023'!$A$3:$CQ$231,95,0)+VLOOKUP(A35,'EIA 2023'!$A$3:$AE$231,31,0),0)</f>
        <v>0</v>
      </c>
      <c r="M35" s="44">
        <f t="shared" si="0"/>
        <v>1</v>
      </c>
    </row>
    <row r="36" spans="1:14" ht="15.75" customHeight="1">
      <c r="A36" s="7" t="s">
        <v>312</v>
      </c>
      <c r="B36" s="7" t="s">
        <v>313</v>
      </c>
      <c r="C36" s="6"/>
      <c r="D36" s="6">
        <f>IFERROR(VLOOKUP(A36,'FERC 2021'!$A$3:$CK$231,82,0),0)</f>
        <v>1</v>
      </c>
      <c r="E36" s="6">
        <f>IFERROR(VLOOKUP(A36,'FERC 2022'!$A$3:$CK$230,82,0),0)</f>
        <v>1</v>
      </c>
      <c r="F36" s="6">
        <f>IFERROR(VLOOKUP(A36,'FERC 2023'!$A$3:$CK$231,82,0),0)</f>
        <v>1</v>
      </c>
      <c r="G36" s="6">
        <f>IFERROR(VLOOKUP(A36,'EIA 2021'!$A$2:$AA$268,27,0),0)</f>
        <v>2</v>
      </c>
      <c r="H36" s="6">
        <f>IFERROR(VLOOKUP(A36,'EIA 2022'!$A$2:$AA$268,27,0),0)</f>
        <v>2</v>
      </c>
      <c r="I36" s="6">
        <f>IFERROR(VLOOKUP(A36,'EIA 2023'!$A$2:$AA$268,27,0),0)</f>
        <v>2</v>
      </c>
      <c r="J36" s="29">
        <f>IFERROR(VLOOKUP(A36,'FERC 2021'!$A$3:$CQ$231,95,0)+VLOOKUP(A36,'EIA 2021'!$A$3:$AE$231,31,0),0)</f>
        <v>0</v>
      </c>
      <c r="K36" s="44">
        <f>IFERROR(VLOOKUP(A36,'FERC 2022'!$A$3:$CQ$230,95,0)+VLOOKUP(A36,'EIA 2022'!$A$3:$AE$231,31,0),0)</f>
        <v>0</v>
      </c>
      <c r="L36" s="44">
        <f>IFERROR(VLOOKUP(A36,'FERC 2023'!$A$3:$CQ$231,95,0)+VLOOKUP(A36,'EIA 2023'!$A$3:$AE$231,31,0),0)</f>
        <v>0</v>
      </c>
      <c r="M36" s="44">
        <f t="shared" si="0"/>
        <v>1</v>
      </c>
    </row>
    <row r="37" spans="1:14" ht="15.75" customHeight="1">
      <c r="A37" s="7" t="s">
        <v>315</v>
      </c>
      <c r="B37" s="7" t="s">
        <v>316</v>
      </c>
      <c r="C37" s="6"/>
      <c r="D37" s="6">
        <f>IFERROR(VLOOKUP(A37,'FERC 2021'!$A$3:$CK$231,82,0),0)</f>
        <v>1</v>
      </c>
      <c r="E37" s="6">
        <f>IFERROR(VLOOKUP(A37,'FERC 2022'!$A$3:$CK$230,82,0),0)</f>
        <v>1</v>
      </c>
      <c r="F37" s="6">
        <f>IFERROR(VLOOKUP(A37,'FERC 2023'!$A$3:$CK$231,82,0),0)</f>
        <v>1</v>
      </c>
      <c r="G37" s="6">
        <f>IFERROR(VLOOKUP(A37,'EIA 2021'!$A$2:$AA$268,27,0),0)</f>
        <v>2</v>
      </c>
      <c r="H37" s="6">
        <f>IFERROR(VLOOKUP(A37,'EIA 2022'!$A$2:$AA$268,27,0),0)</f>
        <v>2</v>
      </c>
      <c r="I37" s="6">
        <f>IFERROR(VLOOKUP(A37,'EIA 2023'!$A$2:$AA$268,27,0),0)</f>
        <v>2</v>
      </c>
      <c r="J37" s="29">
        <f>IFERROR(VLOOKUP(A37,'FERC 2021'!$A$3:$CQ$231,95,0)+VLOOKUP(A37,'EIA 2021'!$A$3:$AE$231,31,0),0)</f>
        <v>0</v>
      </c>
      <c r="K37" s="44">
        <f>IFERROR(VLOOKUP(A37,'FERC 2022'!$A$3:$CQ$230,95,0)+VLOOKUP(A37,'EIA 2022'!$A$3:$AE$231,31,0),0)</f>
        <v>0</v>
      </c>
      <c r="L37" s="44">
        <f>IFERROR(VLOOKUP(A37,'FERC 2023'!$A$3:$CQ$231,95,0)+VLOOKUP(A37,'EIA 2023'!$A$3:$AE$231,31,0),0)</f>
        <v>0</v>
      </c>
      <c r="M37" s="44">
        <f t="shared" si="0"/>
        <v>1</v>
      </c>
    </row>
    <row r="38" spans="1:14" ht="15.75" customHeight="1">
      <c r="A38" s="7" t="s">
        <v>318</v>
      </c>
      <c r="B38" s="7" t="s">
        <v>319</v>
      </c>
      <c r="C38" s="6"/>
      <c r="D38" s="6">
        <f>IFERROR(VLOOKUP(A38,'FERC 2021'!$A$3:$CK$231,82,0),0)</f>
        <v>1</v>
      </c>
      <c r="E38" s="6">
        <f>IFERROR(VLOOKUP(A38,'FERC 2022'!$A$3:$CK$230,82,0),0)</f>
        <v>1</v>
      </c>
      <c r="F38" s="6">
        <f>IFERROR(VLOOKUP(A38,'FERC 2023'!$A$3:$CK$231,82,0),0)</f>
        <v>1</v>
      </c>
      <c r="G38" s="6">
        <f>IFERROR(VLOOKUP(A38,'EIA 2021'!$A$2:$AA$268,27,0),0)</f>
        <v>2</v>
      </c>
      <c r="H38" s="6">
        <f>IFERROR(VLOOKUP(A38,'EIA 2022'!$A$2:$AA$268,27,0),0)</f>
        <v>2</v>
      </c>
      <c r="I38" s="6">
        <f>IFERROR(VLOOKUP(A38,'EIA 2023'!$A$2:$AA$268,27,0),0)</f>
        <v>2</v>
      </c>
      <c r="J38" s="29">
        <f>IFERROR(VLOOKUP(A38,'FERC 2021'!$A$3:$CQ$231,95,0)+VLOOKUP(A38,'EIA 2021'!$A$3:$AE$231,31,0),0)</f>
        <v>0</v>
      </c>
      <c r="K38" s="44">
        <f>IFERROR(VLOOKUP(A38,'FERC 2022'!$A$3:$CQ$230,95,0)+VLOOKUP(A38,'EIA 2022'!$A$3:$AE$231,31,0),0)</f>
        <v>0</v>
      </c>
      <c r="L38" s="44">
        <f>IFERROR(VLOOKUP(A38,'FERC 2023'!$A$3:$CQ$231,95,0)+VLOOKUP(A38,'EIA 2023'!$A$3:$AE$231,31,0),0)</f>
        <v>0</v>
      </c>
      <c r="M38" s="44">
        <f t="shared" si="0"/>
        <v>1</v>
      </c>
      <c r="N38" s="7"/>
    </row>
    <row r="39" spans="1:14" ht="15.75" customHeight="1">
      <c r="A39" s="7" t="s">
        <v>321</v>
      </c>
      <c r="B39" s="7" t="s">
        <v>322</v>
      </c>
      <c r="C39" s="6"/>
      <c r="D39" s="6">
        <f>IFERROR(VLOOKUP(A39,'FERC 2021'!$A$3:$CK$231,82,0),0)</f>
        <v>0</v>
      </c>
      <c r="E39" s="6">
        <f>IFERROR(VLOOKUP(A39,'FERC 2022'!$A$3:$CK$230,82,0),0)</f>
        <v>0</v>
      </c>
      <c r="F39" s="6">
        <f>IFERROR(VLOOKUP(A39,'FERC 2023'!$A$3:$CK$231,82,0),0)</f>
        <v>0</v>
      </c>
      <c r="G39" s="6">
        <f>IFERROR(VLOOKUP(A39,'EIA 2021'!$A$2:$AA$268,27,0),0)</f>
        <v>0</v>
      </c>
      <c r="H39" s="6">
        <f>IFERROR(VLOOKUP(A39,'EIA 2022'!$A$2:$AA$268,27,0),0)</f>
        <v>0</v>
      </c>
      <c r="I39" s="6">
        <f>IFERROR(VLOOKUP(A39,'EIA 2023'!$A$2:$AA$268,27,0),0)</f>
        <v>0</v>
      </c>
      <c r="J39" s="29">
        <f>IFERROR(VLOOKUP(A39,'FERC 2021'!$A$3:$CQ$231,95,0)+VLOOKUP(A39,'EIA 2021'!$A$3:$AE$231,31,0),0)</f>
        <v>0</v>
      </c>
      <c r="K39" s="44">
        <f>IFERROR(VLOOKUP(A39,'FERC 2022'!$A$3:$CQ$230,95,0)+VLOOKUP(A39,'EIA 2022'!$A$3:$AE$231,31,0),0)</f>
        <v>0</v>
      </c>
      <c r="L39" s="44">
        <f>IFERROR(VLOOKUP(A39,'FERC 2023'!$A$3:$CQ$231,95,0)+VLOOKUP(A39,'EIA 2023'!$A$3:$AE$231,31,0),0)</f>
        <v>0</v>
      </c>
      <c r="M39" s="44" t="str">
        <f t="shared" si="0"/>
        <v/>
      </c>
    </row>
    <row r="40" spans="1:14" ht="15.75" customHeight="1">
      <c r="A40" s="7" t="s">
        <v>324</v>
      </c>
      <c r="B40" s="7" t="s">
        <v>325</v>
      </c>
      <c r="C40" s="6"/>
      <c r="D40" s="6">
        <f>IFERROR(VLOOKUP(A40,'FERC 2021'!$A$3:$CK$231,82,0),0)</f>
        <v>1</v>
      </c>
      <c r="E40" s="6">
        <f>IFERROR(VLOOKUP(A40,'FERC 2022'!$A$3:$CK$230,82,0),0)</f>
        <v>1</v>
      </c>
      <c r="F40" s="6">
        <f>IFERROR(VLOOKUP(A40,'FERC 2023'!$A$3:$CK$231,82,0),0)</f>
        <v>1</v>
      </c>
      <c r="G40" s="6">
        <f>IFERROR(VLOOKUP(A40,'EIA 2021'!$A$2:$AA$268,27,0),0)</f>
        <v>2</v>
      </c>
      <c r="H40" s="6">
        <f>IFERROR(VLOOKUP(A40,'EIA 2022'!$A$2:$AA$268,27,0),0)</f>
        <v>2</v>
      </c>
      <c r="I40" s="6">
        <f>IFERROR(VLOOKUP(A40,'EIA 2023'!$A$2:$AA$268,27,0),0)</f>
        <v>2</v>
      </c>
      <c r="J40" s="29">
        <f>IFERROR(VLOOKUP(A40,'FERC 2021'!$A$3:$CQ$231,95,0)+VLOOKUP(A40,'EIA 2021'!$A$3:$AE$231,31,0),0)</f>
        <v>0</v>
      </c>
      <c r="K40" s="44">
        <f>IFERROR(VLOOKUP(A40,'FERC 2022'!$A$3:$CQ$230,95,0)+VLOOKUP(A40,'EIA 2022'!$A$3:$AE$231,31,0),0)</f>
        <v>0</v>
      </c>
      <c r="L40" s="44">
        <f>IFERROR(VLOOKUP(A40,'FERC 2023'!$A$3:$CQ$231,95,0)+VLOOKUP(A40,'EIA 2023'!$A$3:$AE$231,31,0),0)</f>
        <v>0</v>
      </c>
      <c r="M40" s="44">
        <f t="shared" si="0"/>
        <v>1</v>
      </c>
    </row>
    <row r="41" spans="1:14" ht="15.75" customHeight="1">
      <c r="A41" s="7" t="s">
        <v>327</v>
      </c>
      <c r="B41" s="7" t="s">
        <v>328</v>
      </c>
      <c r="C41" s="6"/>
      <c r="D41" s="6">
        <f>IFERROR(VLOOKUP(A41,'FERC 2021'!$A$3:$CK$231,82,0),0)</f>
        <v>1</v>
      </c>
      <c r="E41" s="6">
        <f>IFERROR(VLOOKUP(A41,'FERC 2022'!$A$3:$CK$230,82,0),0)</f>
        <v>1</v>
      </c>
      <c r="F41" s="6">
        <f>IFERROR(VLOOKUP(A41,'FERC 2023'!$A$3:$CK$231,82,0),0)</f>
        <v>1</v>
      </c>
      <c r="G41" s="6">
        <f>IFERROR(VLOOKUP(A41,'EIA 2021'!$A$2:$AA$268,27,0),0)</f>
        <v>2</v>
      </c>
      <c r="H41" s="6">
        <f>IFERROR(VLOOKUP(A41,'EIA 2022'!$A$2:$AA$268,27,0),0)</f>
        <v>2</v>
      </c>
      <c r="I41" s="6">
        <f>IFERROR(VLOOKUP(A41,'EIA 2023'!$A$2:$AA$268,27,0),0)</f>
        <v>2</v>
      </c>
      <c r="J41" s="29">
        <f>IFERROR(VLOOKUP(A41,'FERC 2021'!$A$3:$CQ$231,95,0)+VLOOKUP(A41,'EIA 2021'!$A$3:$AE$231,31,0),0)</f>
        <v>0</v>
      </c>
      <c r="K41" s="44">
        <f>IFERROR(VLOOKUP(A41,'FERC 2022'!$A$3:$CQ$230,95,0)+VLOOKUP(A41,'EIA 2022'!$A$3:$AE$231,31,0),0)</f>
        <v>0</v>
      </c>
      <c r="L41" s="44">
        <f>IFERROR(VLOOKUP(A41,'FERC 2023'!$A$3:$CQ$231,95,0)+VLOOKUP(A41,'EIA 2023'!$A$3:$AE$231,31,0),0)</f>
        <v>0</v>
      </c>
      <c r="M41" s="44">
        <f t="shared" si="0"/>
        <v>1</v>
      </c>
      <c r="N41" s="7"/>
    </row>
    <row r="42" spans="1:14" ht="15.75" customHeight="1">
      <c r="A42" s="7" t="s">
        <v>330</v>
      </c>
      <c r="B42" s="7" t="s">
        <v>331</v>
      </c>
      <c r="C42" s="6"/>
      <c r="D42" s="6">
        <f>IFERROR(VLOOKUP(A42,'FERC 2021'!$A$3:$CK$231,82,0),0)</f>
        <v>0</v>
      </c>
      <c r="E42" s="6">
        <f>IFERROR(VLOOKUP(A42,'FERC 2022'!$A$3:$CK$230,82,0),0)</f>
        <v>0</v>
      </c>
      <c r="F42" s="6">
        <f>IFERROR(VLOOKUP(A42,'FERC 2023'!$A$3:$CK$231,82,0),0)</f>
        <v>0</v>
      </c>
      <c r="G42" s="6">
        <f>IFERROR(VLOOKUP(A42,'EIA 2021'!$A$2:$AA$268,27,0),0)</f>
        <v>0</v>
      </c>
      <c r="H42" s="6">
        <f>IFERROR(VLOOKUP(A42,'EIA 2022'!$A$2:$AA$268,27,0),0)</f>
        <v>0</v>
      </c>
      <c r="I42" s="6">
        <f>IFERROR(VLOOKUP(A42,'EIA 2023'!$A$2:$AA$268,27,0),0)</f>
        <v>0</v>
      </c>
      <c r="J42" s="29">
        <f>IFERROR(VLOOKUP(A42,'FERC 2021'!$A$3:$CQ$231,95,0)+VLOOKUP(A42,'EIA 2021'!$A$3:$AE$231,31,0),0)</f>
        <v>0</v>
      </c>
      <c r="K42" s="44">
        <f>IFERROR(VLOOKUP(A42,'FERC 2022'!$A$3:$CQ$230,95,0)+VLOOKUP(A42,'EIA 2022'!$A$3:$AE$231,31,0),0)</f>
        <v>0</v>
      </c>
      <c r="L42" s="44">
        <f>IFERROR(VLOOKUP(A42,'FERC 2023'!$A$3:$CQ$231,95,0)+VLOOKUP(A42,'EIA 2023'!$A$3:$AE$231,31,0),0)</f>
        <v>0</v>
      </c>
      <c r="M42" s="44" t="str">
        <f t="shared" si="0"/>
        <v/>
      </c>
    </row>
    <row r="43" spans="1:14" ht="15.75" customHeight="1">
      <c r="A43" s="7" t="s">
        <v>333</v>
      </c>
      <c r="B43" s="7" t="s">
        <v>334</v>
      </c>
      <c r="C43" s="6"/>
      <c r="D43" s="6">
        <f>IFERROR(VLOOKUP(A43,'FERC 2021'!$A$3:$CK$231,82,0),0)</f>
        <v>0</v>
      </c>
      <c r="E43" s="6">
        <f>IFERROR(VLOOKUP(A43,'FERC 2022'!$A$3:$CK$230,82,0),0)</f>
        <v>0</v>
      </c>
      <c r="F43" s="6">
        <f>IFERROR(VLOOKUP(A43,'FERC 2023'!$A$3:$CK$231,82,0),0)</f>
        <v>0</v>
      </c>
      <c r="G43" s="6">
        <f>IFERROR(VLOOKUP(A43,'EIA 2021'!$A$2:$AA$268,27,0),0)</f>
        <v>0</v>
      </c>
      <c r="H43" s="6">
        <f>IFERROR(VLOOKUP(A43,'EIA 2022'!$A$2:$AA$268,27,0),0)</f>
        <v>0</v>
      </c>
      <c r="I43" s="6">
        <f>IFERROR(VLOOKUP(A43,'EIA 2023'!$A$2:$AA$268,27,0),0)</f>
        <v>0</v>
      </c>
      <c r="J43" s="29">
        <f>IFERROR(VLOOKUP(A43,'FERC 2021'!$A$3:$CQ$231,95,0)+VLOOKUP(A43,'EIA 2021'!$A$3:$AE$231,31,0),0)</f>
        <v>0</v>
      </c>
      <c r="K43" s="44">
        <f>IFERROR(VLOOKUP(A43,'FERC 2022'!$A$3:$CQ$230,95,0)+VLOOKUP(A43,'EIA 2022'!$A$3:$AE$231,31,0),0)</f>
        <v>0</v>
      </c>
      <c r="L43" s="44">
        <f>IFERROR(VLOOKUP(A43,'FERC 2023'!$A$3:$CQ$231,95,0)+VLOOKUP(A43,'EIA 2023'!$A$3:$AE$231,31,0),0)</f>
        <v>0</v>
      </c>
      <c r="M43" s="44" t="str">
        <f t="shared" si="0"/>
        <v/>
      </c>
    </row>
    <row r="44" spans="1:14" ht="15.75" customHeight="1">
      <c r="A44" s="7" t="s">
        <v>336</v>
      </c>
      <c r="B44" s="7" t="s">
        <v>337</v>
      </c>
      <c r="C44" s="6"/>
      <c r="D44" s="6">
        <f>IFERROR(VLOOKUP(A44,'FERC 2021'!$A$3:$CK$231,82,0),0)</f>
        <v>0</v>
      </c>
      <c r="E44" s="6">
        <f>IFERROR(VLOOKUP(A44,'FERC 2022'!$A$3:$CK$230,82,0),0)</f>
        <v>0</v>
      </c>
      <c r="F44" s="6">
        <f>IFERROR(VLOOKUP(A44,'FERC 2023'!$A$3:$CK$231,82,0),0)</f>
        <v>0</v>
      </c>
      <c r="G44" s="6">
        <f>IFERROR(VLOOKUP(A44,'EIA 2021'!$A$2:$AA$268,27,0),0)</f>
        <v>0</v>
      </c>
      <c r="H44" s="6">
        <f>IFERROR(VLOOKUP(A44,'EIA 2022'!$A$2:$AA$268,27,0),0)</f>
        <v>0</v>
      </c>
      <c r="I44" s="6">
        <f>IFERROR(VLOOKUP(A44,'EIA 2023'!$A$2:$AA$268,27,0),0)</f>
        <v>0</v>
      </c>
      <c r="J44" s="29">
        <f>IFERROR(VLOOKUP(A44,'FERC 2021'!$A$3:$CQ$231,95,0)+VLOOKUP(A44,'EIA 2021'!$A$3:$AE$231,31,0),0)</f>
        <v>0</v>
      </c>
      <c r="K44" s="44">
        <f>IFERROR(VLOOKUP(A44,'FERC 2022'!$A$3:$CQ$230,95,0)+VLOOKUP(A44,'EIA 2022'!$A$3:$AE$231,31,0),0)</f>
        <v>0</v>
      </c>
      <c r="L44" s="44">
        <f>IFERROR(VLOOKUP(A44,'FERC 2023'!$A$3:$CQ$231,95,0)+VLOOKUP(A44,'EIA 2023'!$A$3:$AE$231,31,0),0)</f>
        <v>0</v>
      </c>
      <c r="M44" s="44" t="str">
        <f t="shared" si="0"/>
        <v/>
      </c>
    </row>
    <row r="45" spans="1:14" ht="15.75" customHeight="1">
      <c r="A45" s="7" t="s">
        <v>339</v>
      </c>
      <c r="B45" s="7" t="s">
        <v>340</v>
      </c>
      <c r="C45" s="6"/>
      <c r="D45" s="6">
        <f>IFERROR(VLOOKUP(A45,'FERC 2021'!$A$3:$CK$231,82,0),0)</f>
        <v>0</v>
      </c>
      <c r="E45" s="6">
        <f>IFERROR(VLOOKUP(A45,'FERC 2022'!$A$3:$CK$230,82,0),0)</f>
        <v>0</v>
      </c>
      <c r="F45" s="6">
        <f>IFERROR(VLOOKUP(A45,'FERC 2023'!$A$3:$CK$231,82,0),0)</f>
        <v>0</v>
      </c>
      <c r="G45" s="6">
        <f>IFERROR(VLOOKUP(A45,'EIA 2021'!$A$2:$AA$268,27,0),0)</f>
        <v>0</v>
      </c>
      <c r="H45" s="6">
        <f>IFERROR(VLOOKUP(A45,'EIA 2022'!$A$2:$AA$268,27,0),0)</f>
        <v>0</v>
      </c>
      <c r="I45" s="6">
        <f>IFERROR(VLOOKUP(A45,'EIA 2023'!$A$2:$AA$268,27,0),0)</f>
        <v>0</v>
      </c>
      <c r="J45" s="29">
        <f>IFERROR(VLOOKUP(A45,'FERC 2021'!$A$3:$CQ$231,95,0)+VLOOKUP(A45,'EIA 2021'!$A$3:$AE$231,31,0),0)</f>
        <v>0</v>
      </c>
      <c r="K45" s="44">
        <f>IFERROR(VLOOKUP(A45,'FERC 2022'!$A$3:$CQ$230,95,0)+VLOOKUP(A45,'EIA 2022'!$A$3:$AE$231,31,0),0)</f>
        <v>0</v>
      </c>
      <c r="L45" s="44">
        <f>IFERROR(VLOOKUP(A45,'FERC 2023'!$A$3:$CQ$231,95,0)+VLOOKUP(A45,'EIA 2023'!$A$3:$AE$231,31,0),0)</f>
        <v>0</v>
      </c>
      <c r="M45" s="44" t="str">
        <f t="shared" si="0"/>
        <v/>
      </c>
    </row>
    <row r="46" spans="1:14" ht="15.75" customHeight="1">
      <c r="A46" s="7" t="s">
        <v>342</v>
      </c>
      <c r="B46" s="7" t="s">
        <v>343</v>
      </c>
      <c r="C46" s="6"/>
      <c r="D46" s="6">
        <f>IFERROR(VLOOKUP(A46,'FERC 2021'!$A$3:$CK$231,82,0),0)</f>
        <v>0</v>
      </c>
      <c r="E46" s="6">
        <f>IFERROR(VLOOKUP(A46,'FERC 2022'!$A$3:$CK$230,82,0),0)</f>
        <v>0</v>
      </c>
      <c r="F46" s="6">
        <f>IFERROR(VLOOKUP(A46,'FERC 2023'!$A$3:$CK$231,82,0),0)</f>
        <v>0</v>
      </c>
      <c r="G46" s="6">
        <f>IFERROR(VLOOKUP(A46,'EIA 2021'!$A$2:$AA$268,27,0),0)</f>
        <v>0</v>
      </c>
      <c r="H46" s="6">
        <f>IFERROR(VLOOKUP(A46,'EIA 2022'!$A$2:$AA$268,27,0),0)</f>
        <v>0</v>
      </c>
      <c r="I46" s="6">
        <f>IFERROR(VLOOKUP(A46,'EIA 2023'!$A$2:$AA$268,27,0),0)</f>
        <v>0</v>
      </c>
      <c r="J46" s="29">
        <f>IFERROR(VLOOKUP(A46,'FERC 2021'!$A$3:$CQ$231,95,0)+VLOOKUP(A46,'EIA 2021'!$A$3:$AE$231,31,0),0)</f>
        <v>0</v>
      </c>
      <c r="K46" s="44">
        <f>IFERROR(VLOOKUP(A46,'FERC 2022'!$A$3:$CQ$230,95,0)+VLOOKUP(A46,'EIA 2022'!$A$3:$AE$231,31,0),0)</f>
        <v>0</v>
      </c>
      <c r="L46" s="44">
        <f>IFERROR(VLOOKUP(A46,'FERC 2023'!$A$3:$CQ$231,95,0)+VLOOKUP(A46,'EIA 2023'!$A$3:$AE$231,31,0),0)</f>
        <v>0</v>
      </c>
      <c r="M46" s="44" t="str">
        <f t="shared" si="0"/>
        <v/>
      </c>
    </row>
    <row r="47" spans="1:14" ht="15.75" customHeight="1">
      <c r="A47" s="7" t="s">
        <v>345</v>
      </c>
      <c r="B47" s="7" t="s">
        <v>346</v>
      </c>
      <c r="C47" s="6"/>
      <c r="D47" s="6">
        <f>IFERROR(VLOOKUP(A47,'FERC 2021'!$A$3:$CK$231,82,0),0)</f>
        <v>0</v>
      </c>
      <c r="E47" s="6">
        <f>IFERROR(VLOOKUP(A47,'FERC 2022'!$A$3:$CK$230,82,0),0)</f>
        <v>0</v>
      </c>
      <c r="F47" s="6">
        <f>IFERROR(VLOOKUP(A47,'FERC 2023'!$A$3:$CK$231,82,0),0)</f>
        <v>0</v>
      </c>
      <c r="G47" s="6">
        <f>IFERROR(VLOOKUP(A47,'EIA 2021'!$A$2:$AA$268,27,0),0)</f>
        <v>0</v>
      </c>
      <c r="H47" s="6">
        <f>IFERROR(VLOOKUP(A47,'EIA 2022'!$A$2:$AA$268,27,0),0)</f>
        <v>0</v>
      </c>
      <c r="I47" s="6">
        <f>IFERROR(VLOOKUP(A47,'EIA 2023'!$A$2:$AA$268,27,0),0)</f>
        <v>0</v>
      </c>
      <c r="J47" s="29">
        <f>IFERROR(VLOOKUP(A47,'FERC 2021'!$A$3:$CQ$231,95,0)+VLOOKUP(A47,'EIA 2021'!$A$3:$AE$231,31,0),0)</f>
        <v>0</v>
      </c>
      <c r="K47" s="44">
        <f>IFERROR(VLOOKUP(A47,'FERC 2022'!$A$3:$CQ$230,95,0)+VLOOKUP(A47,'EIA 2022'!$A$3:$AE$231,31,0),0)</f>
        <v>0</v>
      </c>
      <c r="L47" s="44">
        <f>IFERROR(VLOOKUP(A47,'FERC 2023'!$A$3:$CQ$231,95,0)+VLOOKUP(A47,'EIA 2023'!$A$3:$AE$231,31,0),0)</f>
        <v>0</v>
      </c>
      <c r="M47" s="44" t="str">
        <f t="shared" si="0"/>
        <v/>
      </c>
    </row>
    <row r="48" spans="1:14" ht="15.75" customHeight="1">
      <c r="A48" s="7" t="s">
        <v>348</v>
      </c>
      <c r="B48" s="7" t="s">
        <v>349</v>
      </c>
      <c r="C48" s="6"/>
      <c r="D48" s="6">
        <f>IFERROR(VLOOKUP(A48,'FERC 2021'!$A$3:$CK$231,82,0),0)</f>
        <v>1</v>
      </c>
      <c r="E48" s="6">
        <f>IFERROR(VLOOKUP(A48,'FERC 2022'!$A$3:$CK$230,82,0),0)</f>
        <v>1</v>
      </c>
      <c r="F48" s="6">
        <f>IFERROR(VLOOKUP(A48,'FERC 2023'!$A$3:$CK$231,82,0),0)</f>
        <v>1</v>
      </c>
      <c r="G48" s="6">
        <f>IFERROR(VLOOKUP(A48,'EIA 2021'!$A$2:$AA$268,27,0),0)</f>
        <v>2</v>
      </c>
      <c r="H48" s="6">
        <f>IFERROR(VLOOKUP(A48,'EIA 2022'!$A$2:$AA$268,27,0),0)</f>
        <v>2</v>
      </c>
      <c r="I48" s="6">
        <f>IFERROR(VLOOKUP(A48,'EIA 2023'!$A$2:$AA$268,27,0),0)</f>
        <v>2</v>
      </c>
      <c r="J48" s="29">
        <f>IFERROR(VLOOKUP(A48,'FERC 2021'!$A$3:$CQ$231,95,0)+VLOOKUP(A48,'EIA 2021'!$A$3:$AE$231,31,0),0)</f>
        <v>0</v>
      </c>
      <c r="K48" s="44">
        <f>IFERROR(VLOOKUP(A48,'FERC 2022'!$A$3:$CQ$230,95,0)+VLOOKUP(A48,'EIA 2022'!$A$3:$AE$231,31,0),0)</f>
        <v>0</v>
      </c>
      <c r="L48" s="44">
        <f>IFERROR(VLOOKUP(A48,'FERC 2023'!$A$3:$CQ$231,95,0)+VLOOKUP(A48,'EIA 2023'!$A$3:$AE$231,31,0),0)</f>
        <v>0</v>
      </c>
      <c r="M48" s="44">
        <f t="shared" si="0"/>
        <v>1</v>
      </c>
      <c r="N48" s="7"/>
    </row>
    <row r="49" spans="1:15" ht="15.75" customHeight="1">
      <c r="A49" s="7" t="s">
        <v>351</v>
      </c>
      <c r="B49" s="7" t="s">
        <v>352</v>
      </c>
      <c r="C49" s="6"/>
      <c r="D49" s="6">
        <f>IFERROR(VLOOKUP(A49,'FERC 2021'!$A$3:$CK$231,82,0),0)</f>
        <v>1</v>
      </c>
      <c r="E49" s="6">
        <f>IFERROR(VLOOKUP(A49,'FERC 2022'!$A$3:$CK$230,82,0),0)</f>
        <v>1</v>
      </c>
      <c r="F49" s="6">
        <f>IFERROR(VLOOKUP(A49,'FERC 2023'!$A$3:$CK$231,82,0),0)</f>
        <v>1</v>
      </c>
      <c r="G49" s="6">
        <f>IFERROR(VLOOKUP(A49,'EIA 2021'!$A$2:$AA$268,27,0),0)</f>
        <v>2</v>
      </c>
      <c r="H49" s="6">
        <f>IFERROR(VLOOKUP(A49,'EIA 2022'!$A$2:$AA$268,27,0),0)</f>
        <v>2</v>
      </c>
      <c r="I49" s="6">
        <f>IFERROR(VLOOKUP(A49,'EIA 2023'!$A$2:$AA$268,27,0),0)</f>
        <v>2</v>
      </c>
      <c r="J49" s="29">
        <f>IFERROR(VLOOKUP(A49,'FERC 2021'!$A$3:$CQ$231,95,0)+VLOOKUP(A49,'EIA 2021'!$A$3:$AE$231,31,0),0)</f>
        <v>0</v>
      </c>
      <c r="K49" s="44">
        <f>IFERROR(VLOOKUP(A49,'FERC 2022'!$A$3:$CQ$230,95,0)+VLOOKUP(A49,'EIA 2022'!$A$3:$AE$231,31,0),0)</f>
        <v>0</v>
      </c>
      <c r="L49" s="44">
        <f>IFERROR(VLOOKUP(A49,'FERC 2023'!$A$3:$CQ$231,95,0)+VLOOKUP(A49,'EIA 2023'!$A$3:$AE$231,31,0),0)</f>
        <v>0</v>
      </c>
      <c r="M49" s="44">
        <f t="shared" si="0"/>
        <v>1</v>
      </c>
    </row>
    <row r="50" spans="1:15" ht="15.75" customHeight="1">
      <c r="A50" s="7" t="s">
        <v>354</v>
      </c>
      <c r="B50" s="7" t="s">
        <v>355</v>
      </c>
      <c r="C50" s="6"/>
      <c r="D50" s="6">
        <f>IFERROR(VLOOKUP(A50,'FERC 2021'!$A$3:$CK$231,82,0),0)</f>
        <v>1</v>
      </c>
      <c r="E50" s="6">
        <f>IFERROR(VLOOKUP(A50,'FERC 2022'!$A$3:$CK$230,82,0),0)</f>
        <v>1</v>
      </c>
      <c r="F50" s="6">
        <f>IFERROR(VLOOKUP(A50,'FERC 2023'!$A$3:$CK$231,82,0),0)</f>
        <v>1</v>
      </c>
      <c r="G50" s="6">
        <f>IFERROR(VLOOKUP(A50,'EIA 2021'!$A$2:$AA$268,27,0),0)</f>
        <v>2</v>
      </c>
      <c r="H50" s="6">
        <f>IFERROR(VLOOKUP(A50,'EIA 2022'!$A$2:$AA$268,27,0),0)</f>
        <v>2</v>
      </c>
      <c r="I50" s="6">
        <f>IFERROR(VLOOKUP(A50,'EIA 2023'!$A$2:$AA$268,27,0),0)</f>
        <v>2</v>
      </c>
      <c r="J50" s="29">
        <f>IFERROR(VLOOKUP(A50,'FERC 2021'!$A$3:$CQ$231,95,0)+VLOOKUP(A50,'EIA 2021'!$A$3:$AE$231,31,0),0)</f>
        <v>0</v>
      </c>
      <c r="K50" s="44">
        <f>IFERROR(VLOOKUP(A50,'FERC 2022'!$A$3:$CQ$230,95,0)+VLOOKUP(A50,'EIA 2022'!$A$3:$AE$231,31,0),0)</f>
        <v>0</v>
      </c>
      <c r="L50" s="44">
        <f>IFERROR(VLOOKUP(A50,'FERC 2023'!$A$3:$CQ$231,95,0)+VLOOKUP(A50,'EIA 2023'!$A$3:$AE$231,31,0),0)</f>
        <v>0</v>
      </c>
      <c r="M50" s="44">
        <f t="shared" si="0"/>
        <v>1</v>
      </c>
    </row>
    <row r="51" spans="1:15" ht="15.75" customHeight="1">
      <c r="A51" s="7" t="s">
        <v>357</v>
      </c>
      <c r="B51" s="7" t="s">
        <v>358</v>
      </c>
      <c r="C51" s="6"/>
      <c r="D51" s="6">
        <f>IFERROR(VLOOKUP(A51,'FERC 2021'!$A$3:$CK$231,82,0),0)</f>
        <v>1</v>
      </c>
      <c r="E51" s="6">
        <f>IFERROR(VLOOKUP(A51,'FERC 2022'!$A$3:$CK$230,82,0),0)</f>
        <v>1</v>
      </c>
      <c r="F51" s="6">
        <f>IFERROR(VLOOKUP(A51,'FERC 2023'!$A$3:$CK$231,82,0),0)</f>
        <v>1</v>
      </c>
      <c r="G51" s="6">
        <f>IFERROR(VLOOKUP(A51,'EIA 2021'!$A$2:$AA$268,27,0),0)</f>
        <v>2</v>
      </c>
      <c r="H51" s="6">
        <f>IFERROR(VLOOKUP(A51,'EIA 2022'!$A$2:$AA$268,27,0),0)</f>
        <v>2</v>
      </c>
      <c r="I51" s="6">
        <f>IFERROR(VLOOKUP(A51,'EIA 2023'!$A$2:$AA$268,27,0),0)</f>
        <v>2</v>
      </c>
      <c r="J51" s="29">
        <f>IFERROR(VLOOKUP(A51,'FERC 2021'!$A$3:$CQ$231,95,0)+VLOOKUP(A51,'EIA 2021'!$A$3:$AE$231,31,0),0)</f>
        <v>0</v>
      </c>
      <c r="K51" s="44">
        <f>IFERROR(VLOOKUP(A51,'FERC 2022'!$A$3:$CQ$230,95,0)+VLOOKUP(A51,'EIA 2022'!$A$3:$AE$231,31,0),0)</f>
        <v>0</v>
      </c>
      <c r="L51" s="44">
        <f>IFERROR(VLOOKUP(A51,'FERC 2023'!$A$3:$CQ$231,95,0)+VLOOKUP(A51,'EIA 2023'!$A$3:$AE$231,31,0),0)</f>
        <v>0</v>
      </c>
      <c r="M51" s="44">
        <f t="shared" si="0"/>
        <v>1</v>
      </c>
      <c r="N51" s="7"/>
    </row>
    <row r="52" spans="1:15" ht="15.75" customHeight="1">
      <c r="A52" s="7" t="s">
        <v>360</v>
      </c>
      <c r="B52" s="7" t="s">
        <v>361</v>
      </c>
      <c r="C52" s="6"/>
      <c r="D52" s="6">
        <f>IFERROR(VLOOKUP(A52,'FERC 2021'!$A$3:$CK$231,82,0),0)</f>
        <v>1</v>
      </c>
      <c r="E52" s="6">
        <f>IFERROR(VLOOKUP(A52,'FERC 2022'!$A$3:$CK$230,82,0),0)</f>
        <v>1</v>
      </c>
      <c r="F52" s="6">
        <f>IFERROR(VLOOKUP(A52,'FERC 2023'!$A$3:$CK$231,82,0),0)</f>
        <v>1</v>
      </c>
      <c r="G52" s="6">
        <f>IFERROR(VLOOKUP(A52,'EIA 2021'!$A$2:$AA$268,27,0),0)</f>
        <v>2</v>
      </c>
      <c r="H52" s="6">
        <f>IFERROR(VLOOKUP(A52,'EIA 2022'!$A$2:$AA$268,27,0),0)</f>
        <v>2</v>
      </c>
      <c r="I52" s="6">
        <f>IFERROR(VLOOKUP(A52,'EIA 2023'!$A$2:$AA$268,27,0),0)</f>
        <v>2</v>
      </c>
      <c r="J52" s="29">
        <f>IFERROR(VLOOKUP(A52,'FERC 2021'!$A$3:$CQ$231,95,0)+VLOOKUP(A52,'EIA 2021'!$A$3:$AE$231,31,0),0)</f>
        <v>0</v>
      </c>
      <c r="K52" s="44">
        <f>IFERROR(VLOOKUP(A52,'FERC 2022'!$A$3:$CQ$230,95,0)+VLOOKUP(A52,'EIA 2022'!$A$3:$AE$231,31,0),0)</f>
        <v>0</v>
      </c>
      <c r="L52" s="44">
        <f>IFERROR(VLOOKUP(A52,'FERC 2023'!$A$3:$CQ$231,95,0)+VLOOKUP(A52,'EIA 2023'!$A$3:$AE$231,31,0),0)</f>
        <v>0</v>
      </c>
      <c r="M52" s="44">
        <f t="shared" si="0"/>
        <v>1</v>
      </c>
      <c r="N52" s="7"/>
    </row>
    <row r="53" spans="1:15" ht="15.75" customHeight="1">
      <c r="A53" s="7" t="s">
        <v>363</v>
      </c>
      <c r="B53" s="7" t="s">
        <v>364</v>
      </c>
      <c r="C53" s="6"/>
      <c r="D53" s="6">
        <f>IFERROR(VLOOKUP(A53,'FERC 2021'!$A$3:$CK$231,82,0),0)</f>
        <v>0</v>
      </c>
      <c r="E53" s="6">
        <f>IFERROR(VLOOKUP(A53,'FERC 2022'!$A$3:$CK$230,82,0),0)</f>
        <v>1</v>
      </c>
      <c r="F53" s="6">
        <f>IFERROR(VLOOKUP(A53,'FERC 2023'!$A$3:$CK$231,82,0),0)</f>
        <v>1</v>
      </c>
      <c r="G53" s="6">
        <f>IFERROR(VLOOKUP(A53,'EIA 2021'!$A$2:$AA$268,27,0),0)</f>
        <v>2</v>
      </c>
      <c r="H53" s="6">
        <f>IFERROR(VLOOKUP(A53,'EIA 2022'!$A$2:$AA$268,27,0),0)</f>
        <v>2</v>
      </c>
      <c r="I53" s="6">
        <f>IFERROR(VLOOKUP(A53,'EIA 2023'!$A$2:$AA$268,27,0),0)</f>
        <v>2</v>
      </c>
      <c r="J53" s="29">
        <f>IFERROR(VLOOKUP(A53,'FERC 2021'!$A$3:$CQ$231,95,0)+VLOOKUP(A53,'EIA 2021'!$A$3:$AE$231,31,0),0)</f>
        <v>0</v>
      </c>
      <c r="K53" s="44">
        <f>IFERROR(VLOOKUP(A53,'FERC 2022'!$A$3:$CQ$230,95,0)+VLOOKUP(A53,'EIA 2022'!$A$3:$AE$231,31,0),0)</f>
        <v>0</v>
      </c>
      <c r="L53" s="44">
        <f>IFERROR(VLOOKUP(A53,'FERC 2023'!$A$3:$CQ$231,95,0)+VLOOKUP(A53,'EIA 2023'!$A$3:$AE$231,31,0),0)</f>
        <v>0</v>
      </c>
      <c r="M53" s="44">
        <f t="shared" si="0"/>
        <v>1</v>
      </c>
    </row>
    <row r="54" spans="1:15" ht="15.75" customHeight="1">
      <c r="A54" s="7" t="s">
        <v>366</v>
      </c>
      <c r="B54" s="7" t="s">
        <v>367</v>
      </c>
      <c r="C54" s="6"/>
      <c r="D54" s="6">
        <f>IFERROR(VLOOKUP(A54,'FERC 2021'!$A$3:$CK$231,82,0),0)</f>
        <v>1</v>
      </c>
      <c r="E54" s="6">
        <f>IFERROR(VLOOKUP(A54,'FERC 2022'!$A$3:$CK$230,82,0),0)</f>
        <v>1</v>
      </c>
      <c r="F54" s="6">
        <f>IFERROR(VLOOKUP(A54,'FERC 2023'!$A$3:$CK$231,82,0),0)</f>
        <v>1</v>
      </c>
      <c r="G54" s="6">
        <f>IFERROR(VLOOKUP(A54,'EIA 2021'!$A$2:$AA$268,27,0),0)</f>
        <v>2</v>
      </c>
      <c r="H54" s="6">
        <f>IFERROR(VLOOKUP(A54,'EIA 2022'!$A$2:$AA$268,27,0),0)</f>
        <v>2</v>
      </c>
      <c r="I54" s="6">
        <f>IFERROR(VLOOKUP(A54,'EIA 2023'!$A$2:$AA$268,27,0),0)</f>
        <v>2</v>
      </c>
      <c r="J54" s="29">
        <f>IFERROR(VLOOKUP(A54,'FERC 2021'!$A$3:$CQ$231,95,0)+VLOOKUP(A54,'EIA 2021'!$A$3:$AE$231,31,0),0)</f>
        <v>0</v>
      </c>
      <c r="K54" s="44">
        <f>IFERROR(VLOOKUP(A54,'FERC 2022'!$A$3:$CQ$230,95,0)+VLOOKUP(A54,'EIA 2022'!$A$3:$AE$231,31,0),0)</f>
        <v>0</v>
      </c>
      <c r="L54" s="44">
        <f>IFERROR(VLOOKUP(A54,'FERC 2023'!$A$3:$CQ$231,95,0)+VLOOKUP(A54,'EIA 2023'!$A$3:$AE$231,31,0),0)</f>
        <v>0</v>
      </c>
      <c r="M54" s="44">
        <f t="shared" si="0"/>
        <v>1</v>
      </c>
    </row>
    <row r="55" spans="1:15" ht="15.75" customHeight="1">
      <c r="A55" s="7" t="s">
        <v>369</v>
      </c>
      <c r="B55" s="7" t="s">
        <v>370</v>
      </c>
      <c r="C55" s="6"/>
      <c r="D55" s="6">
        <f>IFERROR(VLOOKUP(A55,'FERC 2021'!$A$3:$CK$231,82,0),0)</f>
        <v>1</v>
      </c>
      <c r="E55" s="6">
        <f>IFERROR(VLOOKUP(A55,'FERC 2022'!$A$3:$CK$230,82,0),0)</f>
        <v>1</v>
      </c>
      <c r="F55" s="6">
        <f>IFERROR(VLOOKUP(A55,'FERC 2023'!$A$3:$CK$231,82,0),0)</f>
        <v>1</v>
      </c>
      <c r="G55" s="6">
        <f>IFERROR(VLOOKUP(A55,'EIA 2021'!$A$2:$AA$268,27,0),0)</f>
        <v>2</v>
      </c>
      <c r="H55" s="6">
        <f>IFERROR(VLOOKUP(A55,'EIA 2022'!$A$2:$AA$268,27,0),0)</f>
        <v>2</v>
      </c>
      <c r="I55" s="6">
        <f>IFERROR(VLOOKUP(A55,'EIA 2023'!$A$2:$AA$268,27,0),0)</f>
        <v>2</v>
      </c>
      <c r="J55" s="29">
        <f>IFERROR(VLOOKUP(A55,'FERC 2021'!$A$3:$CQ$231,95,0)+VLOOKUP(A55,'EIA 2021'!$A$3:$AE$231,31,0),0)</f>
        <v>1</v>
      </c>
      <c r="K55" s="44">
        <f>IFERROR(VLOOKUP(A55,'FERC 2022'!$A$3:$CQ$230,95,0)+VLOOKUP(A55,'EIA 2022'!$A$3:$AE$231,31,0),0)</f>
        <v>1</v>
      </c>
      <c r="L55" s="44">
        <f>IFERROR(VLOOKUP(A55,'FERC 2023'!$A$3:$CQ$231,95,0)+VLOOKUP(A55,'EIA 2023'!$A$3:$AE$231,31,0),0)</f>
        <v>1</v>
      </c>
      <c r="M55" s="44" t="str">
        <f t="shared" si="0"/>
        <v/>
      </c>
      <c r="N55" s="7" t="s">
        <v>1386</v>
      </c>
      <c r="O55" s="44"/>
    </row>
    <row r="56" spans="1:15" ht="15.75" customHeight="1">
      <c r="A56" s="7" t="s">
        <v>372</v>
      </c>
      <c r="B56" s="7" t="s">
        <v>373</v>
      </c>
      <c r="C56" s="6"/>
      <c r="D56" s="6">
        <f>IFERROR(VLOOKUP(A56,'FERC 2021'!$A$3:$CK$231,82,0),0)</f>
        <v>1</v>
      </c>
      <c r="E56" s="6">
        <f>IFERROR(VLOOKUP(A56,'FERC 2022'!$A$3:$CK$230,82,0),0)</f>
        <v>1</v>
      </c>
      <c r="F56" s="6">
        <f>IFERROR(VLOOKUP(A56,'FERC 2023'!$A$3:$CK$231,82,0),0)</f>
        <v>1</v>
      </c>
      <c r="G56" s="6">
        <f>IFERROR(VLOOKUP(A56,'EIA 2021'!$A$2:$AA$268,27,0),0)</f>
        <v>2</v>
      </c>
      <c r="H56" s="6">
        <f>IFERROR(VLOOKUP(A56,'EIA 2022'!$A$2:$AA$268,27,0),0)</f>
        <v>2</v>
      </c>
      <c r="I56" s="6">
        <f>IFERROR(VLOOKUP(A56,'EIA 2023'!$A$2:$AA$268,27,0),0)</f>
        <v>2</v>
      </c>
      <c r="J56" s="29">
        <f>IFERROR(VLOOKUP(A56,'FERC 2021'!$A$3:$CQ$231,95,0)+VLOOKUP(A56,'EIA 2021'!$A$3:$AE$231,31,0),0)</f>
        <v>0</v>
      </c>
      <c r="K56" s="44">
        <f>IFERROR(VLOOKUP(A56,'FERC 2022'!$A$3:$CQ$230,95,0)+VLOOKUP(A56,'EIA 2022'!$A$3:$AE$231,31,0),0)</f>
        <v>0</v>
      </c>
      <c r="L56" s="44">
        <f>IFERROR(VLOOKUP(A56,'FERC 2023'!$A$3:$CQ$231,95,0)+VLOOKUP(A56,'EIA 2023'!$A$3:$AE$231,31,0),0)</f>
        <v>0</v>
      </c>
      <c r="M56" s="44">
        <f t="shared" si="0"/>
        <v>1</v>
      </c>
      <c r="N56" s="97"/>
    </row>
    <row r="57" spans="1:15" ht="15.75" customHeight="1">
      <c r="A57" s="7" t="s">
        <v>375</v>
      </c>
      <c r="B57" s="7" t="s">
        <v>376</v>
      </c>
      <c r="C57" s="6"/>
      <c r="D57" s="6">
        <f>IFERROR(VLOOKUP(A57,'FERC 2021'!$A$3:$CK$231,82,0),0)</f>
        <v>1</v>
      </c>
      <c r="E57" s="6">
        <f>IFERROR(VLOOKUP(A57,'FERC 2022'!$A$3:$CK$230,82,0),0)</f>
        <v>1</v>
      </c>
      <c r="F57" s="6">
        <f>IFERROR(VLOOKUP(A57,'FERC 2023'!$A$3:$CK$231,82,0),0)</f>
        <v>1</v>
      </c>
      <c r="G57" s="6">
        <f>IFERROR(VLOOKUP(A57,'EIA 2021'!$A$2:$AA$268,27,0),0)</f>
        <v>2</v>
      </c>
      <c r="H57" s="6">
        <f>IFERROR(VLOOKUP(A57,'EIA 2022'!$A$2:$AA$268,27,0),0)</f>
        <v>2</v>
      </c>
      <c r="I57" s="6">
        <f>IFERROR(VLOOKUP(A57,'EIA 2023'!$A$2:$AA$268,27,0),0)</f>
        <v>2</v>
      </c>
      <c r="J57" s="29">
        <f>IFERROR(VLOOKUP(A57,'FERC 2021'!$A$3:$CQ$231,95,0)+VLOOKUP(A57,'EIA 2021'!$A$3:$AE$231,31,0),0)</f>
        <v>0</v>
      </c>
      <c r="K57" s="44">
        <f>IFERROR(VLOOKUP(A57,'FERC 2022'!$A$3:$CQ$230,95,0)+VLOOKUP(A57,'EIA 2022'!$A$3:$AE$231,31,0),0)</f>
        <v>0</v>
      </c>
      <c r="L57" s="44">
        <f>IFERROR(VLOOKUP(A57,'FERC 2023'!$A$3:$CQ$231,95,0)+VLOOKUP(A57,'EIA 2023'!$A$3:$AE$231,31,0),0)</f>
        <v>0</v>
      </c>
      <c r="M57" s="44">
        <f t="shared" si="0"/>
        <v>1</v>
      </c>
    </row>
    <row r="58" spans="1:15" ht="15.75" customHeight="1">
      <c r="A58" s="7" t="s">
        <v>378</v>
      </c>
      <c r="B58" s="7" t="s">
        <v>379</v>
      </c>
      <c r="C58" s="6"/>
      <c r="D58" s="6">
        <f>IFERROR(VLOOKUP(A58,'FERC 2021'!$A$3:$CK$231,82,0),0)</f>
        <v>1</v>
      </c>
      <c r="E58" s="6">
        <f>IFERROR(VLOOKUP(A58,'FERC 2022'!$A$3:$CK$230,82,0),0)</f>
        <v>1</v>
      </c>
      <c r="F58" s="6">
        <f>IFERROR(VLOOKUP(A58,'FERC 2023'!$A$3:$CK$231,82,0),0)</f>
        <v>1</v>
      </c>
      <c r="G58" s="6">
        <f>IFERROR(VLOOKUP(A58,'EIA 2021'!$A$2:$AA$268,27,0),0)</f>
        <v>2</v>
      </c>
      <c r="H58" s="6">
        <f>IFERROR(VLOOKUP(A58,'EIA 2022'!$A$2:$AA$268,27,0),0)</f>
        <v>2</v>
      </c>
      <c r="I58" s="6">
        <f>IFERROR(VLOOKUP(A58,'EIA 2023'!$A$2:$AA$268,27,0),0)</f>
        <v>2</v>
      </c>
      <c r="J58" s="29">
        <f>IFERROR(VLOOKUP(A58,'FERC 2021'!$A$3:$CQ$231,95,0)+VLOOKUP(A58,'EIA 2021'!$A$3:$AE$231,31,0),0)</f>
        <v>0</v>
      </c>
      <c r="K58" s="44">
        <f>IFERROR(VLOOKUP(A58,'FERC 2022'!$A$3:$CQ$230,95,0)+VLOOKUP(A58,'EIA 2022'!$A$3:$AE$231,31,0),0)</f>
        <v>0</v>
      </c>
      <c r="L58" s="44">
        <f>IFERROR(VLOOKUP(A58,'FERC 2023'!$A$3:$CQ$231,95,0)+VLOOKUP(A58,'EIA 2023'!$A$3:$AE$231,31,0),0)</f>
        <v>0</v>
      </c>
      <c r="M58" s="44">
        <f t="shared" si="0"/>
        <v>1</v>
      </c>
    </row>
    <row r="59" spans="1:15" ht="15.75" customHeight="1">
      <c r="A59" s="7" t="s">
        <v>381</v>
      </c>
      <c r="B59" s="7" t="s">
        <v>382</v>
      </c>
      <c r="C59" s="6"/>
      <c r="D59" s="6">
        <f>IFERROR(VLOOKUP(A59,'FERC 2021'!$A$3:$CK$231,82,0),0)</f>
        <v>1</v>
      </c>
      <c r="E59" s="6">
        <f>IFERROR(VLOOKUP(A59,'FERC 2022'!$A$3:$CK$230,82,0),0)</f>
        <v>1</v>
      </c>
      <c r="F59" s="6">
        <f>IFERROR(VLOOKUP(A59,'FERC 2023'!$A$3:$CK$231,82,0),0)</f>
        <v>1</v>
      </c>
      <c r="G59" s="6">
        <f>IFERROR(VLOOKUP(A59,'EIA 2021'!$A$2:$AA$268,27,0),0)</f>
        <v>2</v>
      </c>
      <c r="H59" s="6">
        <f>IFERROR(VLOOKUP(A59,'EIA 2022'!$A$2:$AA$268,27,0),0)</f>
        <v>2</v>
      </c>
      <c r="I59" s="6">
        <f>IFERROR(VLOOKUP(A59,'EIA 2023'!$A$2:$AA$268,27,0),0)</f>
        <v>2</v>
      </c>
      <c r="J59" s="29">
        <f>IFERROR(VLOOKUP(A59,'FERC 2021'!$A$3:$CQ$231,95,0)+VLOOKUP(A59,'EIA 2021'!$A$3:$AE$231,31,0),0)</f>
        <v>0</v>
      </c>
      <c r="K59" s="44">
        <f>IFERROR(VLOOKUP(A59,'FERC 2022'!$A$3:$CQ$230,95,0)+VLOOKUP(A59,'EIA 2022'!$A$3:$AE$231,31,0),0)</f>
        <v>0</v>
      </c>
      <c r="L59" s="44">
        <f>IFERROR(VLOOKUP(A59,'FERC 2023'!$A$3:$CQ$231,95,0)+VLOOKUP(A59,'EIA 2023'!$A$3:$AE$231,31,0),0)</f>
        <v>0</v>
      </c>
      <c r="M59" s="44">
        <f t="shared" si="0"/>
        <v>1</v>
      </c>
      <c r="N59" s="44" t="s">
        <v>1387</v>
      </c>
    </row>
    <row r="60" spans="1:15" ht="15.75" customHeight="1">
      <c r="A60" s="7" t="s">
        <v>384</v>
      </c>
      <c r="B60" s="7" t="s">
        <v>385</v>
      </c>
      <c r="C60" s="6"/>
      <c r="D60" s="6">
        <f>IFERROR(VLOOKUP(A60,'FERC 2021'!$A$3:$CK$231,82,0),0)</f>
        <v>0</v>
      </c>
      <c r="E60" s="6">
        <f>IFERROR(VLOOKUP(A60,'FERC 2022'!$A$3:$CK$230,82,0),0)</f>
        <v>0</v>
      </c>
      <c r="F60" s="6">
        <f>IFERROR(VLOOKUP(A60,'FERC 2023'!$A$3:$CK$231,82,0),0)</f>
        <v>0</v>
      </c>
      <c r="G60" s="6">
        <f>IFERROR(VLOOKUP(A60,'EIA 2021'!$A$2:$AA$268,27,0),0)</f>
        <v>2</v>
      </c>
      <c r="H60" s="6">
        <f>IFERROR(VLOOKUP(A60,'EIA 2022'!$A$2:$AA$268,27,0),0)</f>
        <v>2</v>
      </c>
      <c r="I60" s="6">
        <f>IFERROR(VLOOKUP(A60,'EIA 2023'!$A$2:$AA$268,27,0),0)</f>
        <v>2</v>
      </c>
      <c r="J60" s="29">
        <f>IFERROR(VLOOKUP(A60,'FERC 2021'!$A$3:$CQ$231,95,0)+VLOOKUP(A60,'EIA 2021'!$A$3:$AE$231,31,0),0)</f>
        <v>0</v>
      </c>
      <c r="K60" s="44">
        <f>IFERROR(VLOOKUP(A60,'FERC 2022'!$A$3:$CQ$230,95,0)+VLOOKUP(A60,'EIA 2022'!$A$3:$AE$231,31,0),0)</f>
        <v>0</v>
      </c>
      <c r="L60" s="44">
        <f>IFERROR(VLOOKUP(A60,'FERC 2023'!$A$3:$CQ$231,95,0)+VLOOKUP(A60,'EIA 2023'!$A$3:$AE$231,31,0),0)</f>
        <v>0</v>
      </c>
      <c r="M60" s="44" t="str">
        <f t="shared" si="0"/>
        <v/>
      </c>
      <c r="N60" s="7" t="s">
        <v>1388</v>
      </c>
    </row>
    <row r="61" spans="1:15" ht="15.75" customHeight="1">
      <c r="A61" s="7" t="s">
        <v>387</v>
      </c>
      <c r="B61" s="7" t="s">
        <v>388</v>
      </c>
      <c r="C61" s="6"/>
      <c r="D61" s="6">
        <f>IFERROR(VLOOKUP(A61,'FERC 2021'!$A$3:$CK$231,82,0),0)</f>
        <v>0</v>
      </c>
      <c r="E61" s="6">
        <f>IFERROR(VLOOKUP(A61,'FERC 2022'!$A$3:$CK$230,82,0),0)</f>
        <v>0</v>
      </c>
      <c r="F61" s="6">
        <f>IFERROR(VLOOKUP(A61,'FERC 2023'!$A$3:$CK$231,82,0),0)</f>
        <v>0</v>
      </c>
      <c r="G61" s="6">
        <f>IFERROR(VLOOKUP(A61,'EIA 2021'!$A$2:$AA$268,27,0),0)</f>
        <v>0</v>
      </c>
      <c r="H61" s="6">
        <f>IFERROR(VLOOKUP(A61,'EIA 2022'!$A$2:$AA$268,27,0),0)</f>
        <v>0</v>
      </c>
      <c r="I61" s="6">
        <f>IFERROR(VLOOKUP(A61,'EIA 2023'!$A$2:$AA$268,27,0),0)</f>
        <v>0</v>
      </c>
      <c r="J61" s="29">
        <f>IFERROR(VLOOKUP(A61,'FERC 2021'!$A$3:$CQ$231,95,0)+VLOOKUP(A61,'EIA 2021'!$A$3:$AE$231,31,0),0)</f>
        <v>0</v>
      </c>
      <c r="K61" s="44">
        <f>IFERROR(VLOOKUP(A61,'FERC 2022'!$A$3:$CQ$230,95,0)+VLOOKUP(A61,'EIA 2022'!$A$3:$AE$231,31,0),0)</f>
        <v>0</v>
      </c>
      <c r="L61" s="44">
        <f>IFERROR(VLOOKUP(A61,'FERC 2023'!$A$3:$CQ$231,95,0)+VLOOKUP(A61,'EIA 2023'!$A$3:$AE$231,31,0),0)</f>
        <v>0</v>
      </c>
      <c r="M61" s="44" t="str">
        <f t="shared" si="0"/>
        <v/>
      </c>
    </row>
    <row r="62" spans="1:15" ht="15.75" customHeight="1">
      <c r="A62" s="7" t="s">
        <v>390</v>
      </c>
      <c r="B62" s="7" t="s">
        <v>391</v>
      </c>
      <c r="C62" s="6"/>
      <c r="D62" s="6">
        <f>IFERROR(VLOOKUP(A62,'FERC 2021'!$A$3:$CK$231,82,0),0)</f>
        <v>1</v>
      </c>
      <c r="E62" s="6">
        <f>IFERROR(VLOOKUP(A62,'FERC 2022'!$A$3:$CK$230,82,0),0)</f>
        <v>1</v>
      </c>
      <c r="F62" s="6">
        <f>IFERROR(VLOOKUP(A62,'FERC 2023'!$A$3:$CK$231,82,0),0)</f>
        <v>1</v>
      </c>
      <c r="G62" s="6">
        <f>IFERROR(VLOOKUP(A62,'EIA 2021'!$A$2:$AA$268,27,0),0)</f>
        <v>2</v>
      </c>
      <c r="H62" s="6">
        <f>IFERROR(VLOOKUP(A62,'EIA 2022'!$A$2:$AA$268,27,0),0)</f>
        <v>2</v>
      </c>
      <c r="I62" s="6">
        <f>IFERROR(VLOOKUP(A62,'EIA 2023'!$A$2:$AA$268,27,0),0)</f>
        <v>2</v>
      </c>
      <c r="J62" s="29">
        <f>IFERROR(VLOOKUP(A62,'FERC 2021'!$A$3:$CQ$231,95,0)+VLOOKUP(A62,'EIA 2021'!$A$3:$AE$231,31,0),0)</f>
        <v>0</v>
      </c>
      <c r="K62" s="44">
        <f>IFERROR(VLOOKUP(A62,'FERC 2022'!$A$3:$CQ$230,95,0)+VLOOKUP(A62,'EIA 2022'!$A$3:$AE$231,31,0),0)</f>
        <v>0</v>
      </c>
      <c r="L62" s="44">
        <f>IFERROR(VLOOKUP(A62,'FERC 2023'!$A$3:$CQ$231,95,0)+VLOOKUP(A62,'EIA 2023'!$A$3:$AE$231,31,0),0)</f>
        <v>0</v>
      </c>
      <c r="M62" s="44">
        <f t="shared" si="0"/>
        <v>1</v>
      </c>
    </row>
    <row r="63" spans="1:15" ht="15.75" customHeight="1">
      <c r="A63" s="7" t="s">
        <v>393</v>
      </c>
      <c r="B63" s="7" t="s">
        <v>394</v>
      </c>
      <c r="C63" s="6"/>
      <c r="D63" s="6">
        <f>IFERROR(VLOOKUP(A63,'FERC 2021'!$A$3:$CK$231,82,0),0)</f>
        <v>1</v>
      </c>
      <c r="E63" s="6">
        <f>IFERROR(VLOOKUP(A63,'FERC 2022'!$A$3:$CK$230,82,0),0)</f>
        <v>1</v>
      </c>
      <c r="F63" s="6">
        <f>IFERROR(VLOOKUP(A63,'FERC 2023'!$A$3:$CK$231,82,0),0)</f>
        <v>1</v>
      </c>
      <c r="G63" s="6">
        <f>IFERROR(VLOOKUP(A63,'EIA 2021'!$A$2:$AA$268,27,0),0)</f>
        <v>2</v>
      </c>
      <c r="H63" s="6">
        <f>IFERROR(VLOOKUP(A63,'EIA 2022'!$A$2:$AA$268,27,0),0)</f>
        <v>2</v>
      </c>
      <c r="I63" s="6">
        <f>IFERROR(VLOOKUP(A63,'EIA 2023'!$A$2:$AA$268,27,0),0)</f>
        <v>2</v>
      </c>
      <c r="J63" s="29">
        <f>IFERROR(VLOOKUP(A63,'FERC 2021'!$A$3:$CQ$231,95,0)+VLOOKUP(A63,'EIA 2021'!$A$3:$AE$231,31,0),0)</f>
        <v>0</v>
      </c>
      <c r="K63" s="44">
        <f>IFERROR(VLOOKUP(A63,'FERC 2022'!$A$3:$CQ$230,95,0)+VLOOKUP(A63,'EIA 2022'!$A$3:$AE$231,31,0),0)</f>
        <v>0</v>
      </c>
      <c r="L63" s="44">
        <f>IFERROR(VLOOKUP(A63,'FERC 2023'!$A$3:$CQ$231,95,0)+VLOOKUP(A63,'EIA 2023'!$A$3:$AE$231,31,0),0)</f>
        <v>0</v>
      </c>
      <c r="M63" s="44">
        <f t="shared" si="0"/>
        <v>1</v>
      </c>
      <c r="N63" s="98"/>
    </row>
    <row r="64" spans="1:15" ht="15.75" customHeight="1">
      <c r="A64" s="7" t="s">
        <v>396</v>
      </c>
      <c r="B64" s="7" t="s">
        <v>397</v>
      </c>
      <c r="C64" s="6"/>
      <c r="D64" s="6">
        <f>IFERROR(VLOOKUP(A64,'FERC 2021'!$A$3:$CK$231,82,0),0)</f>
        <v>1</v>
      </c>
      <c r="E64" s="6">
        <f>IFERROR(VLOOKUP(A64,'FERC 2022'!$A$3:$CK$230,82,0),0)</f>
        <v>1</v>
      </c>
      <c r="F64" s="6">
        <f>IFERROR(VLOOKUP(A64,'FERC 2023'!$A$3:$CK$231,82,0),0)</f>
        <v>1</v>
      </c>
      <c r="G64" s="6">
        <f>IFERROR(VLOOKUP(A64,'EIA 2021'!$A$2:$AA$268,27,0),0)</f>
        <v>2</v>
      </c>
      <c r="H64" s="6">
        <f>IFERROR(VLOOKUP(A64,'EIA 2022'!$A$2:$AA$268,27,0),0)</f>
        <v>2</v>
      </c>
      <c r="I64" s="6">
        <f>IFERROR(VLOOKUP(A64,'EIA 2023'!$A$2:$AA$268,27,0),0)</f>
        <v>2</v>
      </c>
      <c r="J64" s="29">
        <f>IFERROR(VLOOKUP(A64,'FERC 2021'!$A$3:$CQ$231,95,0)+VLOOKUP(A64,'EIA 2021'!$A$3:$AE$231,31,0),0)</f>
        <v>0</v>
      </c>
      <c r="K64" s="44">
        <f>IFERROR(VLOOKUP(A64,'FERC 2022'!$A$3:$CQ$230,95,0)+VLOOKUP(A64,'EIA 2022'!$A$3:$AE$231,31,0),0)</f>
        <v>0</v>
      </c>
      <c r="L64" s="44">
        <f>IFERROR(VLOOKUP(A64,'FERC 2023'!$A$3:$CQ$231,95,0)+VLOOKUP(A64,'EIA 2023'!$A$3:$AE$231,31,0),0)</f>
        <v>0</v>
      </c>
      <c r="M64" s="44">
        <f t="shared" si="0"/>
        <v>1</v>
      </c>
    </row>
    <row r="65" spans="1:14" ht="15.75" customHeight="1">
      <c r="A65" s="7" t="s">
        <v>399</v>
      </c>
      <c r="B65" s="7" t="s">
        <v>400</v>
      </c>
      <c r="C65" s="6"/>
      <c r="D65" s="6">
        <f>IFERROR(VLOOKUP(A65,'FERC 2021'!$A$3:$CK$231,82,0),0)</f>
        <v>0</v>
      </c>
      <c r="E65" s="6">
        <f>IFERROR(VLOOKUP(A65,'FERC 2022'!$A$3:$CK$230,82,0),0)</f>
        <v>0</v>
      </c>
      <c r="F65" s="6">
        <f>IFERROR(VLOOKUP(A65,'FERC 2023'!$A$3:$CK$231,82,0),0)</f>
        <v>0</v>
      </c>
      <c r="G65" s="6">
        <f>IFERROR(VLOOKUP(A65,'EIA 2021'!$A$2:$AA$268,27,0),0)</f>
        <v>0</v>
      </c>
      <c r="H65" s="6">
        <f>IFERROR(VLOOKUP(A65,'EIA 2022'!$A$2:$AA$268,27,0),0)</f>
        <v>0</v>
      </c>
      <c r="I65" s="6">
        <f>IFERROR(VLOOKUP(A65,'EIA 2023'!$A$2:$AA$268,27,0),0)</f>
        <v>0</v>
      </c>
      <c r="J65" s="29">
        <f>IFERROR(VLOOKUP(A65,'FERC 2021'!$A$3:$CQ$231,95,0)+VLOOKUP(A65,'EIA 2021'!$A$3:$AE$231,31,0),0)</f>
        <v>0</v>
      </c>
      <c r="K65" s="44">
        <f>IFERROR(VLOOKUP(A65,'FERC 2022'!$A$3:$CQ$230,95,0)+VLOOKUP(A65,'EIA 2022'!$A$3:$AE$231,31,0),0)</f>
        <v>0</v>
      </c>
      <c r="L65" s="44">
        <f>IFERROR(VLOOKUP(A65,'FERC 2023'!$A$3:$CQ$231,95,0)+VLOOKUP(A65,'EIA 2023'!$A$3:$AE$231,31,0),0)</f>
        <v>0</v>
      </c>
      <c r="M65" s="44" t="str">
        <f t="shared" si="0"/>
        <v/>
      </c>
    </row>
    <row r="66" spans="1:14" ht="15.75" customHeight="1">
      <c r="A66" s="7" t="s">
        <v>402</v>
      </c>
      <c r="B66" s="7" t="s">
        <v>403</v>
      </c>
      <c r="C66" s="6"/>
      <c r="D66" s="6">
        <f>IFERROR(VLOOKUP(A66,'FERC 2021'!$A$3:$CK$231,82,0),0)</f>
        <v>1</v>
      </c>
      <c r="E66" s="6">
        <f>IFERROR(VLOOKUP(A66,'FERC 2022'!$A$3:$CK$230,82,0),0)</f>
        <v>1</v>
      </c>
      <c r="F66" s="6">
        <f>IFERROR(VLOOKUP(A66,'FERC 2023'!$A$3:$CK$231,82,0),0)</f>
        <v>1</v>
      </c>
      <c r="G66" s="6">
        <f>IFERROR(VLOOKUP(A66,'EIA 2021'!$A$2:$AA$268,27,0),0)</f>
        <v>2</v>
      </c>
      <c r="H66" s="6">
        <f>IFERROR(VLOOKUP(A66,'EIA 2022'!$A$2:$AA$268,27,0),0)</f>
        <v>2</v>
      </c>
      <c r="I66" s="6">
        <f>IFERROR(VLOOKUP(A66,'EIA 2023'!$A$2:$AA$268,27,0),0)</f>
        <v>2</v>
      </c>
      <c r="J66" s="29">
        <f>IFERROR(VLOOKUP(A66,'FERC 2021'!$A$3:$CQ$231,95,0)+VLOOKUP(A66,'EIA 2021'!$A$3:$AE$231,31,0),0)</f>
        <v>0</v>
      </c>
      <c r="K66" s="44">
        <f>IFERROR(VLOOKUP(A66,'FERC 2022'!$A$3:$CQ$230,95,0)+VLOOKUP(A66,'EIA 2022'!$A$3:$AE$231,31,0),0)</f>
        <v>0</v>
      </c>
      <c r="L66" s="44">
        <f>IFERROR(VLOOKUP(A66,'FERC 2023'!$A$3:$CQ$231,95,0)+VLOOKUP(A66,'EIA 2023'!$A$3:$AE$231,31,0),0)</f>
        <v>0</v>
      </c>
      <c r="M66" s="44">
        <f t="shared" si="0"/>
        <v>1</v>
      </c>
      <c r="N66" s="99"/>
    </row>
    <row r="67" spans="1:14" ht="15.75" customHeight="1">
      <c r="A67" s="7" t="s">
        <v>405</v>
      </c>
      <c r="B67" s="7" t="s">
        <v>406</v>
      </c>
      <c r="C67" s="6"/>
      <c r="D67" s="6">
        <f>IFERROR(VLOOKUP(A67,'FERC 2021'!$A$3:$CK$231,82,0),0)</f>
        <v>1</v>
      </c>
      <c r="E67" s="6">
        <f>IFERROR(VLOOKUP(A67,'FERC 2022'!$A$3:$CK$230,82,0),0)</f>
        <v>1</v>
      </c>
      <c r="F67" s="6">
        <f>IFERROR(VLOOKUP(A67,'FERC 2023'!$A$3:$CK$231,82,0),0)</f>
        <v>1</v>
      </c>
      <c r="G67" s="6">
        <f>IFERROR(VLOOKUP(A67,'EIA 2021'!$A$2:$AA$268,27,0),0)</f>
        <v>2</v>
      </c>
      <c r="H67" s="6">
        <f>IFERROR(VLOOKUP(A67,'EIA 2022'!$A$2:$AA$268,27,0),0)</f>
        <v>2</v>
      </c>
      <c r="I67" s="6">
        <f>IFERROR(VLOOKUP(A67,'EIA 2023'!$A$2:$AA$268,27,0),0)</f>
        <v>2</v>
      </c>
      <c r="J67" s="29">
        <f>IFERROR(VLOOKUP(A67,'FERC 2021'!$A$3:$CQ$231,95,0)+VLOOKUP(A67,'EIA 2021'!$A$3:$AE$231,31,0),0)</f>
        <v>0</v>
      </c>
      <c r="K67" s="44">
        <f>IFERROR(VLOOKUP(A67,'FERC 2022'!$A$3:$CQ$230,95,0)+VLOOKUP(A67,'EIA 2022'!$A$3:$AE$231,31,0),0)</f>
        <v>0</v>
      </c>
      <c r="L67" s="44">
        <f>IFERROR(VLOOKUP(A67,'FERC 2023'!$A$3:$CQ$231,95,0)+VLOOKUP(A67,'EIA 2023'!$A$3:$AE$231,31,0),0)</f>
        <v>0</v>
      </c>
      <c r="M67" s="44">
        <f t="shared" si="0"/>
        <v>1</v>
      </c>
    </row>
    <row r="68" spans="1:14" ht="15.75" customHeight="1">
      <c r="A68" s="7" t="s">
        <v>408</v>
      </c>
      <c r="B68" s="7" t="s">
        <v>409</v>
      </c>
      <c r="C68" s="6"/>
      <c r="D68" s="6">
        <f>IFERROR(VLOOKUP(A68,'FERC 2021'!$A$3:$CK$231,82,0),0)</f>
        <v>1</v>
      </c>
      <c r="E68" s="6">
        <f>IFERROR(VLOOKUP(A68,'FERC 2022'!$A$3:$CK$230,82,0),0)</f>
        <v>1</v>
      </c>
      <c r="F68" s="6">
        <f>IFERROR(VLOOKUP(A68,'FERC 2023'!$A$3:$CK$231,82,0),0)</f>
        <v>1</v>
      </c>
      <c r="G68" s="6">
        <f>IFERROR(VLOOKUP(A68,'EIA 2021'!$A$2:$AA$268,27,0),0)</f>
        <v>2</v>
      </c>
      <c r="H68" s="6">
        <f>IFERROR(VLOOKUP(A68,'EIA 2022'!$A$2:$AA$268,27,0),0)</f>
        <v>2</v>
      </c>
      <c r="I68" s="6">
        <f>IFERROR(VLOOKUP(A68,'EIA 2023'!$A$2:$AA$268,27,0),0)</f>
        <v>2</v>
      </c>
      <c r="J68" s="29">
        <f>IFERROR(VLOOKUP(A68,'FERC 2021'!$A$3:$CQ$231,95,0)+VLOOKUP(A68,'EIA 2021'!$A$3:$AE$231,31,0),0)</f>
        <v>0</v>
      </c>
      <c r="K68" s="44">
        <f>IFERROR(VLOOKUP(A68,'FERC 2022'!$A$3:$CQ$230,95,0)+VLOOKUP(A68,'EIA 2022'!$A$3:$AE$231,31,0),0)</f>
        <v>0</v>
      </c>
      <c r="L68" s="44">
        <f>IFERROR(VLOOKUP(A68,'FERC 2023'!$A$3:$CQ$231,95,0)+VLOOKUP(A68,'EIA 2023'!$A$3:$AE$231,31,0),0)</f>
        <v>0</v>
      </c>
      <c r="M68" s="44">
        <f t="shared" si="0"/>
        <v>1</v>
      </c>
    </row>
    <row r="69" spans="1:14" ht="15.75" customHeight="1">
      <c r="A69" s="7" t="s">
        <v>411</v>
      </c>
      <c r="B69" s="7" t="s">
        <v>412</v>
      </c>
      <c r="C69" s="6"/>
      <c r="D69" s="6">
        <f>IFERROR(VLOOKUP(A69,'FERC 2021'!$A$3:$CK$231,82,0),0)</f>
        <v>1</v>
      </c>
      <c r="E69" s="6">
        <f>IFERROR(VLOOKUP(A69,'FERC 2022'!$A$3:$CK$230,82,0),0)</f>
        <v>1</v>
      </c>
      <c r="F69" s="6">
        <f>IFERROR(VLOOKUP(A69,'FERC 2023'!$A$3:$CK$231,82,0),0)</f>
        <v>1</v>
      </c>
      <c r="G69" s="6">
        <f>IFERROR(VLOOKUP(A69,'EIA 2021'!$A$2:$AA$268,27,0),0)</f>
        <v>2</v>
      </c>
      <c r="H69" s="6">
        <f>IFERROR(VLOOKUP(A69,'EIA 2022'!$A$2:$AA$268,27,0),0)</f>
        <v>2</v>
      </c>
      <c r="I69" s="6">
        <f>IFERROR(VLOOKUP(A69,'EIA 2023'!$A$2:$AA$268,27,0),0)</f>
        <v>2</v>
      </c>
      <c r="J69" s="29">
        <f>IFERROR(VLOOKUP(A69,'FERC 2021'!$A$3:$CQ$231,95,0)+VLOOKUP(A69,'EIA 2021'!$A$3:$AE$231,31,0),0)</f>
        <v>0</v>
      </c>
      <c r="K69" s="44">
        <f>IFERROR(VLOOKUP(A69,'FERC 2022'!$A$3:$CQ$230,95,0)+VLOOKUP(A69,'EIA 2022'!$A$3:$AE$231,31,0),0)</f>
        <v>0</v>
      </c>
      <c r="L69" s="44">
        <f>IFERROR(VLOOKUP(A69,'FERC 2023'!$A$3:$CQ$231,95,0)+VLOOKUP(A69,'EIA 2023'!$A$3:$AE$231,31,0),0)</f>
        <v>0</v>
      </c>
      <c r="M69" s="44">
        <f t="shared" si="0"/>
        <v>1</v>
      </c>
    </row>
    <row r="70" spans="1:14" ht="15.75" customHeight="1">
      <c r="A70" s="7" t="s">
        <v>414</v>
      </c>
      <c r="B70" s="7" t="s">
        <v>415</v>
      </c>
      <c r="C70" s="6"/>
      <c r="D70" s="6">
        <f>IFERROR(VLOOKUP(A70,'FERC 2021'!$A$3:$CK$231,82,0),0)</f>
        <v>1</v>
      </c>
      <c r="E70" s="6">
        <f>IFERROR(VLOOKUP(A70,'FERC 2022'!$A$3:$CK$230,82,0),0)</f>
        <v>1</v>
      </c>
      <c r="F70" s="6">
        <f>IFERROR(VLOOKUP(A70,'FERC 2023'!$A$3:$CK$231,82,0),0)</f>
        <v>1</v>
      </c>
      <c r="G70" s="6">
        <f>IFERROR(VLOOKUP(A70,'EIA 2021'!$A$2:$AA$268,27,0),0)</f>
        <v>2</v>
      </c>
      <c r="H70" s="6">
        <f>IFERROR(VLOOKUP(A70,'EIA 2022'!$A$2:$AA$268,27,0),0)</f>
        <v>2</v>
      </c>
      <c r="I70" s="6">
        <f>IFERROR(VLOOKUP(A70,'EIA 2023'!$A$2:$AA$268,27,0),0)</f>
        <v>2</v>
      </c>
      <c r="J70" s="29">
        <f>IFERROR(VLOOKUP(A70,'FERC 2021'!$A$3:$CQ$231,95,0)+VLOOKUP(A70,'EIA 2021'!$A$3:$AE$231,31,0),0)</f>
        <v>0</v>
      </c>
      <c r="K70" s="44">
        <f>IFERROR(VLOOKUP(A70,'FERC 2022'!$A$3:$CQ$230,95,0)+VLOOKUP(A70,'EIA 2022'!$A$3:$AE$231,31,0),0)</f>
        <v>0</v>
      </c>
      <c r="L70" s="44">
        <f>IFERROR(VLOOKUP(A70,'FERC 2023'!$A$3:$CQ$231,95,0)+VLOOKUP(A70,'EIA 2023'!$A$3:$AE$231,31,0),0)</f>
        <v>0</v>
      </c>
      <c r="M70" s="44">
        <f t="shared" si="0"/>
        <v>1</v>
      </c>
      <c r="N70" s="98"/>
    </row>
    <row r="71" spans="1:14" ht="15.75" customHeight="1">
      <c r="A71" s="7" t="s">
        <v>417</v>
      </c>
      <c r="B71" s="7" t="s">
        <v>418</v>
      </c>
      <c r="C71" s="6"/>
      <c r="D71" s="6">
        <f>IFERROR(VLOOKUP(A71,'FERC 2021'!$A$3:$CK$231,82,0),0)</f>
        <v>0</v>
      </c>
      <c r="E71" s="6">
        <f>IFERROR(VLOOKUP(A71,'FERC 2022'!$A$3:$CK$230,82,0),0)</f>
        <v>0</v>
      </c>
      <c r="F71" s="6">
        <f>IFERROR(VLOOKUP(A71,'FERC 2023'!$A$3:$CK$231,82,0),0)</f>
        <v>0</v>
      </c>
      <c r="G71" s="6">
        <f>IFERROR(VLOOKUP(A71,'EIA 2021'!$A$2:$AA$268,27,0),0)</f>
        <v>0</v>
      </c>
      <c r="H71" s="6">
        <f>IFERROR(VLOOKUP(A71,'EIA 2022'!$A$2:$AA$268,27,0),0)</f>
        <v>0</v>
      </c>
      <c r="I71" s="6">
        <f>IFERROR(VLOOKUP(A71,'EIA 2023'!$A$2:$AA$268,27,0),0)</f>
        <v>0</v>
      </c>
      <c r="J71" s="29">
        <f>IFERROR(VLOOKUP(A71,'FERC 2021'!$A$3:$CQ$231,95,0)+VLOOKUP(A71,'EIA 2021'!$A$3:$AE$231,31,0),0)</f>
        <v>0</v>
      </c>
      <c r="K71" s="44">
        <f>IFERROR(VLOOKUP(A71,'FERC 2022'!$A$3:$CQ$230,95,0)+VLOOKUP(A71,'EIA 2022'!$A$3:$AE$231,31,0),0)</f>
        <v>0</v>
      </c>
      <c r="L71" s="44">
        <f>IFERROR(VLOOKUP(A71,'FERC 2023'!$A$3:$CQ$231,95,0)+VLOOKUP(A71,'EIA 2023'!$A$3:$AE$231,31,0),0)</f>
        <v>0</v>
      </c>
      <c r="M71" s="44" t="str">
        <f t="shared" si="0"/>
        <v/>
      </c>
    </row>
    <row r="72" spans="1:14" ht="15.75" customHeight="1">
      <c r="A72" s="7" t="s">
        <v>420</v>
      </c>
      <c r="B72" s="7" t="s">
        <v>421</v>
      </c>
      <c r="C72" s="6"/>
      <c r="D72" s="6">
        <f>IFERROR(VLOOKUP(A72,'FERC 2021'!$A$3:$CK$231,82,0),0)</f>
        <v>1</v>
      </c>
      <c r="E72" s="6">
        <f>IFERROR(VLOOKUP(A72,'FERC 2022'!$A$3:$CK$230,82,0),0)</f>
        <v>1</v>
      </c>
      <c r="F72" s="6">
        <f>IFERROR(VLOOKUP(A72,'FERC 2023'!$A$3:$CK$231,82,0),0)</f>
        <v>1</v>
      </c>
      <c r="G72" s="6">
        <f>IFERROR(VLOOKUP(A72,'EIA 2021'!$A$2:$AA$268,27,0),0)</f>
        <v>2</v>
      </c>
      <c r="H72" s="6">
        <f>IFERROR(VLOOKUP(A72,'EIA 2022'!$A$2:$AA$268,27,0),0)</f>
        <v>2</v>
      </c>
      <c r="I72" s="6">
        <f>IFERROR(VLOOKUP(A72,'EIA 2023'!$A$2:$AA$268,27,0),0)</f>
        <v>2</v>
      </c>
      <c r="J72" s="29">
        <f>IFERROR(VLOOKUP(A72,'FERC 2021'!$A$3:$CQ$231,95,0)+VLOOKUP(A72,'EIA 2021'!$A$3:$AE$231,31,0),0)</f>
        <v>0</v>
      </c>
      <c r="K72" s="44">
        <f>IFERROR(VLOOKUP(A72,'FERC 2022'!$A$3:$CQ$230,95,0)+VLOOKUP(A72,'EIA 2022'!$A$3:$AE$231,31,0),0)</f>
        <v>0</v>
      </c>
      <c r="L72" s="44">
        <f>IFERROR(VLOOKUP(A72,'FERC 2023'!$A$3:$CQ$231,95,0)+VLOOKUP(A72,'EIA 2023'!$A$3:$AE$231,31,0),0)</f>
        <v>0</v>
      </c>
      <c r="M72" s="44">
        <f t="shared" si="0"/>
        <v>1</v>
      </c>
      <c r="N72" s="7"/>
    </row>
    <row r="73" spans="1:14" ht="15.75" customHeight="1">
      <c r="A73" s="7" t="s">
        <v>423</v>
      </c>
      <c r="B73" s="7" t="s">
        <v>424</v>
      </c>
      <c r="C73" s="6"/>
      <c r="D73" s="6">
        <f>IFERROR(VLOOKUP(A73,'FERC 2021'!$A$3:$CK$231,82,0),0)</f>
        <v>1</v>
      </c>
      <c r="E73" s="6">
        <f>IFERROR(VLOOKUP(A73,'FERC 2022'!$A$3:$CK$230,82,0),0)</f>
        <v>1</v>
      </c>
      <c r="F73" s="6">
        <f>IFERROR(VLOOKUP(A73,'FERC 2023'!$A$3:$CK$231,82,0),0)</f>
        <v>1</v>
      </c>
      <c r="G73" s="6">
        <f>IFERROR(VLOOKUP(A73,'EIA 2021'!$A$2:$AA$268,27,0),0)</f>
        <v>2</v>
      </c>
      <c r="H73" s="6">
        <f>IFERROR(VLOOKUP(A73,'EIA 2022'!$A$2:$AA$268,27,0),0)</f>
        <v>2</v>
      </c>
      <c r="I73" s="6">
        <f>IFERROR(VLOOKUP(A73,'EIA 2023'!$A$2:$AA$268,27,0),0)</f>
        <v>2</v>
      </c>
      <c r="J73" s="29">
        <f>IFERROR(VLOOKUP(A73,'FERC 2021'!$A$3:$CQ$231,95,0)+VLOOKUP(A73,'EIA 2021'!$A$3:$AE$231,31,0),0)</f>
        <v>0</v>
      </c>
      <c r="K73" s="44">
        <f>IFERROR(VLOOKUP(A73,'FERC 2022'!$A$3:$CQ$230,95,0)+VLOOKUP(A73,'EIA 2022'!$A$3:$AE$231,31,0),0)</f>
        <v>0</v>
      </c>
      <c r="L73" s="44">
        <f>IFERROR(VLOOKUP(A73,'FERC 2023'!$A$3:$CQ$231,95,0)+VLOOKUP(A73,'EIA 2023'!$A$3:$AE$231,31,0),0)</f>
        <v>0</v>
      </c>
      <c r="M73" s="44">
        <f t="shared" si="0"/>
        <v>1</v>
      </c>
    </row>
    <row r="74" spans="1:14" ht="15.75" customHeight="1">
      <c r="A74" s="7" t="s">
        <v>426</v>
      </c>
      <c r="B74" s="7" t="s">
        <v>427</v>
      </c>
      <c r="C74" s="6"/>
      <c r="D74" s="6">
        <f>IFERROR(VLOOKUP(A74,'FERC 2021'!$A$3:$CK$231,82,0),0)</f>
        <v>1</v>
      </c>
      <c r="E74" s="6">
        <f>IFERROR(VLOOKUP(A74,'FERC 2022'!$A$3:$CK$230,82,0),0)</f>
        <v>1</v>
      </c>
      <c r="F74" s="6">
        <f>IFERROR(VLOOKUP(A74,'FERC 2023'!$A$3:$CK$231,82,0),0)</f>
        <v>1</v>
      </c>
      <c r="G74" s="6">
        <f>IFERROR(VLOOKUP(A74,'EIA 2021'!$A$2:$AA$268,27,0),0)</f>
        <v>2</v>
      </c>
      <c r="H74" s="6">
        <f>IFERROR(VLOOKUP(A74,'EIA 2022'!$A$2:$AA$268,27,0),0)</f>
        <v>2</v>
      </c>
      <c r="I74" s="6">
        <f>IFERROR(VLOOKUP(A74,'EIA 2023'!$A$2:$AA$268,27,0),0)</f>
        <v>2</v>
      </c>
      <c r="J74" s="29">
        <f>IFERROR(VLOOKUP(A74,'FERC 2021'!$A$3:$CQ$231,95,0)+VLOOKUP(A74,'EIA 2021'!$A$3:$AE$231,31,0),0)</f>
        <v>0</v>
      </c>
      <c r="K74" s="44">
        <f>IFERROR(VLOOKUP(A74,'FERC 2022'!$A$3:$CQ$230,95,0)+VLOOKUP(A74,'EIA 2022'!$A$3:$AE$231,31,0),0)</f>
        <v>0</v>
      </c>
      <c r="L74" s="44">
        <f>IFERROR(VLOOKUP(A74,'FERC 2023'!$A$3:$CQ$231,95,0)+VLOOKUP(A74,'EIA 2023'!$A$3:$AE$231,31,0),0)</f>
        <v>0</v>
      </c>
      <c r="M74" s="44">
        <f t="shared" si="0"/>
        <v>1</v>
      </c>
    </row>
    <row r="75" spans="1:14" ht="15.75" customHeight="1">
      <c r="A75" s="7" t="s">
        <v>429</v>
      </c>
      <c r="B75" s="7" t="s">
        <v>430</v>
      </c>
      <c r="C75" s="6"/>
      <c r="D75" s="6">
        <f>IFERROR(VLOOKUP(A75,'FERC 2021'!$A$3:$CK$231,82,0),0)</f>
        <v>1</v>
      </c>
      <c r="E75" s="6">
        <f>IFERROR(VLOOKUP(A75,'FERC 2022'!$A$3:$CK$230,82,0),0)</f>
        <v>1</v>
      </c>
      <c r="F75" s="6">
        <f>IFERROR(VLOOKUP(A75,'FERC 2023'!$A$3:$CK$231,82,0),0)</f>
        <v>1</v>
      </c>
      <c r="G75" s="6">
        <f>IFERROR(VLOOKUP(A75,'EIA 2021'!$A$2:$AA$268,27,0),0)</f>
        <v>2</v>
      </c>
      <c r="H75" s="6">
        <f>IFERROR(VLOOKUP(A75,'EIA 2022'!$A$2:$AA$268,27,0),0)</f>
        <v>2</v>
      </c>
      <c r="I75" s="6">
        <f>IFERROR(VLOOKUP(A75,'EIA 2023'!$A$2:$AA$268,27,0),0)</f>
        <v>2</v>
      </c>
      <c r="J75" s="29">
        <f>IFERROR(VLOOKUP(A75,'FERC 2021'!$A$3:$CQ$231,95,0)+VLOOKUP(A75,'EIA 2021'!$A$3:$AE$231,31,0),0)</f>
        <v>0</v>
      </c>
      <c r="K75" s="44">
        <f>IFERROR(VLOOKUP(A75,'FERC 2022'!$A$3:$CQ$230,95,0)+VLOOKUP(A75,'EIA 2022'!$A$3:$AE$231,31,0),0)</f>
        <v>0</v>
      </c>
      <c r="L75" s="44">
        <f>IFERROR(VLOOKUP(A75,'FERC 2023'!$A$3:$CQ$231,95,0)+VLOOKUP(A75,'EIA 2023'!$A$3:$AE$231,31,0),0)</f>
        <v>0</v>
      </c>
      <c r="M75" s="44">
        <f t="shared" si="0"/>
        <v>1</v>
      </c>
    </row>
    <row r="76" spans="1:14" ht="15.75" customHeight="1">
      <c r="A76" s="7" t="s">
        <v>432</v>
      </c>
      <c r="B76" s="7" t="s">
        <v>433</v>
      </c>
      <c r="C76" s="6"/>
      <c r="D76" s="6">
        <f>IFERROR(VLOOKUP(A76,'FERC 2021'!$A$3:$CK$231,82,0),0)</f>
        <v>1</v>
      </c>
      <c r="E76" s="6">
        <f>IFERROR(VLOOKUP(A76,'FERC 2022'!$A$3:$CK$230,82,0),0)</f>
        <v>1</v>
      </c>
      <c r="F76" s="6">
        <f>IFERROR(VLOOKUP(A76,'FERC 2023'!$A$3:$CK$231,82,0),0)</f>
        <v>1</v>
      </c>
      <c r="G76" s="6">
        <f>IFERROR(VLOOKUP(A76,'EIA 2021'!$A$2:$AA$268,27,0),0)</f>
        <v>2</v>
      </c>
      <c r="H76" s="6">
        <f>IFERROR(VLOOKUP(A76,'EIA 2022'!$A$2:$AA$268,27,0),0)</f>
        <v>2</v>
      </c>
      <c r="I76" s="6">
        <f>IFERROR(VLOOKUP(A76,'EIA 2023'!$A$2:$AA$268,27,0),0)</f>
        <v>2</v>
      </c>
      <c r="J76" s="29">
        <f>IFERROR(VLOOKUP(A76,'FERC 2021'!$A$3:$CQ$231,95,0)+VLOOKUP(A76,'EIA 2021'!$A$3:$AE$231,31,0),0)</f>
        <v>0</v>
      </c>
      <c r="K76" s="44">
        <f>IFERROR(VLOOKUP(A76,'FERC 2022'!$A$3:$CQ$230,95,0)+VLOOKUP(A76,'EIA 2022'!$A$3:$AE$231,31,0),0)</f>
        <v>0</v>
      </c>
      <c r="L76" s="44">
        <f>IFERROR(VLOOKUP(A76,'FERC 2023'!$A$3:$CQ$231,95,0)+VLOOKUP(A76,'EIA 2023'!$A$3:$AE$231,31,0),0)</f>
        <v>0</v>
      </c>
      <c r="M76" s="44">
        <f t="shared" si="0"/>
        <v>1</v>
      </c>
      <c r="N76" s="98"/>
    </row>
    <row r="77" spans="1:14" ht="15.75" customHeight="1">
      <c r="A77" s="7" t="s">
        <v>435</v>
      </c>
      <c r="B77" s="7" t="s">
        <v>436</v>
      </c>
      <c r="C77" s="6"/>
      <c r="D77" s="6">
        <f>IFERROR(VLOOKUP(A77,'FERC 2021'!$A$3:$CK$231,82,0),0)</f>
        <v>1</v>
      </c>
      <c r="E77" s="6">
        <f>IFERROR(VLOOKUP(A77,'FERC 2022'!$A$3:$CK$230,82,0),0)</f>
        <v>1</v>
      </c>
      <c r="F77" s="6">
        <f>IFERROR(VLOOKUP(A77,'FERC 2023'!$A$3:$CK$231,82,0),0)</f>
        <v>1</v>
      </c>
      <c r="G77" s="6">
        <f>IFERROR(VLOOKUP(A77,'EIA 2021'!$A$2:$AA$268,27,0),0)</f>
        <v>2</v>
      </c>
      <c r="H77" s="6">
        <f>IFERROR(VLOOKUP(A77,'EIA 2022'!$A$2:$AA$268,27,0),0)</f>
        <v>2</v>
      </c>
      <c r="I77" s="6">
        <f>IFERROR(VLOOKUP(A77,'EIA 2023'!$A$2:$AA$268,27,0),0)</f>
        <v>2</v>
      </c>
      <c r="J77" s="29">
        <f>IFERROR(VLOOKUP(A77,'FERC 2021'!$A$3:$CQ$231,95,0)+VLOOKUP(A77,'EIA 2021'!$A$3:$AE$231,31,0),0)</f>
        <v>0</v>
      </c>
      <c r="K77" s="44">
        <f>IFERROR(VLOOKUP(A77,'FERC 2022'!$A$3:$CQ$230,95,0)+VLOOKUP(A77,'EIA 2022'!$A$3:$AE$231,31,0),0)</f>
        <v>0</v>
      </c>
      <c r="L77" s="44">
        <f>IFERROR(VLOOKUP(A77,'FERC 2023'!$A$3:$CQ$231,95,0)+VLOOKUP(A77,'EIA 2023'!$A$3:$AE$231,31,0),0)</f>
        <v>0</v>
      </c>
      <c r="M77" s="44">
        <f t="shared" si="0"/>
        <v>1</v>
      </c>
    </row>
    <row r="78" spans="1:14" ht="15.75" customHeight="1">
      <c r="A78" s="7" t="s">
        <v>438</v>
      </c>
      <c r="B78" s="7" t="s">
        <v>439</v>
      </c>
      <c r="C78" s="6"/>
      <c r="D78" s="6">
        <f>IFERROR(VLOOKUP(A78,'FERC 2021'!$A$3:$CK$231,82,0),0)</f>
        <v>0</v>
      </c>
      <c r="E78" s="6">
        <f>IFERROR(VLOOKUP(A78,'FERC 2022'!$A$3:$CK$230,82,0),0)</f>
        <v>0</v>
      </c>
      <c r="F78" s="6">
        <f>IFERROR(VLOOKUP(A78,'FERC 2023'!$A$3:$CK$231,82,0),0)</f>
        <v>0</v>
      </c>
      <c r="G78" s="6">
        <f>IFERROR(VLOOKUP(A78,'EIA 2021'!$A$2:$AA$268,27,0),0)</f>
        <v>0</v>
      </c>
      <c r="H78" s="6">
        <f>IFERROR(VLOOKUP(A78,'EIA 2022'!$A$2:$AA$268,27,0),0)</f>
        <v>0</v>
      </c>
      <c r="I78" s="6">
        <f>IFERROR(VLOOKUP(A78,'EIA 2023'!$A$2:$AA$268,27,0),0)</f>
        <v>0</v>
      </c>
      <c r="J78" s="29">
        <f>IFERROR(VLOOKUP(A78,'FERC 2021'!$A$3:$CQ$231,95,0)+VLOOKUP(A78,'EIA 2021'!$A$3:$AE$231,31,0),0)</f>
        <v>0</v>
      </c>
      <c r="K78" s="44">
        <f>IFERROR(VLOOKUP(A78,'FERC 2022'!$A$3:$CQ$230,95,0)+VLOOKUP(A78,'EIA 2022'!$A$3:$AE$231,31,0),0)</f>
        <v>0</v>
      </c>
      <c r="L78" s="44">
        <f>IFERROR(VLOOKUP(A78,'FERC 2023'!$A$3:$CQ$231,95,0)+VLOOKUP(A78,'EIA 2023'!$A$3:$AE$231,31,0),0)</f>
        <v>0</v>
      </c>
      <c r="M78" s="44" t="str">
        <f t="shared" si="0"/>
        <v/>
      </c>
    </row>
    <row r="79" spans="1:14" ht="15.75" customHeight="1">
      <c r="A79" s="7" t="s">
        <v>441</v>
      </c>
      <c r="B79" s="7" t="s">
        <v>442</v>
      </c>
      <c r="C79" s="6"/>
      <c r="D79" s="6">
        <f>IFERROR(VLOOKUP(A79,'FERC 2021'!$A$3:$CK$231,82,0),0)</f>
        <v>0</v>
      </c>
      <c r="E79" s="6">
        <f>IFERROR(VLOOKUP(A79,'FERC 2022'!$A$3:$CK$230,82,0),0)</f>
        <v>0</v>
      </c>
      <c r="F79" s="6">
        <f>IFERROR(VLOOKUP(A79,'FERC 2023'!$A$3:$CK$231,82,0),0)</f>
        <v>0</v>
      </c>
      <c r="G79" s="6">
        <f>IFERROR(VLOOKUP(A79,'EIA 2021'!$A$2:$AA$268,27,0),0)</f>
        <v>0</v>
      </c>
      <c r="H79" s="6">
        <f>IFERROR(VLOOKUP(A79,'EIA 2022'!$A$2:$AA$268,27,0),0)</f>
        <v>0</v>
      </c>
      <c r="I79" s="6">
        <f>IFERROR(VLOOKUP(A79,'EIA 2023'!$A$2:$AA$268,27,0),0)</f>
        <v>0</v>
      </c>
      <c r="J79" s="29">
        <f>IFERROR(VLOOKUP(A79,'FERC 2021'!$A$3:$CQ$231,95,0)+VLOOKUP(A79,'EIA 2021'!$A$3:$AE$231,31,0),0)</f>
        <v>0</v>
      </c>
      <c r="K79" s="44">
        <f>IFERROR(VLOOKUP(A79,'FERC 2022'!$A$3:$CQ$230,95,0)+VLOOKUP(A79,'EIA 2022'!$A$3:$AE$231,31,0),0)</f>
        <v>0</v>
      </c>
      <c r="L79" s="44">
        <f>IFERROR(VLOOKUP(A79,'FERC 2023'!$A$3:$CQ$231,95,0)+VLOOKUP(A79,'EIA 2023'!$A$3:$AE$231,31,0),0)</f>
        <v>0</v>
      </c>
      <c r="M79" s="44" t="str">
        <f t="shared" si="0"/>
        <v/>
      </c>
    </row>
    <row r="80" spans="1:14" ht="15.75" customHeight="1">
      <c r="A80" s="7" t="s">
        <v>444</v>
      </c>
      <c r="B80" s="7" t="s">
        <v>445</v>
      </c>
      <c r="C80" s="6"/>
      <c r="D80" s="6">
        <f>IFERROR(VLOOKUP(A80,'FERC 2021'!$A$3:$CK$231,82,0),0)</f>
        <v>1</v>
      </c>
      <c r="E80" s="6">
        <f>IFERROR(VLOOKUP(A80,'FERC 2022'!$A$3:$CK$230,82,0),0)</f>
        <v>1</v>
      </c>
      <c r="F80" s="6">
        <f>IFERROR(VLOOKUP(A80,'FERC 2023'!$A$3:$CK$231,82,0),0)</f>
        <v>1</v>
      </c>
      <c r="G80" s="6">
        <f>IFERROR(VLOOKUP(A80,'EIA 2021'!$A$2:$AA$268,27,0),0)</f>
        <v>2</v>
      </c>
      <c r="H80" s="6">
        <f>IFERROR(VLOOKUP(A80,'EIA 2022'!$A$2:$AA$268,27,0),0)</f>
        <v>2</v>
      </c>
      <c r="I80" s="6">
        <f>IFERROR(VLOOKUP(A80,'EIA 2023'!$A$2:$AA$268,27,0),0)</f>
        <v>2</v>
      </c>
      <c r="J80" s="29">
        <f>IFERROR(VLOOKUP(A80,'FERC 2021'!$A$3:$CQ$231,95,0)+VLOOKUP(A80,'EIA 2021'!$A$3:$AE$231,31,0),0)</f>
        <v>0</v>
      </c>
      <c r="K80" s="44">
        <f>IFERROR(VLOOKUP(A80,'FERC 2022'!$A$3:$CQ$230,95,0)+VLOOKUP(A80,'EIA 2022'!$A$3:$AE$231,31,0),0)</f>
        <v>0</v>
      </c>
      <c r="L80" s="44">
        <f>IFERROR(VLOOKUP(A80,'FERC 2023'!$A$3:$CQ$231,95,0)+VLOOKUP(A80,'EIA 2023'!$A$3:$AE$231,31,0),0)</f>
        <v>0</v>
      </c>
      <c r="M80" s="44">
        <f t="shared" si="0"/>
        <v>1</v>
      </c>
      <c r="N80" s="99"/>
    </row>
    <row r="81" spans="1:14" ht="15.75" customHeight="1">
      <c r="A81" s="7" t="s">
        <v>447</v>
      </c>
      <c r="B81" s="7" t="s">
        <v>448</v>
      </c>
      <c r="C81" s="6"/>
      <c r="D81" s="6">
        <f>IFERROR(VLOOKUP(A81,'FERC 2021'!$A$3:$CK$231,82,0),0)</f>
        <v>1</v>
      </c>
      <c r="E81" s="6">
        <f>IFERROR(VLOOKUP(A81,'FERC 2022'!$A$3:$CK$230,82,0),0)</f>
        <v>1</v>
      </c>
      <c r="F81" s="6">
        <f>IFERROR(VLOOKUP(A81,'FERC 2023'!$A$3:$CK$231,82,0),0)</f>
        <v>1</v>
      </c>
      <c r="G81" s="6">
        <f>IFERROR(VLOOKUP(A81,'EIA 2021'!$A$2:$AA$268,27,0),0)</f>
        <v>2</v>
      </c>
      <c r="H81" s="6">
        <f>IFERROR(VLOOKUP(A81,'EIA 2022'!$A$2:$AA$268,27,0),0)</f>
        <v>2</v>
      </c>
      <c r="I81" s="6">
        <f>IFERROR(VLOOKUP(A81,'EIA 2023'!$A$2:$AA$268,27,0),0)</f>
        <v>2</v>
      </c>
      <c r="J81" s="29">
        <f>IFERROR(VLOOKUP(A81,'FERC 2021'!$A$3:$CQ$231,95,0)+VLOOKUP(A81,'EIA 2021'!$A$3:$AE$231,31,0),0)</f>
        <v>0</v>
      </c>
      <c r="K81" s="44">
        <f>IFERROR(VLOOKUP(A81,'FERC 2022'!$A$3:$CQ$230,95,0)+VLOOKUP(A81,'EIA 2022'!$A$3:$AE$231,31,0),0)</f>
        <v>0</v>
      </c>
      <c r="L81" s="44">
        <f>IFERROR(VLOOKUP(A81,'FERC 2023'!$A$3:$CQ$231,95,0)+VLOOKUP(A81,'EIA 2023'!$A$3:$AE$231,31,0),0)</f>
        <v>0</v>
      </c>
      <c r="M81" s="44">
        <f t="shared" si="0"/>
        <v>1</v>
      </c>
    </row>
    <row r="82" spans="1:14" ht="15.75" customHeight="1">
      <c r="A82" s="7" t="s">
        <v>450</v>
      </c>
      <c r="B82" s="7" t="s">
        <v>451</v>
      </c>
      <c r="C82" s="6"/>
      <c r="D82" s="6">
        <f>IFERROR(VLOOKUP(A82,'FERC 2021'!$A$3:$CK$231,82,0),0)</f>
        <v>0</v>
      </c>
      <c r="E82" s="6">
        <f>IFERROR(VLOOKUP(A82,'FERC 2022'!$A$3:$CK$230,82,0),0)</f>
        <v>0</v>
      </c>
      <c r="F82" s="6">
        <f>IFERROR(VLOOKUP(A82,'FERC 2023'!$A$3:$CK$231,82,0),0)</f>
        <v>0</v>
      </c>
      <c r="G82" s="6">
        <f>IFERROR(VLOOKUP(A82,'EIA 2021'!$A$2:$AA$268,27,0),0)</f>
        <v>0</v>
      </c>
      <c r="H82" s="6">
        <f>IFERROR(VLOOKUP(A82,'EIA 2022'!$A$2:$AA$268,27,0),0)</f>
        <v>0</v>
      </c>
      <c r="I82" s="6">
        <f>IFERROR(VLOOKUP(A82,'EIA 2023'!$A$2:$AA$268,27,0),0)</f>
        <v>0</v>
      </c>
      <c r="J82" s="29">
        <f>IFERROR(VLOOKUP(A82,'FERC 2021'!$A$3:$CQ$231,95,0)+VLOOKUP(A82,'EIA 2021'!$A$3:$AE$231,31,0),0)</f>
        <v>0</v>
      </c>
      <c r="K82" s="44">
        <f>IFERROR(VLOOKUP(A82,'FERC 2022'!$A$3:$CQ$230,95,0)+VLOOKUP(A82,'EIA 2022'!$A$3:$AE$231,31,0),0)</f>
        <v>0</v>
      </c>
      <c r="L82" s="44">
        <f>IFERROR(VLOOKUP(A82,'FERC 2023'!$A$3:$CQ$231,95,0)+VLOOKUP(A82,'EIA 2023'!$A$3:$AE$231,31,0),0)</f>
        <v>0</v>
      </c>
      <c r="M82" s="44" t="str">
        <f t="shared" si="0"/>
        <v/>
      </c>
    </row>
    <row r="83" spans="1:14" ht="15.75" customHeight="1">
      <c r="A83" s="7" t="s">
        <v>453</v>
      </c>
      <c r="B83" s="7" t="s">
        <v>454</v>
      </c>
      <c r="C83" s="6"/>
      <c r="D83" s="6">
        <f>IFERROR(VLOOKUP(A83,'FERC 2021'!$A$3:$CK$231,82,0),0)</f>
        <v>1</v>
      </c>
      <c r="E83" s="6">
        <f>IFERROR(VLOOKUP(A83,'FERC 2022'!$A$3:$CK$230,82,0),0)</f>
        <v>1</v>
      </c>
      <c r="F83" s="6">
        <f>IFERROR(VLOOKUP(A83,'FERC 2023'!$A$3:$CK$231,82,0),0)</f>
        <v>1</v>
      </c>
      <c r="G83" s="6">
        <f>IFERROR(VLOOKUP(A83,'EIA 2021'!$A$2:$AA$268,27,0),0)</f>
        <v>2</v>
      </c>
      <c r="H83" s="6">
        <f>IFERROR(VLOOKUP(A83,'EIA 2022'!$A$2:$AA$268,27,0),0)</f>
        <v>2</v>
      </c>
      <c r="I83" s="6">
        <f>IFERROR(VLOOKUP(A83,'EIA 2023'!$A$2:$AA$268,27,0),0)</f>
        <v>2</v>
      </c>
      <c r="J83" s="29">
        <f>IFERROR(VLOOKUP(A83,'FERC 2021'!$A$3:$CQ$231,95,0)+VLOOKUP(A83,'EIA 2021'!$A$3:$AE$231,31,0),0)</f>
        <v>0</v>
      </c>
      <c r="K83" s="44">
        <f>IFERROR(VLOOKUP(A83,'FERC 2022'!$A$3:$CQ$230,95,0)+VLOOKUP(A83,'EIA 2022'!$A$3:$AE$231,31,0),0)</f>
        <v>0</v>
      </c>
      <c r="L83" s="44">
        <f>IFERROR(VLOOKUP(A83,'FERC 2023'!$A$3:$CQ$231,95,0)+VLOOKUP(A83,'EIA 2023'!$A$3:$AE$231,31,0),0)</f>
        <v>0</v>
      </c>
      <c r="M83" s="44">
        <f t="shared" si="0"/>
        <v>1</v>
      </c>
    </row>
    <row r="84" spans="1:14" ht="15.75" customHeight="1">
      <c r="A84" s="7" t="s">
        <v>456</v>
      </c>
      <c r="B84" s="7" t="s">
        <v>457</v>
      </c>
      <c r="C84" s="6"/>
      <c r="D84" s="6">
        <f>IFERROR(VLOOKUP(A84,'FERC 2021'!$A$3:$CK$231,82,0),0)</f>
        <v>1</v>
      </c>
      <c r="E84" s="6">
        <f>IFERROR(VLOOKUP(A84,'FERC 2022'!$A$3:$CK$230,82,0),0)</f>
        <v>0</v>
      </c>
      <c r="F84" s="6">
        <f>IFERROR(VLOOKUP(A84,'FERC 2023'!$A$3:$CK$231,82,0),0)</f>
        <v>0</v>
      </c>
      <c r="G84" s="6">
        <f>IFERROR(VLOOKUP(A84,'EIA 2021'!$A$2:$AA$268,27,0),0)</f>
        <v>2</v>
      </c>
      <c r="H84" s="6">
        <f>IFERROR(VLOOKUP(A84,'EIA 2022'!$A$2:$AA$268,27,0),0)</f>
        <v>2</v>
      </c>
      <c r="I84" s="6">
        <f>IFERROR(VLOOKUP(A84,'EIA 2023'!$A$2:$AA$268,27,0),0)</f>
        <v>2</v>
      </c>
      <c r="J84" s="29">
        <f>IFERROR(VLOOKUP(A84,'FERC 2021'!$A$3:$CQ$231,95,0)+VLOOKUP(A84,'EIA 2021'!$A$3:$AE$231,31,0),0)</f>
        <v>1</v>
      </c>
      <c r="K84" s="44">
        <f>IFERROR(VLOOKUP(A84,'FERC 2022'!$A$3:$CQ$230,95,0)+VLOOKUP(A84,'EIA 2022'!$A$3:$AE$231,31,0),0)</f>
        <v>0</v>
      </c>
      <c r="L84" s="44">
        <f>IFERROR(VLOOKUP(A84,'FERC 2023'!$A$3:$CQ$231,95,0)+VLOOKUP(A84,'EIA 2023'!$A$3:$AE$231,31,0),0)</f>
        <v>0</v>
      </c>
      <c r="M84" s="44" t="str">
        <f t="shared" si="0"/>
        <v/>
      </c>
    </row>
    <row r="85" spans="1:14" ht="15.75" customHeight="1">
      <c r="A85" s="7" t="s">
        <v>459</v>
      </c>
      <c r="B85" s="7" t="s">
        <v>460</v>
      </c>
      <c r="C85" s="6"/>
      <c r="D85" s="6">
        <f>IFERROR(VLOOKUP(A85,'FERC 2021'!$A$3:$CK$231,82,0),0)</f>
        <v>1</v>
      </c>
      <c r="E85" s="6">
        <f>IFERROR(VLOOKUP(A85,'FERC 2022'!$A$3:$CK$230,82,0),0)</f>
        <v>1</v>
      </c>
      <c r="F85" s="6">
        <f>IFERROR(VLOOKUP(A85,'FERC 2023'!$A$3:$CK$231,82,0),0)</f>
        <v>1</v>
      </c>
      <c r="G85" s="6">
        <f>IFERROR(VLOOKUP(A85,'EIA 2021'!$A$2:$AA$268,27,0),0)</f>
        <v>2</v>
      </c>
      <c r="H85" s="6">
        <f>IFERROR(VLOOKUP(A85,'EIA 2022'!$A$2:$AA$268,27,0),0)</f>
        <v>2</v>
      </c>
      <c r="I85" s="6">
        <f>IFERROR(VLOOKUP(A85,'EIA 2023'!$A$2:$AA$268,27,0),0)</f>
        <v>2</v>
      </c>
      <c r="J85" s="29">
        <f>IFERROR(VLOOKUP(A85,'FERC 2021'!$A$3:$CQ$231,95,0)+VLOOKUP(A85,'EIA 2021'!$A$3:$AE$231,31,0),0)</f>
        <v>0</v>
      </c>
      <c r="K85" s="44">
        <f>IFERROR(VLOOKUP(A85,'FERC 2022'!$A$3:$CQ$230,95,0)+VLOOKUP(A85,'EIA 2022'!$A$3:$AE$231,31,0),0)</f>
        <v>0</v>
      </c>
      <c r="L85" s="44">
        <f>IFERROR(VLOOKUP(A85,'FERC 2023'!$A$3:$CQ$231,95,0)+VLOOKUP(A85,'EIA 2023'!$A$3:$AE$231,31,0),0)</f>
        <v>0</v>
      </c>
      <c r="M85" s="44">
        <f t="shared" si="0"/>
        <v>1</v>
      </c>
    </row>
    <row r="86" spans="1:14" ht="15.75" customHeight="1">
      <c r="A86" s="7" t="s">
        <v>462</v>
      </c>
      <c r="B86" s="7" t="s">
        <v>463</v>
      </c>
      <c r="C86" s="6"/>
      <c r="D86" s="6">
        <f>IFERROR(VLOOKUP(A86,'FERC 2021'!$A$3:$CK$231,82,0),0)</f>
        <v>1</v>
      </c>
      <c r="E86" s="6">
        <f>IFERROR(VLOOKUP(A86,'FERC 2022'!$A$3:$CK$230,82,0),0)</f>
        <v>1</v>
      </c>
      <c r="F86" s="6">
        <f>IFERROR(VLOOKUP(A86,'FERC 2023'!$A$3:$CK$231,82,0),0)</f>
        <v>1</v>
      </c>
      <c r="G86" s="6">
        <f>IFERROR(VLOOKUP(A86,'EIA 2021'!$A$2:$AA$268,27,0),0)</f>
        <v>2</v>
      </c>
      <c r="H86" s="6">
        <f>IFERROR(VLOOKUP(A86,'EIA 2022'!$A$2:$AA$268,27,0),0)</f>
        <v>2</v>
      </c>
      <c r="I86" s="6">
        <f>IFERROR(VLOOKUP(A86,'EIA 2023'!$A$2:$AA$268,27,0),0)</f>
        <v>2</v>
      </c>
      <c r="J86" s="29">
        <f>IFERROR(VLOOKUP(A86,'FERC 2021'!$A$3:$CQ$231,95,0)+VLOOKUP(A86,'EIA 2021'!$A$3:$AE$231,31,0),0)</f>
        <v>0</v>
      </c>
      <c r="K86" s="44">
        <f>IFERROR(VLOOKUP(A86,'FERC 2022'!$A$3:$CQ$230,95,0)+VLOOKUP(A86,'EIA 2022'!$A$3:$AE$231,31,0),0)</f>
        <v>0</v>
      </c>
      <c r="L86" s="44">
        <f>IFERROR(VLOOKUP(A86,'FERC 2023'!$A$3:$CQ$231,95,0)+VLOOKUP(A86,'EIA 2023'!$A$3:$AE$231,31,0),0)</f>
        <v>0</v>
      </c>
      <c r="M86" s="44">
        <f t="shared" si="0"/>
        <v>1</v>
      </c>
    </row>
    <row r="87" spans="1:14" ht="15.75" customHeight="1">
      <c r="A87" s="7" t="s">
        <v>465</v>
      </c>
      <c r="B87" s="7" t="s">
        <v>466</v>
      </c>
      <c r="C87" s="6"/>
      <c r="D87" s="6">
        <f>IFERROR(VLOOKUP(A87,'FERC 2021'!$A$3:$CK$231,82,0),0)</f>
        <v>1</v>
      </c>
      <c r="E87" s="6">
        <f>IFERROR(VLOOKUP(A87,'FERC 2022'!$A$3:$CK$230,82,0),0)</f>
        <v>1</v>
      </c>
      <c r="F87" s="6">
        <f>IFERROR(VLOOKUP(A87,'FERC 2023'!$A$3:$CK$231,82,0),0)</f>
        <v>1</v>
      </c>
      <c r="G87" s="6">
        <f>IFERROR(VLOOKUP(A87,'EIA 2021'!$A$2:$AA$268,27,0),0)</f>
        <v>2</v>
      </c>
      <c r="H87" s="6">
        <f>IFERROR(VLOOKUP(A87,'EIA 2022'!$A$2:$AA$268,27,0),0)</f>
        <v>2</v>
      </c>
      <c r="I87" s="6">
        <f>IFERROR(VLOOKUP(A87,'EIA 2023'!$A$2:$AA$268,27,0),0)</f>
        <v>2</v>
      </c>
      <c r="J87" s="29">
        <f>IFERROR(VLOOKUP(A87,'FERC 2021'!$A$3:$CQ$231,95,0)+VLOOKUP(A87,'EIA 2021'!$A$3:$AE$231,31,0),0)</f>
        <v>0</v>
      </c>
      <c r="K87" s="44">
        <f>IFERROR(VLOOKUP(A87,'FERC 2022'!$A$3:$CQ$230,95,0)+VLOOKUP(A87,'EIA 2022'!$A$3:$AE$231,31,0),0)</f>
        <v>0</v>
      </c>
      <c r="L87" s="44">
        <f>IFERROR(VLOOKUP(A87,'FERC 2023'!$A$3:$CQ$231,95,0)+VLOOKUP(A87,'EIA 2023'!$A$3:$AE$231,31,0),0)</f>
        <v>0</v>
      </c>
      <c r="M87" s="44">
        <f t="shared" si="0"/>
        <v>1</v>
      </c>
      <c r="N87" s="7"/>
    </row>
    <row r="88" spans="1:14" ht="15.75" customHeight="1">
      <c r="A88" s="7" t="s">
        <v>468</v>
      </c>
      <c r="B88" s="7" t="s">
        <v>469</v>
      </c>
      <c r="C88" s="6"/>
      <c r="D88" s="6">
        <f>IFERROR(VLOOKUP(A88,'FERC 2021'!$A$3:$CK$231,82,0),0)</f>
        <v>1</v>
      </c>
      <c r="E88" s="6">
        <f>IFERROR(VLOOKUP(A88,'FERC 2022'!$A$3:$CK$230,82,0),0)</f>
        <v>1</v>
      </c>
      <c r="F88" s="6">
        <f>IFERROR(VLOOKUP(A88,'FERC 2023'!$A$3:$CK$231,82,0),0)</f>
        <v>1</v>
      </c>
      <c r="G88" s="6">
        <f>IFERROR(VLOOKUP(A88,'EIA 2021'!$A$2:$AA$268,27,0),0)</f>
        <v>2</v>
      </c>
      <c r="H88" s="6">
        <f>IFERROR(VLOOKUP(A88,'EIA 2022'!$A$2:$AA$268,27,0),0)</f>
        <v>2</v>
      </c>
      <c r="I88" s="6">
        <f>IFERROR(VLOOKUP(A88,'EIA 2023'!$A$2:$AA$268,27,0),0)</f>
        <v>2</v>
      </c>
      <c r="J88" s="29">
        <f>IFERROR(VLOOKUP(A88,'FERC 2021'!$A$3:$CQ$231,95,0)+VLOOKUP(A88,'EIA 2021'!$A$3:$AE$231,31,0),0)</f>
        <v>0</v>
      </c>
      <c r="K88" s="44">
        <f>IFERROR(VLOOKUP(A88,'FERC 2022'!$A$3:$CQ$230,95,0)+VLOOKUP(A88,'EIA 2022'!$A$3:$AE$231,31,0),0)</f>
        <v>0</v>
      </c>
      <c r="L88" s="44">
        <f>IFERROR(VLOOKUP(A88,'FERC 2023'!$A$3:$CQ$231,95,0)+VLOOKUP(A88,'EIA 2023'!$A$3:$AE$231,31,0),0)</f>
        <v>0</v>
      </c>
      <c r="M88" s="44">
        <f t="shared" si="0"/>
        <v>1</v>
      </c>
      <c r="N88" s="7"/>
    </row>
    <row r="89" spans="1:14" ht="15.75" customHeight="1">
      <c r="A89" s="7" t="s">
        <v>471</v>
      </c>
      <c r="B89" s="7" t="s">
        <v>472</v>
      </c>
      <c r="C89" s="6"/>
      <c r="D89" s="6">
        <f>IFERROR(VLOOKUP(A89,'FERC 2021'!$A$3:$CK$231,82,0),0)</f>
        <v>1</v>
      </c>
      <c r="E89" s="6">
        <f>IFERROR(VLOOKUP(A89,'FERC 2022'!$A$3:$CK$230,82,0),0)</f>
        <v>1</v>
      </c>
      <c r="F89" s="6">
        <f>IFERROR(VLOOKUP(A89,'FERC 2023'!$A$3:$CK$231,82,0),0)</f>
        <v>1</v>
      </c>
      <c r="G89" s="6">
        <f>IFERROR(VLOOKUP(A89,'EIA 2021'!$A$2:$AA$268,27,0),0)</f>
        <v>2</v>
      </c>
      <c r="H89" s="6">
        <f>IFERROR(VLOOKUP(A89,'EIA 2022'!$A$2:$AA$268,27,0),0)</f>
        <v>2</v>
      </c>
      <c r="I89" s="6">
        <f>IFERROR(VLOOKUP(A89,'EIA 2023'!$A$2:$AA$268,27,0),0)</f>
        <v>2</v>
      </c>
      <c r="J89" s="29">
        <f>IFERROR(VLOOKUP(A89,'FERC 2021'!$A$3:$CQ$231,95,0)+VLOOKUP(A89,'EIA 2021'!$A$3:$AE$231,31,0),0)</f>
        <v>0</v>
      </c>
      <c r="K89" s="44">
        <f>IFERROR(VLOOKUP(A89,'FERC 2022'!$A$3:$CQ$230,95,0)+VLOOKUP(A89,'EIA 2022'!$A$3:$AE$231,31,0),0)</f>
        <v>0</v>
      </c>
      <c r="L89" s="44">
        <f>IFERROR(VLOOKUP(A89,'FERC 2023'!$A$3:$CQ$231,95,0)+VLOOKUP(A89,'EIA 2023'!$A$3:$AE$231,31,0),0)</f>
        <v>0</v>
      </c>
      <c r="M89" s="44">
        <f t="shared" si="0"/>
        <v>1</v>
      </c>
      <c r="N89" s="44" t="s">
        <v>1389</v>
      </c>
    </row>
    <row r="90" spans="1:14" ht="15.75" customHeight="1">
      <c r="A90" s="7" t="s">
        <v>474</v>
      </c>
      <c r="B90" s="7" t="s">
        <v>475</v>
      </c>
      <c r="C90" s="6"/>
      <c r="D90" s="6">
        <f>IFERROR(VLOOKUP(A90,'FERC 2021'!$A$3:$CK$231,82,0),0)</f>
        <v>1</v>
      </c>
      <c r="E90" s="6">
        <f>IFERROR(VLOOKUP(A90,'FERC 2022'!$A$3:$CK$230,82,0),0)</f>
        <v>1</v>
      </c>
      <c r="F90" s="6">
        <f>IFERROR(VLOOKUP(A90,'FERC 2023'!$A$3:$CK$231,82,0),0)</f>
        <v>1</v>
      </c>
      <c r="G90" s="6">
        <f>IFERROR(VLOOKUP(A90,'EIA 2021'!$A$2:$AA$268,27,0),0)</f>
        <v>2</v>
      </c>
      <c r="H90" s="6">
        <f>IFERROR(VLOOKUP(A90,'EIA 2022'!$A$2:$AA$268,27,0),0)</f>
        <v>2</v>
      </c>
      <c r="I90" s="6">
        <f>IFERROR(VLOOKUP(A90,'EIA 2023'!$A$2:$AA$268,27,0),0)</f>
        <v>2</v>
      </c>
      <c r="J90" s="29">
        <f>IFERROR(VLOOKUP(A90,'FERC 2021'!$A$3:$CQ$231,95,0)+VLOOKUP(A90,'EIA 2021'!$A$3:$AE$231,31,0),0)</f>
        <v>0</v>
      </c>
      <c r="K90" s="44">
        <f>IFERROR(VLOOKUP(A90,'FERC 2022'!$A$3:$CQ$230,95,0)+VLOOKUP(A90,'EIA 2022'!$A$3:$AE$231,31,0),0)</f>
        <v>0</v>
      </c>
      <c r="L90" s="44">
        <f>IFERROR(VLOOKUP(A90,'FERC 2023'!$A$3:$CQ$231,95,0)+VLOOKUP(A90,'EIA 2023'!$A$3:$AE$231,31,0),0)</f>
        <v>0</v>
      </c>
      <c r="M90" s="44">
        <f t="shared" si="0"/>
        <v>1</v>
      </c>
      <c r="N90" s="7"/>
    </row>
    <row r="91" spans="1:14" ht="15.75" customHeight="1">
      <c r="A91" s="7" t="s">
        <v>477</v>
      </c>
      <c r="B91" s="7" t="s">
        <v>478</v>
      </c>
      <c r="C91" s="6"/>
      <c r="D91" s="6">
        <f>IFERROR(VLOOKUP(A91,'FERC 2021'!$A$3:$CK$231,82,0),0)</f>
        <v>0</v>
      </c>
      <c r="E91" s="6">
        <f>IFERROR(VLOOKUP(A91,'FERC 2022'!$A$3:$CK$230,82,0),0)</f>
        <v>1</v>
      </c>
      <c r="F91" s="6">
        <f>IFERROR(VLOOKUP(A91,'FERC 2023'!$A$3:$CK$231,82,0),0)</f>
        <v>1</v>
      </c>
      <c r="G91" s="6">
        <f>IFERROR(VLOOKUP(A91,'EIA 2021'!$A$2:$AA$268,27,0),0)</f>
        <v>2</v>
      </c>
      <c r="H91" s="6">
        <f>IFERROR(VLOOKUP(A91,'EIA 2022'!$A$2:$AA$268,27,0),0)</f>
        <v>2</v>
      </c>
      <c r="I91" s="6">
        <f>IFERROR(VLOOKUP(A91,'EIA 2023'!$A$2:$AA$268,27,0),0)</f>
        <v>2</v>
      </c>
      <c r="J91" s="29">
        <f>IFERROR(VLOOKUP(A91,'FERC 2021'!$A$3:$CQ$231,95,0)+VLOOKUP(A91,'EIA 2021'!$A$3:$AE$231,31,0),0)</f>
        <v>0</v>
      </c>
      <c r="K91" s="44">
        <f>IFERROR(VLOOKUP(A91,'FERC 2022'!$A$3:$CQ$230,95,0)+VLOOKUP(A91,'EIA 2022'!$A$3:$AE$231,31,0),0)</f>
        <v>0</v>
      </c>
      <c r="L91" s="44">
        <f>IFERROR(VLOOKUP(A91,'FERC 2023'!$A$3:$CQ$231,95,0)+VLOOKUP(A91,'EIA 2023'!$A$3:$AE$231,31,0),0)</f>
        <v>0</v>
      </c>
      <c r="M91" s="44">
        <f t="shared" si="0"/>
        <v>1</v>
      </c>
      <c r="N91" s="44" t="s">
        <v>1390</v>
      </c>
    </row>
    <row r="92" spans="1:14" ht="15.75" customHeight="1">
      <c r="A92" s="7" t="s">
        <v>480</v>
      </c>
      <c r="B92" s="7" t="s">
        <v>481</v>
      </c>
      <c r="C92" s="6"/>
      <c r="D92" s="6">
        <f>IFERROR(VLOOKUP(A92,'FERC 2021'!$A$3:$CK$231,82,0),0)</f>
        <v>1</v>
      </c>
      <c r="E92" s="6">
        <f>IFERROR(VLOOKUP(A92,'FERC 2022'!$A$3:$CK$230,82,0),0)</f>
        <v>1</v>
      </c>
      <c r="F92" s="6">
        <f>IFERROR(VLOOKUP(A92,'FERC 2023'!$A$3:$CK$231,82,0),0)</f>
        <v>1</v>
      </c>
      <c r="G92" s="6">
        <f>IFERROR(VLOOKUP(A92,'EIA 2021'!$A$2:$AA$268,27,0),0)</f>
        <v>2</v>
      </c>
      <c r="H92" s="6">
        <f>IFERROR(VLOOKUP(A92,'EIA 2022'!$A$2:$AA$268,27,0),0)</f>
        <v>2</v>
      </c>
      <c r="I92" s="6">
        <f>IFERROR(VLOOKUP(A92,'EIA 2023'!$A$2:$AA$268,27,0),0)</f>
        <v>2</v>
      </c>
      <c r="J92" s="29">
        <f>IFERROR(VLOOKUP(A92,'FERC 2021'!$A$3:$CQ$231,95,0)+VLOOKUP(A92,'EIA 2021'!$A$3:$AE$231,31,0),0)</f>
        <v>0</v>
      </c>
      <c r="K92" s="44">
        <f>IFERROR(VLOOKUP(A92,'FERC 2022'!$A$3:$CQ$230,95,0)+VLOOKUP(A92,'EIA 2022'!$A$3:$AE$231,31,0),0)</f>
        <v>0</v>
      </c>
      <c r="L92" s="44">
        <f>IFERROR(VLOOKUP(A92,'FERC 2023'!$A$3:$CQ$231,95,0)+VLOOKUP(A92,'EIA 2023'!$A$3:$AE$231,31,0),0)</f>
        <v>0</v>
      </c>
      <c r="M92" s="44">
        <f t="shared" si="0"/>
        <v>1</v>
      </c>
    </row>
    <row r="93" spans="1:14" ht="15.75" customHeight="1">
      <c r="A93" s="7" t="s">
        <v>483</v>
      </c>
      <c r="B93" s="7" t="s">
        <v>484</v>
      </c>
      <c r="C93" s="6"/>
      <c r="D93" s="6">
        <f>IFERROR(VLOOKUP(A93,'FERC 2021'!$A$3:$CK$231,82,0),0)</f>
        <v>1</v>
      </c>
      <c r="E93" s="6">
        <f>IFERROR(VLOOKUP(A93,'FERC 2022'!$A$3:$CK$230,82,0),0)</f>
        <v>1</v>
      </c>
      <c r="F93" s="6">
        <f>IFERROR(VLOOKUP(A93,'FERC 2023'!$A$3:$CK$231,82,0),0)</f>
        <v>1</v>
      </c>
      <c r="G93" s="6">
        <f>IFERROR(VLOOKUP(A93,'EIA 2021'!$A$2:$AA$268,27,0),0)</f>
        <v>2</v>
      </c>
      <c r="H93" s="6">
        <f>IFERROR(VLOOKUP(A93,'EIA 2022'!$A$2:$AA$268,27,0),0)</f>
        <v>2</v>
      </c>
      <c r="I93" s="6">
        <f>IFERROR(VLOOKUP(A93,'EIA 2023'!$A$2:$AA$268,27,0),0)</f>
        <v>2</v>
      </c>
      <c r="J93" s="29">
        <f>IFERROR(VLOOKUP(A93,'FERC 2021'!$A$3:$CQ$231,95,0)+VLOOKUP(A93,'EIA 2021'!$A$3:$AE$231,31,0),0)</f>
        <v>0</v>
      </c>
      <c r="K93" s="44">
        <f>IFERROR(VLOOKUP(A93,'FERC 2022'!$A$3:$CQ$230,95,0)+VLOOKUP(A93,'EIA 2022'!$A$3:$AE$231,31,0),0)</f>
        <v>0</v>
      </c>
      <c r="L93" s="44">
        <f>IFERROR(VLOOKUP(A93,'FERC 2023'!$A$3:$CQ$231,95,0)+VLOOKUP(A93,'EIA 2023'!$A$3:$AE$231,31,0),0)</f>
        <v>0</v>
      </c>
      <c r="M93" s="44">
        <f t="shared" si="0"/>
        <v>1</v>
      </c>
      <c r="N93" s="7"/>
    </row>
    <row r="94" spans="1:14" ht="15.75" customHeight="1">
      <c r="A94" s="7" t="s">
        <v>486</v>
      </c>
      <c r="B94" s="7" t="s">
        <v>487</v>
      </c>
      <c r="C94" s="6"/>
      <c r="D94" s="6">
        <f>IFERROR(VLOOKUP(A94,'FERC 2021'!$A$3:$CK$231,82,0),0)</f>
        <v>0</v>
      </c>
      <c r="E94" s="6">
        <f>IFERROR(VLOOKUP(A94,'FERC 2022'!$A$3:$CK$230,82,0),0)</f>
        <v>0</v>
      </c>
      <c r="F94" s="6">
        <f>IFERROR(VLOOKUP(A94,'FERC 2023'!$A$3:$CK$231,82,0),0)</f>
        <v>0</v>
      </c>
      <c r="G94" s="6">
        <f>IFERROR(VLOOKUP(A94,'EIA 2021'!$A$2:$AA$268,27,0),0)</f>
        <v>0</v>
      </c>
      <c r="H94" s="6">
        <f>IFERROR(VLOOKUP(A94,'EIA 2022'!$A$2:$AA$268,27,0),0)</f>
        <v>0</v>
      </c>
      <c r="I94" s="6">
        <f>IFERROR(VLOOKUP(A94,'EIA 2023'!$A$2:$AA$268,27,0),0)</f>
        <v>0</v>
      </c>
      <c r="J94" s="29">
        <f>IFERROR(VLOOKUP(A94,'FERC 2021'!$A$3:$CQ$231,95,0)+VLOOKUP(A94,'EIA 2021'!$A$3:$AE$231,31,0),0)</f>
        <v>0</v>
      </c>
      <c r="K94" s="44">
        <f>IFERROR(VLOOKUP(A94,'FERC 2022'!$A$3:$CQ$230,95,0)+VLOOKUP(A94,'EIA 2022'!$A$3:$AE$231,31,0),0)</f>
        <v>0</v>
      </c>
      <c r="L94" s="44">
        <f>IFERROR(VLOOKUP(A94,'FERC 2023'!$A$3:$CQ$231,95,0)+VLOOKUP(A94,'EIA 2023'!$A$3:$AE$231,31,0),0)</f>
        <v>0</v>
      </c>
      <c r="M94" s="44" t="str">
        <f t="shared" si="0"/>
        <v/>
      </c>
      <c r="N94" s="7" t="s">
        <v>1391</v>
      </c>
    </row>
    <row r="95" spans="1:14" ht="15.75" customHeight="1">
      <c r="A95" s="7" t="s">
        <v>490</v>
      </c>
      <c r="B95" s="7" t="s">
        <v>491</v>
      </c>
      <c r="C95" s="6"/>
      <c r="D95" s="6">
        <f>IFERROR(VLOOKUP(A95,'FERC 2021'!$A$3:$CK$231,82,0),0)</f>
        <v>1</v>
      </c>
      <c r="E95" s="6">
        <f>IFERROR(VLOOKUP(A95,'FERC 2022'!$A$3:$CK$230,82,0),0)</f>
        <v>1</v>
      </c>
      <c r="F95" s="6">
        <f>IFERROR(VLOOKUP(A95,'FERC 2023'!$A$3:$CK$231,82,0),0)</f>
        <v>1</v>
      </c>
      <c r="G95" s="6">
        <f>IFERROR(VLOOKUP(A95,'EIA 2021'!$A$2:$AA$268,27,0),0)</f>
        <v>2</v>
      </c>
      <c r="H95" s="6">
        <f>IFERROR(VLOOKUP(A95,'EIA 2022'!$A$2:$AA$268,27,0),0)</f>
        <v>2</v>
      </c>
      <c r="I95" s="6">
        <f>IFERROR(VLOOKUP(A95,'EIA 2023'!$A$2:$AA$268,27,0),0)</f>
        <v>2</v>
      </c>
      <c r="J95" s="29">
        <f>IFERROR(VLOOKUP(A95,'FERC 2021'!$A$3:$CQ$231,95,0)+VLOOKUP(A95,'EIA 2021'!$A$3:$AE$231,31,0),0)</f>
        <v>0</v>
      </c>
      <c r="K95" s="44">
        <f>IFERROR(VLOOKUP(A95,'FERC 2022'!$A$3:$CQ$230,95,0)+VLOOKUP(A95,'EIA 2022'!$A$3:$AE$231,31,0),0)</f>
        <v>0</v>
      </c>
      <c r="L95" s="44">
        <f>IFERROR(VLOOKUP(A95,'FERC 2023'!$A$3:$CQ$231,95,0)+VLOOKUP(A95,'EIA 2023'!$A$3:$AE$231,31,0),0)</f>
        <v>0</v>
      </c>
      <c r="M95" s="44">
        <f t="shared" si="0"/>
        <v>1</v>
      </c>
      <c r="N95" s="7"/>
    </row>
    <row r="96" spans="1:14" ht="15.75" customHeight="1">
      <c r="A96" s="7" t="s">
        <v>493</v>
      </c>
      <c r="B96" s="7" t="s">
        <v>494</v>
      </c>
      <c r="C96" s="6"/>
      <c r="D96" s="6">
        <f>IFERROR(VLOOKUP(A96,'FERC 2021'!$A$3:$CK$231,82,0),0)</f>
        <v>0</v>
      </c>
      <c r="E96" s="6">
        <f>IFERROR(VLOOKUP(A96,'FERC 2022'!$A$3:$CK$230,82,0),0)</f>
        <v>1</v>
      </c>
      <c r="F96" s="6">
        <f>IFERROR(VLOOKUP(A96,'FERC 2023'!$A$3:$CK$231,82,0),0)</f>
        <v>1</v>
      </c>
      <c r="G96" s="6">
        <f>IFERROR(VLOOKUP(A96,'EIA 2021'!$A$2:$AA$268,27,0),0)</f>
        <v>2</v>
      </c>
      <c r="H96" s="6">
        <f>IFERROR(VLOOKUP(A96,'EIA 2022'!$A$2:$AA$268,27,0),0)</f>
        <v>2</v>
      </c>
      <c r="I96" s="6">
        <f>IFERROR(VLOOKUP(A96,'EIA 2023'!$A$2:$AA$268,27,0),0)</f>
        <v>2</v>
      </c>
      <c r="J96" s="29">
        <f>IFERROR(VLOOKUP(A96,'FERC 2021'!$A$3:$CQ$231,95,0)+VLOOKUP(A96,'EIA 2021'!$A$3:$AE$231,31,0),0)</f>
        <v>0</v>
      </c>
      <c r="K96" s="44">
        <f>IFERROR(VLOOKUP(A96,'FERC 2022'!$A$3:$CQ$230,95,0)+VLOOKUP(A96,'EIA 2022'!$A$3:$AE$231,31,0),0)</f>
        <v>0</v>
      </c>
      <c r="L96" s="44">
        <f>IFERROR(VLOOKUP(A96,'FERC 2023'!$A$3:$CQ$231,95,0)+VLOOKUP(A96,'EIA 2023'!$A$3:$AE$231,31,0),0)</f>
        <v>0</v>
      </c>
      <c r="M96" s="44">
        <f t="shared" si="0"/>
        <v>1</v>
      </c>
      <c r="N96" s="7"/>
    </row>
    <row r="97" spans="1:15" ht="15.75" customHeight="1">
      <c r="A97" s="7" t="s">
        <v>496</v>
      </c>
      <c r="B97" s="7" t="s">
        <v>497</v>
      </c>
      <c r="C97" s="6"/>
      <c r="D97" s="6">
        <f>IFERROR(VLOOKUP(A97,'FERC 2021'!$A$3:$CK$231,82,0),0)</f>
        <v>0</v>
      </c>
      <c r="E97" s="6">
        <f>IFERROR(VLOOKUP(A97,'FERC 2022'!$A$3:$CK$230,82,0),0)</f>
        <v>0</v>
      </c>
      <c r="F97" s="6">
        <f>IFERROR(VLOOKUP(A97,'FERC 2023'!$A$3:$CK$231,82,0),0)</f>
        <v>0</v>
      </c>
      <c r="G97" s="6">
        <f>IFERROR(VLOOKUP(A97,'EIA 2021'!$A$2:$AA$268,27,0),0)</f>
        <v>0</v>
      </c>
      <c r="H97" s="6">
        <f>IFERROR(VLOOKUP(A97,'EIA 2022'!$A$2:$AA$268,27,0),0)</f>
        <v>0</v>
      </c>
      <c r="I97" s="6">
        <f>IFERROR(VLOOKUP(A97,'EIA 2023'!$A$2:$AA$268,27,0),0)</f>
        <v>0</v>
      </c>
      <c r="J97" s="29">
        <f>IFERROR(VLOOKUP(A97,'FERC 2021'!$A$3:$CQ$231,95,0)+VLOOKUP(A97,'EIA 2021'!$A$3:$AE$231,31,0),0)</f>
        <v>0</v>
      </c>
      <c r="K97" s="44">
        <f>IFERROR(VLOOKUP(A97,'FERC 2022'!$A$3:$CQ$230,95,0)+VLOOKUP(A97,'EIA 2022'!$A$3:$AE$231,31,0),0)</f>
        <v>0</v>
      </c>
      <c r="L97" s="44">
        <f>IFERROR(VLOOKUP(A97,'FERC 2023'!$A$3:$CQ$231,95,0)+VLOOKUP(A97,'EIA 2023'!$A$3:$AE$231,31,0),0)</f>
        <v>0</v>
      </c>
      <c r="M97" s="44" t="str">
        <f t="shared" si="0"/>
        <v/>
      </c>
    </row>
    <row r="98" spans="1:15" ht="15.75" customHeight="1">
      <c r="A98" s="7" t="s">
        <v>499</v>
      </c>
      <c r="B98" s="7" t="s">
        <v>500</v>
      </c>
      <c r="C98" s="6"/>
      <c r="D98" s="6">
        <f>IFERROR(VLOOKUP(A98,'FERC 2021'!$A$3:$CK$231,82,0),0)</f>
        <v>1</v>
      </c>
      <c r="E98" s="6">
        <f>IFERROR(VLOOKUP(A98,'FERC 2022'!$A$3:$CK$230,82,0),0)</f>
        <v>1</v>
      </c>
      <c r="F98" s="6">
        <f>IFERROR(VLOOKUP(A98,'FERC 2023'!$A$3:$CK$231,82,0),0)</f>
        <v>1</v>
      </c>
      <c r="G98" s="6">
        <f>IFERROR(VLOOKUP(A98,'EIA 2021'!$A$2:$AA$268,27,0),0)</f>
        <v>0</v>
      </c>
      <c r="H98" s="6">
        <f>IFERROR(VLOOKUP(A98,'EIA 2022'!$A$2:$AA$268,27,0),0)</f>
        <v>0</v>
      </c>
      <c r="I98" s="6">
        <f>IFERROR(VLOOKUP(A98,'EIA 2023'!$A$2:$AA$268,27,0),0)</f>
        <v>2</v>
      </c>
      <c r="J98" s="29">
        <f>IFERROR(VLOOKUP(A98,'FERC 2021'!$A$3:$CQ$231,95,0)+VLOOKUP(A98,'EIA 2021'!$A$3:$AE$231,31,0),0)</f>
        <v>0</v>
      </c>
      <c r="K98" s="44">
        <f>IFERROR(VLOOKUP(A98,'FERC 2022'!$A$3:$CQ$230,95,0)+VLOOKUP(A98,'EIA 2022'!$A$3:$AE$231,31,0),0)</f>
        <v>0</v>
      </c>
      <c r="L98" s="44">
        <f>IFERROR(VLOOKUP(A98,'FERC 2023'!$A$3:$CQ$231,95,0)+VLOOKUP(A98,'EIA 2023'!$A$3:$AE$231,31,0),0)</f>
        <v>0</v>
      </c>
      <c r="M98" s="44" t="str">
        <f t="shared" si="0"/>
        <v/>
      </c>
      <c r="N98" s="7" t="s">
        <v>1392</v>
      </c>
    </row>
    <row r="99" spans="1:15" ht="15.75" customHeight="1">
      <c r="A99" s="7" t="s">
        <v>502</v>
      </c>
      <c r="B99" s="7" t="s">
        <v>503</v>
      </c>
      <c r="C99" s="6"/>
      <c r="D99" s="6">
        <f>IFERROR(VLOOKUP(A99,'FERC 2021'!$A$3:$CK$231,82,0),0)</f>
        <v>1</v>
      </c>
      <c r="E99" s="6">
        <f>IFERROR(VLOOKUP(A99,'FERC 2022'!$A$3:$CK$230,82,0),0)</f>
        <v>1</v>
      </c>
      <c r="F99" s="6">
        <f>IFERROR(VLOOKUP(A99,'FERC 2023'!$A$3:$CK$231,82,0),0)</f>
        <v>1</v>
      </c>
      <c r="G99" s="6">
        <f>IFERROR(VLOOKUP(A99,'EIA 2021'!$A$2:$AA$268,27,0),0)</f>
        <v>2</v>
      </c>
      <c r="H99" s="6">
        <f>IFERROR(VLOOKUP(A99,'EIA 2022'!$A$2:$AA$268,27,0),0)</f>
        <v>2</v>
      </c>
      <c r="I99" s="6">
        <f>IFERROR(VLOOKUP(A99,'EIA 2023'!$A$2:$AA$268,27,0),0)</f>
        <v>2</v>
      </c>
      <c r="J99" s="29">
        <f>IFERROR(VLOOKUP(A99,'FERC 2021'!$A$3:$CQ$231,95,0)+VLOOKUP(A99,'EIA 2021'!$A$3:$AE$231,31,0),0)</f>
        <v>0</v>
      </c>
      <c r="K99" s="44">
        <f>IFERROR(VLOOKUP(A99,'FERC 2022'!$A$3:$CQ$230,95,0)+VLOOKUP(A99,'EIA 2022'!$A$3:$AE$231,31,0),0)</f>
        <v>0</v>
      </c>
      <c r="L99" s="44">
        <f>IFERROR(VLOOKUP(A99,'FERC 2023'!$A$3:$CQ$231,95,0)+VLOOKUP(A99,'EIA 2023'!$A$3:$AE$231,31,0),0)</f>
        <v>0</v>
      </c>
      <c r="M99" s="44">
        <f t="shared" si="0"/>
        <v>1</v>
      </c>
      <c r="N99" s="44"/>
    </row>
    <row r="100" spans="1:15" ht="15.75" customHeight="1">
      <c r="A100" s="7" t="s">
        <v>505</v>
      </c>
      <c r="B100" s="7" t="s">
        <v>506</v>
      </c>
      <c r="C100" s="6"/>
      <c r="D100" s="6">
        <f>IFERROR(VLOOKUP(A100,'FERC 2021'!$A$3:$CK$231,82,0),0)</f>
        <v>0</v>
      </c>
      <c r="E100" s="6">
        <f>IFERROR(VLOOKUP(A100,'FERC 2022'!$A$3:$CK$230,82,0),0)</f>
        <v>0</v>
      </c>
      <c r="F100" s="6">
        <f>IFERROR(VLOOKUP(A100,'FERC 2023'!$A$3:$CK$231,82,0),0)</f>
        <v>0</v>
      </c>
      <c r="G100" s="6">
        <f>IFERROR(VLOOKUP(A100,'EIA 2021'!$A$2:$AA$268,27,0),0)</f>
        <v>0</v>
      </c>
      <c r="H100" s="6">
        <f>IFERROR(VLOOKUP(A100,'EIA 2022'!$A$2:$AA$268,27,0),0)</f>
        <v>0</v>
      </c>
      <c r="I100" s="6">
        <f>IFERROR(VLOOKUP(A100,'EIA 2023'!$A$2:$AA$268,27,0),0)</f>
        <v>0</v>
      </c>
      <c r="J100" s="29">
        <f>IFERROR(VLOOKUP(A100,'FERC 2021'!$A$3:$CQ$231,95,0)+VLOOKUP(A100,'EIA 2021'!$A$3:$AE$231,31,0),0)</f>
        <v>0</v>
      </c>
      <c r="K100" s="44">
        <f>IFERROR(VLOOKUP(A100,'FERC 2022'!$A$3:$CQ$230,95,0)+VLOOKUP(A100,'EIA 2022'!$A$3:$AE$231,31,0),0)</f>
        <v>0</v>
      </c>
      <c r="L100" s="44">
        <f>IFERROR(VLOOKUP(A100,'FERC 2023'!$A$3:$CQ$231,95,0)+VLOOKUP(A100,'EIA 2023'!$A$3:$AE$231,31,0),0)</f>
        <v>0</v>
      </c>
      <c r="M100" s="44" t="str">
        <f t="shared" si="0"/>
        <v/>
      </c>
    </row>
    <row r="101" spans="1:15" ht="15.75" customHeight="1">
      <c r="A101" s="7" t="s">
        <v>508</v>
      </c>
      <c r="B101" s="7" t="s">
        <v>509</v>
      </c>
      <c r="C101" s="6"/>
      <c r="D101" s="6">
        <f>IFERROR(VLOOKUP(A101,'FERC 2021'!$A$3:$CK$231,82,0),0)</f>
        <v>1</v>
      </c>
      <c r="E101" s="6">
        <f>IFERROR(VLOOKUP(A101,'FERC 2022'!$A$3:$CK$230,82,0),0)</f>
        <v>1</v>
      </c>
      <c r="F101" s="6">
        <f>IFERROR(VLOOKUP(A101,'FERC 2023'!$A$3:$CK$231,82,0),0)</f>
        <v>1</v>
      </c>
      <c r="G101" s="6">
        <f>IFERROR(VLOOKUP(A101,'EIA 2021'!$A$2:$AA$268,27,0),0)</f>
        <v>2</v>
      </c>
      <c r="H101" s="6">
        <f>IFERROR(VLOOKUP(A101,'EIA 2022'!$A$2:$AA$268,27,0),0)</f>
        <v>2</v>
      </c>
      <c r="I101" s="6">
        <f>IFERROR(VLOOKUP(A101,'EIA 2023'!$A$2:$AA$268,27,0),0)</f>
        <v>2</v>
      </c>
      <c r="J101" s="29">
        <f>IFERROR(VLOOKUP(A101,'FERC 2021'!$A$3:$CQ$231,95,0)+VLOOKUP(A101,'EIA 2021'!$A$3:$AE$231,31,0),0)</f>
        <v>0</v>
      </c>
      <c r="K101" s="44">
        <f>IFERROR(VLOOKUP(A101,'FERC 2022'!$A$3:$CQ$230,95,0)+VLOOKUP(A101,'EIA 2022'!$A$3:$AE$231,31,0),0)</f>
        <v>0</v>
      </c>
      <c r="L101" s="44">
        <f>IFERROR(VLOOKUP(A101,'FERC 2023'!$A$3:$CQ$231,95,0)+VLOOKUP(A101,'EIA 2023'!$A$3:$AE$231,31,0),0)</f>
        <v>0</v>
      </c>
      <c r="M101" s="44">
        <f t="shared" si="0"/>
        <v>1</v>
      </c>
    </row>
    <row r="102" spans="1:15" ht="15.75" customHeight="1">
      <c r="A102" s="7" t="s">
        <v>511</v>
      </c>
      <c r="B102" s="7" t="s">
        <v>512</v>
      </c>
      <c r="C102" s="6"/>
      <c r="D102" s="6">
        <f>IFERROR(VLOOKUP(A102,'FERC 2021'!$A$3:$CK$231,82,0),0)</f>
        <v>1</v>
      </c>
      <c r="E102" s="6">
        <f>IFERROR(VLOOKUP(A102,'FERC 2022'!$A$3:$CK$230,82,0),0)</f>
        <v>1</v>
      </c>
      <c r="F102" s="6">
        <f>IFERROR(VLOOKUP(A102,'FERC 2023'!$A$3:$CK$231,82,0),0)</f>
        <v>1</v>
      </c>
      <c r="G102" s="6">
        <f>IFERROR(VLOOKUP(A102,'EIA 2021'!$A$2:$AA$268,27,0),0)</f>
        <v>2</v>
      </c>
      <c r="H102" s="6">
        <f>IFERROR(VLOOKUP(A102,'EIA 2022'!$A$2:$AA$268,27,0),0)</f>
        <v>2</v>
      </c>
      <c r="I102" s="6">
        <f>IFERROR(VLOOKUP(A102,'EIA 2023'!$A$2:$AA$268,27,0),0)</f>
        <v>2</v>
      </c>
      <c r="J102" s="29">
        <f>IFERROR(VLOOKUP(A102,'FERC 2021'!$A$3:$CQ$231,95,0)+VLOOKUP(A102,'EIA 2021'!$A$3:$AE$231,31,0),0)</f>
        <v>0</v>
      </c>
      <c r="K102" s="44">
        <f>IFERROR(VLOOKUP(A102,'FERC 2022'!$A$3:$CQ$230,95,0)+VLOOKUP(A102,'EIA 2022'!$A$3:$AE$231,31,0),0)</f>
        <v>0</v>
      </c>
      <c r="L102" s="44">
        <f>IFERROR(VLOOKUP(A102,'FERC 2023'!$A$3:$CQ$231,95,0)+VLOOKUP(A102,'EIA 2023'!$A$3:$AE$231,31,0),0)</f>
        <v>0</v>
      </c>
      <c r="M102" s="44">
        <f t="shared" si="0"/>
        <v>1</v>
      </c>
      <c r="N102" s="7"/>
    </row>
    <row r="103" spans="1:15" ht="15.75" customHeight="1">
      <c r="A103" s="7" t="s">
        <v>514</v>
      </c>
      <c r="B103" s="7" t="s">
        <v>515</v>
      </c>
      <c r="C103" s="6"/>
      <c r="D103" s="6">
        <f>IFERROR(VLOOKUP(A103,'FERC 2021'!$A$3:$CK$231,82,0),0)</f>
        <v>1</v>
      </c>
      <c r="E103" s="6">
        <f>IFERROR(VLOOKUP(A103,'FERC 2022'!$A$3:$CK$230,82,0),0)</f>
        <v>1</v>
      </c>
      <c r="F103" s="6">
        <f>IFERROR(VLOOKUP(A103,'FERC 2023'!$A$3:$CK$231,82,0),0)</f>
        <v>1</v>
      </c>
      <c r="G103" s="6">
        <f>IFERROR(VLOOKUP(A103,'EIA 2021'!$A$2:$AA$268,27,0),0)</f>
        <v>2</v>
      </c>
      <c r="H103" s="6">
        <f>IFERROR(VLOOKUP(A103,'EIA 2022'!$A$2:$AA$268,27,0),0)</f>
        <v>2</v>
      </c>
      <c r="I103" s="6">
        <f>IFERROR(VLOOKUP(A103,'EIA 2023'!$A$2:$AA$268,27,0),0)</f>
        <v>2</v>
      </c>
      <c r="J103" s="29">
        <f>IFERROR(VLOOKUP(A103,'FERC 2021'!$A$3:$CQ$231,95,0)+VLOOKUP(A103,'EIA 2021'!$A$3:$AE$231,31,0),0)</f>
        <v>0</v>
      </c>
      <c r="K103" s="44">
        <f>IFERROR(VLOOKUP(A103,'FERC 2022'!$A$3:$CQ$230,95,0)+VLOOKUP(A103,'EIA 2022'!$A$3:$AE$231,31,0),0)</f>
        <v>0</v>
      </c>
      <c r="L103" s="44">
        <f>IFERROR(VLOOKUP(A103,'FERC 2023'!$A$3:$CQ$231,95,0)+VLOOKUP(A103,'EIA 2023'!$A$3:$AE$231,31,0),0)</f>
        <v>1</v>
      </c>
      <c r="M103" s="44" t="str">
        <f t="shared" si="0"/>
        <v/>
      </c>
      <c r="N103" s="99" t="s">
        <v>1393</v>
      </c>
    </row>
    <row r="104" spans="1:15" ht="15.75" customHeight="1">
      <c r="A104" s="7" t="s">
        <v>517</v>
      </c>
      <c r="B104" s="7" t="s">
        <v>518</v>
      </c>
      <c r="C104" s="6"/>
      <c r="D104" s="6">
        <f>IFERROR(VLOOKUP(A104,'FERC 2021'!$A$3:$CK$231,82,0),0)</f>
        <v>1</v>
      </c>
      <c r="E104" s="6">
        <f>IFERROR(VLOOKUP(A104,'FERC 2022'!$A$3:$CK$230,82,0),0)</f>
        <v>1</v>
      </c>
      <c r="F104" s="6">
        <f>IFERROR(VLOOKUP(A104,'FERC 2023'!$A$3:$CK$231,82,0),0)</f>
        <v>1</v>
      </c>
      <c r="G104" s="6">
        <f>IFERROR(VLOOKUP(A104,'EIA 2021'!$A$2:$AA$268,27,0),0)</f>
        <v>2</v>
      </c>
      <c r="H104" s="6">
        <f>IFERROR(VLOOKUP(A104,'EIA 2022'!$A$2:$AA$268,27,0),0)</f>
        <v>2</v>
      </c>
      <c r="I104" s="6">
        <f>IFERROR(VLOOKUP(A104,'EIA 2023'!$A$2:$AA$268,27,0),0)</f>
        <v>2</v>
      </c>
      <c r="J104" s="29">
        <f>IFERROR(VLOOKUP(A104,'FERC 2021'!$A$3:$CQ$231,95,0)+VLOOKUP(A104,'EIA 2021'!$A$3:$AE$231,31,0),0)</f>
        <v>0</v>
      </c>
      <c r="K104" s="44">
        <f>IFERROR(VLOOKUP(A104,'FERC 2022'!$A$3:$CQ$230,95,0)+VLOOKUP(A104,'EIA 2022'!$A$3:$AE$231,31,0),0)</f>
        <v>0</v>
      </c>
      <c r="L104" s="44">
        <f>IFERROR(VLOOKUP(A104,'FERC 2023'!$A$3:$CQ$231,95,0)+VLOOKUP(A104,'EIA 2023'!$A$3:$AE$231,31,0),0)</f>
        <v>0</v>
      </c>
      <c r="M104" s="44">
        <f t="shared" si="0"/>
        <v>1</v>
      </c>
    </row>
    <row r="105" spans="1:15" ht="15.75" customHeight="1">
      <c r="A105" s="7" t="s">
        <v>520</v>
      </c>
      <c r="B105" s="7" t="s">
        <v>521</v>
      </c>
      <c r="C105" s="6"/>
      <c r="D105" s="6">
        <f>IFERROR(VLOOKUP(A105,'FERC 2021'!$A$3:$CK$231,82,0),0)</f>
        <v>1</v>
      </c>
      <c r="E105" s="6">
        <f>IFERROR(VLOOKUP(A105,'FERC 2022'!$A$3:$CK$230,82,0),0)</f>
        <v>1</v>
      </c>
      <c r="F105" s="6">
        <f>IFERROR(VLOOKUP(A105,'FERC 2023'!$A$3:$CK$231,82,0),0)</f>
        <v>1</v>
      </c>
      <c r="G105" s="6">
        <f>IFERROR(VLOOKUP(A105,'EIA 2021'!$A$2:$AA$268,27,0),0)</f>
        <v>2</v>
      </c>
      <c r="H105" s="6">
        <f>IFERROR(VLOOKUP(A105,'EIA 2022'!$A$2:$AA$268,27,0),0)</f>
        <v>2</v>
      </c>
      <c r="I105" s="6">
        <f>IFERROR(VLOOKUP(A105,'EIA 2023'!$A$2:$AA$268,27,0),0)</f>
        <v>2</v>
      </c>
      <c r="J105" s="29">
        <f>IFERROR(VLOOKUP(A105,'FERC 2021'!$A$3:$CQ$231,95,0)+VLOOKUP(A105,'EIA 2021'!$A$3:$AE$231,31,0),0)</f>
        <v>0</v>
      </c>
      <c r="K105" s="44">
        <f>IFERROR(VLOOKUP(A105,'FERC 2022'!$A$3:$CQ$230,95,0)+VLOOKUP(A105,'EIA 2022'!$A$3:$AE$231,31,0),0)</f>
        <v>0</v>
      </c>
      <c r="L105" s="44">
        <f>IFERROR(VLOOKUP(A105,'FERC 2023'!$A$3:$CQ$231,95,0)+VLOOKUP(A105,'EIA 2023'!$A$3:$AE$231,31,0),0)</f>
        <v>0</v>
      </c>
      <c r="M105" s="44">
        <f t="shared" si="0"/>
        <v>1</v>
      </c>
    </row>
    <row r="106" spans="1:15" ht="15.75" customHeight="1">
      <c r="A106" s="7" t="s">
        <v>523</v>
      </c>
      <c r="B106" s="7" t="s">
        <v>524</v>
      </c>
      <c r="C106" s="6"/>
      <c r="D106" s="6">
        <f>IFERROR(VLOOKUP(A106,'FERC 2021'!$A$3:$CK$231,82,0),0)</f>
        <v>0</v>
      </c>
      <c r="E106" s="6">
        <f>IFERROR(VLOOKUP(A106,'FERC 2022'!$A$3:$CK$230,82,0),0)</f>
        <v>0</v>
      </c>
      <c r="F106" s="6">
        <f>IFERROR(VLOOKUP(A106,'FERC 2023'!$A$3:$CK$231,82,0),0)</f>
        <v>0</v>
      </c>
      <c r="G106" s="6">
        <f>IFERROR(VLOOKUP(A106,'EIA 2021'!$A$2:$AA$268,27,0),0)</f>
        <v>0</v>
      </c>
      <c r="H106" s="6">
        <f>IFERROR(VLOOKUP(A106,'EIA 2022'!$A$2:$AA$268,27,0),0)</f>
        <v>0</v>
      </c>
      <c r="I106" s="6">
        <f>IFERROR(VLOOKUP(A106,'EIA 2023'!$A$2:$AA$268,27,0),0)</f>
        <v>0</v>
      </c>
      <c r="J106" s="29">
        <f>IFERROR(VLOOKUP(A106,'FERC 2021'!$A$3:$CQ$231,95,0)+VLOOKUP(A106,'EIA 2021'!$A$3:$AE$231,31,0),0)</f>
        <v>0</v>
      </c>
      <c r="K106" s="44">
        <f>IFERROR(VLOOKUP(A106,'FERC 2022'!$A$3:$CQ$230,95,0)+VLOOKUP(A106,'EIA 2022'!$A$3:$AE$231,31,0),0)</f>
        <v>0</v>
      </c>
      <c r="L106" s="44">
        <f>IFERROR(VLOOKUP(A106,'FERC 2023'!$A$3:$CQ$231,95,0)+VLOOKUP(A106,'EIA 2023'!$A$3:$AE$231,31,0),0)</f>
        <v>0</v>
      </c>
      <c r="M106" s="44" t="str">
        <f t="shared" si="0"/>
        <v/>
      </c>
    </row>
    <row r="107" spans="1:15" ht="15.75" customHeight="1">
      <c r="A107" s="7" t="s">
        <v>526</v>
      </c>
      <c r="B107" s="7" t="s">
        <v>527</v>
      </c>
      <c r="C107" s="6"/>
      <c r="D107" s="6">
        <f>IFERROR(VLOOKUP(A107,'FERC 2021'!$A$3:$CK$231,82,0),0)</f>
        <v>0</v>
      </c>
      <c r="E107" s="6">
        <f>IFERROR(VLOOKUP(A107,'FERC 2022'!$A$3:$CK$230,82,0),0)</f>
        <v>0</v>
      </c>
      <c r="F107" s="6">
        <f>IFERROR(VLOOKUP(A107,'FERC 2023'!$A$3:$CK$231,82,0),0)</f>
        <v>0</v>
      </c>
      <c r="G107" s="6">
        <f>IFERROR(VLOOKUP(A107,'EIA 2021'!$A$2:$AA$268,27,0),0)</f>
        <v>0</v>
      </c>
      <c r="H107" s="6">
        <f>IFERROR(VLOOKUP(A107,'EIA 2022'!$A$2:$AA$268,27,0),0)</f>
        <v>0</v>
      </c>
      <c r="I107" s="6">
        <f>IFERROR(VLOOKUP(A107,'EIA 2023'!$A$2:$AA$268,27,0),0)</f>
        <v>0</v>
      </c>
      <c r="J107" s="29">
        <f>IFERROR(VLOOKUP(A107,'FERC 2021'!$A$3:$CQ$231,95,0)+VLOOKUP(A107,'EIA 2021'!$A$3:$AE$231,31,0),0)</f>
        <v>0</v>
      </c>
      <c r="K107" s="44">
        <f>IFERROR(VLOOKUP(A107,'FERC 2022'!$A$3:$CQ$230,95,0)+VLOOKUP(A107,'EIA 2022'!$A$3:$AE$231,31,0),0)</f>
        <v>0</v>
      </c>
      <c r="L107" s="44">
        <f>IFERROR(VLOOKUP(A107,'FERC 2023'!$A$3:$CQ$231,95,0)+VLOOKUP(A107,'EIA 2023'!$A$3:$AE$231,31,0),0)</f>
        <v>0</v>
      </c>
      <c r="M107" s="44" t="str">
        <f t="shared" si="0"/>
        <v/>
      </c>
    </row>
    <row r="108" spans="1:15" ht="15.75" customHeight="1">
      <c r="A108" s="7" t="s">
        <v>529</v>
      </c>
      <c r="B108" s="7" t="s">
        <v>530</v>
      </c>
      <c r="C108" s="6"/>
      <c r="D108" s="6">
        <f>IFERROR(VLOOKUP(A108,'FERC 2021'!$A$3:$CK$231,82,0),0)</f>
        <v>1</v>
      </c>
      <c r="E108" s="6">
        <f>IFERROR(VLOOKUP(A108,'FERC 2022'!$A$3:$CK$230,82,0),0)</f>
        <v>0</v>
      </c>
      <c r="F108" s="6">
        <f>IFERROR(VLOOKUP(A108,'FERC 2023'!$A$3:$CK$231,82,0),0)</f>
        <v>0</v>
      </c>
      <c r="G108" s="6">
        <f>IFERROR(VLOOKUP(A108,'EIA 2021'!$A$2:$AA$268,27,0),0)</f>
        <v>2</v>
      </c>
      <c r="H108" s="6">
        <f>IFERROR(VLOOKUP(A108,'EIA 2022'!$A$2:$AA$268,27,0),0)</f>
        <v>2</v>
      </c>
      <c r="I108" s="6">
        <f>IFERROR(VLOOKUP(A108,'EIA 2023'!$A$2:$AA$268,27,0),0)</f>
        <v>2</v>
      </c>
      <c r="J108" s="29">
        <f>IFERROR(VLOOKUP(A108,'FERC 2021'!$A$3:$CQ$231,95,0)+VLOOKUP(A108,'EIA 2021'!$A$3:$AE$231,31,0),0)</f>
        <v>0</v>
      </c>
      <c r="K108" s="44">
        <f>IFERROR(VLOOKUP(A108,'FERC 2022'!$A$3:$CQ$230,95,0)+VLOOKUP(A108,'EIA 2022'!$A$3:$AE$231,31,0),0)</f>
        <v>0</v>
      </c>
      <c r="L108" s="44">
        <f>IFERROR(VLOOKUP(A108,'FERC 2023'!$A$3:$CQ$231,95,0)+VLOOKUP(A108,'EIA 2023'!$A$3:$AE$231,31,0),0)</f>
        <v>0</v>
      </c>
      <c r="M108" s="44" t="str">
        <f t="shared" si="0"/>
        <v/>
      </c>
      <c r="N108" s="44" t="s">
        <v>1394</v>
      </c>
    </row>
    <row r="109" spans="1:15" ht="15.75" customHeight="1">
      <c r="A109" s="7" t="s">
        <v>532</v>
      </c>
      <c r="B109" s="7" t="s">
        <v>533</v>
      </c>
      <c r="C109" s="6"/>
      <c r="D109" s="6">
        <f>IFERROR(VLOOKUP(A109,'FERC 2021'!$A$3:$CK$231,82,0),0)</f>
        <v>1</v>
      </c>
      <c r="E109" s="6">
        <f>IFERROR(VLOOKUP(A109,'FERC 2022'!$A$3:$CK$230,82,0),0)</f>
        <v>1</v>
      </c>
      <c r="F109" s="6">
        <f>IFERROR(VLOOKUP(A109,'FERC 2023'!$A$3:$CK$231,82,0),0)</f>
        <v>1</v>
      </c>
      <c r="G109" s="6">
        <f>IFERROR(VLOOKUP(A109,'EIA 2021'!$A$2:$AA$268,27,0),0)</f>
        <v>2</v>
      </c>
      <c r="H109" s="6">
        <f>IFERROR(VLOOKUP(A109,'EIA 2022'!$A$2:$AA$268,27,0),0)</f>
        <v>2</v>
      </c>
      <c r="I109" s="6">
        <f>IFERROR(VLOOKUP(A109,'EIA 2023'!$A$2:$AA$268,27,0),0)</f>
        <v>2</v>
      </c>
      <c r="J109" s="29">
        <f>IFERROR(VLOOKUP(A109,'FERC 2021'!$A$3:$CQ$231,95,0)+VLOOKUP(A109,'EIA 2021'!$A$3:$AE$231,31,0),0)</f>
        <v>0</v>
      </c>
      <c r="K109" s="44">
        <f>IFERROR(VLOOKUP(A109,'FERC 2022'!$A$3:$CQ$230,95,0)+VLOOKUP(A109,'EIA 2022'!$A$3:$AE$231,31,0),0)</f>
        <v>0</v>
      </c>
      <c r="L109" s="44">
        <f>IFERROR(VLOOKUP(A109,'FERC 2023'!$A$3:$CQ$231,95,0)+VLOOKUP(A109,'EIA 2023'!$A$3:$AE$231,31,0),0)</f>
        <v>0</v>
      </c>
      <c r="M109" s="44">
        <f t="shared" si="0"/>
        <v>1</v>
      </c>
      <c r="N109" s="7"/>
    </row>
    <row r="110" spans="1:15" ht="15.75" customHeight="1">
      <c r="A110" s="7" t="s">
        <v>535</v>
      </c>
      <c r="B110" s="7" t="s">
        <v>536</v>
      </c>
      <c r="C110" s="6"/>
      <c r="D110" s="6">
        <f>IFERROR(VLOOKUP(A110,'FERC 2021'!$A$3:$CK$231,82,0),0)</f>
        <v>0</v>
      </c>
      <c r="E110" s="6">
        <f>IFERROR(VLOOKUP(A110,'FERC 2022'!$A$3:$CK$230,82,0),0)</f>
        <v>0</v>
      </c>
      <c r="F110" s="6">
        <f>IFERROR(VLOOKUP(A110,'FERC 2023'!$A$3:$CK$231,82,0),0)</f>
        <v>0</v>
      </c>
      <c r="G110" s="6">
        <f>IFERROR(VLOOKUP(A110,'EIA 2021'!$A$2:$AA$268,27,0),0)</f>
        <v>0</v>
      </c>
      <c r="H110" s="6">
        <f>IFERROR(VLOOKUP(A110,'EIA 2022'!$A$2:$AA$268,27,0),0)</f>
        <v>0</v>
      </c>
      <c r="I110" s="6">
        <f>IFERROR(VLOOKUP(A110,'EIA 2023'!$A$2:$AA$268,27,0),0)</f>
        <v>0</v>
      </c>
      <c r="J110" s="29">
        <f>IFERROR(VLOOKUP(A110,'FERC 2021'!$A$3:$CQ$231,95,0)+VLOOKUP(A110,'EIA 2021'!$A$3:$AE$231,31,0),0)</f>
        <v>0</v>
      </c>
      <c r="K110" s="44">
        <f>IFERROR(VLOOKUP(A110,'FERC 2022'!$A$3:$CQ$230,95,0)+VLOOKUP(A110,'EIA 2022'!$A$3:$AE$231,31,0),0)</f>
        <v>0</v>
      </c>
      <c r="L110" s="44">
        <f>IFERROR(VLOOKUP(A110,'FERC 2023'!$A$3:$CQ$231,95,0)+VLOOKUP(A110,'EIA 2023'!$A$3:$AE$231,31,0),0)</f>
        <v>0</v>
      </c>
      <c r="M110" s="44" t="str">
        <f t="shared" si="0"/>
        <v/>
      </c>
    </row>
    <row r="111" spans="1:15" ht="15.75" customHeight="1">
      <c r="A111" s="7" t="s">
        <v>538</v>
      </c>
      <c r="B111" s="50" t="s">
        <v>539</v>
      </c>
      <c r="C111" s="6"/>
      <c r="D111" s="6">
        <f>IFERROR(VLOOKUP(A111,'FERC 2021'!$A$3:$CK$231,82,0),0)</f>
        <v>0</v>
      </c>
      <c r="E111" s="6">
        <f>IFERROR(VLOOKUP(A111,'FERC 2022'!$A$3:$CK$230,82,0),0)</f>
        <v>0</v>
      </c>
      <c r="F111" s="6">
        <f>IFERROR(VLOOKUP(A111,'FERC 2023'!$A$3:$CK$231,82,0),0)</f>
        <v>0</v>
      </c>
      <c r="G111" s="6">
        <f>IFERROR(VLOOKUP(A111,'EIA 2021'!$A$2:$AA$268,27,0),0)</f>
        <v>0</v>
      </c>
      <c r="H111" s="6">
        <f>IFERROR(VLOOKUP(A111,'EIA 2022'!$A$2:$AA$268,27,0),0)</f>
        <v>0</v>
      </c>
      <c r="I111" s="6">
        <f>IFERROR(VLOOKUP(A111,'EIA 2023'!$A$2:$AA$268,27,0),0)</f>
        <v>0</v>
      </c>
      <c r="J111" s="29">
        <f>IFERROR(VLOOKUP(A111,'FERC 2021'!$A$3:$CQ$231,95,0)+VLOOKUP(A111,'EIA 2021'!$A$3:$AE$231,31,0),0)</f>
        <v>0</v>
      </c>
      <c r="K111" s="44">
        <f>IFERROR(VLOOKUP(A111,'FERC 2022'!$A$3:$CQ$230,95,0)+VLOOKUP(A111,'EIA 2022'!$A$3:$AE$231,31,0),0)</f>
        <v>0</v>
      </c>
      <c r="L111" s="44">
        <f>IFERROR(VLOOKUP(A111,'FERC 2023'!$A$3:$CQ$231,95,0)+VLOOKUP(A111,'EIA 2023'!$A$3:$AE$231,31,0),0)</f>
        <v>0</v>
      </c>
      <c r="M111" s="44" t="str">
        <f t="shared" si="0"/>
        <v/>
      </c>
    </row>
    <row r="112" spans="1:15" ht="15.75" customHeight="1">
      <c r="A112" s="7" t="s">
        <v>541</v>
      </c>
      <c r="B112" s="7" t="s">
        <v>542</v>
      </c>
      <c r="C112" s="6"/>
      <c r="D112" s="6">
        <f>IFERROR(VLOOKUP(A112,'FERC 2021'!$A$3:$CK$231,82,0),0)</f>
        <v>0</v>
      </c>
      <c r="E112" s="6">
        <f>IFERROR(VLOOKUP(A112,'FERC 2022'!$A$3:$CK$230,82,0),0)</f>
        <v>0</v>
      </c>
      <c r="F112" s="6">
        <f>IFERROR(VLOOKUP(A112,'FERC 2023'!$A$3:$CK$231,82,0),0)</f>
        <v>1</v>
      </c>
      <c r="G112" s="6">
        <f>IFERROR(VLOOKUP(A112,'EIA 2021'!$A$2:$AA$268,27,0),0)</f>
        <v>2</v>
      </c>
      <c r="H112" s="6">
        <f>IFERROR(VLOOKUP(A112,'EIA 2022'!$A$2:$AA$268,27,0),0)</f>
        <v>2</v>
      </c>
      <c r="I112" s="6">
        <f>IFERROR(VLOOKUP(A112,'EIA 2023'!$A$2:$AA$268,27,0),0)</f>
        <v>2</v>
      </c>
      <c r="J112" s="29">
        <f>IFERROR(VLOOKUP(A112,'FERC 2021'!$A$3:$CQ$231,95,0)+VLOOKUP(A112,'EIA 2021'!$A$3:$AE$231,31,0),0)</f>
        <v>0</v>
      </c>
      <c r="K112" s="44">
        <f>IFERROR(VLOOKUP(A112,'FERC 2022'!$A$3:$CQ$230,95,0)+VLOOKUP(A112,'EIA 2022'!$A$3:$AE$231,31,0),0)</f>
        <v>0</v>
      </c>
      <c r="L112" s="44">
        <f>IFERROR(VLOOKUP(A112,'FERC 2023'!$A$3:$CQ$231,95,0)+VLOOKUP(A112,'EIA 2023'!$A$3:$AE$231,31,0),0)</f>
        <v>0</v>
      </c>
      <c r="M112" s="44" t="str">
        <f t="shared" si="0"/>
        <v/>
      </c>
      <c r="N112" s="99" t="s">
        <v>1395</v>
      </c>
      <c r="O112" s="7"/>
    </row>
    <row r="113" spans="1:15" ht="15.75" customHeight="1">
      <c r="A113" s="7" t="s">
        <v>544</v>
      </c>
      <c r="B113" s="7" t="s">
        <v>545</v>
      </c>
      <c r="C113" s="6"/>
      <c r="D113" s="6">
        <f>IFERROR(VLOOKUP(A113,'FERC 2021'!$A$3:$CK$231,82,0),0)</f>
        <v>1</v>
      </c>
      <c r="E113" s="6">
        <f>IFERROR(VLOOKUP(A113,'FERC 2022'!$A$3:$CK$230,82,0),0)</f>
        <v>1</v>
      </c>
      <c r="F113" s="6">
        <f>IFERROR(VLOOKUP(A113,'FERC 2023'!$A$3:$CK$231,82,0),0)</f>
        <v>1</v>
      </c>
      <c r="G113" s="6">
        <f>IFERROR(VLOOKUP(A113,'EIA 2021'!$A$2:$AA$268,27,0),0)</f>
        <v>2</v>
      </c>
      <c r="H113" s="6">
        <f>IFERROR(VLOOKUP(A113,'EIA 2022'!$A$2:$AA$268,27,0),0)</f>
        <v>2</v>
      </c>
      <c r="I113" s="6">
        <f>IFERROR(VLOOKUP(A113,'EIA 2023'!$A$2:$AA$268,27,0),0)</f>
        <v>2</v>
      </c>
      <c r="J113" s="29">
        <f>IFERROR(VLOOKUP(A113,'FERC 2021'!$A$3:$CQ$231,95,0)+VLOOKUP(A113,'EIA 2021'!$A$3:$AE$231,31,0),0)</f>
        <v>0</v>
      </c>
      <c r="K113" s="44">
        <f>IFERROR(VLOOKUP(A113,'FERC 2022'!$A$3:$CQ$230,95,0)+VLOOKUP(A113,'EIA 2022'!$A$3:$AE$231,31,0),0)</f>
        <v>0</v>
      </c>
      <c r="L113" s="44">
        <f>IFERROR(VLOOKUP(A113,'FERC 2023'!$A$3:$CQ$231,95,0)+VLOOKUP(A113,'EIA 2023'!$A$3:$AE$231,31,0),0)</f>
        <v>0</v>
      </c>
      <c r="M113" s="44">
        <f t="shared" si="0"/>
        <v>1</v>
      </c>
    </row>
    <row r="114" spans="1:15" ht="15.75" customHeight="1">
      <c r="A114" s="7" t="s">
        <v>547</v>
      </c>
      <c r="B114" s="7" t="s">
        <v>548</v>
      </c>
      <c r="C114" s="6"/>
      <c r="D114" s="6">
        <f>IFERROR(VLOOKUP(A114,'FERC 2021'!$A$3:$CK$231,82,0),0)</f>
        <v>1</v>
      </c>
      <c r="E114" s="6">
        <f>IFERROR(VLOOKUP(A114,'FERC 2022'!$A$3:$CK$230,82,0),0)</f>
        <v>1</v>
      </c>
      <c r="F114" s="6">
        <f>IFERROR(VLOOKUP(A114,'FERC 2023'!$A$3:$CK$231,82,0),0)</f>
        <v>1</v>
      </c>
      <c r="G114" s="6">
        <f>IFERROR(VLOOKUP(A114,'EIA 2021'!$A$2:$AA$268,27,0),0)</f>
        <v>2</v>
      </c>
      <c r="H114" s="6">
        <f>IFERROR(VLOOKUP(A114,'EIA 2022'!$A$2:$AA$268,27,0),0)</f>
        <v>2</v>
      </c>
      <c r="I114" s="6">
        <f>IFERROR(VLOOKUP(A114,'EIA 2023'!$A$2:$AA$268,27,0),0)</f>
        <v>2</v>
      </c>
      <c r="J114" s="29">
        <f>IFERROR(VLOOKUP(A114,'FERC 2021'!$A$3:$CQ$231,95,0)+VLOOKUP(A114,'EIA 2021'!$A$3:$AE$231,31,0),0)</f>
        <v>0</v>
      </c>
      <c r="K114" s="44">
        <f>IFERROR(VLOOKUP(A114,'FERC 2022'!$A$3:$CQ$230,95,0)+VLOOKUP(A114,'EIA 2022'!$A$3:$AE$231,31,0),0)</f>
        <v>0</v>
      </c>
      <c r="L114" s="44">
        <f>IFERROR(VLOOKUP(A114,'FERC 2023'!$A$3:$CQ$231,95,0)+VLOOKUP(A114,'EIA 2023'!$A$3:$AE$231,31,0),0)</f>
        <v>0</v>
      </c>
      <c r="M114" s="44">
        <f t="shared" si="0"/>
        <v>1</v>
      </c>
      <c r="N114" s="7" t="s">
        <v>1396</v>
      </c>
      <c r="O114" s="44"/>
    </row>
    <row r="115" spans="1:15" ht="15.75" customHeight="1">
      <c r="A115" s="7" t="s">
        <v>550</v>
      </c>
      <c r="B115" s="7" t="s">
        <v>551</v>
      </c>
      <c r="C115" s="6"/>
      <c r="D115" s="6">
        <f>IFERROR(VLOOKUP(A115,'FERC 2021'!$A$3:$CK$231,82,0),0)</f>
        <v>1</v>
      </c>
      <c r="E115" s="6">
        <f>IFERROR(VLOOKUP(A115,'FERC 2022'!$A$3:$CK$230,82,0),0)</f>
        <v>1</v>
      </c>
      <c r="F115" s="6">
        <f>IFERROR(VLOOKUP(A115,'FERC 2023'!$A$3:$CK$231,82,0),0)</f>
        <v>1</v>
      </c>
      <c r="G115" s="6">
        <f>IFERROR(VLOOKUP(A115,'EIA 2021'!$A$2:$AA$268,27,0),0)</f>
        <v>2</v>
      </c>
      <c r="H115" s="6">
        <f>IFERROR(VLOOKUP(A115,'EIA 2022'!$A$2:$AA$268,27,0),0)</f>
        <v>2</v>
      </c>
      <c r="I115" s="6">
        <f>IFERROR(VLOOKUP(A115,'EIA 2023'!$A$2:$AA$268,27,0),0)</f>
        <v>2</v>
      </c>
      <c r="J115" s="29">
        <f>IFERROR(VLOOKUP(A115,'FERC 2021'!$A$3:$CQ$231,95,0)+VLOOKUP(A115,'EIA 2021'!$A$3:$AE$231,31,0),0)</f>
        <v>0</v>
      </c>
      <c r="K115" s="44">
        <f>IFERROR(VLOOKUP(A115,'FERC 2022'!$A$3:$CQ$230,95,0)+VLOOKUP(A115,'EIA 2022'!$A$3:$AE$231,31,0),0)</f>
        <v>0</v>
      </c>
      <c r="L115" s="44">
        <f>IFERROR(VLOOKUP(A115,'FERC 2023'!$A$3:$CQ$231,95,0)+VLOOKUP(A115,'EIA 2023'!$A$3:$AE$231,31,0),0)</f>
        <v>0</v>
      </c>
      <c r="M115" s="44">
        <f t="shared" si="0"/>
        <v>1</v>
      </c>
      <c r="N115" s="99"/>
    </row>
    <row r="116" spans="1:15" ht="15.75" customHeight="1">
      <c r="A116" s="7" t="s">
        <v>553</v>
      </c>
      <c r="B116" s="7" t="s">
        <v>554</v>
      </c>
      <c r="C116" s="6"/>
      <c r="D116" s="6">
        <f>IFERROR(VLOOKUP(A116,'FERC 2021'!$A$3:$CK$231,82,0),0)</f>
        <v>1</v>
      </c>
      <c r="E116" s="6">
        <f>IFERROR(VLOOKUP(A116,'FERC 2022'!$A$3:$CK$230,82,0),0)</f>
        <v>1</v>
      </c>
      <c r="F116" s="6">
        <f>IFERROR(VLOOKUP(A116,'FERC 2023'!$A$3:$CK$231,82,0),0)</f>
        <v>1</v>
      </c>
      <c r="G116" s="6">
        <f>IFERROR(VLOOKUP(A116,'EIA 2021'!$A$2:$AA$268,27,0),0)</f>
        <v>2</v>
      </c>
      <c r="H116" s="6">
        <f>IFERROR(VLOOKUP(A116,'EIA 2022'!$A$2:$AA$268,27,0),0)</f>
        <v>2</v>
      </c>
      <c r="I116" s="6">
        <f>IFERROR(VLOOKUP(A116,'EIA 2023'!$A$2:$AA$268,27,0),0)</f>
        <v>2</v>
      </c>
      <c r="J116" s="29">
        <f>IFERROR(VLOOKUP(A116,'FERC 2021'!$A$3:$CQ$231,95,0)+VLOOKUP(A116,'EIA 2021'!$A$3:$AE$231,31,0),0)</f>
        <v>0</v>
      </c>
      <c r="K116" s="44">
        <f>IFERROR(VLOOKUP(A116,'FERC 2022'!$A$3:$CQ$230,95,0)+VLOOKUP(A116,'EIA 2022'!$A$3:$AE$231,31,0),0)</f>
        <v>0</v>
      </c>
      <c r="L116" s="44">
        <f>IFERROR(VLOOKUP(A116,'FERC 2023'!$A$3:$CQ$231,95,0)+VLOOKUP(A116,'EIA 2023'!$A$3:$AE$231,31,0),0)</f>
        <v>0</v>
      </c>
      <c r="M116" s="44">
        <f t="shared" si="0"/>
        <v>1</v>
      </c>
    </row>
    <row r="117" spans="1:15" ht="15.75" customHeight="1">
      <c r="A117" s="7" t="s">
        <v>556</v>
      </c>
      <c r="B117" s="7" t="s">
        <v>557</v>
      </c>
      <c r="C117" s="6"/>
      <c r="D117" s="6">
        <f>IFERROR(VLOOKUP(A117,'FERC 2021'!$A$3:$CK$231,82,0),0)</f>
        <v>1</v>
      </c>
      <c r="E117" s="6">
        <f>IFERROR(VLOOKUP(A117,'FERC 2022'!$A$3:$CK$230,82,0),0)</f>
        <v>1</v>
      </c>
      <c r="F117" s="6">
        <f>IFERROR(VLOOKUP(A117,'FERC 2023'!$A$3:$CK$231,82,0),0)</f>
        <v>1</v>
      </c>
      <c r="G117" s="6">
        <f>IFERROR(VLOOKUP(A117,'EIA 2021'!$A$2:$AA$268,27,0),0)</f>
        <v>2</v>
      </c>
      <c r="H117" s="6">
        <f>IFERROR(VLOOKUP(A117,'EIA 2022'!$A$2:$AA$268,27,0),0)</f>
        <v>2</v>
      </c>
      <c r="I117" s="6">
        <f>IFERROR(VLOOKUP(A117,'EIA 2023'!$A$2:$AA$268,27,0),0)</f>
        <v>2</v>
      </c>
      <c r="J117" s="29">
        <f>IFERROR(VLOOKUP(A117,'FERC 2021'!$A$3:$CQ$231,95,0)+VLOOKUP(A117,'EIA 2021'!$A$3:$AE$231,31,0),0)</f>
        <v>0</v>
      </c>
      <c r="K117" s="44">
        <f>IFERROR(VLOOKUP(A117,'FERC 2022'!$A$3:$CQ$230,95,0)+VLOOKUP(A117,'EIA 2022'!$A$3:$AE$231,31,0),0)</f>
        <v>0</v>
      </c>
      <c r="L117" s="44">
        <f>IFERROR(VLOOKUP(A117,'FERC 2023'!$A$3:$CQ$231,95,0)+VLOOKUP(A117,'EIA 2023'!$A$3:$AE$231,31,0),0)</f>
        <v>0</v>
      </c>
      <c r="M117" s="44">
        <f t="shared" si="0"/>
        <v>1</v>
      </c>
    </row>
    <row r="118" spans="1:15" ht="15.75" customHeight="1">
      <c r="A118" s="7" t="s">
        <v>559</v>
      </c>
      <c r="B118" s="7" t="s">
        <v>560</v>
      </c>
      <c r="C118" s="6"/>
      <c r="D118" s="6">
        <f>IFERROR(VLOOKUP(A118,'FERC 2021'!$A$3:$CK$231,82,0),0)</f>
        <v>0</v>
      </c>
      <c r="E118" s="6">
        <f>IFERROR(VLOOKUP(A118,'FERC 2022'!$A$3:$CK$230,82,0),0)</f>
        <v>0</v>
      </c>
      <c r="F118" s="6">
        <f>IFERROR(VLOOKUP(A118,'FERC 2023'!$A$3:$CK$231,82,0),0)</f>
        <v>0</v>
      </c>
      <c r="G118" s="6">
        <f>IFERROR(VLOOKUP(A118,'EIA 2021'!$A$2:$AA$268,27,0),0)</f>
        <v>0</v>
      </c>
      <c r="H118" s="6">
        <f>IFERROR(VLOOKUP(A118,'EIA 2022'!$A$2:$AA$268,27,0),0)</f>
        <v>0</v>
      </c>
      <c r="I118" s="6">
        <f>IFERROR(VLOOKUP(A118,'EIA 2023'!$A$2:$AA$268,27,0),0)</f>
        <v>0</v>
      </c>
      <c r="J118" s="29">
        <f>IFERROR(VLOOKUP(A118,'FERC 2021'!$A$3:$CQ$231,95,0)+VLOOKUP(A118,'EIA 2021'!$A$3:$AE$231,31,0),0)</f>
        <v>0</v>
      </c>
      <c r="K118" s="44">
        <f>IFERROR(VLOOKUP(A118,'FERC 2022'!$A$3:$CQ$230,95,0)+VLOOKUP(A118,'EIA 2022'!$A$3:$AE$231,31,0),0)</f>
        <v>0</v>
      </c>
      <c r="L118" s="44">
        <f>IFERROR(VLOOKUP(A118,'FERC 2023'!$A$3:$CQ$231,95,0)+VLOOKUP(A118,'EIA 2023'!$A$3:$AE$231,31,0),0)</f>
        <v>0</v>
      </c>
      <c r="M118" s="44" t="str">
        <f t="shared" si="0"/>
        <v/>
      </c>
    </row>
    <row r="119" spans="1:15" ht="15.75" customHeight="1">
      <c r="A119" s="7" t="s">
        <v>562</v>
      </c>
      <c r="B119" s="50" t="s">
        <v>563</v>
      </c>
      <c r="C119" s="6"/>
      <c r="D119" s="6">
        <f>IFERROR(VLOOKUP(A119,'FERC 2021'!$A$3:$CK$231,82,0),0)</f>
        <v>0</v>
      </c>
      <c r="E119" s="6">
        <f>IFERROR(VLOOKUP(A119,'FERC 2022'!$A$3:$CK$230,82,0),0)</f>
        <v>0</v>
      </c>
      <c r="F119" s="6">
        <f>IFERROR(VLOOKUP(A119,'FERC 2023'!$A$3:$CK$231,82,0),0)</f>
        <v>0</v>
      </c>
      <c r="G119" s="6">
        <f>IFERROR(VLOOKUP(A119,'EIA 2021'!$A$2:$AA$268,27,0),0)</f>
        <v>0</v>
      </c>
      <c r="H119" s="6">
        <f>IFERROR(VLOOKUP(A119,'EIA 2022'!$A$2:$AA$268,27,0),0)</f>
        <v>0</v>
      </c>
      <c r="I119" s="6">
        <f>IFERROR(VLOOKUP(A119,'EIA 2023'!$A$2:$AA$268,27,0),0)</f>
        <v>0</v>
      </c>
      <c r="J119" s="29">
        <f>IFERROR(VLOOKUP(A119,'FERC 2021'!$A$3:$CQ$231,95,0)+VLOOKUP(A119,'EIA 2021'!$A$3:$AE$231,31,0),0)</f>
        <v>0</v>
      </c>
      <c r="K119" s="44">
        <f>IFERROR(VLOOKUP(A119,'FERC 2022'!$A$3:$CQ$230,95,0)+VLOOKUP(A119,'EIA 2022'!$A$3:$AE$231,31,0),0)</f>
        <v>0</v>
      </c>
      <c r="L119" s="44">
        <f>IFERROR(VLOOKUP(A119,'FERC 2023'!$A$3:$CQ$231,95,0)+VLOOKUP(A119,'EIA 2023'!$A$3:$AE$231,31,0),0)</f>
        <v>0</v>
      </c>
      <c r="M119" s="44" t="str">
        <f t="shared" si="0"/>
        <v/>
      </c>
    </row>
    <row r="120" spans="1:15" ht="15.75" customHeight="1">
      <c r="A120" s="7" t="s">
        <v>565</v>
      </c>
      <c r="B120" s="7" t="s">
        <v>566</v>
      </c>
      <c r="C120" s="6"/>
      <c r="D120" s="6">
        <f>IFERROR(VLOOKUP(A120,'FERC 2021'!$A$3:$CK$231,82,0),0)</f>
        <v>0</v>
      </c>
      <c r="E120" s="6">
        <f>IFERROR(VLOOKUP(A120,'FERC 2022'!$A$3:$CK$230,82,0),0)</f>
        <v>0</v>
      </c>
      <c r="F120" s="6">
        <f>IFERROR(VLOOKUP(A120,'FERC 2023'!$A$3:$CK$231,82,0),0)</f>
        <v>0</v>
      </c>
      <c r="G120" s="6">
        <f>IFERROR(VLOOKUP(A120,'EIA 2021'!$A$2:$AA$268,27,0),0)</f>
        <v>0</v>
      </c>
      <c r="H120" s="6">
        <f>IFERROR(VLOOKUP(A120,'EIA 2022'!$A$2:$AA$268,27,0),0)</f>
        <v>0</v>
      </c>
      <c r="I120" s="6">
        <f>IFERROR(VLOOKUP(A120,'EIA 2023'!$A$2:$AA$268,27,0),0)</f>
        <v>0</v>
      </c>
      <c r="J120" s="29">
        <f>IFERROR(VLOOKUP(A120,'FERC 2021'!$A$3:$CQ$231,95,0)+VLOOKUP(A120,'EIA 2021'!$A$3:$AE$231,31,0),0)</f>
        <v>0</v>
      </c>
      <c r="K120" s="44">
        <f>IFERROR(VLOOKUP(A120,'FERC 2022'!$A$3:$CQ$230,95,0)+VLOOKUP(A120,'EIA 2022'!$A$3:$AE$231,31,0),0)</f>
        <v>0</v>
      </c>
      <c r="L120" s="44">
        <f>IFERROR(VLOOKUP(A120,'FERC 2023'!$A$3:$CQ$231,95,0)+VLOOKUP(A120,'EIA 2023'!$A$3:$AE$231,31,0),0)</f>
        <v>0</v>
      </c>
      <c r="M120" s="44" t="str">
        <f t="shared" si="0"/>
        <v/>
      </c>
    </row>
    <row r="121" spans="1:15" ht="15.75" customHeight="1">
      <c r="A121" s="7" t="s">
        <v>568</v>
      </c>
      <c r="B121" s="7" t="s">
        <v>569</v>
      </c>
      <c r="C121" s="6"/>
      <c r="D121" s="6">
        <f>IFERROR(VLOOKUP(A121,'FERC 2021'!$A$3:$CK$231,82,0),0)</f>
        <v>1</v>
      </c>
      <c r="E121" s="6">
        <f>IFERROR(VLOOKUP(A121,'FERC 2022'!$A$3:$CK$230,82,0),0)</f>
        <v>1</v>
      </c>
      <c r="F121" s="6">
        <f>IFERROR(VLOOKUP(A121,'FERC 2023'!$A$3:$CK$231,82,0),0)</f>
        <v>1</v>
      </c>
      <c r="G121" s="6">
        <f>IFERROR(VLOOKUP(A121,'EIA 2021'!$A$2:$AA$268,27,0),0)</f>
        <v>2</v>
      </c>
      <c r="H121" s="6">
        <f>IFERROR(VLOOKUP(A121,'EIA 2022'!$A$2:$AA$268,27,0),0)</f>
        <v>2</v>
      </c>
      <c r="I121" s="6">
        <f>IFERROR(VLOOKUP(A121,'EIA 2023'!$A$2:$AA$268,27,0),0)</f>
        <v>2</v>
      </c>
      <c r="J121" s="29">
        <f>IFERROR(VLOOKUP(A121,'FERC 2021'!$A$3:$CQ$231,95,0)+VLOOKUP(A121,'EIA 2021'!$A$3:$AE$231,31,0),0)</f>
        <v>0</v>
      </c>
      <c r="K121" s="44">
        <f>IFERROR(VLOOKUP(A121,'FERC 2022'!$A$3:$CQ$230,95,0)+VLOOKUP(A121,'EIA 2022'!$A$3:$AE$231,31,0),0)</f>
        <v>0</v>
      </c>
      <c r="L121" s="44">
        <f>IFERROR(VLOOKUP(A121,'FERC 2023'!$A$3:$CQ$231,95,0)+VLOOKUP(A121,'EIA 2023'!$A$3:$AE$231,31,0),0)</f>
        <v>0</v>
      </c>
      <c r="M121" s="44">
        <f t="shared" si="0"/>
        <v>1</v>
      </c>
      <c r="N121" s="7" t="s">
        <v>1397</v>
      </c>
      <c r="O121" s="44"/>
    </row>
    <row r="122" spans="1:15" ht="15.75" customHeight="1">
      <c r="A122" s="7" t="s">
        <v>571</v>
      </c>
      <c r="B122" s="7" t="s">
        <v>572</v>
      </c>
      <c r="C122" s="6"/>
      <c r="D122" s="6">
        <f>IFERROR(VLOOKUP(A122,'FERC 2021'!$A$3:$CK$231,82,0),0)</f>
        <v>1</v>
      </c>
      <c r="E122" s="6">
        <f>IFERROR(VLOOKUP(A122,'FERC 2022'!$A$3:$CK$230,82,0),0)</f>
        <v>1</v>
      </c>
      <c r="F122" s="6">
        <f>IFERROR(VLOOKUP(A122,'FERC 2023'!$A$3:$CK$231,82,0),0)</f>
        <v>1</v>
      </c>
      <c r="G122" s="6">
        <f>IFERROR(VLOOKUP(A122,'EIA 2021'!$A$2:$AA$268,27,0),0)</f>
        <v>2</v>
      </c>
      <c r="H122" s="6">
        <f>IFERROR(VLOOKUP(A122,'EIA 2022'!$A$2:$AA$268,27,0),0)</f>
        <v>2</v>
      </c>
      <c r="I122" s="6">
        <f>IFERROR(VLOOKUP(A122,'EIA 2023'!$A$2:$AA$268,27,0),0)</f>
        <v>2</v>
      </c>
      <c r="J122" s="29">
        <f>IFERROR(VLOOKUP(A122,'FERC 2021'!$A$3:$CQ$231,95,0)+VLOOKUP(A122,'EIA 2021'!$A$3:$AE$231,31,0),0)</f>
        <v>0</v>
      </c>
      <c r="K122" s="44">
        <f>IFERROR(VLOOKUP(A122,'FERC 2022'!$A$3:$CQ$230,95,0)+VLOOKUP(A122,'EIA 2022'!$A$3:$AE$231,31,0),0)</f>
        <v>0</v>
      </c>
      <c r="L122" s="44">
        <f>IFERROR(VLOOKUP(A122,'FERC 2023'!$A$3:$CQ$231,95,0)+VLOOKUP(A122,'EIA 2023'!$A$3:$AE$231,31,0),0)</f>
        <v>0</v>
      </c>
      <c r="M122" s="44">
        <f t="shared" si="0"/>
        <v>1</v>
      </c>
      <c r="N122" s="7"/>
    </row>
    <row r="123" spans="1:15" ht="15.75" customHeight="1">
      <c r="A123" s="7" t="s">
        <v>574</v>
      </c>
      <c r="B123" s="7" t="s">
        <v>575</v>
      </c>
      <c r="C123" s="6"/>
      <c r="D123" s="6">
        <f>IFERROR(VLOOKUP(A123,'FERC 2021'!$A$3:$CK$231,82,0),0)</f>
        <v>1</v>
      </c>
      <c r="E123" s="6">
        <f>IFERROR(VLOOKUP(A123,'FERC 2022'!$A$3:$CK$230,82,0),0)</f>
        <v>1</v>
      </c>
      <c r="F123" s="6">
        <f>IFERROR(VLOOKUP(A123,'FERC 2023'!$A$3:$CK$231,82,0),0)</f>
        <v>1</v>
      </c>
      <c r="G123" s="6">
        <f>IFERROR(VLOOKUP(A123,'EIA 2021'!$A$2:$AA$268,27,0),0)</f>
        <v>2</v>
      </c>
      <c r="H123" s="6">
        <f>IFERROR(VLOOKUP(A123,'EIA 2022'!$A$2:$AA$268,27,0),0)</f>
        <v>2</v>
      </c>
      <c r="I123" s="6">
        <f>IFERROR(VLOOKUP(A123,'EIA 2023'!$A$2:$AA$268,27,0),0)</f>
        <v>2</v>
      </c>
      <c r="J123" s="29">
        <f>IFERROR(VLOOKUP(A123,'FERC 2021'!$A$3:$CQ$231,95,0)+VLOOKUP(A123,'EIA 2021'!$A$3:$AE$231,31,0),0)</f>
        <v>0</v>
      </c>
      <c r="K123" s="44">
        <f>IFERROR(VLOOKUP(A123,'FERC 2022'!$A$3:$CQ$230,95,0)+VLOOKUP(A123,'EIA 2022'!$A$3:$AE$231,31,0),0)</f>
        <v>0</v>
      </c>
      <c r="L123" s="44">
        <f>IFERROR(VLOOKUP(A123,'FERC 2023'!$A$3:$CQ$231,95,0)+VLOOKUP(A123,'EIA 2023'!$A$3:$AE$231,31,0),0)</f>
        <v>0</v>
      </c>
      <c r="M123" s="44">
        <f t="shared" si="0"/>
        <v>1</v>
      </c>
    </row>
    <row r="124" spans="1:15" ht="15.75" customHeight="1">
      <c r="A124" s="7" t="s">
        <v>577</v>
      </c>
      <c r="B124" s="7" t="s">
        <v>578</v>
      </c>
      <c r="C124" s="6"/>
      <c r="D124" s="6">
        <f>IFERROR(VLOOKUP(A124,'FERC 2021'!$A$3:$CK$231,82,0),0)</f>
        <v>0</v>
      </c>
      <c r="E124" s="6">
        <f>IFERROR(VLOOKUP(A124,'FERC 2022'!$A$3:$CK$230,82,0),0)</f>
        <v>0</v>
      </c>
      <c r="F124" s="6">
        <f>IFERROR(VLOOKUP(A124,'FERC 2023'!$A$3:$CK$231,82,0),0)</f>
        <v>0</v>
      </c>
      <c r="G124" s="6">
        <f>IFERROR(VLOOKUP(A124,'EIA 2021'!$A$2:$AA$268,27,0),0)</f>
        <v>0</v>
      </c>
      <c r="H124" s="6">
        <f>IFERROR(VLOOKUP(A124,'EIA 2022'!$A$2:$AA$268,27,0),0)</f>
        <v>0</v>
      </c>
      <c r="I124" s="6">
        <f>IFERROR(VLOOKUP(A124,'EIA 2023'!$A$2:$AA$268,27,0),0)</f>
        <v>0</v>
      </c>
      <c r="J124" s="29">
        <f>IFERROR(VLOOKUP(A124,'FERC 2021'!$A$3:$CQ$231,95,0)+VLOOKUP(A124,'EIA 2021'!$A$3:$AE$231,31,0),0)</f>
        <v>0</v>
      </c>
      <c r="K124" s="44">
        <f>IFERROR(VLOOKUP(A124,'FERC 2022'!$A$3:$CQ$230,95,0)+VLOOKUP(A124,'EIA 2022'!$A$3:$AE$231,31,0),0)</f>
        <v>0</v>
      </c>
      <c r="L124" s="44">
        <f>IFERROR(VLOOKUP(A124,'FERC 2023'!$A$3:$CQ$231,95,0)+VLOOKUP(A124,'EIA 2023'!$A$3:$AE$231,31,0),0)</f>
        <v>0</v>
      </c>
      <c r="M124" s="44" t="str">
        <f t="shared" si="0"/>
        <v/>
      </c>
    </row>
    <row r="125" spans="1:15" ht="15.75" customHeight="1">
      <c r="A125" s="7" t="s">
        <v>580</v>
      </c>
      <c r="B125" s="7" t="s">
        <v>581</v>
      </c>
      <c r="C125" s="6"/>
      <c r="D125" s="6">
        <f>IFERROR(VLOOKUP(A125,'FERC 2021'!$A$3:$CK$231,82,0),0)</f>
        <v>0</v>
      </c>
      <c r="E125" s="6">
        <f>IFERROR(VLOOKUP(A125,'FERC 2022'!$A$3:$CK$230,82,0),0)</f>
        <v>0</v>
      </c>
      <c r="F125" s="6">
        <f>IFERROR(VLOOKUP(A125,'FERC 2023'!$A$3:$CK$231,82,0),0)</f>
        <v>0</v>
      </c>
      <c r="G125" s="6">
        <f>IFERROR(VLOOKUP(A125,'EIA 2021'!$A$2:$AA$268,27,0),0)</f>
        <v>0</v>
      </c>
      <c r="H125" s="6">
        <f>IFERROR(VLOOKUP(A125,'EIA 2022'!$A$2:$AA$268,27,0),0)</f>
        <v>0</v>
      </c>
      <c r="I125" s="6">
        <f>IFERROR(VLOOKUP(A125,'EIA 2023'!$A$2:$AA$268,27,0),0)</f>
        <v>0</v>
      </c>
      <c r="J125" s="29">
        <f>IFERROR(VLOOKUP(A125,'FERC 2021'!$A$3:$CQ$231,95,0)+VLOOKUP(A125,'EIA 2021'!$A$3:$AE$231,31,0),0)</f>
        <v>0</v>
      </c>
      <c r="K125" s="44">
        <f>IFERROR(VLOOKUP(A125,'FERC 2022'!$A$3:$CQ$230,95,0)+VLOOKUP(A125,'EIA 2022'!$A$3:$AE$231,31,0),0)</f>
        <v>0</v>
      </c>
      <c r="L125" s="44">
        <f>IFERROR(VLOOKUP(A125,'FERC 2023'!$A$3:$CQ$231,95,0)+VLOOKUP(A125,'EIA 2023'!$A$3:$AE$231,31,0),0)</f>
        <v>0</v>
      </c>
      <c r="M125" s="44" t="str">
        <f t="shared" si="0"/>
        <v/>
      </c>
    </row>
    <row r="126" spans="1:15" ht="15.75" customHeight="1">
      <c r="A126" s="7" t="s">
        <v>583</v>
      </c>
      <c r="B126" s="7" t="s">
        <v>584</v>
      </c>
      <c r="C126" s="6"/>
      <c r="D126" s="6">
        <f>IFERROR(VLOOKUP(A126,'FERC 2021'!$A$3:$CK$231,82,0),0)</f>
        <v>1</v>
      </c>
      <c r="E126" s="6">
        <f>IFERROR(VLOOKUP(A126,'FERC 2022'!$A$3:$CK$230,82,0),0)</f>
        <v>1</v>
      </c>
      <c r="F126" s="6">
        <f>IFERROR(VLOOKUP(A126,'FERC 2023'!$A$3:$CK$231,82,0),0)</f>
        <v>1</v>
      </c>
      <c r="G126" s="6">
        <f>IFERROR(VLOOKUP(A126,'EIA 2021'!$A$2:$AA$268,27,0),0)</f>
        <v>2</v>
      </c>
      <c r="H126" s="6">
        <f>IFERROR(VLOOKUP(A126,'EIA 2022'!$A$2:$AA$268,27,0),0)</f>
        <v>2</v>
      </c>
      <c r="I126" s="6">
        <f>IFERROR(VLOOKUP(A126,'EIA 2023'!$A$2:$AA$268,27,0),0)</f>
        <v>2</v>
      </c>
      <c r="J126" s="29">
        <f>IFERROR(VLOOKUP(A126,'FERC 2021'!$A$3:$CQ$231,95,0)+VLOOKUP(A126,'EIA 2021'!$A$3:$AE$231,31,0),0)</f>
        <v>0</v>
      </c>
      <c r="K126" s="44">
        <f>IFERROR(VLOOKUP(A126,'FERC 2022'!$A$3:$CQ$230,95,0)+VLOOKUP(A126,'EIA 2022'!$A$3:$AE$231,31,0),0)</f>
        <v>0</v>
      </c>
      <c r="L126" s="44">
        <f>IFERROR(VLOOKUP(A126,'FERC 2023'!$A$3:$CQ$231,95,0)+VLOOKUP(A126,'EIA 2023'!$A$3:$AE$231,31,0),0)</f>
        <v>0</v>
      </c>
      <c r="M126" s="44">
        <f t="shared" si="0"/>
        <v>1</v>
      </c>
    </row>
    <row r="127" spans="1:15" ht="15.75" customHeight="1">
      <c r="A127" s="7" t="s">
        <v>586</v>
      </c>
      <c r="B127" s="7" t="s">
        <v>587</v>
      </c>
      <c r="C127" s="6"/>
      <c r="D127" s="6">
        <f>IFERROR(VLOOKUP(A127,'FERC 2021'!$A$3:$CK$231,82,0),0)</f>
        <v>1</v>
      </c>
      <c r="E127" s="6">
        <f>IFERROR(VLOOKUP(A127,'FERC 2022'!$A$3:$CK$230,82,0),0)</f>
        <v>1</v>
      </c>
      <c r="F127" s="6">
        <f>IFERROR(VLOOKUP(A127,'FERC 2023'!$A$3:$CK$231,82,0),0)</f>
        <v>1</v>
      </c>
      <c r="G127" s="6">
        <f>IFERROR(VLOOKUP(A127,'EIA 2021'!$A$2:$AA$268,27,0),0)</f>
        <v>2</v>
      </c>
      <c r="H127" s="6">
        <f>IFERROR(VLOOKUP(A127,'EIA 2022'!$A$2:$AA$268,27,0),0)</f>
        <v>2</v>
      </c>
      <c r="I127" s="6">
        <f>IFERROR(VLOOKUP(A127,'EIA 2023'!$A$2:$AA$268,27,0),0)</f>
        <v>2</v>
      </c>
      <c r="J127" s="29">
        <f>IFERROR(VLOOKUP(A127,'FERC 2021'!$A$3:$CQ$231,95,0)+VLOOKUP(A127,'EIA 2021'!$A$3:$AE$231,31,0),0)</f>
        <v>0</v>
      </c>
      <c r="K127" s="44">
        <f>IFERROR(VLOOKUP(A127,'FERC 2022'!$A$3:$CQ$230,95,0)+VLOOKUP(A127,'EIA 2022'!$A$3:$AE$231,31,0),0)</f>
        <v>0</v>
      </c>
      <c r="L127" s="44">
        <f>IFERROR(VLOOKUP(A127,'FERC 2023'!$A$3:$CQ$231,95,0)+VLOOKUP(A127,'EIA 2023'!$A$3:$AE$231,31,0),0)</f>
        <v>0</v>
      </c>
      <c r="M127" s="44">
        <f t="shared" si="0"/>
        <v>1</v>
      </c>
    </row>
    <row r="128" spans="1:15" ht="15.75" customHeight="1">
      <c r="A128" s="7" t="s">
        <v>589</v>
      </c>
      <c r="B128" s="7" t="s">
        <v>590</v>
      </c>
      <c r="C128" s="6"/>
      <c r="D128" s="6">
        <f>IFERROR(VLOOKUP(A128,'FERC 2021'!$A$3:$CK$231,82,0),0)</f>
        <v>1</v>
      </c>
      <c r="E128" s="6">
        <f>IFERROR(VLOOKUP(A128,'FERC 2022'!$A$3:$CK$230,82,0),0)</f>
        <v>1</v>
      </c>
      <c r="F128" s="6">
        <f>IFERROR(VLOOKUP(A128,'FERC 2023'!$A$3:$CK$231,82,0),0)</f>
        <v>1</v>
      </c>
      <c r="G128" s="6">
        <f>IFERROR(VLOOKUP(A128,'EIA 2021'!$A$2:$AA$268,27,0),0)</f>
        <v>2</v>
      </c>
      <c r="H128" s="6">
        <f>IFERROR(VLOOKUP(A128,'EIA 2022'!$A$2:$AA$268,27,0),0)</f>
        <v>2</v>
      </c>
      <c r="I128" s="6">
        <f>IFERROR(VLOOKUP(A128,'EIA 2023'!$A$2:$AA$268,27,0),0)</f>
        <v>2</v>
      </c>
      <c r="J128" s="29">
        <f>IFERROR(VLOOKUP(A128,'FERC 2021'!$A$3:$CQ$231,95,0)+VLOOKUP(A128,'EIA 2021'!$A$3:$AE$231,31,0),0)</f>
        <v>0</v>
      </c>
      <c r="K128" s="44">
        <f>IFERROR(VLOOKUP(A128,'FERC 2022'!$A$3:$CQ$230,95,0)+VLOOKUP(A128,'EIA 2022'!$A$3:$AE$231,31,0),0)</f>
        <v>0</v>
      </c>
      <c r="L128" s="44">
        <f>IFERROR(VLOOKUP(A128,'FERC 2023'!$A$3:$CQ$231,95,0)+VLOOKUP(A128,'EIA 2023'!$A$3:$AE$231,31,0),0)</f>
        <v>0</v>
      </c>
      <c r="M128" s="44">
        <f t="shared" si="0"/>
        <v>1</v>
      </c>
    </row>
    <row r="129" spans="1:15" ht="15.75" customHeight="1">
      <c r="A129" s="7" t="s">
        <v>592</v>
      </c>
      <c r="B129" s="7" t="s">
        <v>593</v>
      </c>
      <c r="C129" s="6"/>
      <c r="D129" s="6">
        <f>IFERROR(VLOOKUP(A129,'FERC 2021'!$A$3:$CK$231,82,0),0)</f>
        <v>1</v>
      </c>
      <c r="E129" s="6">
        <f>IFERROR(VLOOKUP(A129,'FERC 2022'!$A$3:$CK$230,82,0),0)</f>
        <v>1</v>
      </c>
      <c r="F129" s="6">
        <f>IFERROR(VLOOKUP(A129,'FERC 2023'!$A$3:$CK$231,82,0),0)</f>
        <v>1</v>
      </c>
      <c r="G129" s="6">
        <f>IFERROR(VLOOKUP(A129,'EIA 2021'!$A$2:$AA$268,27,0),0)</f>
        <v>2</v>
      </c>
      <c r="H129" s="6">
        <f>IFERROR(VLOOKUP(A129,'EIA 2022'!$A$2:$AA$268,27,0),0)</f>
        <v>2</v>
      </c>
      <c r="I129" s="6">
        <f>IFERROR(VLOOKUP(A129,'EIA 2023'!$A$2:$AA$268,27,0),0)</f>
        <v>2</v>
      </c>
      <c r="J129" s="29">
        <f>IFERROR(VLOOKUP(A129,'FERC 2021'!$A$3:$CQ$231,95,0)+VLOOKUP(A129,'EIA 2021'!$A$3:$AE$231,31,0),0)</f>
        <v>0</v>
      </c>
      <c r="K129" s="44">
        <f>IFERROR(VLOOKUP(A129,'FERC 2022'!$A$3:$CQ$230,95,0)+VLOOKUP(A129,'EIA 2022'!$A$3:$AE$231,31,0),0)</f>
        <v>0</v>
      </c>
      <c r="L129" s="44">
        <f>IFERROR(VLOOKUP(A129,'FERC 2023'!$A$3:$CQ$231,95,0)+VLOOKUP(A129,'EIA 2023'!$A$3:$AE$231,31,0),0)</f>
        <v>0</v>
      </c>
      <c r="M129" s="44">
        <f t="shared" si="0"/>
        <v>1</v>
      </c>
    </row>
    <row r="130" spans="1:15" ht="15.75" customHeight="1">
      <c r="A130" s="7" t="s">
        <v>595</v>
      </c>
      <c r="B130" s="7" t="s">
        <v>596</v>
      </c>
      <c r="C130" s="6"/>
      <c r="D130" s="6">
        <f>IFERROR(VLOOKUP(A130,'FERC 2021'!$A$3:$CK$231,82,0),0)</f>
        <v>0</v>
      </c>
      <c r="E130" s="6">
        <f>IFERROR(VLOOKUP(A130,'FERC 2022'!$A$3:$CK$230,82,0),0)</f>
        <v>0</v>
      </c>
      <c r="F130" s="6">
        <f>IFERROR(VLOOKUP(A130,'FERC 2023'!$A$3:$CK$231,82,0),0)</f>
        <v>0</v>
      </c>
      <c r="G130" s="6">
        <f>IFERROR(VLOOKUP(A130,'EIA 2021'!$A$2:$AA$268,27,0),0)</f>
        <v>2</v>
      </c>
      <c r="H130" s="6">
        <f>IFERROR(VLOOKUP(A130,'EIA 2022'!$A$2:$AA$268,27,0),0)</f>
        <v>2</v>
      </c>
      <c r="I130" s="6">
        <f>IFERROR(VLOOKUP(A130,'EIA 2023'!$A$2:$AA$268,27,0),0)</f>
        <v>2</v>
      </c>
      <c r="J130" s="29">
        <f>IFERROR(VLOOKUP(A130,'FERC 2021'!$A$3:$CQ$231,95,0)+VLOOKUP(A130,'EIA 2021'!$A$3:$AE$231,31,0),0)</f>
        <v>0</v>
      </c>
      <c r="K130" s="44">
        <f>IFERROR(VLOOKUP(A130,'FERC 2022'!$A$3:$CQ$230,95,0)+VLOOKUP(A130,'EIA 2022'!$A$3:$AE$231,31,0),0)</f>
        <v>0</v>
      </c>
      <c r="L130" s="44">
        <f>IFERROR(VLOOKUP(A130,'FERC 2023'!$A$3:$CQ$231,95,0)+VLOOKUP(A130,'EIA 2023'!$A$3:$AE$231,31,0),0)</f>
        <v>0</v>
      </c>
      <c r="M130" s="44" t="str">
        <f t="shared" si="0"/>
        <v/>
      </c>
    </row>
    <row r="131" spans="1:15" ht="15.75" customHeight="1">
      <c r="A131" s="7" t="s">
        <v>598</v>
      </c>
      <c r="B131" s="7" t="s">
        <v>599</v>
      </c>
      <c r="C131" s="6"/>
      <c r="D131" s="6">
        <f>IFERROR(VLOOKUP(A131,'FERC 2021'!$A$3:$CK$231,82,0),0)</f>
        <v>1</v>
      </c>
      <c r="E131" s="6">
        <f>IFERROR(VLOOKUP(A131,'FERC 2022'!$A$3:$CK$230,82,0),0)</f>
        <v>1</v>
      </c>
      <c r="F131" s="6">
        <f>IFERROR(VLOOKUP(A131,'FERC 2023'!$A$3:$CK$231,82,0),0)</f>
        <v>1</v>
      </c>
      <c r="G131" s="6">
        <f>IFERROR(VLOOKUP(A131,'EIA 2021'!$A$2:$AA$268,27,0),0)</f>
        <v>2</v>
      </c>
      <c r="H131" s="6">
        <f>IFERROR(VLOOKUP(A131,'EIA 2022'!$A$2:$AA$268,27,0),0)</f>
        <v>2</v>
      </c>
      <c r="I131" s="6">
        <f>IFERROR(VLOOKUP(A131,'EIA 2023'!$A$2:$AA$268,27,0),0)</f>
        <v>2</v>
      </c>
      <c r="J131" s="29">
        <f>IFERROR(VLOOKUP(A131,'FERC 2021'!$A$3:$CQ$231,95,0)+VLOOKUP(A131,'EIA 2021'!$A$3:$AE$231,31,0),0)</f>
        <v>0</v>
      </c>
      <c r="K131" s="44">
        <f>IFERROR(VLOOKUP(A131,'FERC 2022'!$A$3:$CQ$230,95,0)+VLOOKUP(A131,'EIA 2022'!$A$3:$AE$231,31,0),0)</f>
        <v>0</v>
      </c>
      <c r="L131" s="44">
        <f>IFERROR(VLOOKUP(A131,'FERC 2023'!$A$3:$CQ$231,95,0)+VLOOKUP(A131,'EIA 2023'!$A$3:$AE$231,31,0),0)</f>
        <v>0</v>
      </c>
      <c r="M131" s="44">
        <f t="shared" si="0"/>
        <v>1</v>
      </c>
    </row>
    <row r="132" spans="1:15" ht="15.75" customHeight="1">
      <c r="A132" s="7" t="s">
        <v>601</v>
      </c>
      <c r="B132" s="7" t="s">
        <v>602</v>
      </c>
      <c r="C132" s="6"/>
      <c r="D132" s="6">
        <f>IFERROR(VLOOKUP(A132,'FERC 2021'!$A$3:$CK$231,82,0),0)</f>
        <v>1</v>
      </c>
      <c r="E132" s="6">
        <f>IFERROR(VLOOKUP(A132,'FERC 2022'!$A$3:$CK$230,82,0),0)</f>
        <v>1</v>
      </c>
      <c r="F132" s="6">
        <f>IFERROR(VLOOKUP(A132,'FERC 2023'!$A$3:$CK$231,82,0),0)</f>
        <v>1</v>
      </c>
      <c r="G132" s="6">
        <f>IFERROR(VLOOKUP(A132,'EIA 2021'!$A$2:$AA$268,27,0),0)</f>
        <v>2</v>
      </c>
      <c r="H132" s="6">
        <f>IFERROR(VLOOKUP(A132,'EIA 2022'!$A$2:$AA$268,27,0),0)</f>
        <v>2</v>
      </c>
      <c r="I132" s="6">
        <f>IFERROR(VLOOKUP(A132,'EIA 2023'!$A$2:$AA$268,27,0),0)</f>
        <v>2</v>
      </c>
      <c r="J132" s="29">
        <f>IFERROR(VLOOKUP(A132,'FERC 2021'!$A$3:$CQ$231,95,0)+VLOOKUP(A132,'EIA 2021'!$A$3:$AE$231,31,0),0)</f>
        <v>0</v>
      </c>
      <c r="K132" s="44">
        <f>IFERROR(VLOOKUP(A132,'FERC 2022'!$A$3:$CQ$230,95,0)+VLOOKUP(A132,'EIA 2022'!$A$3:$AE$231,31,0),0)</f>
        <v>0</v>
      </c>
      <c r="L132" s="44">
        <f>IFERROR(VLOOKUP(A132,'FERC 2023'!$A$3:$CQ$231,95,0)+VLOOKUP(A132,'EIA 2023'!$A$3:$AE$231,31,0),0)</f>
        <v>0</v>
      </c>
      <c r="M132" s="44">
        <f t="shared" si="0"/>
        <v>1</v>
      </c>
    </row>
    <row r="133" spans="1:15" ht="15.75" customHeight="1">
      <c r="A133" s="7" t="s">
        <v>604</v>
      </c>
      <c r="B133" s="7" t="s">
        <v>605</v>
      </c>
      <c r="C133" s="6"/>
      <c r="D133" s="6">
        <f>IFERROR(VLOOKUP(A133,'FERC 2021'!$A$3:$CK$231,82,0),0)</f>
        <v>1</v>
      </c>
      <c r="E133" s="6">
        <f>IFERROR(VLOOKUP(A133,'FERC 2022'!$A$3:$CK$230,82,0),0)</f>
        <v>0</v>
      </c>
      <c r="F133" s="6">
        <f>IFERROR(VLOOKUP(A133,'FERC 2023'!$A$3:$CK$231,82,0),0)</f>
        <v>0</v>
      </c>
      <c r="G133" s="6">
        <f>IFERROR(VLOOKUP(A133,'EIA 2021'!$A$2:$AA$268,27,0),0)</f>
        <v>2</v>
      </c>
      <c r="H133" s="6">
        <f>IFERROR(VLOOKUP(A133,'EIA 2022'!$A$2:$AA$268,27,0),0)</f>
        <v>0</v>
      </c>
      <c r="I133" s="6">
        <f>IFERROR(VLOOKUP(A133,'EIA 2023'!$A$2:$AA$268,27,0),0)</f>
        <v>0</v>
      </c>
      <c r="J133" s="29">
        <f>IFERROR(VLOOKUP(A133,'FERC 2021'!$A$3:$CQ$231,95,0)+VLOOKUP(A133,'EIA 2021'!$A$3:$AE$231,31,0),0)</f>
        <v>0</v>
      </c>
      <c r="K133" s="44">
        <f>IFERROR(VLOOKUP(A133,'FERC 2022'!$A$3:$CQ$230,95,0)+VLOOKUP(A133,'EIA 2022'!$A$3:$AE$231,31,0),0)</f>
        <v>0</v>
      </c>
      <c r="L133" s="44">
        <f>IFERROR(VLOOKUP(A133,'FERC 2023'!$A$3:$CQ$231,95,0)+VLOOKUP(A133,'EIA 2023'!$A$3:$AE$231,31,0),0)</f>
        <v>0</v>
      </c>
      <c r="M133" s="44" t="str">
        <f t="shared" si="0"/>
        <v/>
      </c>
      <c r="N133" s="99" t="s">
        <v>1398</v>
      </c>
    </row>
    <row r="134" spans="1:15" ht="15.75" customHeight="1">
      <c r="A134" s="7" t="s">
        <v>607</v>
      </c>
      <c r="B134" s="7" t="s">
        <v>608</v>
      </c>
      <c r="C134" s="6"/>
      <c r="D134" s="6">
        <f>IFERROR(VLOOKUP(A134,'FERC 2021'!$A$3:$CK$231,82,0),0)</f>
        <v>1</v>
      </c>
      <c r="E134" s="6">
        <f>IFERROR(VLOOKUP(A134,'FERC 2022'!$A$3:$CK$230,82,0),0)</f>
        <v>1</v>
      </c>
      <c r="F134" s="6">
        <f>IFERROR(VLOOKUP(A134,'FERC 2023'!$A$3:$CK$231,82,0),0)</f>
        <v>1</v>
      </c>
      <c r="G134" s="6">
        <f>IFERROR(VLOOKUP(A134,'EIA 2021'!$A$2:$AA$268,27,0),0)</f>
        <v>2</v>
      </c>
      <c r="H134" s="6">
        <f>IFERROR(VLOOKUP(A134,'EIA 2022'!$A$2:$AA$268,27,0),0)</f>
        <v>2</v>
      </c>
      <c r="I134" s="6">
        <f>IFERROR(VLOOKUP(A134,'EIA 2023'!$A$2:$AA$268,27,0),0)</f>
        <v>2</v>
      </c>
      <c r="J134" s="29">
        <f>IFERROR(VLOOKUP(A134,'FERC 2021'!$A$3:$CQ$231,95,0)+VLOOKUP(A134,'EIA 2021'!$A$3:$AE$231,31,0),0)</f>
        <v>0</v>
      </c>
      <c r="K134" s="44">
        <f>IFERROR(VLOOKUP(A134,'FERC 2022'!$A$3:$CQ$230,95,0)+VLOOKUP(A134,'EIA 2022'!$A$3:$AE$231,31,0),0)</f>
        <v>0</v>
      </c>
      <c r="L134" s="44">
        <f>IFERROR(VLOOKUP(A134,'FERC 2023'!$A$3:$CQ$231,95,0)+VLOOKUP(A134,'EIA 2023'!$A$3:$AE$231,31,0),0)</f>
        <v>0</v>
      </c>
      <c r="M134" s="44">
        <f t="shared" si="0"/>
        <v>1</v>
      </c>
      <c r="N134" s="7"/>
    </row>
    <row r="135" spans="1:15" ht="15.75" customHeight="1">
      <c r="A135" s="7" t="s">
        <v>610</v>
      </c>
      <c r="B135" s="7" t="s">
        <v>611</v>
      </c>
      <c r="C135" s="6"/>
      <c r="D135" s="6">
        <f>IFERROR(VLOOKUP(A135,'FERC 2021'!$A$3:$CK$231,82,0),0)</f>
        <v>0</v>
      </c>
      <c r="E135" s="6">
        <f>IFERROR(VLOOKUP(A135,'FERC 2022'!$A$3:$CK$230,82,0),0)</f>
        <v>0</v>
      </c>
      <c r="F135" s="6">
        <f>IFERROR(VLOOKUP(A135,'FERC 2023'!$A$3:$CK$231,82,0),0)</f>
        <v>0</v>
      </c>
      <c r="G135" s="6">
        <f>IFERROR(VLOOKUP(A135,'EIA 2021'!$A$2:$AA$268,27,0),0)</f>
        <v>0</v>
      </c>
      <c r="H135" s="6">
        <f>IFERROR(VLOOKUP(A135,'EIA 2022'!$A$2:$AA$268,27,0),0)</f>
        <v>0</v>
      </c>
      <c r="I135" s="6">
        <f>IFERROR(VLOOKUP(A135,'EIA 2023'!$A$2:$AA$268,27,0),0)</f>
        <v>0</v>
      </c>
      <c r="J135" s="29">
        <f>IFERROR(VLOOKUP(A135,'FERC 2021'!$A$3:$CQ$231,95,0)+VLOOKUP(A135,'EIA 2021'!$A$3:$AE$231,31,0),0)</f>
        <v>0</v>
      </c>
      <c r="K135" s="44">
        <f>IFERROR(VLOOKUP(A135,'FERC 2022'!$A$3:$CQ$230,95,0)+VLOOKUP(A135,'EIA 2022'!$A$3:$AE$231,31,0),0)</f>
        <v>0</v>
      </c>
      <c r="L135" s="44">
        <f>IFERROR(VLOOKUP(A135,'FERC 2023'!$A$3:$CQ$231,95,0)+VLOOKUP(A135,'EIA 2023'!$A$3:$AE$231,31,0),0)</f>
        <v>0</v>
      </c>
      <c r="M135" s="44" t="str">
        <f t="shared" si="0"/>
        <v/>
      </c>
    </row>
    <row r="136" spans="1:15" ht="15.75" customHeight="1">
      <c r="A136" s="7" t="s">
        <v>613</v>
      </c>
      <c r="B136" s="7" t="s">
        <v>614</v>
      </c>
      <c r="C136" s="6"/>
      <c r="D136" s="6">
        <f>IFERROR(VLOOKUP(A136,'FERC 2021'!$A$3:$CK$231,82,0),0)</f>
        <v>1</v>
      </c>
      <c r="E136" s="6">
        <f>IFERROR(VLOOKUP(A136,'FERC 2022'!$A$3:$CK$230,82,0),0)</f>
        <v>1</v>
      </c>
      <c r="F136" s="6">
        <f>IFERROR(VLOOKUP(A136,'FERC 2023'!$A$3:$CK$231,82,0),0)</f>
        <v>1</v>
      </c>
      <c r="G136" s="6">
        <f>IFERROR(VLOOKUP(A136,'EIA 2021'!$A$2:$AA$268,27,0),0)</f>
        <v>2</v>
      </c>
      <c r="H136" s="6">
        <f>IFERROR(VLOOKUP(A136,'EIA 2022'!$A$2:$AA$268,27,0),0)</f>
        <v>2</v>
      </c>
      <c r="I136" s="6">
        <f>IFERROR(VLOOKUP(A136,'EIA 2023'!$A$2:$AA$268,27,0),0)</f>
        <v>2</v>
      </c>
      <c r="J136" s="29">
        <f>IFERROR(VLOOKUP(A136,'FERC 2021'!$A$3:$CQ$231,95,0)+VLOOKUP(A136,'EIA 2021'!$A$3:$AE$231,31,0),0)</f>
        <v>0</v>
      </c>
      <c r="K136" s="44">
        <f>IFERROR(VLOOKUP(A136,'FERC 2022'!$A$3:$CQ$230,95,0)+VLOOKUP(A136,'EIA 2022'!$A$3:$AE$231,31,0),0)</f>
        <v>0</v>
      </c>
      <c r="L136" s="44">
        <f>IFERROR(VLOOKUP(A136,'FERC 2023'!$A$3:$CQ$231,95,0)+VLOOKUP(A136,'EIA 2023'!$A$3:$AE$231,31,0),0)</f>
        <v>0</v>
      </c>
      <c r="M136" s="44">
        <f t="shared" si="0"/>
        <v>1</v>
      </c>
      <c r="N136" s="99"/>
    </row>
    <row r="137" spans="1:15" ht="15.75" customHeight="1">
      <c r="A137" s="7" t="s">
        <v>616</v>
      </c>
      <c r="B137" s="7" t="s">
        <v>617</v>
      </c>
      <c r="C137" s="6"/>
      <c r="D137" s="6">
        <f>IFERROR(VLOOKUP(A137,'FERC 2021'!$A$3:$CK$231,82,0),0)</f>
        <v>1</v>
      </c>
      <c r="E137" s="6">
        <f>IFERROR(VLOOKUP(A137,'FERC 2022'!$A$3:$CK$230,82,0),0)</f>
        <v>1</v>
      </c>
      <c r="F137" s="6">
        <f>IFERROR(VLOOKUP(A137,'FERC 2023'!$A$3:$CK$231,82,0),0)</f>
        <v>1</v>
      </c>
      <c r="G137" s="6">
        <f>IFERROR(VLOOKUP(A137,'EIA 2021'!$A$2:$AA$268,27,0),0)</f>
        <v>2</v>
      </c>
      <c r="H137" s="6">
        <f>IFERROR(VLOOKUP(A137,'EIA 2022'!$A$2:$AA$268,27,0),0)</f>
        <v>2</v>
      </c>
      <c r="I137" s="6">
        <f>IFERROR(VLOOKUP(A137,'EIA 2023'!$A$2:$AA$268,27,0),0)</f>
        <v>2</v>
      </c>
      <c r="J137" s="29">
        <f>IFERROR(VLOOKUP(A137,'FERC 2021'!$A$3:$CQ$231,95,0)+VLOOKUP(A137,'EIA 2021'!$A$3:$AE$231,31,0),0)</f>
        <v>0</v>
      </c>
      <c r="K137" s="44">
        <f>IFERROR(VLOOKUP(A137,'FERC 2022'!$A$3:$CQ$230,95,0)+VLOOKUP(A137,'EIA 2022'!$A$3:$AE$231,31,0),0)</f>
        <v>0</v>
      </c>
      <c r="L137" s="44">
        <f>IFERROR(VLOOKUP(A137,'FERC 2023'!$A$3:$CQ$231,95,0)+VLOOKUP(A137,'EIA 2023'!$A$3:$AE$231,31,0),0)</f>
        <v>0</v>
      </c>
      <c r="M137" s="44">
        <f t="shared" si="0"/>
        <v>1</v>
      </c>
    </row>
    <row r="138" spans="1:15" ht="15.75" customHeight="1">
      <c r="A138" s="7" t="s">
        <v>619</v>
      </c>
      <c r="B138" s="7" t="s">
        <v>620</v>
      </c>
      <c r="C138" s="6"/>
      <c r="D138" s="6">
        <f>IFERROR(VLOOKUP(A138,'FERC 2021'!$A$3:$CK$231,82,0),0)</f>
        <v>1</v>
      </c>
      <c r="E138" s="6">
        <f>IFERROR(VLOOKUP(A138,'FERC 2022'!$A$3:$CK$230,82,0),0)</f>
        <v>1</v>
      </c>
      <c r="F138" s="6">
        <f>IFERROR(VLOOKUP(A138,'FERC 2023'!$A$3:$CK$231,82,0),0)</f>
        <v>1</v>
      </c>
      <c r="G138" s="6">
        <f>IFERROR(VLOOKUP(A138,'EIA 2021'!$A$2:$AA$268,27,0),0)</f>
        <v>2</v>
      </c>
      <c r="H138" s="6">
        <f>IFERROR(VLOOKUP(A138,'EIA 2022'!$A$2:$AA$268,27,0),0)</f>
        <v>2</v>
      </c>
      <c r="I138" s="6">
        <f>IFERROR(VLOOKUP(A138,'EIA 2023'!$A$2:$AA$268,27,0),0)</f>
        <v>2</v>
      </c>
      <c r="J138" s="29">
        <f>IFERROR(VLOOKUP(A138,'FERC 2021'!$A$3:$CQ$231,95,0)+VLOOKUP(A138,'EIA 2021'!$A$3:$AE$231,31,0),0)</f>
        <v>0</v>
      </c>
      <c r="K138" s="44">
        <f>IFERROR(VLOOKUP(A138,'FERC 2022'!$A$3:$CQ$230,95,0)+VLOOKUP(A138,'EIA 2022'!$A$3:$AE$231,31,0),0)</f>
        <v>0</v>
      </c>
      <c r="L138" s="44">
        <f>IFERROR(VLOOKUP(A138,'FERC 2023'!$A$3:$CQ$231,95,0)+VLOOKUP(A138,'EIA 2023'!$A$3:$AE$231,31,0),0)</f>
        <v>0</v>
      </c>
      <c r="M138" s="44">
        <f t="shared" si="0"/>
        <v>1</v>
      </c>
    </row>
    <row r="139" spans="1:15" ht="15.75" customHeight="1">
      <c r="A139" s="7" t="s">
        <v>622</v>
      </c>
      <c r="B139" s="7" t="s">
        <v>623</v>
      </c>
      <c r="C139" s="6"/>
      <c r="D139" s="6">
        <f>IFERROR(VLOOKUP(A139,'FERC 2021'!$A$3:$CK$231,82,0),0)</f>
        <v>1</v>
      </c>
      <c r="E139" s="6">
        <f>IFERROR(VLOOKUP(A139,'FERC 2022'!$A$3:$CK$230,82,0),0)</f>
        <v>1</v>
      </c>
      <c r="F139" s="6">
        <f>IFERROR(VLOOKUP(A139,'FERC 2023'!$A$3:$CK$231,82,0),0)</f>
        <v>1</v>
      </c>
      <c r="G139" s="6">
        <f>IFERROR(VLOOKUP(A139,'EIA 2021'!$A$2:$AA$268,27,0),0)</f>
        <v>2</v>
      </c>
      <c r="H139" s="6">
        <f>IFERROR(VLOOKUP(A139,'EIA 2022'!$A$2:$AA$268,27,0),0)</f>
        <v>2</v>
      </c>
      <c r="I139" s="6">
        <f>IFERROR(VLOOKUP(A139,'EIA 2023'!$A$2:$AA$268,27,0),0)</f>
        <v>2</v>
      </c>
      <c r="J139" s="29">
        <f>IFERROR(VLOOKUP(A139,'FERC 2021'!$A$3:$CQ$231,95,0)+VLOOKUP(A139,'EIA 2021'!$A$3:$AE$231,31,0),0)</f>
        <v>0</v>
      </c>
      <c r="K139" s="44">
        <f>IFERROR(VLOOKUP(A139,'FERC 2022'!$A$3:$CQ$230,95,0)+VLOOKUP(A139,'EIA 2022'!$A$3:$AE$231,31,0),0)</f>
        <v>0</v>
      </c>
      <c r="L139" s="44">
        <f>IFERROR(VLOOKUP(A139,'FERC 2023'!$A$3:$CQ$231,95,0)+VLOOKUP(A139,'EIA 2023'!$A$3:$AE$231,31,0),0)</f>
        <v>0</v>
      </c>
      <c r="M139" s="44">
        <f t="shared" si="0"/>
        <v>1</v>
      </c>
      <c r="N139" s="53"/>
      <c r="O139" s="44"/>
    </row>
    <row r="140" spans="1:15" ht="15.75" customHeight="1">
      <c r="A140" s="7" t="s">
        <v>625</v>
      </c>
      <c r="B140" s="7" t="s">
        <v>626</v>
      </c>
      <c r="C140" s="6"/>
      <c r="D140" s="6">
        <f>IFERROR(VLOOKUP(A140,'FERC 2021'!$A$3:$CK$231,82,0),0)</f>
        <v>0</v>
      </c>
      <c r="E140" s="6">
        <f>IFERROR(VLOOKUP(A140,'FERC 2022'!$A$3:$CK$230,82,0),0)</f>
        <v>0</v>
      </c>
      <c r="F140" s="6">
        <f>IFERROR(VLOOKUP(A140,'FERC 2023'!$A$3:$CK$231,82,0),0)</f>
        <v>0</v>
      </c>
      <c r="G140" s="6">
        <f>IFERROR(VLOOKUP(A140,'EIA 2021'!$A$2:$AA$268,27,0),0)</f>
        <v>0</v>
      </c>
      <c r="H140" s="6">
        <f>IFERROR(VLOOKUP(A140,'EIA 2022'!$A$2:$AA$268,27,0),0)</f>
        <v>0</v>
      </c>
      <c r="I140" s="6">
        <f>IFERROR(VLOOKUP(A140,'EIA 2023'!$A$2:$AA$268,27,0),0)</f>
        <v>0</v>
      </c>
      <c r="J140" s="29">
        <f>IFERROR(VLOOKUP(A140,'FERC 2021'!$A$3:$CQ$231,95,0)+VLOOKUP(A140,'EIA 2021'!$A$3:$AE$231,31,0),0)</f>
        <v>0</v>
      </c>
      <c r="K140" s="44">
        <f>IFERROR(VLOOKUP(A140,'FERC 2022'!$A$3:$CQ$230,95,0)+VLOOKUP(A140,'EIA 2022'!$A$3:$AE$231,31,0),0)</f>
        <v>0</v>
      </c>
      <c r="L140" s="44">
        <f>IFERROR(VLOOKUP(A140,'FERC 2023'!$A$3:$CQ$231,95,0)+VLOOKUP(A140,'EIA 2023'!$A$3:$AE$231,31,0),0)</f>
        <v>0</v>
      </c>
      <c r="M140" s="44" t="str">
        <f t="shared" si="0"/>
        <v/>
      </c>
    </row>
    <row r="141" spans="1:15" ht="15.75" customHeight="1">
      <c r="A141" s="7" t="s">
        <v>628</v>
      </c>
      <c r="B141" s="7" t="s">
        <v>629</v>
      </c>
      <c r="C141" s="6"/>
      <c r="D141" s="6">
        <f>IFERROR(VLOOKUP(A141,'FERC 2021'!$A$3:$CK$231,82,0),0)</f>
        <v>0</v>
      </c>
      <c r="E141" s="6">
        <f>IFERROR(VLOOKUP(A141,'FERC 2022'!$A$3:$CK$230,82,0),0)</f>
        <v>0</v>
      </c>
      <c r="F141" s="6">
        <f>IFERROR(VLOOKUP(A141,'FERC 2023'!$A$3:$CK$231,82,0),0)</f>
        <v>0</v>
      </c>
      <c r="G141" s="6">
        <f>IFERROR(VLOOKUP(A141,'EIA 2021'!$A$2:$AA$268,27,0),0)</f>
        <v>0</v>
      </c>
      <c r="H141" s="6">
        <f>IFERROR(VLOOKUP(A141,'EIA 2022'!$A$2:$AA$268,27,0),0)</f>
        <v>0</v>
      </c>
      <c r="I141" s="6">
        <f>IFERROR(VLOOKUP(A141,'EIA 2023'!$A$2:$AA$268,27,0),0)</f>
        <v>0</v>
      </c>
      <c r="J141" s="29">
        <f>IFERROR(VLOOKUP(A141,'FERC 2021'!$A$3:$CQ$231,95,0)+VLOOKUP(A141,'EIA 2021'!$A$3:$AE$231,31,0),0)</f>
        <v>0</v>
      </c>
      <c r="K141" s="44">
        <f>IFERROR(VLOOKUP(A141,'FERC 2022'!$A$3:$CQ$230,95,0)+VLOOKUP(A141,'EIA 2022'!$A$3:$AE$231,31,0),0)</f>
        <v>0</v>
      </c>
      <c r="L141" s="44">
        <f>IFERROR(VLOOKUP(A141,'FERC 2023'!$A$3:$CQ$231,95,0)+VLOOKUP(A141,'EIA 2023'!$A$3:$AE$231,31,0),0)</f>
        <v>0</v>
      </c>
      <c r="M141" s="44" t="str">
        <f t="shared" si="0"/>
        <v/>
      </c>
    </row>
    <row r="142" spans="1:15" ht="15.75" customHeight="1">
      <c r="A142" s="7" t="s">
        <v>631</v>
      </c>
      <c r="B142" s="7" t="s">
        <v>632</v>
      </c>
      <c r="C142" s="6"/>
      <c r="D142" s="6">
        <f>IFERROR(VLOOKUP(A142,'FERC 2021'!$A$3:$CK$231,82,0),0)</f>
        <v>0</v>
      </c>
      <c r="E142" s="6">
        <f>IFERROR(VLOOKUP(A142,'FERC 2022'!$A$3:$CK$230,82,0),0)</f>
        <v>0</v>
      </c>
      <c r="F142" s="6">
        <f>IFERROR(VLOOKUP(A142,'FERC 2023'!$A$3:$CK$231,82,0),0)</f>
        <v>0</v>
      </c>
      <c r="G142" s="6">
        <f>IFERROR(VLOOKUP(A142,'EIA 2021'!$A$2:$AA$268,27,0),0)</f>
        <v>0</v>
      </c>
      <c r="H142" s="6">
        <f>IFERROR(VLOOKUP(A142,'EIA 2022'!$A$2:$AA$268,27,0),0)</f>
        <v>0</v>
      </c>
      <c r="I142" s="6">
        <f>IFERROR(VLOOKUP(A142,'EIA 2023'!$A$2:$AA$268,27,0),0)</f>
        <v>0</v>
      </c>
      <c r="J142" s="29">
        <f>IFERROR(VLOOKUP(A142,'FERC 2021'!$A$3:$CQ$231,95,0)+VLOOKUP(A142,'EIA 2021'!$A$3:$AE$231,31,0),0)</f>
        <v>0</v>
      </c>
      <c r="K142" s="44">
        <f>IFERROR(VLOOKUP(A142,'FERC 2022'!$A$3:$CQ$230,95,0)+VLOOKUP(A142,'EIA 2022'!$A$3:$AE$231,31,0),0)</f>
        <v>0</v>
      </c>
      <c r="L142" s="44">
        <f>IFERROR(VLOOKUP(A142,'FERC 2023'!$A$3:$CQ$231,95,0)+VLOOKUP(A142,'EIA 2023'!$A$3:$AE$231,31,0),0)</f>
        <v>0</v>
      </c>
      <c r="M142" s="44" t="str">
        <f t="shared" si="0"/>
        <v/>
      </c>
    </row>
    <row r="143" spans="1:15" ht="15.75" customHeight="1">
      <c r="A143" s="7" t="s">
        <v>634</v>
      </c>
      <c r="B143" s="7" t="s">
        <v>635</v>
      </c>
      <c r="C143" s="6"/>
      <c r="D143" s="6">
        <f>IFERROR(VLOOKUP(A143,'FERC 2021'!$A$3:$CK$231,82,0),0)</f>
        <v>1</v>
      </c>
      <c r="E143" s="6">
        <f>IFERROR(VLOOKUP(A143,'FERC 2022'!$A$3:$CK$230,82,0),0)</f>
        <v>1</v>
      </c>
      <c r="F143" s="6">
        <f>IFERROR(VLOOKUP(A143,'FERC 2023'!$A$3:$CK$231,82,0),0)</f>
        <v>1</v>
      </c>
      <c r="G143" s="6">
        <f>IFERROR(VLOOKUP(A143,'EIA 2021'!$A$2:$AA$268,27,0),0)</f>
        <v>2</v>
      </c>
      <c r="H143" s="6">
        <f>IFERROR(VLOOKUP(A143,'EIA 2022'!$A$2:$AA$268,27,0),0)</f>
        <v>2</v>
      </c>
      <c r="I143" s="6">
        <f>IFERROR(VLOOKUP(A143,'EIA 2023'!$A$2:$AA$268,27,0),0)</f>
        <v>2</v>
      </c>
      <c r="J143" s="29">
        <f>IFERROR(VLOOKUP(A143,'FERC 2021'!$A$3:$CQ$231,95,0)+VLOOKUP(A143,'EIA 2021'!$A$3:$AE$231,31,0),0)</f>
        <v>0</v>
      </c>
      <c r="K143" s="44">
        <f>IFERROR(VLOOKUP(A143,'FERC 2022'!$A$3:$CQ$230,95,0)+VLOOKUP(A143,'EIA 2022'!$A$3:$AE$231,31,0),0)</f>
        <v>0</v>
      </c>
      <c r="L143" s="44">
        <f>IFERROR(VLOOKUP(A143,'FERC 2023'!$A$3:$CQ$231,95,0)+VLOOKUP(A143,'EIA 2023'!$A$3:$AE$231,31,0),0)</f>
        <v>0</v>
      </c>
      <c r="M143" s="44">
        <f t="shared" si="0"/>
        <v>1</v>
      </c>
      <c r="N143" s="99"/>
    </row>
    <row r="144" spans="1:15" ht="15.75" customHeight="1">
      <c r="A144" s="7" t="s">
        <v>637</v>
      </c>
      <c r="B144" s="7" t="s">
        <v>638</v>
      </c>
      <c r="C144" s="6"/>
      <c r="D144" s="6">
        <f>IFERROR(VLOOKUP(A144,'FERC 2021'!$A$3:$CK$231,82,0),0)</f>
        <v>0</v>
      </c>
      <c r="E144" s="6">
        <f>IFERROR(VLOOKUP(A144,'FERC 2022'!$A$3:$CK$230,82,0),0)</f>
        <v>0</v>
      </c>
      <c r="F144" s="6">
        <f>IFERROR(VLOOKUP(A144,'FERC 2023'!$A$3:$CK$231,82,0),0)</f>
        <v>0</v>
      </c>
      <c r="G144" s="6">
        <f>IFERROR(VLOOKUP(A144,'EIA 2021'!$A$2:$AA$268,27,0),0)</f>
        <v>0</v>
      </c>
      <c r="H144" s="6">
        <f>IFERROR(VLOOKUP(A144,'EIA 2022'!$A$2:$AA$268,27,0),0)</f>
        <v>0</v>
      </c>
      <c r="I144" s="6">
        <f>IFERROR(VLOOKUP(A144,'EIA 2023'!$A$2:$AA$268,27,0),0)</f>
        <v>0</v>
      </c>
      <c r="J144" s="29">
        <f>IFERROR(VLOOKUP(A144,'FERC 2021'!$A$3:$CQ$231,95,0)+VLOOKUP(A144,'EIA 2021'!$A$3:$AE$231,31,0),0)</f>
        <v>0</v>
      </c>
      <c r="K144" s="44">
        <f>IFERROR(VLOOKUP(A144,'FERC 2022'!$A$3:$CQ$230,95,0)+VLOOKUP(A144,'EIA 2022'!$A$3:$AE$231,31,0),0)</f>
        <v>0</v>
      </c>
      <c r="L144" s="44">
        <f>IFERROR(VLOOKUP(A144,'FERC 2023'!$A$3:$CQ$231,95,0)+VLOOKUP(A144,'EIA 2023'!$A$3:$AE$231,31,0),0)</f>
        <v>0</v>
      </c>
      <c r="M144" s="44" t="str">
        <f t="shared" si="0"/>
        <v/>
      </c>
    </row>
    <row r="145" spans="1:15" ht="15.75" customHeight="1">
      <c r="A145" s="7" t="s">
        <v>640</v>
      </c>
      <c r="B145" s="7" t="s">
        <v>641</v>
      </c>
      <c r="C145" s="6"/>
      <c r="D145" s="6">
        <f>IFERROR(VLOOKUP(A145,'FERC 2021'!$A$3:$CK$231,82,0),0)</f>
        <v>1</v>
      </c>
      <c r="E145" s="6">
        <f>IFERROR(VLOOKUP(A145,'FERC 2022'!$A$3:$CK$230,82,0),0)</f>
        <v>1</v>
      </c>
      <c r="F145" s="6">
        <f>IFERROR(VLOOKUP(A145,'FERC 2023'!$A$3:$CK$231,82,0),0)</f>
        <v>1</v>
      </c>
      <c r="G145" s="6">
        <f>IFERROR(VLOOKUP(A145,'EIA 2021'!$A$2:$AA$268,27,0),0)</f>
        <v>2</v>
      </c>
      <c r="H145" s="6">
        <f>IFERROR(VLOOKUP(A145,'EIA 2022'!$A$2:$AA$268,27,0),0)</f>
        <v>2</v>
      </c>
      <c r="I145" s="6">
        <f>IFERROR(VLOOKUP(A145,'EIA 2023'!$A$2:$AA$268,27,0),0)</f>
        <v>2</v>
      </c>
      <c r="J145" s="29">
        <f>IFERROR(VLOOKUP(A145,'FERC 2021'!$A$3:$CQ$231,95,0)+VLOOKUP(A145,'EIA 2021'!$A$3:$AE$231,31,0),0)</f>
        <v>0</v>
      </c>
      <c r="K145" s="44">
        <f>IFERROR(VLOOKUP(A145,'FERC 2022'!$A$3:$CQ$230,95,0)+VLOOKUP(A145,'EIA 2022'!$A$3:$AE$231,31,0),0)</f>
        <v>0</v>
      </c>
      <c r="L145" s="44">
        <f>IFERROR(VLOOKUP(A145,'FERC 2023'!$A$3:$CQ$231,95,0)+VLOOKUP(A145,'EIA 2023'!$A$3:$AE$231,31,0),0)</f>
        <v>0</v>
      </c>
      <c r="M145" s="44">
        <f t="shared" si="0"/>
        <v>1</v>
      </c>
    </row>
    <row r="146" spans="1:15" ht="15.75" customHeight="1">
      <c r="A146" s="7" t="s">
        <v>643</v>
      </c>
      <c r="B146" s="7" t="s">
        <v>644</v>
      </c>
      <c r="C146" s="6"/>
      <c r="D146" s="6">
        <f>IFERROR(VLOOKUP(A146,'FERC 2021'!$A$3:$CK$231,82,0),0)</f>
        <v>0</v>
      </c>
      <c r="E146" s="6">
        <f>IFERROR(VLOOKUP(A146,'FERC 2022'!$A$3:$CK$230,82,0),0)</f>
        <v>0</v>
      </c>
      <c r="F146" s="6">
        <f>IFERROR(VLOOKUP(A146,'FERC 2023'!$A$3:$CK$231,82,0),0)</f>
        <v>0</v>
      </c>
      <c r="G146" s="6">
        <f>IFERROR(VLOOKUP(A146,'EIA 2021'!$A$2:$AA$268,27,0),0)</f>
        <v>0</v>
      </c>
      <c r="H146" s="6">
        <f>IFERROR(VLOOKUP(A146,'EIA 2022'!$A$2:$AA$268,27,0),0)</f>
        <v>0</v>
      </c>
      <c r="I146" s="6">
        <f>IFERROR(VLOOKUP(A146,'EIA 2023'!$A$2:$AA$268,27,0),0)</f>
        <v>0</v>
      </c>
      <c r="J146" s="29">
        <f>IFERROR(VLOOKUP(A146,'FERC 2021'!$A$3:$CQ$231,95,0)+VLOOKUP(A146,'EIA 2021'!$A$3:$AE$231,31,0),0)</f>
        <v>0</v>
      </c>
      <c r="K146" s="44">
        <f>IFERROR(VLOOKUP(A146,'FERC 2022'!$A$3:$CQ$230,95,0)+VLOOKUP(A146,'EIA 2022'!$A$3:$AE$231,31,0),0)</f>
        <v>0</v>
      </c>
      <c r="L146" s="44">
        <f>IFERROR(VLOOKUP(A146,'FERC 2023'!$A$3:$CQ$231,95,0)+VLOOKUP(A146,'EIA 2023'!$A$3:$AE$231,31,0),0)</f>
        <v>0</v>
      </c>
      <c r="M146" s="44" t="str">
        <f t="shared" si="0"/>
        <v/>
      </c>
    </row>
    <row r="147" spans="1:15" ht="15.75" customHeight="1">
      <c r="A147" s="7" t="s">
        <v>646</v>
      </c>
      <c r="B147" s="7" t="s">
        <v>647</v>
      </c>
      <c r="C147" s="6"/>
      <c r="D147" s="6">
        <f>IFERROR(VLOOKUP(A147,'FERC 2021'!$A$3:$CK$231,82,0),0)</f>
        <v>0</v>
      </c>
      <c r="E147" s="6">
        <f>IFERROR(VLOOKUP(A147,'FERC 2022'!$A$3:$CK$230,82,0),0)</f>
        <v>0</v>
      </c>
      <c r="F147" s="6">
        <f>IFERROR(VLOOKUP(A147,'FERC 2023'!$A$3:$CK$231,82,0),0)</f>
        <v>0</v>
      </c>
      <c r="G147" s="6">
        <f>IFERROR(VLOOKUP(A147,'EIA 2021'!$A$2:$AA$268,27,0),0)</f>
        <v>0</v>
      </c>
      <c r="H147" s="6">
        <f>IFERROR(VLOOKUP(A147,'EIA 2022'!$A$2:$AA$268,27,0),0)</f>
        <v>0</v>
      </c>
      <c r="I147" s="6">
        <f>IFERROR(VLOOKUP(A147,'EIA 2023'!$A$2:$AA$268,27,0),0)</f>
        <v>0</v>
      </c>
      <c r="J147" s="29">
        <f>IFERROR(VLOOKUP(A147,'FERC 2021'!$A$3:$CQ$231,95,0)+VLOOKUP(A147,'EIA 2021'!$A$3:$AE$231,31,0),0)</f>
        <v>0</v>
      </c>
      <c r="K147" s="44">
        <f>IFERROR(VLOOKUP(A147,'FERC 2022'!$A$3:$CQ$230,95,0)+VLOOKUP(A147,'EIA 2022'!$A$3:$AE$231,31,0),0)</f>
        <v>0</v>
      </c>
      <c r="L147" s="44">
        <f>IFERROR(VLOOKUP(A147,'FERC 2023'!$A$3:$CQ$231,95,0)+VLOOKUP(A147,'EIA 2023'!$A$3:$AE$231,31,0),0)</f>
        <v>0</v>
      </c>
      <c r="M147" s="44" t="str">
        <f t="shared" si="0"/>
        <v/>
      </c>
      <c r="N147" s="44" t="s">
        <v>1399</v>
      </c>
      <c r="O147" s="44"/>
    </row>
    <row r="148" spans="1:15" ht="15.75" customHeight="1">
      <c r="A148" s="7" t="s">
        <v>649</v>
      </c>
      <c r="B148" s="7" t="s">
        <v>650</v>
      </c>
      <c r="C148" s="6"/>
      <c r="D148" s="6">
        <f>IFERROR(VLOOKUP(A148,'FERC 2021'!$A$3:$CK$231,82,0),0)</f>
        <v>1</v>
      </c>
      <c r="E148" s="6">
        <f>IFERROR(VLOOKUP(A148,'FERC 2022'!$A$3:$CK$230,82,0),0)</f>
        <v>1</v>
      </c>
      <c r="F148" s="6">
        <f>IFERROR(VLOOKUP(A148,'FERC 2023'!$A$3:$CK$231,82,0),0)</f>
        <v>1</v>
      </c>
      <c r="G148" s="6">
        <f>IFERROR(VLOOKUP(A148,'EIA 2021'!$A$2:$AA$268,27,0),0)</f>
        <v>2</v>
      </c>
      <c r="H148" s="6">
        <f>IFERROR(VLOOKUP(A148,'EIA 2022'!$A$2:$AA$268,27,0),0)</f>
        <v>2</v>
      </c>
      <c r="I148" s="6">
        <f>IFERROR(VLOOKUP(A148,'EIA 2023'!$A$2:$AA$268,27,0),0)</f>
        <v>2</v>
      </c>
      <c r="J148" s="29">
        <f>IFERROR(VLOOKUP(A148,'FERC 2021'!$A$3:$CQ$231,95,0)+VLOOKUP(A148,'EIA 2021'!$A$3:$AE$231,31,0),0)</f>
        <v>0</v>
      </c>
      <c r="K148" s="44">
        <f>IFERROR(VLOOKUP(A148,'FERC 2022'!$A$3:$CQ$230,95,0)+VLOOKUP(A148,'EIA 2022'!$A$3:$AE$231,31,0),0)</f>
        <v>0</v>
      </c>
      <c r="L148" s="44">
        <f>IFERROR(VLOOKUP(A148,'FERC 2023'!$A$3:$CQ$231,95,0)+VLOOKUP(A148,'EIA 2023'!$A$3:$AE$231,31,0),0)</f>
        <v>0</v>
      </c>
      <c r="M148" s="44">
        <f t="shared" si="0"/>
        <v>1</v>
      </c>
    </row>
    <row r="149" spans="1:15" ht="15.75" customHeight="1">
      <c r="A149" s="7" t="s">
        <v>652</v>
      </c>
      <c r="B149" s="7" t="s">
        <v>653</v>
      </c>
      <c r="C149" s="6"/>
      <c r="D149" s="6">
        <f>IFERROR(VLOOKUP(A149,'FERC 2021'!$A$3:$CK$231,82,0),0)</f>
        <v>1</v>
      </c>
      <c r="E149" s="6">
        <f>IFERROR(VLOOKUP(A149,'FERC 2022'!$A$3:$CK$230,82,0),0)</f>
        <v>1</v>
      </c>
      <c r="F149" s="6">
        <f>IFERROR(VLOOKUP(A149,'FERC 2023'!$A$3:$CK$231,82,0),0)</f>
        <v>1</v>
      </c>
      <c r="G149" s="6">
        <f>IFERROR(VLOOKUP(A149,'EIA 2021'!$A$2:$AA$268,27,0),0)</f>
        <v>2</v>
      </c>
      <c r="H149" s="6">
        <f>IFERROR(VLOOKUP(A149,'EIA 2022'!$A$2:$AA$268,27,0),0)</f>
        <v>2</v>
      </c>
      <c r="I149" s="6">
        <f>IFERROR(VLOOKUP(A149,'EIA 2023'!$A$2:$AA$268,27,0),0)</f>
        <v>2</v>
      </c>
      <c r="J149" s="29">
        <f>IFERROR(VLOOKUP(A149,'FERC 2021'!$A$3:$CQ$231,95,0)+VLOOKUP(A149,'EIA 2021'!$A$3:$AE$231,31,0),0)</f>
        <v>0</v>
      </c>
      <c r="K149" s="44">
        <f>IFERROR(VLOOKUP(A149,'FERC 2022'!$A$3:$CQ$230,95,0)+VLOOKUP(A149,'EIA 2022'!$A$3:$AE$231,31,0),0)</f>
        <v>0</v>
      </c>
      <c r="L149" s="44">
        <f>IFERROR(VLOOKUP(A149,'FERC 2023'!$A$3:$CQ$231,95,0)+VLOOKUP(A149,'EIA 2023'!$A$3:$AE$231,31,0),0)</f>
        <v>0</v>
      </c>
      <c r="M149" s="44">
        <f t="shared" si="0"/>
        <v>1</v>
      </c>
    </row>
    <row r="150" spans="1:15" ht="15.75" customHeight="1">
      <c r="A150" s="7" t="s">
        <v>655</v>
      </c>
      <c r="B150" s="7" t="s">
        <v>656</v>
      </c>
      <c r="C150" s="6"/>
      <c r="D150" s="6">
        <f>IFERROR(VLOOKUP(A150,'FERC 2021'!$A$3:$CK$231,82,0),0)</f>
        <v>1</v>
      </c>
      <c r="E150" s="6">
        <f>IFERROR(VLOOKUP(A150,'FERC 2022'!$A$3:$CK$230,82,0),0)</f>
        <v>1</v>
      </c>
      <c r="F150" s="6">
        <f>IFERROR(VLOOKUP(A150,'FERC 2023'!$A$3:$CK$231,82,0),0)</f>
        <v>1</v>
      </c>
      <c r="G150" s="6">
        <f>IFERROR(VLOOKUP(A150,'EIA 2021'!$A$2:$AA$268,27,0),0)</f>
        <v>2</v>
      </c>
      <c r="H150" s="6">
        <f>IFERROR(VLOOKUP(A150,'EIA 2022'!$A$2:$AA$268,27,0),0)</f>
        <v>2</v>
      </c>
      <c r="I150" s="6">
        <f>IFERROR(VLOOKUP(A150,'EIA 2023'!$A$2:$AA$268,27,0),0)</f>
        <v>2</v>
      </c>
      <c r="J150" s="29">
        <f>IFERROR(VLOOKUP(A150,'FERC 2021'!$A$3:$CQ$231,95,0)+VLOOKUP(A150,'EIA 2021'!$A$3:$AE$231,31,0),0)</f>
        <v>0</v>
      </c>
      <c r="K150" s="44">
        <f>IFERROR(VLOOKUP(A150,'FERC 2022'!$A$3:$CQ$230,95,0)+VLOOKUP(A150,'EIA 2022'!$A$3:$AE$231,31,0),0)</f>
        <v>0</v>
      </c>
      <c r="L150" s="44">
        <f>IFERROR(VLOOKUP(A150,'FERC 2023'!$A$3:$CQ$231,95,0)+VLOOKUP(A150,'EIA 2023'!$A$3:$AE$231,31,0),0)</f>
        <v>0</v>
      </c>
      <c r="M150" s="44">
        <f t="shared" si="0"/>
        <v>1</v>
      </c>
      <c r="N150" s="7"/>
    </row>
    <row r="151" spans="1:15" ht="15.75" customHeight="1">
      <c r="A151" s="7" t="s">
        <v>658</v>
      </c>
      <c r="B151" s="7" t="s">
        <v>659</v>
      </c>
      <c r="C151" s="6"/>
      <c r="D151" s="6">
        <f>IFERROR(VLOOKUP(A151,'FERC 2021'!$A$3:$CK$231,82,0),0)</f>
        <v>0</v>
      </c>
      <c r="E151" s="6">
        <f>IFERROR(VLOOKUP(A151,'FERC 2022'!$A$3:$CK$230,82,0),0)</f>
        <v>0</v>
      </c>
      <c r="F151" s="6">
        <f>IFERROR(VLOOKUP(A151,'FERC 2023'!$A$3:$CK$231,82,0),0)</f>
        <v>0</v>
      </c>
      <c r="G151" s="6">
        <f>IFERROR(VLOOKUP(A151,'EIA 2021'!$A$2:$AA$268,27,0),0)</f>
        <v>2</v>
      </c>
      <c r="H151" s="6">
        <f>IFERROR(VLOOKUP(A151,'EIA 2022'!$A$2:$AA$268,27,0),0)</f>
        <v>2</v>
      </c>
      <c r="I151" s="6">
        <f>IFERROR(VLOOKUP(A151,'EIA 2023'!$A$2:$AA$268,27,0),0)</f>
        <v>2</v>
      </c>
      <c r="J151" s="29">
        <f>IFERROR(VLOOKUP(A151,'FERC 2021'!$A$3:$CQ$231,95,0)+VLOOKUP(A151,'EIA 2021'!$A$3:$AE$231,31,0),0)</f>
        <v>0</v>
      </c>
      <c r="K151" s="44">
        <f>IFERROR(VLOOKUP(A151,'FERC 2022'!$A$3:$CQ$230,95,0)+VLOOKUP(A151,'EIA 2022'!$A$3:$AE$231,31,0),0)</f>
        <v>0</v>
      </c>
      <c r="L151" s="44">
        <f>IFERROR(VLOOKUP(A151,'FERC 2023'!$A$3:$CQ$231,95,0)+VLOOKUP(A151,'EIA 2023'!$A$3:$AE$231,31,0),0)</f>
        <v>0</v>
      </c>
      <c r="M151" s="44" t="str">
        <f t="shared" si="0"/>
        <v/>
      </c>
    </row>
    <row r="152" spans="1:15" ht="15.75" customHeight="1">
      <c r="A152" s="7" t="s">
        <v>661</v>
      </c>
      <c r="B152" s="7" t="s">
        <v>662</v>
      </c>
      <c r="C152" s="6"/>
      <c r="D152" s="6">
        <f>IFERROR(VLOOKUP(A152,'FERC 2021'!$A$3:$CK$231,82,0),0)</f>
        <v>1</v>
      </c>
      <c r="E152" s="6">
        <f>IFERROR(VLOOKUP(A152,'FERC 2022'!$A$3:$CK$230,82,0),0)</f>
        <v>1</v>
      </c>
      <c r="F152" s="6">
        <f>IFERROR(VLOOKUP(A152,'FERC 2023'!$A$3:$CK$231,82,0),0)</f>
        <v>1</v>
      </c>
      <c r="G152" s="6">
        <f>IFERROR(VLOOKUP(A152,'EIA 2021'!$A$2:$AA$268,27,0),0)</f>
        <v>0</v>
      </c>
      <c r="H152" s="6">
        <f>IFERROR(VLOOKUP(A152,'EIA 2022'!$A$2:$AA$268,27,0),0)</f>
        <v>0</v>
      </c>
      <c r="I152" s="6">
        <f>IFERROR(VLOOKUP(A152,'EIA 2023'!$A$2:$AA$268,27,0),0)</f>
        <v>0</v>
      </c>
      <c r="J152" s="29">
        <f>IFERROR(VLOOKUP(A152,'FERC 2021'!$A$3:$CQ$231,95,0)+VLOOKUP(A152,'EIA 2021'!$A$3:$AE$231,31,0),0)</f>
        <v>0</v>
      </c>
      <c r="K152" s="44">
        <f>IFERROR(VLOOKUP(A152,'FERC 2022'!$A$3:$CQ$230,95,0)+VLOOKUP(A152,'EIA 2022'!$A$3:$AE$231,31,0),0)</f>
        <v>0</v>
      </c>
      <c r="L152" s="44">
        <f>IFERROR(VLOOKUP(A152,'FERC 2023'!$A$3:$CQ$231,95,0)+VLOOKUP(A152,'EIA 2023'!$A$3:$AE$231,31,0),0)</f>
        <v>0</v>
      </c>
      <c r="M152" s="44" t="str">
        <f t="shared" si="0"/>
        <v/>
      </c>
      <c r="N152" s="99" t="s">
        <v>1400</v>
      </c>
      <c r="O152" s="99"/>
    </row>
    <row r="153" spans="1:15" ht="15.75" customHeight="1">
      <c r="A153" s="7" t="s">
        <v>664</v>
      </c>
      <c r="B153" s="7" t="s">
        <v>665</v>
      </c>
      <c r="C153" s="6"/>
      <c r="D153" s="6">
        <f>IFERROR(VLOOKUP(A153,'FERC 2021'!$A$3:$CK$231,82,0),0)</f>
        <v>0</v>
      </c>
      <c r="E153" s="6">
        <f>IFERROR(VLOOKUP(A153,'FERC 2022'!$A$3:$CK$230,82,0),0)</f>
        <v>0</v>
      </c>
      <c r="F153" s="6">
        <f>IFERROR(VLOOKUP(A153,'FERC 2023'!$A$3:$CK$231,82,0),0)</f>
        <v>0</v>
      </c>
      <c r="G153" s="6">
        <f>IFERROR(VLOOKUP(A153,'EIA 2021'!$A$2:$AA$268,27,0),0)</f>
        <v>0</v>
      </c>
      <c r="H153" s="6">
        <f>IFERROR(VLOOKUP(A153,'EIA 2022'!$A$2:$AA$268,27,0),0)</f>
        <v>0</v>
      </c>
      <c r="I153" s="6">
        <f>IFERROR(VLOOKUP(A153,'EIA 2023'!$A$2:$AA$268,27,0),0)</f>
        <v>0</v>
      </c>
      <c r="J153" s="29">
        <f>IFERROR(VLOOKUP(A153,'FERC 2021'!$A$3:$CQ$231,95,0)+VLOOKUP(A153,'EIA 2021'!$A$3:$AE$231,31,0),0)</f>
        <v>0</v>
      </c>
      <c r="K153" s="44">
        <f>IFERROR(VLOOKUP(A153,'FERC 2022'!$A$3:$CQ$230,95,0)+VLOOKUP(A153,'EIA 2022'!$A$3:$AE$231,31,0),0)</f>
        <v>0</v>
      </c>
      <c r="L153" s="44">
        <f>IFERROR(VLOOKUP(A153,'FERC 2023'!$A$3:$CQ$231,95,0)+VLOOKUP(A153,'EIA 2023'!$A$3:$AE$231,31,0),0)</f>
        <v>0</v>
      </c>
      <c r="M153" s="44" t="str">
        <f t="shared" si="0"/>
        <v/>
      </c>
    </row>
    <row r="154" spans="1:15" ht="15.75" customHeight="1">
      <c r="A154" s="7" t="s">
        <v>667</v>
      </c>
      <c r="B154" s="7" t="s">
        <v>668</v>
      </c>
      <c r="C154" s="6"/>
      <c r="D154" s="6">
        <f>IFERROR(VLOOKUP(A154,'FERC 2021'!$A$3:$CK$231,82,0),0)</f>
        <v>0</v>
      </c>
      <c r="E154" s="6">
        <f>IFERROR(VLOOKUP(A154,'FERC 2022'!$A$3:$CK$230,82,0),0)</f>
        <v>0</v>
      </c>
      <c r="F154" s="6">
        <f>IFERROR(VLOOKUP(A154,'FERC 2023'!$A$3:$CK$231,82,0),0)</f>
        <v>0</v>
      </c>
      <c r="G154" s="6">
        <f>IFERROR(VLOOKUP(A154,'EIA 2021'!$A$2:$AA$268,27,0),0)</f>
        <v>0</v>
      </c>
      <c r="H154" s="6">
        <f>IFERROR(VLOOKUP(A154,'EIA 2022'!$A$2:$AA$268,27,0),0)</f>
        <v>0</v>
      </c>
      <c r="I154" s="6">
        <f>IFERROR(VLOOKUP(A154,'EIA 2023'!$A$2:$AA$268,27,0),0)</f>
        <v>0</v>
      </c>
      <c r="J154" s="29">
        <f>IFERROR(VLOOKUP(A154,'FERC 2021'!$A$3:$CQ$231,95,0)+VLOOKUP(A154,'EIA 2021'!$A$3:$AE$231,31,0),0)</f>
        <v>0</v>
      </c>
      <c r="K154" s="44">
        <f>IFERROR(VLOOKUP(A154,'FERC 2022'!$A$3:$CQ$230,95,0)+VLOOKUP(A154,'EIA 2022'!$A$3:$AE$231,31,0),0)</f>
        <v>0</v>
      </c>
      <c r="L154" s="44">
        <f>IFERROR(VLOOKUP(A154,'FERC 2023'!$A$3:$CQ$231,95,0)+VLOOKUP(A154,'EIA 2023'!$A$3:$AE$231,31,0),0)</f>
        <v>0</v>
      </c>
      <c r="M154" s="44" t="str">
        <f t="shared" si="0"/>
        <v/>
      </c>
    </row>
    <row r="155" spans="1:15" ht="15.75" customHeight="1">
      <c r="A155" s="7" t="s">
        <v>670</v>
      </c>
      <c r="B155" s="7" t="s">
        <v>671</v>
      </c>
      <c r="C155" s="6"/>
      <c r="D155" s="6">
        <f>IFERROR(VLOOKUP(A155,'FERC 2021'!$A$3:$CK$231,82,0),0)</f>
        <v>1</v>
      </c>
      <c r="E155" s="6">
        <f>IFERROR(VLOOKUP(A155,'FERC 2022'!$A$3:$CK$230,82,0),0)</f>
        <v>1</v>
      </c>
      <c r="F155" s="6">
        <f>IFERROR(VLOOKUP(A155,'FERC 2023'!$A$3:$CK$231,82,0),0)</f>
        <v>1</v>
      </c>
      <c r="G155" s="6">
        <f>IFERROR(VLOOKUP(A155,'EIA 2021'!$A$2:$AA$268,27,0),0)</f>
        <v>2</v>
      </c>
      <c r="H155" s="6">
        <f>IFERROR(VLOOKUP(A155,'EIA 2022'!$A$2:$AA$268,27,0),0)</f>
        <v>2</v>
      </c>
      <c r="I155" s="6">
        <f>IFERROR(VLOOKUP(A155,'EIA 2023'!$A$2:$AA$268,27,0),0)</f>
        <v>2</v>
      </c>
      <c r="J155" s="29">
        <f>IFERROR(VLOOKUP(A155,'FERC 2021'!$A$3:$CQ$231,95,0)+VLOOKUP(A155,'EIA 2021'!$A$3:$AE$231,31,0),0)</f>
        <v>0</v>
      </c>
      <c r="K155" s="44">
        <f>IFERROR(VLOOKUP(A155,'FERC 2022'!$A$3:$CQ$230,95,0)+VLOOKUP(A155,'EIA 2022'!$A$3:$AE$231,31,0),0)</f>
        <v>0</v>
      </c>
      <c r="L155" s="44">
        <f>IFERROR(VLOOKUP(A155,'FERC 2023'!$A$3:$CQ$231,95,0)+VLOOKUP(A155,'EIA 2023'!$A$3:$AE$231,31,0),0)</f>
        <v>0</v>
      </c>
      <c r="M155" s="44">
        <f t="shared" si="0"/>
        <v>1</v>
      </c>
    </row>
    <row r="156" spans="1:15" ht="15.75" customHeight="1">
      <c r="A156" s="7" t="s">
        <v>673</v>
      </c>
      <c r="B156" s="7" t="s">
        <v>674</v>
      </c>
      <c r="C156" s="6"/>
      <c r="D156" s="6">
        <f>IFERROR(VLOOKUP(A156,'FERC 2021'!$A$3:$CK$231,82,0),0)</f>
        <v>0</v>
      </c>
      <c r="E156" s="6">
        <f>IFERROR(VLOOKUP(A156,'FERC 2022'!$A$3:$CK$230,82,0),0)</f>
        <v>0</v>
      </c>
      <c r="F156" s="6">
        <f>IFERROR(VLOOKUP(A156,'FERC 2023'!$A$3:$CK$231,82,0),0)</f>
        <v>0</v>
      </c>
      <c r="G156" s="6">
        <f>IFERROR(VLOOKUP(A156,'EIA 2021'!$A$2:$AA$268,27,0),0)</f>
        <v>0</v>
      </c>
      <c r="H156" s="6">
        <f>IFERROR(VLOOKUP(A156,'EIA 2022'!$A$2:$AA$268,27,0),0)</f>
        <v>0</v>
      </c>
      <c r="I156" s="6">
        <f>IFERROR(VLOOKUP(A156,'EIA 2023'!$A$2:$AA$268,27,0),0)</f>
        <v>0</v>
      </c>
      <c r="J156" s="29">
        <f>IFERROR(VLOOKUP(A156,'FERC 2021'!$A$3:$CQ$231,95,0)+VLOOKUP(A156,'EIA 2021'!$A$3:$AE$231,31,0),0)</f>
        <v>0</v>
      </c>
      <c r="K156" s="44">
        <f>IFERROR(VLOOKUP(A156,'FERC 2022'!$A$3:$CQ$230,95,0)+VLOOKUP(A156,'EIA 2022'!$A$3:$AE$231,31,0),0)</f>
        <v>0</v>
      </c>
      <c r="L156" s="44">
        <f>IFERROR(VLOOKUP(A156,'FERC 2023'!$A$3:$CQ$231,95,0)+VLOOKUP(A156,'EIA 2023'!$A$3:$AE$231,31,0),0)</f>
        <v>0</v>
      </c>
      <c r="M156" s="44" t="str">
        <f t="shared" si="0"/>
        <v/>
      </c>
    </row>
    <row r="157" spans="1:15" ht="15.75" customHeight="1">
      <c r="A157" s="7" t="s">
        <v>676</v>
      </c>
      <c r="B157" s="7" t="s">
        <v>677</v>
      </c>
      <c r="C157" s="6"/>
      <c r="D157" s="6">
        <f>IFERROR(VLOOKUP(A157,'FERC 2021'!$A$3:$CK$231,82,0),0)</f>
        <v>0</v>
      </c>
      <c r="E157" s="6">
        <f>IFERROR(VLOOKUP(A157,'FERC 2022'!$A$3:$CK$230,82,0),0)</f>
        <v>0</v>
      </c>
      <c r="F157" s="6">
        <f>IFERROR(VLOOKUP(A157,'FERC 2023'!$A$3:$CK$231,82,0),0)</f>
        <v>0</v>
      </c>
      <c r="G157" s="6">
        <f>IFERROR(VLOOKUP(A157,'EIA 2021'!$A$2:$AA$268,27,0),0)</f>
        <v>0</v>
      </c>
      <c r="H157" s="6">
        <f>IFERROR(VLOOKUP(A157,'EIA 2022'!$A$2:$AA$268,27,0),0)</f>
        <v>0</v>
      </c>
      <c r="I157" s="6">
        <f>IFERROR(VLOOKUP(A157,'EIA 2023'!$A$2:$AA$268,27,0),0)</f>
        <v>0</v>
      </c>
      <c r="J157" s="29">
        <f>IFERROR(VLOOKUP(A157,'FERC 2021'!$A$3:$CQ$231,95,0)+VLOOKUP(A157,'EIA 2021'!$A$3:$AE$231,31,0),0)</f>
        <v>0</v>
      </c>
      <c r="K157" s="44">
        <f>IFERROR(VLOOKUP(A157,'FERC 2022'!$A$3:$CQ$230,95,0)+VLOOKUP(A157,'EIA 2022'!$A$3:$AE$231,31,0),0)</f>
        <v>0</v>
      </c>
      <c r="L157" s="44">
        <f>IFERROR(VLOOKUP(A157,'FERC 2023'!$A$3:$CQ$231,95,0)+VLOOKUP(A157,'EIA 2023'!$A$3:$AE$231,31,0),0)</f>
        <v>0</v>
      </c>
      <c r="M157" s="44" t="str">
        <f t="shared" si="0"/>
        <v/>
      </c>
    </row>
    <row r="158" spans="1:15" ht="15.75" customHeight="1">
      <c r="A158" s="7" t="s">
        <v>679</v>
      </c>
      <c r="B158" s="7" t="s">
        <v>680</v>
      </c>
      <c r="C158" s="6"/>
      <c r="D158" s="6">
        <f>IFERROR(VLOOKUP(A158,'FERC 2021'!$A$3:$CK$231,82,0),0)</f>
        <v>0</v>
      </c>
      <c r="E158" s="6">
        <f>IFERROR(VLOOKUP(A158,'FERC 2022'!$A$3:$CK$230,82,0),0)</f>
        <v>0</v>
      </c>
      <c r="F158" s="6">
        <f>IFERROR(VLOOKUP(A158,'FERC 2023'!$A$3:$CK$231,82,0),0)</f>
        <v>0</v>
      </c>
      <c r="G158" s="6">
        <f>IFERROR(VLOOKUP(A158,'EIA 2021'!$A$2:$AA$268,27,0),0)</f>
        <v>0</v>
      </c>
      <c r="H158" s="6">
        <f>IFERROR(VLOOKUP(A158,'EIA 2022'!$A$2:$AA$268,27,0),0)</f>
        <v>0</v>
      </c>
      <c r="I158" s="6">
        <f>IFERROR(VLOOKUP(A158,'EIA 2023'!$A$2:$AA$268,27,0),0)</f>
        <v>0</v>
      </c>
      <c r="J158" s="29">
        <f>IFERROR(VLOOKUP(A158,'FERC 2021'!$A$3:$CQ$231,95,0)+VLOOKUP(A158,'EIA 2021'!$A$3:$AE$231,31,0),0)</f>
        <v>0</v>
      </c>
      <c r="K158" s="44">
        <f>IFERROR(VLOOKUP(A158,'FERC 2022'!$A$3:$CQ$230,95,0)+VLOOKUP(A158,'EIA 2022'!$A$3:$AE$231,31,0),0)</f>
        <v>0</v>
      </c>
      <c r="L158" s="44">
        <f>IFERROR(VLOOKUP(A158,'FERC 2023'!$A$3:$CQ$231,95,0)+VLOOKUP(A158,'EIA 2023'!$A$3:$AE$231,31,0),0)</f>
        <v>0</v>
      </c>
      <c r="M158" s="44" t="str">
        <f t="shared" si="0"/>
        <v/>
      </c>
    </row>
    <row r="159" spans="1:15" ht="15.75" customHeight="1">
      <c r="A159" s="7" t="s">
        <v>682</v>
      </c>
      <c r="B159" s="7" t="s">
        <v>683</v>
      </c>
      <c r="C159" s="6"/>
      <c r="D159" s="6">
        <f>IFERROR(VLOOKUP(A159,'FERC 2021'!$A$3:$CK$231,82,0),0)</f>
        <v>0</v>
      </c>
      <c r="E159" s="6">
        <f>IFERROR(VLOOKUP(A159,'FERC 2022'!$A$3:$CK$230,82,0),0)</f>
        <v>0</v>
      </c>
      <c r="F159" s="6">
        <f>IFERROR(VLOOKUP(A159,'FERC 2023'!$A$3:$CK$231,82,0),0)</f>
        <v>0</v>
      </c>
      <c r="G159" s="6">
        <f>IFERROR(VLOOKUP(A159,'EIA 2021'!$A$2:$AA$268,27,0),0)</f>
        <v>0</v>
      </c>
      <c r="H159" s="6">
        <f>IFERROR(VLOOKUP(A159,'EIA 2022'!$A$2:$AA$268,27,0),0)</f>
        <v>0</v>
      </c>
      <c r="I159" s="6">
        <f>IFERROR(VLOOKUP(A159,'EIA 2023'!$A$2:$AA$268,27,0),0)</f>
        <v>0</v>
      </c>
      <c r="J159" s="29">
        <f>IFERROR(VLOOKUP(A159,'FERC 2021'!$A$3:$CQ$231,95,0)+VLOOKUP(A159,'EIA 2021'!$A$3:$AE$231,31,0),0)</f>
        <v>0</v>
      </c>
      <c r="K159" s="44">
        <f>IFERROR(VLOOKUP(A159,'FERC 2022'!$A$3:$CQ$230,95,0)+VLOOKUP(A159,'EIA 2022'!$A$3:$AE$231,31,0),0)</f>
        <v>0</v>
      </c>
      <c r="L159" s="44">
        <f>IFERROR(VLOOKUP(A159,'FERC 2023'!$A$3:$CQ$231,95,0)+VLOOKUP(A159,'EIA 2023'!$A$3:$AE$231,31,0),0)</f>
        <v>0</v>
      </c>
      <c r="M159" s="44" t="str">
        <f t="shared" si="0"/>
        <v/>
      </c>
    </row>
    <row r="160" spans="1:15" ht="15.75" customHeight="1">
      <c r="A160" s="7" t="s">
        <v>685</v>
      </c>
      <c r="B160" s="7" t="s">
        <v>686</v>
      </c>
      <c r="C160" s="6"/>
      <c r="D160" s="6">
        <f>IFERROR(VLOOKUP(A160,'FERC 2021'!$A$3:$CK$231,82,0),0)</f>
        <v>0</v>
      </c>
      <c r="E160" s="6">
        <f>IFERROR(VLOOKUP(A160,'FERC 2022'!$A$3:$CK$230,82,0),0)</f>
        <v>0</v>
      </c>
      <c r="F160" s="6">
        <f>IFERROR(VLOOKUP(A160,'FERC 2023'!$A$3:$CK$231,82,0),0)</f>
        <v>0</v>
      </c>
      <c r="G160" s="6">
        <f>IFERROR(VLOOKUP(A160,'EIA 2021'!$A$2:$AA$268,27,0),0)</f>
        <v>0</v>
      </c>
      <c r="H160" s="6">
        <f>IFERROR(VLOOKUP(A160,'EIA 2022'!$A$2:$AA$268,27,0),0)</f>
        <v>0</v>
      </c>
      <c r="I160" s="6">
        <f>IFERROR(VLOOKUP(A160,'EIA 2023'!$A$2:$AA$268,27,0),0)</f>
        <v>0</v>
      </c>
      <c r="J160" s="29">
        <f>IFERROR(VLOOKUP(A160,'FERC 2021'!$A$3:$CQ$231,95,0)+VLOOKUP(A160,'EIA 2021'!$A$3:$AE$231,31,0),0)</f>
        <v>0</v>
      </c>
      <c r="K160" s="44">
        <f>IFERROR(VLOOKUP(A160,'FERC 2022'!$A$3:$CQ$230,95,0)+VLOOKUP(A160,'EIA 2022'!$A$3:$AE$231,31,0),0)</f>
        <v>0</v>
      </c>
      <c r="L160" s="44">
        <f>IFERROR(VLOOKUP(A160,'FERC 2023'!$A$3:$CQ$231,95,0)+VLOOKUP(A160,'EIA 2023'!$A$3:$AE$231,31,0),0)</f>
        <v>0</v>
      </c>
      <c r="M160" s="44" t="str">
        <f t="shared" si="0"/>
        <v/>
      </c>
    </row>
    <row r="161" spans="1:14" ht="15.75" customHeight="1">
      <c r="A161" s="7" t="s">
        <v>688</v>
      </c>
      <c r="B161" s="7" t="s">
        <v>689</v>
      </c>
      <c r="C161" s="6"/>
      <c r="D161" s="6">
        <f>IFERROR(VLOOKUP(A161,'FERC 2021'!$A$3:$CK$231,82,0),0)</f>
        <v>0</v>
      </c>
      <c r="E161" s="6">
        <f>IFERROR(VLOOKUP(A161,'FERC 2022'!$A$3:$CK$230,82,0),0)</f>
        <v>0</v>
      </c>
      <c r="F161" s="6">
        <f>IFERROR(VLOOKUP(A161,'FERC 2023'!$A$3:$CK$231,82,0),0)</f>
        <v>0</v>
      </c>
      <c r="G161" s="6">
        <f>IFERROR(VLOOKUP(A161,'EIA 2021'!$A$2:$AA$268,27,0),0)</f>
        <v>0</v>
      </c>
      <c r="H161" s="6">
        <f>IFERROR(VLOOKUP(A161,'EIA 2022'!$A$2:$AA$268,27,0),0)</f>
        <v>0</v>
      </c>
      <c r="I161" s="6">
        <f>IFERROR(VLOOKUP(A161,'EIA 2023'!$A$2:$AA$268,27,0),0)</f>
        <v>0</v>
      </c>
      <c r="J161" s="29">
        <f>IFERROR(VLOOKUP(A161,'FERC 2021'!$A$3:$CQ$231,95,0)+VLOOKUP(A161,'EIA 2021'!$A$3:$AE$231,31,0),0)</f>
        <v>0</v>
      </c>
      <c r="K161" s="44">
        <f>IFERROR(VLOOKUP(A161,'FERC 2022'!$A$3:$CQ$230,95,0)+VLOOKUP(A161,'EIA 2022'!$A$3:$AE$231,31,0),0)</f>
        <v>0</v>
      </c>
      <c r="L161" s="44">
        <f>IFERROR(VLOOKUP(A161,'FERC 2023'!$A$3:$CQ$231,95,0)+VLOOKUP(A161,'EIA 2023'!$A$3:$AE$231,31,0),0)</f>
        <v>0</v>
      </c>
      <c r="M161" s="44" t="str">
        <f t="shared" si="0"/>
        <v/>
      </c>
    </row>
    <row r="162" spans="1:14" ht="15.75" customHeight="1">
      <c r="A162" s="7" t="s">
        <v>691</v>
      </c>
      <c r="B162" s="7" t="s">
        <v>692</v>
      </c>
      <c r="C162" s="6"/>
      <c r="D162" s="6">
        <f>IFERROR(VLOOKUP(A162,'FERC 2021'!$A$3:$CK$231,82,0),0)</f>
        <v>0</v>
      </c>
      <c r="E162" s="6">
        <f>IFERROR(VLOOKUP(A162,'FERC 2022'!$A$3:$CK$230,82,0),0)</f>
        <v>0</v>
      </c>
      <c r="F162" s="6">
        <f>IFERROR(VLOOKUP(A162,'FERC 2023'!$A$3:$CK$231,82,0),0)</f>
        <v>0</v>
      </c>
      <c r="G162" s="6">
        <f>IFERROR(VLOOKUP(A162,'EIA 2021'!$A$2:$AA$268,27,0),0)</f>
        <v>0</v>
      </c>
      <c r="H162" s="6">
        <f>IFERROR(VLOOKUP(A162,'EIA 2022'!$A$2:$AA$268,27,0),0)</f>
        <v>0</v>
      </c>
      <c r="I162" s="6">
        <f>IFERROR(VLOOKUP(A162,'EIA 2023'!$A$2:$AA$268,27,0),0)</f>
        <v>0</v>
      </c>
      <c r="J162" s="29">
        <f>IFERROR(VLOOKUP(A162,'FERC 2021'!$A$3:$CQ$231,95,0)+VLOOKUP(A162,'EIA 2021'!$A$3:$AE$231,31,0),0)</f>
        <v>0</v>
      </c>
      <c r="K162" s="44">
        <f>IFERROR(VLOOKUP(A162,'FERC 2022'!$A$3:$CQ$230,95,0)+VLOOKUP(A162,'EIA 2022'!$A$3:$AE$231,31,0),0)</f>
        <v>0</v>
      </c>
      <c r="L162" s="44">
        <f>IFERROR(VLOOKUP(A162,'FERC 2023'!$A$3:$CQ$231,95,0)+VLOOKUP(A162,'EIA 2023'!$A$3:$AE$231,31,0),0)</f>
        <v>0</v>
      </c>
      <c r="M162" s="44" t="str">
        <f t="shared" si="0"/>
        <v/>
      </c>
    </row>
    <row r="163" spans="1:14" ht="15.75" customHeight="1">
      <c r="A163" s="7" t="s">
        <v>694</v>
      </c>
      <c r="B163" s="7" t="s">
        <v>695</v>
      </c>
      <c r="C163" s="6"/>
      <c r="D163" s="6">
        <f>IFERROR(VLOOKUP(A163,'FERC 2021'!$A$3:$CK$231,82,0),0)</f>
        <v>0</v>
      </c>
      <c r="E163" s="6">
        <f>IFERROR(VLOOKUP(A163,'FERC 2022'!$A$3:$CK$230,82,0),0)</f>
        <v>0</v>
      </c>
      <c r="F163" s="6">
        <f>IFERROR(VLOOKUP(A163,'FERC 2023'!$A$3:$CK$231,82,0),0)</f>
        <v>0</v>
      </c>
      <c r="G163" s="6">
        <f>IFERROR(VLOOKUP(A163,'EIA 2021'!$A$2:$AA$268,27,0),0)</f>
        <v>0</v>
      </c>
      <c r="H163" s="6">
        <f>IFERROR(VLOOKUP(A163,'EIA 2022'!$A$2:$AA$268,27,0),0)</f>
        <v>0</v>
      </c>
      <c r="I163" s="6">
        <f>IFERROR(VLOOKUP(A163,'EIA 2023'!$A$2:$AA$268,27,0),0)</f>
        <v>0</v>
      </c>
      <c r="J163" s="29">
        <f>IFERROR(VLOOKUP(A163,'FERC 2021'!$A$3:$CQ$231,95,0)+VLOOKUP(A163,'EIA 2021'!$A$3:$AE$231,31,0),0)</f>
        <v>0</v>
      </c>
      <c r="K163" s="44">
        <f>IFERROR(VLOOKUP(A163,'FERC 2022'!$A$3:$CQ$230,95,0)+VLOOKUP(A163,'EIA 2022'!$A$3:$AE$231,31,0),0)</f>
        <v>0</v>
      </c>
      <c r="L163" s="44">
        <f>IFERROR(VLOOKUP(A163,'FERC 2023'!$A$3:$CQ$231,95,0)+VLOOKUP(A163,'EIA 2023'!$A$3:$AE$231,31,0),0)</f>
        <v>0</v>
      </c>
      <c r="M163" s="44" t="str">
        <f t="shared" si="0"/>
        <v/>
      </c>
    </row>
    <row r="164" spans="1:14" ht="15.75" customHeight="1">
      <c r="A164" s="7" t="s">
        <v>697</v>
      </c>
      <c r="B164" s="7" t="s">
        <v>698</v>
      </c>
      <c r="C164" s="6"/>
      <c r="D164" s="6">
        <f>IFERROR(VLOOKUP(A164,'FERC 2021'!$A$3:$CK$231,82,0),0)</f>
        <v>1</v>
      </c>
      <c r="E164" s="6">
        <f>IFERROR(VLOOKUP(A164,'FERC 2022'!$A$3:$CK$230,82,0),0)</f>
        <v>1</v>
      </c>
      <c r="F164" s="6">
        <f>IFERROR(VLOOKUP(A164,'FERC 2023'!$A$3:$CK$231,82,0),0)</f>
        <v>1</v>
      </c>
      <c r="G164" s="6">
        <f>IFERROR(VLOOKUP(A164,'EIA 2021'!$A$2:$AA$268,27,0),0)</f>
        <v>2</v>
      </c>
      <c r="H164" s="6">
        <f>IFERROR(VLOOKUP(A164,'EIA 2022'!$A$2:$AA$268,27,0),0)</f>
        <v>2</v>
      </c>
      <c r="I164" s="6">
        <f>IFERROR(VLOOKUP(A164,'EIA 2023'!$A$2:$AA$268,27,0),0)</f>
        <v>2</v>
      </c>
      <c r="J164" s="29">
        <f>IFERROR(VLOOKUP(A164,'FERC 2021'!$A$3:$CQ$231,95,0)+VLOOKUP(A164,'EIA 2021'!$A$3:$AE$231,31,0),0)</f>
        <v>0</v>
      </c>
      <c r="K164" s="44">
        <f>IFERROR(VLOOKUP(A164,'FERC 2022'!$A$3:$CQ$230,95,0)+VLOOKUP(A164,'EIA 2022'!$A$3:$AE$231,31,0),0)</f>
        <v>0</v>
      </c>
      <c r="L164" s="44">
        <f>IFERROR(VLOOKUP(A164,'FERC 2023'!$A$3:$CQ$231,95,0)+VLOOKUP(A164,'EIA 2023'!$A$3:$AE$231,31,0),0)</f>
        <v>0</v>
      </c>
      <c r="M164" s="44">
        <f t="shared" si="0"/>
        <v>1</v>
      </c>
      <c r="N164" s="7"/>
    </row>
    <row r="165" spans="1:14" ht="15.75" customHeight="1">
      <c r="A165" s="7" t="s">
        <v>700</v>
      </c>
      <c r="B165" s="7" t="s">
        <v>701</v>
      </c>
      <c r="C165" s="6"/>
      <c r="D165" s="6">
        <f>IFERROR(VLOOKUP(A165,'FERC 2021'!$A$3:$CK$231,82,0),0)</f>
        <v>0</v>
      </c>
      <c r="E165" s="6">
        <f>IFERROR(VLOOKUP(A165,'FERC 2022'!$A$3:$CK$230,82,0),0)</f>
        <v>0</v>
      </c>
      <c r="F165" s="6">
        <f>IFERROR(VLOOKUP(A165,'FERC 2023'!$A$3:$CK$231,82,0),0)</f>
        <v>0</v>
      </c>
      <c r="G165" s="6">
        <f>IFERROR(VLOOKUP(A165,'EIA 2021'!$A$2:$AA$268,27,0),0)</f>
        <v>0</v>
      </c>
      <c r="H165" s="6">
        <f>IFERROR(VLOOKUP(A165,'EIA 2022'!$A$2:$AA$268,27,0),0)</f>
        <v>0</v>
      </c>
      <c r="I165" s="6">
        <f>IFERROR(VLOOKUP(A165,'EIA 2023'!$A$2:$AA$268,27,0),0)</f>
        <v>0</v>
      </c>
      <c r="J165" s="29">
        <f>IFERROR(VLOOKUP(A165,'FERC 2021'!$A$3:$CQ$231,95,0)+VLOOKUP(A165,'EIA 2021'!$A$3:$AE$231,31,0),0)</f>
        <v>0</v>
      </c>
      <c r="K165" s="44">
        <f>IFERROR(VLOOKUP(A165,'FERC 2022'!$A$3:$CQ$230,95,0)+VLOOKUP(A165,'EIA 2022'!$A$3:$AE$231,31,0),0)</f>
        <v>0</v>
      </c>
      <c r="L165" s="44">
        <f>IFERROR(VLOOKUP(A165,'FERC 2023'!$A$3:$CQ$231,95,0)+VLOOKUP(A165,'EIA 2023'!$A$3:$AE$231,31,0),0)</f>
        <v>0</v>
      </c>
      <c r="M165" s="44" t="str">
        <f t="shared" si="0"/>
        <v/>
      </c>
    </row>
    <row r="166" spans="1:14" ht="15.75" customHeight="1">
      <c r="A166" s="7" t="s">
        <v>703</v>
      </c>
      <c r="B166" s="7" t="s">
        <v>704</v>
      </c>
      <c r="C166" s="6"/>
      <c r="D166" s="6">
        <f>IFERROR(VLOOKUP(A166,'FERC 2021'!$A$3:$CK$231,82,0),0)</f>
        <v>0</v>
      </c>
      <c r="E166" s="6">
        <f>IFERROR(VLOOKUP(A166,'FERC 2022'!$A$3:$CK$230,82,0),0)</f>
        <v>0</v>
      </c>
      <c r="F166" s="6">
        <f>IFERROR(VLOOKUP(A166,'FERC 2023'!$A$3:$CK$231,82,0),0)</f>
        <v>0</v>
      </c>
      <c r="G166" s="6">
        <f>IFERROR(VLOOKUP(A166,'EIA 2021'!$A$2:$AA$268,27,0),0)</f>
        <v>0</v>
      </c>
      <c r="H166" s="6">
        <f>IFERROR(VLOOKUP(A166,'EIA 2022'!$A$2:$AA$268,27,0),0)</f>
        <v>0</v>
      </c>
      <c r="I166" s="6">
        <f>IFERROR(VLOOKUP(A166,'EIA 2023'!$A$2:$AA$268,27,0),0)</f>
        <v>0</v>
      </c>
      <c r="J166" s="29">
        <f>IFERROR(VLOOKUP(A166,'FERC 2021'!$A$3:$CQ$231,95,0)+VLOOKUP(A166,'EIA 2021'!$A$3:$AE$231,31,0),0)</f>
        <v>0</v>
      </c>
      <c r="K166" s="44">
        <f>IFERROR(VLOOKUP(A166,'FERC 2022'!$A$3:$CQ$230,95,0)+VLOOKUP(A166,'EIA 2022'!$A$3:$AE$231,31,0),0)</f>
        <v>0</v>
      </c>
      <c r="L166" s="44">
        <f>IFERROR(VLOOKUP(A166,'FERC 2023'!$A$3:$CQ$231,95,0)+VLOOKUP(A166,'EIA 2023'!$A$3:$AE$231,31,0),0)</f>
        <v>0</v>
      </c>
      <c r="M166" s="44" t="str">
        <f t="shared" si="0"/>
        <v/>
      </c>
    </row>
    <row r="167" spans="1:14" ht="15.75" customHeight="1">
      <c r="A167" s="7" t="s">
        <v>706</v>
      </c>
      <c r="B167" s="7" t="s">
        <v>707</v>
      </c>
      <c r="C167" s="6"/>
      <c r="D167" s="6">
        <f>IFERROR(VLOOKUP(A167,'FERC 2021'!$A$3:$CK$231,82,0),0)</f>
        <v>0</v>
      </c>
      <c r="E167" s="6">
        <f>IFERROR(VLOOKUP(A167,'FERC 2022'!$A$3:$CK$230,82,0),0)</f>
        <v>0</v>
      </c>
      <c r="F167" s="6">
        <f>IFERROR(VLOOKUP(A167,'FERC 2023'!$A$3:$CK$231,82,0),0)</f>
        <v>0</v>
      </c>
      <c r="G167" s="6">
        <f>IFERROR(VLOOKUP(A167,'EIA 2021'!$A$2:$AA$268,27,0),0)</f>
        <v>0</v>
      </c>
      <c r="H167" s="6">
        <f>IFERROR(VLOOKUP(A167,'EIA 2022'!$A$2:$AA$268,27,0),0)</f>
        <v>0</v>
      </c>
      <c r="I167" s="6">
        <f>IFERROR(VLOOKUP(A167,'EIA 2023'!$A$2:$AA$268,27,0),0)</f>
        <v>0</v>
      </c>
      <c r="J167" s="29">
        <f>IFERROR(VLOOKUP(A167,'FERC 2021'!$A$3:$CQ$231,95,0)+VLOOKUP(A167,'EIA 2021'!$A$3:$AE$231,31,0),0)</f>
        <v>0</v>
      </c>
      <c r="K167" s="44">
        <f>IFERROR(VLOOKUP(A167,'FERC 2022'!$A$3:$CQ$230,95,0)+VLOOKUP(A167,'EIA 2022'!$A$3:$AE$231,31,0),0)</f>
        <v>0</v>
      </c>
      <c r="L167" s="44">
        <f>IFERROR(VLOOKUP(A167,'FERC 2023'!$A$3:$CQ$231,95,0)+VLOOKUP(A167,'EIA 2023'!$A$3:$AE$231,31,0),0)</f>
        <v>0</v>
      </c>
      <c r="M167" s="44" t="str">
        <f t="shared" si="0"/>
        <v/>
      </c>
    </row>
    <row r="168" spans="1:14" ht="15.75" customHeight="1">
      <c r="A168" s="7" t="s">
        <v>709</v>
      </c>
      <c r="B168" s="7" t="s">
        <v>710</v>
      </c>
      <c r="C168" s="6"/>
      <c r="D168" s="6">
        <f>IFERROR(VLOOKUP(A168,'FERC 2021'!$A$3:$CK$231,82,0),0)</f>
        <v>0</v>
      </c>
      <c r="E168" s="6">
        <f>IFERROR(VLOOKUP(A168,'FERC 2022'!$A$3:$CK$230,82,0),0)</f>
        <v>0</v>
      </c>
      <c r="F168" s="6">
        <f>IFERROR(VLOOKUP(A168,'FERC 2023'!$A$3:$CK$231,82,0),0)</f>
        <v>0</v>
      </c>
      <c r="G168" s="6">
        <f>IFERROR(VLOOKUP(A168,'EIA 2021'!$A$2:$AA$268,27,0),0)</f>
        <v>0</v>
      </c>
      <c r="H168" s="6">
        <f>IFERROR(VLOOKUP(A168,'EIA 2022'!$A$2:$AA$268,27,0),0)</f>
        <v>0</v>
      </c>
      <c r="I168" s="6">
        <f>IFERROR(VLOOKUP(A168,'EIA 2023'!$A$2:$AA$268,27,0),0)</f>
        <v>0</v>
      </c>
      <c r="J168" s="29">
        <f>IFERROR(VLOOKUP(A168,'FERC 2021'!$A$3:$CQ$231,95,0)+VLOOKUP(A168,'EIA 2021'!$A$3:$AE$231,31,0),0)</f>
        <v>0</v>
      </c>
      <c r="K168" s="44">
        <f>IFERROR(VLOOKUP(A168,'FERC 2022'!$A$3:$CQ$230,95,0)+VLOOKUP(A168,'EIA 2022'!$A$3:$AE$231,31,0),0)</f>
        <v>0</v>
      </c>
      <c r="L168" s="44">
        <f>IFERROR(VLOOKUP(A168,'FERC 2023'!$A$3:$CQ$231,95,0)+VLOOKUP(A168,'EIA 2023'!$A$3:$AE$231,31,0),0)</f>
        <v>0</v>
      </c>
      <c r="M168" s="44" t="str">
        <f t="shared" si="0"/>
        <v/>
      </c>
    </row>
    <row r="169" spans="1:14" ht="15.75" customHeight="1">
      <c r="A169" s="7" t="s">
        <v>712</v>
      </c>
      <c r="B169" s="7" t="s">
        <v>713</v>
      </c>
      <c r="C169" s="6"/>
      <c r="D169" s="6">
        <f>IFERROR(VLOOKUP(A169,'FERC 2021'!$A$3:$CK$231,82,0),0)</f>
        <v>0</v>
      </c>
      <c r="E169" s="6">
        <f>IFERROR(VLOOKUP(A169,'FERC 2022'!$A$3:$CK$230,82,0),0)</f>
        <v>0</v>
      </c>
      <c r="F169" s="6">
        <f>IFERROR(VLOOKUP(A169,'FERC 2023'!$A$3:$CK$231,82,0),0)</f>
        <v>0</v>
      </c>
      <c r="G169" s="6">
        <f>IFERROR(VLOOKUP(A169,'EIA 2021'!$A$2:$AA$268,27,0),0)</f>
        <v>0</v>
      </c>
      <c r="H169" s="6">
        <f>IFERROR(VLOOKUP(A169,'EIA 2022'!$A$2:$AA$268,27,0),0)</f>
        <v>0</v>
      </c>
      <c r="I169" s="6">
        <f>IFERROR(VLOOKUP(A169,'EIA 2023'!$A$2:$AA$268,27,0),0)</f>
        <v>0</v>
      </c>
      <c r="J169" s="29">
        <f>IFERROR(VLOOKUP(A169,'FERC 2021'!$A$3:$CQ$231,95,0)+VLOOKUP(A169,'EIA 2021'!$A$3:$AE$231,31,0),0)</f>
        <v>0</v>
      </c>
      <c r="K169" s="44">
        <f>IFERROR(VLOOKUP(A169,'FERC 2022'!$A$3:$CQ$230,95,0)+VLOOKUP(A169,'EIA 2022'!$A$3:$AE$231,31,0),0)</f>
        <v>0</v>
      </c>
      <c r="L169" s="44">
        <f>IFERROR(VLOOKUP(A169,'FERC 2023'!$A$3:$CQ$231,95,0)+VLOOKUP(A169,'EIA 2023'!$A$3:$AE$231,31,0),0)</f>
        <v>0</v>
      </c>
      <c r="M169" s="44" t="str">
        <f t="shared" si="0"/>
        <v/>
      </c>
    </row>
    <row r="170" spans="1:14" ht="15.75" customHeight="1">
      <c r="A170" s="7" t="s">
        <v>715</v>
      </c>
      <c r="B170" s="7" t="s">
        <v>716</v>
      </c>
      <c r="C170" s="6"/>
      <c r="D170" s="6">
        <f>IFERROR(VLOOKUP(A170,'FERC 2021'!$A$3:$CK$231,82,0),0)</f>
        <v>0</v>
      </c>
      <c r="E170" s="6">
        <f>IFERROR(VLOOKUP(A170,'FERC 2022'!$A$3:$CK$230,82,0),0)</f>
        <v>0</v>
      </c>
      <c r="F170" s="6">
        <f>IFERROR(VLOOKUP(A170,'FERC 2023'!$A$3:$CK$231,82,0),0)</f>
        <v>0</v>
      </c>
      <c r="G170" s="6">
        <f>IFERROR(VLOOKUP(A170,'EIA 2021'!$A$2:$AA$268,27,0),0)</f>
        <v>0</v>
      </c>
      <c r="H170" s="6">
        <f>IFERROR(VLOOKUP(A170,'EIA 2022'!$A$2:$AA$268,27,0),0)</f>
        <v>0</v>
      </c>
      <c r="I170" s="6">
        <f>IFERROR(VLOOKUP(A170,'EIA 2023'!$A$2:$AA$268,27,0),0)</f>
        <v>0</v>
      </c>
      <c r="J170" s="29">
        <f>IFERROR(VLOOKUP(A170,'FERC 2021'!$A$3:$CQ$231,95,0)+VLOOKUP(A170,'EIA 2021'!$A$3:$AE$231,31,0),0)</f>
        <v>0</v>
      </c>
      <c r="K170" s="44">
        <f>IFERROR(VLOOKUP(A170,'FERC 2022'!$A$3:$CQ$230,95,0)+VLOOKUP(A170,'EIA 2022'!$A$3:$AE$231,31,0),0)</f>
        <v>0</v>
      </c>
      <c r="L170" s="44">
        <f>IFERROR(VLOOKUP(A170,'FERC 2023'!$A$3:$CQ$231,95,0)+VLOOKUP(A170,'EIA 2023'!$A$3:$AE$231,31,0),0)</f>
        <v>0</v>
      </c>
      <c r="M170" s="44" t="str">
        <f t="shared" si="0"/>
        <v/>
      </c>
    </row>
    <row r="171" spans="1:14" ht="15.75" customHeight="1">
      <c r="A171" s="7" t="s">
        <v>718</v>
      </c>
      <c r="B171" s="7" t="s">
        <v>719</v>
      </c>
      <c r="C171" s="6"/>
      <c r="D171" s="6">
        <f>IFERROR(VLOOKUP(A171,'FERC 2021'!$A$3:$CK$231,82,0),0)</f>
        <v>0</v>
      </c>
      <c r="E171" s="6">
        <f>IFERROR(VLOOKUP(A171,'FERC 2022'!$A$3:$CK$230,82,0),0)</f>
        <v>0</v>
      </c>
      <c r="F171" s="6">
        <f>IFERROR(VLOOKUP(A171,'FERC 2023'!$A$3:$CK$231,82,0),0)</f>
        <v>0</v>
      </c>
      <c r="G171" s="6">
        <f>IFERROR(VLOOKUP(A171,'EIA 2021'!$A$2:$AA$268,27,0),0)</f>
        <v>0</v>
      </c>
      <c r="H171" s="6">
        <f>IFERROR(VLOOKUP(A171,'EIA 2022'!$A$2:$AA$268,27,0),0)</f>
        <v>0</v>
      </c>
      <c r="I171" s="6">
        <f>IFERROR(VLOOKUP(A171,'EIA 2023'!$A$2:$AA$268,27,0),0)</f>
        <v>0</v>
      </c>
      <c r="J171" s="29">
        <f>IFERROR(VLOOKUP(A171,'FERC 2021'!$A$3:$CQ$231,95,0)+VLOOKUP(A171,'EIA 2021'!$A$3:$AE$231,31,0),0)</f>
        <v>0</v>
      </c>
      <c r="K171" s="44">
        <f>IFERROR(VLOOKUP(A171,'FERC 2022'!$A$3:$CQ$230,95,0)+VLOOKUP(A171,'EIA 2022'!$A$3:$AE$231,31,0),0)</f>
        <v>0</v>
      </c>
      <c r="L171" s="44">
        <f>IFERROR(VLOOKUP(A171,'FERC 2023'!$A$3:$CQ$231,95,0)+VLOOKUP(A171,'EIA 2023'!$A$3:$AE$231,31,0),0)</f>
        <v>0</v>
      </c>
      <c r="M171" s="44" t="str">
        <f t="shared" si="0"/>
        <v/>
      </c>
    </row>
    <row r="172" spans="1:14" ht="15.75" customHeight="1">
      <c r="A172" s="7" t="s">
        <v>721</v>
      </c>
      <c r="B172" s="7" t="s">
        <v>722</v>
      </c>
      <c r="C172" s="6"/>
      <c r="D172" s="6">
        <f>IFERROR(VLOOKUP(A172,'FERC 2021'!$A$3:$CK$231,82,0),0)</f>
        <v>0</v>
      </c>
      <c r="E172" s="6">
        <f>IFERROR(VLOOKUP(A172,'FERC 2022'!$A$3:$CK$230,82,0),0)</f>
        <v>0</v>
      </c>
      <c r="F172" s="6">
        <f>IFERROR(VLOOKUP(A172,'FERC 2023'!$A$3:$CK$231,82,0),0)</f>
        <v>0</v>
      </c>
      <c r="G172" s="6">
        <f>IFERROR(VLOOKUP(A172,'EIA 2021'!$A$2:$AA$268,27,0),0)</f>
        <v>0</v>
      </c>
      <c r="H172" s="6">
        <f>IFERROR(VLOOKUP(A172,'EIA 2022'!$A$2:$AA$268,27,0),0)</f>
        <v>0</v>
      </c>
      <c r="I172" s="6">
        <f>IFERROR(VLOOKUP(A172,'EIA 2023'!$A$2:$AA$268,27,0),0)</f>
        <v>0</v>
      </c>
      <c r="J172" s="29">
        <f>IFERROR(VLOOKUP(A172,'FERC 2021'!$A$3:$CQ$231,95,0)+VLOOKUP(A172,'EIA 2021'!$A$3:$AE$231,31,0),0)</f>
        <v>0</v>
      </c>
      <c r="K172" s="44">
        <f>IFERROR(VLOOKUP(A172,'FERC 2022'!$A$3:$CQ$230,95,0)+VLOOKUP(A172,'EIA 2022'!$A$3:$AE$231,31,0),0)</f>
        <v>0</v>
      </c>
      <c r="L172" s="44">
        <f>IFERROR(VLOOKUP(A172,'FERC 2023'!$A$3:$CQ$231,95,0)+VLOOKUP(A172,'EIA 2023'!$A$3:$AE$231,31,0),0)</f>
        <v>0</v>
      </c>
      <c r="M172" s="44" t="str">
        <f t="shared" si="0"/>
        <v/>
      </c>
    </row>
    <row r="173" spans="1:14" ht="15.75" customHeight="1">
      <c r="A173" s="7" t="s">
        <v>724</v>
      </c>
      <c r="B173" s="7" t="s">
        <v>725</v>
      </c>
      <c r="C173" s="6"/>
      <c r="D173" s="6">
        <f>IFERROR(VLOOKUP(A173,'FERC 2021'!$A$3:$CK$231,82,0),0)</f>
        <v>0</v>
      </c>
      <c r="E173" s="6">
        <f>IFERROR(VLOOKUP(A173,'FERC 2022'!$A$3:$CK$230,82,0),0)</f>
        <v>0</v>
      </c>
      <c r="F173" s="6">
        <f>IFERROR(VLOOKUP(A173,'FERC 2023'!$A$3:$CK$231,82,0),0)</f>
        <v>0</v>
      </c>
      <c r="G173" s="6">
        <f>IFERROR(VLOOKUP(A173,'EIA 2021'!$A$2:$AA$268,27,0),0)</f>
        <v>0</v>
      </c>
      <c r="H173" s="6">
        <f>IFERROR(VLOOKUP(A173,'EIA 2022'!$A$2:$AA$268,27,0),0)</f>
        <v>0</v>
      </c>
      <c r="I173" s="6">
        <f>IFERROR(VLOOKUP(A173,'EIA 2023'!$A$2:$AA$268,27,0),0)</f>
        <v>0</v>
      </c>
      <c r="J173" s="29">
        <f>IFERROR(VLOOKUP(A173,'FERC 2021'!$A$3:$CQ$231,95,0)+VLOOKUP(A173,'EIA 2021'!$A$3:$AE$231,31,0),0)</f>
        <v>0</v>
      </c>
      <c r="K173" s="44">
        <f>IFERROR(VLOOKUP(A173,'FERC 2022'!$A$3:$CQ$230,95,0)+VLOOKUP(A173,'EIA 2022'!$A$3:$AE$231,31,0),0)</f>
        <v>0</v>
      </c>
      <c r="L173" s="44">
        <f>IFERROR(VLOOKUP(A173,'FERC 2023'!$A$3:$CQ$231,95,0)+VLOOKUP(A173,'EIA 2023'!$A$3:$AE$231,31,0),0)</f>
        <v>0</v>
      </c>
      <c r="M173" s="44" t="str">
        <f t="shared" si="0"/>
        <v/>
      </c>
      <c r="N173" s="7" t="s">
        <v>1401</v>
      </c>
    </row>
    <row r="174" spans="1:14" ht="15.75" customHeight="1">
      <c r="A174" s="7" t="s">
        <v>727</v>
      </c>
      <c r="B174" s="7" t="s">
        <v>728</v>
      </c>
      <c r="C174" s="6"/>
      <c r="D174" s="6">
        <f>IFERROR(VLOOKUP(A174,'FERC 2021'!$A$3:$CK$231,82,0),0)</f>
        <v>0</v>
      </c>
      <c r="E174" s="6">
        <f>IFERROR(VLOOKUP(A174,'FERC 2022'!$A$3:$CK$230,82,0),0)</f>
        <v>0</v>
      </c>
      <c r="F174" s="6">
        <f>IFERROR(VLOOKUP(A174,'FERC 2023'!$A$3:$CK$231,82,0),0)</f>
        <v>0</v>
      </c>
      <c r="G174" s="6">
        <f>IFERROR(VLOOKUP(A174,'EIA 2021'!$A$2:$AA$268,27,0),0)</f>
        <v>0</v>
      </c>
      <c r="H174" s="6">
        <f>IFERROR(VLOOKUP(A174,'EIA 2022'!$A$2:$AA$268,27,0),0)</f>
        <v>0</v>
      </c>
      <c r="I174" s="6">
        <f>IFERROR(VLOOKUP(A174,'EIA 2023'!$A$2:$AA$268,27,0),0)</f>
        <v>0</v>
      </c>
      <c r="J174" s="29">
        <f>IFERROR(VLOOKUP(A174,'FERC 2021'!$A$3:$CQ$231,95,0)+VLOOKUP(A174,'EIA 2021'!$A$3:$AE$231,31,0),0)</f>
        <v>0</v>
      </c>
      <c r="K174" s="44">
        <f>IFERROR(VLOOKUP(A174,'FERC 2022'!$A$3:$CQ$230,95,0)+VLOOKUP(A174,'EIA 2022'!$A$3:$AE$231,31,0),0)</f>
        <v>0</v>
      </c>
      <c r="L174" s="44">
        <f>IFERROR(VLOOKUP(A174,'FERC 2023'!$A$3:$CQ$231,95,0)+VLOOKUP(A174,'EIA 2023'!$A$3:$AE$231,31,0),0)</f>
        <v>0</v>
      </c>
      <c r="M174" s="44" t="str">
        <f t="shared" si="0"/>
        <v/>
      </c>
    </row>
    <row r="175" spans="1:14" ht="15.75" customHeight="1">
      <c r="A175" s="7" t="s">
        <v>730</v>
      </c>
      <c r="B175" s="7" t="s">
        <v>731</v>
      </c>
      <c r="C175" s="6"/>
      <c r="D175" s="6">
        <f>IFERROR(VLOOKUP(A175,'FERC 2021'!$A$3:$CK$231,82,0),0)</f>
        <v>0</v>
      </c>
      <c r="E175" s="6">
        <f>IFERROR(VLOOKUP(A175,'FERC 2022'!$A$3:$CK$230,82,0),0)</f>
        <v>0</v>
      </c>
      <c r="F175" s="6">
        <f>IFERROR(VLOOKUP(A175,'FERC 2023'!$A$3:$CK$231,82,0),0)</f>
        <v>0</v>
      </c>
      <c r="G175" s="6">
        <f>IFERROR(VLOOKUP(A175,'EIA 2021'!$A$2:$AA$268,27,0),0)</f>
        <v>0</v>
      </c>
      <c r="H175" s="6">
        <f>IFERROR(VLOOKUP(A175,'EIA 2022'!$A$2:$AA$268,27,0),0)</f>
        <v>0</v>
      </c>
      <c r="I175" s="6">
        <f>IFERROR(VLOOKUP(A175,'EIA 2023'!$A$2:$AA$268,27,0),0)</f>
        <v>0</v>
      </c>
      <c r="J175" s="29">
        <f>IFERROR(VLOOKUP(A175,'FERC 2021'!$A$3:$CQ$231,95,0)+VLOOKUP(A175,'EIA 2021'!$A$3:$AE$231,31,0),0)</f>
        <v>0</v>
      </c>
      <c r="K175" s="44">
        <f>IFERROR(VLOOKUP(A175,'FERC 2022'!$A$3:$CQ$230,95,0)+VLOOKUP(A175,'EIA 2022'!$A$3:$AE$231,31,0),0)</f>
        <v>0</v>
      </c>
      <c r="L175" s="44">
        <f>IFERROR(VLOOKUP(A175,'FERC 2023'!$A$3:$CQ$231,95,0)+VLOOKUP(A175,'EIA 2023'!$A$3:$AE$231,31,0),0)</f>
        <v>0</v>
      </c>
      <c r="M175" s="44" t="str">
        <f t="shared" si="0"/>
        <v/>
      </c>
    </row>
    <row r="176" spans="1:14" ht="15.75" customHeight="1">
      <c r="A176" s="7" t="s">
        <v>733</v>
      </c>
      <c r="B176" s="7" t="s">
        <v>734</v>
      </c>
      <c r="C176" s="6"/>
      <c r="D176" s="6">
        <f>IFERROR(VLOOKUP(A176,'FERC 2021'!$A$3:$CK$231,82,0),0)</f>
        <v>0</v>
      </c>
      <c r="E176" s="6">
        <f>IFERROR(VLOOKUP(A176,'FERC 2022'!$A$3:$CK$230,82,0),0)</f>
        <v>0</v>
      </c>
      <c r="F176" s="6">
        <f>IFERROR(VLOOKUP(A176,'FERC 2023'!$A$3:$CK$231,82,0),0)</f>
        <v>0</v>
      </c>
      <c r="G176" s="6">
        <f>IFERROR(VLOOKUP(A176,'EIA 2021'!$A$2:$AA$268,27,0),0)</f>
        <v>0</v>
      </c>
      <c r="H176" s="6">
        <f>IFERROR(VLOOKUP(A176,'EIA 2022'!$A$2:$AA$268,27,0),0)</f>
        <v>0</v>
      </c>
      <c r="I176" s="6">
        <f>IFERROR(VLOOKUP(A176,'EIA 2023'!$A$2:$AA$268,27,0),0)</f>
        <v>0</v>
      </c>
      <c r="J176" s="29">
        <f>IFERROR(VLOOKUP(A176,'FERC 2021'!$A$3:$CQ$231,95,0)+VLOOKUP(A176,'EIA 2021'!$A$3:$AE$231,31,0),0)</f>
        <v>0</v>
      </c>
      <c r="K176" s="44">
        <f>IFERROR(VLOOKUP(A176,'FERC 2022'!$A$3:$CQ$230,95,0)+VLOOKUP(A176,'EIA 2022'!$A$3:$AE$231,31,0),0)</f>
        <v>0</v>
      </c>
      <c r="L176" s="44">
        <f>IFERROR(VLOOKUP(A176,'FERC 2023'!$A$3:$CQ$231,95,0)+VLOOKUP(A176,'EIA 2023'!$A$3:$AE$231,31,0),0)</f>
        <v>0</v>
      </c>
      <c r="M176" s="44" t="str">
        <f t="shared" si="0"/>
        <v/>
      </c>
    </row>
    <row r="177" spans="1:14" ht="15.75" customHeight="1">
      <c r="A177" s="7" t="s">
        <v>736</v>
      </c>
      <c r="B177" s="7" t="s">
        <v>737</v>
      </c>
      <c r="C177" s="6"/>
      <c r="D177" s="6">
        <f>IFERROR(VLOOKUP(A177,'FERC 2021'!$A$3:$CK$231,82,0),0)</f>
        <v>0</v>
      </c>
      <c r="E177" s="6">
        <f>IFERROR(VLOOKUP(A177,'FERC 2022'!$A$3:$CK$230,82,0),0)</f>
        <v>0</v>
      </c>
      <c r="F177" s="6">
        <f>IFERROR(VLOOKUP(A177,'FERC 2023'!$A$3:$CK$231,82,0),0)</f>
        <v>0</v>
      </c>
      <c r="G177" s="6">
        <f>IFERROR(VLOOKUP(A177,'EIA 2021'!$A$2:$AA$268,27,0),0)</f>
        <v>0</v>
      </c>
      <c r="H177" s="6">
        <f>IFERROR(VLOOKUP(A177,'EIA 2022'!$A$2:$AA$268,27,0),0)</f>
        <v>0</v>
      </c>
      <c r="I177" s="6">
        <f>IFERROR(VLOOKUP(A177,'EIA 2023'!$A$2:$AA$268,27,0),0)</f>
        <v>0</v>
      </c>
      <c r="J177" s="29">
        <f>IFERROR(VLOOKUP(A177,'FERC 2021'!$A$3:$CQ$231,95,0)+VLOOKUP(A177,'EIA 2021'!$A$3:$AE$231,31,0),0)</f>
        <v>0</v>
      </c>
      <c r="K177" s="44">
        <f>IFERROR(VLOOKUP(A177,'FERC 2022'!$A$3:$CQ$230,95,0)+VLOOKUP(A177,'EIA 2022'!$A$3:$AE$231,31,0),0)</f>
        <v>0</v>
      </c>
      <c r="L177" s="44">
        <f>IFERROR(VLOOKUP(A177,'FERC 2023'!$A$3:$CQ$231,95,0)+VLOOKUP(A177,'EIA 2023'!$A$3:$AE$231,31,0),0)</f>
        <v>0</v>
      </c>
      <c r="M177" s="44" t="str">
        <f t="shared" si="0"/>
        <v/>
      </c>
    </row>
    <row r="178" spans="1:14" ht="15.75" customHeight="1">
      <c r="A178" s="7" t="s">
        <v>739</v>
      </c>
      <c r="B178" s="7" t="s">
        <v>740</v>
      </c>
      <c r="C178" s="6"/>
      <c r="D178" s="6">
        <f>IFERROR(VLOOKUP(A178,'FERC 2021'!$A$3:$CK$231,82,0),0)</f>
        <v>1</v>
      </c>
      <c r="E178" s="6">
        <f>IFERROR(VLOOKUP(A178,'FERC 2022'!$A$3:$CK$230,82,0),0)</f>
        <v>1</v>
      </c>
      <c r="F178" s="6">
        <f>IFERROR(VLOOKUP(A178,'FERC 2023'!$A$3:$CK$231,82,0),0)</f>
        <v>1</v>
      </c>
      <c r="G178" s="6">
        <f>IFERROR(VLOOKUP(A178,'EIA 2021'!$A$2:$AA$268,27,0),0)</f>
        <v>2</v>
      </c>
      <c r="H178" s="6">
        <f>IFERROR(VLOOKUP(A178,'EIA 2022'!$A$2:$AA$268,27,0),0)</f>
        <v>2</v>
      </c>
      <c r="I178" s="6">
        <f>IFERROR(VLOOKUP(A178,'EIA 2023'!$A$2:$AA$268,27,0),0)</f>
        <v>2</v>
      </c>
      <c r="J178" s="29">
        <f>IFERROR(VLOOKUP(A178,'FERC 2021'!$A$3:$CQ$231,95,0)+VLOOKUP(A178,'EIA 2021'!$A$3:$AE$231,31,0),0)</f>
        <v>0</v>
      </c>
      <c r="K178" s="44">
        <f>IFERROR(VLOOKUP(A178,'FERC 2022'!$A$3:$CQ$230,95,0)+VLOOKUP(A178,'EIA 2022'!$A$3:$AE$231,31,0),0)</f>
        <v>0</v>
      </c>
      <c r="L178" s="44">
        <f>IFERROR(VLOOKUP(A178,'FERC 2023'!$A$3:$CQ$231,95,0)+VLOOKUP(A178,'EIA 2023'!$A$3:$AE$231,31,0),0)</f>
        <v>0</v>
      </c>
      <c r="M178" s="44">
        <f t="shared" si="0"/>
        <v>1</v>
      </c>
      <c r="N178" s="7"/>
    </row>
    <row r="179" spans="1:14" ht="15.75" customHeight="1">
      <c r="A179" s="7" t="s">
        <v>1048</v>
      </c>
      <c r="B179" s="7" t="s">
        <v>1049</v>
      </c>
      <c r="C179" s="6"/>
      <c r="D179" s="6">
        <f>IFERROR(VLOOKUP(A179,'FERC 2021'!$A$3:$CK$231,82,0),0)</f>
        <v>0</v>
      </c>
      <c r="E179" s="6">
        <f>IFERROR(VLOOKUP(A179,'FERC 2022'!$A$3:$CK$230,82,0),0)</f>
        <v>0</v>
      </c>
      <c r="F179" s="6">
        <f>IFERROR(VLOOKUP(A179,'FERC 2023'!$A$3:$CK$231,82,0),0)</f>
        <v>0</v>
      </c>
      <c r="G179" s="6">
        <f>IFERROR(VLOOKUP(A179,'EIA 2021'!$A$2:$AA$268,27,0),0)</f>
        <v>0</v>
      </c>
      <c r="H179" s="6">
        <f>IFERROR(VLOOKUP(A179,'EIA 2022'!$A$2:$AA$268,27,0),0)</f>
        <v>0</v>
      </c>
      <c r="I179" s="6">
        <f>IFERROR(VLOOKUP(A179,'EIA 2023'!$A$2:$AA$268,27,0),0)</f>
        <v>0</v>
      </c>
      <c r="J179" s="29">
        <f>IFERROR(VLOOKUP(A179,'FERC 2021'!$A$3:$CQ$231,95,0)+VLOOKUP(A179,'EIA 2021'!$A$3:$AE$231,31,0),0)</f>
        <v>0</v>
      </c>
      <c r="K179" s="44">
        <f>IFERROR(VLOOKUP(A179,'FERC 2022'!$A$3:$CQ$230,95,0)+VLOOKUP(A179,'EIA 2022'!$A$3:$AE$231,31,0),0)</f>
        <v>0</v>
      </c>
      <c r="L179" s="44">
        <f>IFERROR(VLOOKUP(A179,'FERC 2023'!$A$3:$CQ$231,95,0)+VLOOKUP(A179,'EIA 2023'!$A$3:$AE$231,31,0),0)</f>
        <v>0</v>
      </c>
      <c r="M179" s="44" t="str">
        <f t="shared" si="0"/>
        <v/>
      </c>
    </row>
    <row r="180" spans="1:14" ht="15.75" customHeight="1">
      <c r="A180" s="7" t="s">
        <v>742</v>
      </c>
      <c r="B180" s="7" t="s">
        <v>743</v>
      </c>
      <c r="C180" s="6"/>
      <c r="D180" s="6">
        <f>IFERROR(VLOOKUP(A180,'FERC 2021'!$A$3:$CK$231,82,0),0)</f>
        <v>0</v>
      </c>
      <c r="E180" s="6">
        <f>IFERROR(VLOOKUP(A180,'FERC 2022'!$A$3:$CK$230,82,0),0)</f>
        <v>0</v>
      </c>
      <c r="F180" s="6">
        <f>IFERROR(VLOOKUP(A180,'FERC 2023'!$A$3:$CK$231,82,0),0)</f>
        <v>0</v>
      </c>
      <c r="G180" s="6">
        <f>IFERROR(VLOOKUP(A180,'EIA 2021'!$A$2:$AA$268,27,0),0)</f>
        <v>0</v>
      </c>
      <c r="H180" s="6">
        <f>IFERROR(VLOOKUP(A180,'EIA 2022'!$A$2:$AA$268,27,0),0)</f>
        <v>0</v>
      </c>
      <c r="I180" s="6">
        <f>IFERROR(VLOOKUP(A180,'EIA 2023'!$A$2:$AA$268,27,0),0)</f>
        <v>0</v>
      </c>
      <c r="J180" s="29">
        <f>IFERROR(VLOOKUP(A180,'FERC 2021'!$A$3:$CQ$231,95,0)+VLOOKUP(A180,'EIA 2021'!$A$3:$AE$231,31,0),0)</f>
        <v>0</v>
      </c>
      <c r="K180" s="44">
        <f>IFERROR(VLOOKUP(A180,'FERC 2022'!$A$3:$CQ$230,95,0)+VLOOKUP(A180,'EIA 2022'!$A$3:$AE$231,31,0),0)</f>
        <v>0</v>
      </c>
      <c r="L180" s="44">
        <f>IFERROR(VLOOKUP(A180,'FERC 2023'!$A$3:$CQ$231,95,0)+VLOOKUP(A180,'EIA 2023'!$A$3:$AE$231,31,0),0)</f>
        <v>0</v>
      </c>
      <c r="M180" s="44" t="str">
        <f t="shared" si="0"/>
        <v/>
      </c>
    </row>
    <row r="181" spans="1:14" ht="15.75" customHeight="1">
      <c r="A181" s="7" t="s">
        <v>745</v>
      </c>
      <c r="B181" s="7" t="s">
        <v>746</v>
      </c>
      <c r="C181" s="6"/>
      <c r="D181" s="6">
        <f>IFERROR(VLOOKUP(A181,'FERC 2021'!$A$3:$CK$231,82,0),0)</f>
        <v>0</v>
      </c>
      <c r="E181" s="6">
        <f>IFERROR(VLOOKUP(A181,'FERC 2022'!$A$3:$CK$230,82,0),0)</f>
        <v>0</v>
      </c>
      <c r="F181" s="6">
        <f>IFERROR(VLOOKUP(A181,'FERC 2023'!$A$3:$CK$231,82,0),0)</f>
        <v>0</v>
      </c>
      <c r="G181" s="6">
        <f>IFERROR(VLOOKUP(A181,'EIA 2021'!$A$2:$AA$268,27,0),0)</f>
        <v>0</v>
      </c>
      <c r="H181" s="6">
        <f>IFERROR(VLOOKUP(A181,'EIA 2022'!$A$2:$AA$268,27,0),0)</f>
        <v>0</v>
      </c>
      <c r="I181" s="6">
        <f>IFERROR(VLOOKUP(A181,'EIA 2023'!$A$2:$AA$268,27,0),0)</f>
        <v>0</v>
      </c>
      <c r="J181" s="29">
        <f>IFERROR(VLOOKUP(A181,'FERC 2021'!$A$3:$CQ$231,95,0)+VLOOKUP(A181,'EIA 2021'!$A$3:$AE$231,31,0),0)</f>
        <v>0</v>
      </c>
      <c r="K181" s="44">
        <f>IFERROR(VLOOKUP(A181,'FERC 2022'!$A$3:$CQ$230,95,0)+VLOOKUP(A181,'EIA 2022'!$A$3:$AE$231,31,0),0)</f>
        <v>0</v>
      </c>
      <c r="L181" s="44">
        <f>IFERROR(VLOOKUP(A181,'FERC 2023'!$A$3:$CQ$231,95,0)+VLOOKUP(A181,'EIA 2023'!$A$3:$AE$231,31,0),0)</f>
        <v>0</v>
      </c>
      <c r="M181" s="44" t="str">
        <f t="shared" si="0"/>
        <v/>
      </c>
    </row>
    <row r="182" spans="1:14" ht="15.75" customHeight="1">
      <c r="A182" s="7" t="s">
        <v>748</v>
      </c>
      <c r="B182" s="7" t="s">
        <v>749</v>
      </c>
      <c r="C182" s="6"/>
      <c r="D182" s="6">
        <f>IFERROR(VLOOKUP(A182,'FERC 2021'!$A$3:$CK$231,82,0),0)</f>
        <v>0</v>
      </c>
      <c r="E182" s="6">
        <f>IFERROR(VLOOKUP(A182,'FERC 2022'!$A$3:$CK$230,82,0),0)</f>
        <v>0</v>
      </c>
      <c r="F182" s="6">
        <f>IFERROR(VLOOKUP(A182,'FERC 2023'!$A$3:$CK$231,82,0),0)</f>
        <v>0</v>
      </c>
      <c r="G182" s="6">
        <f>IFERROR(VLOOKUP(A182,'EIA 2021'!$A$2:$AA$268,27,0),0)</f>
        <v>0</v>
      </c>
      <c r="H182" s="6">
        <f>IFERROR(VLOOKUP(A182,'EIA 2022'!$A$2:$AA$268,27,0),0)</f>
        <v>0</v>
      </c>
      <c r="I182" s="6">
        <f>IFERROR(VLOOKUP(A182,'EIA 2023'!$A$2:$AA$268,27,0),0)</f>
        <v>0</v>
      </c>
      <c r="J182" s="29">
        <f>IFERROR(VLOOKUP(A182,'FERC 2021'!$A$3:$CQ$231,95,0)+VLOOKUP(A182,'EIA 2021'!$A$3:$AE$231,31,0),0)</f>
        <v>0</v>
      </c>
      <c r="K182" s="44">
        <f>IFERROR(VLOOKUP(A182,'FERC 2022'!$A$3:$CQ$230,95,0)+VLOOKUP(A182,'EIA 2022'!$A$3:$AE$231,31,0),0)</f>
        <v>0</v>
      </c>
      <c r="L182" s="44">
        <f>IFERROR(VLOOKUP(A182,'FERC 2023'!$A$3:$CQ$231,95,0)+VLOOKUP(A182,'EIA 2023'!$A$3:$AE$231,31,0),0)</f>
        <v>0</v>
      </c>
      <c r="M182" s="44" t="str">
        <f t="shared" si="0"/>
        <v/>
      </c>
    </row>
    <row r="183" spans="1:14" ht="15.75" customHeight="1">
      <c r="A183" s="7" t="s">
        <v>751</v>
      </c>
      <c r="B183" s="7" t="s">
        <v>752</v>
      </c>
      <c r="C183" s="6"/>
      <c r="D183" s="6">
        <f>IFERROR(VLOOKUP(A183,'FERC 2021'!$A$3:$CK$231,82,0),0)</f>
        <v>1</v>
      </c>
      <c r="E183" s="6">
        <f>IFERROR(VLOOKUP(A183,'FERC 2022'!$A$3:$CK$230,82,0),0)</f>
        <v>1</v>
      </c>
      <c r="F183" s="6">
        <f>IFERROR(VLOOKUP(A183,'FERC 2023'!$A$3:$CK$231,82,0),0)</f>
        <v>1</v>
      </c>
      <c r="G183" s="6">
        <f>IFERROR(VLOOKUP(A183,'EIA 2021'!$A$2:$AA$268,27,0),0)</f>
        <v>2</v>
      </c>
      <c r="H183" s="6">
        <f>IFERROR(VLOOKUP(A183,'EIA 2022'!$A$2:$AA$268,27,0),0)</f>
        <v>2</v>
      </c>
      <c r="I183" s="6">
        <f>IFERROR(VLOOKUP(A183,'EIA 2023'!$A$2:$AA$268,27,0),0)</f>
        <v>2</v>
      </c>
      <c r="J183" s="29">
        <f>IFERROR(VLOOKUP(A183,'FERC 2021'!$A$3:$CQ$231,95,0)+VLOOKUP(A183,'EIA 2021'!$A$3:$AE$231,31,0),0)</f>
        <v>0</v>
      </c>
      <c r="K183" s="44">
        <f>IFERROR(VLOOKUP(A183,'FERC 2022'!$A$3:$CQ$230,95,0)+VLOOKUP(A183,'EIA 2022'!$A$3:$AE$231,31,0),0)</f>
        <v>0</v>
      </c>
      <c r="L183" s="44">
        <f>IFERROR(VLOOKUP(A183,'FERC 2023'!$A$3:$CQ$231,95,0)+VLOOKUP(A183,'EIA 2023'!$A$3:$AE$231,31,0),0)</f>
        <v>0</v>
      </c>
      <c r="M183" s="44">
        <f t="shared" si="0"/>
        <v>1</v>
      </c>
    </row>
    <row r="184" spans="1:14" ht="15.75" customHeight="1">
      <c r="A184" s="7" t="s">
        <v>754</v>
      </c>
      <c r="B184" s="7" t="s">
        <v>755</v>
      </c>
      <c r="C184" s="6"/>
      <c r="D184" s="6">
        <f>IFERROR(VLOOKUP(A184,'FERC 2021'!$A$3:$CK$231,82,0),0)</f>
        <v>0</v>
      </c>
      <c r="E184" s="6">
        <f>IFERROR(VLOOKUP(A184,'FERC 2022'!$A$3:$CK$230,82,0),0)</f>
        <v>0</v>
      </c>
      <c r="F184" s="6">
        <f>IFERROR(VLOOKUP(A184,'FERC 2023'!$A$3:$CK$231,82,0),0)</f>
        <v>0</v>
      </c>
      <c r="G184" s="6">
        <f>IFERROR(VLOOKUP(A184,'EIA 2021'!$A$2:$AA$268,27,0),0)</f>
        <v>0</v>
      </c>
      <c r="H184" s="6">
        <f>IFERROR(VLOOKUP(A184,'EIA 2022'!$A$2:$AA$268,27,0),0)</f>
        <v>0</v>
      </c>
      <c r="I184" s="6">
        <f>IFERROR(VLOOKUP(A184,'EIA 2023'!$A$2:$AA$268,27,0),0)</f>
        <v>0</v>
      </c>
      <c r="J184" s="29">
        <f>IFERROR(VLOOKUP(A184,'FERC 2021'!$A$3:$CQ$231,95,0)+VLOOKUP(A184,'EIA 2021'!$A$3:$AE$231,31,0),0)</f>
        <v>0</v>
      </c>
      <c r="K184" s="44">
        <f>IFERROR(VLOOKUP(A184,'FERC 2022'!$A$3:$CQ$230,95,0)+VLOOKUP(A184,'EIA 2022'!$A$3:$AE$231,31,0),0)</f>
        <v>0</v>
      </c>
      <c r="L184" s="44">
        <f>IFERROR(VLOOKUP(A184,'FERC 2023'!$A$3:$CQ$231,95,0)+VLOOKUP(A184,'EIA 2023'!$A$3:$AE$231,31,0),0)</f>
        <v>0</v>
      </c>
      <c r="M184" s="44" t="str">
        <f t="shared" si="0"/>
        <v/>
      </c>
    </row>
    <row r="185" spans="1:14" ht="15.75" customHeight="1">
      <c r="A185" s="7" t="s">
        <v>757</v>
      </c>
      <c r="B185" s="7" t="s">
        <v>758</v>
      </c>
      <c r="C185" s="6"/>
      <c r="D185" s="6">
        <f>IFERROR(VLOOKUP(A185,'FERC 2021'!$A$3:$CK$231,82,0),0)</f>
        <v>0</v>
      </c>
      <c r="E185" s="6">
        <f>IFERROR(VLOOKUP(A185,'FERC 2022'!$A$3:$CK$230,82,0),0)</f>
        <v>0</v>
      </c>
      <c r="F185" s="6">
        <f>IFERROR(VLOOKUP(A185,'FERC 2023'!$A$3:$CK$231,82,0),0)</f>
        <v>0</v>
      </c>
      <c r="G185" s="6">
        <f>IFERROR(VLOOKUP(A185,'EIA 2021'!$A$2:$AA$268,27,0),0)</f>
        <v>0</v>
      </c>
      <c r="H185" s="6">
        <f>IFERROR(VLOOKUP(A185,'EIA 2022'!$A$2:$AA$268,27,0),0)</f>
        <v>0</v>
      </c>
      <c r="I185" s="6">
        <f>IFERROR(VLOOKUP(A185,'EIA 2023'!$A$2:$AA$268,27,0),0)</f>
        <v>0</v>
      </c>
      <c r="J185" s="29">
        <f>IFERROR(VLOOKUP(A185,'FERC 2021'!$A$3:$CQ$231,95,0)+VLOOKUP(A185,'EIA 2021'!$A$3:$AE$231,31,0),0)</f>
        <v>0</v>
      </c>
      <c r="K185" s="44">
        <f>IFERROR(VLOOKUP(A185,'FERC 2022'!$A$3:$CQ$230,95,0)+VLOOKUP(A185,'EIA 2022'!$A$3:$AE$231,31,0),0)</f>
        <v>0</v>
      </c>
      <c r="L185" s="44">
        <f>IFERROR(VLOOKUP(A185,'FERC 2023'!$A$3:$CQ$231,95,0)+VLOOKUP(A185,'EIA 2023'!$A$3:$AE$231,31,0),0)</f>
        <v>0</v>
      </c>
      <c r="M185" s="44" t="str">
        <f t="shared" si="0"/>
        <v/>
      </c>
    </row>
    <row r="186" spans="1:14" ht="15.75" customHeight="1">
      <c r="A186" s="7" t="s">
        <v>760</v>
      </c>
      <c r="B186" s="7" t="s">
        <v>761</v>
      </c>
      <c r="C186" s="6"/>
      <c r="D186" s="6">
        <f>IFERROR(VLOOKUP(A186,'FERC 2021'!$A$3:$CK$231,82,0),0)</f>
        <v>0</v>
      </c>
      <c r="E186" s="6">
        <f>IFERROR(VLOOKUP(A186,'FERC 2022'!$A$3:$CK$230,82,0),0)</f>
        <v>0</v>
      </c>
      <c r="F186" s="6">
        <f>IFERROR(VLOOKUP(A186,'FERC 2023'!$A$3:$CK$231,82,0),0)</f>
        <v>0</v>
      </c>
      <c r="G186" s="6">
        <f>IFERROR(VLOOKUP(A186,'EIA 2021'!$A$2:$AA$268,27,0),0)</f>
        <v>0</v>
      </c>
      <c r="H186" s="6">
        <f>IFERROR(VLOOKUP(A186,'EIA 2022'!$A$2:$AA$268,27,0),0)</f>
        <v>0</v>
      </c>
      <c r="I186" s="6">
        <f>IFERROR(VLOOKUP(A186,'EIA 2023'!$A$2:$AA$268,27,0),0)</f>
        <v>0</v>
      </c>
      <c r="J186" s="29">
        <f>IFERROR(VLOOKUP(A186,'FERC 2021'!$A$3:$CQ$231,95,0)+VLOOKUP(A186,'EIA 2021'!$A$3:$AE$231,31,0),0)</f>
        <v>0</v>
      </c>
      <c r="K186" s="44">
        <f>IFERROR(VLOOKUP(A186,'FERC 2022'!$A$3:$CQ$230,95,0)+VLOOKUP(A186,'EIA 2022'!$A$3:$AE$231,31,0),0)</f>
        <v>0</v>
      </c>
      <c r="L186" s="44">
        <f>IFERROR(VLOOKUP(A186,'FERC 2023'!$A$3:$CQ$231,95,0)+VLOOKUP(A186,'EIA 2023'!$A$3:$AE$231,31,0),0)</f>
        <v>0</v>
      </c>
      <c r="M186" s="44" t="str">
        <f t="shared" si="0"/>
        <v/>
      </c>
    </row>
    <row r="187" spans="1:14" ht="15.75" customHeight="1">
      <c r="A187" s="7" t="s">
        <v>763</v>
      </c>
      <c r="B187" s="7" t="s">
        <v>764</v>
      </c>
      <c r="C187" s="6"/>
      <c r="D187" s="6">
        <f>IFERROR(VLOOKUP(A187,'FERC 2021'!$A$3:$CK$231,82,0),0)</f>
        <v>0</v>
      </c>
      <c r="E187" s="6">
        <f>IFERROR(VLOOKUP(A187,'FERC 2022'!$A$3:$CK$230,82,0),0)</f>
        <v>0</v>
      </c>
      <c r="F187" s="6">
        <f>IFERROR(VLOOKUP(A187,'FERC 2023'!$A$3:$CK$231,82,0),0)</f>
        <v>0</v>
      </c>
      <c r="G187" s="6">
        <f>IFERROR(VLOOKUP(A187,'EIA 2021'!$A$2:$AA$268,27,0),0)</f>
        <v>0</v>
      </c>
      <c r="H187" s="6">
        <f>IFERROR(VLOOKUP(A187,'EIA 2022'!$A$2:$AA$268,27,0),0)</f>
        <v>0</v>
      </c>
      <c r="I187" s="6">
        <f>IFERROR(VLOOKUP(A187,'EIA 2023'!$A$2:$AA$268,27,0),0)</f>
        <v>0</v>
      </c>
      <c r="J187" s="29">
        <f>IFERROR(VLOOKUP(A187,'FERC 2021'!$A$3:$CQ$231,95,0)+VLOOKUP(A187,'EIA 2021'!$A$3:$AE$231,31,0),0)</f>
        <v>0</v>
      </c>
      <c r="K187" s="44">
        <f>IFERROR(VLOOKUP(A187,'FERC 2022'!$A$3:$CQ$230,95,0)+VLOOKUP(A187,'EIA 2022'!$A$3:$AE$231,31,0),0)</f>
        <v>0</v>
      </c>
      <c r="L187" s="44">
        <f>IFERROR(VLOOKUP(A187,'FERC 2023'!$A$3:$CQ$231,95,0)+VLOOKUP(A187,'EIA 2023'!$A$3:$AE$231,31,0),0)</f>
        <v>0</v>
      </c>
      <c r="M187" s="44" t="str">
        <f t="shared" si="0"/>
        <v/>
      </c>
    </row>
    <row r="188" spans="1:14" ht="15.75" customHeight="1">
      <c r="A188" s="7" t="s">
        <v>766</v>
      </c>
      <c r="B188" s="7" t="s">
        <v>767</v>
      </c>
      <c r="C188" s="6"/>
      <c r="D188" s="6">
        <f>IFERROR(VLOOKUP(A188,'FERC 2021'!$A$3:$CK$231,82,0),0)</f>
        <v>1</v>
      </c>
      <c r="E188" s="6">
        <f>IFERROR(VLOOKUP(A188,'FERC 2022'!$A$3:$CK$230,82,0),0)</f>
        <v>1</v>
      </c>
      <c r="F188" s="6">
        <f>IFERROR(VLOOKUP(A188,'FERC 2023'!$A$3:$CK$231,82,0),0)</f>
        <v>1</v>
      </c>
      <c r="G188" s="6">
        <f>IFERROR(VLOOKUP(A188,'EIA 2021'!$A$2:$AA$268,27,0),0)</f>
        <v>2</v>
      </c>
      <c r="H188" s="6">
        <f>IFERROR(VLOOKUP(A188,'EIA 2022'!$A$2:$AA$268,27,0),0)</f>
        <v>2</v>
      </c>
      <c r="I188" s="6">
        <f>IFERROR(VLOOKUP(A188,'EIA 2023'!$A$2:$AA$268,27,0),0)</f>
        <v>2</v>
      </c>
      <c r="J188" s="29">
        <f>IFERROR(VLOOKUP(A188,'FERC 2021'!$A$3:$CQ$231,95,0)+VLOOKUP(A188,'EIA 2021'!$A$3:$AE$231,31,0),0)</f>
        <v>0</v>
      </c>
      <c r="K188" s="44">
        <f>IFERROR(VLOOKUP(A188,'FERC 2022'!$A$3:$CQ$230,95,0)+VLOOKUP(A188,'EIA 2022'!$A$3:$AE$231,31,0),0)</f>
        <v>0</v>
      </c>
      <c r="L188" s="44">
        <f>IFERROR(VLOOKUP(A188,'FERC 2023'!$A$3:$CQ$231,95,0)+VLOOKUP(A188,'EIA 2023'!$A$3:$AE$231,31,0),0)</f>
        <v>0</v>
      </c>
      <c r="M188" s="44">
        <f t="shared" si="0"/>
        <v>1</v>
      </c>
      <c r="N188" s="7"/>
    </row>
    <row r="189" spans="1:14" ht="15.75" customHeight="1">
      <c r="A189" s="7" t="s">
        <v>769</v>
      </c>
      <c r="B189" s="7" t="s">
        <v>770</v>
      </c>
      <c r="C189" s="6"/>
      <c r="D189" s="6">
        <f>IFERROR(VLOOKUP(A189,'FERC 2021'!$A$3:$CK$231,82,0),0)</f>
        <v>0</v>
      </c>
      <c r="E189" s="6">
        <f>IFERROR(VLOOKUP(A189,'FERC 2022'!$A$3:$CK$230,82,0),0)</f>
        <v>0</v>
      </c>
      <c r="F189" s="6">
        <f>IFERROR(VLOOKUP(A189,'FERC 2023'!$A$3:$CK$231,82,0),0)</f>
        <v>0</v>
      </c>
      <c r="G189" s="6">
        <f>IFERROR(VLOOKUP(A189,'EIA 2021'!$A$2:$AA$268,27,0),0)</f>
        <v>0</v>
      </c>
      <c r="H189" s="6">
        <f>IFERROR(VLOOKUP(A189,'EIA 2022'!$A$2:$AA$268,27,0),0)</f>
        <v>0</v>
      </c>
      <c r="I189" s="6">
        <f>IFERROR(VLOOKUP(A189,'EIA 2023'!$A$2:$AA$268,27,0),0)</f>
        <v>0</v>
      </c>
      <c r="J189" s="29">
        <f>IFERROR(VLOOKUP(A189,'FERC 2021'!$A$3:$CQ$231,95,0)+VLOOKUP(A189,'EIA 2021'!$A$3:$AE$231,31,0),0)</f>
        <v>0</v>
      </c>
      <c r="K189" s="44">
        <f>IFERROR(VLOOKUP(A189,'FERC 2022'!$A$3:$CQ$230,95,0)+VLOOKUP(A189,'EIA 2022'!$A$3:$AE$231,31,0),0)</f>
        <v>0</v>
      </c>
      <c r="L189" s="44">
        <f>IFERROR(VLOOKUP(A189,'FERC 2023'!$A$3:$CQ$231,95,0)+VLOOKUP(A189,'EIA 2023'!$A$3:$AE$231,31,0),0)</f>
        <v>0</v>
      </c>
      <c r="M189" s="44" t="str">
        <f t="shared" si="0"/>
        <v/>
      </c>
    </row>
    <row r="190" spans="1:14" ht="15.75" customHeight="1">
      <c r="A190" s="7" t="s">
        <v>772</v>
      </c>
      <c r="B190" s="7" t="s">
        <v>773</v>
      </c>
      <c r="C190" s="6"/>
      <c r="D190" s="6">
        <f>IFERROR(VLOOKUP(A190,'FERC 2021'!$A$3:$CK$231,82,0),0)</f>
        <v>0</v>
      </c>
      <c r="E190" s="6">
        <f>IFERROR(VLOOKUP(A190,'FERC 2022'!$A$3:$CK$230,82,0),0)</f>
        <v>0</v>
      </c>
      <c r="F190" s="6">
        <f>IFERROR(VLOOKUP(A190,'FERC 2023'!$A$3:$CK$231,82,0),0)</f>
        <v>0</v>
      </c>
      <c r="G190" s="6">
        <f>IFERROR(VLOOKUP(A190,'EIA 2021'!$A$2:$AA$268,27,0),0)</f>
        <v>0</v>
      </c>
      <c r="H190" s="6">
        <f>IFERROR(VLOOKUP(A190,'EIA 2022'!$A$2:$AA$268,27,0),0)</f>
        <v>0</v>
      </c>
      <c r="I190" s="6">
        <f>IFERROR(VLOOKUP(A190,'EIA 2023'!$A$2:$AA$268,27,0),0)</f>
        <v>0</v>
      </c>
      <c r="J190" s="29">
        <f>IFERROR(VLOOKUP(A190,'FERC 2021'!$A$3:$CQ$231,95,0)+VLOOKUP(A190,'EIA 2021'!$A$3:$AE$231,31,0),0)</f>
        <v>0</v>
      </c>
      <c r="K190" s="44">
        <f>IFERROR(VLOOKUP(A190,'FERC 2022'!$A$3:$CQ$230,95,0)+VLOOKUP(A190,'EIA 2022'!$A$3:$AE$231,31,0),0)</f>
        <v>0</v>
      </c>
      <c r="L190" s="44">
        <f>IFERROR(VLOOKUP(A190,'FERC 2023'!$A$3:$CQ$231,95,0)+VLOOKUP(A190,'EIA 2023'!$A$3:$AE$231,31,0),0)</f>
        <v>0</v>
      </c>
      <c r="M190" s="44" t="str">
        <f t="shared" si="0"/>
        <v/>
      </c>
    </row>
    <row r="191" spans="1:14" ht="15.75" customHeight="1">
      <c r="A191" s="7" t="s">
        <v>775</v>
      </c>
      <c r="B191" s="7" t="s">
        <v>776</v>
      </c>
      <c r="C191" s="6"/>
      <c r="D191" s="6">
        <f>IFERROR(VLOOKUP(A191,'FERC 2021'!$A$3:$CK$231,82,0),0)</f>
        <v>0</v>
      </c>
      <c r="E191" s="6">
        <f>IFERROR(VLOOKUP(A191,'FERC 2022'!$A$3:$CK$230,82,0),0)</f>
        <v>0</v>
      </c>
      <c r="F191" s="6">
        <f>IFERROR(VLOOKUP(A191,'FERC 2023'!$A$3:$CK$231,82,0),0)</f>
        <v>0</v>
      </c>
      <c r="G191" s="6">
        <f>IFERROR(VLOOKUP(A191,'EIA 2021'!$A$2:$AA$268,27,0),0)</f>
        <v>0</v>
      </c>
      <c r="H191" s="6">
        <f>IFERROR(VLOOKUP(A191,'EIA 2022'!$A$2:$AA$268,27,0),0)</f>
        <v>0</v>
      </c>
      <c r="I191" s="6">
        <f>IFERROR(VLOOKUP(A191,'EIA 2023'!$A$2:$AA$268,27,0),0)</f>
        <v>0</v>
      </c>
      <c r="J191" s="29">
        <f>IFERROR(VLOOKUP(A191,'FERC 2021'!$A$3:$CQ$231,95,0)+VLOOKUP(A191,'EIA 2021'!$A$3:$AE$231,31,0),0)</f>
        <v>0</v>
      </c>
      <c r="K191" s="44">
        <f>IFERROR(VLOOKUP(A191,'FERC 2022'!$A$3:$CQ$230,95,0)+VLOOKUP(A191,'EIA 2022'!$A$3:$AE$231,31,0),0)</f>
        <v>0</v>
      </c>
      <c r="L191" s="44">
        <f>IFERROR(VLOOKUP(A191,'FERC 2023'!$A$3:$CQ$231,95,0)+VLOOKUP(A191,'EIA 2023'!$A$3:$AE$231,31,0),0)</f>
        <v>0</v>
      </c>
      <c r="M191" s="44" t="str">
        <f t="shared" si="0"/>
        <v/>
      </c>
    </row>
    <row r="192" spans="1:14" ht="15.75" customHeight="1">
      <c r="A192" s="7" t="s">
        <v>778</v>
      </c>
      <c r="B192" s="7" t="s">
        <v>779</v>
      </c>
      <c r="C192" s="6"/>
      <c r="D192" s="6">
        <f>IFERROR(VLOOKUP(A192,'FERC 2021'!$A$3:$CK$231,82,0),0)</f>
        <v>0</v>
      </c>
      <c r="E192" s="6">
        <f>IFERROR(VLOOKUP(A192,'FERC 2022'!$A$3:$CK$230,82,0),0)</f>
        <v>0</v>
      </c>
      <c r="F192" s="6">
        <f>IFERROR(VLOOKUP(A192,'FERC 2023'!$A$3:$CK$231,82,0),0)</f>
        <v>0</v>
      </c>
      <c r="G192" s="6">
        <f>IFERROR(VLOOKUP(A192,'EIA 2021'!$A$2:$AA$268,27,0),0)</f>
        <v>0</v>
      </c>
      <c r="H192" s="6">
        <f>IFERROR(VLOOKUP(A192,'EIA 2022'!$A$2:$AA$268,27,0),0)</f>
        <v>0</v>
      </c>
      <c r="I192" s="6">
        <f>IFERROR(VLOOKUP(A192,'EIA 2023'!$A$2:$AA$268,27,0),0)</f>
        <v>0</v>
      </c>
      <c r="J192" s="29">
        <f>IFERROR(VLOOKUP(A192,'FERC 2021'!$A$3:$CQ$231,95,0)+VLOOKUP(A192,'EIA 2021'!$A$3:$AE$231,31,0),0)</f>
        <v>0</v>
      </c>
      <c r="K192" s="44">
        <f>IFERROR(VLOOKUP(A192,'FERC 2022'!$A$3:$CQ$230,95,0)+VLOOKUP(A192,'EIA 2022'!$A$3:$AE$231,31,0),0)</f>
        <v>0</v>
      </c>
      <c r="L192" s="44">
        <f>IFERROR(VLOOKUP(A192,'FERC 2023'!$A$3:$CQ$231,95,0)+VLOOKUP(A192,'EIA 2023'!$A$3:$AE$231,31,0),0)</f>
        <v>0</v>
      </c>
      <c r="M192" s="44" t="str">
        <f t="shared" si="0"/>
        <v/>
      </c>
    </row>
    <row r="193" spans="1:14" ht="15.75" customHeight="1">
      <c r="A193" s="7" t="s">
        <v>781</v>
      </c>
      <c r="B193" s="7" t="s">
        <v>782</v>
      </c>
      <c r="C193" s="6"/>
      <c r="D193" s="6">
        <f>IFERROR(VLOOKUP(A193,'FERC 2021'!$A$3:$CK$231,82,0),0)</f>
        <v>0</v>
      </c>
      <c r="E193" s="6">
        <f>IFERROR(VLOOKUP(A193,'FERC 2022'!$A$3:$CK$230,82,0),0)</f>
        <v>0</v>
      </c>
      <c r="F193" s="6">
        <f>IFERROR(VLOOKUP(A193,'FERC 2023'!$A$3:$CK$231,82,0),0)</f>
        <v>0</v>
      </c>
      <c r="G193" s="6">
        <f>IFERROR(VLOOKUP(A193,'EIA 2021'!$A$2:$AA$268,27,0),0)</f>
        <v>0</v>
      </c>
      <c r="H193" s="6">
        <f>IFERROR(VLOOKUP(A193,'EIA 2022'!$A$2:$AA$268,27,0),0)</f>
        <v>0</v>
      </c>
      <c r="I193" s="6">
        <f>IFERROR(VLOOKUP(A193,'EIA 2023'!$A$2:$AA$268,27,0),0)</f>
        <v>0</v>
      </c>
      <c r="J193" s="29">
        <f>IFERROR(VLOOKUP(A193,'FERC 2021'!$A$3:$CQ$231,95,0)+VLOOKUP(A193,'EIA 2021'!$A$3:$AE$231,31,0),0)</f>
        <v>0</v>
      </c>
      <c r="K193" s="44">
        <f>IFERROR(VLOOKUP(A193,'FERC 2022'!$A$3:$CQ$230,95,0)+VLOOKUP(A193,'EIA 2022'!$A$3:$AE$231,31,0),0)</f>
        <v>0</v>
      </c>
      <c r="L193" s="44">
        <f>IFERROR(VLOOKUP(A193,'FERC 2023'!$A$3:$CQ$231,95,0)+VLOOKUP(A193,'EIA 2023'!$A$3:$AE$231,31,0),0)</f>
        <v>0</v>
      </c>
      <c r="M193" s="44" t="str">
        <f t="shared" si="0"/>
        <v/>
      </c>
    </row>
    <row r="194" spans="1:14" ht="15.75" customHeight="1">
      <c r="A194" s="7" t="s">
        <v>784</v>
      </c>
      <c r="B194" s="7" t="s">
        <v>785</v>
      </c>
      <c r="C194" s="6"/>
      <c r="D194" s="6">
        <f>IFERROR(VLOOKUP(A194,'FERC 2021'!$A$3:$CK$231,82,0),0)</f>
        <v>0</v>
      </c>
      <c r="E194" s="6">
        <f>IFERROR(VLOOKUP(A194,'FERC 2022'!$A$3:$CK$230,82,0),0)</f>
        <v>0</v>
      </c>
      <c r="F194" s="6">
        <f>IFERROR(VLOOKUP(A194,'FERC 2023'!$A$3:$CK$231,82,0),0)</f>
        <v>0</v>
      </c>
      <c r="G194" s="6">
        <f>IFERROR(VLOOKUP(A194,'EIA 2021'!$A$2:$AA$268,27,0),0)</f>
        <v>0</v>
      </c>
      <c r="H194" s="6">
        <f>IFERROR(VLOOKUP(A194,'EIA 2022'!$A$2:$AA$268,27,0),0)</f>
        <v>0</v>
      </c>
      <c r="I194" s="6">
        <f>IFERROR(VLOOKUP(A194,'EIA 2023'!$A$2:$AA$268,27,0),0)</f>
        <v>0</v>
      </c>
      <c r="J194" s="29">
        <f>IFERROR(VLOOKUP(A194,'FERC 2021'!$A$3:$CQ$231,95,0)+VLOOKUP(A194,'EIA 2021'!$A$3:$AE$231,31,0),0)</f>
        <v>0</v>
      </c>
      <c r="K194" s="44">
        <f>IFERROR(VLOOKUP(A194,'FERC 2022'!$A$3:$CQ$230,95,0)+VLOOKUP(A194,'EIA 2022'!$A$3:$AE$231,31,0),0)</f>
        <v>0</v>
      </c>
      <c r="L194" s="44">
        <f>IFERROR(VLOOKUP(A194,'FERC 2023'!$A$3:$CQ$231,95,0)+VLOOKUP(A194,'EIA 2023'!$A$3:$AE$231,31,0),0)</f>
        <v>0</v>
      </c>
      <c r="M194" s="44" t="str">
        <f t="shared" si="0"/>
        <v/>
      </c>
    </row>
    <row r="195" spans="1:14" ht="15.75" customHeight="1">
      <c r="A195" s="7" t="s">
        <v>787</v>
      </c>
      <c r="B195" s="7" t="s">
        <v>788</v>
      </c>
      <c r="C195" s="6"/>
      <c r="D195" s="6">
        <f>IFERROR(VLOOKUP(A195,'FERC 2021'!$A$3:$CK$231,82,0),0)</f>
        <v>0</v>
      </c>
      <c r="E195" s="6">
        <f>IFERROR(VLOOKUP(A195,'FERC 2022'!$A$3:$CK$230,82,0),0)</f>
        <v>0</v>
      </c>
      <c r="F195" s="6">
        <f>IFERROR(VLOOKUP(A195,'FERC 2023'!$A$3:$CK$231,82,0),0)</f>
        <v>0</v>
      </c>
      <c r="G195" s="6">
        <f>IFERROR(VLOOKUP(A195,'EIA 2021'!$A$2:$AA$268,27,0),0)</f>
        <v>0</v>
      </c>
      <c r="H195" s="6">
        <f>IFERROR(VLOOKUP(A195,'EIA 2022'!$A$2:$AA$268,27,0),0)</f>
        <v>0</v>
      </c>
      <c r="I195" s="6">
        <f>IFERROR(VLOOKUP(A195,'EIA 2023'!$A$2:$AA$268,27,0),0)</f>
        <v>0</v>
      </c>
      <c r="J195" s="29">
        <f>IFERROR(VLOOKUP(A195,'FERC 2021'!$A$3:$CQ$231,95,0)+VLOOKUP(A195,'EIA 2021'!$A$3:$AE$231,31,0),0)</f>
        <v>0</v>
      </c>
      <c r="K195" s="44">
        <f>IFERROR(VLOOKUP(A195,'FERC 2022'!$A$3:$CQ$230,95,0)+VLOOKUP(A195,'EIA 2022'!$A$3:$AE$231,31,0),0)</f>
        <v>0</v>
      </c>
      <c r="L195" s="44">
        <f>IFERROR(VLOOKUP(A195,'FERC 2023'!$A$3:$CQ$231,95,0)+VLOOKUP(A195,'EIA 2023'!$A$3:$AE$231,31,0),0)</f>
        <v>0</v>
      </c>
      <c r="M195" s="44" t="str">
        <f t="shared" si="0"/>
        <v/>
      </c>
    </row>
    <row r="196" spans="1:14" ht="15.75" customHeight="1">
      <c r="A196" s="7" t="s">
        <v>790</v>
      </c>
      <c r="B196" s="7" t="s">
        <v>791</v>
      </c>
      <c r="C196" s="6"/>
      <c r="D196" s="6">
        <f>IFERROR(VLOOKUP(A196,'FERC 2021'!$A$3:$CK$231,82,0),0)</f>
        <v>0</v>
      </c>
      <c r="E196" s="6">
        <f>IFERROR(VLOOKUP(A196,'FERC 2022'!$A$3:$CK$230,82,0),0)</f>
        <v>0</v>
      </c>
      <c r="F196" s="6">
        <f>IFERROR(VLOOKUP(A196,'FERC 2023'!$A$3:$CK$231,82,0),0)</f>
        <v>0</v>
      </c>
      <c r="G196" s="6">
        <f>IFERROR(VLOOKUP(A196,'EIA 2021'!$A$2:$AA$268,27,0),0)</f>
        <v>0</v>
      </c>
      <c r="H196" s="6">
        <f>IFERROR(VLOOKUP(A196,'EIA 2022'!$A$2:$AA$268,27,0),0)</f>
        <v>0</v>
      </c>
      <c r="I196" s="6">
        <f>IFERROR(VLOOKUP(A196,'EIA 2023'!$A$2:$AA$268,27,0),0)</f>
        <v>0</v>
      </c>
      <c r="J196" s="29">
        <f>IFERROR(VLOOKUP(A196,'FERC 2021'!$A$3:$CQ$231,95,0)+VLOOKUP(A196,'EIA 2021'!$A$3:$AE$231,31,0),0)</f>
        <v>0</v>
      </c>
      <c r="K196" s="44">
        <f>IFERROR(VLOOKUP(A196,'FERC 2022'!$A$3:$CQ$230,95,0)+VLOOKUP(A196,'EIA 2022'!$A$3:$AE$231,31,0),0)</f>
        <v>0</v>
      </c>
      <c r="L196" s="44">
        <f>IFERROR(VLOOKUP(A196,'FERC 2023'!$A$3:$CQ$231,95,0)+VLOOKUP(A196,'EIA 2023'!$A$3:$AE$231,31,0),0)</f>
        <v>0</v>
      </c>
      <c r="M196" s="44" t="str">
        <f t="shared" si="0"/>
        <v/>
      </c>
    </row>
    <row r="197" spans="1:14" ht="15.75" customHeight="1">
      <c r="A197" s="7" t="s">
        <v>793</v>
      </c>
      <c r="B197" s="7" t="s">
        <v>794</v>
      </c>
      <c r="C197" s="6"/>
      <c r="D197" s="6">
        <f>IFERROR(VLOOKUP(A197,'FERC 2021'!$A$3:$CK$231,82,0),0)</f>
        <v>1</v>
      </c>
      <c r="E197" s="6">
        <f>IFERROR(VLOOKUP(A197,'FERC 2022'!$A$3:$CK$230,82,0),0)</f>
        <v>1</v>
      </c>
      <c r="F197" s="6">
        <f>IFERROR(VLOOKUP(A197,'FERC 2023'!$A$3:$CK$231,82,0),0)</f>
        <v>1</v>
      </c>
      <c r="G197" s="6">
        <f>IFERROR(VLOOKUP(A197,'EIA 2021'!$A$2:$AA$268,27,0),0)</f>
        <v>2</v>
      </c>
      <c r="H197" s="6">
        <f>IFERROR(VLOOKUP(A197,'EIA 2022'!$A$2:$AA$268,27,0),0)</f>
        <v>2</v>
      </c>
      <c r="I197" s="6">
        <f>IFERROR(VLOOKUP(A197,'EIA 2023'!$A$2:$AA$268,27,0),0)</f>
        <v>2</v>
      </c>
      <c r="J197" s="29">
        <f>IFERROR(VLOOKUP(A197,'FERC 2021'!$A$3:$CQ$231,95,0)+VLOOKUP(A197,'EIA 2021'!$A$3:$AE$231,31,0),0)</f>
        <v>0</v>
      </c>
      <c r="K197" s="44">
        <f>IFERROR(VLOOKUP(A197,'FERC 2022'!$A$3:$CQ$230,95,0)+VLOOKUP(A197,'EIA 2022'!$A$3:$AE$231,31,0),0)</f>
        <v>0</v>
      </c>
      <c r="L197" s="44">
        <f>IFERROR(VLOOKUP(A197,'FERC 2023'!$A$3:$CQ$231,95,0)+VLOOKUP(A197,'EIA 2023'!$A$3:$AE$231,31,0),0)</f>
        <v>0</v>
      </c>
      <c r="M197" s="44">
        <f t="shared" si="0"/>
        <v>1</v>
      </c>
    </row>
    <row r="198" spans="1:14" ht="15.75" customHeight="1">
      <c r="A198" s="7" t="s">
        <v>796</v>
      </c>
      <c r="B198" s="7" t="s">
        <v>797</v>
      </c>
      <c r="C198" s="6"/>
      <c r="D198" s="6">
        <f>IFERROR(VLOOKUP(A198,'FERC 2021'!$A$3:$CK$231,82,0),0)</f>
        <v>0</v>
      </c>
      <c r="E198" s="6">
        <f>IFERROR(VLOOKUP(A198,'FERC 2022'!$A$3:$CK$230,82,0),0)</f>
        <v>0</v>
      </c>
      <c r="F198" s="6">
        <f>IFERROR(VLOOKUP(A198,'FERC 2023'!$A$3:$CK$231,82,0),0)</f>
        <v>0</v>
      </c>
      <c r="G198" s="6">
        <f>IFERROR(VLOOKUP(A198,'EIA 2021'!$A$2:$AA$268,27,0),0)</f>
        <v>0</v>
      </c>
      <c r="H198" s="6">
        <f>IFERROR(VLOOKUP(A198,'EIA 2022'!$A$2:$AA$268,27,0),0)</f>
        <v>0</v>
      </c>
      <c r="I198" s="6">
        <f>IFERROR(VLOOKUP(A198,'EIA 2023'!$A$2:$AA$268,27,0),0)</f>
        <v>0</v>
      </c>
      <c r="J198" s="29">
        <f>IFERROR(VLOOKUP(A198,'FERC 2021'!$A$3:$CQ$231,95,0)+VLOOKUP(A198,'EIA 2021'!$A$3:$AE$231,31,0),0)</f>
        <v>0</v>
      </c>
      <c r="K198" s="44">
        <f>IFERROR(VLOOKUP(A198,'FERC 2022'!$A$3:$CQ$230,95,0)+VLOOKUP(A198,'EIA 2022'!$A$3:$AE$231,31,0),0)</f>
        <v>0</v>
      </c>
      <c r="L198" s="44">
        <f>IFERROR(VLOOKUP(A198,'FERC 2023'!$A$3:$CQ$231,95,0)+VLOOKUP(A198,'EIA 2023'!$A$3:$AE$231,31,0),0)</f>
        <v>0</v>
      </c>
      <c r="M198" s="44" t="str">
        <f t="shared" si="0"/>
        <v/>
      </c>
    </row>
    <row r="199" spans="1:14" ht="15.75" customHeight="1">
      <c r="A199" s="7" t="s">
        <v>799</v>
      </c>
      <c r="B199" s="7" t="s">
        <v>800</v>
      </c>
      <c r="C199" s="6"/>
      <c r="D199" s="6">
        <f>IFERROR(VLOOKUP(A199,'FERC 2021'!$A$3:$CK$231,82,0),0)</f>
        <v>0</v>
      </c>
      <c r="E199" s="6">
        <f>IFERROR(VLOOKUP(A199,'FERC 2022'!$A$3:$CK$230,82,0),0)</f>
        <v>0</v>
      </c>
      <c r="F199" s="6">
        <f>IFERROR(VLOOKUP(A199,'FERC 2023'!$A$3:$CK$231,82,0),0)</f>
        <v>0</v>
      </c>
      <c r="G199" s="6">
        <f>IFERROR(VLOOKUP(A199,'EIA 2021'!$A$2:$AA$268,27,0),0)</f>
        <v>0</v>
      </c>
      <c r="H199" s="6">
        <f>IFERROR(VLOOKUP(A199,'EIA 2022'!$A$2:$AA$268,27,0),0)</f>
        <v>0</v>
      </c>
      <c r="I199" s="6">
        <f>IFERROR(VLOOKUP(A199,'EIA 2023'!$A$2:$AA$268,27,0),0)</f>
        <v>0</v>
      </c>
      <c r="J199" s="29">
        <f>IFERROR(VLOOKUP(A199,'FERC 2021'!$A$3:$CQ$231,95,0)+VLOOKUP(A199,'EIA 2021'!$A$3:$AE$231,31,0),0)</f>
        <v>0</v>
      </c>
      <c r="K199" s="44">
        <f>IFERROR(VLOOKUP(A199,'FERC 2022'!$A$3:$CQ$230,95,0)+VLOOKUP(A199,'EIA 2022'!$A$3:$AE$231,31,0),0)</f>
        <v>0</v>
      </c>
      <c r="L199" s="44">
        <f>IFERROR(VLOOKUP(A199,'FERC 2023'!$A$3:$CQ$231,95,0)+VLOOKUP(A199,'EIA 2023'!$A$3:$AE$231,31,0),0)</f>
        <v>0</v>
      </c>
      <c r="M199" s="44" t="str">
        <f t="shared" si="0"/>
        <v/>
      </c>
    </row>
    <row r="200" spans="1:14" ht="15.75" customHeight="1">
      <c r="A200" s="7" t="s">
        <v>802</v>
      </c>
      <c r="B200" s="7" t="s">
        <v>803</v>
      </c>
      <c r="C200" s="6"/>
      <c r="D200" s="6">
        <f>IFERROR(VLOOKUP(A200,'FERC 2021'!$A$3:$CK$231,82,0),0)</f>
        <v>1</v>
      </c>
      <c r="E200" s="6">
        <f>IFERROR(VLOOKUP(A200,'FERC 2022'!$A$3:$CK$230,82,0),0)</f>
        <v>1</v>
      </c>
      <c r="F200" s="6">
        <f>IFERROR(VLOOKUP(A200,'FERC 2023'!$A$3:$CK$231,82,0),0)</f>
        <v>1</v>
      </c>
      <c r="G200" s="6">
        <f>IFERROR(VLOOKUP(A200,'EIA 2021'!$A$2:$AA$268,27,0),0)</f>
        <v>2</v>
      </c>
      <c r="H200" s="6">
        <f>IFERROR(VLOOKUP(A200,'EIA 2022'!$A$2:$AA$268,27,0),0)</f>
        <v>2</v>
      </c>
      <c r="I200" s="6">
        <f>IFERROR(VLOOKUP(A200,'EIA 2023'!$A$2:$AA$268,27,0),0)</f>
        <v>2</v>
      </c>
      <c r="J200" s="29">
        <f>IFERROR(VLOOKUP(A200,'FERC 2021'!$A$3:$CQ$231,95,0)+VLOOKUP(A200,'EIA 2021'!$A$3:$AE$231,31,0),0)</f>
        <v>0</v>
      </c>
      <c r="K200" s="44">
        <f>IFERROR(VLOOKUP(A200,'FERC 2022'!$A$3:$CQ$230,95,0)+VLOOKUP(A200,'EIA 2022'!$A$3:$AE$231,31,0),0)</f>
        <v>0</v>
      </c>
      <c r="L200" s="44">
        <f>IFERROR(VLOOKUP(A200,'FERC 2023'!$A$3:$CQ$231,95,0)+VLOOKUP(A200,'EIA 2023'!$A$3:$AE$231,31,0),0)</f>
        <v>0</v>
      </c>
      <c r="M200" s="44">
        <f t="shared" si="0"/>
        <v>1</v>
      </c>
    </row>
    <row r="201" spans="1:14" ht="15.75" customHeight="1">
      <c r="A201" s="7" t="s">
        <v>805</v>
      </c>
      <c r="B201" s="7" t="s">
        <v>806</v>
      </c>
      <c r="C201" s="6"/>
      <c r="D201" s="6">
        <f>IFERROR(VLOOKUP(A201,'FERC 2021'!$A$3:$CK$231,82,0),0)</f>
        <v>1</v>
      </c>
      <c r="E201" s="6">
        <f>IFERROR(VLOOKUP(A201,'FERC 2022'!$A$3:$CK$230,82,0),0)</f>
        <v>1</v>
      </c>
      <c r="F201" s="6">
        <f>IFERROR(VLOOKUP(A201,'FERC 2023'!$A$3:$CK$231,82,0),0)</f>
        <v>1</v>
      </c>
      <c r="G201" s="6">
        <f>IFERROR(VLOOKUP(A201,'EIA 2021'!$A$2:$AA$268,27,0),0)</f>
        <v>2</v>
      </c>
      <c r="H201" s="6">
        <f>IFERROR(VLOOKUP(A201,'EIA 2022'!$A$2:$AA$268,27,0),0)</f>
        <v>2</v>
      </c>
      <c r="I201" s="6">
        <f>IFERROR(VLOOKUP(A201,'EIA 2023'!$A$2:$AA$268,27,0),0)</f>
        <v>2</v>
      </c>
      <c r="J201" s="29">
        <f>IFERROR(VLOOKUP(A201,'FERC 2021'!$A$3:$CQ$231,95,0)+VLOOKUP(A201,'EIA 2021'!$A$3:$AE$231,31,0),0)</f>
        <v>0</v>
      </c>
      <c r="K201" s="44">
        <f>IFERROR(VLOOKUP(A201,'FERC 2022'!$A$3:$CQ$230,95,0)+VLOOKUP(A201,'EIA 2022'!$A$3:$AE$231,31,0),0)</f>
        <v>0</v>
      </c>
      <c r="L201" s="44">
        <f>IFERROR(VLOOKUP(A201,'FERC 2023'!$A$3:$CQ$231,95,0)+VLOOKUP(A201,'EIA 2023'!$A$3:$AE$231,31,0),0)</f>
        <v>0</v>
      </c>
      <c r="M201" s="44">
        <f t="shared" si="0"/>
        <v>1</v>
      </c>
    </row>
    <row r="202" spans="1:14" ht="15.75" customHeight="1">
      <c r="A202" s="7" t="s">
        <v>808</v>
      </c>
      <c r="B202" s="7" t="s">
        <v>809</v>
      </c>
      <c r="C202" s="6"/>
      <c r="D202" s="6">
        <f>IFERROR(VLOOKUP(A202,'FERC 2021'!$A$3:$CK$231,82,0),0)</f>
        <v>0</v>
      </c>
      <c r="E202" s="6">
        <f>IFERROR(VLOOKUP(A202,'FERC 2022'!$A$3:$CK$230,82,0),0)</f>
        <v>0</v>
      </c>
      <c r="F202" s="6">
        <f>IFERROR(VLOOKUP(A202,'FERC 2023'!$A$3:$CK$231,82,0),0)</f>
        <v>0</v>
      </c>
      <c r="G202" s="6">
        <f>IFERROR(VLOOKUP(A202,'EIA 2021'!$A$2:$AA$268,27,0),0)</f>
        <v>0</v>
      </c>
      <c r="H202" s="6">
        <f>IFERROR(VLOOKUP(A202,'EIA 2022'!$A$2:$AA$268,27,0),0)</f>
        <v>0</v>
      </c>
      <c r="I202" s="6">
        <f>IFERROR(VLOOKUP(A202,'EIA 2023'!$A$2:$AA$268,27,0),0)</f>
        <v>0</v>
      </c>
      <c r="J202" s="29">
        <f>IFERROR(VLOOKUP(A202,'FERC 2021'!$A$3:$CQ$231,95,0)+VLOOKUP(A202,'EIA 2021'!$A$3:$AE$231,31,0),0)</f>
        <v>0</v>
      </c>
      <c r="K202" s="44">
        <f>IFERROR(VLOOKUP(A202,'FERC 2022'!$A$3:$CQ$230,95,0)+VLOOKUP(A202,'EIA 2022'!$A$3:$AE$231,31,0),0)</f>
        <v>0</v>
      </c>
      <c r="L202" s="44">
        <f>IFERROR(VLOOKUP(A202,'FERC 2023'!$A$3:$CQ$231,95,0)+VLOOKUP(A202,'EIA 2023'!$A$3:$AE$231,31,0),0)</f>
        <v>0</v>
      </c>
      <c r="M202" s="44" t="str">
        <f t="shared" si="0"/>
        <v/>
      </c>
    </row>
    <row r="203" spans="1:14" ht="15.75" customHeight="1">
      <c r="A203" s="7" t="s">
        <v>811</v>
      </c>
      <c r="B203" s="7" t="s">
        <v>812</v>
      </c>
      <c r="C203" s="6"/>
      <c r="D203" s="6">
        <f>IFERROR(VLOOKUP(A203,'FERC 2021'!$A$3:$CK$231,82,0),0)</f>
        <v>0</v>
      </c>
      <c r="E203" s="6">
        <f>IFERROR(VLOOKUP(A203,'FERC 2022'!$A$3:$CK$230,82,0),0)</f>
        <v>0</v>
      </c>
      <c r="F203" s="6">
        <f>IFERROR(VLOOKUP(A203,'FERC 2023'!$A$3:$CK$231,82,0),0)</f>
        <v>0</v>
      </c>
      <c r="G203" s="6">
        <f>IFERROR(VLOOKUP(A203,'EIA 2021'!$A$2:$AA$268,27,0),0)</f>
        <v>0</v>
      </c>
      <c r="H203" s="6">
        <f>IFERROR(VLOOKUP(A203,'EIA 2022'!$A$2:$AA$268,27,0),0)</f>
        <v>0</v>
      </c>
      <c r="I203" s="6">
        <f>IFERROR(VLOOKUP(A203,'EIA 2023'!$A$2:$AA$268,27,0),0)</f>
        <v>0</v>
      </c>
      <c r="J203" s="29">
        <f>IFERROR(VLOOKUP(A203,'FERC 2021'!$A$3:$CQ$231,95,0)+VLOOKUP(A203,'EIA 2021'!$A$3:$AE$231,31,0),0)</f>
        <v>0</v>
      </c>
      <c r="K203" s="44">
        <f>IFERROR(VLOOKUP(A203,'FERC 2022'!$A$3:$CQ$230,95,0)+VLOOKUP(A203,'EIA 2022'!$A$3:$AE$231,31,0),0)</f>
        <v>0</v>
      </c>
      <c r="L203" s="44">
        <f>IFERROR(VLOOKUP(A203,'FERC 2023'!$A$3:$CQ$231,95,0)+VLOOKUP(A203,'EIA 2023'!$A$3:$AE$231,31,0),0)</f>
        <v>0</v>
      </c>
      <c r="M203" s="44" t="str">
        <f t="shared" si="0"/>
        <v/>
      </c>
    </row>
    <row r="204" spans="1:14" ht="15.75" customHeight="1">
      <c r="A204" s="7" t="s">
        <v>814</v>
      </c>
      <c r="B204" s="7" t="s">
        <v>815</v>
      </c>
      <c r="C204" s="6"/>
      <c r="D204" s="6">
        <f>IFERROR(VLOOKUP(A204,'FERC 2021'!$A$3:$CK$231,82,0),0)</f>
        <v>0</v>
      </c>
      <c r="E204" s="6">
        <f>IFERROR(VLOOKUP(A204,'FERC 2022'!$A$3:$CK$230,82,0),0)</f>
        <v>0</v>
      </c>
      <c r="F204" s="6">
        <f>IFERROR(VLOOKUP(A204,'FERC 2023'!$A$3:$CK$231,82,0),0)</f>
        <v>0</v>
      </c>
      <c r="G204" s="6">
        <f>IFERROR(VLOOKUP(A204,'EIA 2021'!$A$2:$AA$268,27,0),0)</f>
        <v>0</v>
      </c>
      <c r="H204" s="6">
        <f>IFERROR(VLOOKUP(A204,'EIA 2022'!$A$2:$AA$268,27,0),0)</f>
        <v>0</v>
      </c>
      <c r="I204" s="6">
        <f>IFERROR(VLOOKUP(A204,'EIA 2023'!$A$2:$AA$268,27,0),0)</f>
        <v>0</v>
      </c>
      <c r="J204" s="29">
        <f>IFERROR(VLOOKUP(A204,'FERC 2021'!$A$3:$CQ$231,95,0)+VLOOKUP(A204,'EIA 2021'!$A$3:$AE$231,31,0),0)</f>
        <v>0</v>
      </c>
      <c r="K204" s="44">
        <f>IFERROR(VLOOKUP(A204,'FERC 2022'!$A$3:$CQ$230,95,0)+VLOOKUP(A204,'EIA 2022'!$A$3:$AE$231,31,0),0)</f>
        <v>0</v>
      </c>
      <c r="L204" s="44">
        <f>IFERROR(VLOOKUP(A204,'FERC 2023'!$A$3:$CQ$231,95,0)+VLOOKUP(A204,'EIA 2023'!$A$3:$AE$231,31,0),0)</f>
        <v>0</v>
      </c>
      <c r="M204" s="44" t="str">
        <f t="shared" si="0"/>
        <v/>
      </c>
    </row>
    <row r="205" spans="1:14" ht="15.75" customHeight="1">
      <c r="A205" s="7" t="s">
        <v>817</v>
      </c>
      <c r="B205" s="7" t="s">
        <v>818</v>
      </c>
      <c r="C205" s="6"/>
      <c r="D205" s="6">
        <f>IFERROR(VLOOKUP(A205,'FERC 2021'!$A$3:$CK$231,82,0),0)</f>
        <v>1</v>
      </c>
      <c r="E205" s="6">
        <f>IFERROR(VLOOKUP(A205,'FERC 2022'!$A$3:$CK$230,82,0),0)</f>
        <v>0</v>
      </c>
      <c r="F205" s="6">
        <f>IFERROR(VLOOKUP(A205,'FERC 2023'!$A$3:$CK$231,82,0),0)</f>
        <v>1</v>
      </c>
      <c r="G205" s="6">
        <f>IFERROR(VLOOKUP(A205,'EIA 2021'!$A$2:$AA$268,27,0),0)</f>
        <v>2</v>
      </c>
      <c r="H205" s="6">
        <f>IFERROR(VLOOKUP(A205,'EIA 2022'!$A$2:$AA$268,27,0),0)</f>
        <v>0</v>
      </c>
      <c r="I205" s="6">
        <f>IFERROR(VLOOKUP(A205,'EIA 2023'!$A$2:$AA$268,27,0),0)</f>
        <v>2</v>
      </c>
      <c r="J205" s="29">
        <f>IFERROR(VLOOKUP(A205,'FERC 2021'!$A$3:$CQ$231,95,0)+VLOOKUP(A205,'EIA 2021'!$A$3:$AE$231,31,0),0)</f>
        <v>2</v>
      </c>
      <c r="K205" s="44">
        <f>IFERROR(VLOOKUP(A205,'FERC 2022'!$A$3:$CQ$230,95,0)+VLOOKUP(A205,'EIA 2022'!$A$3:$AE$231,31,0),0)</f>
        <v>0</v>
      </c>
      <c r="L205" s="44">
        <f>IFERROR(VLOOKUP(A205,'FERC 2023'!$A$3:$CQ$231,95,0)+VLOOKUP(A205,'EIA 2023'!$A$3:$AE$231,31,0),0)</f>
        <v>2</v>
      </c>
      <c r="M205" s="44" t="str">
        <f t="shared" si="0"/>
        <v/>
      </c>
      <c r="N205" s="7" t="s">
        <v>1402</v>
      </c>
    </row>
    <row r="206" spans="1:14" ht="15.75" customHeight="1">
      <c r="A206" s="7" t="s">
        <v>820</v>
      </c>
      <c r="B206" s="7" t="s">
        <v>821</v>
      </c>
      <c r="C206" s="6"/>
      <c r="D206" s="6">
        <f>IFERROR(VLOOKUP(A206,'FERC 2021'!$A$3:$CK$231,82,0),0)</f>
        <v>0</v>
      </c>
      <c r="E206" s="6">
        <f>IFERROR(VLOOKUP(A206,'FERC 2022'!$A$3:$CK$230,82,0),0)</f>
        <v>0</v>
      </c>
      <c r="F206" s="6">
        <f>IFERROR(VLOOKUP(A206,'FERC 2023'!$A$3:$CK$231,82,0),0)</f>
        <v>0</v>
      </c>
      <c r="G206" s="6">
        <f>IFERROR(VLOOKUP(A206,'EIA 2021'!$A$2:$AA$268,27,0),0)</f>
        <v>0</v>
      </c>
      <c r="H206" s="6">
        <f>IFERROR(VLOOKUP(A206,'EIA 2022'!$A$2:$AA$268,27,0),0)</f>
        <v>0</v>
      </c>
      <c r="I206" s="6">
        <f>IFERROR(VLOOKUP(A206,'EIA 2023'!$A$2:$AA$268,27,0),0)</f>
        <v>0</v>
      </c>
      <c r="J206" s="29">
        <f>IFERROR(VLOOKUP(A206,'FERC 2021'!$A$3:$CQ$231,95,0)+VLOOKUP(A206,'EIA 2021'!$A$3:$AE$231,31,0),0)</f>
        <v>0</v>
      </c>
      <c r="K206" s="44">
        <f>IFERROR(VLOOKUP(A206,'FERC 2022'!$A$3:$CQ$230,95,0)+VLOOKUP(A206,'EIA 2022'!$A$3:$AE$231,31,0),0)</f>
        <v>0</v>
      </c>
      <c r="L206" s="44">
        <f>IFERROR(VLOOKUP(A206,'FERC 2023'!$A$3:$CQ$231,95,0)+VLOOKUP(A206,'EIA 2023'!$A$3:$AE$231,31,0),0)</f>
        <v>0</v>
      </c>
      <c r="M206" s="44" t="str">
        <f t="shared" si="0"/>
        <v/>
      </c>
    </row>
    <row r="207" spans="1:14" ht="15.75" customHeight="1">
      <c r="A207" s="7" t="s">
        <v>823</v>
      </c>
      <c r="B207" s="7" t="s">
        <v>824</v>
      </c>
      <c r="C207" s="6"/>
      <c r="D207" s="6">
        <f>IFERROR(VLOOKUP(A207,'FERC 2021'!$A$3:$CK$231,82,0),0)</f>
        <v>1</v>
      </c>
      <c r="E207" s="6">
        <f>IFERROR(VLOOKUP(A207,'FERC 2022'!$A$3:$CK$230,82,0),0)</f>
        <v>0</v>
      </c>
      <c r="F207" s="6">
        <f>IFERROR(VLOOKUP(A207,'FERC 2023'!$A$3:$CK$231,82,0),0)</f>
        <v>1</v>
      </c>
      <c r="G207" s="6">
        <f>IFERROR(VLOOKUP(A207,'EIA 2021'!$A$2:$AA$268,27,0),0)</f>
        <v>2</v>
      </c>
      <c r="H207" s="6">
        <f>IFERROR(VLOOKUP(A207,'EIA 2022'!$A$2:$AA$268,27,0),0)</f>
        <v>0</v>
      </c>
      <c r="I207" s="6">
        <f>IFERROR(VLOOKUP(A207,'EIA 2023'!$A$2:$AA$268,27,0),0)</f>
        <v>2</v>
      </c>
      <c r="J207" s="29">
        <f>IFERROR(VLOOKUP(A207,'FERC 2021'!$A$3:$CQ$231,95,0)+VLOOKUP(A207,'EIA 2021'!$A$3:$AE$231,31,0),0)</f>
        <v>0</v>
      </c>
      <c r="K207" s="44">
        <f>IFERROR(VLOOKUP(A207,'FERC 2022'!$A$3:$CQ$230,95,0)+VLOOKUP(A207,'EIA 2022'!$A$3:$AE$231,31,0),0)</f>
        <v>0</v>
      </c>
      <c r="L207" s="44">
        <f>IFERROR(VLOOKUP(A207,'FERC 2023'!$A$3:$CQ$231,95,0)+VLOOKUP(A207,'EIA 2023'!$A$3:$AE$231,31,0),0)</f>
        <v>0</v>
      </c>
      <c r="M207" s="44" t="str">
        <f t="shared" si="0"/>
        <v/>
      </c>
      <c r="N207" s="7" t="s">
        <v>1402</v>
      </c>
    </row>
    <row r="208" spans="1:14" ht="15.75" customHeight="1">
      <c r="A208" s="7" t="s">
        <v>826</v>
      </c>
      <c r="B208" s="7" t="s">
        <v>827</v>
      </c>
      <c r="C208" s="6"/>
      <c r="D208" s="6">
        <f>IFERROR(VLOOKUP(A208,'FERC 2021'!$A$3:$CK$231,82,0),0)</f>
        <v>0</v>
      </c>
      <c r="E208" s="6">
        <f>IFERROR(VLOOKUP(A208,'FERC 2022'!$A$3:$CK$230,82,0),0)</f>
        <v>0</v>
      </c>
      <c r="F208" s="6">
        <f>IFERROR(VLOOKUP(A208,'FERC 2023'!$A$3:$CK$231,82,0),0)</f>
        <v>0</v>
      </c>
      <c r="G208" s="6">
        <f>IFERROR(VLOOKUP(A208,'EIA 2021'!$A$2:$AA$268,27,0),0)</f>
        <v>0</v>
      </c>
      <c r="H208" s="6">
        <f>IFERROR(VLOOKUP(A208,'EIA 2022'!$A$2:$AA$268,27,0),0)</f>
        <v>0</v>
      </c>
      <c r="I208" s="6">
        <f>IFERROR(VLOOKUP(A208,'EIA 2023'!$A$2:$AA$268,27,0),0)</f>
        <v>0</v>
      </c>
      <c r="J208" s="29">
        <f>IFERROR(VLOOKUP(A208,'FERC 2021'!$A$3:$CQ$231,95,0)+VLOOKUP(A208,'EIA 2021'!$A$3:$AE$231,31,0),0)</f>
        <v>0</v>
      </c>
      <c r="K208" s="44">
        <f>IFERROR(VLOOKUP(A208,'FERC 2022'!$A$3:$CQ$230,95,0)+VLOOKUP(A208,'EIA 2022'!$A$3:$AE$231,31,0),0)</f>
        <v>0</v>
      </c>
      <c r="L208" s="44">
        <f>IFERROR(VLOOKUP(A208,'FERC 2023'!$A$3:$CQ$231,95,0)+VLOOKUP(A208,'EIA 2023'!$A$3:$AE$231,31,0),0)</f>
        <v>0</v>
      </c>
      <c r="M208" s="44" t="str">
        <f t="shared" si="0"/>
        <v/>
      </c>
    </row>
    <row r="209" spans="1:14" ht="15.75" customHeight="1">
      <c r="A209" s="7" t="s">
        <v>829</v>
      </c>
      <c r="B209" s="7" t="s">
        <v>830</v>
      </c>
      <c r="C209" s="6"/>
      <c r="D209" s="6">
        <f>IFERROR(VLOOKUP(A209,'FERC 2021'!$A$3:$CK$231,82,0),0)</f>
        <v>0</v>
      </c>
      <c r="E209" s="6">
        <f>IFERROR(VLOOKUP(A209,'FERC 2022'!$A$3:$CK$230,82,0),0)</f>
        <v>0</v>
      </c>
      <c r="F209" s="6">
        <f>IFERROR(VLOOKUP(A209,'FERC 2023'!$A$3:$CK$231,82,0),0)</f>
        <v>0</v>
      </c>
      <c r="G209" s="6">
        <f>IFERROR(VLOOKUP(A209,'EIA 2021'!$A$2:$AA$268,27,0),0)</f>
        <v>0</v>
      </c>
      <c r="H209" s="6">
        <f>IFERROR(VLOOKUP(A209,'EIA 2022'!$A$2:$AA$268,27,0),0)</f>
        <v>0</v>
      </c>
      <c r="I209" s="6">
        <f>IFERROR(VLOOKUP(A209,'EIA 2023'!$A$2:$AA$268,27,0),0)</f>
        <v>0</v>
      </c>
      <c r="J209" s="29">
        <f>IFERROR(VLOOKUP(A209,'FERC 2021'!$A$3:$CQ$231,95,0)+VLOOKUP(A209,'EIA 2021'!$A$3:$AE$231,31,0),0)</f>
        <v>0</v>
      </c>
      <c r="K209" s="44">
        <f>IFERROR(VLOOKUP(A209,'FERC 2022'!$A$3:$CQ$230,95,0)+VLOOKUP(A209,'EIA 2022'!$A$3:$AE$231,31,0),0)</f>
        <v>0</v>
      </c>
      <c r="L209" s="44">
        <f>IFERROR(VLOOKUP(A209,'FERC 2023'!$A$3:$CQ$231,95,0)+VLOOKUP(A209,'EIA 2023'!$A$3:$AE$231,31,0),0)</f>
        <v>0</v>
      </c>
      <c r="M209" s="44" t="str">
        <f t="shared" si="0"/>
        <v/>
      </c>
    </row>
    <row r="210" spans="1:14" ht="15.75" customHeight="1">
      <c r="A210" s="7" t="s">
        <v>832</v>
      </c>
      <c r="B210" s="7" t="s">
        <v>833</v>
      </c>
      <c r="C210" s="6"/>
      <c r="D210" s="6">
        <f>IFERROR(VLOOKUP(A210,'FERC 2021'!$A$3:$CK$231,82,0),0)</f>
        <v>0</v>
      </c>
      <c r="E210" s="6">
        <f>IFERROR(VLOOKUP(A210,'FERC 2022'!$A$3:$CK$230,82,0),0)</f>
        <v>0</v>
      </c>
      <c r="F210" s="6">
        <f>IFERROR(VLOOKUP(A210,'FERC 2023'!$A$3:$CK$231,82,0),0)</f>
        <v>0</v>
      </c>
      <c r="G210" s="6">
        <f>IFERROR(VLOOKUP(A210,'EIA 2021'!$A$2:$AA$268,27,0),0)</f>
        <v>0</v>
      </c>
      <c r="H210" s="6">
        <f>IFERROR(VLOOKUP(A210,'EIA 2022'!$A$2:$AA$268,27,0),0)</f>
        <v>0</v>
      </c>
      <c r="I210" s="6">
        <f>IFERROR(VLOOKUP(A210,'EIA 2023'!$A$2:$AA$268,27,0),0)</f>
        <v>0</v>
      </c>
      <c r="J210" s="29">
        <f>IFERROR(VLOOKUP(A210,'FERC 2021'!$A$3:$CQ$231,95,0)+VLOOKUP(A210,'EIA 2021'!$A$3:$AE$231,31,0),0)</f>
        <v>0</v>
      </c>
      <c r="K210" s="44">
        <f>IFERROR(VLOOKUP(A210,'FERC 2022'!$A$3:$CQ$230,95,0)+VLOOKUP(A210,'EIA 2022'!$A$3:$AE$231,31,0),0)</f>
        <v>0</v>
      </c>
      <c r="L210" s="44">
        <f>IFERROR(VLOOKUP(A210,'FERC 2023'!$A$3:$CQ$231,95,0)+VLOOKUP(A210,'EIA 2023'!$A$3:$AE$231,31,0),0)</f>
        <v>0</v>
      </c>
      <c r="M210" s="44" t="str">
        <f t="shared" si="0"/>
        <v/>
      </c>
    </row>
    <row r="211" spans="1:14" ht="15.75" customHeight="1">
      <c r="A211" s="7" t="s">
        <v>835</v>
      </c>
      <c r="B211" s="7" t="s">
        <v>836</v>
      </c>
      <c r="C211" s="6"/>
      <c r="D211" s="6">
        <f>IFERROR(VLOOKUP(A211,'FERC 2021'!$A$3:$CK$231,82,0),0)</f>
        <v>0</v>
      </c>
      <c r="E211" s="6">
        <f>IFERROR(VLOOKUP(A211,'FERC 2022'!$A$3:$CK$230,82,0),0)</f>
        <v>0</v>
      </c>
      <c r="F211" s="6">
        <f>IFERROR(VLOOKUP(A211,'FERC 2023'!$A$3:$CK$231,82,0),0)</f>
        <v>0</v>
      </c>
      <c r="G211" s="6">
        <f>IFERROR(VLOOKUP(A211,'EIA 2021'!$A$2:$AA$268,27,0),0)</f>
        <v>0</v>
      </c>
      <c r="H211" s="6">
        <f>IFERROR(VLOOKUP(A211,'EIA 2022'!$A$2:$AA$268,27,0),0)</f>
        <v>0</v>
      </c>
      <c r="I211" s="6">
        <f>IFERROR(VLOOKUP(A211,'EIA 2023'!$A$2:$AA$268,27,0),0)</f>
        <v>0</v>
      </c>
      <c r="J211" s="29">
        <f>IFERROR(VLOOKUP(A211,'FERC 2021'!$A$3:$CQ$231,95,0)+VLOOKUP(A211,'EIA 2021'!$A$3:$AE$231,31,0),0)</f>
        <v>0</v>
      </c>
      <c r="K211" s="44">
        <f>IFERROR(VLOOKUP(A211,'FERC 2022'!$A$3:$CQ$230,95,0)+VLOOKUP(A211,'EIA 2022'!$A$3:$AE$231,31,0),0)</f>
        <v>0</v>
      </c>
      <c r="L211" s="44">
        <f>IFERROR(VLOOKUP(A211,'FERC 2023'!$A$3:$CQ$231,95,0)+VLOOKUP(A211,'EIA 2023'!$A$3:$AE$231,31,0),0)</f>
        <v>0</v>
      </c>
      <c r="M211" s="44" t="str">
        <f t="shared" si="0"/>
        <v/>
      </c>
    </row>
    <row r="212" spans="1:14" ht="15.75" customHeight="1">
      <c r="A212" s="7" t="s">
        <v>1316</v>
      </c>
      <c r="B212" s="7" t="s">
        <v>1317</v>
      </c>
      <c r="C212" s="6"/>
      <c r="D212" s="6">
        <f>IFERROR(VLOOKUP(A212,'FERC 2021'!$A$3:$CK$231,82,0),0)</f>
        <v>0</v>
      </c>
      <c r="E212" s="6">
        <f>IFERROR(VLOOKUP(A212,'FERC 2022'!$A$3:$CK$230,82,0),0)</f>
        <v>0</v>
      </c>
      <c r="F212" s="6">
        <f>IFERROR(VLOOKUP(A212,'FERC 2023'!$A$3:$CK$231,82,0),0)</f>
        <v>0</v>
      </c>
      <c r="G212" s="6">
        <f>IFERROR(VLOOKUP(A212,'EIA 2021'!$A$2:$AA$268,27,0),0)</f>
        <v>0</v>
      </c>
      <c r="H212" s="6">
        <f>IFERROR(VLOOKUP(A212,'EIA 2022'!$A$2:$AA$268,27,0),0)</f>
        <v>0</v>
      </c>
      <c r="I212" s="6">
        <f>IFERROR(VLOOKUP(A212,'EIA 2023'!$A$2:$AA$268,27,0),0)</f>
        <v>0</v>
      </c>
      <c r="J212" s="29">
        <f>IFERROR(VLOOKUP(A212,'FERC 2021'!$A$3:$CQ$231,95,0)+VLOOKUP(A212,'EIA 2021'!$A$3:$AE$231,31,0),0)</f>
        <v>0</v>
      </c>
      <c r="K212" s="44">
        <f>IFERROR(VLOOKUP(A212,'FERC 2022'!$A$3:$CQ$230,95,0)+VLOOKUP(A212,'EIA 2022'!$A$3:$AE$231,31,0),0)</f>
        <v>0</v>
      </c>
      <c r="L212" s="44">
        <f>IFERROR(VLOOKUP(A212,'FERC 2023'!$A$3:$CQ$231,95,0)+VLOOKUP(A212,'EIA 2023'!$A$3:$AE$231,31,0),0)</f>
        <v>0</v>
      </c>
      <c r="M212" s="44" t="str">
        <f t="shared" si="0"/>
        <v/>
      </c>
    </row>
    <row r="213" spans="1:14" ht="15.75" customHeight="1">
      <c r="A213" s="7" t="s">
        <v>838</v>
      </c>
      <c r="B213" s="7" t="s">
        <v>839</v>
      </c>
      <c r="C213" s="6"/>
      <c r="D213" s="6">
        <f>IFERROR(VLOOKUP(A213,'FERC 2021'!$A$3:$CK$231,82,0),0)</f>
        <v>1</v>
      </c>
      <c r="E213" s="6">
        <f>IFERROR(VLOOKUP(A213,'FERC 2022'!$A$3:$CK$230,82,0),0)</f>
        <v>0</v>
      </c>
      <c r="F213" s="6">
        <f>IFERROR(VLOOKUP(A213,'FERC 2023'!$A$3:$CK$231,82,0),0)</f>
        <v>1</v>
      </c>
      <c r="G213" s="6">
        <f>IFERROR(VLOOKUP(A213,'EIA 2021'!$A$2:$AA$268,27,0),0)</f>
        <v>0</v>
      </c>
      <c r="H213" s="6">
        <f>IFERROR(VLOOKUP(A213,'EIA 2022'!$A$2:$AA$268,27,0),0)</f>
        <v>0</v>
      </c>
      <c r="I213" s="6">
        <f>IFERROR(VLOOKUP(A213,'EIA 2023'!$A$2:$AA$268,27,0),0)</f>
        <v>0</v>
      </c>
      <c r="J213" s="29">
        <f>IFERROR(VLOOKUP(A213,'FERC 2021'!$A$3:$CQ$231,95,0)+VLOOKUP(A213,'EIA 2021'!$A$3:$AE$231,31,0),0)</f>
        <v>0</v>
      </c>
      <c r="K213" s="44">
        <f>IFERROR(VLOOKUP(A213,'FERC 2022'!$A$3:$CQ$230,95,0)+VLOOKUP(A213,'EIA 2022'!$A$3:$AE$231,31,0),0)</f>
        <v>0</v>
      </c>
      <c r="L213" s="44">
        <f>IFERROR(VLOOKUP(A213,'FERC 2023'!$A$3:$CQ$231,95,0)+VLOOKUP(A213,'EIA 2023'!$A$3:$AE$231,31,0),0)</f>
        <v>0</v>
      </c>
      <c r="M213" s="44" t="str">
        <f t="shared" si="0"/>
        <v/>
      </c>
      <c r="N213" s="53"/>
    </row>
    <row r="214" spans="1:14" ht="15.75" customHeight="1">
      <c r="A214" s="7" t="s">
        <v>841</v>
      </c>
      <c r="B214" s="7" t="s">
        <v>842</v>
      </c>
      <c r="C214" s="6"/>
      <c r="D214" s="6">
        <f>IFERROR(VLOOKUP(A214,'FERC 2021'!$A$3:$CK$231,82,0),0)</f>
        <v>1</v>
      </c>
      <c r="E214" s="6">
        <f>IFERROR(VLOOKUP(A214,'FERC 2022'!$A$3:$CK$230,82,0),0)</f>
        <v>1</v>
      </c>
      <c r="F214" s="6">
        <f>IFERROR(VLOOKUP(A214,'FERC 2023'!$A$3:$CK$231,82,0),0)</f>
        <v>1</v>
      </c>
      <c r="G214" s="6">
        <f>IFERROR(VLOOKUP(A214,'EIA 2021'!$A$2:$AA$268,27,0),0)</f>
        <v>2</v>
      </c>
      <c r="H214" s="6">
        <f>IFERROR(VLOOKUP(A214,'EIA 2022'!$A$2:$AA$268,27,0),0)</f>
        <v>2</v>
      </c>
      <c r="I214" s="6">
        <f>IFERROR(VLOOKUP(A214,'EIA 2023'!$A$2:$AA$268,27,0),0)</f>
        <v>2</v>
      </c>
      <c r="J214" s="29">
        <f>IFERROR(VLOOKUP(A214,'FERC 2021'!$A$3:$CQ$231,95,0)+VLOOKUP(A214,'EIA 2021'!$A$3:$AE$231,31,0),0)</f>
        <v>0</v>
      </c>
      <c r="K214" s="44">
        <f>IFERROR(VLOOKUP(A214,'FERC 2022'!$A$3:$CQ$230,95,0)+VLOOKUP(A214,'EIA 2022'!$A$3:$AE$231,31,0),0)</f>
        <v>0</v>
      </c>
      <c r="L214" s="44">
        <f>IFERROR(VLOOKUP(A214,'FERC 2023'!$A$3:$CQ$231,95,0)+VLOOKUP(A214,'EIA 2023'!$A$3:$AE$231,31,0),0)</f>
        <v>0</v>
      </c>
      <c r="M214" s="44">
        <f t="shared" si="0"/>
        <v>1</v>
      </c>
      <c r="N214" s="96"/>
    </row>
    <row r="215" spans="1:14" ht="15.75" customHeight="1">
      <c r="A215" s="7" t="s">
        <v>844</v>
      </c>
      <c r="B215" s="7" t="s">
        <v>845</v>
      </c>
      <c r="C215" s="6"/>
      <c r="D215" s="6">
        <f>IFERROR(VLOOKUP(A215,'FERC 2021'!$A$3:$CK$231,82,0),0)</f>
        <v>1</v>
      </c>
      <c r="E215" s="6">
        <f>IFERROR(VLOOKUP(A215,'FERC 2022'!$A$3:$CK$230,82,0),0)</f>
        <v>1</v>
      </c>
      <c r="F215" s="6">
        <f>IFERROR(VLOOKUP(A215,'FERC 2023'!$A$3:$CK$231,82,0),0)</f>
        <v>1</v>
      </c>
      <c r="G215" s="6">
        <f>IFERROR(VLOOKUP(A215,'EIA 2021'!$A$2:$AA$268,27,0),0)</f>
        <v>2</v>
      </c>
      <c r="H215" s="6">
        <f>IFERROR(VLOOKUP(A215,'EIA 2022'!$A$2:$AA$268,27,0),0)</f>
        <v>2</v>
      </c>
      <c r="I215" s="6">
        <f>IFERROR(VLOOKUP(A215,'EIA 2023'!$A$2:$AA$268,27,0),0)</f>
        <v>2</v>
      </c>
      <c r="J215" s="29">
        <f>IFERROR(VLOOKUP(A215,'FERC 2021'!$A$3:$CQ$231,95,0)+VLOOKUP(A215,'EIA 2021'!$A$3:$AE$231,31,0),0)</f>
        <v>0</v>
      </c>
      <c r="K215" s="44">
        <f>IFERROR(VLOOKUP(A215,'FERC 2022'!$A$3:$CQ$230,95,0)+VLOOKUP(A215,'EIA 2022'!$A$3:$AE$231,31,0),0)</f>
        <v>0</v>
      </c>
      <c r="L215" s="44">
        <f>IFERROR(VLOOKUP(A215,'FERC 2023'!$A$3:$CQ$231,95,0)+VLOOKUP(A215,'EIA 2023'!$A$3:$AE$231,31,0),0)</f>
        <v>0</v>
      </c>
      <c r="M215" s="44">
        <f t="shared" si="0"/>
        <v>1</v>
      </c>
    </row>
    <row r="216" spans="1:14" ht="15.75" customHeight="1">
      <c r="A216" s="7" t="s">
        <v>847</v>
      </c>
      <c r="B216" s="7" t="s">
        <v>848</v>
      </c>
      <c r="C216" s="6"/>
      <c r="D216" s="6">
        <f>IFERROR(VLOOKUP(A216,'FERC 2021'!$A$3:$CK$231,82,0),0)</f>
        <v>1</v>
      </c>
      <c r="E216" s="6">
        <f>IFERROR(VLOOKUP(A216,'FERC 2022'!$A$3:$CK$230,82,0),0)</f>
        <v>0</v>
      </c>
      <c r="F216" s="6">
        <f>IFERROR(VLOOKUP(A216,'FERC 2023'!$A$3:$CK$231,82,0),0)</f>
        <v>0</v>
      </c>
      <c r="G216" s="6">
        <f>IFERROR(VLOOKUP(A216,'EIA 2021'!$A$2:$AA$268,27,0),0)</f>
        <v>0</v>
      </c>
      <c r="H216" s="6">
        <f>IFERROR(VLOOKUP(A216,'EIA 2022'!$A$2:$AA$268,27,0),0)</f>
        <v>0</v>
      </c>
      <c r="I216" s="6">
        <f>IFERROR(VLOOKUP(A216,'EIA 2023'!$A$2:$AA$268,27,0),0)</f>
        <v>0</v>
      </c>
      <c r="J216" s="29">
        <f>IFERROR(VLOOKUP(A216,'FERC 2021'!$A$3:$CQ$231,95,0)+VLOOKUP(A216,'EIA 2021'!$A$3:$AE$231,31,0),0)</f>
        <v>0</v>
      </c>
      <c r="K216" s="44">
        <f>IFERROR(VLOOKUP(A216,'FERC 2022'!$A$3:$CQ$230,95,0)+VLOOKUP(A216,'EIA 2022'!$A$3:$AE$231,31,0),0)</f>
        <v>0</v>
      </c>
      <c r="L216" s="44">
        <f>IFERROR(VLOOKUP(A216,'FERC 2023'!$A$3:$CQ$231,95,0)+VLOOKUP(A216,'EIA 2023'!$A$3:$AE$231,31,0),0)</f>
        <v>0</v>
      </c>
      <c r="M216" s="44" t="str">
        <f t="shared" si="0"/>
        <v/>
      </c>
    </row>
    <row r="217" spans="1:14" ht="15.75" customHeight="1">
      <c r="A217" s="7" t="s">
        <v>850</v>
      </c>
      <c r="B217" s="7" t="s">
        <v>851</v>
      </c>
      <c r="C217" s="6"/>
      <c r="D217" s="6">
        <f>IFERROR(VLOOKUP(A217,'FERC 2021'!$A$3:$CK$231,82,0),0)</f>
        <v>1</v>
      </c>
      <c r="E217" s="6">
        <f>IFERROR(VLOOKUP(A217,'FERC 2022'!$A$3:$CK$230,82,0),0)</f>
        <v>1</v>
      </c>
      <c r="F217" s="6">
        <f>IFERROR(VLOOKUP(A217,'FERC 2023'!$A$3:$CK$231,82,0),0)</f>
        <v>1</v>
      </c>
      <c r="G217" s="6">
        <f>IFERROR(VLOOKUP(A217,'EIA 2021'!$A$2:$AA$268,27,0),0)</f>
        <v>1</v>
      </c>
      <c r="H217" s="6">
        <f>IFERROR(VLOOKUP(A217,'EIA 2022'!$A$2:$AA$268,27,0),0)</f>
        <v>1</v>
      </c>
      <c r="I217" s="6">
        <f>IFERROR(VLOOKUP(A217,'EIA 2023'!$A$2:$AA$268,27,0),0)</f>
        <v>1</v>
      </c>
      <c r="J217" s="29">
        <f>IFERROR(VLOOKUP(A217,'FERC 2021'!$A$3:$CQ$231,95,0)+VLOOKUP(A217,'EIA 2021'!$A$3:$AE$231,31,0),0)</f>
        <v>0</v>
      </c>
      <c r="K217" s="44">
        <f>IFERROR(VLOOKUP(A217,'FERC 2022'!$A$3:$CQ$230,95,0)+VLOOKUP(A217,'EIA 2022'!$A$3:$AE$231,31,0),0)</f>
        <v>0</v>
      </c>
      <c r="L217" s="44">
        <f>IFERROR(VLOOKUP(A217,'FERC 2023'!$A$3:$CQ$231,95,0)+VLOOKUP(A217,'EIA 2023'!$A$3:$AE$231,31,0),0)</f>
        <v>0</v>
      </c>
      <c r="M217" s="44" t="str">
        <f t="shared" si="0"/>
        <v/>
      </c>
      <c r="N217" s="7" t="s">
        <v>1403</v>
      </c>
    </row>
    <row r="218" spans="1:14" ht="15.75" customHeight="1">
      <c r="A218" s="7" t="s">
        <v>853</v>
      </c>
      <c r="B218" s="7" t="s">
        <v>854</v>
      </c>
      <c r="C218" s="6"/>
      <c r="D218" s="6">
        <f>IFERROR(VLOOKUP(A218,'FERC 2021'!$A$3:$CK$231,82,0),0)</f>
        <v>0</v>
      </c>
      <c r="E218" s="6">
        <f>IFERROR(VLOOKUP(A218,'FERC 2022'!$A$3:$CK$230,82,0),0)</f>
        <v>0</v>
      </c>
      <c r="F218" s="6">
        <f>IFERROR(VLOOKUP(A218,'FERC 2023'!$A$3:$CK$231,82,0),0)</f>
        <v>0</v>
      </c>
      <c r="G218" s="6">
        <f>IFERROR(VLOOKUP(A218,'EIA 2021'!$A$2:$AA$268,27,0),0)</f>
        <v>0</v>
      </c>
      <c r="H218" s="6">
        <f>IFERROR(VLOOKUP(A218,'EIA 2022'!$A$2:$AA$268,27,0),0)</f>
        <v>0</v>
      </c>
      <c r="I218" s="6">
        <f>IFERROR(VLOOKUP(A218,'EIA 2023'!$A$2:$AA$268,27,0),0)</f>
        <v>0</v>
      </c>
      <c r="J218" s="29">
        <f>IFERROR(VLOOKUP(A218,'FERC 2021'!$A$3:$CQ$231,95,0)+VLOOKUP(A218,'EIA 2021'!$A$3:$AE$231,31,0),0)</f>
        <v>0</v>
      </c>
      <c r="K218" s="44">
        <f>IFERROR(VLOOKUP(A218,'FERC 2022'!$A$3:$CQ$230,95,0)+VLOOKUP(A218,'EIA 2022'!$A$3:$AE$231,31,0),0)</f>
        <v>0</v>
      </c>
      <c r="L218" s="44">
        <f>IFERROR(VLOOKUP(A218,'FERC 2023'!$A$3:$CQ$231,95,0)+VLOOKUP(A218,'EIA 2023'!$A$3:$AE$231,31,0),0)</f>
        <v>0</v>
      </c>
      <c r="M218" s="44" t="str">
        <f t="shared" si="0"/>
        <v/>
      </c>
    </row>
    <row r="219" spans="1:14" ht="15.75" customHeight="1">
      <c r="A219" s="7" t="s">
        <v>856</v>
      </c>
      <c r="B219" s="7" t="s">
        <v>857</v>
      </c>
      <c r="C219" s="6"/>
      <c r="D219" s="6">
        <f>IFERROR(VLOOKUP(A219,'FERC 2021'!$A$3:$CK$231,82,0),0)</f>
        <v>0</v>
      </c>
      <c r="E219" s="6">
        <f>IFERROR(VLOOKUP(A219,'FERC 2022'!$A$3:$CK$230,82,0),0)</f>
        <v>0</v>
      </c>
      <c r="F219" s="6">
        <f>IFERROR(VLOOKUP(A219,'FERC 2023'!$A$3:$CK$231,82,0),0)</f>
        <v>0</v>
      </c>
      <c r="G219" s="6">
        <f>IFERROR(VLOOKUP(A219,'EIA 2021'!$A$2:$AA$268,27,0),0)</f>
        <v>0</v>
      </c>
      <c r="H219" s="6">
        <f>IFERROR(VLOOKUP(A219,'EIA 2022'!$A$2:$AA$268,27,0),0)</f>
        <v>0</v>
      </c>
      <c r="I219" s="6">
        <f>IFERROR(VLOOKUP(A219,'EIA 2023'!$A$2:$AA$268,27,0),0)</f>
        <v>0</v>
      </c>
      <c r="J219" s="29">
        <f>IFERROR(VLOOKUP(A219,'FERC 2021'!$A$3:$CQ$231,95,0)+VLOOKUP(A219,'EIA 2021'!$A$3:$AE$231,31,0),0)</f>
        <v>0</v>
      </c>
      <c r="K219" s="44">
        <f>IFERROR(VLOOKUP(A219,'FERC 2022'!$A$3:$CQ$230,95,0)+VLOOKUP(A219,'EIA 2022'!$A$3:$AE$231,31,0),0)</f>
        <v>0</v>
      </c>
      <c r="L219" s="44">
        <f>IFERROR(VLOOKUP(A219,'FERC 2023'!$A$3:$CQ$231,95,0)+VLOOKUP(A219,'EIA 2023'!$A$3:$AE$231,31,0),0)</f>
        <v>0</v>
      </c>
      <c r="M219" s="44" t="str">
        <f t="shared" si="0"/>
        <v/>
      </c>
    </row>
    <row r="220" spans="1:14" ht="15.75" customHeight="1">
      <c r="A220" s="7" t="s">
        <v>859</v>
      </c>
      <c r="B220" s="7" t="s">
        <v>860</v>
      </c>
      <c r="C220" s="6"/>
      <c r="D220" s="6">
        <f>IFERROR(VLOOKUP(A220,'FERC 2021'!$A$3:$CK$231,82,0),0)</f>
        <v>1</v>
      </c>
      <c r="E220" s="6">
        <f>IFERROR(VLOOKUP(A220,'FERC 2022'!$A$3:$CK$230,82,0),0)</f>
        <v>1</v>
      </c>
      <c r="F220" s="6">
        <f>IFERROR(VLOOKUP(A220,'FERC 2023'!$A$3:$CK$231,82,0),0)</f>
        <v>1</v>
      </c>
      <c r="G220" s="6">
        <f>IFERROR(VLOOKUP(A220,'EIA 2021'!$A$2:$AA$268,27,0),0)</f>
        <v>0</v>
      </c>
      <c r="H220" s="6">
        <f>IFERROR(VLOOKUP(A220,'EIA 2022'!$A$2:$AA$268,27,0),0)</f>
        <v>0</v>
      </c>
      <c r="I220" s="6">
        <f>IFERROR(VLOOKUP(A220,'EIA 2023'!$A$2:$AA$268,27,0),0)</f>
        <v>0</v>
      </c>
      <c r="J220" s="29">
        <f>IFERROR(VLOOKUP(A220,'FERC 2021'!$A$3:$CQ$231,95,0)+VLOOKUP(A220,'EIA 2021'!$A$3:$AE$231,31,0),0)</f>
        <v>0</v>
      </c>
      <c r="K220" s="44">
        <f>IFERROR(VLOOKUP(A220,'FERC 2022'!$A$3:$CQ$230,95,0)+VLOOKUP(A220,'EIA 2022'!$A$3:$AE$231,31,0),0)</f>
        <v>0</v>
      </c>
      <c r="L220" s="44">
        <f>IFERROR(VLOOKUP(A220,'FERC 2023'!$A$3:$CQ$231,95,0)+VLOOKUP(A220,'EIA 2023'!$A$3:$AE$231,31,0),0)</f>
        <v>0</v>
      </c>
      <c r="M220" s="44" t="str">
        <f t="shared" si="0"/>
        <v/>
      </c>
    </row>
    <row r="221" spans="1:14" ht="15.75" customHeight="1">
      <c r="A221" s="7" t="s">
        <v>862</v>
      </c>
      <c r="B221" s="7" t="s">
        <v>863</v>
      </c>
      <c r="C221" s="6"/>
      <c r="D221" s="6">
        <f>IFERROR(VLOOKUP(A221,'FERC 2021'!$A$3:$CK$231,82,0),0)</f>
        <v>1</v>
      </c>
      <c r="E221" s="6">
        <f>IFERROR(VLOOKUP(A221,'FERC 2022'!$A$3:$CK$230,82,0),0)</f>
        <v>1</v>
      </c>
      <c r="F221" s="6">
        <f>IFERROR(VLOOKUP(A221,'FERC 2023'!$A$3:$CK$231,82,0),0)</f>
        <v>1</v>
      </c>
      <c r="G221" s="6">
        <f>IFERROR(VLOOKUP(A221,'EIA 2021'!$A$2:$AA$268,27,0),0)</f>
        <v>2</v>
      </c>
      <c r="H221" s="6">
        <f>IFERROR(VLOOKUP(A221,'EIA 2022'!$A$2:$AA$268,27,0),0)</f>
        <v>2</v>
      </c>
      <c r="I221" s="6">
        <f>IFERROR(VLOOKUP(A221,'EIA 2023'!$A$2:$AA$268,27,0),0)</f>
        <v>2</v>
      </c>
      <c r="J221" s="29">
        <f>IFERROR(VLOOKUP(A221,'FERC 2021'!$A$3:$CQ$231,95,0)+VLOOKUP(A221,'EIA 2021'!$A$3:$AE$231,31,0),0)</f>
        <v>0</v>
      </c>
      <c r="K221" s="44">
        <f>IFERROR(VLOOKUP(A221,'FERC 2022'!$A$3:$CQ$230,95,0)+VLOOKUP(A221,'EIA 2022'!$A$3:$AE$231,31,0),0)</f>
        <v>0</v>
      </c>
      <c r="L221" s="44">
        <f>IFERROR(VLOOKUP(A221,'FERC 2023'!$A$3:$CQ$231,95,0)+VLOOKUP(A221,'EIA 2023'!$A$3:$AE$231,31,0),0)</f>
        <v>0</v>
      </c>
      <c r="M221" s="44">
        <f t="shared" si="0"/>
        <v>1</v>
      </c>
      <c r="N221" s="7"/>
    </row>
    <row r="222" spans="1:14" ht="15.75" customHeight="1">
      <c r="A222" s="7" t="s">
        <v>865</v>
      </c>
      <c r="B222" s="7" t="s">
        <v>866</v>
      </c>
      <c r="C222" s="6"/>
      <c r="D222" s="6">
        <f>IFERROR(VLOOKUP(A222,'FERC 2021'!$A$3:$CK$231,82,0),0)</f>
        <v>1</v>
      </c>
      <c r="E222" s="6">
        <f>IFERROR(VLOOKUP(A222,'FERC 2022'!$A$3:$CK$230,82,0),0)</f>
        <v>1</v>
      </c>
      <c r="F222" s="6">
        <f>IFERROR(VLOOKUP(A222,'FERC 2023'!$A$3:$CK$231,82,0),0)</f>
        <v>0</v>
      </c>
      <c r="G222" s="6">
        <f>IFERROR(VLOOKUP(A222,'EIA 2021'!$A$2:$AA$268,27,0),0)</f>
        <v>0</v>
      </c>
      <c r="H222" s="6">
        <f>IFERROR(VLOOKUP(A222,'EIA 2022'!$A$2:$AA$268,27,0),0)</f>
        <v>0</v>
      </c>
      <c r="I222" s="6">
        <f>IFERROR(VLOOKUP(A222,'EIA 2023'!$A$2:$AA$268,27,0),0)</f>
        <v>0</v>
      </c>
      <c r="J222" s="29">
        <f>IFERROR(VLOOKUP(A222,'FERC 2021'!$A$3:$CQ$231,95,0)+VLOOKUP(A222,'EIA 2021'!$A$3:$AE$231,31,0),0)</f>
        <v>0</v>
      </c>
      <c r="K222" s="44">
        <f>IFERROR(VLOOKUP(A222,'FERC 2022'!$A$3:$CQ$230,95,0)+VLOOKUP(A222,'EIA 2022'!$A$3:$AE$231,31,0),0)</f>
        <v>0</v>
      </c>
      <c r="L222" s="44">
        <f>IFERROR(VLOOKUP(A222,'FERC 2023'!$A$3:$CQ$231,95,0)+VLOOKUP(A222,'EIA 2023'!$A$3:$AE$231,31,0),0)</f>
        <v>0</v>
      </c>
      <c r="M222" s="44" t="str">
        <f t="shared" si="0"/>
        <v/>
      </c>
      <c r="N222" s="44" t="s">
        <v>1404</v>
      </c>
    </row>
    <row r="223" spans="1:14" ht="15.75" customHeight="1">
      <c r="A223" s="7" t="s">
        <v>1302</v>
      </c>
      <c r="B223" s="7" t="s">
        <v>1303</v>
      </c>
      <c r="C223" s="6"/>
      <c r="D223" s="6">
        <f>IFERROR(VLOOKUP(A223,'FERC 2021'!$A$3:$CK$231,82,0),0)</f>
        <v>0</v>
      </c>
      <c r="E223" s="6">
        <f>IFERROR(VLOOKUP(A223,'FERC 2022'!$A$3:$CK$230,82,0),0)</f>
        <v>0</v>
      </c>
      <c r="F223" s="6">
        <f>IFERROR(VLOOKUP(A223,'FERC 2023'!$A$3:$CK$231,82,0),0)</f>
        <v>0</v>
      </c>
      <c r="G223" s="6">
        <f>IFERROR(VLOOKUP(A223,'EIA 2021'!$A$2:$AA$268,27,0),0)</f>
        <v>0</v>
      </c>
      <c r="H223" s="6">
        <f>IFERROR(VLOOKUP(A223,'EIA 2022'!$A$2:$AA$268,27,0),0)</f>
        <v>0</v>
      </c>
      <c r="I223" s="6">
        <f>IFERROR(VLOOKUP(A223,'EIA 2023'!$A$2:$AA$268,27,0),0)</f>
        <v>0</v>
      </c>
      <c r="J223" s="29">
        <f>IFERROR(VLOOKUP(A223,'FERC 2021'!$A$3:$CQ$231,95,0)+VLOOKUP(A223,'EIA 2021'!$A$3:$AE$231,31,0),0)</f>
        <v>0</v>
      </c>
      <c r="K223" s="44">
        <f>IFERROR(VLOOKUP(A223,'FERC 2022'!$A$3:$CQ$230,95,0)+VLOOKUP(A223,'EIA 2022'!$A$3:$AE$231,31,0),0)</f>
        <v>0</v>
      </c>
      <c r="L223" s="44">
        <f>IFERROR(VLOOKUP(A223,'FERC 2023'!$A$3:$CQ$231,95,0)+VLOOKUP(A223,'EIA 2023'!$A$3:$AE$231,31,0),0)</f>
        <v>0</v>
      </c>
      <c r="M223" s="44" t="str">
        <f t="shared" si="0"/>
        <v/>
      </c>
    </row>
    <row r="224" spans="1:14" ht="15.75" customHeight="1">
      <c r="A224" s="7" t="s">
        <v>1083</v>
      </c>
      <c r="B224" s="7" t="s">
        <v>1084</v>
      </c>
      <c r="C224" s="6"/>
      <c r="D224" s="6">
        <f>IFERROR(VLOOKUP(A224,'FERC 2021'!$A$3:$CK$231,82,0),0)</f>
        <v>0</v>
      </c>
      <c r="E224" s="6">
        <f>IFERROR(VLOOKUP(A224,'FERC 2022'!$A$3:$CK$230,82,0),0)</f>
        <v>1</v>
      </c>
      <c r="F224" s="6">
        <f>IFERROR(VLOOKUP(A224,'FERC 2023'!$A$3:$CK$231,82,0),0)</f>
        <v>1</v>
      </c>
      <c r="G224" s="6">
        <f>IFERROR(VLOOKUP(A224,'EIA 2021'!$A$2:$AA$268,27,0),0)</f>
        <v>0</v>
      </c>
      <c r="H224" s="6">
        <f>IFERROR(VLOOKUP(A224,'EIA 2022'!$A$2:$AA$268,27,0),0)</f>
        <v>0</v>
      </c>
      <c r="I224" s="6">
        <f>IFERROR(VLOOKUP(A224,'EIA 2023'!$A$2:$AA$268,27,0),0)</f>
        <v>0</v>
      </c>
      <c r="J224" s="29">
        <f>IFERROR(VLOOKUP(A224,'FERC 2021'!$A$3:$CQ$231,95,0)+VLOOKUP(A224,'EIA 2021'!$A$3:$AE$231,31,0),0)</f>
        <v>0</v>
      </c>
      <c r="K224" s="44">
        <f>IFERROR(VLOOKUP(A224,'FERC 2022'!$A$3:$CQ$230,95,0)+VLOOKUP(A224,'EIA 2022'!$A$3:$AE$231,31,0),0)</f>
        <v>3</v>
      </c>
      <c r="L224" s="44">
        <f>IFERROR(VLOOKUP(A224,'FERC 2023'!$A$3:$CQ$231,95,0)+VLOOKUP(A224,'EIA 2023'!$A$3:$AE$231,31,0),0)</f>
        <v>2</v>
      </c>
      <c r="M224" s="44" t="str">
        <f t="shared" si="0"/>
        <v/>
      </c>
    </row>
    <row r="225" spans="1:14" ht="15" customHeight="1">
      <c r="A225" s="7" t="s">
        <v>1318</v>
      </c>
      <c r="B225" s="7" t="s">
        <v>1319</v>
      </c>
      <c r="C225" s="6"/>
      <c r="D225" s="6">
        <f>IFERROR(VLOOKUP(A225,'FERC 2021'!$A$3:$CK$231,82,0),0)</f>
        <v>0</v>
      </c>
      <c r="E225" s="6">
        <f>IFERROR(VLOOKUP(A225,'FERC 2022'!$A$3:$CK$230,82,0),0)</f>
        <v>0</v>
      </c>
      <c r="F225" s="6">
        <f>IFERROR(VLOOKUP(A225,'FERC 2023'!$A$3:$CK$231,82,0),0)</f>
        <v>0</v>
      </c>
      <c r="G225" s="6">
        <f>IFERROR(VLOOKUP(A225,'EIA 2021'!$A$2:$AA$268,27,0),0)</f>
        <v>0</v>
      </c>
      <c r="H225" s="6">
        <f>IFERROR(VLOOKUP(A225,'EIA 2022'!$A$2:$AA$268,27,0),0)</f>
        <v>0</v>
      </c>
      <c r="I225" s="6">
        <f>IFERROR(VLOOKUP(A225,'EIA 2023'!$A$2:$AA$268,27,0),0)</f>
        <v>0</v>
      </c>
      <c r="J225" s="29">
        <f>IFERROR(VLOOKUP(A225,'FERC 2021'!$A$3:$CQ$231,95,0)+VLOOKUP(A225,'EIA 2021'!$A$3:$AE$231,31,0),0)</f>
        <v>0</v>
      </c>
      <c r="K225" s="44">
        <f>IFERROR(VLOOKUP(A225,'FERC 2022'!$A$3:$CQ$230,95,0)+VLOOKUP(A225,'EIA 2022'!$A$3:$AE$231,31,0),0)</f>
        <v>0</v>
      </c>
      <c r="L225" s="44">
        <f>IFERROR(VLOOKUP(A225,'FERC 2023'!$A$3:$CQ$231,95,0)+VLOOKUP(A225,'EIA 2023'!$A$3:$AE$231,31,0),0)</f>
        <v>0</v>
      </c>
      <c r="M225" s="44" t="str">
        <f t="shared" si="0"/>
        <v/>
      </c>
    </row>
    <row r="226" spans="1:14" ht="15" customHeight="1">
      <c r="A226" s="7" t="s">
        <v>1320</v>
      </c>
      <c r="B226" s="7" t="s">
        <v>1321</v>
      </c>
      <c r="C226" s="6"/>
      <c r="D226" s="6">
        <f>IFERROR(VLOOKUP(A226,'FERC 2021'!$A$3:$CK$231,82,0),0)</f>
        <v>0</v>
      </c>
      <c r="E226" s="6">
        <f>IFERROR(VLOOKUP(A226,'FERC 2022'!$A$3:$CK$230,82,0),0)</f>
        <v>0</v>
      </c>
      <c r="F226" s="6">
        <f>IFERROR(VLOOKUP(A226,'FERC 2023'!$A$3:$CK$231,82,0),0)</f>
        <v>0</v>
      </c>
      <c r="G226" s="6">
        <f>IFERROR(VLOOKUP(A226,'EIA 2021'!$A$2:$AA$268,27,0),0)</f>
        <v>0</v>
      </c>
      <c r="H226" s="6">
        <f>IFERROR(VLOOKUP(A226,'EIA 2022'!$A$2:$AA$268,27,0),0)</f>
        <v>0</v>
      </c>
      <c r="I226" s="6">
        <f>IFERROR(VLOOKUP(A226,'EIA 2023'!$A$2:$AA$268,27,0),0)</f>
        <v>0</v>
      </c>
      <c r="J226" s="29">
        <f>IFERROR(VLOOKUP(A226,'FERC 2021'!$A$3:$CQ$231,95,0)+VLOOKUP(A226,'EIA 2021'!$A$3:$AE$231,31,0),0)</f>
        <v>0</v>
      </c>
      <c r="K226" s="44">
        <f>IFERROR(VLOOKUP(A226,'FERC 2022'!$A$3:$CQ$230,95,0)+VLOOKUP(A226,'EIA 2022'!$A$3:$AE$231,31,0),0)</f>
        <v>0</v>
      </c>
      <c r="L226" s="44">
        <f>IFERROR(VLOOKUP(A226,'FERC 2023'!$A$3:$CQ$231,95,0)+VLOOKUP(A226,'EIA 2023'!$A$3:$AE$231,31,0),0)</f>
        <v>0</v>
      </c>
      <c r="M226" s="44" t="str">
        <f t="shared" si="0"/>
        <v/>
      </c>
    </row>
    <row r="227" spans="1:14" ht="15" customHeight="1">
      <c r="A227" s="7" t="s">
        <v>1322</v>
      </c>
      <c r="B227" s="7" t="s">
        <v>1323</v>
      </c>
      <c r="C227" s="6"/>
      <c r="D227" s="6">
        <f>IFERROR(VLOOKUP(A227,'FERC 2021'!$A$3:$CK$231,82,0),0)</f>
        <v>0</v>
      </c>
      <c r="E227" s="6">
        <f>IFERROR(VLOOKUP(A227,'FERC 2022'!$A$3:$CK$230,82,0),0)</f>
        <v>0</v>
      </c>
      <c r="F227" s="6">
        <f>IFERROR(VLOOKUP(A227,'FERC 2023'!$A$3:$CK$231,82,0),0)</f>
        <v>0</v>
      </c>
      <c r="G227" s="6">
        <f>IFERROR(VLOOKUP(A227,'EIA 2021'!$A$2:$AA$268,27,0),0)</f>
        <v>0</v>
      </c>
      <c r="H227" s="6">
        <f>IFERROR(VLOOKUP(A227,'EIA 2022'!$A$2:$AA$268,27,0),0)</f>
        <v>0</v>
      </c>
      <c r="I227" s="6">
        <f>IFERROR(VLOOKUP(A227,'EIA 2023'!$A$2:$AA$268,27,0),0)</f>
        <v>0</v>
      </c>
      <c r="J227" s="29">
        <f>IFERROR(VLOOKUP(A227,'FERC 2021'!$A$3:$CQ$231,95,0)+VLOOKUP(A227,'EIA 2021'!$A$3:$AE$231,31,0),0)</f>
        <v>0</v>
      </c>
      <c r="K227" s="44">
        <f>IFERROR(VLOOKUP(A227,'FERC 2022'!$A$3:$CQ$230,95,0)+VLOOKUP(A227,'EIA 2022'!$A$3:$AE$231,31,0),0)</f>
        <v>0</v>
      </c>
      <c r="L227" s="44">
        <f>IFERROR(VLOOKUP(A227,'FERC 2023'!$A$3:$CQ$231,95,0)+VLOOKUP(A227,'EIA 2023'!$A$3:$AE$231,31,0),0)</f>
        <v>0</v>
      </c>
      <c r="M227" s="44" t="str">
        <f t="shared" si="0"/>
        <v/>
      </c>
      <c r="N227" s="96"/>
    </row>
    <row r="228" spans="1:14" ht="15" customHeight="1">
      <c r="A228" s="7" t="s">
        <v>1324</v>
      </c>
      <c r="B228" s="7" t="s">
        <v>1325</v>
      </c>
      <c r="C228" s="6"/>
      <c r="D228" s="6">
        <f>IFERROR(VLOOKUP(A228,'FERC 2021'!$A$3:$CK$231,82,0),0)</f>
        <v>0</v>
      </c>
      <c r="E228" s="6">
        <f>IFERROR(VLOOKUP(A228,'FERC 2022'!$A$3:$CK$230,82,0),0)</f>
        <v>0</v>
      </c>
      <c r="F228" s="6">
        <f>IFERROR(VLOOKUP(A228,'FERC 2023'!$A$3:$CK$231,82,0),0)</f>
        <v>0</v>
      </c>
      <c r="G228" s="6">
        <f>IFERROR(VLOOKUP(A228,'EIA 2021'!$A$2:$AA$268,27,0),0)</f>
        <v>0</v>
      </c>
      <c r="H228" s="6">
        <f>IFERROR(VLOOKUP(A228,'EIA 2022'!$A$2:$AA$268,27,0),0)</f>
        <v>0</v>
      </c>
      <c r="I228" s="6">
        <f>IFERROR(VLOOKUP(A228,'EIA 2023'!$A$2:$AA$268,27,0),0)</f>
        <v>0</v>
      </c>
      <c r="J228" s="29">
        <f>IFERROR(VLOOKUP(A228,'FERC 2021'!$A$3:$CQ$231,95,0)+VLOOKUP(A228,'EIA 2021'!$A$3:$AE$231,31,0),0)</f>
        <v>0</v>
      </c>
      <c r="K228" s="44">
        <f>IFERROR(VLOOKUP(A228,'FERC 2022'!$A$3:$CQ$230,95,0)+VLOOKUP(A228,'EIA 2022'!$A$3:$AE$231,31,0),0)</f>
        <v>0</v>
      </c>
      <c r="L228" s="44">
        <f>IFERROR(VLOOKUP(A228,'FERC 2023'!$A$3:$CQ$231,95,0)+VLOOKUP(A228,'EIA 2023'!$A$3:$AE$231,31,0),0)</f>
        <v>0</v>
      </c>
      <c r="M228" s="44" t="str">
        <f t="shared" si="0"/>
        <v/>
      </c>
    </row>
    <row r="229" spans="1:14" ht="15.75" customHeight="1"/>
    <row r="230" spans="1:14" ht="15.75" customHeight="1"/>
    <row r="231" spans="1:14" ht="15.75" customHeight="1"/>
    <row r="232" spans="1:14" ht="15.75" customHeight="1"/>
    <row r="233" spans="1:14" ht="15.75" customHeight="1"/>
    <row r="234" spans="1:14" ht="15.75" customHeight="1"/>
    <row r="235" spans="1:14" ht="15.75" customHeight="1"/>
    <row r="236" spans="1:14" ht="15.75" customHeight="1"/>
    <row r="237" spans="1:14" ht="15.75" customHeight="1"/>
    <row r="238" spans="1:14" ht="15.75" customHeight="1"/>
    <row r="239" spans="1:14" ht="15.75" customHeight="1"/>
    <row r="240" spans="1:1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N1000" xr:uid="{00000000-0009-0000-0000-000008000000}"/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84E8A9FA652947BCA03747BD96F320" ma:contentTypeVersion="14" ma:contentTypeDescription="Crear nuevo documento." ma:contentTypeScope="" ma:versionID="4092981b9382fb38ee4987284580bff2">
  <xsd:schema xmlns:xsd="http://www.w3.org/2001/XMLSchema" xmlns:xs="http://www.w3.org/2001/XMLSchema" xmlns:p="http://schemas.microsoft.com/office/2006/metadata/properties" xmlns:ns2="31dae7c2-3bb0-41e9-b561-06e10b5e3344" xmlns:ns3="d93e5b07-59f6-473e-8b31-642d3f9939c2" targetNamespace="http://schemas.microsoft.com/office/2006/metadata/properties" ma:root="true" ma:fieldsID="976df7af5a0d057f8d461e1ecf02727c" ns2:_="" ns3:_="">
    <xsd:import namespace="31dae7c2-3bb0-41e9-b561-06e10b5e3344"/>
    <xsd:import namespace="d93e5b07-59f6-473e-8b31-642d3f9939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dae7c2-3bb0-41e9-b561-06e10b5e33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Etiquetas de imagen" ma:readOnly="false" ma:fieldId="{5cf76f15-5ced-4ddc-b409-7134ff3c332f}" ma:taxonomyMulti="true" ma:sspId="a962ede3-39b3-45c6-9f12-db7754d5a3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3e5b07-59f6-473e-8b31-642d3f9939c2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24bf5028-bfed-4d75-952c-72e58777e323}" ma:internalName="TaxCatchAll" ma:showField="CatchAllData" ma:web="d93e5b07-59f6-473e-8b31-642d3f9939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dae7c2-3bb0-41e9-b561-06e10b5e3344">
      <Terms xmlns="http://schemas.microsoft.com/office/infopath/2007/PartnerControls"/>
    </lcf76f155ced4ddcb4097134ff3c332f>
    <TaxCatchAll xmlns="d93e5b07-59f6-473e-8b31-642d3f9939c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C6F3F68-458C-40CB-B9E9-3A42C9585C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dae7c2-3bb0-41e9-b561-06e10b5e3344"/>
    <ds:schemaRef ds:uri="d93e5b07-59f6-473e-8b31-642d3f9939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ABF3A8-DD76-451A-9548-B9F353915AB5}">
  <ds:schemaRefs>
    <ds:schemaRef ds:uri="http://www.w3.org/XML/1998/namespace"/>
    <ds:schemaRef ds:uri="http://schemas.microsoft.com/office/2006/metadata/propertie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d93e5b07-59f6-473e-8b31-642d3f9939c2"/>
    <ds:schemaRef ds:uri="31dae7c2-3bb0-41e9-b561-06e10b5e3344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DADEA7F3-D5D1-41F0-A1D5-FCC13BE08D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FERC 2021</vt:lpstr>
      <vt:lpstr>FERC 2022</vt:lpstr>
      <vt:lpstr>FERC 2023</vt:lpstr>
      <vt:lpstr>Trans 21-23</vt:lpstr>
      <vt:lpstr>EIA 2021</vt:lpstr>
      <vt:lpstr>EIA 2022</vt:lpstr>
      <vt:lpstr>EIA 2023</vt:lpstr>
      <vt:lpstr>Indices y Outliers</vt:lpstr>
      <vt:lpstr>Empresas 21-23</vt:lpstr>
      <vt:lpstr>CLR</vt:lpstr>
      <vt:lpstr>%MO Pan</vt:lpstr>
      <vt:lpstr>T_med_comp-Pan</vt:lpstr>
      <vt:lpstr>AyC Panama</vt:lpstr>
      <vt:lpstr>T_med_comp-USA</vt:lpstr>
      <vt:lpstr>CPI USA</vt:lpstr>
      <vt:lpstr>PPI USA</vt:lpstr>
      <vt:lpstr>IPM Pan</vt:lpstr>
      <vt:lpstr>IPC Pan</vt:lpstr>
      <vt:lpstr>BD Panama</vt:lpstr>
      <vt:lpstr>BD DEA</vt:lpstr>
      <vt:lpstr>BD Comp</vt:lpstr>
      <vt:lpstr>BD Perd</vt:lpstr>
      <vt:lpstr>Resultados ecuaciones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Jenny de Da Lorenzo</cp:lastModifiedBy>
  <dcterms:created xsi:type="dcterms:W3CDTF">2025-06-27T17:47:07Z</dcterms:created>
  <dcterms:modified xsi:type="dcterms:W3CDTF">2025-11-27T03:28:05Z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0x0101004284E8A9FA652947BCA03747BD96F320</vt:lpwstr>
  </property>
  <property fmtid="{D5CDD505-2E9C-101B-9397-08002B2CF9AE}" pid="3" name="MediaServiceImageTags">
    <vt:lpwstr/>
  </property>
</Properties>
</file>